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fileSharing readOnlyRecommended="1"/>
  <workbookPr filterPrivacy="1" codeName="ThisWorkbook"/>
  <xr:revisionPtr revIDLastSave="8" documentId="8_{988C9FA8-4980-4B73-BB82-8926351A595C}" xr6:coauthVersionLast="47" xr6:coauthVersionMax="47" xr10:uidLastSave="{95903A24-95DA-4800-A6E2-E85CE89AE6F2}"/>
  <bookViews>
    <workbookView xWindow="-120" yWindow="-120" windowWidth="29040" windowHeight="15720" tabRatio="802" xr2:uid="{759C47E7-FA69-4BB8-8131-A92C087C18AF}"/>
  </bookViews>
  <sheets>
    <sheet name="Overview" sheetId="6" r:id="rId1"/>
    <sheet name="Inputs --&gt;" sheetId="9" r:id="rId2"/>
    <sheet name="Key assumptions" sheetId="5" r:id="rId3"/>
    <sheet name="Historical indirect capex" sheetId="65" r:id="rId4"/>
    <sheet name="Data source" sheetId="49" r:id="rId5"/>
    <sheet name="Internal_labour_inputs" sheetId="34" r:id="rId6"/>
    <sheet name="Outsourced_labour_inputs" sheetId="41" r:id="rId7"/>
    <sheet name="Non-labour_inputs" sheetId="42" r:id="rId8"/>
    <sheet name="Calculations --&gt;" sheetId="21" r:id="rId9"/>
    <sheet name="FTE&amp;roles_calcs" sheetId="46" r:id="rId10"/>
    <sheet name="Internal_labour_calcs" sheetId="16" r:id="rId11"/>
    <sheet name="Labour-related_calcs" sheetId="55" r:id="rId12"/>
    <sheet name="Outsourced_labour_calcs" sheetId="44" r:id="rId13"/>
    <sheet name="Non-labour_calcs" sheetId="43" r:id="rId14"/>
    <sheet name="Travel calculations --&gt;" sheetId="71" r:id="rId15"/>
    <sheet name="Travel_costs" sheetId="77" r:id="rId16"/>
    <sheet name="Outputs --&gt;" sheetId="37" r:id="rId17"/>
    <sheet name="Summary Tables" sheetId="40" r:id="rId18"/>
  </sheets>
  <definedNames>
    <definedName name="__123Graph_A" hidden="1">#REF!</definedName>
    <definedName name="__123Graph_B" hidden="1">#REF!</definedName>
    <definedName name="__123Graph_LBL_A" hidden="1">#REF!</definedName>
    <definedName name="__123Graph_LBL_B" hidden="1">#REF!</definedName>
    <definedName name="__123Graph_X" hidden="1">#REF!</definedName>
    <definedName name="__FDS_HYPERLINK_TOGGLE_STATE__" hidden="1">"ON"</definedName>
    <definedName name="_1__123Graph_ACHART_2" hidden="1">#REF!</definedName>
    <definedName name="_2__123Graph_ACHART_3" hidden="1">#REF!</definedName>
    <definedName name="_3__123Graph_BCHART_3" hidden="1">#REF!</definedName>
    <definedName name="_4__123Graph_XCHART_3"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ase_datos_a_filtrar" hidden="1">#REF!</definedName>
    <definedName name="_Fill" hidden="1">#REF!</definedName>
    <definedName name="_filll" hidden="1">#REF!</definedName>
    <definedName name="_xlnm._FilterDatabase" localSheetId="4" hidden="1">'Data source'!$B$5:$FW$381</definedName>
    <definedName name="_xlnm._FilterDatabase" localSheetId="10" hidden="1">Internal_labour_calcs!$B$24:$M$145</definedName>
    <definedName name="_xlnm._FilterDatabase" localSheetId="5" hidden="1">Internal_labour_inputs!$B$7:$ID$255</definedName>
    <definedName name="_xlnm._FilterDatabase" localSheetId="2" hidden="1">'Key assumptions'!$H$76:$I$122</definedName>
    <definedName name="_xlnm._FilterDatabase" localSheetId="13" hidden="1">'Non-labour_calcs'!$B$24:$J$221</definedName>
    <definedName name="_xlnm._FilterDatabase" localSheetId="7" hidden="1">'Non-labour_inputs'!$B$7:$FV$36</definedName>
    <definedName name="_xlnm._FilterDatabase" localSheetId="12" hidden="1">Outsourced_labour_calcs!$B$24:$L$131</definedName>
    <definedName name="_fsort" hidden="1">#REF!</definedName>
    <definedName name="_H2" hidden="1">{"'Sheet1'!$A$1:$G$85"}</definedName>
    <definedName name="_I10" hidden="1">#NAME?</definedName>
    <definedName name="_I100" hidden="1">#NAME?</definedName>
    <definedName name="_I101" hidden="1">#NAME?</definedName>
    <definedName name="_I102" hidden="1">#NAME?</definedName>
    <definedName name="_I103" hidden="1">#NAME?</definedName>
    <definedName name="_I105" hidden="1">#NAME?</definedName>
    <definedName name="_I11" hidden="1">#NAME?</definedName>
    <definedName name="_I12" hidden="1">#NAME?</definedName>
    <definedName name="_I15" hidden="1">#NAME?</definedName>
    <definedName name="_I16" hidden="1">#NAME?</definedName>
    <definedName name="_I17" hidden="1">#NAME?</definedName>
    <definedName name="_I18" hidden="1">#NAME?</definedName>
    <definedName name="_I19" hidden="1">#NAME?</definedName>
    <definedName name="_I20" hidden="1">#NAME?</definedName>
    <definedName name="_I21" hidden="1">#NAME?</definedName>
    <definedName name="_I22" hidden="1">#NAME?</definedName>
    <definedName name="_I23" hidden="1">#NAME?</definedName>
    <definedName name="_I24" hidden="1">#NAME?</definedName>
    <definedName name="_I25" hidden="1">#NAME?</definedName>
    <definedName name="_I26" hidden="1">#NAME?</definedName>
    <definedName name="_I27" hidden="1">#NAME?</definedName>
    <definedName name="_I28" hidden="1">#NAME?</definedName>
    <definedName name="_I29" hidden="1">#NAME?</definedName>
    <definedName name="_I3" hidden="1">#NAME?</definedName>
    <definedName name="_I30" hidden="1">#NAME?</definedName>
    <definedName name="_I31" hidden="1">#NAME?</definedName>
    <definedName name="_I32" hidden="1">#NAME?</definedName>
    <definedName name="_I33" hidden="1">#NAME?</definedName>
    <definedName name="_I34" hidden="1">#NAME?</definedName>
    <definedName name="_I35" hidden="1">#NAME?</definedName>
    <definedName name="_I36" hidden="1">#NAME?</definedName>
    <definedName name="_I37" hidden="1">#NAME?</definedName>
    <definedName name="_I38" hidden="1">#NAME?</definedName>
    <definedName name="_I39" hidden="1">#NAME?</definedName>
    <definedName name="_I4" hidden="1">#NAME?</definedName>
    <definedName name="_I40" hidden="1">#NAME?</definedName>
    <definedName name="_I41" hidden="1">#NAME?</definedName>
    <definedName name="_I42" hidden="1">#NAME?</definedName>
    <definedName name="_I43" hidden="1">#NAME?</definedName>
    <definedName name="_I44" hidden="1">#NAME?</definedName>
    <definedName name="_I45" hidden="1">#NAME?</definedName>
    <definedName name="_I46" hidden="1">#NAME?</definedName>
    <definedName name="_I47" hidden="1">#NAME?</definedName>
    <definedName name="_I48" hidden="1">#NAME?</definedName>
    <definedName name="_I49" hidden="1">#NAME?</definedName>
    <definedName name="_I5" hidden="1">#NAME?</definedName>
    <definedName name="_I50" hidden="1">#NAME?</definedName>
    <definedName name="_I51" hidden="1">#NAME?</definedName>
    <definedName name="_I52" hidden="1">#NAME?</definedName>
    <definedName name="_I53" hidden="1">#NAME?</definedName>
    <definedName name="_I54" hidden="1">#NAME?</definedName>
    <definedName name="_I55" hidden="1">#NAME?</definedName>
    <definedName name="_I56" hidden="1">#NAME?</definedName>
    <definedName name="_I57" hidden="1">#NAME?</definedName>
    <definedName name="_I58" hidden="1">#NAME?</definedName>
    <definedName name="_I59" hidden="1">#NAME?</definedName>
    <definedName name="_I6" hidden="1">#NAME?</definedName>
    <definedName name="_I60" hidden="1">#NAME?</definedName>
    <definedName name="_I61" hidden="1">#NAME?</definedName>
    <definedName name="_I62" hidden="1">#NAME?</definedName>
    <definedName name="_I63" hidden="1">#NAME?</definedName>
    <definedName name="_I64" hidden="1">#NAME?</definedName>
    <definedName name="_I65" hidden="1">#NAME?</definedName>
    <definedName name="_I66" hidden="1">#NAME?</definedName>
    <definedName name="_I67" hidden="1">#NAME?</definedName>
    <definedName name="_I68" hidden="1">#NAME?</definedName>
    <definedName name="_I69" hidden="1">#NAME?</definedName>
    <definedName name="_I7" hidden="1">#NAME?</definedName>
    <definedName name="_I70" hidden="1">#NAME?</definedName>
    <definedName name="_I71" hidden="1">#NAME?</definedName>
    <definedName name="_I72" hidden="1">#NAME?</definedName>
    <definedName name="_I73" hidden="1">#NAME?</definedName>
    <definedName name="_I74" hidden="1">#NAME?</definedName>
    <definedName name="_I75" hidden="1">#NAME?</definedName>
    <definedName name="_I76" hidden="1">#NAME?</definedName>
    <definedName name="_I77" hidden="1">#NAME?</definedName>
    <definedName name="_I78" hidden="1">#NAME?</definedName>
    <definedName name="_I79" hidden="1">#NAME?</definedName>
    <definedName name="_I8" hidden="1">#NAME?</definedName>
    <definedName name="_I80" hidden="1">#NAME?</definedName>
    <definedName name="_I81" hidden="1">#NAME?</definedName>
    <definedName name="_I82" hidden="1">#NAME?</definedName>
    <definedName name="_I83" hidden="1">#NAME?</definedName>
    <definedName name="_I84" hidden="1">#NAME?</definedName>
    <definedName name="_I85" hidden="1">#NAME?</definedName>
    <definedName name="_I86" hidden="1">#NAME?</definedName>
    <definedName name="_I87" hidden="1">#NAME?</definedName>
    <definedName name="_I88" hidden="1">#NAME?</definedName>
    <definedName name="_I9" hidden="1">#NAME?</definedName>
    <definedName name="_I91" hidden="1">#NAME?</definedName>
    <definedName name="_I92" hidden="1">#NAME?</definedName>
    <definedName name="_I93" hidden="1">#NAME?</definedName>
    <definedName name="_I94" hidden="1">#NAME?</definedName>
    <definedName name="_I95" hidden="1">#NAME?</definedName>
    <definedName name="_I96" hidden="1">#NAME?</definedName>
    <definedName name="_I97" hidden="1">#NAME?</definedName>
    <definedName name="_I98" hidden="1">#NAME?</definedName>
    <definedName name="_I99" hidden="1">#NAME?</definedName>
    <definedName name="_Key1" hidden="1">#REF!</definedName>
    <definedName name="_Key2" hidden="1">#REF!</definedName>
    <definedName name="_Order1" hidden="1">255</definedName>
    <definedName name="_Order2" hidden="1">0</definedName>
    <definedName name="_P26" hidden="1">#NAME?</definedName>
    <definedName name="_Sort" hidden="1">#REF!</definedName>
    <definedName name="_Table1_In1" hidden="1">#REF!</definedName>
    <definedName name="_Table1_Out" hidden="1">#REF!</definedName>
    <definedName name="a" hidden="1">#REF!</definedName>
    <definedName name="aa" hidden="1">{#N/A,#N/A,FALSE,"#Title#";#N/A,#N/A,FALSE,"#Oper Mth#";#N/A,#N/A,FALSE,"#Oper YTD#";#N/A,#N/A,FALSE,"#Employee#";#N/A,#N/A,FALSE,"#Capital#";#N/A,#N/A,FALSE,"#Board Treasury#"}</definedName>
    <definedName name="abc" hidden="1">{#N/A,#N/A,FALSE,"#Title#";#N/A,#N/A,FALSE,"#Oper Mth#";#N/A,#N/A,FALSE,"#Oper YTD#";#N/A,#N/A,FALSE,"#Employee#";#N/A,#N/A,FALSE,"#Capital#";#N/A,#N/A,FALSE,"#Board Treasury#"}</definedName>
    <definedName name="AICTG" hidden="1">#REF!</definedName>
    <definedName name="an" hidden="1">{#N/A,#N/A,FALSE,"#Title#";#N/A,#N/A,FALSE,"#Oper Mth#";#N/A,#N/A,FALSE,"#Oper YTD#";#N/A,#N/A,FALSE,"#Employee#";#N/A,#N/A,FALSE,"#Capital#";#N/A,#N/A,FALSE,"#Board Treasury#"}</definedName>
    <definedName name="anscount" hidden="1">4</definedName>
    <definedName name="AS2DocOpenMode" hidden="1">"AS2DocumentEdit"</definedName>
    <definedName name="avg_hrs">'Key assumptions'!$D$79</definedName>
    <definedName name="Bad" hidden="1">{#N/A,#N/A,FALSE,"#Title#";#N/A,#N/A,FALSE,"#Oper Mth#";#N/A,#N/A,FALSE,"#Oper YTD#";#N/A,#N/A,FALSE,"#Employee#";#N/A,#N/A,FALSE,"#Capital#";#N/A,#N/A,FALSE,"#Board Treasury#"}</definedName>
    <definedName name="Base" hidden="1">#REF!</definedName>
    <definedName name="BD_filtrar" hidden="1">#REF!</definedName>
    <definedName name="cafe_validation_temp" hidden="1">#REF!</definedName>
    <definedName name="Capex" hidden="1">{#N/A,#N/A,FALSE,"#Title#";#N/A,#N/A,FALSE,"#Oper Mth#";#N/A,#N/A,FALSE,"#Oper YTD#";#N/A,#N/A,FALSE,"#Employee#";#N/A,#N/A,FALSE,"#Capital#";#N/A,#N/A,FALSE,"#Board Treasury#"}</definedName>
    <definedName name="CBWorkbookPriority" hidden="1">-1820996460</definedName>
    <definedName name="Check_Integrity" hidden="1">#REF!</definedName>
    <definedName name="CIQWBGuid" hidden="1">"b93858b4-60af-4ad5-8e20-211d15ab8e48"</definedName>
    <definedName name="CIQWBInfo" hidden="1">"{ ""CIQVersion"":""9.45.614.5792"" }"</definedName>
    <definedName name="CostCategories">'Key assumptions'!$B$45:$B$57</definedName>
    <definedName name="d" hidden="1">{#N/A,#N/A,FALSE,"#Title#";#N/A,#N/A,FALSE,"#Oper Mth#";#N/A,#N/A,FALSE,"#Oper YTD#";#N/A,#N/A,FALSE,"#Employee#";#N/A,#N/A,FALSE,"#Capital#";#N/A,#N/A,FALSE,"#Board Treasury#"}</definedName>
    <definedName name="data_source">'Data source'!$B$6:$FW$303</definedName>
    <definedName name="dd" hidden="1">{#N/A,#N/A,FALSE,"#Title#";#N/A,#N/A,FALSE,"#Oper Mth#";#N/A,#N/A,FALSE,"#Oper YTD#";#N/A,#N/A,FALSE,"#Employee#";#N/A,#N/A,FALSE,"#Capital#";#N/A,#N/A,FALSE,"#Board Treasury#"}</definedName>
    <definedName name="ddd" hidden="1">{#N/A,#N/A,FALSE,"#Title#";#N/A,#N/A,FALSE,"#Oper Mth#";#N/A,#N/A,FALSE,"#Oper YTD#";#N/A,#N/A,FALSE,"#Employee#";#N/A,#N/A,FALSE,"#Capital#";#N/A,#N/A,FALSE,"#Board Treasury#"}</definedName>
    <definedName name="dddd" hidden="1">{#N/A,#N/A,FALSE,"#Title#";#N/A,#N/A,FALSE,"#Oper Mth#";#N/A,#N/A,FALSE,"#Oper YTD#";#N/A,#N/A,FALSE,"#Employee#";#N/A,#N/A,FALSE,"#Capital#";#N/A,#N/A,FALSE,"#Board Treasury#"}</definedName>
    <definedName name="ddddd" hidden="1">{#N/A,#N/A,FALSE,"#Title#";#N/A,#N/A,FALSE,"#Oper Mth#";#N/A,#N/A,FALSE,"#Oper YTD#";#N/A,#N/A,FALSE,"#Employee#";#N/A,#N/A,FALSE,"#Capital#";#N/A,#N/A,FALSE,"#Board Treasury#"}</definedName>
    <definedName name="dfdgf" hidden="1">{#N/A,#N/A,FALSE,"#Title#";#N/A,#N/A,FALSE,"#Oper Mth#";#N/A,#N/A,FALSE,"#Oper YTD#";#N/A,#N/A,FALSE,"#Employee#";#N/A,#N/A,FALSE,"#Capital#";#N/A,#N/A,FALSE,"#Board Treasury#"}</definedName>
    <definedName name="DME_BeforeCloseCompleted" hidden="1">"False"</definedName>
    <definedName name="DME_Dirty" hidden="1">"False"</definedName>
    <definedName name="DME_LocalFile" hidden="1">"True"</definedName>
    <definedName name="DollarBasis">'Key assumptions'!$B$112:$B$120</definedName>
    <definedName name="ds_broadcostcat">'Data source'!$B$6:$B$303</definedName>
    <definedName name="ds_headers">'Data source'!$B$5:$FW$5</definedName>
    <definedName name="ds_labourcat">'Data source'!$D$6:$D$303</definedName>
    <definedName name="dsfdsfsdf" hidden="1">#REF!</definedName>
    <definedName name="dsheaders2">'Data source'!$B$4:$FW$4</definedName>
    <definedName name="EBITYTDBud"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ee" hidden="1">{#N/A,#N/A,FALSE,"#Title#";#N/A,#N/A,FALSE,"#Oper Mth#";#N/A,#N/A,FALSE,"#Oper YTD#";#N/A,#N/A,FALSE,"#Employee#";#N/A,#N/A,FALSE,"#Capital#";#N/A,#N/A,FALSE,"#Board Treasury#"}</definedName>
    <definedName name="eee" hidden="1">{#N/A,#N/A,FALSE,"#Title#";#N/A,#N/A,FALSE,"#Oper Mth#";#N/A,#N/A,FALSE,"#Oper YTD#";#N/A,#N/A,FALSE,"#Employee#";#N/A,#N/A,FALSE,"#Capital#";#N/A,#N/A,FALSE,"#Board Treasury#"}</definedName>
    <definedName name="eeee" hidden="1">{#N/A,#N/A,FALSE,"#Title#";#N/A,#N/A,FALSE,"#Oper Mth#";#N/A,#N/A,FALSE,"#Oper YTD#";#N/A,#N/A,FALSE,"#Employee#";#N/A,#N/A,FALSE,"#Capital#";#N/A,#N/A,FALSE,"#Board Treasury#"}</definedName>
    <definedName name="FF" hidden="1">#REF!</definedName>
    <definedName name="FTE_input" localSheetId="6">Outsourced_labour_inputs!$AX$7:$EC$34</definedName>
    <definedName name="FTE_PERIOD">'FTE&amp;roles_calcs'!$C$10</definedName>
    <definedName name="ghjghjghj" hidden="1">#REF!</definedName>
    <definedName name="good" hidden="1">{#N/A,#N/A,FALSE,"#Title#";#N/A,#N/A,FALSE,"#Oper Mth#";#N/A,#N/A,FALSE,"#Oper YTD#";#N/A,#N/A,FALSE,"#Employee#";#N/A,#N/A,FALSE,"#Capital#";#N/A,#N/A,FALSE,"#Board Treasury#"}</definedName>
    <definedName name="H2nueva" hidden="1">{"'Sheet1'!$A$1:$G$85"}</definedName>
    <definedName name="HTML_CodePage" hidden="1">1252</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ncidents"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ind.generales" hidden="1">#REF!</definedName>
    <definedName name="Inflation_NominaltoReal">'Key assumptions'!$F$33:$M$33</definedName>
    <definedName name="Inflation_RealtoNominal">'Key assumptions'!$F$31:$M$31</definedName>
    <definedName name="Inflation_Year">'Key assumptions'!$F$29:$M$29</definedName>
    <definedName name="InflationYear">'Key assumptions'!$C$112:$C$120</definedName>
    <definedName name="Internal_Direct">Internal_labour_calcs!$C$31:$F$43</definedName>
    <definedName name="Internal_Indirect">Internal_labour_calcs!$C$51:$F$63</definedName>
    <definedName name="IQ_ADDIN" hidden="1">"AUTO"</definedName>
    <definedName name="IQ_AVG_PRICE_TARGET" hidden="1">"c82"</definedName>
    <definedName name="IQ_CH" hidden="1">110000</definedName>
    <definedName name="IQ_CLASSB_OUTSTANDING_BS_DATE" hidden="1">"c1972"</definedName>
    <definedName name="IQ_CLASSB_OUTSTANDING_FILING_DATE" hidden="1">"c1974"</definedName>
    <definedName name="IQ_CONV_RATE" hidden="1">"c2192"</definedName>
    <definedName name="IQ_CQ" hidden="1">5000</definedName>
    <definedName name="IQ_CY" hidden="1">10000</definedName>
    <definedName name="IQ_DAILY" hidden="1">500000</definedName>
    <definedName name="IQ_DNTM" hidden="1">700000</definedName>
    <definedName name="IQ_DPAC" hidden="1">"c2801"</definedName>
    <definedName name="IQ_EST_EPS_SURPRISE" hidden="1">"c1635"</definedName>
    <definedName name="IQ_EST_NUM_BUY_CIQ" hidden="1">"c3700"</definedName>
    <definedName name="IQ_EST_NUM_BUY_REUT" hidden="1">"c3869"</definedName>
    <definedName name="IQ_EST_NUM_BUY_THOM" hidden="1">"c5165"</definedName>
    <definedName name="IQ_EST_NUM_HOLD_CIQ" hidden="1">"c3702"</definedName>
    <definedName name="IQ_EST_NUM_HOLD_REUT" hidden="1">"c3871"</definedName>
    <definedName name="IQ_EST_NUM_HOLD_THOM" hidden="1">"c5167"</definedName>
    <definedName name="IQ_EST_NUM_OUTPERFORM_CIQ" hidden="1">"c3701"</definedName>
    <definedName name="IQ_EST_NUM_OUTPERFORM_REUT" hidden="1">"c3870"</definedName>
    <definedName name="IQ_EST_NUM_OUTPERFORM_THOM" hidden="1">"c5166"</definedName>
    <definedName name="IQ_EST_NUM_SELL_CIQ" hidden="1">"c3704"</definedName>
    <definedName name="IQ_EST_NUM_SELL_REUT" hidden="1">"c3873"</definedName>
    <definedName name="IQ_EST_NUM_SELL_THOM" hidden="1">"c5169"</definedName>
    <definedName name="IQ_EST_NUM_UNDERPERFORM_CIQ" hidden="1">"c3703"</definedName>
    <definedName name="IQ_EST_NUM_UNDERPERFORM_REUT" hidden="1">"c3872"</definedName>
    <definedName name="IQ_EST_NUM_UNDERPERFORM_THOM" hidden="1">"c5168"</definedName>
    <definedName name="IQ_FH" hidden="1">100000</definedName>
    <definedName name="IQ_FHLB_DUE_AFTER_FIVE" hidden="1">"c2086"</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INTEREST_LT_DEBT" hidden="1">"c2086"</definedName>
    <definedName name="IQ_LATESTK" hidden="1">1000</definedName>
    <definedName name="IQ_LATESTQ" hidden="1">500</definedName>
    <definedName name="IQ_LISTING_CURRENCY" hidden="1">"c2127"</definedName>
    <definedName name="IQ_LTM" hidden="1">2000</definedName>
    <definedName name="IQ_LTMMONTH" hidden="1">120000</definedName>
    <definedName name="IQ_MONTH" hidden="1">15000</definedName>
    <definedName name="IQ_MTD" hidden="1">800000</definedName>
    <definedName name="IQ_NAMES_REVISION_DATE_" hidden="1">40616.7087152778</definedName>
    <definedName name="IQ_NAV_ACT_OR_EST" hidden="1">"c2225"</definedName>
    <definedName name="IQ_NTM" hidden="1">6000</definedName>
    <definedName name="IQ_NUM_OFFICES" hidden="1">"c2088"</definedName>
    <definedName name="IQ_NUMBER_SHAREHOLDERS_CLASSB" hidden="1">"c1969"</definedName>
    <definedName name="IQ_OG_OTHER_ADJ" hidden="1">"c1999"</definedName>
    <definedName name="IQ_OG_TOTAL_OIL_PRODUCTON" hidden="1">"c2059"</definedName>
    <definedName name="IQ_OPENED55" hidden="1">1</definedName>
    <definedName name="IQ_OPTIONS_EXCERCISED" hidden="1">"c2116"</definedName>
    <definedName name="IQ_OUTSTANDING_FILING_DATE_TOTAL" hidden="1">"c2107"</definedName>
    <definedName name="IQ_PRIMARY_EPS_TYPE_THOM" hidden="1">"c5297"</definedName>
    <definedName name="IQ_QTD" hidden="1">750000</definedName>
    <definedName name="IQ_SHAREOUTSTANDING" hidden="1">"c1347"</definedName>
    <definedName name="IQ_SP_ISSUE_LC_ACTION" hidden="1">"c2644"</definedName>
    <definedName name="IQ_SP_ISSUE_LC_DATE" hidden="1">"c2643"</definedName>
    <definedName name="IQ_SP_ISSUE_LC_LT" hidden="1">"c2645"</definedName>
    <definedName name="IQ_STOCK_BASED_COGS_FIN" hidden="1">"c2998"</definedName>
    <definedName name="IQ_STOCK_BASED_COGS_UTIL" hidden="1">"c2997"</definedName>
    <definedName name="IQ_TARGET_PRICE_LASTCLOSE" hidden="1">"c1855"</definedName>
    <definedName name="IQ_TODAY" hidden="1">0</definedName>
    <definedName name="IQ_TOTAL_DEBT_DUE" hidden="1">"c2509"</definedName>
    <definedName name="IQ_TOTAL_PENSION_OBLIGATION" hidden="1">"c1292"</definedName>
    <definedName name="IQ_TR_BUY_ADVISORS" hidden="1">"c2387"</definedName>
    <definedName name="IQ_TR_SELL_ADVISORS" hidden="1">"c2388"</definedName>
    <definedName name="IQ_TR_SUBDEBT" hidden="1">"c2370"</definedName>
    <definedName name="IQ_TR_TARGET_ADVISORS" hidden="1">"c2386"</definedName>
    <definedName name="IQ_US_GAAP_CA" hidden="1">"c2930"</definedName>
    <definedName name="IQ_US_GAAP_CL" hidden="1">"c2932"</definedName>
    <definedName name="IQ_US_GAAP_COST_REV" hidden="1">"c2965"</definedName>
    <definedName name="IQ_US_GAAP_DO" hidden="1">"c2973"</definedName>
    <definedName name="IQ_US_GAAP_EXTRA_ACC_ITEMS" hidden="1">"c2972"</definedName>
    <definedName name="IQ_US_GAAP_INC_TAX" hidden="1">"c2975"</definedName>
    <definedName name="IQ_US_GAAP_INTEREST_EXP" hidden="1">"c2971"</definedName>
    <definedName name="IQ_US_GAAP_LIAB_LT" hidden="1">"c2933"</definedName>
    <definedName name="IQ_US_GAAP_MINORITY_INTEREST_IS" hidden="1">"c2974"</definedName>
    <definedName name="IQ_US_GAAP_NCA" hidden="1">"c2931"</definedName>
    <definedName name="IQ_US_GAAP_NI_AVAIL_EXCL" hidden="1">"c2977"</definedName>
    <definedName name="IQ_US_GAAP_OTHER_NON_OPER" hidden="1">"c2969"</definedName>
    <definedName name="IQ_US_GAAP_OTHER_OPER" hidden="1">"c2968"</definedName>
    <definedName name="IQ_US_GAAP_RD" hidden="1">"c2967"</definedName>
    <definedName name="IQ_US_GAAP_SGA" hidden="1">"c2966"</definedName>
    <definedName name="IQ_US_GAAP_TOTAL_REV" hidden="1">"c2964"</definedName>
    <definedName name="IQ_US_GAAP_TOTAL_UNUSUAL" hidden="1">"c2970"</definedName>
    <definedName name="IQ_WEEK" hidden="1">50000</definedName>
    <definedName name="IQ_YTD" hidden="1">3000</definedName>
    <definedName name="IQ_YTDMONTH" hidden="1">130000</definedName>
    <definedName name="IQRA10" hidden="1">"$A$11:$A$39"</definedName>
    <definedName name="IQRA12" hidden="1">"$A$13:$A$264"</definedName>
    <definedName name="IQRA13" hidden="1">"$A$14:$A$264"</definedName>
    <definedName name="IQRA14" hidden="1">"$A$15:$A$457"</definedName>
    <definedName name="IQRA15" hidden="1">"$A$16:$A$458"</definedName>
    <definedName name="IQRA4" hidden="1">"$A$5:$A$26"</definedName>
    <definedName name="IQRA5" hidden="1">"$A$6:$A$33"</definedName>
    <definedName name="IQRA6" hidden="1">"$A$7:$A$29"</definedName>
    <definedName name="IQRA7" hidden="1">"$A$8:$A$30"</definedName>
    <definedName name="IQRA8" hidden="1">"$A$9:$A$259"</definedName>
    <definedName name="IQRA9" hidden="1">"$A$10:$A$32"</definedName>
    <definedName name="IQRB2" hidden="1">"$B$3:$B$24"</definedName>
    <definedName name="IQRB4" hidden="1">"$B$5:$B$26"</definedName>
    <definedName name="IQRB5" hidden="1">"$B$6:$B$133"</definedName>
    <definedName name="IQRB8" hidden="1">"$B$9:$B$262"</definedName>
    <definedName name="IQRC5" hidden="1">"$C$6:$C$133"</definedName>
    <definedName name="IQRD4" hidden="1">"$D$5:$D$26"</definedName>
    <definedName name="IQRF1" hidden="1">"$F$2:$F$23"</definedName>
    <definedName name="IQRF3" hidden="1">"$F$4:$F$25"</definedName>
    <definedName name="IQRF4" hidden="1">"$F$5:$F$26"</definedName>
    <definedName name="IQRF5" hidden="1">"$F$6:$F$27"</definedName>
    <definedName name="IQRF6" hidden="1">"$F$7:$F$28"</definedName>
    <definedName name="IQRG1" hidden="1">"$G$2:$G$23"</definedName>
    <definedName name="IQRG3" hidden="1">"$G$4:$G$25"</definedName>
    <definedName name="IQRG6" hidden="1">"$G$7:$G$28"</definedName>
    <definedName name="IQRI1" hidden="1">"$I$2:$I$23"</definedName>
    <definedName name="IQRJ1" hidden="1">"$J$2:$J$23"</definedName>
    <definedName name="jghjghj" hidden="1">#REF!</definedName>
    <definedName name="labour_category">Internal_labour_inputs!$B$8:$B$293</definedName>
    <definedName name="labour_direct">'Key assumptions'!$D$38</definedName>
    <definedName name="labour_rel_category">Outsourced_labour_inputs!$B$8:$B$99</definedName>
    <definedName name="labour_related_direct">'Key assumptions'!$D$39</definedName>
    <definedName name="Labourcost_input" localSheetId="6">Outsourced_labour_inputs!$EE$7:$GY$34</definedName>
    <definedName name="LabourRelated_Direct">'Labour-related_calcs'!$C$103:$I$115</definedName>
    <definedName name="LabourRelated_Indirect">'Labour-related_calcs'!$C$121:$I$133</definedName>
    <definedName name="limcount" hidden="1">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V_oracle_apps_projects_costing_transactions_fdiupload_ui_ThirdPartyCostedTxnUploadPageDef_AccrualFlag" hidden="1">#REF!</definedName>
    <definedName name="LOV_oracle_apps_projects_costing_transactions_fdiupload_ui_ThirdPartyCostedTxnUploadPageDef_AcctRateType" hidden="1">#REF!</definedName>
    <definedName name="LOV_oracle_apps_projects_costing_transactions_fdiupload_ui_ThirdPartyCostedTxnUploadPageDef_BillableFlag" hidden="1">#REF!</definedName>
    <definedName name="LOV_oracle_apps_projects_costing_transactions_fdiupload_ui_ThirdPartyCostedTxnUploadPageDef_CapitalizableFlag" hidden="1">#REF!</definedName>
    <definedName name="LOV_oracle_apps_projects_costing_transactions_fdiupload_ui_ThirdPartyCostedTxnUploadPageDef_ConvertedFlag" hidden="1">#REF!</definedName>
    <definedName name="LOV_oracle_apps_projects_costing_transactions_fdiupload_ui_ThirdPartyCostedTxnUploadPageDef_UnmatchedNegativeTxnFlag" hidden="1">#REF!</definedName>
    <definedName name="LOV_oracle_apps_projects_costing_transactions_fdiupload_ui_ThirdPartyCostedTxnUploadPageDef_WorkTypeId" hidden="1">#REF!</definedName>
    <definedName name="model_forecastperiod">'Key assumptions'!$H$16:$N$16</definedName>
    <definedName name="model_period">'Key assumptions'!$F$16:$N$16</definedName>
    <definedName name="myfill" hidden="1">#REF!</definedName>
    <definedName name="non_labour_category">'Non-labour_inputs'!$B$8:$B$911</definedName>
    <definedName name="nonlab_direct">'Key assumptions'!$D$40</definedName>
    <definedName name="NonLabour_Direct">'Non-labour_calcs'!$C$31:$I$43</definedName>
    <definedName name="NonLabour_Indirect">'Non-labour_calcs'!$C$51:$I$63</definedName>
    <definedName name="O" hidden="1">#REF!</definedName>
    <definedName name="Outsourced_Direct">Outsourced_labour_calcs!$C$31:$I$43</definedName>
    <definedName name="Outsourced_Indirect">Outsourced_labour_calcs!$C$51:$I$63</definedName>
    <definedName name="p" hidden="1">{#N/A,#N/A,FALSE,"#Title#";#N/A,#N/A,FALSE,"#Oper Mth#";#N/A,#N/A,FALSE,"#Oper YTD#";#N/A,#N/A,FALSE,"#Employee#";#N/A,#N/A,FALSE,"#Capital#";#N/A,#N/A,FALSE,"#Board Treasury#"}</definedName>
    <definedName name="Pal_Workbook_GUID" hidden="1">"HITI8TUK7ERA8Q8CVU9JSAHE"</definedName>
    <definedName name="rep"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hidden="1">FALSE</definedName>
    <definedName name="SAPBEXdnldView" hidden="1">"4UE30CY001JBAS5CVJYIXHEDX"</definedName>
    <definedName name="SAPBEXhrIndnt" hidden="1">"Wide"</definedName>
    <definedName name="SAPBEXrevision" hidden="1">1</definedName>
    <definedName name="SAPBEXsysID" hidden="1">"ES0"</definedName>
    <definedName name="SAPBEXwbID" hidden="1">"3QDI1P98JENOFS7P6206M4IRP"</definedName>
    <definedName name="SAPsysID" hidden="1">"708C5W7SBKP804JT78WJ0JNKI"</definedName>
    <definedName name="SAPwbID" hidden="1">"ARS"</definedName>
    <definedName name="sencount" hidden="1">1</definedName>
    <definedName name="TextRefCopyRangeCount" hidden="1">1</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TRUE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aining">'Key assumptions'!$D$94</definedName>
    <definedName name="wrn.Allocation._.of._.Cash._.Flows." hidden="1">{"Allocation of Cash Flows",#N/A,FALSE,"Cash Flow Worksheet"}</definedName>
    <definedName name="wrn.Board." hidden="1">{#N/A,#N/A,FALSE,"#Title#";#N/A,#N/A,FALSE,"#Oper Mth#";#N/A,#N/A,FALSE,"#Oper YTD#";#N/A,#N/A,FALSE,"#Employee#";#N/A,#N/A,FALSE,"#Capital#";#N/A,#N/A,FALSE,"#Board Treasury#"}</definedName>
    <definedName name="wrn.EXEC_1." hidden="1">{"EXEC",#N/A,TRUE,"Header";"EXEC_1",#N/A,TRUE,"Summary_1"}</definedName>
    <definedName name="wrn.EXEC_2." hidden="1">{"EXEC",#N/A,FALSE,"Header";"EXEC_2",#N/A,FALSE,"Summary_2"}</definedName>
    <definedName name="wrn.EXEC_3." hidden="1">{"EXEC",#N/A,FALSE,"Header";"EXEC_3",#N/A,FALSE,"Summary_3"}</definedName>
    <definedName name="wrn.EXEC_4." hidden="1">{"EXEC",#N/A,FALSE,"Header";"EXEC_4",#N/A,FALSE,"Summary_4"}</definedName>
    <definedName name="wrn.Main_Stats." hidden="1">{"JVSumm_Report",#N/A,FALSE,"JV Summ";"Newman_Report",#N/A,FALSE,"Output - 7";"Yandi_Report",#N/A,FALSE,"Output - 8"}</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PENDENCIAS." hidden="1">{#N/A,#N/A,FALSE,"GERAL";#N/A,#N/A,FALSE,"012-96";#N/A,#N/A,FALSE,"018-96";#N/A,#N/A,FALSE,"027-96";#N/A,#N/A,FALSE,"059-96";#N/A,#N/A,FALSE,"076-96";#N/A,#N/A,FALSE,"019-97";#N/A,#N/A,FALSE,"021-97";#N/A,#N/A,FALSE,"022-97";#N/A,#N/A,FALSE,"028-97"}</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temp." hidden="1">{#N/A,#N/A,FALSE,"Pos 10"}</definedName>
    <definedName name="wrn.송변전공종단가."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표준공종단가."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w" hidden="1">#REF!</definedName>
    <definedName name="x" hidden="1">{#N/A,#N/A,FALSE,"#Title#";#N/A,#N/A,FALSE,"#Oper Mth#";#N/A,#N/A,FALSE,"#Oper YTD#";#N/A,#N/A,FALSE,"#Employee#";#N/A,#N/A,FALSE,"#Capital#";#N/A,#N/A,FALSE,"#Board Treasury#"}</definedName>
    <definedName name="xx" hidden="1">{"Allocation of Cash Flows",#N/A,FALSE,"Cash Flow Worksheet"}</definedName>
    <definedName name="단위조장"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ㅁㅁ"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원가내역서R2" hidden="1">#REF!</definedName>
    <definedName name="재료2"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접지장치물량"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4" i="77" l="1"/>
  <c r="N93" i="77"/>
  <c r="N92" i="77"/>
  <c r="N91" i="77"/>
  <c r="N90" i="77"/>
  <c r="N105" i="77" s="1"/>
  <c r="N89" i="77"/>
  <c r="N88" i="77"/>
  <c r="N87" i="77"/>
  <c r="N86" i="77"/>
  <c r="N85" i="77"/>
  <c r="N106" i="77" s="1"/>
  <c r="N84" i="77"/>
  <c r="N110" i="77" s="1"/>
  <c r="N83" i="77"/>
  <c r="N82" i="77"/>
  <c r="N81" i="77"/>
  <c r="N80" i="77"/>
  <c r="N79" i="77"/>
  <c r="N78" i="77"/>
  <c r="N77" i="77"/>
  <c r="N95" i="77" s="1"/>
  <c r="N112" i="77"/>
  <c r="N111" i="77"/>
  <c r="N109" i="77"/>
  <c r="N108" i="77"/>
  <c r="N107" i="77"/>
  <c r="N104" i="77"/>
  <c r="N103" i="77"/>
  <c r="N102" i="77"/>
  <c r="N101" i="77"/>
  <c r="N100" i="77"/>
  <c r="N71" i="77"/>
  <c r="N70" i="77"/>
  <c r="N69" i="77"/>
  <c r="N68" i="77"/>
  <c r="N67" i="77"/>
  <c r="N66" i="77"/>
  <c r="N65" i="77"/>
  <c r="N64" i="77"/>
  <c r="N63" i="77"/>
  <c r="N62" i="77"/>
  <c r="N61" i="77"/>
  <c r="N60" i="77"/>
  <c r="N59" i="77"/>
  <c r="N58" i="77"/>
  <c r="N57" i="77"/>
  <c r="N56" i="77"/>
  <c r="N55" i="77"/>
  <c r="N54" i="77"/>
  <c r="P19" i="5"/>
  <c r="N113" i="77" l="1"/>
  <c r="N72" i="77"/>
  <c r="I10" i="49" l="1"/>
  <c r="I26" i="49"/>
  <c r="I34" i="49"/>
  <c r="I42" i="49"/>
  <c r="I50" i="49"/>
  <c r="I58" i="49"/>
  <c r="I66" i="49"/>
  <c r="I74" i="49"/>
  <c r="I82" i="49"/>
  <c r="I90" i="49"/>
  <c r="I98" i="49"/>
  <c r="I106" i="49"/>
  <c r="I114" i="49"/>
  <c r="I122" i="49"/>
  <c r="I130" i="49"/>
  <c r="I138" i="49"/>
  <c r="I146" i="49"/>
  <c r="I154" i="49"/>
  <c r="I170" i="49"/>
  <c r="I178" i="49"/>
  <c r="I186" i="49"/>
  <c r="I194" i="49"/>
  <c r="I202" i="49"/>
  <c r="I210" i="49"/>
  <c r="I218" i="49"/>
  <c r="I226" i="49"/>
  <c r="I234" i="49"/>
  <c r="I242" i="49"/>
  <c r="I250" i="49"/>
  <c r="I258" i="49"/>
  <c r="I266" i="49"/>
  <c r="I274" i="49"/>
  <c r="I282" i="49"/>
  <c r="I286" i="49"/>
  <c r="I162" i="49"/>
  <c r="I189" i="49"/>
  <c r="I197" i="49"/>
  <c r="I56" i="49"/>
  <c r="I64" i="49"/>
  <c r="I72" i="49"/>
  <c r="I80" i="49"/>
  <c r="I88" i="49"/>
  <c r="I96" i="49"/>
  <c r="I104" i="49"/>
  <c r="I112" i="49"/>
  <c r="I152" i="49"/>
  <c r="I184" i="49"/>
  <c r="I192" i="49"/>
  <c r="I200" i="49"/>
  <c r="I39" i="49"/>
  <c r="I47" i="49"/>
  <c r="I55" i="49"/>
  <c r="I63" i="49"/>
  <c r="I79" i="49"/>
  <c r="I95" i="49"/>
  <c r="I103" i="49"/>
  <c r="I111" i="49"/>
  <c r="I119" i="49"/>
  <c r="I167" i="49"/>
  <c r="I174" i="49"/>
  <c r="I182" i="49"/>
  <c r="I13" i="49"/>
  <c r="I29" i="49"/>
  <c r="I37" i="49"/>
  <c r="I45" i="49"/>
  <c r="I53" i="49"/>
  <c r="I61" i="49"/>
  <c r="I44" i="49"/>
  <c r="I52" i="49"/>
  <c r="I68" i="49"/>
  <c r="I76" i="49"/>
  <c r="I100" i="49"/>
  <c r="I156" i="49"/>
  <c r="I164" i="49"/>
  <c r="I172" i="49"/>
  <c r="I180" i="49"/>
  <c r="I188" i="49"/>
  <c r="I196" i="49"/>
  <c r="I18" i="49"/>
  <c r="I9" i="49"/>
  <c r="I17" i="49"/>
  <c r="I25" i="49"/>
  <c r="I33" i="49"/>
  <c r="I41" i="49"/>
  <c r="I49" i="49"/>
  <c r="I57" i="49"/>
  <c r="I65" i="49"/>
  <c r="I73" i="49"/>
  <c r="I81" i="49"/>
  <c r="I89" i="49"/>
  <c r="I97" i="49"/>
  <c r="I105" i="49"/>
  <c r="I113" i="49"/>
  <c r="I121" i="49"/>
  <c r="I129" i="49"/>
  <c r="I137" i="49"/>
  <c r="I145" i="49"/>
  <c r="I153" i="49"/>
  <c r="I161" i="49"/>
  <c r="I169" i="49"/>
  <c r="I177" i="49"/>
  <c r="I185" i="49"/>
  <c r="I193" i="49"/>
  <c r="I201" i="49"/>
  <c r="I209" i="49"/>
  <c r="I217" i="49"/>
  <c r="I225" i="49"/>
  <c r="I233" i="49"/>
  <c r="I241" i="49"/>
  <c r="I249" i="49"/>
  <c r="I257" i="49"/>
  <c r="I265" i="49"/>
  <c r="I273" i="49"/>
  <c r="I281" i="49"/>
  <c r="I8" i="49"/>
  <c r="I16" i="49"/>
  <c r="I24" i="49"/>
  <c r="I32" i="49"/>
  <c r="I40" i="49"/>
  <c r="I48" i="49"/>
  <c r="I120" i="49"/>
  <c r="I128" i="49"/>
  <c r="I136" i="49"/>
  <c r="I144" i="49"/>
  <c r="I160" i="49"/>
  <c r="I168" i="49"/>
  <c r="I176" i="49"/>
  <c r="I208" i="49"/>
  <c r="I216" i="49"/>
  <c r="I224" i="49"/>
  <c r="I232" i="49"/>
  <c r="I240" i="49"/>
  <c r="I248" i="49"/>
  <c r="I256" i="49"/>
  <c r="I264" i="49"/>
  <c r="I272" i="49"/>
  <c r="I280" i="49"/>
  <c r="I7" i="49"/>
  <c r="I15" i="49"/>
  <c r="I23" i="49"/>
  <c r="I31" i="49"/>
  <c r="I71" i="49"/>
  <c r="I87" i="49"/>
  <c r="I127" i="49"/>
  <c r="I135" i="49"/>
  <c r="I143" i="49"/>
  <c r="I151" i="49"/>
  <c r="I159" i="49"/>
  <c r="I175" i="49"/>
  <c r="I183" i="49"/>
  <c r="I191" i="49"/>
  <c r="I199" i="49"/>
  <c r="I207" i="49"/>
  <c r="I215" i="49"/>
  <c r="I223" i="49"/>
  <c r="I14" i="49"/>
  <c r="I22" i="49"/>
  <c r="I30" i="49"/>
  <c r="I38" i="49"/>
  <c r="I46" i="49"/>
  <c r="I54" i="49"/>
  <c r="I62" i="49"/>
  <c r="I70" i="49"/>
  <c r="I78" i="49"/>
  <c r="I86" i="49"/>
  <c r="I94" i="49"/>
  <c r="I102" i="49"/>
  <c r="I110" i="49"/>
  <c r="I118" i="49"/>
  <c r="I126" i="49"/>
  <c r="I134" i="49"/>
  <c r="I142" i="49"/>
  <c r="I150" i="49"/>
  <c r="I158" i="49"/>
  <c r="I166" i="49"/>
  <c r="I190" i="49"/>
  <c r="I198" i="49"/>
  <c r="I21" i="49"/>
  <c r="I69" i="49"/>
  <c r="I77" i="49"/>
  <c r="I85" i="49"/>
  <c r="I93" i="49"/>
  <c r="I101" i="49"/>
  <c r="I109" i="49"/>
  <c r="I117" i="49"/>
  <c r="I125" i="49"/>
  <c r="I133" i="49"/>
  <c r="I141" i="49"/>
  <c r="I149" i="49"/>
  <c r="I157" i="49"/>
  <c r="I165" i="49"/>
  <c r="I173" i="49"/>
  <c r="I181" i="49"/>
  <c r="I12" i="49"/>
  <c r="I20" i="49"/>
  <c r="I28" i="49"/>
  <c r="I36" i="49"/>
  <c r="I60" i="49"/>
  <c r="I84" i="49"/>
  <c r="I92" i="49"/>
  <c r="I108" i="49"/>
  <c r="I116" i="49"/>
  <c r="I124" i="49"/>
  <c r="I132" i="49"/>
  <c r="I140" i="49"/>
  <c r="I148" i="49"/>
  <c r="I11" i="49"/>
  <c r="I19" i="49"/>
  <c r="I27" i="49"/>
  <c r="I35" i="49"/>
  <c r="I43" i="49"/>
  <c r="I51" i="49"/>
  <c r="I59" i="49"/>
  <c r="I67" i="49"/>
  <c r="I75" i="49"/>
  <c r="I83" i="49"/>
  <c r="I91" i="49"/>
  <c r="I99" i="49"/>
  <c r="I107" i="49"/>
  <c r="I115" i="49"/>
  <c r="I123" i="49"/>
  <c r="I131" i="49"/>
  <c r="I139" i="49"/>
  <c r="I147" i="49"/>
  <c r="I155" i="49"/>
  <c r="I163" i="49"/>
  <c r="I171" i="49"/>
  <c r="I179" i="49"/>
  <c r="I187" i="49"/>
  <c r="I195" i="49"/>
  <c r="I247" i="49"/>
  <c r="I271" i="49"/>
  <c r="I277" i="49"/>
  <c r="I285" i="49"/>
  <c r="I231" i="49"/>
  <c r="I239" i="49"/>
  <c r="I255" i="49"/>
  <c r="I263" i="49"/>
  <c r="I279" i="49"/>
  <c r="I254" i="49"/>
  <c r="I270" i="49"/>
  <c r="I229" i="49"/>
  <c r="I245" i="49"/>
  <c r="I261" i="49"/>
  <c r="I204" i="49"/>
  <c r="I212" i="49"/>
  <c r="I220" i="49"/>
  <c r="I228" i="49"/>
  <c r="I236" i="49"/>
  <c r="I244" i="49"/>
  <c r="I252" i="49"/>
  <c r="I260" i="49"/>
  <c r="I268" i="49"/>
  <c r="I276" i="49"/>
  <c r="I284" i="49"/>
  <c r="I206" i="49"/>
  <c r="I214" i="49"/>
  <c r="I222" i="49"/>
  <c r="I230" i="49"/>
  <c r="I238" i="49"/>
  <c r="I246" i="49"/>
  <c r="I262" i="49"/>
  <c r="I278" i="49"/>
  <c r="I205" i="49"/>
  <c r="I213" i="49"/>
  <c r="I221" i="49"/>
  <c r="I237" i="49"/>
  <c r="I253" i="49"/>
  <c r="I269" i="49"/>
  <c r="I203" i="49"/>
  <c r="I211" i="49"/>
  <c r="I219" i="49"/>
  <c r="I227" i="49"/>
  <c r="I235" i="49"/>
  <c r="I243" i="49"/>
  <c r="I251" i="49"/>
  <c r="I259" i="49"/>
  <c r="I267" i="49"/>
  <c r="I275" i="49"/>
  <c r="I283" i="49"/>
  <c r="E47" i="77" l="1"/>
  <c r="F47" i="77"/>
  <c r="G47" i="77"/>
  <c r="H47" i="77"/>
  <c r="I47" i="77"/>
  <c r="D47" i="77"/>
  <c r="D24" i="77"/>
  <c r="D33" i="77"/>
  <c r="K37" i="77"/>
  <c r="J37" i="77"/>
  <c r="I37" i="77"/>
  <c r="H37" i="77"/>
  <c r="G37" i="77"/>
  <c r="F37" i="77"/>
  <c r="E37" i="77"/>
  <c r="D37" i="77"/>
  <c r="K28" i="77"/>
  <c r="J28" i="77"/>
  <c r="I28" i="77"/>
  <c r="H28" i="77"/>
  <c r="G28" i="77"/>
  <c r="F28" i="77"/>
  <c r="E28" i="77"/>
  <c r="D28" i="77"/>
  <c r="E19" i="77"/>
  <c r="F19" i="77"/>
  <c r="G19" i="77"/>
  <c r="H19" i="77"/>
  <c r="I19" i="77"/>
  <c r="J19" i="77"/>
  <c r="K19" i="77"/>
  <c r="D19" i="77"/>
  <c r="K42" i="77"/>
  <c r="J42" i="77"/>
  <c r="I42" i="77"/>
  <c r="H42" i="77"/>
  <c r="H48" i="77" s="1"/>
  <c r="G42" i="77"/>
  <c r="F42" i="77"/>
  <c r="E42" i="77"/>
  <c r="D42" i="77"/>
  <c r="K33" i="77"/>
  <c r="J33" i="77"/>
  <c r="I33" i="77"/>
  <c r="H33" i="77"/>
  <c r="G33" i="77"/>
  <c r="F33" i="77"/>
  <c r="E33" i="77"/>
  <c r="K24" i="77"/>
  <c r="J24" i="77"/>
  <c r="J29" i="77" s="1"/>
  <c r="I24" i="77"/>
  <c r="H24" i="77"/>
  <c r="G24" i="77"/>
  <c r="F24" i="77"/>
  <c r="E24" i="77"/>
  <c r="E15" i="77"/>
  <c r="F15" i="77"/>
  <c r="G15" i="77"/>
  <c r="H15" i="77"/>
  <c r="I15" i="77"/>
  <c r="J15" i="77"/>
  <c r="K15" i="77"/>
  <c r="D15" i="77"/>
  <c r="K44" i="77"/>
  <c r="J45" i="77"/>
  <c r="J47" i="77" s="1"/>
  <c r="K45" i="77"/>
  <c r="E76" i="77"/>
  <c r="F76" i="77"/>
  <c r="G76" i="77"/>
  <c r="H76" i="77"/>
  <c r="F53" i="77"/>
  <c r="G53" i="77"/>
  <c r="H53" i="77"/>
  <c r="E53" i="77"/>
  <c r="B1" i="77"/>
  <c r="D38" i="77" l="1"/>
  <c r="E38" i="77"/>
  <c r="F38" i="77"/>
  <c r="G38" i="77"/>
  <c r="H38" i="77"/>
  <c r="E29" i="77"/>
  <c r="I38" i="77"/>
  <c r="J38" i="77"/>
  <c r="G29" i="77"/>
  <c r="H29" i="77"/>
  <c r="F29" i="77"/>
  <c r="I29" i="77"/>
  <c r="K29" i="77"/>
  <c r="J48" i="77"/>
  <c r="D60" i="77" s="1" a="1"/>
  <c r="D60" i="77" s="1"/>
  <c r="K47" i="77"/>
  <c r="F48" i="77"/>
  <c r="G48" i="77"/>
  <c r="E48" i="77"/>
  <c r="I48" i="77"/>
  <c r="D48" i="77"/>
  <c r="K38" i="77"/>
  <c r="D20" i="77"/>
  <c r="J20" i="77"/>
  <c r="I20" i="77"/>
  <c r="F20" i="77"/>
  <c r="D57" i="77" s="1" a="1"/>
  <c r="D57" i="77" s="1"/>
  <c r="E20" i="77"/>
  <c r="D59" i="77" s="1" a="1"/>
  <c r="D59" i="77" s="1"/>
  <c r="D29" i="77"/>
  <c r="H20" i="77"/>
  <c r="D58" i="77" s="1" a="1"/>
  <c r="D58" i="77" s="1"/>
  <c r="G20" i="77"/>
  <c r="D55" i="77" s="1" a="1"/>
  <c r="D55" i="77" s="1"/>
  <c r="K20" i="77"/>
  <c r="H16" i="5"/>
  <c r="G16" i="5"/>
  <c r="D62" i="77" l="1" a="1"/>
  <c r="D62" i="77" s="1"/>
  <c r="D63" i="77" a="1"/>
  <c r="D63" i="77" s="1"/>
  <c r="D66" i="77" a="1"/>
  <c r="D66" i="77" s="1"/>
  <c r="D70" i="77" a="1"/>
  <c r="D70" i="77" s="1"/>
  <c r="D71" i="77" a="1"/>
  <c r="D71" i="77" s="1"/>
  <c r="D64" i="77" a="1"/>
  <c r="D64" i="77" s="1"/>
  <c r="H87" i="77" s="1"/>
  <c r="D54" i="77" a="1"/>
  <c r="D54" i="77" s="1"/>
  <c r="E77" i="77" s="1"/>
  <c r="D56" i="77" a="1"/>
  <c r="D56" i="77" s="1"/>
  <c r="D67" i="77" a="1"/>
  <c r="D67" i="77" s="1"/>
  <c r="D65" i="77" a="1"/>
  <c r="D65" i="77" s="1"/>
  <c r="D69" i="77" a="1"/>
  <c r="D69" i="77" s="1"/>
  <c r="G92" i="77" s="1"/>
  <c r="D68" i="77" a="1"/>
  <c r="D68" i="77" s="1"/>
  <c r="H91" i="77" s="1"/>
  <c r="K48" i="77"/>
  <c r="D61" i="77" s="1" a="1"/>
  <c r="D61" i="77" s="1"/>
  <c r="H100" i="77"/>
  <c r="H101" i="77"/>
  <c r="H102" i="77"/>
  <c r="H103" i="77"/>
  <c r="H104" i="77"/>
  <c r="H107" i="77"/>
  <c r="H108" i="77"/>
  <c r="H111" i="77"/>
  <c r="H112" i="77"/>
  <c r="G112" i="77"/>
  <c r="G111" i="77"/>
  <c r="G108" i="77"/>
  <c r="G107" i="77"/>
  <c r="G104" i="77"/>
  <c r="G103" i="77"/>
  <c r="G102" i="77"/>
  <c r="G101" i="77"/>
  <c r="G100" i="77"/>
  <c r="F112" i="77"/>
  <c r="F111" i="77"/>
  <c r="F108" i="77"/>
  <c r="F107" i="77"/>
  <c r="F104" i="77"/>
  <c r="F103" i="77"/>
  <c r="F102" i="77"/>
  <c r="F101" i="77"/>
  <c r="F100" i="77"/>
  <c r="E107" i="77"/>
  <c r="E108" i="77"/>
  <c r="E111" i="77"/>
  <c r="E112" i="77"/>
  <c r="E101" i="77"/>
  <c r="E102" i="77"/>
  <c r="E103" i="77"/>
  <c r="E104" i="77"/>
  <c r="E100" i="77"/>
  <c r="B99" i="77"/>
  <c r="I113" i="77"/>
  <c r="J113" i="77"/>
  <c r="K113" i="77"/>
  <c r="H72" i="77"/>
  <c r="G72" i="77"/>
  <c r="F72" i="77"/>
  <c r="E72" i="77"/>
  <c r="I71" i="77"/>
  <c r="E94" i="77"/>
  <c r="I70" i="77"/>
  <c r="H93" i="77"/>
  <c r="I69" i="77"/>
  <c r="I68" i="77"/>
  <c r="I67" i="77"/>
  <c r="H90" i="77"/>
  <c r="I66" i="77"/>
  <c r="F89" i="77"/>
  <c r="I65" i="77"/>
  <c r="H88" i="77"/>
  <c r="I64" i="77"/>
  <c r="I63" i="77"/>
  <c r="E86" i="77"/>
  <c r="I62" i="77"/>
  <c r="H85" i="77"/>
  <c r="I61" i="77"/>
  <c r="I60" i="77"/>
  <c r="I59" i="77"/>
  <c r="H82" i="77"/>
  <c r="I58" i="77"/>
  <c r="F81" i="77"/>
  <c r="I57" i="77"/>
  <c r="H80" i="77"/>
  <c r="I56" i="77"/>
  <c r="H79" i="77"/>
  <c r="I55" i="77"/>
  <c r="E78" i="77"/>
  <c r="I54" i="77"/>
  <c r="H77" i="77"/>
  <c r="L101" i="77" l="1"/>
  <c r="E80" i="77"/>
  <c r="I72" i="77"/>
  <c r="F80" i="77"/>
  <c r="H81" i="77"/>
  <c r="H89" i="77"/>
  <c r="E91" i="77"/>
  <c r="G81" i="77"/>
  <c r="F91" i="77"/>
  <c r="H92" i="77"/>
  <c r="E85" i="77"/>
  <c r="E93" i="77"/>
  <c r="L111" i="77"/>
  <c r="E88" i="77"/>
  <c r="F88" i="77"/>
  <c r="G89" i="77"/>
  <c r="L107" i="77"/>
  <c r="L100" i="77"/>
  <c r="L108" i="77"/>
  <c r="L104" i="77"/>
  <c r="L103" i="77"/>
  <c r="L102" i="77"/>
  <c r="L112" i="77"/>
  <c r="D113" i="77"/>
  <c r="F78" i="77"/>
  <c r="F86" i="77"/>
  <c r="F94" i="77"/>
  <c r="G78" i="77"/>
  <c r="G86" i="77"/>
  <c r="G94" i="77"/>
  <c r="H78" i="77"/>
  <c r="H86" i="77"/>
  <c r="G91" i="77"/>
  <c r="H94" i="77"/>
  <c r="F77" i="77"/>
  <c r="G80" i="77"/>
  <c r="E82" i="77"/>
  <c r="F85" i="77"/>
  <c r="G88" i="77"/>
  <c r="E90" i="77"/>
  <c r="F93" i="77"/>
  <c r="G77" i="77"/>
  <c r="E79" i="77"/>
  <c r="F82" i="77"/>
  <c r="G85" i="77"/>
  <c r="E87" i="77"/>
  <c r="F90" i="77"/>
  <c r="G93" i="77"/>
  <c r="F79" i="77"/>
  <c r="G82" i="77"/>
  <c r="F87" i="77"/>
  <c r="G90" i="77"/>
  <c r="E92" i="77"/>
  <c r="G79" i="77"/>
  <c r="E81" i="77"/>
  <c r="G87" i="77"/>
  <c r="E89" i="77"/>
  <c r="F92" i="77"/>
  <c r="I94" i="77" l="1"/>
  <c r="H105" i="77"/>
  <c r="H106" i="77"/>
  <c r="H109" i="77"/>
  <c r="I81" i="77"/>
  <c r="E105" i="77"/>
  <c r="I88" i="77"/>
  <c r="I80" i="77"/>
  <c r="I78" i="77"/>
  <c r="G109" i="77"/>
  <c r="F106" i="77"/>
  <c r="E109" i="77"/>
  <c r="E106" i="77"/>
  <c r="I82" i="77"/>
  <c r="I77" i="77"/>
  <c r="F109" i="77"/>
  <c r="G105" i="77"/>
  <c r="F105" i="77"/>
  <c r="G106" i="77"/>
  <c r="I89" i="77"/>
  <c r="I92" i="77"/>
  <c r="G84" i="77"/>
  <c r="F84" i="77"/>
  <c r="E84" i="77"/>
  <c r="H84" i="77"/>
  <c r="H83" i="77"/>
  <c r="G83" i="77"/>
  <c r="F83" i="77"/>
  <c r="E83" i="77"/>
  <c r="I87" i="77"/>
  <c r="I86" i="77"/>
  <c r="I91" i="77"/>
  <c r="I79" i="77"/>
  <c r="I90" i="77"/>
  <c r="I85" i="77"/>
  <c r="I93" i="77"/>
  <c r="L109" i="77" l="1"/>
  <c r="L105" i="77"/>
  <c r="E110" i="77"/>
  <c r="E113" i="77" s="1"/>
  <c r="L106" i="77"/>
  <c r="F110" i="77"/>
  <c r="F113" i="77" s="1"/>
  <c r="G110" i="77"/>
  <c r="G113" i="77" s="1"/>
  <c r="H95" i="77"/>
  <c r="H110" i="77"/>
  <c r="H113" i="77" s="1"/>
  <c r="F95" i="77"/>
  <c r="G95" i="77"/>
  <c r="I83" i="77"/>
  <c r="E95" i="77"/>
  <c r="I84" i="77"/>
  <c r="L113" i="77" l="1"/>
  <c r="I95" i="77"/>
  <c r="L110" i="77"/>
  <c r="L114" i="77" l="1"/>
  <c r="D65" i="55" l="1"/>
  <c r="E65" i="55"/>
  <c r="F65" i="55"/>
  <c r="G65" i="55"/>
  <c r="H65" i="55"/>
  <c r="I65" i="55"/>
  <c r="D66" i="55"/>
  <c r="E66" i="55"/>
  <c r="F66" i="55"/>
  <c r="G66" i="55"/>
  <c r="H66" i="55"/>
  <c r="I66" i="55"/>
  <c r="D67" i="55"/>
  <c r="E67" i="55"/>
  <c r="F67" i="55"/>
  <c r="G67" i="55"/>
  <c r="H67" i="55"/>
  <c r="I67" i="55"/>
  <c r="D68" i="55"/>
  <c r="E68" i="55"/>
  <c r="F68" i="55"/>
  <c r="G68" i="55"/>
  <c r="H68" i="55"/>
  <c r="I68" i="55"/>
  <c r="D69" i="55"/>
  <c r="E69" i="55"/>
  <c r="F69" i="55"/>
  <c r="G69" i="55"/>
  <c r="H69" i="55"/>
  <c r="I69" i="55"/>
  <c r="G70" i="55"/>
  <c r="H70" i="55"/>
  <c r="I70" i="55"/>
  <c r="G71" i="55"/>
  <c r="H71" i="55"/>
  <c r="I71" i="55"/>
  <c r="D72" i="55"/>
  <c r="E72" i="55"/>
  <c r="F72" i="55"/>
  <c r="G72" i="55"/>
  <c r="H72" i="55"/>
  <c r="I72" i="55"/>
  <c r="D73" i="55"/>
  <c r="E73" i="55"/>
  <c r="F73" i="55"/>
  <c r="G73" i="55"/>
  <c r="H73" i="55"/>
  <c r="I73" i="55"/>
  <c r="G74" i="55"/>
  <c r="H74" i="55"/>
  <c r="I74" i="55"/>
  <c r="G75" i="55"/>
  <c r="H75" i="55"/>
  <c r="I75" i="55"/>
  <c r="D76" i="55"/>
  <c r="E76" i="55"/>
  <c r="F76" i="55"/>
  <c r="G76" i="55"/>
  <c r="H76" i="55"/>
  <c r="I76" i="55"/>
  <c r="D77" i="55"/>
  <c r="E77" i="55"/>
  <c r="F77" i="55"/>
  <c r="G77" i="55"/>
  <c r="H77" i="55"/>
  <c r="I77" i="55"/>
  <c r="C66" i="55"/>
  <c r="C67" i="55"/>
  <c r="J67" i="55" s="1"/>
  <c r="C68" i="55"/>
  <c r="C69" i="55"/>
  <c r="J69" i="55" s="1"/>
  <c r="C72" i="55"/>
  <c r="C73" i="55"/>
  <c r="C76" i="55"/>
  <c r="C77" i="55"/>
  <c r="C65" i="55"/>
  <c r="G10" i="65"/>
  <c r="G48" i="65"/>
  <c r="G13" i="65"/>
  <c r="G14" i="65"/>
  <c r="G18" i="65"/>
  <c r="J68" i="55" l="1"/>
  <c r="J66" i="55"/>
  <c r="G52" i="65"/>
  <c r="G29" i="65"/>
  <c r="G47" i="65"/>
  <c r="G53" i="65"/>
  <c r="G30" i="65"/>
  <c r="G36" i="65"/>
  <c r="G54" i="65"/>
  <c r="G19" i="65"/>
  <c r="G38" i="65"/>
  <c r="G27" i="65"/>
  <c r="G57" i="65"/>
  <c r="G20" i="65"/>
  <c r="G15" i="65"/>
  <c r="G33" i="65"/>
  <c r="G39" i="65"/>
  <c r="G51" i="65"/>
  <c r="G46" i="65"/>
  <c r="G58" i="65"/>
  <c r="G12" i="65"/>
  <c r="G28" i="65"/>
  <c r="G34" i="65"/>
  <c r="G49" i="65"/>
  <c r="G31" i="65"/>
  <c r="G37" i="65"/>
  <c r="G55" i="65"/>
  <c r="G16" i="65"/>
  <c r="G11" i="65"/>
  <c r="G9" i="65"/>
  <c r="G35" i="65"/>
  <c r="G50" i="65"/>
  <c r="G56" i="65"/>
  <c r="G17" i="65"/>
  <c r="G32" i="65"/>
  <c r="C75" i="55" l="1"/>
  <c r="D75" i="55"/>
  <c r="E75" i="55"/>
  <c r="F75" i="55"/>
  <c r="F74" i="55"/>
  <c r="C74" i="55"/>
  <c r="D74" i="55"/>
  <c r="E74" i="55"/>
  <c r="D71" i="55" l="1"/>
  <c r="E71" i="55"/>
  <c r="C71" i="55"/>
  <c r="F71" i="55"/>
  <c r="J71" i="55" l="1"/>
  <c r="F70" i="55"/>
  <c r="E70" i="55"/>
  <c r="D70" i="55"/>
  <c r="C70" i="55"/>
  <c r="J70" i="55" s="1"/>
  <c r="C101" i="5" l="1"/>
  <c r="C94" i="5"/>
  <c r="H17" i="5" l="1"/>
  <c r="H19" i="5" s="1"/>
  <c r="C71" i="65"/>
  <c r="D71" i="65"/>
  <c r="E71" i="65"/>
  <c r="F71" i="65"/>
  <c r="C72" i="65"/>
  <c r="D72" i="65"/>
  <c r="E72" i="65"/>
  <c r="F72" i="65"/>
  <c r="C73" i="65"/>
  <c r="D73" i="65"/>
  <c r="E73" i="65"/>
  <c r="F73" i="65"/>
  <c r="C74" i="65"/>
  <c r="D74" i="65"/>
  <c r="E74" i="65"/>
  <c r="F74" i="65"/>
  <c r="C75" i="65"/>
  <c r="D75" i="65"/>
  <c r="E75" i="65"/>
  <c r="F75" i="65"/>
  <c r="C76" i="65"/>
  <c r="G73" i="65" l="1"/>
  <c r="G72" i="65"/>
  <c r="G71" i="65"/>
  <c r="G74" i="65"/>
  <c r="G75" i="65"/>
  <c r="C7" i="40" l="1"/>
  <c r="E200" i="43"/>
  <c r="E178" i="43"/>
  <c r="E156" i="43"/>
  <c r="E134" i="43"/>
  <c r="E112" i="43"/>
  <c r="E90" i="43"/>
  <c r="E68" i="43"/>
  <c r="E48" i="43"/>
  <c r="E28" i="43"/>
  <c r="E8" i="43"/>
  <c r="E48" i="44"/>
  <c r="E28" i="44"/>
  <c r="E8" i="44"/>
  <c r="HG4" i="34"/>
  <c r="GI4" i="34"/>
  <c r="GI4" i="41"/>
  <c r="GI4" i="42"/>
  <c r="E8" i="16"/>
  <c r="E28" i="16"/>
  <c r="E48" i="16"/>
  <c r="E118" i="55"/>
  <c r="E100" i="55"/>
  <c r="E80" i="55"/>
  <c r="E62" i="55"/>
  <c r="E44" i="55"/>
  <c r="E26" i="55"/>
  <c r="E8" i="55"/>
  <c r="H63" i="65"/>
  <c r="H44" i="65"/>
  <c r="H25" i="65"/>
  <c r="H6" i="65"/>
  <c r="D18" i="5"/>
  <c r="E17" i="5" l="1"/>
  <c r="E18" i="5" s="1"/>
  <c r="D16" i="5"/>
  <c r="D19" i="5" s="1"/>
  <c r="E16" i="5" l="1"/>
  <c r="E19" i="5" s="1"/>
  <c r="F17" i="5"/>
  <c r="F18" i="5" l="1"/>
  <c r="F16" i="5" l="1"/>
  <c r="F19" i="5" s="1"/>
  <c r="G17" i="5"/>
  <c r="G19" i="5" s="1"/>
  <c r="B2" i="65"/>
  <c r="O26" i="40" l="1"/>
  <c r="O41" i="40"/>
  <c r="N26" i="40"/>
  <c r="N41" i="40"/>
  <c r="HF288" i="34" l="1"/>
  <c r="HF287" i="34"/>
  <c r="HF286" i="34"/>
  <c r="HF285" i="34"/>
  <c r="HF284" i="34"/>
  <c r="HF283" i="34"/>
  <c r="HF282" i="34"/>
  <c r="HF281" i="34"/>
  <c r="HF280" i="34"/>
  <c r="HF279" i="34"/>
  <c r="HF278" i="34"/>
  <c r="HF277" i="34"/>
  <c r="HF276" i="34"/>
  <c r="HF275" i="34"/>
  <c r="HF274" i="34"/>
  <c r="HF273" i="34"/>
  <c r="HF272" i="34"/>
  <c r="HF271" i="34"/>
  <c r="HF270" i="34"/>
  <c r="HF269" i="34"/>
  <c r="HF268" i="34"/>
  <c r="HF267" i="34"/>
  <c r="HF266" i="34"/>
  <c r="HF265" i="34"/>
  <c r="HF264" i="34"/>
  <c r="HF263" i="34"/>
  <c r="HF262" i="34"/>
  <c r="HF261" i="34"/>
  <c r="HF260" i="34"/>
  <c r="HF259" i="34"/>
  <c r="HF258" i="34"/>
  <c r="HF257" i="34"/>
  <c r="HF256" i="34"/>
  <c r="C10" i="40" l="1"/>
  <c r="D10" i="40"/>
  <c r="K64" i="65"/>
  <c r="J64" i="65"/>
  <c r="I64" i="65"/>
  <c r="H64" i="65"/>
  <c r="F64" i="65"/>
  <c r="E64" i="65"/>
  <c r="D64" i="65"/>
  <c r="C64" i="65"/>
  <c r="K45" i="65"/>
  <c r="J45" i="65"/>
  <c r="I45" i="65"/>
  <c r="H45" i="65"/>
  <c r="F45" i="65"/>
  <c r="E45" i="65"/>
  <c r="D45" i="65"/>
  <c r="C45" i="65"/>
  <c r="K26" i="65"/>
  <c r="J26" i="65"/>
  <c r="I26" i="65"/>
  <c r="H26" i="65"/>
  <c r="F26" i="65"/>
  <c r="E26" i="65"/>
  <c r="D26" i="65"/>
  <c r="C26" i="65"/>
  <c r="H7" i="65"/>
  <c r="I7" i="65"/>
  <c r="C7" i="65"/>
  <c r="D7" i="65"/>
  <c r="B126" i="46" l="1"/>
  <c r="HE288" i="34"/>
  <c r="HH288" i="34" s="1"/>
  <c r="HE287" i="34"/>
  <c r="HH287" i="34" s="1"/>
  <c r="HE286" i="34"/>
  <c r="HH286" i="34" s="1"/>
  <c r="HE285" i="34"/>
  <c r="HH285" i="34" s="1"/>
  <c r="HE284" i="34"/>
  <c r="HH284" i="34" s="1"/>
  <c r="HE283" i="34"/>
  <c r="HH283" i="34" s="1"/>
  <c r="HE282" i="34"/>
  <c r="HH282" i="34" s="1"/>
  <c r="HE281" i="34"/>
  <c r="HH281" i="34" s="1"/>
  <c r="HE280" i="34"/>
  <c r="HH280" i="34" s="1"/>
  <c r="HE279" i="34"/>
  <c r="HH279" i="34" s="1"/>
  <c r="HE278" i="34"/>
  <c r="HH278" i="34" s="1"/>
  <c r="HE277" i="34"/>
  <c r="HH277" i="34" s="1"/>
  <c r="HE276" i="34"/>
  <c r="HH276" i="34" s="1"/>
  <c r="HE275" i="34"/>
  <c r="HH275" i="34" s="1"/>
  <c r="HE274" i="34"/>
  <c r="HH274" i="34" s="1"/>
  <c r="HE273" i="34"/>
  <c r="HH273" i="34" s="1"/>
  <c r="HE272" i="34"/>
  <c r="HH272" i="34" s="1"/>
  <c r="HE271" i="34"/>
  <c r="HH271" i="34" s="1"/>
  <c r="HE270" i="34"/>
  <c r="HH270" i="34" s="1"/>
  <c r="HE269" i="34"/>
  <c r="HH269" i="34" s="1"/>
  <c r="HE268" i="34"/>
  <c r="HH268" i="34" s="1"/>
  <c r="HE267" i="34"/>
  <c r="HH267" i="34" s="1"/>
  <c r="HE266" i="34"/>
  <c r="HH266" i="34" s="1"/>
  <c r="HE265" i="34"/>
  <c r="HH265" i="34" s="1"/>
  <c r="HE264" i="34"/>
  <c r="HH264" i="34" s="1"/>
  <c r="HE263" i="34"/>
  <c r="HH263" i="34" s="1"/>
  <c r="HE262" i="34"/>
  <c r="HH262" i="34" s="1"/>
  <c r="HE261" i="34"/>
  <c r="HH261" i="34" s="1"/>
  <c r="HE260" i="34"/>
  <c r="HH260" i="34" s="1"/>
  <c r="HE259" i="34"/>
  <c r="HH259" i="34" s="1"/>
  <c r="HE258" i="34"/>
  <c r="HH258" i="34" s="1"/>
  <c r="K7" i="65"/>
  <c r="J7" i="65"/>
  <c r="E7" i="65"/>
  <c r="F7" i="65"/>
  <c r="E10" i="40"/>
  <c r="F10" i="40"/>
  <c r="FY33" i="41"/>
  <c r="FY34" i="41"/>
  <c r="FY35" i="41"/>
  <c r="FY36" i="41"/>
  <c r="FY37" i="41"/>
  <c r="FY38" i="41"/>
  <c r="FY39" i="41"/>
  <c r="FY40" i="41"/>
  <c r="FY41" i="41"/>
  <c r="FY42" i="41"/>
  <c r="FY43" i="41"/>
  <c r="FY44" i="41"/>
  <c r="FY45" i="41"/>
  <c r="FY46" i="41"/>
  <c r="FY47" i="41"/>
  <c r="FY48" i="41"/>
  <c r="FY49" i="41"/>
  <c r="FY50" i="41"/>
  <c r="FY51" i="41"/>
  <c r="FY52" i="41"/>
  <c r="FY53" i="41"/>
  <c r="FY54" i="41"/>
  <c r="FY55" i="41"/>
  <c r="FY56" i="41"/>
  <c r="FY57" i="41"/>
  <c r="FY58" i="41"/>
  <c r="FY59" i="41"/>
  <c r="FY60" i="41"/>
  <c r="FY61" i="41"/>
  <c r="FY62" i="41"/>
  <c r="FY63" i="41"/>
  <c r="FY64" i="41"/>
  <c r="FY65" i="41"/>
  <c r="FY66" i="41"/>
  <c r="FY67" i="41"/>
  <c r="FY68" i="41"/>
  <c r="FY69" i="41"/>
  <c r="FY70" i="41"/>
  <c r="FY71" i="41"/>
  <c r="FY72" i="41"/>
  <c r="FY73" i="41"/>
  <c r="FY74" i="41"/>
  <c r="FY75" i="41"/>
  <c r="FY76" i="41"/>
  <c r="FY77" i="41"/>
  <c r="FY78" i="41"/>
  <c r="FY79" i="41"/>
  <c r="FY80" i="41"/>
  <c r="FY81" i="41"/>
  <c r="FY82" i="41"/>
  <c r="FY83" i="41"/>
  <c r="FY84" i="41"/>
  <c r="FY85" i="41"/>
  <c r="FY86" i="41"/>
  <c r="FY87" i="41"/>
  <c r="FY88" i="41"/>
  <c r="FY89" i="41"/>
  <c r="FY90" i="41"/>
  <c r="FY91" i="41"/>
  <c r="FY92" i="41"/>
  <c r="FY93" i="41"/>
  <c r="FY94" i="41"/>
  <c r="FY95" i="41"/>
  <c r="FY96" i="41"/>
  <c r="FY97" i="41"/>
  <c r="FY98" i="41"/>
  <c r="FY99" i="41"/>
  <c r="FY100" i="41"/>
  <c r="FY101" i="41"/>
  <c r="FY102" i="41"/>
  <c r="FY103" i="41"/>
  <c r="FY104" i="41"/>
  <c r="FY105" i="41"/>
  <c r="FY106" i="41"/>
  <c r="FY107" i="41"/>
  <c r="FY108" i="41"/>
  <c r="FY109" i="41"/>
  <c r="FY110" i="41"/>
  <c r="FY111" i="41"/>
  <c r="FY112" i="41"/>
  <c r="FY113" i="41"/>
  <c r="FY114" i="41"/>
  <c r="FY115" i="41"/>
  <c r="FY116" i="41"/>
  <c r="FY117" i="41"/>
  <c r="FY118" i="41"/>
  <c r="FY119" i="41"/>
  <c r="FY120" i="41"/>
  <c r="FY121" i="41"/>
  <c r="FY122" i="41"/>
  <c r="FY123" i="41"/>
  <c r="FY124" i="41"/>
  <c r="FY125" i="41"/>
  <c r="FY126" i="41"/>
  <c r="FY127" i="41"/>
  <c r="FY128" i="41"/>
  <c r="FY129" i="41"/>
  <c r="FY130" i="41"/>
  <c r="FY131" i="41"/>
  <c r="FY132" i="41"/>
  <c r="FY133" i="41"/>
  <c r="FY134" i="41"/>
  <c r="FY135" i="41"/>
  <c r="FY136" i="41"/>
  <c r="FY137" i="41"/>
  <c r="FY138" i="41"/>
  <c r="FY139" i="41"/>
  <c r="FY140" i="41"/>
  <c r="FY141" i="41"/>
  <c r="FY142" i="41"/>
  <c r="FY143" i="41"/>
  <c r="FY144" i="41"/>
  <c r="FY145" i="41"/>
  <c r="FY146" i="41"/>
  <c r="FY147" i="41"/>
  <c r="FY148" i="41"/>
  <c r="FY149" i="41"/>
  <c r="FY150" i="41"/>
  <c r="FY151" i="41"/>
  <c r="FY152" i="41"/>
  <c r="FY153" i="41"/>
  <c r="FY154" i="41"/>
  <c r="FY155" i="41"/>
  <c r="FY156" i="41"/>
  <c r="FY157" i="41"/>
  <c r="FY158" i="41"/>
  <c r="FY159" i="41"/>
  <c r="FY160" i="41"/>
  <c r="FY161" i="41"/>
  <c r="FY162" i="41"/>
  <c r="FY163" i="41"/>
  <c r="FY164" i="41"/>
  <c r="FY165" i="41"/>
  <c r="FY166" i="41"/>
  <c r="FY167" i="41"/>
  <c r="FY168" i="41"/>
  <c r="FY169" i="41"/>
  <c r="FY170" i="41"/>
  <c r="FY171" i="41"/>
  <c r="FY172" i="41"/>
  <c r="FY173" i="41"/>
  <c r="FY174" i="41"/>
  <c r="FY175" i="41"/>
  <c r="FY176" i="41"/>
  <c r="FY177" i="41"/>
  <c r="FY178" i="41"/>
  <c r="FY179" i="41"/>
  <c r="FY180" i="41"/>
  <c r="FY181" i="41"/>
  <c r="FY182" i="41"/>
  <c r="FY183" i="41"/>
  <c r="FY184" i="41"/>
  <c r="FY185" i="41"/>
  <c r="FY186" i="41"/>
  <c r="FY187" i="41"/>
  <c r="FY188" i="41"/>
  <c r="FY189" i="41"/>
  <c r="FY190" i="41"/>
  <c r="FY191" i="41"/>
  <c r="FY192" i="41"/>
  <c r="FY193" i="41"/>
  <c r="FY194" i="41"/>
  <c r="FY195" i="41"/>
  <c r="FY196" i="41"/>
  <c r="FY197" i="41"/>
  <c r="FY198" i="41"/>
  <c r="FY199" i="41"/>
  <c r="FY200" i="41"/>
  <c r="FY201" i="41"/>
  <c r="FY202" i="41"/>
  <c r="FY203" i="41"/>
  <c r="FY204" i="41"/>
  <c r="FY205" i="41"/>
  <c r="FY206" i="41"/>
  <c r="FY207" i="41"/>
  <c r="FY208" i="41"/>
  <c r="FY209" i="41"/>
  <c r="FY210" i="41"/>
  <c r="FY211" i="41"/>
  <c r="FY212" i="41"/>
  <c r="FY213" i="41"/>
  <c r="FY214" i="41"/>
  <c r="FY215" i="41"/>
  <c r="FY216" i="41"/>
  <c r="FY217" i="41"/>
  <c r="FY218" i="41"/>
  <c r="FY219" i="41"/>
  <c r="FY220" i="41"/>
  <c r="FY221" i="41"/>
  <c r="FY222" i="41"/>
  <c r="FY223" i="41"/>
  <c r="FY224" i="41"/>
  <c r="FY225" i="41"/>
  <c r="FY226" i="41"/>
  <c r="FY227" i="41"/>
  <c r="FY228" i="41"/>
  <c r="FY229" i="41"/>
  <c r="FY230" i="41"/>
  <c r="FY231" i="41"/>
  <c r="FY232" i="41"/>
  <c r="FY233" i="41"/>
  <c r="FY234" i="41"/>
  <c r="FY235" i="41"/>
  <c r="FY236" i="41"/>
  <c r="FY237" i="41"/>
  <c r="FY238" i="41"/>
  <c r="FY239" i="41"/>
  <c r="FY240" i="41"/>
  <c r="FY241" i="41"/>
  <c r="FY242" i="41"/>
  <c r="FY243" i="41"/>
  <c r="FY244" i="41"/>
  <c r="FY245" i="41"/>
  <c r="FY246" i="41"/>
  <c r="FY247" i="41"/>
  <c r="FY248" i="41"/>
  <c r="FY249" i="41"/>
  <c r="FY250" i="41"/>
  <c r="FY251" i="41"/>
  <c r="FY252" i="41"/>
  <c r="FY253" i="41"/>
  <c r="FY254" i="41"/>
  <c r="FY255" i="41"/>
  <c r="FY256" i="41"/>
  <c r="FY257" i="41"/>
  <c r="FY258" i="41"/>
  <c r="FY259" i="41"/>
  <c r="FY260" i="41"/>
  <c r="FY261" i="41"/>
  <c r="FY262" i="41"/>
  <c r="FY263" i="41"/>
  <c r="FY264" i="41"/>
  <c r="FY265" i="41"/>
  <c r="FY266" i="41"/>
  <c r="FY267" i="41"/>
  <c r="FY268" i="41"/>
  <c r="FY269" i="41"/>
  <c r="FY270" i="41"/>
  <c r="FY271" i="41"/>
  <c r="FY272" i="41"/>
  <c r="FY273" i="41"/>
  <c r="FY274" i="41"/>
  <c r="FY275" i="41"/>
  <c r="FY276" i="41"/>
  <c r="FY277" i="41"/>
  <c r="FY278" i="41"/>
  <c r="FY279" i="41"/>
  <c r="FY280" i="41"/>
  <c r="FY281" i="41"/>
  <c r="FY282" i="41"/>
  <c r="FY283" i="41"/>
  <c r="FY284" i="41"/>
  <c r="FY285" i="41"/>
  <c r="FY286" i="41"/>
  <c r="FY287" i="41"/>
  <c r="FY288" i="41"/>
  <c r="GF262" i="41" l="1" a="1"/>
  <c r="GF262" i="41" s="1"/>
  <c r="GE262" i="41" a="1"/>
  <c r="GE262" i="41" s="1"/>
  <c r="GB262" i="41" a="1"/>
  <c r="GB262" i="41" s="1"/>
  <c r="GA262" i="41" a="1"/>
  <c r="GA262" i="41" s="1"/>
  <c r="GD262" i="41" a="1"/>
  <c r="GD262" i="41" s="1"/>
  <c r="GC262" i="41" a="1"/>
  <c r="GC262" i="41" s="1"/>
  <c r="FZ262" i="41" a="1"/>
  <c r="FZ262" i="41" s="1"/>
  <c r="GF246" i="41" a="1"/>
  <c r="GF246" i="41" s="1"/>
  <c r="GE246" i="41" a="1"/>
  <c r="GE246" i="41" s="1"/>
  <c r="GB246" i="41" a="1"/>
  <c r="GB246" i="41" s="1"/>
  <c r="GA246" i="41" a="1"/>
  <c r="GA246" i="41" s="1"/>
  <c r="FZ246" i="41" a="1"/>
  <c r="FZ246" i="41" s="1"/>
  <c r="GD246" i="41" a="1"/>
  <c r="GD246" i="41" s="1"/>
  <c r="GC246" i="41" a="1"/>
  <c r="GC246" i="41" s="1"/>
  <c r="GE285" i="41" a="1"/>
  <c r="GE285" i="41" s="1"/>
  <c r="GD285" i="41" a="1"/>
  <c r="GD285" i="41" s="1"/>
  <c r="GA285" i="41" a="1"/>
  <c r="GA285" i="41" s="1"/>
  <c r="FZ285" i="41" a="1"/>
  <c r="FZ285" i="41" s="1"/>
  <c r="GF285" i="41" a="1"/>
  <c r="GF285" i="41" s="1"/>
  <c r="GC285" i="41" a="1"/>
  <c r="GC285" i="41" s="1"/>
  <c r="GB285" i="41" a="1"/>
  <c r="GB285" i="41" s="1"/>
  <c r="GE277" i="41" a="1"/>
  <c r="GE277" i="41" s="1"/>
  <c r="GD277" i="41" a="1"/>
  <c r="GD277" i="41" s="1"/>
  <c r="GA277" i="41" a="1"/>
  <c r="GA277" i="41" s="1"/>
  <c r="GF277" i="41" a="1"/>
  <c r="GF277" i="41" s="1"/>
  <c r="GC277" i="41" a="1"/>
  <c r="GC277" i="41" s="1"/>
  <c r="GB277" i="41" a="1"/>
  <c r="GB277" i="41" s="1"/>
  <c r="FZ277" i="41" a="1"/>
  <c r="FZ277" i="41" s="1"/>
  <c r="GE261" i="41" a="1"/>
  <c r="GE261" i="41" s="1"/>
  <c r="GD261" i="41" a="1"/>
  <c r="GD261" i="41" s="1"/>
  <c r="GA261" i="41" a="1"/>
  <c r="GA261" i="41" s="1"/>
  <c r="GB261" i="41" a="1"/>
  <c r="GB261" i="41" s="1"/>
  <c r="FZ261" i="41" a="1"/>
  <c r="FZ261" i="41" s="1"/>
  <c r="GF261" i="41" a="1"/>
  <c r="GF261" i="41" s="1"/>
  <c r="GC261" i="41" a="1"/>
  <c r="GC261" i="41" s="1"/>
  <c r="GE245" i="41" a="1"/>
  <c r="GE245" i="41" s="1"/>
  <c r="GD245" i="41" a="1"/>
  <c r="GD245" i="41" s="1"/>
  <c r="GA245" i="41" a="1"/>
  <c r="GA245" i="41" s="1"/>
  <c r="GF245" i="41" a="1"/>
  <c r="GF245" i="41" s="1"/>
  <c r="GC245" i="41" a="1"/>
  <c r="GC245" i="41" s="1"/>
  <c r="GB245" i="41" a="1"/>
  <c r="GB245" i="41" s="1"/>
  <c r="FZ245" i="41" a="1"/>
  <c r="FZ245" i="41" s="1"/>
  <c r="GE237" i="41" a="1"/>
  <c r="GE237" i="41" s="1"/>
  <c r="GD237" i="41" a="1"/>
  <c r="GD237" i="41" s="1"/>
  <c r="GA237" i="41" a="1"/>
  <c r="GA237" i="41" s="1"/>
  <c r="FZ237" i="41" a="1"/>
  <c r="FZ237" i="41" s="1"/>
  <c r="GC237" i="41" a="1"/>
  <c r="GC237" i="41" s="1"/>
  <c r="GB237" i="41" a="1"/>
  <c r="GB237" i="41" s="1"/>
  <c r="GF237" i="41" a="1"/>
  <c r="GF237" i="41" s="1"/>
  <c r="GE229" i="41" a="1"/>
  <c r="GE229" i="41" s="1"/>
  <c r="GD229" i="41" a="1"/>
  <c r="GD229" i="41" s="1"/>
  <c r="GA229" i="41" a="1"/>
  <c r="GA229" i="41" s="1"/>
  <c r="GF229" i="41" a="1"/>
  <c r="GF229" i="41" s="1"/>
  <c r="GC229" i="41" a="1"/>
  <c r="GC229" i="41" s="1"/>
  <c r="GB229" i="41" a="1"/>
  <c r="GB229" i="41" s="1"/>
  <c r="FZ229" i="41" a="1"/>
  <c r="FZ229" i="41" s="1"/>
  <c r="GB282" i="41" a="1"/>
  <c r="GB282" i="41" s="1"/>
  <c r="GA282" i="41" a="1"/>
  <c r="GA282" i="41" s="1"/>
  <c r="GF282" i="41" a="1"/>
  <c r="GF282" i="41" s="1"/>
  <c r="GC282" i="41" a="1"/>
  <c r="GC282" i="41" s="1"/>
  <c r="GE282" i="41" a="1"/>
  <c r="GE282" i="41" s="1"/>
  <c r="GD282" i="41" a="1"/>
  <c r="GD282" i="41" s="1"/>
  <c r="FZ282" i="41" a="1"/>
  <c r="FZ282" i="41" s="1"/>
  <c r="FZ288" i="41" a="1"/>
  <c r="FZ288" i="41" s="1"/>
  <c r="GD288" i="41" a="1"/>
  <c r="GD288" i="41" s="1"/>
  <c r="GE288" i="41" a="1"/>
  <c r="GE288" i="41" s="1"/>
  <c r="GC288" i="41" a="1"/>
  <c r="GC288" i="41" s="1"/>
  <c r="GF288" i="41" a="1"/>
  <c r="GF288" i="41" s="1"/>
  <c r="GB288" i="41" a="1"/>
  <c r="GB288" i="41" s="1"/>
  <c r="GA288" i="41" a="1"/>
  <c r="GA288" i="41" s="1"/>
  <c r="FZ280" i="41" a="1"/>
  <c r="FZ280" i="41" s="1"/>
  <c r="GD280" i="41" a="1"/>
  <c r="GD280" i="41" s="1"/>
  <c r="GC280" i="41" a="1"/>
  <c r="GC280" i="41" s="1"/>
  <c r="GF280" i="41" a="1"/>
  <c r="GF280" i="41" s="1"/>
  <c r="GE280" i="41" a="1"/>
  <c r="GE280" i="41" s="1"/>
  <c r="GB280" i="41" a="1"/>
  <c r="GB280" i="41" s="1"/>
  <c r="GA280" i="41" a="1"/>
  <c r="GA280" i="41" s="1"/>
  <c r="FZ272" i="41" a="1"/>
  <c r="FZ272" i="41" s="1"/>
  <c r="GD272" i="41" a="1"/>
  <c r="GD272" i="41" s="1"/>
  <c r="GB272" i="41" a="1"/>
  <c r="GB272" i="41" s="1"/>
  <c r="GA272" i="41" a="1"/>
  <c r="GA272" i="41" s="1"/>
  <c r="GC272" i="41" a="1"/>
  <c r="GC272" i="41" s="1"/>
  <c r="GF272" i="41" a="1"/>
  <c r="GF272" i="41" s="1"/>
  <c r="GE272" i="41" a="1"/>
  <c r="GE272" i="41" s="1"/>
  <c r="FZ264" i="41" a="1"/>
  <c r="FZ264" i="41" s="1"/>
  <c r="GD264" i="41" a="1"/>
  <c r="GD264" i="41" s="1"/>
  <c r="GF264" i="41" a="1"/>
  <c r="GF264" i="41" s="1"/>
  <c r="GE264" i="41" a="1"/>
  <c r="GE264" i="41" s="1"/>
  <c r="GA264" i="41" a="1"/>
  <c r="GA264" i="41" s="1"/>
  <c r="GC264" i="41" a="1"/>
  <c r="GC264" i="41" s="1"/>
  <c r="GB264" i="41" a="1"/>
  <c r="GB264" i="41" s="1"/>
  <c r="GD256" i="41" a="1"/>
  <c r="GD256" i="41" s="1"/>
  <c r="FZ256" i="41" a="1"/>
  <c r="FZ256" i="41" s="1"/>
  <c r="GE256" i="41" a="1"/>
  <c r="GE256" i="41" s="1"/>
  <c r="GF256" i="41" a="1"/>
  <c r="GF256" i="41" s="1"/>
  <c r="GC256" i="41" a="1"/>
  <c r="GC256" i="41" s="1"/>
  <c r="GB256" i="41" a="1"/>
  <c r="GB256" i="41" s="1"/>
  <c r="GA256" i="41" a="1"/>
  <c r="GA256" i="41" s="1"/>
  <c r="FZ248" i="41" a="1"/>
  <c r="FZ248" i="41" s="1"/>
  <c r="GD248" i="41" a="1"/>
  <c r="GD248" i="41" s="1"/>
  <c r="GA248" i="41" a="1"/>
  <c r="GA248" i="41" s="1"/>
  <c r="GF248" i="41" a="1"/>
  <c r="GF248" i="41" s="1"/>
  <c r="GB248" i="41" a="1"/>
  <c r="GB248" i="41" s="1"/>
  <c r="GE248" i="41" a="1"/>
  <c r="GE248" i="41" s="1"/>
  <c r="GC248" i="41" a="1"/>
  <c r="GC248" i="41" s="1"/>
  <c r="FZ240" i="41" a="1"/>
  <c r="FZ240" i="41" s="1"/>
  <c r="GD240" i="41" a="1"/>
  <c r="GD240" i="41" s="1"/>
  <c r="GE240" i="41" a="1"/>
  <c r="GE240" i="41" s="1"/>
  <c r="GC240" i="41" a="1"/>
  <c r="GC240" i="41" s="1"/>
  <c r="GB240" i="41" a="1"/>
  <c r="GB240" i="41" s="1"/>
  <c r="GA240" i="41" a="1"/>
  <c r="GA240" i="41" s="1"/>
  <c r="GF240" i="41" a="1"/>
  <c r="GF240" i="41" s="1"/>
  <c r="FZ232" i="41" a="1"/>
  <c r="FZ232" i="41" s="1"/>
  <c r="GD232" i="41" a="1"/>
  <c r="GD232" i="41" s="1"/>
  <c r="GF232" i="41" a="1"/>
  <c r="GF232" i="41" s="1"/>
  <c r="GE232" i="41" a="1"/>
  <c r="GE232" i="41" s="1"/>
  <c r="GC232" i="41" a="1"/>
  <c r="GC232" i="41" s="1"/>
  <c r="GB232" i="41" a="1"/>
  <c r="GB232" i="41" s="1"/>
  <c r="GA232" i="41" a="1"/>
  <c r="GA232" i="41" s="1"/>
  <c r="FZ224" i="41" a="1"/>
  <c r="FZ224" i="41" s="1"/>
  <c r="GD224" i="41" a="1"/>
  <c r="GD224" i="41" s="1"/>
  <c r="GB224" i="41" a="1"/>
  <c r="GB224" i="41" s="1"/>
  <c r="GA224" i="41" a="1"/>
  <c r="GA224" i="41" s="1"/>
  <c r="GF224" i="41" a="1"/>
  <c r="GF224" i="41" s="1"/>
  <c r="GE224" i="41" a="1"/>
  <c r="GE224" i="41" s="1"/>
  <c r="GC224" i="41" a="1"/>
  <c r="GC224" i="41" s="1"/>
  <c r="FZ216" i="41" a="1"/>
  <c r="FZ216" i="41" s="1"/>
  <c r="GD216" i="41" a="1"/>
  <c r="GD216" i="41" s="1"/>
  <c r="GF216" i="41" a="1"/>
  <c r="GF216" i="41" s="1"/>
  <c r="GE216" i="41" a="1"/>
  <c r="GE216" i="41" s="1"/>
  <c r="GC216" i="41" a="1"/>
  <c r="GC216" i="41" s="1"/>
  <c r="GB216" i="41" a="1"/>
  <c r="GB216" i="41" s="1"/>
  <c r="GA216" i="41" a="1"/>
  <c r="GA216" i="41" s="1"/>
  <c r="FZ208" i="41" a="1"/>
  <c r="FZ208" i="41" s="1"/>
  <c r="GD208" i="41" a="1"/>
  <c r="GD208" i="41" s="1"/>
  <c r="GF208" i="41" a="1"/>
  <c r="GF208" i="41" s="1"/>
  <c r="GE208" i="41" a="1"/>
  <c r="GE208" i="41" s="1"/>
  <c r="GB208" i="41" a="1"/>
  <c r="GB208" i="41" s="1"/>
  <c r="GA208" i="41" a="1"/>
  <c r="GA208" i="41" s="1"/>
  <c r="GC208" i="41" a="1"/>
  <c r="GC208" i="41" s="1"/>
  <c r="FZ200" i="41" a="1"/>
  <c r="FZ200" i="41" s="1"/>
  <c r="GD200" i="41" a="1"/>
  <c r="GD200" i="41" s="1"/>
  <c r="GC200" i="41" a="1"/>
  <c r="GC200" i="41" s="1"/>
  <c r="GB200" i="41" a="1"/>
  <c r="GB200" i="41" s="1"/>
  <c r="GA200" i="41" a="1"/>
  <c r="GA200" i="41" s="1"/>
  <c r="GF200" i="41" a="1"/>
  <c r="GF200" i="41" s="1"/>
  <c r="GE200" i="41" a="1"/>
  <c r="GE200" i="41" s="1"/>
  <c r="FZ192" i="41" a="1"/>
  <c r="FZ192" i="41" s="1"/>
  <c r="GD192" i="41" a="1"/>
  <c r="GD192" i="41" s="1"/>
  <c r="GF192" i="41" a="1"/>
  <c r="GF192" i="41" s="1"/>
  <c r="GE192" i="41" a="1"/>
  <c r="GE192" i="41" s="1"/>
  <c r="GC192" i="41" a="1"/>
  <c r="GC192" i="41" s="1"/>
  <c r="GB192" i="41" a="1"/>
  <c r="GB192" i="41" s="1"/>
  <c r="GA192" i="41" a="1"/>
  <c r="GA192" i="41" s="1"/>
  <c r="FZ184" i="41" a="1"/>
  <c r="FZ184" i="41" s="1"/>
  <c r="GD184" i="41" a="1"/>
  <c r="GD184" i="41" s="1"/>
  <c r="GA184" i="41" a="1"/>
  <c r="GA184" i="41" s="1"/>
  <c r="GF184" i="41" a="1"/>
  <c r="GF184" i="41" s="1"/>
  <c r="GB184" i="41" a="1"/>
  <c r="GB184" i="41" s="1"/>
  <c r="GE184" i="41" a="1"/>
  <c r="GE184" i="41" s="1"/>
  <c r="GC184" i="41" a="1"/>
  <c r="GC184" i="41" s="1"/>
  <c r="FZ176" i="41" a="1"/>
  <c r="FZ176" i="41" s="1"/>
  <c r="GD176" i="41" a="1"/>
  <c r="GD176" i="41" s="1"/>
  <c r="GE176" i="41" a="1"/>
  <c r="GE176" i="41" s="1"/>
  <c r="GC176" i="41" a="1"/>
  <c r="GC176" i="41" s="1"/>
  <c r="GB176" i="41" a="1"/>
  <c r="GB176" i="41" s="1"/>
  <c r="GA176" i="41" a="1"/>
  <c r="GA176" i="41" s="1"/>
  <c r="GF176" i="41" a="1"/>
  <c r="GF176" i="41" s="1"/>
  <c r="FZ168" i="41" a="1"/>
  <c r="FZ168" i="41" s="1"/>
  <c r="GD168" i="41" a="1"/>
  <c r="GD168" i="41" s="1"/>
  <c r="GF168" i="41" a="1"/>
  <c r="GF168" i="41" s="1"/>
  <c r="GE168" i="41" a="1"/>
  <c r="GE168" i="41" s="1"/>
  <c r="GC168" i="41" a="1"/>
  <c r="GC168" i="41" s="1"/>
  <c r="GB168" i="41" a="1"/>
  <c r="GB168" i="41" s="1"/>
  <c r="GA168" i="41" a="1"/>
  <c r="GA168" i="41" s="1"/>
  <c r="FZ160" i="41" a="1"/>
  <c r="FZ160" i="41" s="1"/>
  <c r="GD160" i="41" a="1"/>
  <c r="GD160" i="41" s="1"/>
  <c r="GB160" i="41" a="1"/>
  <c r="GB160" i="41" s="1"/>
  <c r="GA160" i="41" a="1"/>
  <c r="GA160" i="41" s="1"/>
  <c r="GF160" i="41" a="1"/>
  <c r="GF160" i="41" s="1"/>
  <c r="GE160" i="41" a="1"/>
  <c r="GE160" i="41" s="1"/>
  <c r="GC160" i="41" a="1"/>
  <c r="GC160" i="41" s="1"/>
  <c r="FZ152" i="41" a="1"/>
  <c r="FZ152" i="41" s="1"/>
  <c r="GD152" i="41" a="1"/>
  <c r="GD152" i="41" s="1"/>
  <c r="GB152" i="41" a="1"/>
  <c r="GB152" i="41" s="1"/>
  <c r="GA152" i="41" a="1"/>
  <c r="GA152" i="41" s="1"/>
  <c r="GF152" i="41" a="1"/>
  <c r="GF152" i="41" s="1"/>
  <c r="GE152" i="41" a="1"/>
  <c r="GE152" i="41" s="1"/>
  <c r="GC152" i="41" a="1"/>
  <c r="GC152" i="41" s="1"/>
  <c r="FZ144" i="41" a="1"/>
  <c r="FZ144" i="41" s="1"/>
  <c r="GD144" i="41" a="1"/>
  <c r="GD144" i="41" s="1"/>
  <c r="GF144" i="41" a="1"/>
  <c r="GF144" i="41" s="1"/>
  <c r="GE144" i="41" a="1"/>
  <c r="GE144" i="41" s="1"/>
  <c r="GC144" i="41" a="1"/>
  <c r="GC144" i="41" s="1"/>
  <c r="GA144" i="41" a="1"/>
  <c r="GA144" i="41" s="1"/>
  <c r="GB144" i="41" a="1"/>
  <c r="GB144" i="41" s="1"/>
  <c r="FZ136" i="41" a="1"/>
  <c r="FZ136" i="41" s="1"/>
  <c r="GD136" i="41" a="1"/>
  <c r="GD136" i="41" s="1"/>
  <c r="GF136" i="41" a="1"/>
  <c r="GF136" i="41" s="1"/>
  <c r="GE136" i="41" a="1"/>
  <c r="GE136" i="41" s="1"/>
  <c r="GC136" i="41" a="1"/>
  <c r="GC136" i="41" s="1"/>
  <c r="GB136" i="41" a="1"/>
  <c r="GB136" i="41" s="1"/>
  <c r="GA136" i="41" a="1"/>
  <c r="GA136" i="41" s="1"/>
  <c r="FZ128" i="41" a="1"/>
  <c r="FZ128" i="41" s="1"/>
  <c r="GD128" i="41" a="1"/>
  <c r="GD128" i="41" s="1"/>
  <c r="GC128" i="41" a="1"/>
  <c r="GC128" i="41" s="1"/>
  <c r="GB128" i="41" a="1"/>
  <c r="GB128" i="41" s="1"/>
  <c r="GA128" i="41" a="1"/>
  <c r="GA128" i="41" s="1"/>
  <c r="GE128" i="41" a="1"/>
  <c r="GE128" i="41" s="1"/>
  <c r="GF128" i="41" a="1"/>
  <c r="GF128" i="41" s="1"/>
  <c r="FZ120" i="41" a="1"/>
  <c r="FZ120" i="41" s="1"/>
  <c r="GD120" i="41" a="1"/>
  <c r="GD120" i="41" s="1"/>
  <c r="GF120" i="41" a="1"/>
  <c r="GF120" i="41" s="1"/>
  <c r="GE120" i="41" a="1"/>
  <c r="GE120" i="41" s="1"/>
  <c r="GC120" i="41" a="1"/>
  <c r="GC120" i="41" s="1"/>
  <c r="GB120" i="41" a="1"/>
  <c r="GB120" i="41" s="1"/>
  <c r="GA120" i="41" a="1"/>
  <c r="GA120" i="41" s="1"/>
  <c r="FZ112" i="41" a="1"/>
  <c r="FZ112" i="41" s="1"/>
  <c r="GD112" i="41" a="1"/>
  <c r="GD112" i="41" s="1"/>
  <c r="GA112" i="41" a="1"/>
  <c r="GA112" i="41" s="1"/>
  <c r="GF112" i="41" a="1"/>
  <c r="GF112" i="41" s="1"/>
  <c r="GE112" i="41" a="1"/>
  <c r="GE112" i="41" s="1"/>
  <c r="GB112" i="41" a="1"/>
  <c r="GB112" i="41" s="1"/>
  <c r="GC112" i="41" a="1"/>
  <c r="GC112" i="41" s="1"/>
  <c r="FZ104" i="41" a="1"/>
  <c r="FZ104" i="41" s="1"/>
  <c r="GD104" i="41" a="1"/>
  <c r="GD104" i="41" s="1"/>
  <c r="GE104" i="41" a="1"/>
  <c r="GE104" i="41" s="1"/>
  <c r="GC104" i="41" a="1"/>
  <c r="GC104" i="41" s="1"/>
  <c r="GB104" i="41" a="1"/>
  <c r="GB104" i="41" s="1"/>
  <c r="GF104" i="41" a="1"/>
  <c r="GF104" i="41" s="1"/>
  <c r="GA104" i="41" a="1"/>
  <c r="GA104" i="41" s="1"/>
  <c r="FZ96" i="41" a="1"/>
  <c r="FZ96" i="41" s="1"/>
  <c r="GD96" i="41" a="1"/>
  <c r="GD96" i="41" s="1"/>
  <c r="GF96" i="41" a="1"/>
  <c r="GF96" i="41" s="1"/>
  <c r="GB96" i="41" a="1"/>
  <c r="GB96" i="41" s="1"/>
  <c r="GA96" i="41" a="1"/>
  <c r="GA96" i="41" s="1"/>
  <c r="GE96" i="41" a="1"/>
  <c r="GE96" i="41" s="1"/>
  <c r="GC96" i="41" a="1"/>
  <c r="GC96" i="41" s="1"/>
  <c r="FZ88" i="41" a="1"/>
  <c r="FZ88" i="41" s="1"/>
  <c r="GD88" i="41" a="1"/>
  <c r="GD88" i="41" s="1"/>
  <c r="GB88" i="41" a="1"/>
  <c r="GB88" i="41" s="1"/>
  <c r="GA88" i="41" a="1"/>
  <c r="GA88" i="41" s="1"/>
  <c r="GE88" i="41" a="1"/>
  <c r="GE88" i="41" s="1"/>
  <c r="GC88" i="41" a="1"/>
  <c r="GC88" i="41" s="1"/>
  <c r="GF88" i="41" a="1"/>
  <c r="GF88" i="41" s="1"/>
  <c r="FZ80" i="41" a="1"/>
  <c r="FZ80" i="41" s="1"/>
  <c r="GD80" i="41" a="1"/>
  <c r="GD80" i="41" s="1"/>
  <c r="GF80" i="41" a="1"/>
  <c r="GF80" i="41" s="1"/>
  <c r="GE80" i="41" a="1"/>
  <c r="GE80" i="41" s="1"/>
  <c r="GC80" i="41" a="1"/>
  <c r="GC80" i="41" s="1"/>
  <c r="GB80" i="41" a="1"/>
  <c r="GB80" i="41" s="1"/>
  <c r="GA80" i="41" a="1"/>
  <c r="GA80" i="41" s="1"/>
  <c r="FZ72" i="41" a="1"/>
  <c r="FZ72" i="41" s="1"/>
  <c r="GD72" i="41" a="1"/>
  <c r="GD72" i="41" s="1"/>
  <c r="GE72" i="41" a="1"/>
  <c r="GE72" i="41" s="1"/>
  <c r="GC72" i="41" a="1"/>
  <c r="GC72" i="41" s="1"/>
  <c r="GB72" i="41" a="1"/>
  <c r="GB72" i="41" s="1"/>
  <c r="GA72" i="41" a="1"/>
  <c r="GA72" i="41" s="1"/>
  <c r="GF72" i="41" a="1"/>
  <c r="GF72" i="41" s="1"/>
  <c r="FZ64" i="41" a="1"/>
  <c r="FZ64" i="41" s="1"/>
  <c r="GD64" i="41" a="1"/>
  <c r="GD64" i="41" s="1"/>
  <c r="GC64" i="41" a="1"/>
  <c r="GC64" i="41" s="1"/>
  <c r="GF64" i="41" a="1"/>
  <c r="GF64" i="41" s="1"/>
  <c r="GE64" i="41" a="1"/>
  <c r="GE64" i="41" s="1"/>
  <c r="GB64" i="41" a="1"/>
  <c r="GB64" i="41" s="1"/>
  <c r="GA64" i="41" a="1"/>
  <c r="GA64" i="41" s="1"/>
  <c r="FZ56" i="41" a="1"/>
  <c r="FZ56" i="41" s="1"/>
  <c r="GD56" i="41" a="1"/>
  <c r="GD56" i="41" s="1"/>
  <c r="GC56" i="41" a="1"/>
  <c r="GC56" i="41" s="1"/>
  <c r="GB56" i="41" a="1"/>
  <c r="GB56" i="41" s="1"/>
  <c r="GA56" i="41" a="1"/>
  <c r="GA56" i="41" s="1"/>
  <c r="GF56" i="41" a="1"/>
  <c r="GF56" i="41" s="1"/>
  <c r="GE56" i="41" a="1"/>
  <c r="GE56" i="41" s="1"/>
  <c r="FZ48" i="41" a="1"/>
  <c r="FZ48" i="41" s="1"/>
  <c r="GD48" i="41" a="1"/>
  <c r="GD48" i="41" s="1"/>
  <c r="GA48" i="41" a="1"/>
  <c r="GA48" i="41" s="1"/>
  <c r="GB48" i="41" a="1"/>
  <c r="GB48" i="41" s="1"/>
  <c r="GF48" i="41" a="1"/>
  <c r="GF48" i="41" s="1"/>
  <c r="GE48" i="41" a="1"/>
  <c r="GE48" i="41" s="1"/>
  <c r="GC48" i="41" a="1"/>
  <c r="GC48" i="41" s="1"/>
  <c r="FZ40" i="41" a="1"/>
  <c r="FZ40" i="41" s="1"/>
  <c r="GD40" i="41" a="1"/>
  <c r="GD40" i="41" s="1"/>
  <c r="GE40" i="41" a="1"/>
  <c r="GE40" i="41" s="1"/>
  <c r="GC40" i="41" a="1"/>
  <c r="GC40" i="41" s="1"/>
  <c r="GB40" i="41" a="1"/>
  <c r="GB40" i="41" s="1"/>
  <c r="GF40" i="41" a="1"/>
  <c r="GF40" i="41" s="1"/>
  <c r="GA40" i="41" a="1"/>
  <c r="GA40" i="41" s="1"/>
  <c r="GF255" i="41" a="1"/>
  <c r="GF255" i="41" s="1"/>
  <c r="GC255" i="41" a="1"/>
  <c r="GC255" i="41" s="1"/>
  <c r="GB255" i="41" a="1"/>
  <c r="GB255" i="41" s="1"/>
  <c r="GA255" i="41" a="1"/>
  <c r="GA255" i="41" s="1"/>
  <c r="FZ255" i="41" a="1"/>
  <c r="FZ255" i="41" s="1"/>
  <c r="GE255" i="41" a="1"/>
  <c r="GE255" i="41" s="1"/>
  <c r="GD255" i="41" a="1"/>
  <c r="GD255" i="41" s="1"/>
  <c r="GF247" i="41" a="1"/>
  <c r="GF247" i="41" s="1"/>
  <c r="GC247" i="41" a="1"/>
  <c r="GC247" i="41" s="1"/>
  <c r="GE247" i="41" a="1"/>
  <c r="GE247" i="41" s="1"/>
  <c r="GD247" i="41" a="1"/>
  <c r="GD247" i="41" s="1"/>
  <c r="GB247" i="41" a="1"/>
  <c r="GB247" i="41" s="1"/>
  <c r="GA247" i="41" a="1"/>
  <c r="GA247" i="41" s="1"/>
  <c r="FZ247" i="41" a="1"/>
  <c r="FZ247" i="41" s="1"/>
  <c r="GF239" i="41" a="1"/>
  <c r="GF239" i="41" s="1"/>
  <c r="GC239" i="41" a="1"/>
  <c r="GC239" i="41" s="1"/>
  <c r="FZ239" i="41" a="1"/>
  <c r="FZ239" i="41" s="1"/>
  <c r="GE239" i="41" a="1"/>
  <c r="GE239" i="41" s="1"/>
  <c r="GD239" i="41" a="1"/>
  <c r="GD239" i="41" s="1"/>
  <c r="GA239" i="41" a="1"/>
  <c r="GA239" i="41" s="1"/>
  <c r="GB239" i="41" a="1"/>
  <c r="GB239" i="41" s="1"/>
  <c r="GF231" i="41" a="1"/>
  <c r="GF231" i="41" s="1"/>
  <c r="GC231" i="41" a="1"/>
  <c r="GC231" i="41" s="1"/>
  <c r="GD231" i="41" a="1"/>
  <c r="GD231" i="41" s="1"/>
  <c r="GB231" i="41" a="1"/>
  <c r="GB231" i="41" s="1"/>
  <c r="GA231" i="41" a="1"/>
  <c r="GA231" i="41" s="1"/>
  <c r="FZ231" i="41" a="1"/>
  <c r="FZ231" i="41" s="1"/>
  <c r="GE231" i="41" a="1"/>
  <c r="GE231" i="41" s="1"/>
  <c r="GF223" i="41" a="1"/>
  <c r="GF223" i="41" s="1"/>
  <c r="GC223" i="41" a="1"/>
  <c r="GC223" i="41" s="1"/>
  <c r="GE223" i="41" a="1"/>
  <c r="GE223" i="41" s="1"/>
  <c r="GD223" i="41" a="1"/>
  <c r="GD223" i="41" s="1"/>
  <c r="GB223" i="41" a="1"/>
  <c r="GB223" i="41" s="1"/>
  <c r="FZ223" i="41" a="1"/>
  <c r="FZ223" i="41" s="1"/>
  <c r="GA223" i="41" a="1"/>
  <c r="GA223" i="41" s="1"/>
  <c r="GF215" i="41" a="1"/>
  <c r="GF215" i="41" s="1"/>
  <c r="GC215" i="41" a="1"/>
  <c r="GC215" i="41" s="1"/>
  <c r="GA215" i="41" a="1"/>
  <c r="GA215" i="41" s="1"/>
  <c r="FZ215" i="41" a="1"/>
  <c r="FZ215" i="41" s="1"/>
  <c r="GE215" i="41" a="1"/>
  <c r="GE215" i="41" s="1"/>
  <c r="GD215" i="41" a="1"/>
  <c r="GD215" i="41" s="1"/>
  <c r="GB215" i="41" a="1"/>
  <c r="GB215" i="41" s="1"/>
  <c r="GF207" i="41" a="1"/>
  <c r="GF207" i="41" s="1"/>
  <c r="GC207" i="41" a="1"/>
  <c r="GC207" i="41" s="1"/>
  <c r="GE207" i="41" a="1"/>
  <c r="GE207" i="41" s="1"/>
  <c r="GD207" i="41" a="1"/>
  <c r="GD207" i="41" s="1"/>
  <c r="GB207" i="41" a="1"/>
  <c r="GB207" i="41" s="1"/>
  <c r="GA207" i="41" a="1"/>
  <c r="GA207" i="41" s="1"/>
  <c r="FZ207" i="41" a="1"/>
  <c r="FZ207" i="41" s="1"/>
  <c r="GF199" i="41" a="1"/>
  <c r="GF199" i="41" s="1"/>
  <c r="GC199" i="41" a="1"/>
  <c r="GC199" i="41" s="1"/>
  <c r="GE199" i="41" a="1"/>
  <c r="GE199" i="41" s="1"/>
  <c r="GD199" i="41" a="1"/>
  <c r="GD199" i="41" s="1"/>
  <c r="FZ199" i="41" a="1"/>
  <c r="FZ199" i="41" s="1"/>
  <c r="GB199" i="41" a="1"/>
  <c r="GB199" i="41" s="1"/>
  <c r="GA199" i="41" a="1"/>
  <c r="GA199" i="41" s="1"/>
  <c r="GF191" i="41" a="1"/>
  <c r="GF191" i="41" s="1"/>
  <c r="GC191" i="41" a="1"/>
  <c r="GC191" i="41" s="1"/>
  <c r="GB191" i="41" a="1"/>
  <c r="GB191" i="41" s="1"/>
  <c r="GA191" i="41" a="1"/>
  <c r="GA191" i="41" s="1"/>
  <c r="FZ191" i="41" a="1"/>
  <c r="FZ191" i="41" s="1"/>
  <c r="GE191" i="41" a="1"/>
  <c r="GE191" i="41" s="1"/>
  <c r="GD191" i="41" a="1"/>
  <c r="GD191" i="41" s="1"/>
  <c r="GF183" i="41" a="1"/>
  <c r="GF183" i="41" s="1"/>
  <c r="GC183" i="41" a="1"/>
  <c r="GC183" i="41" s="1"/>
  <c r="GE183" i="41" a="1"/>
  <c r="GE183" i="41" s="1"/>
  <c r="GD183" i="41" a="1"/>
  <c r="GD183" i="41" s="1"/>
  <c r="GB183" i="41" a="1"/>
  <c r="GB183" i="41" s="1"/>
  <c r="GA183" i="41" a="1"/>
  <c r="GA183" i="41" s="1"/>
  <c r="FZ183" i="41" a="1"/>
  <c r="FZ183" i="41" s="1"/>
  <c r="GF175" i="41" a="1"/>
  <c r="GF175" i="41" s="1"/>
  <c r="GC175" i="41" a="1"/>
  <c r="GC175" i="41" s="1"/>
  <c r="FZ175" i="41" a="1"/>
  <c r="FZ175" i="41" s="1"/>
  <c r="GE175" i="41" a="1"/>
  <c r="GE175" i="41" s="1"/>
  <c r="GD175" i="41" a="1"/>
  <c r="GD175" i="41" s="1"/>
  <c r="GA175" i="41" a="1"/>
  <c r="GA175" i="41" s="1"/>
  <c r="GB175" i="41" a="1"/>
  <c r="GB175" i="41" s="1"/>
  <c r="GF167" i="41" a="1"/>
  <c r="GF167" i="41" s="1"/>
  <c r="GC167" i="41" a="1"/>
  <c r="GC167" i="41" s="1"/>
  <c r="GD167" i="41" a="1"/>
  <c r="GD167" i="41" s="1"/>
  <c r="GB167" i="41" a="1"/>
  <c r="GB167" i="41" s="1"/>
  <c r="GE167" i="41" a="1"/>
  <c r="GE167" i="41" s="1"/>
  <c r="GA167" i="41" a="1"/>
  <c r="GA167" i="41" s="1"/>
  <c r="FZ167" i="41" a="1"/>
  <c r="FZ167" i="41" s="1"/>
  <c r="GF159" i="41" a="1"/>
  <c r="GF159" i="41" s="1"/>
  <c r="GC159" i="41" a="1"/>
  <c r="GC159" i="41" s="1"/>
  <c r="GD159" i="41" a="1"/>
  <c r="GD159" i="41" s="1"/>
  <c r="GB159" i="41" a="1"/>
  <c r="GB159" i="41" s="1"/>
  <c r="GA159" i="41" a="1"/>
  <c r="GA159" i="41" s="1"/>
  <c r="GE159" i="41" a="1"/>
  <c r="GE159" i="41" s="1"/>
  <c r="FZ159" i="41" a="1"/>
  <c r="FZ159" i="41" s="1"/>
  <c r="GF151" i="41" a="1"/>
  <c r="GF151" i="41" s="1"/>
  <c r="GC151" i="41" a="1"/>
  <c r="GC151" i="41" s="1"/>
  <c r="GE151" i="41" a="1"/>
  <c r="GE151" i="41" s="1"/>
  <c r="GD151" i="41" a="1"/>
  <c r="GD151" i="41" s="1"/>
  <c r="GB151" i="41" a="1"/>
  <c r="GB151" i="41" s="1"/>
  <c r="GA151" i="41" a="1"/>
  <c r="GA151" i="41" s="1"/>
  <c r="FZ151" i="41" a="1"/>
  <c r="FZ151" i="41" s="1"/>
  <c r="GF143" i="41" a="1"/>
  <c r="GF143" i="41" s="1"/>
  <c r="GC143" i="41" a="1"/>
  <c r="GC143" i="41" s="1"/>
  <c r="GA143" i="41" a="1"/>
  <c r="GA143" i="41" s="1"/>
  <c r="FZ143" i="41" a="1"/>
  <c r="FZ143" i="41" s="1"/>
  <c r="GB143" i="41" a="1"/>
  <c r="GB143" i="41" s="1"/>
  <c r="GE143" i="41" a="1"/>
  <c r="GE143" i="41" s="1"/>
  <c r="GD143" i="41" a="1"/>
  <c r="GD143" i="41" s="1"/>
  <c r="GF135" i="41" a="1"/>
  <c r="GF135" i="41" s="1"/>
  <c r="GC135" i="41" a="1"/>
  <c r="GC135" i="41" s="1"/>
  <c r="GE135" i="41" a="1"/>
  <c r="GE135" i="41" s="1"/>
  <c r="GD135" i="41" a="1"/>
  <c r="GD135" i="41" s="1"/>
  <c r="GB135" i="41" a="1"/>
  <c r="GB135" i="41" s="1"/>
  <c r="GA135" i="41" a="1"/>
  <c r="GA135" i="41" s="1"/>
  <c r="FZ135" i="41" a="1"/>
  <c r="FZ135" i="41" s="1"/>
  <c r="GF127" i="41" a="1"/>
  <c r="GF127" i="41" s="1"/>
  <c r="GC127" i="41" a="1"/>
  <c r="GC127" i="41" s="1"/>
  <c r="GE127" i="41" a="1"/>
  <c r="GE127" i="41" s="1"/>
  <c r="GD127" i="41" a="1"/>
  <c r="GD127" i="41" s="1"/>
  <c r="GB127" i="41" a="1"/>
  <c r="GB127" i="41" s="1"/>
  <c r="FZ127" i="41" a="1"/>
  <c r="FZ127" i="41" s="1"/>
  <c r="GA127" i="41" a="1"/>
  <c r="GA127" i="41" s="1"/>
  <c r="GF119" i="41" a="1"/>
  <c r="GF119" i="41" s="1"/>
  <c r="GC119" i="41" a="1"/>
  <c r="GC119" i="41" s="1"/>
  <c r="GB119" i="41" a="1"/>
  <c r="GB119" i="41" s="1"/>
  <c r="GA119" i="41" a="1"/>
  <c r="GA119" i="41" s="1"/>
  <c r="FZ119" i="41" a="1"/>
  <c r="FZ119" i="41" s="1"/>
  <c r="GE119" i="41" a="1"/>
  <c r="GE119" i="41" s="1"/>
  <c r="GD119" i="41" a="1"/>
  <c r="GD119" i="41" s="1"/>
  <c r="GF111" i="41" a="1"/>
  <c r="GF111" i="41" s="1"/>
  <c r="GC111" i="41" a="1"/>
  <c r="GC111" i="41" s="1"/>
  <c r="GE111" i="41" a="1"/>
  <c r="GE111" i="41" s="1"/>
  <c r="GD111" i="41" a="1"/>
  <c r="GD111" i="41" s="1"/>
  <c r="FZ111" i="41" a="1"/>
  <c r="FZ111" i="41" s="1"/>
  <c r="GB111" i="41" a="1"/>
  <c r="GB111" i="41" s="1"/>
  <c r="GA111" i="41" a="1"/>
  <c r="GA111" i="41" s="1"/>
  <c r="GF103" i="41" a="1"/>
  <c r="GF103" i="41" s="1"/>
  <c r="GC103" i="41" a="1"/>
  <c r="GC103" i="41" s="1"/>
  <c r="FZ103" i="41" a="1"/>
  <c r="FZ103" i="41" s="1"/>
  <c r="GE103" i="41" a="1"/>
  <c r="GE103" i="41" s="1"/>
  <c r="GB103" i="41" a="1"/>
  <c r="GB103" i="41" s="1"/>
  <c r="GA103" i="41" a="1"/>
  <c r="GA103" i="41" s="1"/>
  <c r="GD103" i="41" a="1"/>
  <c r="GD103" i="41" s="1"/>
  <c r="GF95" i="41" a="1"/>
  <c r="GF95" i="41" s="1"/>
  <c r="GC95" i="41" a="1"/>
  <c r="GC95" i="41" s="1"/>
  <c r="GD95" i="41" a="1"/>
  <c r="GD95" i="41" s="1"/>
  <c r="GB95" i="41" a="1"/>
  <c r="GB95" i="41" s="1"/>
  <c r="GA95" i="41" a="1"/>
  <c r="GA95" i="41" s="1"/>
  <c r="GE95" i="41" a="1"/>
  <c r="GE95" i="41" s="1"/>
  <c r="FZ95" i="41" a="1"/>
  <c r="FZ95" i="41" s="1"/>
  <c r="GF87" i="41" a="1"/>
  <c r="GF87" i="41" s="1"/>
  <c r="GC87" i="41" a="1"/>
  <c r="GC87" i="41" s="1"/>
  <c r="GE87" i="41" a="1"/>
  <c r="GE87" i="41" s="1"/>
  <c r="GB87" i="41" a="1"/>
  <c r="GB87" i="41" s="1"/>
  <c r="GA87" i="41" a="1"/>
  <c r="GA87" i="41" s="1"/>
  <c r="FZ87" i="41" a="1"/>
  <c r="FZ87" i="41" s="1"/>
  <c r="GD87" i="41" a="1"/>
  <c r="GD87" i="41" s="1"/>
  <c r="GF79" i="41" a="1"/>
  <c r="GF79" i="41" s="1"/>
  <c r="GC79" i="41" a="1"/>
  <c r="GC79" i="41" s="1"/>
  <c r="GA79" i="41" a="1"/>
  <c r="GA79" i="41" s="1"/>
  <c r="FZ79" i="41" a="1"/>
  <c r="FZ79" i="41" s="1"/>
  <c r="GE79" i="41" a="1"/>
  <c r="GE79" i="41" s="1"/>
  <c r="GD79" i="41" a="1"/>
  <c r="GD79" i="41" s="1"/>
  <c r="GB79" i="41" a="1"/>
  <c r="GB79" i="41" s="1"/>
  <c r="GF71" i="41" a="1"/>
  <c r="GF71" i="41" s="1"/>
  <c r="GC71" i="41" a="1"/>
  <c r="GC71" i="41" s="1"/>
  <c r="GE71" i="41" a="1"/>
  <c r="GE71" i="41" s="1"/>
  <c r="GD71" i="41" a="1"/>
  <c r="GD71" i="41" s="1"/>
  <c r="GB71" i="41" a="1"/>
  <c r="GB71" i="41" s="1"/>
  <c r="FZ71" i="41" a="1"/>
  <c r="FZ71" i="41" s="1"/>
  <c r="GA71" i="41" a="1"/>
  <c r="GA71" i="41" s="1"/>
  <c r="GF63" i="41" a="1"/>
  <c r="GF63" i="41" s="1"/>
  <c r="GC63" i="41" a="1"/>
  <c r="GC63" i="41" s="1"/>
  <c r="FZ63" i="41" a="1"/>
  <c r="FZ63" i="41" s="1"/>
  <c r="GD63" i="41" a="1"/>
  <c r="GD63" i="41" s="1"/>
  <c r="GB63" i="41" a="1"/>
  <c r="GB63" i="41" s="1"/>
  <c r="GE63" i="41" a="1"/>
  <c r="GE63" i="41" s="1"/>
  <c r="GA63" i="41" a="1"/>
  <c r="GA63" i="41" s="1"/>
  <c r="GF55" i="41" a="1"/>
  <c r="GF55" i="41" s="1"/>
  <c r="GC55" i="41" a="1"/>
  <c r="GC55" i="41" s="1"/>
  <c r="GB55" i="41" a="1"/>
  <c r="GB55" i="41" s="1"/>
  <c r="GE55" i="41" a="1"/>
  <c r="GE55" i="41" s="1"/>
  <c r="GA55" i="41" a="1"/>
  <c r="GA55" i="41" s="1"/>
  <c r="FZ55" i="41" a="1"/>
  <c r="FZ55" i="41" s="1"/>
  <c r="GD55" i="41" a="1"/>
  <c r="GD55" i="41" s="1"/>
  <c r="GF47" i="41" a="1"/>
  <c r="GF47" i="41" s="1"/>
  <c r="GC47" i="41" a="1"/>
  <c r="GC47" i="41" s="1"/>
  <c r="GE47" i="41" a="1"/>
  <c r="GE47" i="41" s="1"/>
  <c r="GD47" i="41" a="1"/>
  <c r="GD47" i="41" s="1"/>
  <c r="GB47" i="41" a="1"/>
  <c r="GB47" i="41" s="1"/>
  <c r="FZ47" i="41" a="1"/>
  <c r="FZ47" i="41" s="1"/>
  <c r="GA47" i="41" a="1"/>
  <c r="GA47" i="41" s="1"/>
  <c r="GF39" i="41" a="1"/>
  <c r="GF39" i="41" s="1"/>
  <c r="GA39" i="41" a="1"/>
  <c r="GA39" i="41" s="1"/>
  <c r="GE39" i="41" a="1"/>
  <c r="GE39" i="41" s="1"/>
  <c r="GD39" i="41" a="1"/>
  <c r="GD39" i="41" s="1"/>
  <c r="GC39" i="41" a="1"/>
  <c r="GC39" i="41" s="1"/>
  <c r="GB39" i="41" a="1"/>
  <c r="GB39" i="41" s="1"/>
  <c r="FZ39" i="41" a="1"/>
  <c r="FZ39" i="41" s="1"/>
  <c r="GF254" i="41" a="1"/>
  <c r="GF254" i="41" s="1"/>
  <c r="GE254" i="41" a="1"/>
  <c r="GE254" i="41" s="1"/>
  <c r="GB254" i="41" a="1"/>
  <c r="GB254" i="41" s="1"/>
  <c r="GD254" i="41" a="1"/>
  <c r="GD254" i="41" s="1"/>
  <c r="GC254" i="41" a="1"/>
  <c r="GC254" i="41" s="1"/>
  <c r="GA254" i="41" a="1"/>
  <c r="GA254" i="41" s="1"/>
  <c r="FZ254" i="41" a="1"/>
  <c r="FZ254" i="41" s="1"/>
  <c r="GF238" i="41" a="1"/>
  <c r="GF238" i="41" s="1"/>
  <c r="GE238" i="41" a="1"/>
  <c r="GE238" i="41" s="1"/>
  <c r="GB238" i="41" a="1"/>
  <c r="GB238" i="41" s="1"/>
  <c r="GD238" i="41" a="1"/>
  <c r="GD238" i="41" s="1"/>
  <c r="GC238" i="41" a="1"/>
  <c r="GC238" i="41" s="1"/>
  <c r="GA238" i="41" a="1"/>
  <c r="GA238" i="41" s="1"/>
  <c r="FZ238" i="41" a="1"/>
  <c r="FZ238" i="41" s="1"/>
  <c r="GF230" i="41" a="1"/>
  <c r="GF230" i="41" s="1"/>
  <c r="GE230" i="41" a="1"/>
  <c r="GE230" i="41" s="1"/>
  <c r="GB230" i="41" a="1"/>
  <c r="GB230" i="41" s="1"/>
  <c r="GD230" i="41" a="1"/>
  <c r="GD230" i="41" s="1"/>
  <c r="GC230" i="41" a="1"/>
  <c r="GC230" i="41" s="1"/>
  <c r="GA230" i="41" a="1"/>
  <c r="GA230" i="41" s="1"/>
  <c r="FZ230" i="41" a="1"/>
  <c r="FZ230" i="41" s="1"/>
  <c r="GF222" i="41" a="1"/>
  <c r="GF222" i="41" s="1"/>
  <c r="GE222" i="41" a="1"/>
  <c r="GE222" i="41" s="1"/>
  <c r="GB222" i="41" a="1"/>
  <c r="GB222" i="41" s="1"/>
  <c r="GC222" i="41" a="1"/>
  <c r="GC222" i="41" s="1"/>
  <c r="GA222" i="41" a="1"/>
  <c r="GA222" i="41" s="1"/>
  <c r="FZ222" i="41" a="1"/>
  <c r="FZ222" i="41" s="1"/>
  <c r="GD222" i="41" a="1"/>
  <c r="GD222" i="41" s="1"/>
  <c r="GF214" i="41" a="1"/>
  <c r="GF214" i="41" s="1"/>
  <c r="GE214" i="41" a="1"/>
  <c r="GE214" i="41" s="1"/>
  <c r="GB214" i="41" a="1"/>
  <c r="GB214" i="41" s="1"/>
  <c r="GD214" i="41" a="1"/>
  <c r="GD214" i="41" s="1"/>
  <c r="GC214" i="41" a="1"/>
  <c r="GC214" i="41" s="1"/>
  <c r="GA214" i="41" a="1"/>
  <c r="GA214" i="41" s="1"/>
  <c r="FZ214" i="41" a="1"/>
  <c r="FZ214" i="41" s="1"/>
  <c r="GF206" i="41" a="1"/>
  <c r="GF206" i="41" s="1"/>
  <c r="GE206" i="41" a="1"/>
  <c r="GE206" i="41" s="1"/>
  <c r="GB206" i="41" a="1"/>
  <c r="GB206" i="41" s="1"/>
  <c r="FZ206" i="41" a="1"/>
  <c r="FZ206" i="41" s="1"/>
  <c r="GD206" i="41" a="1"/>
  <c r="GD206" i="41" s="1"/>
  <c r="GC206" i="41" a="1"/>
  <c r="GC206" i="41" s="1"/>
  <c r="GA206" i="41" a="1"/>
  <c r="GA206" i="41" s="1"/>
  <c r="GF198" i="41" a="1"/>
  <c r="GF198" i="41" s="1"/>
  <c r="GE198" i="41" a="1"/>
  <c r="GE198" i="41" s="1"/>
  <c r="GB198" i="41" a="1"/>
  <c r="GB198" i="41" s="1"/>
  <c r="GD198" i="41" a="1"/>
  <c r="GD198" i="41" s="1"/>
  <c r="GC198" i="41" a="1"/>
  <c r="GC198" i="41" s="1"/>
  <c r="GA198" i="41" a="1"/>
  <c r="GA198" i="41" s="1"/>
  <c r="FZ198" i="41" a="1"/>
  <c r="FZ198" i="41" s="1"/>
  <c r="GF190" i="41" a="1"/>
  <c r="GF190" i="41" s="1"/>
  <c r="GE190" i="41" a="1"/>
  <c r="GE190" i="41" s="1"/>
  <c r="GB190" i="41" a="1"/>
  <c r="GB190" i="41" s="1"/>
  <c r="GD190" i="41" a="1"/>
  <c r="GD190" i="41" s="1"/>
  <c r="GC190" i="41" a="1"/>
  <c r="GC190" i="41" s="1"/>
  <c r="GA190" i="41" a="1"/>
  <c r="GA190" i="41" s="1"/>
  <c r="FZ190" i="41" a="1"/>
  <c r="FZ190" i="41" s="1"/>
  <c r="GF182" i="41" a="1"/>
  <c r="GF182" i="41" s="1"/>
  <c r="GE182" i="41" a="1"/>
  <c r="GE182" i="41" s="1"/>
  <c r="GB182" i="41" a="1"/>
  <c r="GB182" i="41" s="1"/>
  <c r="GA182" i="41" a="1"/>
  <c r="GA182" i="41" s="1"/>
  <c r="FZ182" i="41" a="1"/>
  <c r="FZ182" i="41" s="1"/>
  <c r="GD182" i="41" a="1"/>
  <c r="GD182" i="41" s="1"/>
  <c r="GC182" i="41" a="1"/>
  <c r="GC182" i="41" s="1"/>
  <c r="GF174" i="41" a="1"/>
  <c r="GF174" i="41" s="1"/>
  <c r="GE174" i="41" a="1"/>
  <c r="GE174" i="41" s="1"/>
  <c r="GB174" i="41" a="1"/>
  <c r="GB174" i="41" s="1"/>
  <c r="GD174" i="41" a="1"/>
  <c r="GD174" i="41" s="1"/>
  <c r="GC174" i="41" a="1"/>
  <c r="GC174" i="41" s="1"/>
  <c r="GA174" i="41" a="1"/>
  <c r="GA174" i="41" s="1"/>
  <c r="FZ174" i="41" a="1"/>
  <c r="FZ174" i="41" s="1"/>
  <c r="GF166" i="41" a="1"/>
  <c r="GF166" i="41" s="1"/>
  <c r="GE166" i="41" a="1"/>
  <c r="GE166" i="41" s="1"/>
  <c r="GB166" i="41" a="1"/>
  <c r="GB166" i="41" s="1"/>
  <c r="GD166" i="41" a="1"/>
  <c r="GD166" i="41" s="1"/>
  <c r="FZ166" i="41" a="1"/>
  <c r="FZ166" i="41" s="1"/>
  <c r="GC166" i="41" a="1"/>
  <c r="GC166" i="41" s="1"/>
  <c r="GA166" i="41" a="1"/>
  <c r="GA166" i="41" s="1"/>
  <c r="GF158" i="41" a="1"/>
  <c r="GF158" i="41" s="1"/>
  <c r="GE158" i="41" a="1"/>
  <c r="GE158" i="41" s="1"/>
  <c r="GB158" i="41" a="1"/>
  <c r="GB158" i="41" s="1"/>
  <c r="FZ158" i="41" a="1"/>
  <c r="FZ158" i="41" s="1"/>
  <c r="GD158" i="41" a="1"/>
  <c r="GD158" i="41" s="1"/>
  <c r="GC158" i="41" a="1"/>
  <c r="GC158" i="41" s="1"/>
  <c r="GA158" i="41" a="1"/>
  <c r="GA158" i="41" s="1"/>
  <c r="GF150" i="41" a="1"/>
  <c r="GF150" i="41" s="1"/>
  <c r="GE150" i="41" a="1"/>
  <c r="GE150" i="41" s="1"/>
  <c r="GB150" i="41" a="1"/>
  <c r="GB150" i="41" s="1"/>
  <c r="GC150" i="41" a="1"/>
  <c r="GC150" i="41" s="1"/>
  <c r="GA150" i="41" a="1"/>
  <c r="GA150" i="41" s="1"/>
  <c r="FZ150" i="41" a="1"/>
  <c r="FZ150" i="41" s="1"/>
  <c r="GD150" i="41" a="1"/>
  <c r="GD150" i="41" s="1"/>
  <c r="GF142" i="41" a="1"/>
  <c r="GF142" i="41" s="1"/>
  <c r="GE142" i="41" a="1"/>
  <c r="GE142" i="41" s="1"/>
  <c r="GB142" i="41" a="1"/>
  <c r="GB142" i="41" s="1"/>
  <c r="GD142" i="41" a="1"/>
  <c r="GD142" i="41" s="1"/>
  <c r="GC142" i="41" a="1"/>
  <c r="GC142" i="41" s="1"/>
  <c r="GA142" i="41" a="1"/>
  <c r="GA142" i="41" s="1"/>
  <c r="FZ142" i="41" a="1"/>
  <c r="FZ142" i="41" s="1"/>
  <c r="GF134" i="41" a="1"/>
  <c r="GF134" i="41" s="1"/>
  <c r="GE134" i="41" a="1"/>
  <c r="GE134" i="41" s="1"/>
  <c r="GB134" i="41" a="1"/>
  <c r="GB134" i="41" s="1"/>
  <c r="FZ134" i="41" a="1"/>
  <c r="FZ134" i="41" s="1"/>
  <c r="GC134" i="41" a="1"/>
  <c r="GC134" i="41" s="1"/>
  <c r="GA134" i="41" a="1"/>
  <c r="GA134" i="41" s="1"/>
  <c r="GD134" i="41" a="1"/>
  <c r="GD134" i="41" s="1"/>
  <c r="GF126" i="41" a="1"/>
  <c r="GF126" i="41" s="1"/>
  <c r="GE126" i="41" a="1"/>
  <c r="GE126" i="41" s="1"/>
  <c r="GB126" i="41" a="1"/>
  <c r="GB126" i="41" s="1"/>
  <c r="GD126" i="41" a="1"/>
  <c r="GD126" i="41" s="1"/>
  <c r="GC126" i="41" a="1"/>
  <c r="GC126" i="41" s="1"/>
  <c r="GA126" i="41" a="1"/>
  <c r="GA126" i="41" s="1"/>
  <c r="FZ126" i="41" a="1"/>
  <c r="FZ126" i="41" s="1"/>
  <c r="GF118" i="41" a="1"/>
  <c r="GF118" i="41" s="1"/>
  <c r="GE118" i="41" a="1"/>
  <c r="GE118" i="41" s="1"/>
  <c r="GB118" i="41" a="1"/>
  <c r="GB118" i="41" s="1"/>
  <c r="GD118" i="41" a="1"/>
  <c r="GD118" i="41" s="1"/>
  <c r="GC118" i="41" a="1"/>
  <c r="GC118" i="41" s="1"/>
  <c r="FZ118" i="41" a="1"/>
  <c r="FZ118" i="41" s="1"/>
  <c r="GA118" i="41" a="1"/>
  <c r="GA118" i="41" s="1"/>
  <c r="GF110" i="41" a="1"/>
  <c r="GF110" i="41" s="1"/>
  <c r="GE110" i="41" a="1"/>
  <c r="GE110" i="41" s="1"/>
  <c r="GB110" i="41" a="1"/>
  <c r="GB110" i="41" s="1"/>
  <c r="GA110" i="41" a="1"/>
  <c r="GA110" i="41" s="1"/>
  <c r="FZ110" i="41" a="1"/>
  <c r="FZ110" i="41" s="1"/>
  <c r="GD110" i="41" a="1"/>
  <c r="GD110" i="41" s="1"/>
  <c r="GC110" i="41" a="1"/>
  <c r="GC110" i="41" s="1"/>
  <c r="GF102" i="41" a="1"/>
  <c r="GF102" i="41" s="1"/>
  <c r="GE102" i="41" a="1"/>
  <c r="GE102" i="41" s="1"/>
  <c r="GB102" i="41" a="1"/>
  <c r="GB102" i="41" s="1"/>
  <c r="GD102" i="41" a="1"/>
  <c r="GD102" i="41" s="1"/>
  <c r="GC102" i="41" a="1"/>
  <c r="GC102" i="41" s="1"/>
  <c r="FZ102" i="41" a="1"/>
  <c r="FZ102" i="41" s="1"/>
  <c r="GA102" i="41" a="1"/>
  <c r="GA102" i="41" s="1"/>
  <c r="GF94" i="41" a="1"/>
  <c r="GF94" i="41" s="1"/>
  <c r="GE94" i="41" a="1"/>
  <c r="GE94" i="41" s="1"/>
  <c r="GB94" i="41" a="1"/>
  <c r="GB94" i="41" s="1"/>
  <c r="GC94" i="41" a="1"/>
  <c r="GC94" i="41" s="1"/>
  <c r="GA94" i="41" a="1"/>
  <c r="GA94" i="41" s="1"/>
  <c r="GD94" i="41" a="1"/>
  <c r="GD94" i="41" s="1"/>
  <c r="FZ94" i="41" a="1"/>
  <c r="FZ94" i="41" s="1"/>
  <c r="GF86" i="41" a="1"/>
  <c r="GF86" i="41" s="1"/>
  <c r="GE86" i="41" a="1"/>
  <c r="GE86" i="41" s="1"/>
  <c r="GB86" i="41" a="1"/>
  <c r="GB86" i="41" s="1"/>
  <c r="GC86" i="41" a="1"/>
  <c r="GC86" i="41" s="1"/>
  <c r="GA86" i="41" a="1"/>
  <c r="GA86" i="41" s="1"/>
  <c r="FZ86" i="41" a="1"/>
  <c r="FZ86" i="41" s="1"/>
  <c r="GD86" i="41" a="1"/>
  <c r="GD86" i="41" s="1"/>
  <c r="GF78" i="41" a="1"/>
  <c r="GF78" i="41" s="1"/>
  <c r="GE78" i="41" a="1"/>
  <c r="GE78" i="41" s="1"/>
  <c r="GB78" i="41" a="1"/>
  <c r="GB78" i="41" s="1"/>
  <c r="GD78" i="41" a="1"/>
  <c r="GD78" i="41" s="1"/>
  <c r="GC78" i="41" a="1"/>
  <c r="GC78" i="41" s="1"/>
  <c r="GA78" i="41" a="1"/>
  <c r="GA78" i="41" s="1"/>
  <c r="FZ78" i="41" a="1"/>
  <c r="FZ78" i="41" s="1"/>
  <c r="GF70" i="41" a="1"/>
  <c r="GF70" i="41" s="1"/>
  <c r="GE70" i="41" a="1"/>
  <c r="GE70" i="41" s="1"/>
  <c r="GB70" i="41" a="1"/>
  <c r="GB70" i="41" s="1"/>
  <c r="FZ70" i="41" a="1"/>
  <c r="FZ70" i="41" s="1"/>
  <c r="GA70" i="41" a="1"/>
  <c r="GA70" i="41" s="1"/>
  <c r="GD70" i="41" a="1"/>
  <c r="GD70" i="41" s="1"/>
  <c r="GC70" i="41" a="1"/>
  <c r="GC70" i="41" s="1"/>
  <c r="GF62" i="41" a="1"/>
  <c r="GF62" i="41" s="1"/>
  <c r="GE62" i="41" a="1"/>
  <c r="GE62" i="41" s="1"/>
  <c r="GB62" i="41" a="1"/>
  <c r="GB62" i="41" s="1"/>
  <c r="GD62" i="41" a="1"/>
  <c r="GD62" i="41" s="1"/>
  <c r="GC62" i="41" a="1"/>
  <c r="GC62" i="41" s="1"/>
  <c r="GA62" i="41" a="1"/>
  <c r="GA62" i="41" s="1"/>
  <c r="FZ62" i="41" a="1"/>
  <c r="FZ62" i="41" s="1"/>
  <c r="GF54" i="41" a="1"/>
  <c r="GF54" i="41" s="1"/>
  <c r="GE54" i="41" a="1"/>
  <c r="GE54" i="41" s="1"/>
  <c r="GB54" i="41" a="1"/>
  <c r="GB54" i="41" s="1"/>
  <c r="GC54" i="41" a="1"/>
  <c r="GC54" i="41" s="1"/>
  <c r="GA54" i="41" a="1"/>
  <c r="GA54" i="41" s="1"/>
  <c r="FZ54" i="41" a="1"/>
  <c r="FZ54" i="41" s="1"/>
  <c r="GD54" i="41" a="1"/>
  <c r="GD54" i="41" s="1"/>
  <c r="GF46" i="41" a="1"/>
  <c r="GF46" i="41" s="1"/>
  <c r="GE46" i="41" a="1"/>
  <c r="GE46" i="41" s="1"/>
  <c r="GB46" i="41" a="1"/>
  <c r="GB46" i="41" s="1"/>
  <c r="GA46" i="41" a="1"/>
  <c r="GA46" i="41" s="1"/>
  <c r="FZ46" i="41" a="1"/>
  <c r="FZ46" i="41" s="1"/>
  <c r="GD46" i="41" a="1"/>
  <c r="GD46" i="41" s="1"/>
  <c r="GC46" i="41" a="1"/>
  <c r="GC46" i="41" s="1"/>
  <c r="FZ38" i="41" a="1"/>
  <c r="FZ38" i="41" s="1"/>
  <c r="GC38" i="41" a="1"/>
  <c r="GC38" i="41" s="1"/>
  <c r="GB38" i="41" a="1"/>
  <c r="GB38" i="41" s="1"/>
  <c r="GA38" i="41" a="1"/>
  <c r="GA38" i="41" s="1"/>
  <c r="GF38" i="41" a="1"/>
  <c r="GF38" i="41" s="1"/>
  <c r="GE38" i="41" a="1"/>
  <c r="GE38" i="41" s="1"/>
  <c r="GD38" i="41" a="1"/>
  <c r="GD38" i="41" s="1"/>
  <c r="GE205" i="41" a="1"/>
  <c r="GE205" i="41" s="1"/>
  <c r="GD205" i="41" a="1"/>
  <c r="GD205" i="41" s="1"/>
  <c r="GA205" i="41" a="1"/>
  <c r="GA205" i="41" s="1"/>
  <c r="GF205" i="41" a="1"/>
  <c r="GF205" i="41" s="1"/>
  <c r="GC205" i="41" a="1"/>
  <c r="GC205" i="41" s="1"/>
  <c r="GB205" i="41" a="1"/>
  <c r="GB205" i="41" s="1"/>
  <c r="FZ205" i="41" a="1"/>
  <c r="FZ205" i="41" s="1"/>
  <c r="GE197" i="41" a="1"/>
  <c r="GE197" i="41" s="1"/>
  <c r="GD197" i="41" a="1"/>
  <c r="GD197" i="41" s="1"/>
  <c r="GA197" i="41" a="1"/>
  <c r="GA197" i="41" s="1"/>
  <c r="GF197" i="41" a="1"/>
  <c r="GF197" i="41" s="1"/>
  <c r="GC197" i="41" a="1"/>
  <c r="GC197" i="41" s="1"/>
  <c r="GB197" i="41" a="1"/>
  <c r="GB197" i="41" s="1"/>
  <c r="FZ197" i="41" a="1"/>
  <c r="FZ197" i="41" s="1"/>
  <c r="GE189" i="41" a="1"/>
  <c r="GE189" i="41" s="1"/>
  <c r="GD189" i="41" a="1"/>
  <c r="GD189" i="41" s="1"/>
  <c r="GA189" i="41" a="1"/>
  <c r="GA189" i="41" s="1"/>
  <c r="GC189" i="41" a="1"/>
  <c r="GC189" i="41" s="1"/>
  <c r="GB189" i="41" a="1"/>
  <c r="GB189" i="41" s="1"/>
  <c r="FZ189" i="41" a="1"/>
  <c r="FZ189" i="41" s="1"/>
  <c r="GF189" i="41" a="1"/>
  <c r="GF189" i="41" s="1"/>
  <c r="GE181" i="41" a="1"/>
  <c r="GE181" i="41" s="1"/>
  <c r="GD181" i="41" a="1"/>
  <c r="GD181" i="41" s="1"/>
  <c r="GA181" i="41" a="1"/>
  <c r="GA181" i="41" s="1"/>
  <c r="GF181" i="41" a="1"/>
  <c r="GF181" i="41" s="1"/>
  <c r="GC181" i="41" a="1"/>
  <c r="GC181" i="41" s="1"/>
  <c r="GB181" i="41" a="1"/>
  <c r="GB181" i="41" s="1"/>
  <c r="FZ181" i="41" a="1"/>
  <c r="FZ181" i="41" s="1"/>
  <c r="GE173" i="41" a="1"/>
  <c r="GE173" i="41" s="1"/>
  <c r="GD173" i="41" a="1"/>
  <c r="GD173" i="41" s="1"/>
  <c r="GA173" i="41" a="1"/>
  <c r="GA173" i="41" s="1"/>
  <c r="FZ173" i="41" a="1"/>
  <c r="FZ173" i="41" s="1"/>
  <c r="GF173" i="41" a="1"/>
  <c r="GF173" i="41" s="1"/>
  <c r="GC173" i="41" a="1"/>
  <c r="GC173" i="41" s="1"/>
  <c r="GB173" i="41" a="1"/>
  <c r="GB173" i="41" s="1"/>
  <c r="GE165" i="41" a="1"/>
  <c r="GE165" i="41" s="1"/>
  <c r="GD165" i="41" a="1"/>
  <c r="GD165" i="41" s="1"/>
  <c r="GA165" i="41" a="1"/>
  <c r="GA165" i="41" s="1"/>
  <c r="GF165" i="41" a="1"/>
  <c r="GF165" i="41" s="1"/>
  <c r="GC165" i="41" a="1"/>
  <c r="GC165" i="41" s="1"/>
  <c r="GB165" i="41" a="1"/>
  <c r="GB165" i="41" s="1"/>
  <c r="FZ165" i="41" a="1"/>
  <c r="FZ165" i="41" s="1"/>
  <c r="GE157" i="41" a="1"/>
  <c r="GE157" i="41" s="1"/>
  <c r="GD157" i="41" a="1"/>
  <c r="GD157" i="41" s="1"/>
  <c r="GA157" i="41" a="1"/>
  <c r="GA157" i="41" s="1"/>
  <c r="GF157" i="41" a="1"/>
  <c r="GF157" i="41" s="1"/>
  <c r="GC157" i="41" a="1"/>
  <c r="GC157" i="41" s="1"/>
  <c r="GB157" i="41" a="1"/>
  <c r="GB157" i="41" s="1"/>
  <c r="FZ157" i="41" a="1"/>
  <c r="FZ157" i="41" s="1"/>
  <c r="GE149" i="41" a="1"/>
  <c r="GE149" i="41" s="1"/>
  <c r="GD149" i="41" a="1"/>
  <c r="GD149" i="41" s="1"/>
  <c r="GA149" i="41" a="1"/>
  <c r="GA149" i="41" s="1"/>
  <c r="FZ149" i="41" a="1"/>
  <c r="FZ149" i="41" s="1"/>
  <c r="GF149" i="41" a="1"/>
  <c r="GF149" i="41" s="1"/>
  <c r="GC149" i="41" a="1"/>
  <c r="GC149" i="41" s="1"/>
  <c r="GB149" i="41" a="1"/>
  <c r="GB149" i="41" s="1"/>
  <c r="GE141" i="41" a="1"/>
  <c r="GE141" i="41" s="1"/>
  <c r="GD141" i="41" a="1"/>
  <c r="GD141" i="41" s="1"/>
  <c r="GA141" i="41" a="1"/>
  <c r="GA141" i="41" s="1"/>
  <c r="GB141" i="41" a="1"/>
  <c r="GB141" i="41" s="1"/>
  <c r="FZ141" i="41" a="1"/>
  <c r="FZ141" i="41" s="1"/>
  <c r="GC141" i="41" a="1"/>
  <c r="GC141" i="41" s="1"/>
  <c r="GF141" i="41" a="1"/>
  <c r="GF141" i="41" s="1"/>
  <c r="GE133" i="41" a="1"/>
  <c r="GE133" i="41" s="1"/>
  <c r="GD133" i="41" a="1"/>
  <c r="GD133" i="41" s="1"/>
  <c r="GA133" i="41" a="1"/>
  <c r="GA133" i="41" s="1"/>
  <c r="GF133" i="41" a="1"/>
  <c r="GF133" i="41" s="1"/>
  <c r="GC133" i="41" a="1"/>
  <c r="GC133" i="41" s="1"/>
  <c r="GB133" i="41" a="1"/>
  <c r="GB133" i="41" s="1"/>
  <c r="FZ133" i="41" a="1"/>
  <c r="FZ133" i="41" s="1"/>
  <c r="GE125" i="41" a="1"/>
  <c r="GE125" i="41" s="1"/>
  <c r="GD125" i="41" a="1"/>
  <c r="GD125" i="41" s="1"/>
  <c r="GA125" i="41" a="1"/>
  <c r="GA125" i="41" s="1"/>
  <c r="GC125" i="41" a="1"/>
  <c r="GC125" i="41" s="1"/>
  <c r="GB125" i="41" a="1"/>
  <c r="GB125" i="41" s="1"/>
  <c r="FZ125" i="41" a="1"/>
  <c r="FZ125" i="41" s="1"/>
  <c r="GF125" i="41" a="1"/>
  <c r="GF125" i="41" s="1"/>
  <c r="GE117" i="41" a="1"/>
  <c r="GE117" i="41" s="1"/>
  <c r="GD117" i="41" a="1"/>
  <c r="GD117" i="41" s="1"/>
  <c r="GA117" i="41" a="1"/>
  <c r="GA117" i="41" s="1"/>
  <c r="GC117" i="41" a="1"/>
  <c r="GC117" i="41" s="1"/>
  <c r="GB117" i="41" a="1"/>
  <c r="GB117" i="41" s="1"/>
  <c r="FZ117" i="41" a="1"/>
  <c r="FZ117" i="41" s="1"/>
  <c r="GF117" i="41" a="1"/>
  <c r="GF117" i="41" s="1"/>
  <c r="GE109" i="41" a="1"/>
  <c r="GE109" i="41" s="1"/>
  <c r="GD109" i="41" a="1"/>
  <c r="GD109" i="41" s="1"/>
  <c r="GA109" i="41" a="1"/>
  <c r="GA109" i="41" s="1"/>
  <c r="GF109" i="41" a="1"/>
  <c r="GF109" i="41" s="1"/>
  <c r="GC109" i="41" a="1"/>
  <c r="GC109" i="41" s="1"/>
  <c r="FZ109" i="41" a="1"/>
  <c r="FZ109" i="41" s="1"/>
  <c r="GB109" i="41" a="1"/>
  <c r="GB109" i="41" s="1"/>
  <c r="GE101" i="41" a="1"/>
  <c r="GE101" i="41" s="1"/>
  <c r="GD101" i="41" a="1"/>
  <c r="GD101" i="41" s="1"/>
  <c r="GA101" i="41" a="1"/>
  <c r="GA101" i="41" s="1"/>
  <c r="FZ101" i="41" a="1"/>
  <c r="FZ101" i="41" s="1"/>
  <c r="GF101" i="41" a="1"/>
  <c r="GF101" i="41" s="1"/>
  <c r="GC101" i="41" a="1"/>
  <c r="GC101" i="41" s="1"/>
  <c r="GB101" i="41" a="1"/>
  <c r="GB101" i="41" s="1"/>
  <c r="GE93" i="41" a="1"/>
  <c r="GE93" i="41" s="1"/>
  <c r="GD93" i="41" a="1"/>
  <c r="GD93" i="41" s="1"/>
  <c r="GA93" i="41" a="1"/>
  <c r="GA93" i="41" s="1"/>
  <c r="GF93" i="41" a="1"/>
  <c r="GF93" i="41" s="1"/>
  <c r="GC93" i="41" a="1"/>
  <c r="GC93" i="41" s="1"/>
  <c r="GB93" i="41" a="1"/>
  <c r="GB93" i="41" s="1"/>
  <c r="FZ93" i="41" a="1"/>
  <c r="FZ93" i="41" s="1"/>
  <c r="GE85" i="41" a="1"/>
  <c r="GE85" i="41" s="1"/>
  <c r="GD85" i="41" a="1"/>
  <c r="GD85" i="41" s="1"/>
  <c r="GA85" i="41" a="1"/>
  <c r="GA85" i="41" s="1"/>
  <c r="GC85" i="41" a="1"/>
  <c r="GC85" i="41" s="1"/>
  <c r="GB85" i="41" a="1"/>
  <c r="GB85" i="41" s="1"/>
  <c r="GF85" i="41" a="1"/>
  <c r="GF85" i="41" s="1"/>
  <c r="FZ85" i="41" a="1"/>
  <c r="FZ85" i="41" s="1"/>
  <c r="GE77" i="41" a="1"/>
  <c r="GE77" i="41" s="1"/>
  <c r="GD77" i="41" a="1"/>
  <c r="GD77" i="41" s="1"/>
  <c r="GA77" i="41" a="1"/>
  <c r="GA77" i="41" s="1"/>
  <c r="GB77" i="41" a="1"/>
  <c r="GB77" i="41" s="1"/>
  <c r="FZ77" i="41" a="1"/>
  <c r="FZ77" i="41" s="1"/>
  <c r="GF77" i="41" a="1"/>
  <c r="GF77" i="41" s="1"/>
  <c r="GC77" i="41" a="1"/>
  <c r="GC77" i="41" s="1"/>
  <c r="GE69" i="41" a="1"/>
  <c r="GE69" i="41" s="1"/>
  <c r="GD69" i="41" a="1"/>
  <c r="GD69" i="41" s="1"/>
  <c r="GA69" i="41" a="1"/>
  <c r="GA69" i="41" s="1"/>
  <c r="GF69" i="41" a="1"/>
  <c r="GF69" i="41" s="1"/>
  <c r="GC69" i="41" a="1"/>
  <c r="GC69" i="41" s="1"/>
  <c r="GB69" i="41" a="1"/>
  <c r="GB69" i="41" s="1"/>
  <c r="FZ69" i="41" a="1"/>
  <c r="FZ69" i="41" s="1"/>
  <c r="GE61" i="41" a="1"/>
  <c r="GE61" i="41" s="1"/>
  <c r="GD61" i="41" a="1"/>
  <c r="GD61" i="41" s="1"/>
  <c r="GA61" i="41" a="1"/>
  <c r="GA61" i="41" s="1"/>
  <c r="GC61" i="41" a="1"/>
  <c r="GC61" i="41" s="1"/>
  <c r="GB61" i="41" a="1"/>
  <c r="GB61" i="41" s="1"/>
  <c r="FZ61" i="41" a="1"/>
  <c r="FZ61" i="41" s="1"/>
  <c r="GF61" i="41" a="1"/>
  <c r="GF61" i="41" s="1"/>
  <c r="GE53" i="41" a="1"/>
  <c r="GE53" i="41" s="1"/>
  <c r="GD53" i="41" a="1"/>
  <c r="GD53" i="41" s="1"/>
  <c r="GA53" i="41" a="1"/>
  <c r="GA53" i="41" s="1"/>
  <c r="GC53" i="41" a="1"/>
  <c r="GC53" i="41" s="1"/>
  <c r="GF53" i="41" a="1"/>
  <c r="GF53" i="41" s="1"/>
  <c r="FZ53" i="41" a="1"/>
  <c r="FZ53" i="41" s="1"/>
  <c r="GB53" i="41" a="1"/>
  <c r="GB53" i="41" s="1"/>
  <c r="GE45" i="41" a="1"/>
  <c r="GE45" i="41" s="1"/>
  <c r="GD45" i="41" a="1"/>
  <c r="GD45" i="41" s="1"/>
  <c r="GA45" i="41" a="1"/>
  <c r="GA45" i="41" s="1"/>
  <c r="GF45" i="41" a="1"/>
  <c r="GF45" i="41" s="1"/>
  <c r="GC45" i="41" a="1"/>
  <c r="GC45" i="41" s="1"/>
  <c r="GB45" i="41" a="1"/>
  <c r="GB45" i="41" s="1"/>
  <c r="FZ45" i="41" a="1"/>
  <c r="FZ45" i="41" s="1"/>
  <c r="GA37" i="41" a="1"/>
  <c r="GA37" i="41" s="1"/>
  <c r="FZ37" i="41" a="1"/>
  <c r="FZ37" i="41" s="1"/>
  <c r="GF37" i="41" a="1"/>
  <c r="GF37" i="41" s="1"/>
  <c r="GD37" i="41" a="1"/>
  <c r="GD37" i="41" s="1"/>
  <c r="GC37" i="41" a="1"/>
  <c r="GC37" i="41" s="1"/>
  <c r="GE37" i="41" a="1"/>
  <c r="GE37" i="41" s="1"/>
  <c r="GB37" i="41" a="1"/>
  <c r="GB37" i="41" s="1"/>
  <c r="GF278" i="41" a="1"/>
  <c r="GF278" i="41" s="1"/>
  <c r="GE278" i="41" a="1"/>
  <c r="GE278" i="41" s="1"/>
  <c r="GB278" i="41" a="1"/>
  <c r="GB278" i="41" s="1"/>
  <c r="GD278" i="41" a="1"/>
  <c r="GD278" i="41" s="1"/>
  <c r="GA278" i="41" a="1"/>
  <c r="GA278" i="41" s="1"/>
  <c r="FZ278" i="41" a="1"/>
  <c r="FZ278" i="41" s="1"/>
  <c r="GC278" i="41" a="1"/>
  <c r="GC278" i="41" s="1"/>
  <c r="GD268" i="41" a="1"/>
  <c r="GD268" i="41" s="1"/>
  <c r="GC268" i="41" a="1"/>
  <c r="GC268" i="41" s="1"/>
  <c r="FZ268" i="41" a="1"/>
  <c r="FZ268" i="41" s="1"/>
  <c r="GE268" i="41" a="1"/>
  <c r="GE268" i="41" s="1"/>
  <c r="GB268" i="41" a="1"/>
  <c r="GB268" i="41" s="1"/>
  <c r="GF268" i="41" a="1"/>
  <c r="GF268" i="41" s="1"/>
  <c r="GA268" i="41" a="1"/>
  <c r="GA268" i="41" s="1"/>
  <c r="GD260" i="41" a="1"/>
  <c r="GD260" i="41" s="1"/>
  <c r="GC260" i="41" a="1"/>
  <c r="GC260" i="41" s="1"/>
  <c r="FZ260" i="41" a="1"/>
  <c r="FZ260" i="41" s="1"/>
  <c r="GB260" i="41" a="1"/>
  <c r="GB260" i="41" s="1"/>
  <c r="GE260" i="41" a="1"/>
  <c r="GE260" i="41" s="1"/>
  <c r="GA260" i="41" a="1"/>
  <c r="GA260" i="41" s="1"/>
  <c r="GF260" i="41" a="1"/>
  <c r="GF260" i="41" s="1"/>
  <c r="GD252" i="41" a="1"/>
  <c r="GD252" i="41" s="1"/>
  <c r="GC252" i="41" a="1"/>
  <c r="GC252" i="41" s="1"/>
  <c r="FZ252" i="41" a="1"/>
  <c r="FZ252" i="41" s="1"/>
  <c r="GF252" i="41" a="1"/>
  <c r="GF252" i="41" s="1"/>
  <c r="GE252" i="41" a="1"/>
  <c r="GE252" i="41" s="1"/>
  <c r="GA252" i="41" a="1"/>
  <c r="GA252" i="41" s="1"/>
  <c r="GB252" i="41" a="1"/>
  <c r="GB252" i="41" s="1"/>
  <c r="GD236" i="41" a="1"/>
  <c r="GD236" i="41" s="1"/>
  <c r="GC236" i="41" a="1"/>
  <c r="GC236" i="41" s="1"/>
  <c r="FZ236" i="41" a="1"/>
  <c r="FZ236" i="41" s="1"/>
  <c r="GF236" i="41" a="1"/>
  <c r="GF236" i="41" s="1"/>
  <c r="GE236" i="41" a="1"/>
  <c r="GE236" i="41" s="1"/>
  <c r="GB236" i="41" a="1"/>
  <c r="GB236" i="41" s="1"/>
  <c r="GA236" i="41" a="1"/>
  <c r="GA236" i="41" s="1"/>
  <c r="GD212" i="41" a="1"/>
  <c r="GD212" i="41" s="1"/>
  <c r="GC212" i="41" a="1"/>
  <c r="GC212" i="41" s="1"/>
  <c r="FZ212" i="41" a="1"/>
  <c r="FZ212" i="41" s="1"/>
  <c r="GF212" i="41" a="1"/>
  <c r="GF212" i="41" s="1"/>
  <c r="GE212" i="41" a="1"/>
  <c r="GE212" i="41" s="1"/>
  <c r="GB212" i="41" a="1"/>
  <c r="GB212" i="41" s="1"/>
  <c r="GA212" i="41" a="1"/>
  <c r="GA212" i="41" s="1"/>
  <c r="GD204" i="41" a="1"/>
  <c r="GD204" i="41" s="1"/>
  <c r="GC204" i="41" a="1"/>
  <c r="GC204" i="41" s="1"/>
  <c r="FZ204" i="41" a="1"/>
  <c r="FZ204" i="41" s="1"/>
  <c r="GA204" i="41" a="1"/>
  <c r="GA204" i="41" s="1"/>
  <c r="GF204" i="41" a="1"/>
  <c r="GF204" i="41" s="1"/>
  <c r="GE204" i="41" a="1"/>
  <c r="GE204" i="41" s="1"/>
  <c r="GB204" i="41" a="1"/>
  <c r="GB204" i="41" s="1"/>
  <c r="GD196" i="41" a="1"/>
  <c r="GD196" i="41" s="1"/>
  <c r="GC196" i="41" a="1"/>
  <c r="GC196" i="41" s="1"/>
  <c r="FZ196" i="41" a="1"/>
  <c r="FZ196" i="41" s="1"/>
  <c r="GF196" i="41" a="1"/>
  <c r="GF196" i="41" s="1"/>
  <c r="GE196" i="41" a="1"/>
  <c r="GE196" i="41" s="1"/>
  <c r="GB196" i="41" a="1"/>
  <c r="GB196" i="41" s="1"/>
  <c r="GA196" i="41" a="1"/>
  <c r="GA196" i="41" s="1"/>
  <c r="GD188" i="41" a="1"/>
  <c r="GD188" i="41" s="1"/>
  <c r="GC188" i="41" a="1"/>
  <c r="GC188" i="41" s="1"/>
  <c r="FZ188" i="41" a="1"/>
  <c r="FZ188" i="41" s="1"/>
  <c r="GF188" i="41" a="1"/>
  <c r="GF188" i="41" s="1"/>
  <c r="GE188" i="41" a="1"/>
  <c r="GE188" i="41" s="1"/>
  <c r="GB188" i="41" a="1"/>
  <c r="GB188" i="41" s="1"/>
  <c r="GA188" i="41" a="1"/>
  <c r="GA188" i="41" s="1"/>
  <c r="GD180" i="41" a="1"/>
  <c r="GD180" i="41" s="1"/>
  <c r="GC180" i="41" a="1"/>
  <c r="GC180" i="41" s="1"/>
  <c r="FZ180" i="41" a="1"/>
  <c r="FZ180" i="41" s="1"/>
  <c r="GB180" i="41" a="1"/>
  <c r="GB180" i="41" s="1"/>
  <c r="GA180" i="41" a="1"/>
  <c r="GA180" i="41" s="1"/>
  <c r="GF180" i="41" a="1"/>
  <c r="GF180" i="41" s="1"/>
  <c r="GE180" i="41" a="1"/>
  <c r="GE180" i="41" s="1"/>
  <c r="GD172" i="41" a="1"/>
  <c r="GD172" i="41" s="1"/>
  <c r="GC172" i="41" a="1"/>
  <c r="GC172" i="41" s="1"/>
  <c r="FZ172" i="41" a="1"/>
  <c r="FZ172" i="41" s="1"/>
  <c r="GF172" i="41" a="1"/>
  <c r="GF172" i="41" s="1"/>
  <c r="GE172" i="41" a="1"/>
  <c r="GE172" i="41" s="1"/>
  <c r="GB172" i="41" a="1"/>
  <c r="GB172" i="41" s="1"/>
  <c r="GA172" i="41" a="1"/>
  <c r="GA172" i="41" s="1"/>
  <c r="GD164" i="41" a="1"/>
  <c r="GD164" i="41" s="1"/>
  <c r="GC164" i="41" a="1"/>
  <c r="GC164" i="41" s="1"/>
  <c r="FZ164" i="41" a="1"/>
  <c r="FZ164" i="41" s="1"/>
  <c r="GF164" i="41" a="1"/>
  <c r="GF164" i="41" s="1"/>
  <c r="GE164" i="41" a="1"/>
  <c r="GE164" i="41" s="1"/>
  <c r="GB164" i="41" a="1"/>
  <c r="GB164" i="41" s="1"/>
  <c r="GA164" i="41" a="1"/>
  <c r="GA164" i="41" s="1"/>
  <c r="GD156" i="41" a="1"/>
  <c r="GD156" i="41" s="1"/>
  <c r="GC156" i="41" a="1"/>
  <c r="GC156" i="41" s="1"/>
  <c r="FZ156" i="41" a="1"/>
  <c r="FZ156" i="41" s="1"/>
  <c r="GF156" i="41" a="1"/>
  <c r="GF156" i="41" s="1"/>
  <c r="GE156" i="41" a="1"/>
  <c r="GE156" i="41" s="1"/>
  <c r="GA156" i="41" a="1"/>
  <c r="GA156" i="41" s="1"/>
  <c r="GB156" i="41" a="1"/>
  <c r="GB156" i="41" s="1"/>
  <c r="GD148" i="41" a="1"/>
  <c r="GD148" i="41" s="1"/>
  <c r="GC148" i="41" a="1"/>
  <c r="GC148" i="41" s="1"/>
  <c r="FZ148" i="41" a="1"/>
  <c r="FZ148" i="41" s="1"/>
  <c r="GE148" i="41" a="1"/>
  <c r="GE148" i="41" s="1"/>
  <c r="GB148" i="41" a="1"/>
  <c r="GB148" i="41" s="1"/>
  <c r="GA148" i="41" a="1"/>
  <c r="GA148" i="41" s="1"/>
  <c r="GF148" i="41" a="1"/>
  <c r="GF148" i="41" s="1"/>
  <c r="GD140" i="41" a="1"/>
  <c r="GD140" i="41" s="1"/>
  <c r="GC140" i="41" a="1"/>
  <c r="GC140" i="41" s="1"/>
  <c r="FZ140" i="41" a="1"/>
  <c r="FZ140" i="41" s="1"/>
  <c r="GF140" i="41" a="1"/>
  <c r="GF140" i="41" s="1"/>
  <c r="GA140" i="41" a="1"/>
  <c r="GA140" i="41" s="1"/>
  <c r="GE140" i="41" a="1"/>
  <c r="GE140" i="41" s="1"/>
  <c r="GB140" i="41" a="1"/>
  <c r="GB140" i="41" s="1"/>
  <c r="GD132" i="41" a="1"/>
  <c r="GD132" i="41" s="1"/>
  <c r="GC132" i="41" a="1"/>
  <c r="GC132" i="41" s="1"/>
  <c r="FZ132" i="41" a="1"/>
  <c r="FZ132" i="41" s="1"/>
  <c r="GA132" i="41" a="1"/>
  <c r="GA132" i="41" s="1"/>
  <c r="GE132" i="41" a="1"/>
  <c r="GE132" i="41" s="1"/>
  <c r="GB132" i="41" a="1"/>
  <c r="GB132" i="41" s="1"/>
  <c r="GF132" i="41" a="1"/>
  <c r="GF132" i="41" s="1"/>
  <c r="GD124" i="41" a="1"/>
  <c r="GD124" i="41" s="1"/>
  <c r="GC124" i="41" a="1"/>
  <c r="GC124" i="41" s="1"/>
  <c r="FZ124" i="41" a="1"/>
  <c r="FZ124" i="41" s="1"/>
  <c r="GF124" i="41" a="1"/>
  <c r="GF124" i="41" s="1"/>
  <c r="GE124" i="41" a="1"/>
  <c r="GE124" i="41" s="1"/>
  <c r="GB124" i="41" a="1"/>
  <c r="GB124" i="41" s="1"/>
  <c r="GA124" i="41" a="1"/>
  <c r="GA124" i="41" s="1"/>
  <c r="GD116" i="41" a="1"/>
  <c r="GD116" i="41" s="1"/>
  <c r="GC116" i="41" a="1"/>
  <c r="GC116" i="41" s="1"/>
  <c r="FZ116" i="41" a="1"/>
  <c r="FZ116" i="41" s="1"/>
  <c r="GE116" i="41" a="1"/>
  <c r="GE116" i="41" s="1"/>
  <c r="GB116" i="41" a="1"/>
  <c r="GB116" i="41" s="1"/>
  <c r="GA116" i="41" a="1"/>
  <c r="GA116" i="41" s="1"/>
  <c r="GF116" i="41" a="1"/>
  <c r="GF116" i="41" s="1"/>
  <c r="GD108" i="41" a="1"/>
  <c r="GD108" i="41" s="1"/>
  <c r="GC108" i="41" a="1"/>
  <c r="GC108" i="41" s="1"/>
  <c r="FZ108" i="41" a="1"/>
  <c r="FZ108" i="41" s="1"/>
  <c r="GB108" i="41" a="1"/>
  <c r="GB108" i="41" s="1"/>
  <c r="GA108" i="41" a="1"/>
  <c r="GA108" i="41" s="1"/>
  <c r="GF108" i="41" a="1"/>
  <c r="GF108" i="41" s="1"/>
  <c r="GE108" i="41" a="1"/>
  <c r="GE108" i="41" s="1"/>
  <c r="GD100" i="41" a="1"/>
  <c r="GD100" i="41" s="1"/>
  <c r="GC100" i="41" a="1"/>
  <c r="GC100" i="41" s="1"/>
  <c r="FZ100" i="41" a="1"/>
  <c r="FZ100" i="41" s="1"/>
  <c r="GF100" i="41" a="1"/>
  <c r="GF100" i="41" s="1"/>
  <c r="GE100" i="41" a="1"/>
  <c r="GE100" i="41" s="1"/>
  <c r="GA100" i="41" a="1"/>
  <c r="GA100" i="41" s="1"/>
  <c r="GB100" i="41" a="1"/>
  <c r="GB100" i="41" s="1"/>
  <c r="GD92" i="41" a="1"/>
  <c r="GD92" i="41" s="1"/>
  <c r="GC92" i="41" a="1"/>
  <c r="GC92" i="41" s="1"/>
  <c r="FZ92" i="41" a="1"/>
  <c r="FZ92" i="41" s="1"/>
  <c r="GF92" i="41" a="1"/>
  <c r="GF92" i="41" s="1"/>
  <c r="GE92" i="41" a="1"/>
  <c r="GE92" i="41" s="1"/>
  <c r="GB92" i="41" a="1"/>
  <c r="GB92" i="41" s="1"/>
  <c r="GA92" i="41" a="1"/>
  <c r="GA92" i="41" s="1"/>
  <c r="GD84" i="41" a="1"/>
  <c r="GD84" i="41" s="1"/>
  <c r="GC84" i="41" a="1"/>
  <c r="GC84" i="41" s="1"/>
  <c r="FZ84" i="41" a="1"/>
  <c r="FZ84" i="41" s="1"/>
  <c r="GE84" i="41" a="1"/>
  <c r="GE84" i="41" s="1"/>
  <c r="GB84" i="41" a="1"/>
  <c r="GB84" i="41" s="1"/>
  <c r="GA84" i="41" a="1"/>
  <c r="GA84" i="41" s="1"/>
  <c r="GF84" i="41" a="1"/>
  <c r="GF84" i="41" s="1"/>
  <c r="GD76" i="41" a="1"/>
  <c r="GD76" i="41" s="1"/>
  <c r="GC76" i="41" a="1"/>
  <c r="GC76" i="41" s="1"/>
  <c r="FZ76" i="41" a="1"/>
  <c r="FZ76" i="41" s="1"/>
  <c r="GF76" i="41" a="1"/>
  <c r="GF76" i="41" s="1"/>
  <c r="GE76" i="41" a="1"/>
  <c r="GE76" i="41" s="1"/>
  <c r="GB76" i="41" a="1"/>
  <c r="GB76" i="41" s="1"/>
  <c r="GA76" i="41" a="1"/>
  <c r="GA76" i="41" s="1"/>
  <c r="GD68" i="41" a="1"/>
  <c r="GD68" i="41" s="1"/>
  <c r="GC68" i="41" a="1"/>
  <c r="GC68" i="41" s="1"/>
  <c r="FZ68" i="41" a="1"/>
  <c r="FZ68" i="41" s="1"/>
  <c r="GA68" i="41" a="1"/>
  <c r="GA68" i="41" s="1"/>
  <c r="GF68" i="41" a="1"/>
  <c r="GF68" i="41" s="1"/>
  <c r="GB68" i="41" a="1"/>
  <c r="GB68" i="41" s="1"/>
  <c r="GE68" i="41" a="1"/>
  <c r="GE68" i="41" s="1"/>
  <c r="GD60" i="41" a="1"/>
  <c r="GD60" i="41" s="1"/>
  <c r="GC60" i="41" a="1"/>
  <c r="GC60" i="41" s="1"/>
  <c r="FZ60" i="41" a="1"/>
  <c r="FZ60" i="41" s="1"/>
  <c r="GF60" i="41" a="1"/>
  <c r="GF60" i="41" s="1"/>
  <c r="GE60" i="41" a="1"/>
  <c r="GE60" i="41" s="1"/>
  <c r="GB60" i="41" a="1"/>
  <c r="GB60" i="41" s="1"/>
  <c r="GA60" i="41" a="1"/>
  <c r="GA60" i="41" s="1"/>
  <c r="GD52" i="41" a="1"/>
  <c r="GD52" i="41" s="1"/>
  <c r="GC52" i="41" a="1"/>
  <c r="GC52" i="41" s="1"/>
  <c r="FZ52" i="41" a="1"/>
  <c r="FZ52" i="41" s="1"/>
  <c r="GB52" i="41" a="1"/>
  <c r="GB52" i="41" s="1"/>
  <c r="GA52" i="41" a="1"/>
  <c r="GA52" i="41" s="1"/>
  <c r="GF52" i="41" a="1"/>
  <c r="GF52" i="41" s="1"/>
  <c r="GE52" i="41" a="1"/>
  <c r="GE52" i="41" s="1"/>
  <c r="GD44" i="41" a="1"/>
  <c r="GD44" i="41" s="1"/>
  <c r="GC44" i="41" a="1"/>
  <c r="GC44" i="41" s="1"/>
  <c r="FZ44" i="41" a="1"/>
  <c r="FZ44" i="41" s="1"/>
  <c r="GB44" i="41" a="1"/>
  <c r="GB44" i="41" s="1"/>
  <c r="GF44" i="41" a="1"/>
  <c r="GF44" i="41" s="1"/>
  <c r="GE44" i="41" a="1"/>
  <c r="GE44" i="41" s="1"/>
  <c r="GA44" i="41" a="1"/>
  <c r="GA44" i="41" s="1"/>
  <c r="FZ36" i="41" a="1"/>
  <c r="FZ36" i="41" s="1"/>
  <c r="GF36" i="41" a="1"/>
  <c r="GF36" i="41" s="1"/>
  <c r="GE36" i="41" a="1"/>
  <c r="GE36" i="41" s="1"/>
  <c r="GC36" i="41" a="1"/>
  <c r="GC36" i="41" s="1"/>
  <c r="GB36" i="41" a="1"/>
  <c r="GB36" i="41" s="1"/>
  <c r="GD36" i="41" a="1"/>
  <c r="GD36" i="41" s="1"/>
  <c r="GA36" i="41" a="1"/>
  <c r="GA36" i="41" s="1"/>
  <c r="GF271" i="41" a="1"/>
  <c r="GF271" i="41" s="1"/>
  <c r="GC271" i="41" a="1"/>
  <c r="GC271" i="41" s="1"/>
  <c r="GB271" i="41" a="1"/>
  <c r="GB271" i="41" s="1"/>
  <c r="GE271" i="41" a="1"/>
  <c r="GE271" i="41" s="1"/>
  <c r="GD271" i="41" a="1"/>
  <c r="GD271" i="41" s="1"/>
  <c r="GA271" i="41" a="1"/>
  <c r="GA271" i="41" s="1"/>
  <c r="FZ271" i="41" a="1"/>
  <c r="FZ271" i="41" s="1"/>
  <c r="GE269" i="41" a="1"/>
  <c r="GE269" i="41" s="1"/>
  <c r="GD269" i="41" a="1"/>
  <c r="GD269" i="41" s="1"/>
  <c r="GA269" i="41" a="1"/>
  <c r="GA269" i="41" s="1"/>
  <c r="GC269" i="41" a="1"/>
  <c r="GC269" i="41" s="1"/>
  <c r="GB269" i="41" a="1"/>
  <c r="GB269" i="41" s="1"/>
  <c r="FZ269" i="41" a="1"/>
  <c r="FZ269" i="41" s="1"/>
  <c r="GF269" i="41" a="1"/>
  <c r="GF269" i="41" s="1"/>
  <c r="GE253" i="41" a="1"/>
  <c r="GE253" i="41" s="1"/>
  <c r="GD253" i="41" a="1"/>
  <c r="GD253" i="41" s="1"/>
  <c r="GA253" i="41" a="1"/>
  <c r="GA253" i="41" s="1"/>
  <c r="GC253" i="41" a="1"/>
  <c r="GC253" i="41" s="1"/>
  <c r="GB253" i="41" a="1"/>
  <c r="GB253" i="41" s="1"/>
  <c r="FZ253" i="41" a="1"/>
  <c r="FZ253" i="41" s="1"/>
  <c r="GF253" i="41" a="1"/>
  <c r="GF253" i="41" s="1"/>
  <c r="GE221" i="41" a="1"/>
  <c r="GE221" i="41" s="1"/>
  <c r="GD221" i="41" a="1"/>
  <c r="GD221" i="41" s="1"/>
  <c r="GA221" i="41" a="1"/>
  <c r="GA221" i="41" s="1"/>
  <c r="GF221" i="41" a="1"/>
  <c r="GF221" i="41" s="1"/>
  <c r="GC221" i="41" a="1"/>
  <c r="GC221" i="41" s="1"/>
  <c r="GB221" i="41" a="1"/>
  <c r="GB221" i="41" s="1"/>
  <c r="FZ221" i="41" a="1"/>
  <c r="FZ221" i="41" s="1"/>
  <c r="GD284" i="41" a="1"/>
  <c r="GD284" i="41" s="1"/>
  <c r="GC284" i="41" a="1"/>
  <c r="GC284" i="41" s="1"/>
  <c r="FZ284" i="41" a="1"/>
  <c r="FZ284" i="41" s="1"/>
  <c r="GF284" i="41" a="1"/>
  <c r="GF284" i="41" s="1"/>
  <c r="GA284" i="41" a="1"/>
  <c r="GA284" i="41" s="1"/>
  <c r="GB284" i="41" a="1"/>
  <c r="GB284" i="41" s="1"/>
  <c r="GE284" i="41" a="1"/>
  <c r="GE284" i="41" s="1"/>
  <c r="GD276" i="41" a="1"/>
  <c r="GD276" i="41" s="1"/>
  <c r="GC276" i="41" a="1"/>
  <c r="GC276" i="41" s="1"/>
  <c r="FZ276" i="41" a="1"/>
  <c r="FZ276" i="41" s="1"/>
  <c r="GF276" i="41" a="1"/>
  <c r="GF276" i="41" s="1"/>
  <c r="GE276" i="41" a="1"/>
  <c r="GE276" i="41" s="1"/>
  <c r="GB276" i="41" a="1"/>
  <c r="GB276" i="41" s="1"/>
  <c r="GA276" i="41" a="1"/>
  <c r="GA276" i="41" s="1"/>
  <c r="GD244" i="41" a="1"/>
  <c r="GD244" i="41" s="1"/>
  <c r="GC244" i="41" a="1"/>
  <c r="GC244" i="41" s="1"/>
  <c r="FZ244" i="41" a="1"/>
  <c r="FZ244" i="41" s="1"/>
  <c r="GB244" i="41" a="1"/>
  <c r="GB244" i="41" s="1"/>
  <c r="GA244" i="41" a="1"/>
  <c r="GA244" i="41" s="1"/>
  <c r="GF244" i="41" a="1"/>
  <c r="GF244" i="41" s="1"/>
  <c r="GE244" i="41" a="1"/>
  <c r="GE244" i="41" s="1"/>
  <c r="GD228" i="41" a="1"/>
  <c r="GD228" i="41" s="1"/>
  <c r="GC228" i="41" a="1"/>
  <c r="GC228" i="41" s="1"/>
  <c r="FZ228" i="41" a="1"/>
  <c r="FZ228" i="41" s="1"/>
  <c r="GF228" i="41" a="1"/>
  <c r="GF228" i="41" s="1"/>
  <c r="GA228" i="41" a="1"/>
  <c r="GA228" i="41" s="1"/>
  <c r="GE228" i="41" a="1"/>
  <c r="GE228" i="41" s="1"/>
  <c r="GB228" i="41" a="1"/>
  <c r="GB228" i="41" s="1"/>
  <c r="GD220" i="41" a="1"/>
  <c r="GD220" i="41" s="1"/>
  <c r="GC220" i="41" a="1"/>
  <c r="GC220" i="41" s="1"/>
  <c r="FZ220" i="41" a="1"/>
  <c r="FZ220" i="41" s="1"/>
  <c r="GE220" i="41" a="1"/>
  <c r="GE220" i="41" s="1"/>
  <c r="GB220" i="41" a="1"/>
  <c r="GB220" i="41" s="1"/>
  <c r="GA220" i="41" a="1"/>
  <c r="GA220" i="41" s="1"/>
  <c r="GF220" i="41" a="1"/>
  <c r="GF220" i="41" s="1"/>
  <c r="GC283" i="41" a="1"/>
  <c r="GC283" i="41" s="1"/>
  <c r="GB283" i="41" a="1"/>
  <c r="GB283" i="41" s="1"/>
  <c r="GA283" i="41" a="1"/>
  <c r="GA283" i="41" s="1"/>
  <c r="FZ283" i="41" a="1"/>
  <c r="FZ283" i="41" s="1"/>
  <c r="GF283" i="41" a="1"/>
  <c r="GF283" i="41" s="1"/>
  <c r="GE283" i="41" a="1"/>
  <c r="GE283" i="41" s="1"/>
  <c r="GD283" i="41" a="1"/>
  <c r="GD283" i="41" s="1"/>
  <c r="GC275" i="41" a="1"/>
  <c r="GC275" i="41" s="1"/>
  <c r="GB275" i="41" a="1"/>
  <c r="GB275" i="41" s="1"/>
  <c r="GF275" i="41" a="1"/>
  <c r="GF275" i="41" s="1"/>
  <c r="GE275" i="41" a="1"/>
  <c r="GE275" i="41" s="1"/>
  <c r="FZ275" i="41" a="1"/>
  <c r="FZ275" i="41" s="1"/>
  <c r="GA275" i="41" a="1"/>
  <c r="GA275" i="41" s="1"/>
  <c r="GD275" i="41" a="1"/>
  <c r="GD275" i="41" s="1"/>
  <c r="GC267" i="41" a="1"/>
  <c r="GC267" i="41" s="1"/>
  <c r="GB267" i="41" a="1"/>
  <c r="GB267" i="41" s="1"/>
  <c r="GE267" i="41" a="1"/>
  <c r="GE267" i="41" s="1"/>
  <c r="GF267" i="41" a="1"/>
  <c r="GF267" i="41" s="1"/>
  <c r="GD267" i="41" a="1"/>
  <c r="GD267" i="41" s="1"/>
  <c r="GA267" i="41" a="1"/>
  <c r="GA267" i="41" s="1"/>
  <c r="FZ267" i="41" a="1"/>
  <c r="FZ267" i="41" s="1"/>
  <c r="GC259" i="41" a="1"/>
  <c r="GC259" i="41" s="1"/>
  <c r="GB259" i="41" a="1"/>
  <c r="GB259" i="41" s="1"/>
  <c r="GD259" i="41" a="1"/>
  <c r="GD259" i="41" s="1"/>
  <c r="GA259" i="41" a="1"/>
  <c r="GA259" i="41" s="1"/>
  <c r="GF259" i="41" a="1"/>
  <c r="GF259" i="41" s="1"/>
  <c r="GE259" i="41" a="1"/>
  <c r="GE259" i="41" s="1"/>
  <c r="FZ259" i="41" a="1"/>
  <c r="FZ259" i="41" s="1"/>
  <c r="GC251" i="41" a="1"/>
  <c r="GC251" i="41" s="1"/>
  <c r="GB251" i="41" a="1"/>
  <c r="GB251" i="41" s="1"/>
  <c r="GE251" i="41" a="1"/>
  <c r="GE251" i="41" s="1"/>
  <c r="GD251" i="41" a="1"/>
  <c r="GD251" i="41" s="1"/>
  <c r="GA251" i="41" a="1"/>
  <c r="GA251" i="41" s="1"/>
  <c r="FZ251" i="41" a="1"/>
  <c r="FZ251" i="41" s="1"/>
  <c r="GF251" i="41" a="1"/>
  <c r="GF251" i="41" s="1"/>
  <c r="GC243" i="41" a="1"/>
  <c r="GC243" i="41" s="1"/>
  <c r="GB243" i="41" a="1"/>
  <c r="GB243" i="41" s="1"/>
  <c r="GF243" i="41" a="1"/>
  <c r="GF243" i="41" s="1"/>
  <c r="GE243" i="41" a="1"/>
  <c r="GE243" i="41" s="1"/>
  <c r="GD243" i="41" a="1"/>
  <c r="GD243" i="41" s="1"/>
  <c r="GA243" i="41" a="1"/>
  <c r="GA243" i="41" s="1"/>
  <c r="FZ243" i="41" a="1"/>
  <c r="FZ243" i="41" s="1"/>
  <c r="GC235" i="41" a="1"/>
  <c r="GC235" i="41" s="1"/>
  <c r="GB235" i="41" a="1"/>
  <c r="GB235" i="41" s="1"/>
  <c r="GA235" i="41" a="1"/>
  <c r="GA235" i="41" s="1"/>
  <c r="FZ235" i="41" a="1"/>
  <c r="FZ235" i="41" s="1"/>
  <c r="GF235" i="41" a="1"/>
  <c r="GF235" i="41" s="1"/>
  <c r="GE235" i="41" a="1"/>
  <c r="GE235" i="41" s="1"/>
  <c r="GD235" i="41" a="1"/>
  <c r="GD235" i="41" s="1"/>
  <c r="GC227" i="41" a="1"/>
  <c r="GC227" i="41" s="1"/>
  <c r="GB227" i="41" a="1"/>
  <c r="GB227" i="41" s="1"/>
  <c r="GF227" i="41" a="1"/>
  <c r="GF227" i="41" s="1"/>
  <c r="GE227" i="41" a="1"/>
  <c r="GE227" i="41" s="1"/>
  <c r="GD227" i="41" a="1"/>
  <c r="GD227" i="41" s="1"/>
  <c r="GA227" i="41" a="1"/>
  <c r="GA227" i="41" s="1"/>
  <c r="FZ227" i="41" a="1"/>
  <c r="FZ227" i="41" s="1"/>
  <c r="GC219" i="41" a="1"/>
  <c r="GC219" i="41" s="1"/>
  <c r="GB219" i="41" a="1"/>
  <c r="GB219" i="41" s="1"/>
  <c r="GF219" i="41" a="1"/>
  <c r="GF219" i="41" s="1"/>
  <c r="GE219" i="41" a="1"/>
  <c r="GE219" i="41" s="1"/>
  <c r="GD219" i="41" a="1"/>
  <c r="GD219" i="41" s="1"/>
  <c r="GA219" i="41" a="1"/>
  <c r="GA219" i="41" s="1"/>
  <c r="FZ219" i="41" a="1"/>
  <c r="FZ219" i="41" s="1"/>
  <c r="GC211" i="41" a="1"/>
  <c r="GC211" i="41" s="1"/>
  <c r="GB211" i="41" a="1"/>
  <c r="GB211" i="41" s="1"/>
  <c r="GD211" i="41" a="1"/>
  <c r="GD211" i="41" s="1"/>
  <c r="GA211" i="41" a="1"/>
  <c r="GA211" i="41" s="1"/>
  <c r="FZ211" i="41" a="1"/>
  <c r="FZ211" i="41" s="1"/>
  <c r="GF211" i="41" a="1"/>
  <c r="GF211" i="41" s="1"/>
  <c r="GE211" i="41" a="1"/>
  <c r="GE211" i="41" s="1"/>
  <c r="GC203" i="41" a="1"/>
  <c r="GC203" i="41" s="1"/>
  <c r="GB203" i="41" a="1"/>
  <c r="GB203" i="41" s="1"/>
  <c r="GF203" i="41" a="1"/>
  <c r="GF203" i="41" s="1"/>
  <c r="GE203" i="41" a="1"/>
  <c r="GE203" i="41" s="1"/>
  <c r="GD203" i="41" a="1"/>
  <c r="GD203" i="41" s="1"/>
  <c r="GA203" i="41" a="1"/>
  <c r="GA203" i="41" s="1"/>
  <c r="FZ203" i="41" a="1"/>
  <c r="FZ203" i="41" s="1"/>
  <c r="GC195" i="41" a="1"/>
  <c r="GC195" i="41" s="1"/>
  <c r="GB195" i="41" a="1"/>
  <c r="GB195" i="41" s="1"/>
  <c r="FZ195" i="41" a="1"/>
  <c r="FZ195" i="41" s="1"/>
  <c r="GF195" i="41" a="1"/>
  <c r="GF195" i="41" s="1"/>
  <c r="GE195" i="41" a="1"/>
  <c r="GE195" i="41" s="1"/>
  <c r="GA195" i="41" a="1"/>
  <c r="GA195" i="41" s="1"/>
  <c r="GD195" i="41" a="1"/>
  <c r="GD195" i="41" s="1"/>
  <c r="GC187" i="41" a="1"/>
  <c r="GC187" i="41" s="1"/>
  <c r="GB187" i="41" a="1"/>
  <c r="GB187" i="41" s="1"/>
  <c r="GE187" i="41" a="1"/>
  <c r="GE187" i="41" s="1"/>
  <c r="GD187" i="41" a="1"/>
  <c r="GD187" i="41" s="1"/>
  <c r="GA187" i="41" a="1"/>
  <c r="GA187" i="41" s="1"/>
  <c r="FZ187" i="41" a="1"/>
  <c r="FZ187" i="41" s="1"/>
  <c r="GF187" i="41" a="1"/>
  <c r="GF187" i="41" s="1"/>
  <c r="GC179" i="41" a="1"/>
  <c r="GC179" i="41" s="1"/>
  <c r="GB179" i="41" a="1"/>
  <c r="GB179" i="41" s="1"/>
  <c r="GF179" i="41" a="1"/>
  <c r="GF179" i="41" s="1"/>
  <c r="GE179" i="41" a="1"/>
  <c r="GE179" i="41" s="1"/>
  <c r="GD179" i="41" a="1"/>
  <c r="GD179" i="41" s="1"/>
  <c r="FZ179" i="41" a="1"/>
  <c r="FZ179" i="41" s="1"/>
  <c r="GA179" i="41" a="1"/>
  <c r="GA179" i="41" s="1"/>
  <c r="GC171" i="41" a="1"/>
  <c r="GC171" i="41" s="1"/>
  <c r="GB171" i="41" a="1"/>
  <c r="GB171" i="41" s="1"/>
  <c r="GA171" i="41" a="1"/>
  <c r="GA171" i="41" s="1"/>
  <c r="FZ171" i="41" a="1"/>
  <c r="FZ171" i="41" s="1"/>
  <c r="GF171" i="41" a="1"/>
  <c r="GF171" i="41" s="1"/>
  <c r="GE171" i="41" a="1"/>
  <c r="GE171" i="41" s="1"/>
  <c r="GD171" i="41" a="1"/>
  <c r="GD171" i="41" s="1"/>
  <c r="GC163" i="41" a="1"/>
  <c r="GC163" i="41" s="1"/>
  <c r="GB163" i="41" a="1"/>
  <c r="GB163" i="41" s="1"/>
  <c r="GF163" i="41" a="1"/>
  <c r="GF163" i="41" s="1"/>
  <c r="GE163" i="41" a="1"/>
  <c r="GE163" i="41" s="1"/>
  <c r="FZ163" i="41" a="1"/>
  <c r="FZ163" i="41" s="1"/>
  <c r="GD163" i="41" a="1"/>
  <c r="GD163" i="41" s="1"/>
  <c r="GA163" i="41" a="1"/>
  <c r="GA163" i="41" s="1"/>
  <c r="GC155" i="41" a="1"/>
  <c r="GC155" i="41" s="1"/>
  <c r="GB155" i="41" a="1"/>
  <c r="GB155" i="41" s="1"/>
  <c r="GF155" i="41" a="1"/>
  <c r="GF155" i="41" s="1"/>
  <c r="GE155" i="41" a="1"/>
  <c r="GE155" i="41" s="1"/>
  <c r="GD155" i="41" a="1"/>
  <c r="GD155" i="41" s="1"/>
  <c r="FZ155" i="41" a="1"/>
  <c r="FZ155" i="41" s="1"/>
  <c r="GA155" i="41" a="1"/>
  <c r="GA155" i="41" s="1"/>
  <c r="GC147" i="41" a="1"/>
  <c r="GC147" i="41" s="1"/>
  <c r="GB147" i="41" a="1"/>
  <c r="GB147" i="41" s="1"/>
  <c r="GF147" i="41" a="1"/>
  <c r="GF147" i="41" s="1"/>
  <c r="GE147" i="41" a="1"/>
  <c r="GE147" i="41" s="1"/>
  <c r="GA147" i="41" a="1"/>
  <c r="GA147" i="41" s="1"/>
  <c r="FZ147" i="41" a="1"/>
  <c r="FZ147" i="41" s="1"/>
  <c r="GD147" i="41" a="1"/>
  <c r="GD147" i="41" s="1"/>
  <c r="GC139" i="41" a="1"/>
  <c r="GC139" i="41" s="1"/>
  <c r="GB139" i="41" a="1"/>
  <c r="GB139" i="41" s="1"/>
  <c r="GD139" i="41" a="1"/>
  <c r="GD139" i="41" s="1"/>
  <c r="GA139" i="41" a="1"/>
  <c r="GA139" i="41" s="1"/>
  <c r="FZ139" i="41" a="1"/>
  <c r="FZ139" i="41" s="1"/>
  <c r="GF139" i="41" a="1"/>
  <c r="GF139" i="41" s="1"/>
  <c r="GE139" i="41" a="1"/>
  <c r="GE139" i="41" s="1"/>
  <c r="GC131" i="41" a="1"/>
  <c r="GC131" i="41" s="1"/>
  <c r="GB131" i="41" a="1"/>
  <c r="GB131" i="41" s="1"/>
  <c r="GF131" i="41" a="1"/>
  <c r="GF131" i="41" s="1"/>
  <c r="GE131" i="41" a="1"/>
  <c r="GE131" i="41" s="1"/>
  <c r="GA131" i="41" a="1"/>
  <c r="GA131" i="41" s="1"/>
  <c r="FZ131" i="41" a="1"/>
  <c r="FZ131" i="41" s="1"/>
  <c r="GD131" i="41" a="1"/>
  <c r="GD131" i="41" s="1"/>
  <c r="GC123" i="41" a="1"/>
  <c r="GC123" i="41" s="1"/>
  <c r="GB123" i="41" a="1"/>
  <c r="GB123" i="41" s="1"/>
  <c r="FZ123" i="41" a="1"/>
  <c r="FZ123" i="41" s="1"/>
  <c r="GE123" i="41" a="1"/>
  <c r="GE123" i="41" s="1"/>
  <c r="GD123" i="41" a="1"/>
  <c r="GD123" i="41" s="1"/>
  <c r="GA123" i="41" a="1"/>
  <c r="GA123" i="41" s="1"/>
  <c r="GF123" i="41" a="1"/>
  <c r="GF123" i="41" s="1"/>
  <c r="GC115" i="41" a="1"/>
  <c r="GC115" i="41" s="1"/>
  <c r="GB115" i="41" a="1"/>
  <c r="GB115" i="41" s="1"/>
  <c r="GE115" i="41" a="1"/>
  <c r="GE115" i="41" s="1"/>
  <c r="GD115" i="41" a="1"/>
  <c r="GD115" i="41" s="1"/>
  <c r="GA115" i="41" a="1"/>
  <c r="GA115" i="41" s="1"/>
  <c r="GF115" i="41" a="1"/>
  <c r="GF115" i="41" s="1"/>
  <c r="FZ115" i="41" a="1"/>
  <c r="FZ115" i="41" s="1"/>
  <c r="GC107" i="41" a="1"/>
  <c r="GC107" i="41" s="1"/>
  <c r="GB107" i="41" a="1"/>
  <c r="GB107" i="41" s="1"/>
  <c r="GF107" i="41" a="1"/>
  <c r="GF107" i="41" s="1"/>
  <c r="GE107" i="41" a="1"/>
  <c r="GE107" i="41" s="1"/>
  <c r="GD107" i="41" a="1"/>
  <c r="GD107" i="41" s="1"/>
  <c r="GA107" i="41" a="1"/>
  <c r="GA107" i="41" s="1"/>
  <c r="FZ107" i="41" a="1"/>
  <c r="FZ107" i="41" s="1"/>
  <c r="GC99" i="41" a="1"/>
  <c r="GC99" i="41" s="1"/>
  <c r="GB99" i="41" a="1"/>
  <c r="GB99" i="41" s="1"/>
  <c r="GA99" i="41" a="1"/>
  <c r="GA99" i="41" s="1"/>
  <c r="FZ99" i="41" a="1"/>
  <c r="FZ99" i="41" s="1"/>
  <c r="GD99" i="41" a="1"/>
  <c r="GD99" i="41" s="1"/>
  <c r="GF99" i="41" a="1"/>
  <c r="GF99" i="41" s="1"/>
  <c r="GE99" i="41" a="1"/>
  <c r="GE99" i="41" s="1"/>
  <c r="GC91" i="41" a="1"/>
  <c r="GC91" i="41" s="1"/>
  <c r="GB91" i="41" a="1"/>
  <c r="GB91" i="41" s="1"/>
  <c r="GF91" i="41" a="1"/>
  <c r="GF91" i="41" s="1"/>
  <c r="GE91" i="41" a="1"/>
  <c r="GE91" i="41" s="1"/>
  <c r="GD91" i="41" a="1"/>
  <c r="GD91" i="41" s="1"/>
  <c r="GA91" i="41" a="1"/>
  <c r="GA91" i="41" s="1"/>
  <c r="FZ91" i="41" a="1"/>
  <c r="FZ91" i="41" s="1"/>
  <c r="GC83" i="41" a="1"/>
  <c r="GC83" i="41" s="1"/>
  <c r="GB83" i="41" a="1"/>
  <c r="GB83" i="41" s="1"/>
  <c r="GF83" i="41" a="1"/>
  <c r="GF83" i="41" s="1"/>
  <c r="GE83" i="41" a="1"/>
  <c r="GE83" i="41" s="1"/>
  <c r="GD83" i="41" a="1"/>
  <c r="GD83" i="41" s="1"/>
  <c r="FZ83" i="41" a="1"/>
  <c r="FZ83" i="41" s="1"/>
  <c r="GA83" i="41" a="1"/>
  <c r="GA83" i="41" s="1"/>
  <c r="GC75" i="41" a="1"/>
  <c r="GC75" i="41" s="1"/>
  <c r="GB75" i="41" a="1"/>
  <c r="GB75" i="41" s="1"/>
  <c r="GD75" i="41" a="1"/>
  <c r="GD75" i="41" s="1"/>
  <c r="GA75" i="41" a="1"/>
  <c r="GA75" i="41" s="1"/>
  <c r="FZ75" i="41" a="1"/>
  <c r="FZ75" i="41" s="1"/>
  <c r="GF75" i="41" a="1"/>
  <c r="GF75" i="41" s="1"/>
  <c r="GE75" i="41" a="1"/>
  <c r="GE75" i="41" s="1"/>
  <c r="GC67" i="41" a="1"/>
  <c r="GC67" i="41" s="1"/>
  <c r="GB67" i="41" a="1"/>
  <c r="GB67" i="41" s="1"/>
  <c r="GF67" i="41" a="1"/>
  <c r="GF67" i="41" s="1"/>
  <c r="GE67" i="41" a="1"/>
  <c r="GE67" i="41" s="1"/>
  <c r="FZ67" i="41" a="1"/>
  <c r="FZ67" i="41" s="1"/>
  <c r="GD67" i="41" a="1"/>
  <c r="GD67" i="41" s="1"/>
  <c r="GA67" i="41" a="1"/>
  <c r="GA67" i="41" s="1"/>
  <c r="GC59" i="41" a="1"/>
  <c r="GC59" i="41" s="1"/>
  <c r="GB59" i="41" a="1"/>
  <c r="GB59" i="41" s="1"/>
  <c r="FZ59" i="41" a="1"/>
  <c r="FZ59" i="41" s="1"/>
  <c r="GF59" i="41" a="1"/>
  <c r="GF59" i="41" s="1"/>
  <c r="GD59" i="41" a="1"/>
  <c r="GD59" i="41" s="1"/>
  <c r="GA59" i="41" a="1"/>
  <c r="GA59" i="41" s="1"/>
  <c r="GE59" i="41" a="1"/>
  <c r="GE59" i="41" s="1"/>
  <c r="GC51" i="41" a="1"/>
  <c r="GC51" i="41" s="1"/>
  <c r="GB51" i="41" a="1"/>
  <c r="GB51" i="41" s="1"/>
  <c r="GE51" i="41" a="1"/>
  <c r="GE51" i="41" s="1"/>
  <c r="GF51" i="41" a="1"/>
  <c r="GF51" i="41" s="1"/>
  <c r="GD51" i="41" a="1"/>
  <c r="GD51" i="41" s="1"/>
  <c r="FZ51" i="41" a="1"/>
  <c r="FZ51" i="41" s="1"/>
  <c r="GA51" i="41" a="1"/>
  <c r="GA51" i="41" s="1"/>
  <c r="GC43" i="41" a="1"/>
  <c r="GC43" i="41" s="1"/>
  <c r="GB43" i="41" a="1"/>
  <c r="GB43" i="41" s="1"/>
  <c r="GF43" i="41" a="1"/>
  <c r="GF43" i="41" s="1"/>
  <c r="GE43" i="41" a="1"/>
  <c r="GE43" i="41" s="1"/>
  <c r="GD43" i="41" a="1"/>
  <c r="GD43" i="41" s="1"/>
  <c r="GA43" i="41" a="1"/>
  <c r="GA43" i="41" s="1"/>
  <c r="FZ43" i="41" a="1"/>
  <c r="FZ43" i="41" s="1"/>
  <c r="GF35" i="41" a="1"/>
  <c r="GF35" i="41" s="1"/>
  <c r="GE35" i="41" a="1"/>
  <c r="GE35" i="41" s="1"/>
  <c r="GD35" i="41" a="1"/>
  <c r="GD35" i="41" s="1"/>
  <c r="GB35" i="41" a="1"/>
  <c r="GB35" i="41" s="1"/>
  <c r="GA35" i="41" a="1"/>
  <c r="GA35" i="41" s="1"/>
  <c r="GC35" i="41" a="1"/>
  <c r="GC35" i="41" s="1"/>
  <c r="FZ35" i="41" a="1"/>
  <c r="FZ35" i="41" s="1"/>
  <c r="GF279" i="41" a="1"/>
  <c r="GF279" i="41" s="1"/>
  <c r="GC279" i="41" a="1"/>
  <c r="GC279" i="41" s="1"/>
  <c r="GD279" i="41" a="1"/>
  <c r="GD279" i="41" s="1"/>
  <c r="GB279" i="41" a="1"/>
  <c r="GB279" i="41" s="1"/>
  <c r="GE279" i="41" a="1"/>
  <c r="GE279" i="41" s="1"/>
  <c r="GA279" i="41" a="1"/>
  <c r="GA279" i="41" s="1"/>
  <c r="FZ279" i="41" a="1"/>
  <c r="FZ279" i="41" s="1"/>
  <c r="GF263" i="41" a="1"/>
  <c r="GF263" i="41" s="1"/>
  <c r="GC263" i="41" a="1"/>
  <c r="GC263" i="41" s="1"/>
  <c r="GA263" i="41" a="1"/>
  <c r="GA263" i="41" s="1"/>
  <c r="FZ263" i="41" a="1"/>
  <c r="FZ263" i="41" s="1"/>
  <c r="GD263" i="41" a="1"/>
  <c r="GD263" i="41" s="1"/>
  <c r="GB263" i="41" a="1"/>
  <c r="GB263" i="41" s="1"/>
  <c r="GE263" i="41" a="1"/>
  <c r="GE263" i="41" s="1"/>
  <c r="GB258" i="41" a="1"/>
  <c r="GB258" i="41" s="1"/>
  <c r="GA258" i="41" a="1"/>
  <c r="GA258" i="41" s="1"/>
  <c r="GF258" i="41" a="1"/>
  <c r="GF258" i="41" s="1"/>
  <c r="GD258" i="41" a="1"/>
  <c r="GD258" i="41" s="1"/>
  <c r="FZ258" i="41" a="1"/>
  <c r="FZ258" i="41" s="1"/>
  <c r="GE258" i="41" a="1"/>
  <c r="GE258" i="41" s="1"/>
  <c r="GC258" i="41" a="1"/>
  <c r="GC258" i="41" s="1"/>
  <c r="GB250" i="41" a="1"/>
  <c r="GB250" i="41" s="1"/>
  <c r="GA250" i="41" a="1"/>
  <c r="GA250" i="41" s="1"/>
  <c r="GF250" i="41" a="1"/>
  <c r="GF250" i="41" s="1"/>
  <c r="GE250" i="41" a="1"/>
  <c r="GE250" i="41" s="1"/>
  <c r="GD250" i="41" a="1"/>
  <c r="GD250" i="41" s="1"/>
  <c r="GC250" i="41" a="1"/>
  <c r="GC250" i="41" s="1"/>
  <c r="FZ250" i="41" a="1"/>
  <c r="FZ250" i="41" s="1"/>
  <c r="GB242" i="41" a="1"/>
  <c r="GB242" i="41" s="1"/>
  <c r="GA242" i="41" a="1"/>
  <c r="GA242" i="41" s="1"/>
  <c r="GF242" i="41" a="1"/>
  <c r="GF242" i="41" s="1"/>
  <c r="GD242" i="41" a="1"/>
  <c r="GD242" i="41" s="1"/>
  <c r="GC242" i="41" a="1"/>
  <c r="GC242" i="41" s="1"/>
  <c r="FZ242" i="41" a="1"/>
  <c r="FZ242" i="41" s="1"/>
  <c r="GE242" i="41" a="1"/>
  <c r="GE242" i="41" s="1"/>
  <c r="GB234" i="41" a="1"/>
  <c r="GB234" i="41" s="1"/>
  <c r="GA234" i="41" a="1"/>
  <c r="GA234" i="41" s="1"/>
  <c r="GF234" i="41" a="1"/>
  <c r="GF234" i="41" s="1"/>
  <c r="GE234" i="41" a="1"/>
  <c r="GE234" i="41" s="1"/>
  <c r="GD234" i="41" a="1"/>
  <c r="GD234" i="41" s="1"/>
  <c r="GC234" i="41" a="1"/>
  <c r="GC234" i="41" s="1"/>
  <c r="FZ234" i="41" a="1"/>
  <c r="FZ234" i="41" s="1"/>
  <c r="GB226" i="41" a="1"/>
  <c r="GB226" i="41" s="1"/>
  <c r="GA226" i="41" a="1"/>
  <c r="GA226" i="41" s="1"/>
  <c r="GF226" i="41" a="1"/>
  <c r="GF226" i="41" s="1"/>
  <c r="FZ226" i="41" a="1"/>
  <c r="FZ226" i="41" s="1"/>
  <c r="GE226" i="41" a="1"/>
  <c r="GE226" i="41" s="1"/>
  <c r="GD226" i="41" a="1"/>
  <c r="GD226" i="41" s="1"/>
  <c r="GC226" i="41" a="1"/>
  <c r="GC226" i="41" s="1"/>
  <c r="GB218" i="41" a="1"/>
  <c r="GB218" i="41" s="1"/>
  <c r="GA218" i="41" a="1"/>
  <c r="GA218" i="41" s="1"/>
  <c r="GF218" i="41" a="1"/>
  <c r="GF218" i="41" s="1"/>
  <c r="GE218" i="41" a="1"/>
  <c r="GE218" i="41" s="1"/>
  <c r="GD218" i="41" a="1"/>
  <c r="GD218" i="41" s="1"/>
  <c r="GC218" i="41" a="1"/>
  <c r="GC218" i="41" s="1"/>
  <c r="FZ218" i="41" a="1"/>
  <c r="FZ218" i="41" s="1"/>
  <c r="GB210" i="41" a="1"/>
  <c r="GB210" i="41" s="1"/>
  <c r="GA210" i="41" a="1"/>
  <c r="GA210" i="41" s="1"/>
  <c r="GF210" i="41" a="1"/>
  <c r="GF210" i="41" s="1"/>
  <c r="GE210" i="41" a="1"/>
  <c r="GE210" i="41" s="1"/>
  <c r="GD210" i="41" a="1"/>
  <c r="GD210" i="41" s="1"/>
  <c r="GC210" i="41" a="1"/>
  <c r="GC210" i="41" s="1"/>
  <c r="FZ210" i="41" a="1"/>
  <c r="FZ210" i="41" s="1"/>
  <c r="GB202" i="41" a="1"/>
  <c r="GB202" i="41" s="1"/>
  <c r="GA202" i="41" a="1"/>
  <c r="GA202" i="41" s="1"/>
  <c r="GF202" i="41" a="1"/>
  <c r="GF202" i="41" s="1"/>
  <c r="GC202" i="41" a="1"/>
  <c r="GC202" i="41" s="1"/>
  <c r="FZ202" i="41" a="1"/>
  <c r="FZ202" i="41" s="1"/>
  <c r="GE202" i="41" a="1"/>
  <c r="GE202" i="41" s="1"/>
  <c r="GD202" i="41" a="1"/>
  <c r="GD202" i="41" s="1"/>
  <c r="GB194" i="41" a="1"/>
  <c r="GB194" i="41" s="1"/>
  <c r="GA194" i="41" a="1"/>
  <c r="GA194" i="41" s="1"/>
  <c r="GF194" i="41" a="1"/>
  <c r="GF194" i="41" s="1"/>
  <c r="GE194" i="41" a="1"/>
  <c r="GE194" i="41" s="1"/>
  <c r="GD194" i="41" a="1"/>
  <c r="GD194" i="41" s="1"/>
  <c r="GC194" i="41" a="1"/>
  <c r="GC194" i="41" s="1"/>
  <c r="FZ194" i="41" a="1"/>
  <c r="FZ194" i="41" s="1"/>
  <c r="GB186" i="41" a="1"/>
  <c r="GB186" i="41" s="1"/>
  <c r="GA186" i="41" a="1"/>
  <c r="GA186" i="41" s="1"/>
  <c r="GF186" i="41" a="1"/>
  <c r="GF186" i="41" s="1"/>
  <c r="GE186" i="41" a="1"/>
  <c r="GE186" i="41" s="1"/>
  <c r="GD186" i="41" a="1"/>
  <c r="GD186" i="41" s="1"/>
  <c r="GC186" i="41" a="1"/>
  <c r="GC186" i="41" s="1"/>
  <c r="FZ186" i="41" a="1"/>
  <c r="FZ186" i="41" s="1"/>
  <c r="GB178" i="41" a="1"/>
  <c r="GB178" i="41" s="1"/>
  <c r="GA178" i="41" a="1"/>
  <c r="GA178" i="41" s="1"/>
  <c r="GF178" i="41" a="1"/>
  <c r="GF178" i="41" s="1"/>
  <c r="GD178" i="41" a="1"/>
  <c r="GD178" i="41" s="1"/>
  <c r="GC178" i="41" a="1"/>
  <c r="GC178" i="41" s="1"/>
  <c r="FZ178" i="41" a="1"/>
  <c r="FZ178" i="41" s="1"/>
  <c r="GE178" i="41" a="1"/>
  <c r="GE178" i="41" s="1"/>
  <c r="GB170" i="41" a="1"/>
  <c r="GB170" i="41" s="1"/>
  <c r="GA170" i="41" a="1"/>
  <c r="GA170" i="41" s="1"/>
  <c r="GF170" i="41" a="1"/>
  <c r="GF170" i="41" s="1"/>
  <c r="GE170" i="41" a="1"/>
  <c r="GE170" i="41" s="1"/>
  <c r="GD170" i="41" a="1"/>
  <c r="GD170" i="41" s="1"/>
  <c r="GC170" i="41" a="1"/>
  <c r="GC170" i="41" s="1"/>
  <c r="FZ170" i="41" a="1"/>
  <c r="FZ170" i="41" s="1"/>
  <c r="GB162" i="41" a="1"/>
  <c r="GB162" i="41" s="1"/>
  <c r="GA162" i="41" a="1"/>
  <c r="GA162" i="41" s="1"/>
  <c r="GF162" i="41" a="1"/>
  <c r="GF162" i="41" s="1"/>
  <c r="FZ162" i="41" a="1"/>
  <c r="FZ162" i="41" s="1"/>
  <c r="GE162" i="41" a="1"/>
  <c r="GE162" i="41" s="1"/>
  <c r="GD162" i="41" a="1"/>
  <c r="GD162" i="41" s="1"/>
  <c r="GC162" i="41" a="1"/>
  <c r="GC162" i="41" s="1"/>
  <c r="GB154" i="41" a="1"/>
  <c r="GB154" i="41" s="1"/>
  <c r="GA154" i="41" a="1"/>
  <c r="GA154" i="41" s="1"/>
  <c r="GF154" i="41" a="1"/>
  <c r="GF154" i="41" s="1"/>
  <c r="FZ154" i="41" a="1"/>
  <c r="FZ154" i="41" s="1"/>
  <c r="GE154" i="41" a="1"/>
  <c r="GE154" i="41" s="1"/>
  <c r="GD154" i="41" a="1"/>
  <c r="GD154" i="41" s="1"/>
  <c r="GC154" i="41" a="1"/>
  <c r="GC154" i="41" s="1"/>
  <c r="GB146" i="41" a="1"/>
  <c r="GB146" i="41" s="1"/>
  <c r="GA146" i="41" a="1"/>
  <c r="GA146" i="41" s="1"/>
  <c r="GF146" i="41" a="1"/>
  <c r="GF146" i="41" s="1"/>
  <c r="GE146" i="41" a="1"/>
  <c r="GE146" i="41" s="1"/>
  <c r="GD146" i="41" a="1"/>
  <c r="GD146" i="41" s="1"/>
  <c r="GC146" i="41" a="1"/>
  <c r="GC146" i="41" s="1"/>
  <c r="FZ146" i="41" a="1"/>
  <c r="FZ146" i="41" s="1"/>
  <c r="GB138" i="41" a="1"/>
  <c r="GB138" i="41" s="1"/>
  <c r="GA138" i="41" a="1"/>
  <c r="GA138" i="41" s="1"/>
  <c r="GF138" i="41" a="1"/>
  <c r="GF138" i="41" s="1"/>
  <c r="GE138" i="41" a="1"/>
  <c r="GE138" i="41" s="1"/>
  <c r="GC138" i="41" a="1"/>
  <c r="GC138" i="41" s="1"/>
  <c r="FZ138" i="41" a="1"/>
  <c r="FZ138" i="41" s="1"/>
  <c r="GD138" i="41" a="1"/>
  <c r="GD138" i="41" s="1"/>
  <c r="GB130" i="41" a="1"/>
  <c r="GB130" i="41" s="1"/>
  <c r="GA130" i="41" a="1"/>
  <c r="GA130" i="41" s="1"/>
  <c r="GF130" i="41" a="1"/>
  <c r="GF130" i="41" s="1"/>
  <c r="GC130" i="41" a="1"/>
  <c r="GC130" i="41" s="1"/>
  <c r="FZ130" i="41" a="1"/>
  <c r="FZ130" i="41" s="1"/>
  <c r="GE130" i="41" a="1"/>
  <c r="GE130" i="41" s="1"/>
  <c r="GD130" i="41" a="1"/>
  <c r="GD130" i="41" s="1"/>
  <c r="GB122" i="41" a="1"/>
  <c r="GB122" i="41" s="1"/>
  <c r="GA122" i="41" a="1"/>
  <c r="GA122" i="41" s="1"/>
  <c r="GF122" i="41" a="1"/>
  <c r="GF122" i="41" s="1"/>
  <c r="GE122" i="41" a="1"/>
  <c r="GE122" i="41" s="1"/>
  <c r="GD122" i="41" a="1"/>
  <c r="GD122" i="41" s="1"/>
  <c r="GC122" i="41" a="1"/>
  <c r="GC122" i="41" s="1"/>
  <c r="FZ122" i="41" a="1"/>
  <c r="FZ122" i="41" s="1"/>
  <c r="GB114" i="41" a="1"/>
  <c r="GB114" i="41" s="1"/>
  <c r="GA114" i="41" a="1"/>
  <c r="GA114" i="41" s="1"/>
  <c r="GF114" i="41" a="1"/>
  <c r="GF114" i="41" s="1"/>
  <c r="FZ114" i="41" a="1"/>
  <c r="FZ114" i="41" s="1"/>
  <c r="GE114" i="41" a="1"/>
  <c r="GE114" i="41" s="1"/>
  <c r="GD114" i="41" a="1"/>
  <c r="GD114" i="41" s="1"/>
  <c r="GC114" i="41" a="1"/>
  <c r="GC114" i="41" s="1"/>
  <c r="GB106" i="41" a="1"/>
  <c r="GB106" i="41" s="1"/>
  <c r="GA106" i="41" a="1"/>
  <c r="GA106" i="41" s="1"/>
  <c r="GF106" i="41" a="1"/>
  <c r="GF106" i="41" s="1"/>
  <c r="GD106" i="41" a="1"/>
  <c r="GD106" i="41" s="1"/>
  <c r="GC106" i="41" a="1"/>
  <c r="GC106" i="41" s="1"/>
  <c r="FZ106" i="41" a="1"/>
  <c r="FZ106" i="41" s="1"/>
  <c r="GE106" i="41" a="1"/>
  <c r="GE106" i="41" s="1"/>
  <c r="GB98" i="41" a="1"/>
  <c r="GB98" i="41" s="1"/>
  <c r="GA98" i="41" a="1"/>
  <c r="GA98" i="41" s="1"/>
  <c r="GF98" i="41" a="1"/>
  <c r="GF98" i="41" s="1"/>
  <c r="GE98" i="41" a="1"/>
  <c r="GE98" i="41" s="1"/>
  <c r="GD98" i="41" a="1"/>
  <c r="GD98" i="41" s="1"/>
  <c r="GC98" i="41" a="1"/>
  <c r="GC98" i="41" s="1"/>
  <c r="FZ98" i="41" a="1"/>
  <c r="FZ98" i="41" s="1"/>
  <c r="GB90" i="41" a="1"/>
  <c r="GB90" i="41" s="1"/>
  <c r="GA90" i="41" a="1"/>
  <c r="GA90" i="41" s="1"/>
  <c r="GF90" i="41" a="1"/>
  <c r="GF90" i="41" s="1"/>
  <c r="FZ90" i="41" a="1"/>
  <c r="FZ90" i="41" s="1"/>
  <c r="GD90" i="41" a="1"/>
  <c r="GD90" i="41" s="1"/>
  <c r="GC90" i="41" a="1"/>
  <c r="GC90" i="41" s="1"/>
  <c r="GE90" i="41" a="1"/>
  <c r="GE90" i="41" s="1"/>
  <c r="GB82" i="41" a="1"/>
  <c r="GB82" i="41" s="1"/>
  <c r="GA82" i="41" a="1"/>
  <c r="GA82" i="41" s="1"/>
  <c r="GF82" i="41" a="1"/>
  <c r="GF82" i="41" s="1"/>
  <c r="GE82" i="41" a="1"/>
  <c r="GE82" i="41" s="1"/>
  <c r="GD82" i="41" a="1"/>
  <c r="GD82" i="41" s="1"/>
  <c r="GC82" i="41" a="1"/>
  <c r="GC82" i="41" s="1"/>
  <c r="FZ82" i="41" a="1"/>
  <c r="FZ82" i="41" s="1"/>
  <c r="GB74" i="41" a="1"/>
  <c r="GB74" i="41" s="1"/>
  <c r="GA74" i="41" a="1"/>
  <c r="GA74" i="41" s="1"/>
  <c r="GF74" i="41" a="1"/>
  <c r="GF74" i="41" s="1"/>
  <c r="GE74" i="41" a="1"/>
  <c r="GE74" i="41" s="1"/>
  <c r="GD74" i="41" a="1"/>
  <c r="GD74" i="41" s="1"/>
  <c r="FZ74" i="41" a="1"/>
  <c r="FZ74" i="41" s="1"/>
  <c r="GC74" i="41" a="1"/>
  <c r="GC74" i="41" s="1"/>
  <c r="GB66" i="41" a="1"/>
  <c r="GB66" i="41" s="1"/>
  <c r="GA66" i="41" a="1"/>
  <c r="GA66" i="41" s="1"/>
  <c r="GF66" i="41" a="1"/>
  <c r="GF66" i="41" s="1"/>
  <c r="GC66" i="41" a="1"/>
  <c r="GC66" i="41" s="1"/>
  <c r="GE66" i="41" a="1"/>
  <c r="GE66" i="41" s="1"/>
  <c r="GD66" i="41" a="1"/>
  <c r="GD66" i="41" s="1"/>
  <c r="FZ66" i="41" a="1"/>
  <c r="FZ66" i="41" s="1"/>
  <c r="GB58" i="41" a="1"/>
  <c r="GB58" i="41" s="1"/>
  <c r="GA58" i="41" a="1"/>
  <c r="GA58" i="41" s="1"/>
  <c r="GF58" i="41" a="1"/>
  <c r="GF58" i="41" s="1"/>
  <c r="GD58" i="41" a="1"/>
  <c r="GD58" i="41" s="1"/>
  <c r="GC58" i="41" a="1"/>
  <c r="GC58" i="41" s="1"/>
  <c r="FZ58" i="41" a="1"/>
  <c r="FZ58" i="41" s="1"/>
  <c r="GE58" i="41" a="1"/>
  <c r="GE58" i="41" s="1"/>
  <c r="GB50" i="41" a="1"/>
  <c r="GB50" i="41" s="1"/>
  <c r="GA50" i="41" a="1"/>
  <c r="GA50" i="41" s="1"/>
  <c r="GF50" i="41" a="1"/>
  <c r="GF50" i="41" s="1"/>
  <c r="GC50" i="41" a="1"/>
  <c r="GC50" i="41" s="1"/>
  <c r="FZ50" i="41" a="1"/>
  <c r="FZ50" i="41" s="1"/>
  <c r="GE50" i="41" a="1"/>
  <c r="GE50" i="41" s="1"/>
  <c r="GD50" i="41" a="1"/>
  <c r="GD50" i="41" s="1"/>
  <c r="GB42" i="41" a="1"/>
  <c r="GB42" i="41" s="1"/>
  <c r="GA42" i="41" a="1"/>
  <c r="GA42" i="41" s="1"/>
  <c r="GF42" i="41" a="1"/>
  <c r="GF42" i="41" s="1"/>
  <c r="GD42" i="41" a="1"/>
  <c r="GD42" i="41" s="1"/>
  <c r="GE42" i="41" a="1"/>
  <c r="GE42" i="41" s="1"/>
  <c r="GC42" i="41" a="1"/>
  <c r="GC42" i="41" s="1"/>
  <c r="FZ42" i="41" a="1"/>
  <c r="FZ42" i="41" s="1"/>
  <c r="GF34" i="41" a="1"/>
  <c r="GF34" i="41" s="1"/>
  <c r="GE34" i="41" a="1"/>
  <c r="GE34" i="41" s="1"/>
  <c r="GD34" i="41" a="1"/>
  <c r="GD34" i="41" s="1"/>
  <c r="GC34" i="41" a="1"/>
  <c r="GC34" i="41" s="1"/>
  <c r="GA34" i="41" a="1"/>
  <c r="GA34" i="41" s="1"/>
  <c r="FZ34" i="41" a="1"/>
  <c r="FZ34" i="41" s="1"/>
  <c r="GB34" i="41" a="1"/>
  <c r="GB34" i="41" s="1"/>
  <c r="GF287" i="41" a="1"/>
  <c r="GF287" i="41" s="1"/>
  <c r="GC287" i="41" a="1"/>
  <c r="GC287" i="41" s="1"/>
  <c r="FZ287" i="41" a="1"/>
  <c r="FZ287" i="41" s="1"/>
  <c r="GE287" i="41" a="1"/>
  <c r="GE287" i="41" s="1"/>
  <c r="GA287" i="41" a="1"/>
  <c r="GA287" i="41" s="1"/>
  <c r="GD287" i="41" a="1"/>
  <c r="GD287" i="41" s="1"/>
  <c r="GB287" i="41" a="1"/>
  <c r="GB287" i="41" s="1"/>
  <c r="GF286" i="41" a="1"/>
  <c r="GF286" i="41" s="1"/>
  <c r="GE286" i="41" a="1"/>
  <c r="GE286" i="41" s="1"/>
  <c r="GB286" i="41" a="1"/>
  <c r="GB286" i="41" s="1"/>
  <c r="GD286" i="41" a="1"/>
  <c r="GD286" i="41" s="1"/>
  <c r="FZ286" i="41" a="1"/>
  <c r="FZ286" i="41" s="1"/>
  <c r="GC286" i="41" a="1"/>
  <c r="GC286" i="41" s="1"/>
  <c r="GA286" i="41" a="1"/>
  <c r="GA286" i="41" s="1"/>
  <c r="GF270" i="41" a="1"/>
  <c r="GF270" i="41" s="1"/>
  <c r="GE270" i="41" a="1"/>
  <c r="GE270" i="41" s="1"/>
  <c r="GB270" i="41" a="1"/>
  <c r="GB270" i="41" s="1"/>
  <c r="GC270" i="41" a="1"/>
  <c r="GC270" i="41" s="1"/>
  <c r="GA270" i="41" a="1"/>
  <c r="GA270" i="41" s="1"/>
  <c r="GD270" i="41" a="1"/>
  <c r="GD270" i="41" s="1"/>
  <c r="FZ270" i="41" a="1"/>
  <c r="FZ270" i="41" s="1"/>
  <c r="GE213" i="41" a="1"/>
  <c r="GE213" i="41" s="1"/>
  <c r="GD213" i="41" a="1"/>
  <c r="GD213" i="41" s="1"/>
  <c r="GA213" i="41" a="1"/>
  <c r="GA213" i="41" s="1"/>
  <c r="GB213" i="41" a="1"/>
  <c r="GB213" i="41" s="1"/>
  <c r="FZ213" i="41" a="1"/>
  <c r="FZ213" i="41" s="1"/>
  <c r="GC213" i="41" a="1"/>
  <c r="GC213" i="41" s="1"/>
  <c r="GF213" i="41" a="1"/>
  <c r="GF213" i="41" s="1"/>
  <c r="GB274" i="41" a="1"/>
  <c r="GB274" i="41" s="1"/>
  <c r="GA274" i="41" a="1"/>
  <c r="GA274" i="41" s="1"/>
  <c r="GF274" i="41" a="1"/>
  <c r="GF274" i="41" s="1"/>
  <c r="FZ274" i="41" a="1"/>
  <c r="FZ274" i="41" s="1"/>
  <c r="GE274" i="41" a="1"/>
  <c r="GE274" i="41" s="1"/>
  <c r="GD274" i="41" a="1"/>
  <c r="GD274" i="41" s="1"/>
  <c r="GC274" i="41" a="1"/>
  <c r="GC274" i="41" s="1"/>
  <c r="GB266" i="41" a="1"/>
  <c r="GB266" i="41" s="1"/>
  <c r="GA266" i="41" a="1"/>
  <c r="GA266" i="41" s="1"/>
  <c r="GF266" i="41" a="1"/>
  <c r="GF266" i="41" s="1"/>
  <c r="GE266" i="41" a="1"/>
  <c r="GE266" i="41" s="1"/>
  <c r="GD266" i="41" a="1"/>
  <c r="GD266" i="41" s="1"/>
  <c r="GC266" i="41" a="1"/>
  <c r="GC266" i="41" s="1"/>
  <c r="FZ266" i="41" a="1"/>
  <c r="FZ266" i="41" s="1"/>
  <c r="GA281" i="41" a="1"/>
  <c r="GA281" i="41" s="1"/>
  <c r="FZ281" i="41" a="1"/>
  <c r="FZ281" i="41" s="1"/>
  <c r="GE281" i="41" a="1"/>
  <c r="GE281" i="41" s="1"/>
  <c r="GC281" i="41" a="1"/>
  <c r="GC281" i="41" s="1"/>
  <c r="GB281" i="41" a="1"/>
  <c r="GB281" i="41" s="1"/>
  <c r="GD281" i="41" a="1"/>
  <c r="GD281" i="41" s="1"/>
  <c r="GF281" i="41" a="1"/>
  <c r="GF281" i="41" s="1"/>
  <c r="GA273" i="41" a="1"/>
  <c r="GA273" i="41" s="1"/>
  <c r="FZ273" i="41" a="1"/>
  <c r="FZ273" i="41" s="1"/>
  <c r="GE273" i="41" a="1"/>
  <c r="GE273" i="41" s="1"/>
  <c r="GF273" i="41" a="1"/>
  <c r="GF273" i="41" s="1"/>
  <c r="GB273" i="41" a="1"/>
  <c r="GB273" i="41" s="1"/>
  <c r="GD273" i="41" a="1"/>
  <c r="GD273" i="41" s="1"/>
  <c r="GC273" i="41" a="1"/>
  <c r="GC273" i="41" s="1"/>
  <c r="GA265" i="41" a="1"/>
  <c r="GA265" i="41" s="1"/>
  <c r="FZ265" i="41" a="1"/>
  <c r="FZ265" i="41" s="1"/>
  <c r="GE265" i="41" a="1"/>
  <c r="GE265" i="41" s="1"/>
  <c r="GF265" i="41" a="1"/>
  <c r="GF265" i="41" s="1"/>
  <c r="GD265" i="41" a="1"/>
  <c r="GD265" i="41" s="1"/>
  <c r="GC265" i="41" a="1"/>
  <c r="GC265" i="41" s="1"/>
  <c r="GB265" i="41" a="1"/>
  <c r="GB265" i="41" s="1"/>
  <c r="GA257" i="41" a="1"/>
  <c r="GA257" i="41" s="1"/>
  <c r="FZ257" i="41" a="1"/>
  <c r="FZ257" i="41" s="1"/>
  <c r="GE257" i="41" a="1"/>
  <c r="GE257" i="41" s="1"/>
  <c r="GD257" i="41" a="1"/>
  <c r="GD257" i="41" s="1"/>
  <c r="GC257" i="41" a="1"/>
  <c r="GC257" i="41" s="1"/>
  <c r="GF257" i="41" a="1"/>
  <c r="GF257" i="41" s="1"/>
  <c r="GB257" i="41" a="1"/>
  <c r="GB257" i="41" s="1"/>
  <c r="GA249" i="41" a="1"/>
  <c r="GA249" i="41" s="1"/>
  <c r="FZ249" i="41" a="1"/>
  <c r="FZ249" i="41" s="1"/>
  <c r="GE249" i="41" a="1"/>
  <c r="GE249" i="41" s="1"/>
  <c r="GF249" i="41" a="1"/>
  <c r="GF249" i="41" s="1"/>
  <c r="GD249" i="41" a="1"/>
  <c r="GD249" i="41" s="1"/>
  <c r="GC249" i="41" a="1"/>
  <c r="GC249" i="41" s="1"/>
  <c r="GB249" i="41" a="1"/>
  <c r="GB249" i="41" s="1"/>
  <c r="GA241" i="41" a="1"/>
  <c r="GA241" i="41" s="1"/>
  <c r="FZ241" i="41" a="1"/>
  <c r="FZ241" i="41" s="1"/>
  <c r="GE241" i="41" a="1"/>
  <c r="GE241" i="41" s="1"/>
  <c r="GF241" i="41" a="1"/>
  <c r="GF241" i="41" s="1"/>
  <c r="GD241" i="41" a="1"/>
  <c r="GD241" i="41" s="1"/>
  <c r="GC241" i="41" a="1"/>
  <c r="GC241" i="41" s="1"/>
  <c r="GB241" i="41" a="1"/>
  <c r="GB241" i="41" s="1"/>
  <c r="GA233" i="41" a="1"/>
  <c r="GA233" i="41" s="1"/>
  <c r="FZ233" i="41" a="1"/>
  <c r="FZ233" i="41" s="1"/>
  <c r="GE233" i="41" a="1"/>
  <c r="GE233" i="41" s="1"/>
  <c r="GC233" i="41" a="1"/>
  <c r="GC233" i="41" s="1"/>
  <c r="GB233" i="41" a="1"/>
  <c r="GB233" i="41" s="1"/>
  <c r="GF233" i="41" a="1"/>
  <c r="GF233" i="41" s="1"/>
  <c r="GD233" i="41" a="1"/>
  <c r="GD233" i="41" s="1"/>
  <c r="GA225" i="41" a="1"/>
  <c r="GA225" i="41" s="1"/>
  <c r="FZ225" i="41" a="1"/>
  <c r="FZ225" i="41" s="1"/>
  <c r="GE225" i="41" a="1"/>
  <c r="GE225" i="41" s="1"/>
  <c r="GF225" i="41" a="1"/>
  <c r="GF225" i="41" s="1"/>
  <c r="GD225" i="41" a="1"/>
  <c r="GD225" i="41" s="1"/>
  <c r="GC225" i="41" a="1"/>
  <c r="GC225" i="41" s="1"/>
  <c r="GB225" i="41" a="1"/>
  <c r="GB225" i="41" s="1"/>
  <c r="GA217" i="41" a="1"/>
  <c r="GA217" i="41" s="1"/>
  <c r="FZ217" i="41" a="1"/>
  <c r="FZ217" i="41" s="1"/>
  <c r="GE217" i="41" a="1"/>
  <c r="GE217" i="41" s="1"/>
  <c r="GF217" i="41" a="1"/>
  <c r="GF217" i="41" s="1"/>
  <c r="GD217" i="41" a="1"/>
  <c r="GD217" i="41" s="1"/>
  <c r="GC217" i="41" a="1"/>
  <c r="GC217" i="41" s="1"/>
  <c r="GB217" i="41" a="1"/>
  <c r="GB217" i="41" s="1"/>
  <c r="GA209" i="41" a="1"/>
  <c r="GA209" i="41" s="1"/>
  <c r="FZ209" i="41" a="1"/>
  <c r="FZ209" i="41" s="1"/>
  <c r="GE209" i="41" a="1"/>
  <c r="GE209" i="41" s="1"/>
  <c r="GD209" i="41" a="1"/>
  <c r="GD209" i="41" s="1"/>
  <c r="GC209" i="41" a="1"/>
  <c r="GC209" i="41" s="1"/>
  <c r="GB209" i="41" a="1"/>
  <c r="GB209" i="41" s="1"/>
  <c r="GF209" i="41" a="1"/>
  <c r="GF209" i="41" s="1"/>
  <c r="GA201" i="41" a="1"/>
  <c r="GA201" i="41" s="1"/>
  <c r="FZ201" i="41" a="1"/>
  <c r="FZ201" i="41" s="1"/>
  <c r="GE201" i="41" a="1"/>
  <c r="GE201" i="41" s="1"/>
  <c r="GF201" i="41" a="1"/>
  <c r="GF201" i="41" s="1"/>
  <c r="GD201" i="41" a="1"/>
  <c r="GD201" i="41" s="1"/>
  <c r="GC201" i="41" a="1"/>
  <c r="GC201" i="41" s="1"/>
  <c r="GB201" i="41" a="1"/>
  <c r="GB201" i="41" s="1"/>
  <c r="GA193" i="41" a="1"/>
  <c r="GA193" i="41" s="1"/>
  <c r="FZ193" i="41" a="1"/>
  <c r="FZ193" i="41" s="1"/>
  <c r="GE193" i="41" a="1"/>
  <c r="GE193" i="41" s="1"/>
  <c r="GB193" i="41" a="1"/>
  <c r="GB193" i="41" s="1"/>
  <c r="GD193" i="41" a="1"/>
  <c r="GD193" i="41" s="1"/>
  <c r="GC193" i="41" a="1"/>
  <c r="GC193" i="41" s="1"/>
  <c r="GF193" i="41" a="1"/>
  <c r="GF193" i="41" s="1"/>
  <c r="GA185" i="41" a="1"/>
  <c r="GA185" i="41" s="1"/>
  <c r="FZ185" i="41" a="1"/>
  <c r="FZ185" i="41" s="1"/>
  <c r="GE185" i="41" a="1"/>
  <c r="GE185" i="41" s="1"/>
  <c r="GF185" i="41" a="1"/>
  <c r="GF185" i="41" s="1"/>
  <c r="GD185" i="41" a="1"/>
  <c r="GD185" i="41" s="1"/>
  <c r="GC185" i="41" a="1"/>
  <c r="GC185" i="41" s="1"/>
  <c r="GB185" i="41" a="1"/>
  <c r="GB185" i="41" s="1"/>
  <c r="GA177" i="41" a="1"/>
  <c r="GA177" i="41" s="1"/>
  <c r="FZ177" i="41" a="1"/>
  <c r="FZ177" i="41" s="1"/>
  <c r="GE177" i="41" a="1"/>
  <c r="GE177" i="41" s="1"/>
  <c r="GF177" i="41" a="1"/>
  <c r="GF177" i="41" s="1"/>
  <c r="GD177" i="41" a="1"/>
  <c r="GD177" i="41" s="1"/>
  <c r="GC177" i="41" a="1"/>
  <c r="GC177" i="41" s="1"/>
  <c r="GB177" i="41" a="1"/>
  <c r="GB177" i="41" s="1"/>
  <c r="GA169" i="41" a="1"/>
  <c r="GA169" i="41" s="1"/>
  <c r="FZ169" i="41" a="1"/>
  <c r="FZ169" i="41" s="1"/>
  <c r="GE169" i="41" a="1"/>
  <c r="GE169" i="41" s="1"/>
  <c r="GC169" i="41" a="1"/>
  <c r="GC169" i="41" s="1"/>
  <c r="GB169" i="41" a="1"/>
  <c r="GB169" i="41" s="1"/>
  <c r="GD169" i="41" a="1"/>
  <c r="GD169" i="41" s="1"/>
  <c r="GF169" i="41" a="1"/>
  <c r="GF169" i="41" s="1"/>
  <c r="GA161" i="41" a="1"/>
  <c r="GA161" i="41" s="1"/>
  <c r="FZ161" i="41" a="1"/>
  <c r="FZ161" i="41" s="1"/>
  <c r="GE161" i="41" a="1"/>
  <c r="GE161" i="41" s="1"/>
  <c r="GF161" i="41" a="1"/>
  <c r="GF161" i="41" s="1"/>
  <c r="GB161" i="41" a="1"/>
  <c r="GB161" i="41" s="1"/>
  <c r="GD161" i="41" a="1"/>
  <c r="GD161" i="41" s="1"/>
  <c r="GC161" i="41" a="1"/>
  <c r="GC161" i="41" s="1"/>
  <c r="GA153" i="41" a="1"/>
  <c r="GA153" i="41" s="1"/>
  <c r="FZ153" i="41" a="1"/>
  <c r="FZ153" i="41" s="1"/>
  <c r="GE153" i="41" a="1"/>
  <c r="GE153" i="41" s="1"/>
  <c r="GF153" i="41" a="1"/>
  <c r="GF153" i="41" s="1"/>
  <c r="GD153" i="41" a="1"/>
  <c r="GD153" i="41" s="1"/>
  <c r="GC153" i="41" a="1"/>
  <c r="GC153" i="41" s="1"/>
  <c r="GB153" i="41" a="1"/>
  <c r="GB153" i="41" s="1"/>
  <c r="GA145" i="41" a="1"/>
  <c r="GA145" i="41" s="1"/>
  <c r="FZ145" i="41" a="1"/>
  <c r="FZ145" i="41" s="1"/>
  <c r="GE145" i="41" a="1"/>
  <c r="GE145" i="41" s="1"/>
  <c r="GF145" i="41" a="1"/>
  <c r="GF145" i="41" s="1"/>
  <c r="GD145" i="41" a="1"/>
  <c r="GD145" i="41" s="1"/>
  <c r="GC145" i="41" a="1"/>
  <c r="GC145" i="41" s="1"/>
  <c r="GB145" i="41" a="1"/>
  <c r="GB145" i="41" s="1"/>
  <c r="GA137" i="41" a="1"/>
  <c r="GA137" i="41" s="1"/>
  <c r="FZ137" i="41" a="1"/>
  <c r="FZ137" i="41" s="1"/>
  <c r="GE137" i="41" a="1"/>
  <c r="GE137" i="41" s="1"/>
  <c r="GD137" i="41" a="1"/>
  <c r="GD137" i="41" s="1"/>
  <c r="GC137" i="41" a="1"/>
  <c r="GC137" i="41" s="1"/>
  <c r="GB137" i="41" a="1"/>
  <c r="GB137" i="41" s="1"/>
  <c r="GF137" i="41" a="1"/>
  <c r="GF137" i="41" s="1"/>
  <c r="GA129" i="41" a="1"/>
  <c r="GA129" i="41" s="1"/>
  <c r="FZ129" i="41" a="1"/>
  <c r="FZ129" i="41" s="1"/>
  <c r="GE129" i="41" a="1"/>
  <c r="GE129" i="41" s="1"/>
  <c r="GF129" i="41" a="1"/>
  <c r="GF129" i="41" s="1"/>
  <c r="GC129" i="41" a="1"/>
  <c r="GC129" i="41" s="1"/>
  <c r="GB129" i="41" a="1"/>
  <c r="GB129" i="41" s="1"/>
  <c r="GD129" i="41" a="1"/>
  <c r="GD129" i="41" s="1"/>
  <c r="GA121" i="41" a="1"/>
  <c r="GA121" i="41" s="1"/>
  <c r="FZ121" i="41" a="1"/>
  <c r="FZ121" i="41" s="1"/>
  <c r="GE121" i="41" a="1"/>
  <c r="GE121" i="41" s="1"/>
  <c r="GB121" i="41" a="1"/>
  <c r="GB121" i="41" s="1"/>
  <c r="GF121" i="41" a="1"/>
  <c r="GF121" i="41" s="1"/>
  <c r="GD121" i="41" a="1"/>
  <c r="GD121" i="41" s="1"/>
  <c r="GC121" i="41" a="1"/>
  <c r="GC121" i="41" s="1"/>
  <c r="GA113" i="41" a="1"/>
  <c r="GA113" i="41" s="1"/>
  <c r="FZ113" i="41" a="1"/>
  <c r="FZ113" i="41" s="1"/>
  <c r="GE113" i="41" a="1"/>
  <c r="GE113" i="41" s="1"/>
  <c r="GF113" i="41" a="1"/>
  <c r="GF113" i="41" s="1"/>
  <c r="GD113" i="41" a="1"/>
  <c r="GD113" i="41" s="1"/>
  <c r="GC113" i="41" a="1"/>
  <c r="GC113" i="41" s="1"/>
  <c r="GB113" i="41" a="1"/>
  <c r="GB113" i="41" s="1"/>
  <c r="GA105" i="41" a="1"/>
  <c r="GA105" i="41" s="1"/>
  <c r="FZ105" i="41" a="1"/>
  <c r="FZ105" i="41" s="1"/>
  <c r="GE105" i="41" a="1"/>
  <c r="GE105" i="41" s="1"/>
  <c r="GB105" i="41" a="1"/>
  <c r="GB105" i="41" s="1"/>
  <c r="GF105" i="41" a="1"/>
  <c r="GF105" i="41" s="1"/>
  <c r="GD105" i="41" a="1"/>
  <c r="GD105" i="41" s="1"/>
  <c r="GC105" i="41" a="1"/>
  <c r="GC105" i="41" s="1"/>
  <c r="GA97" i="41" a="1"/>
  <c r="GA97" i="41" s="1"/>
  <c r="FZ97" i="41" a="1"/>
  <c r="FZ97" i="41" s="1"/>
  <c r="GE97" i="41" a="1"/>
  <c r="GE97" i="41" s="1"/>
  <c r="GC97" i="41" a="1"/>
  <c r="GC97" i="41" s="1"/>
  <c r="GB97" i="41" a="1"/>
  <c r="GB97" i="41" s="1"/>
  <c r="GD97" i="41" a="1"/>
  <c r="GD97" i="41" s="1"/>
  <c r="GF97" i="41" a="1"/>
  <c r="GF97" i="41" s="1"/>
  <c r="GA89" i="41" a="1"/>
  <c r="GA89" i="41" s="1"/>
  <c r="FZ89" i="41" a="1"/>
  <c r="FZ89" i="41" s="1"/>
  <c r="GE89" i="41" a="1"/>
  <c r="GE89" i="41" s="1"/>
  <c r="GF89" i="41" a="1"/>
  <c r="GF89" i="41" s="1"/>
  <c r="GD89" i="41" a="1"/>
  <c r="GD89" i="41" s="1"/>
  <c r="GC89" i="41" a="1"/>
  <c r="GC89" i="41" s="1"/>
  <c r="GB89" i="41" a="1"/>
  <c r="GB89" i="41" s="1"/>
  <c r="GA81" i="41" a="1"/>
  <c r="GA81" i="41" s="1"/>
  <c r="FZ81" i="41" a="1"/>
  <c r="FZ81" i="41" s="1"/>
  <c r="GE81" i="41" a="1"/>
  <c r="GE81" i="41" s="1"/>
  <c r="GD81" i="41" a="1"/>
  <c r="GD81" i="41" s="1"/>
  <c r="GC81" i="41" a="1"/>
  <c r="GC81" i="41" s="1"/>
  <c r="GB81" i="41" a="1"/>
  <c r="GB81" i="41" s="1"/>
  <c r="GF81" i="41" a="1"/>
  <c r="GF81" i="41" s="1"/>
  <c r="GA73" i="41" a="1"/>
  <c r="GA73" i="41" s="1"/>
  <c r="FZ73" i="41" a="1"/>
  <c r="FZ73" i="41" s="1"/>
  <c r="GE73" i="41" a="1"/>
  <c r="GE73" i="41" s="1"/>
  <c r="GD73" i="41" a="1"/>
  <c r="GD73" i="41" s="1"/>
  <c r="GC73" i="41" a="1"/>
  <c r="GC73" i="41" s="1"/>
  <c r="GB73" i="41" a="1"/>
  <c r="GB73" i="41" s="1"/>
  <c r="GF73" i="41" a="1"/>
  <c r="GF73" i="41" s="1"/>
  <c r="GA65" i="41" a="1"/>
  <c r="GA65" i="41" s="1"/>
  <c r="FZ65" i="41" a="1"/>
  <c r="FZ65" i="41" s="1"/>
  <c r="GE65" i="41" a="1"/>
  <c r="GE65" i="41" s="1"/>
  <c r="GD65" i="41" a="1"/>
  <c r="GD65" i="41" s="1"/>
  <c r="GC65" i="41" a="1"/>
  <c r="GC65" i="41" s="1"/>
  <c r="GB65" i="41" a="1"/>
  <c r="GB65" i="41" s="1"/>
  <c r="GF65" i="41" a="1"/>
  <c r="GF65" i="41" s="1"/>
  <c r="GA57" i="41" a="1"/>
  <c r="GA57" i="41" s="1"/>
  <c r="FZ57" i="41" a="1"/>
  <c r="FZ57" i="41" s="1"/>
  <c r="GE57" i="41" a="1"/>
  <c r="GE57" i="41" s="1"/>
  <c r="GB57" i="41" a="1"/>
  <c r="GB57" i="41" s="1"/>
  <c r="GF57" i="41" a="1"/>
  <c r="GF57" i="41" s="1"/>
  <c r="GC57" i="41" a="1"/>
  <c r="GC57" i="41" s="1"/>
  <c r="GD57" i="41" a="1"/>
  <c r="GD57" i="41" s="1"/>
  <c r="GA49" i="41" a="1"/>
  <c r="GA49" i="41" s="1"/>
  <c r="FZ49" i="41" a="1"/>
  <c r="FZ49" i="41" s="1"/>
  <c r="GE49" i="41" a="1"/>
  <c r="GE49" i="41" s="1"/>
  <c r="GF49" i="41" a="1"/>
  <c r="GF49" i="41" s="1"/>
  <c r="GD49" i="41" a="1"/>
  <c r="GD49" i="41" s="1"/>
  <c r="GC49" i="41" a="1"/>
  <c r="GC49" i="41" s="1"/>
  <c r="GB49" i="41" a="1"/>
  <c r="GB49" i="41" s="1"/>
  <c r="GA41" i="41" a="1"/>
  <c r="GA41" i="41" s="1"/>
  <c r="FZ41" i="41" a="1"/>
  <c r="FZ41" i="41" s="1"/>
  <c r="GE41" i="41" a="1"/>
  <c r="GE41" i="41" s="1"/>
  <c r="GF41" i="41" a="1"/>
  <c r="GF41" i="41" s="1"/>
  <c r="GD41" i="41" a="1"/>
  <c r="GD41" i="41" s="1"/>
  <c r="GC41" i="41" a="1"/>
  <c r="GC41" i="41" s="1"/>
  <c r="GB41" i="41" a="1"/>
  <c r="GB41" i="41" s="1"/>
  <c r="GE33" i="41" a="1"/>
  <c r="GE33" i="41" s="1"/>
  <c r="GD33" i="41" a="1"/>
  <c r="GD33" i="41" s="1"/>
  <c r="GC33" i="41" a="1"/>
  <c r="GC33" i="41" s="1"/>
  <c r="GB33" i="41" a="1"/>
  <c r="GB33" i="41" s="1"/>
  <c r="FZ33" i="41" a="1"/>
  <c r="FZ33" i="41" s="1"/>
  <c r="GF33" i="41" a="1"/>
  <c r="GF33" i="41" s="1"/>
  <c r="GA33" i="41" a="1"/>
  <c r="GA33" i="41" s="1"/>
  <c r="FY35" i="42"/>
  <c r="FY36" i="42"/>
  <c r="FY37" i="42"/>
  <c r="FY38" i="42"/>
  <c r="FY39" i="42"/>
  <c r="FY40" i="42"/>
  <c r="FY41" i="42"/>
  <c r="FY42" i="42"/>
  <c r="FY43" i="42"/>
  <c r="FY44" i="42"/>
  <c r="FY45" i="42"/>
  <c r="FY46" i="42"/>
  <c r="FY47" i="42"/>
  <c r="FY48" i="42"/>
  <c r="FY49" i="42"/>
  <c r="FY50" i="42"/>
  <c r="FY51" i="42"/>
  <c r="FY52" i="42"/>
  <c r="FY53" i="42"/>
  <c r="FY54" i="42"/>
  <c r="FY55" i="42"/>
  <c r="FY56" i="42"/>
  <c r="FY57" i="42"/>
  <c r="FY58" i="42"/>
  <c r="FY59" i="42"/>
  <c r="FY60" i="42"/>
  <c r="FY61" i="42"/>
  <c r="FY62" i="42"/>
  <c r="FY63" i="42"/>
  <c r="FY64" i="42"/>
  <c r="FY65" i="42"/>
  <c r="FY66" i="42"/>
  <c r="FY67" i="42"/>
  <c r="FY68" i="42"/>
  <c r="FY69" i="42"/>
  <c r="FY70" i="42"/>
  <c r="FY71" i="42"/>
  <c r="FY72" i="42"/>
  <c r="FY73" i="42"/>
  <c r="FY74" i="42"/>
  <c r="FY75" i="42"/>
  <c r="FY76" i="42"/>
  <c r="FY77" i="42"/>
  <c r="FY78" i="42"/>
  <c r="FY79" i="42"/>
  <c r="FY80" i="42"/>
  <c r="FY81" i="42"/>
  <c r="FY82" i="42"/>
  <c r="FY83" i="42"/>
  <c r="FY84" i="42"/>
  <c r="FY85" i="42"/>
  <c r="FY86" i="42"/>
  <c r="FY87" i="42"/>
  <c r="FY88" i="42"/>
  <c r="FY89" i="42"/>
  <c r="FY90" i="42"/>
  <c r="FY91" i="42"/>
  <c r="FY92" i="42"/>
  <c r="FY93" i="42"/>
  <c r="FY94" i="42"/>
  <c r="FY95" i="42"/>
  <c r="FY96" i="42"/>
  <c r="FY97" i="42"/>
  <c r="FY98" i="42"/>
  <c r="FY99" i="42"/>
  <c r="FY100" i="42"/>
  <c r="FY101" i="42"/>
  <c r="FY102" i="42"/>
  <c r="FY103" i="42"/>
  <c r="FY104" i="42"/>
  <c r="FY105" i="42"/>
  <c r="FY106" i="42"/>
  <c r="FY107" i="42"/>
  <c r="FY108" i="42"/>
  <c r="FY109" i="42"/>
  <c r="FY110" i="42"/>
  <c r="FY111" i="42"/>
  <c r="FY112" i="42"/>
  <c r="FY113" i="42"/>
  <c r="FY114" i="42"/>
  <c r="FY115" i="42"/>
  <c r="FY116" i="42"/>
  <c r="FY117" i="42"/>
  <c r="FY118" i="42"/>
  <c r="FY119" i="42"/>
  <c r="FY120" i="42"/>
  <c r="FY121" i="42"/>
  <c r="FY122" i="42"/>
  <c r="FY123" i="42"/>
  <c r="FY124" i="42"/>
  <c r="FY125" i="42"/>
  <c r="FY126" i="42"/>
  <c r="FY127" i="42"/>
  <c r="FY128" i="42"/>
  <c r="FY129" i="42"/>
  <c r="FY130" i="42"/>
  <c r="FY131" i="42"/>
  <c r="FY132" i="42"/>
  <c r="FY133" i="42"/>
  <c r="FY134" i="42"/>
  <c r="FY135" i="42"/>
  <c r="FY136" i="42"/>
  <c r="FY137" i="42"/>
  <c r="FY138" i="42"/>
  <c r="FY139" i="42"/>
  <c r="FY140" i="42"/>
  <c r="FY141" i="42"/>
  <c r="FY142" i="42"/>
  <c r="FY143" i="42"/>
  <c r="FY144" i="42"/>
  <c r="FY145" i="42"/>
  <c r="FY146" i="42"/>
  <c r="FY147" i="42"/>
  <c r="FY148" i="42"/>
  <c r="FY149" i="42"/>
  <c r="FY150" i="42"/>
  <c r="FY151" i="42"/>
  <c r="FY152" i="42"/>
  <c r="FY153" i="42"/>
  <c r="FY154" i="42"/>
  <c r="FY155" i="42"/>
  <c r="FY156" i="42"/>
  <c r="FY157" i="42"/>
  <c r="FY158" i="42"/>
  <c r="FY159" i="42"/>
  <c r="FY160" i="42"/>
  <c r="FY161" i="42"/>
  <c r="FY162" i="42"/>
  <c r="FY163" i="42"/>
  <c r="FY164" i="42"/>
  <c r="FY165" i="42"/>
  <c r="FY166" i="42"/>
  <c r="FY167" i="42"/>
  <c r="FY168" i="42"/>
  <c r="FY169" i="42"/>
  <c r="FY170" i="42"/>
  <c r="FY171" i="42"/>
  <c r="FY172" i="42"/>
  <c r="FY173" i="42"/>
  <c r="FY174" i="42"/>
  <c r="FY175" i="42"/>
  <c r="FY176" i="42"/>
  <c r="FY177" i="42"/>
  <c r="FY178" i="42"/>
  <c r="FY179" i="42"/>
  <c r="FY180" i="42"/>
  <c r="FY181" i="42"/>
  <c r="FY182" i="42"/>
  <c r="FY183" i="42"/>
  <c r="FY184" i="42"/>
  <c r="FY185" i="42"/>
  <c r="FY186" i="42"/>
  <c r="FY187" i="42"/>
  <c r="FY188" i="42"/>
  <c r="FY189" i="42"/>
  <c r="FY190" i="42"/>
  <c r="FY191" i="42"/>
  <c r="FY192" i="42"/>
  <c r="FY193" i="42"/>
  <c r="FY194" i="42"/>
  <c r="FY195" i="42"/>
  <c r="FY196" i="42"/>
  <c r="FY197" i="42"/>
  <c r="FY198" i="42"/>
  <c r="FY199" i="42"/>
  <c r="FY200" i="42"/>
  <c r="FY201" i="42"/>
  <c r="FY202" i="42"/>
  <c r="FY203" i="42"/>
  <c r="FY204" i="42"/>
  <c r="FY205" i="42"/>
  <c r="FY206" i="42"/>
  <c r="FY207" i="42"/>
  <c r="FY208" i="42"/>
  <c r="FY209" i="42"/>
  <c r="FY210" i="42"/>
  <c r="FY211" i="42"/>
  <c r="FY212" i="42"/>
  <c r="FY213" i="42"/>
  <c r="FY214" i="42"/>
  <c r="FY215" i="42"/>
  <c r="FY216" i="42"/>
  <c r="FY217" i="42"/>
  <c r="FY218" i="42"/>
  <c r="FY219" i="42"/>
  <c r="FY220" i="42"/>
  <c r="FY221" i="42"/>
  <c r="FY222" i="42"/>
  <c r="FY223" i="42"/>
  <c r="FY224" i="42"/>
  <c r="FY225" i="42"/>
  <c r="FY226" i="42"/>
  <c r="FY227" i="42"/>
  <c r="FY228" i="42"/>
  <c r="FY229" i="42"/>
  <c r="FY230" i="42"/>
  <c r="FY231" i="42"/>
  <c r="FY232" i="42"/>
  <c r="FY233" i="42"/>
  <c r="FY234" i="42"/>
  <c r="FY235" i="42"/>
  <c r="FY236" i="42"/>
  <c r="FY237" i="42"/>
  <c r="FY238" i="42"/>
  <c r="FY239" i="42"/>
  <c r="FY240" i="42"/>
  <c r="FY241" i="42"/>
  <c r="FY242" i="42"/>
  <c r="FY243" i="42"/>
  <c r="FY244" i="42"/>
  <c r="FY245" i="42"/>
  <c r="FY246" i="42"/>
  <c r="FY247" i="42"/>
  <c r="FY248" i="42"/>
  <c r="FY249" i="42"/>
  <c r="FY250" i="42"/>
  <c r="FY251" i="42"/>
  <c r="FY252" i="42"/>
  <c r="FY253" i="42"/>
  <c r="FY254" i="42"/>
  <c r="FY255" i="42"/>
  <c r="FY256" i="42"/>
  <c r="FY257" i="42"/>
  <c r="FY258" i="42"/>
  <c r="FY259" i="42"/>
  <c r="FY260" i="42"/>
  <c r="FY261" i="42"/>
  <c r="FY262" i="42"/>
  <c r="FY263" i="42"/>
  <c r="FY264" i="42"/>
  <c r="FY265" i="42"/>
  <c r="FY266" i="42"/>
  <c r="FY267" i="42"/>
  <c r="FY268" i="42"/>
  <c r="FY269" i="42"/>
  <c r="FY270" i="42"/>
  <c r="FY271" i="42"/>
  <c r="FY272" i="42"/>
  <c r="FY273" i="42"/>
  <c r="FY274" i="42"/>
  <c r="FY275" i="42"/>
  <c r="FY276" i="42"/>
  <c r="FY277" i="42"/>
  <c r="FY278" i="42"/>
  <c r="FY279" i="42"/>
  <c r="FY280" i="42"/>
  <c r="FY281" i="42"/>
  <c r="FY282" i="42"/>
  <c r="FY283" i="42"/>
  <c r="FY284" i="42"/>
  <c r="FY285" i="42"/>
  <c r="FY286" i="42"/>
  <c r="FY287" i="42"/>
  <c r="FY288" i="42"/>
  <c r="FZ266" i="42" l="1" a="1"/>
  <c r="FZ266" i="42" s="1"/>
  <c r="GF266" i="42" a="1"/>
  <c r="GF266" i="42" s="1"/>
  <c r="GE266" i="42" a="1"/>
  <c r="GE266" i="42" s="1"/>
  <c r="GD266" i="42" a="1"/>
  <c r="GD266" i="42" s="1"/>
  <c r="GC266" i="42" a="1"/>
  <c r="GC266" i="42" s="1"/>
  <c r="GB266" i="42" a="1"/>
  <c r="GB266" i="42" s="1"/>
  <c r="GA266" i="42" a="1"/>
  <c r="GA266" i="42" s="1"/>
  <c r="GA74" i="42" a="1"/>
  <c r="GA74" i="42" s="1"/>
  <c r="FZ74" i="42" a="1"/>
  <c r="FZ74" i="42" s="1"/>
  <c r="GE74" i="42" a="1"/>
  <c r="GE74" i="42" s="1"/>
  <c r="GF74" i="42" a="1"/>
  <c r="GF74" i="42" s="1"/>
  <c r="GC74" i="42" a="1"/>
  <c r="GC74" i="42" s="1"/>
  <c r="GB74" i="42" a="1"/>
  <c r="GB74" i="42" s="1"/>
  <c r="GD74" i="42" a="1"/>
  <c r="GD74" i="42" s="1"/>
  <c r="GA42" i="42" a="1"/>
  <c r="GA42" i="42" s="1"/>
  <c r="FZ42" i="42" a="1"/>
  <c r="FZ42" i="42" s="1"/>
  <c r="GE42" i="42" a="1"/>
  <c r="GE42" i="42" s="1"/>
  <c r="GF42" i="42" a="1"/>
  <c r="GF42" i="42" s="1"/>
  <c r="GD42" i="42" a="1"/>
  <c r="GD42" i="42" s="1"/>
  <c r="GC42" i="42" a="1"/>
  <c r="GC42" i="42" s="1"/>
  <c r="GB42" i="42" a="1"/>
  <c r="GB42" i="42" s="1"/>
  <c r="FZ129" i="42" a="1"/>
  <c r="FZ129" i="42" s="1"/>
  <c r="GF129" i="42" a="1"/>
  <c r="GF129" i="42" s="1"/>
  <c r="GE129" i="42" a="1"/>
  <c r="GE129" i="42" s="1"/>
  <c r="GD129" i="42" a="1"/>
  <c r="GD129" i="42" s="1"/>
  <c r="GC129" i="42" a="1"/>
  <c r="GC129" i="42" s="1"/>
  <c r="GB129" i="42" a="1"/>
  <c r="GB129" i="42" s="1"/>
  <c r="GA129" i="42" a="1"/>
  <c r="GA129" i="42" s="1"/>
  <c r="FZ121" i="42" a="1"/>
  <c r="FZ121" i="42" s="1"/>
  <c r="GF121" i="42" a="1"/>
  <c r="GF121" i="42" s="1"/>
  <c r="GE121" i="42" a="1"/>
  <c r="GE121" i="42" s="1"/>
  <c r="GD121" i="42" a="1"/>
  <c r="GD121" i="42" s="1"/>
  <c r="GC121" i="42" a="1"/>
  <c r="GC121" i="42" s="1"/>
  <c r="GB121" i="42" a="1"/>
  <c r="GB121" i="42" s="1"/>
  <c r="GA121" i="42" a="1"/>
  <c r="GA121" i="42" s="1"/>
  <c r="FZ113" i="42" a="1"/>
  <c r="FZ113" i="42" s="1"/>
  <c r="GF113" i="42" a="1"/>
  <c r="GF113" i="42" s="1"/>
  <c r="GE113" i="42" a="1"/>
  <c r="GE113" i="42" s="1"/>
  <c r="GD113" i="42" a="1"/>
  <c r="GD113" i="42" s="1"/>
  <c r="GA113" i="42" a="1"/>
  <c r="GA113" i="42" s="1"/>
  <c r="GC113" i="42" a="1"/>
  <c r="GC113" i="42" s="1"/>
  <c r="GB113" i="42" a="1"/>
  <c r="GB113" i="42" s="1"/>
  <c r="FZ105" i="42" a="1"/>
  <c r="FZ105" i="42" s="1"/>
  <c r="GF105" i="42" a="1"/>
  <c r="GF105" i="42" s="1"/>
  <c r="GE105" i="42" a="1"/>
  <c r="GE105" i="42" s="1"/>
  <c r="GD105" i="42" a="1"/>
  <c r="GD105" i="42" s="1"/>
  <c r="GC105" i="42" a="1"/>
  <c r="GC105" i="42" s="1"/>
  <c r="GB105" i="42" a="1"/>
  <c r="GB105" i="42" s="1"/>
  <c r="GA105" i="42" a="1"/>
  <c r="GA105" i="42" s="1"/>
  <c r="FZ97" i="42" a="1"/>
  <c r="FZ97" i="42" s="1"/>
  <c r="GD97" i="42" a="1"/>
  <c r="GD97" i="42" s="1"/>
  <c r="GE97" i="42" a="1"/>
  <c r="GE97" i="42" s="1"/>
  <c r="GC97" i="42" a="1"/>
  <c r="GC97" i="42" s="1"/>
  <c r="GB97" i="42" a="1"/>
  <c r="GB97" i="42" s="1"/>
  <c r="GA97" i="42" a="1"/>
  <c r="GA97" i="42" s="1"/>
  <c r="GF97" i="42" a="1"/>
  <c r="GF97" i="42" s="1"/>
  <c r="FZ89" i="42" a="1"/>
  <c r="FZ89" i="42" s="1"/>
  <c r="GD89" i="42" a="1"/>
  <c r="GD89" i="42" s="1"/>
  <c r="GF89" i="42" a="1"/>
  <c r="GF89" i="42" s="1"/>
  <c r="GE89" i="42" a="1"/>
  <c r="GE89" i="42" s="1"/>
  <c r="GC89" i="42" a="1"/>
  <c r="GC89" i="42" s="1"/>
  <c r="GA89" i="42" a="1"/>
  <c r="GA89" i="42" s="1"/>
  <c r="GB89" i="42" a="1"/>
  <c r="GB89" i="42" s="1"/>
  <c r="FZ81" i="42" a="1"/>
  <c r="FZ81" i="42" s="1"/>
  <c r="GD81" i="42" a="1"/>
  <c r="GD81" i="42" s="1"/>
  <c r="GB81" i="42" a="1"/>
  <c r="GB81" i="42" s="1"/>
  <c r="GA81" i="42" a="1"/>
  <c r="GA81" i="42" s="1"/>
  <c r="GF81" i="42" a="1"/>
  <c r="GF81" i="42" s="1"/>
  <c r="GE81" i="42" a="1"/>
  <c r="GE81" i="42" s="1"/>
  <c r="GC81" i="42" a="1"/>
  <c r="GC81" i="42" s="1"/>
  <c r="FZ73" i="42" a="1"/>
  <c r="FZ73" i="42" s="1"/>
  <c r="GD73" i="42" a="1"/>
  <c r="GD73" i="42" s="1"/>
  <c r="GF73" i="42" a="1"/>
  <c r="GF73" i="42" s="1"/>
  <c r="GE73" i="42" a="1"/>
  <c r="GE73" i="42" s="1"/>
  <c r="GC73" i="42" a="1"/>
  <c r="GC73" i="42" s="1"/>
  <c r="GB73" i="42" a="1"/>
  <c r="GB73" i="42" s="1"/>
  <c r="GA73" i="42" a="1"/>
  <c r="GA73" i="42" s="1"/>
  <c r="FZ65" i="42" a="1"/>
  <c r="FZ65" i="42" s="1"/>
  <c r="GD65" i="42" a="1"/>
  <c r="GD65" i="42" s="1"/>
  <c r="GF65" i="42" a="1"/>
  <c r="GF65" i="42" s="1"/>
  <c r="GE65" i="42" a="1"/>
  <c r="GE65" i="42" s="1"/>
  <c r="GA65" i="42" a="1"/>
  <c r="GA65" i="42" s="1"/>
  <c r="GB65" i="42" a="1"/>
  <c r="GB65" i="42" s="1"/>
  <c r="GC65" i="42" a="1"/>
  <c r="GC65" i="42" s="1"/>
  <c r="FZ57" i="42" a="1"/>
  <c r="FZ57" i="42" s="1"/>
  <c r="GD57" i="42" a="1"/>
  <c r="GD57" i="42" s="1"/>
  <c r="GC57" i="42" a="1"/>
  <c r="GC57" i="42" s="1"/>
  <c r="GB57" i="42" a="1"/>
  <c r="GB57" i="42" s="1"/>
  <c r="GA57" i="42" a="1"/>
  <c r="GA57" i="42" s="1"/>
  <c r="GF57" i="42" a="1"/>
  <c r="GF57" i="42" s="1"/>
  <c r="GE57" i="42" a="1"/>
  <c r="GE57" i="42" s="1"/>
  <c r="FZ49" i="42" a="1"/>
  <c r="FZ49" i="42" s="1"/>
  <c r="GD49" i="42" a="1"/>
  <c r="GD49" i="42" s="1"/>
  <c r="GF49" i="42" a="1"/>
  <c r="GF49" i="42" s="1"/>
  <c r="GE49" i="42" a="1"/>
  <c r="GE49" i="42" s="1"/>
  <c r="GC49" i="42" a="1"/>
  <c r="GC49" i="42" s="1"/>
  <c r="GB49" i="42" a="1"/>
  <c r="GB49" i="42" s="1"/>
  <c r="GA49" i="42" a="1"/>
  <c r="GA49" i="42" s="1"/>
  <c r="FZ41" i="42" a="1"/>
  <c r="FZ41" i="42" s="1"/>
  <c r="GD41" i="42" a="1"/>
  <c r="GD41" i="42" s="1"/>
  <c r="GA41" i="42" a="1"/>
  <c r="GA41" i="42" s="1"/>
  <c r="GF41" i="42" a="1"/>
  <c r="GF41" i="42" s="1"/>
  <c r="GE41" i="42" a="1"/>
  <c r="GE41" i="42" s="1"/>
  <c r="GC41" i="42" a="1"/>
  <c r="GC41" i="42" s="1"/>
  <c r="GB41" i="42" a="1"/>
  <c r="GB41" i="42" s="1"/>
  <c r="FZ242" i="42" a="1"/>
  <c r="FZ242" i="42" s="1"/>
  <c r="GD242" i="42" a="1"/>
  <c r="GD242" i="42" s="1"/>
  <c r="GE242" i="42" a="1"/>
  <c r="GE242" i="42" s="1"/>
  <c r="GC242" i="42" a="1"/>
  <c r="GC242" i="42" s="1"/>
  <c r="GB242" i="42" a="1"/>
  <c r="GB242" i="42" s="1"/>
  <c r="GA242" i="42" a="1"/>
  <c r="GA242" i="42" s="1"/>
  <c r="GF242" i="42" a="1"/>
  <c r="GF242" i="42" s="1"/>
  <c r="FZ226" i="42" a="1"/>
  <c r="FZ226" i="42" s="1"/>
  <c r="GD226" i="42" a="1"/>
  <c r="GD226" i="42" s="1"/>
  <c r="GB226" i="42" a="1"/>
  <c r="GB226" i="42" s="1"/>
  <c r="GA226" i="42" a="1"/>
  <c r="GA226" i="42" s="1"/>
  <c r="GF226" i="42" a="1"/>
  <c r="GF226" i="42" s="1"/>
  <c r="GE226" i="42" a="1"/>
  <c r="GE226" i="42" s="1"/>
  <c r="GC226" i="42" a="1"/>
  <c r="GC226" i="42" s="1"/>
  <c r="FZ210" i="42" a="1"/>
  <c r="FZ210" i="42" s="1"/>
  <c r="GD210" i="42" a="1"/>
  <c r="GD210" i="42" s="1"/>
  <c r="GF210" i="42" a="1"/>
  <c r="GF210" i="42" s="1"/>
  <c r="GE210" i="42" a="1"/>
  <c r="GE210" i="42" s="1"/>
  <c r="GC210" i="42" a="1"/>
  <c r="GC210" i="42" s="1"/>
  <c r="GB210" i="42" a="1"/>
  <c r="GB210" i="42" s="1"/>
  <c r="GA210" i="42" a="1"/>
  <c r="GA210" i="42" s="1"/>
  <c r="FZ202" i="42" a="1"/>
  <c r="FZ202" i="42" s="1"/>
  <c r="GD202" i="42" a="1"/>
  <c r="GD202" i="42" s="1"/>
  <c r="GC202" i="42" a="1"/>
  <c r="GC202" i="42" s="1"/>
  <c r="GB202" i="42" a="1"/>
  <c r="GB202" i="42" s="1"/>
  <c r="GF202" i="42" a="1"/>
  <c r="GF202" i="42" s="1"/>
  <c r="GE202" i="42" a="1"/>
  <c r="GE202" i="42" s="1"/>
  <c r="GA202" i="42" a="1"/>
  <c r="GA202" i="42" s="1"/>
  <c r="FZ178" i="42" a="1"/>
  <c r="FZ178" i="42" s="1"/>
  <c r="GD178" i="42" a="1"/>
  <c r="GD178" i="42" s="1"/>
  <c r="GF178" i="42" a="1"/>
  <c r="GF178" i="42" s="1"/>
  <c r="GE178" i="42" a="1"/>
  <c r="GE178" i="42" s="1"/>
  <c r="GC178" i="42" a="1"/>
  <c r="GC178" i="42" s="1"/>
  <c r="GB178" i="42" a="1"/>
  <c r="GB178" i="42" s="1"/>
  <c r="GA178" i="42" a="1"/>
  <c r="GA178" i="42" s="1"/>
  <c r="FZ146" i="42" a="1"/>
  <c r="FZ146" i="42" s="1"/>
  <c r="GD146" i="42" a="1"/>
  <c r="GD146" i="42" s="1"/>
  <c r="GE146" i="42" a="1"/>
  <c r="GE146" i="42" s="1"/>
  <c r="GC146" i="42" a="1"/>
  <c r="GC146" i="42" s="1"/>
  <c r="GB146" i="42" a="1"/>
  <c r="GB146" i="42" s="1"/>
  <c r="GA146" i="42" a="1"/>
  <c r="GA146" i="42" s="1"/>
  <c r="GF146" i="42" a="1"/>
  <c r="GF146" i="42" s="1"/>
  <c r="GA114" i="42" a="1"/>
  <c r="GA114" i="42" s="1"/>
  <c r="FZ114" i="42" a="1"/>
  <c r="FZ114" i="42" s="1"/>
  <c r="GF114" i="42" a="1"/>
  <c r="GF114" i="42" s="1"/>
  <c r="GE114" i="42" a="1"/>
  <c r="GE114" i="42" s="1"/>
  <c r="GD114" i="42" a="1"/>
  <c r="GD114" i="42" s="1"/>
  <c r="GC114" i="42" a="1"/>
  <c r="GC114" i="42" s="1"/>
  <c r="GB114" i="42" a="1"/>
  <c r="GB114" i="42" s="1"/>
  <c r="GF120" i="42" a="1"/>
  <c r="GF120" i="42" s="1"/>
  <c r="GE120" i="42" a="1"/>
  <c r="GE120" i="42" s="1"/>
  <c r="GD120" i="42" a="1"/>
  <c r="GD120" i="42" s="1"/>
  <c r="GC120" i="42" a="1"/>
  <c r="GC120" i="42" s="1"/>
  <c r="GB120" i="42" a="1"/>
  <c r="GB120" i="42" s="1"/>
  <c r="GA120" i="42" a="1"/>
  <c r="GA120" i="42" s="1"/>
  <c r="FZ120" i="42" a="1"/>
  <c r="FZ120" i="42" s="1"/>
  <c r="GF112" i="42" a="1"/>
  <c r="GF112" i="42" s="1"/>
  <c r="GE112" i="42" a="1"/>
  <c r="GE112" i="42" s="1"/>
  <c r="GD112" i="42" a="1"/>
  <c r="GD112" i="42" s="1"/>
  <c r="GC112" i="42" a="1"/>
  <c r="GC112" i="42" s="1"/>
  <c r="GB112" i="42" a="1"/>
  <c r="GB112" i="42" s="1"/>
  <c r="GA112" i="42" a="1"/>
  <c r="GA112" i="42" s="1"/>
  <c r="FZ112" i="42" a="1"/>
  <c r="FZ112" i="42" s="1"/>
  <c r="GF104" i="42" a="1"/>
  <c r="GF104" i="42" s="1"/>
  <c r="GE104" i="42" a="1"/>
  <c r="GE104" i="42" s="1"/>
  <c r="GD104" i="42" a="1"/>
  <c r="GD104" i="42" s="1"/>
  <c r="GC104" i="42" a="1"/>
  <c r="GC104" i="42" s="1"/>
  <c r="GA104" i="42" a="1"/>
  <c r="GA104" i="42" s="1"/>
  <c r="FZ104" i="42" a="1"/>
  <c r="FZ104" i="42" s="1"/>
  <c r="GB104" i="42" a="1"/>
  <c r="GB104" i="42" s="1"/>
  <c r="GF96" i="42" a="1"/>
  <c r="GF96" i="42" s="1"/>
  <c r="GC96" i="42" a="1"/>
  <c r="GC96" i="42" s="1"/>
  <c r="FZ96" i="42" a="1"/>
  <c r="FZ96" i="42" s="1"/>
  <c r="GE96" i="42" a="1"/>
  <c r="GE96" i="42" s="1"/>
  <c r="GD96" i="42" a="1"/>
  <c r="GD96" i="42" s="1"/>
  <c r="GB96" i="42" a="1"/>
  <c r="GB96" i="42" s="1"/>
  <c r="GA96" i="42" a="1"/>
  <c r="GA96" i="42" s="1"/>
  <c r="GF88" i="42" a="1"/>
  <c r="GF88" i="42" s="1"/>
  <c r="GC88" i="42" a="1"/>
  <c r="GC88" i="42" s="1"/>
  <c r="GD88" i="42" a="1"/>
  <c r="GD88" i="42" s="1"/>
  <c r="GB88" i="42" a="1"/>
  <c r="GB88" i="42" s="1"/>
  <c r="GA88" i="42" a="1"/>
  <c r="GA88" i="42" s="1"/>
  <c r="FZ88" i="42" a="1"/>
  <c r="FZ88" i="42" s="1"/>
  <c r="GE88" i="42" a="1"/>
  <c r="GE88" i="42" s="1"/>
  <c r="GF80" i="42" a="1"/>
  <c r="GF80" i="42" s="1"/>
  <c r="GC80" i="42" a="1"/>
  <c r="GC80" i="42" s="1"/>
  <c r="GE80" i="42" a="1"/>
  <c r="GE80" i="42" s="1"/>
  <c r="GD80" i="42" a="1"/>
  <c r="GD80" i="42" s="1"/>
  <c r="GB80" i="42" a="1"/>
  <c r="GB80" i="42" s="1"/>
  <c r="GA80" i="42" a="1"/>
  <c r="GA80" i="42" s="1"/>
  <c r="FZ80" i="42" a="1"/>
  <c r="FZ80" i="42" s="1"/>
  <c r="GF72" i="42" a="1"/>
  <c r="GF72" i="42" s="1"/>
  <c r="GC72" i="42" a="1"/>
  <c r="GC72" i="42" s="1"/>
  <c r="GA72" i="42" a="1"/>
  <c r="GA72" i="42" s="1"/>
  <c r="FZ72" i="42" a="1"/>
  <c r="FZ72" i="42" s="1"/>
  <c r="GE72" i="42" a="1"/>
  <c r="GE72" i="42" s="1"/>
  <c r="GD72" i="42" a="1"/>
  <c r="GD72" i="42" s="1"/>
  <c r="GB72" i="42" a="1"/>
  <c r="GB72" i="42" s="1"/>
  <c r="GF64" i="42" a="1"/>
  <c r="GF64" i="42" s="1"/>
  <c r="GC64" i="42" a="1"/>
  <c r="GC64" i="42" s="1"/>
  <c r="GE64" i="42" a="1"/>
  <c r="GE64" i="42" s="1"/>
  <c r="GD64" i="42" a="1"/>
  <c r="GD64" i="42" s="1"/>
  <c r="GB64" i="42" a="1"/>
  <c r="GB64" i="42" s="1"/>
  <c r="GA64" i="42" a="1"/>
  <c r="GA64" i="42" s="1"/>
  <c r="FZ64" i="42" a="1"/>
  <c r="FZ64" i="42" s="1"/>
  <c r="GF40" i="42" a="1"/>
  <c r="GF40" i="42" s="1"/>
  <c r="GC40" i="42" a="1"/>
  <c r="GC40" i="42" s="1"/>
  <c r="GE40" i="42" a="1"/>
  <c r="GE40" i="42" s="1"/>
  <c r="GD40" i="42" a="1"/>
  <c r="GD40" i="42" s="1"/>
  <c r="GB40" i="42" a="1"/>
  <c r="GB40" i="42" s="1"/>
  <c r="GA40" i="42" a="1"/>
  <c r="GA40" i="42" s="1"/>
  <c r="FZ40" i="42" a="1"/>
  <c r="FZ40" i="42" s="1"/>
  <c r="GA66" i="42" a="1"/>
  <c r="GA66" i="42" s="1"/>
  <c r="FZ66" i="42" a="1"/>
  <c r="FZ66" i="42" s="1"/>
  <c r="GE66" i="42" a="1"/>
  <c r="GE66" i="42" s="1"/>
  <c r="GD66" i="42" a="1"/>
  <c r="GD66" i="42" s="1"/>
  <c r="GC66" i="42" a="1"/>
  <c r="GC66" i="42" s="1"/>
  <c r="GB66" i="42" a="1"/>
  <c r="GB66" i="42" s="1"/>
  <c r="GF66" i="42" a="1"/>
  <c r="GF66" i="42" s="1"/>
  <c r="GF47" i="42" a="1"/>
  <c r="GF47" i="42" s="1"/>
  <c r="GE47" i="42" a="1"/>
  <c r="GE47" i="42" s="1"/>
  <c r="GB47" i="42" a="1"/>
  <c r="GB47" i="42" s="1"/>
  <c r="GD47" i="42" a="1"/>
  <c r="GD47" i="42" s="1"/>
  <c r="GC47" i="42" a="1"/>
  <c r="GC47" i="42" s="1"/>
  <c r="GA47" i="42" a="1"/>
  <c r="GA47" i="42" s="1"/>
  <c r="FZ47" i="42" a="1"/>
  <c r="FZ47" i="42" s="1"/>
  <c r="GF39" i="42" a="1"/>
  <c r="GF39" i="42" s="1"/>
  <c r="GE39" i="42" a="1"/>
  <c r="GE39" i="42" s="1"/>
  <c r="GB39" i="42" a="1"/>
  <c r="GB39" i="42" s="1"/>
  <c r="GA39" i="42" a="1"/>
  <c r="GA39" i="42" s="1"/>
  <c r="FZ39" i="42" a="1"/>
  <c r="FZ39" i="42" s="1"/>
  <c r="GD39" i="42" a="1"/>
  <c r="GD39" i="42" s="1"/>
  <c r="GC39" i="42" a="1"/>
  <c r="GC39" i="42" s="1"/>
  <c r="FZ170" i="42" a="1"/>
  <c r="FZ170" i="42" s="1"/>
  <c r="GD170" i="42" a="1"/>
  <c r="GD170" i="42" s="1"/>
  <c r="GC170" i="42" a="1"/>
  <c r="GC170" i="42" s="1"/>
  <c r="GB170" i="42" a="1"/>
  <c r="GB170" i="42" s="1"/>
  <c r="GA170" i="42" a="1"/>
  <c r="GA170" i="42" s="1"/>
  <c r="GF170" i="42" a="1"/>
  <c r="GF170" i="42" s="1"/>
  <c r="GE170" i="42" a="1"/>
  <c r="GE170" i="42" s="1"/>
  <c r="GF217" i="42" a="1"/>
  <c r="GF217" i="42" s="1"/>
  <c r="GC217" i="42" a="1"/>
  <c r="GC217" i="42" s="1"/>
  <c r="GA217" i="42" a="1"/>
  <c r="GA217" i="42" s="1"/>
  <c r="FZ217" i="42" a="1"/>
  <c r="FZ217" i="42" s="1"/>
  <c r="GD217" i="42" a="1"/>
  <c r="GD217" i="42" s="1"/>
  <c r="GB217" i="42" a="1"/>
  <c r="GB217" i="42" s="1"/>
  <c r="GE217" i="42" a="1"/>
  <c r="GE217" i="42" s="1"/>
  <c r="GF169" i="42" a="1"/>
  <c r="GF169" i="42" s="1"/>
  <c r="GC169" i="42" a="1"/>
  <c r="GC169" i="42" s="1"/>
  <c r="GE169" i="42" a="1"/>
  <c r="GE169" i="42" s="1"/>
  <c r="GD169" i="42" a="1"/>
  <c r="GD169" i="42" s="1"/>
  <c r="GB169" i="42" a="1"/>
  <c r="GB169" i="42" s="1"/>
  <c r="GA169" i="42" a="1"/>
  <c r="GA169" i="42" s="1"/>
  <c r="FZ169" i="42" a="1"/>
  <c r="FZ169" i="42" s="1"/>
  <c r="GF145" i="42" a="1"/>
  <c r="GF145" i="42" s="1"/>
  <c r="GC145" i="42" a="1"/>
  <c r="GC145" i="42" s="1"/>
  <c r="FZ145" i="42" a="1"/>
  <c r="FZ145" i="42" s="1"/>
  <c r="GE145" i="42" a="1"/>
  <c r="GE145" i="42" s="1"/>
  <c r="GD145" i="42" a="1"/>
  <c r="GD145" i="42" s="1"/>
  <c r="GB145" i="42" a="1"/>
  <c r="GB145" i="42" s="1"/>
  <c r="GA145" i="42" a="1"/>
  <c r="GA145" i="42" s="1"/>
  <c r="GF272" i="42" a="1"/>
  <c r="GF272" i="42" s="1"/>
  <c r="GE272" i="42" a="1"/>
  <c r="GE272" i="42" s="1"/>
  <c r="GD272" i="42" a="1"/>
  <c r="GD272" i="42" s="1"/>
  <c r="GC272" i="42" a="1"/>
  <c r="GC272" i="42" s="1"/>
  <c r="GB272" i="42" a="1"/>
  <c r="GB272" i="42" s="1"/>
  <c r="GA272" i="42" a="1"/>
  <c r="GA272" i="42" s="1"/>
  <c r="FZ272" i="42" a="1"/>
  <c r="FZ272" i="42" s="1"/>
  <c r="GF248" i="42" a="1"/>
  <c r="GF248" i="42" s="1"/>
  <c r="GE248" i="42" a="1"/>
  <c r="GE248" i="42" s="1"/>
  <c r="GD248" i="42" a="1"/>
  <c r="GD248" i="42" s="1"/>
  <c r="GC248" i="42" a="1"/>
  <c r="GC248" i="42" s="1"/>
  <c r="GB248" i="42" a="1"/>
  <c r="GB248" i="42" s="1"/>
  <c r="GA248" i="42" a="1"/>
  <c r="GA248" i="42" s="1"/>
  <c r="FZ248" i="42" a="1"/>
  <c r="FZ248" i="42" s="1"/>
  <c r="GF232" i="42" a="1"/>
  <c r="GF232" i="42" s="1"/>
  <c r="GE232" i="42" a="1"/>
  <c r="GE232" i="42" s="1"/>
  <c r="GB232" i="42" a="1"/>
  <c r="GB232" i="42" s="1"/>
  <c r="GD232" i="42" a="1"/>
  <c r="GD232" i="42" s="1"/>
  <c r="GA232" i="42" a="1"/>
  <c r="GA232" i="42" s="1"/>
  <c r="FZ232" i="42" a="1"/>
  <c r="FZ232" i="42" s="1"/>
  <c r="GC232" i="42" a="1"/>
  <c r="GC232" i="42" s="1"/>
  <c r="GF200" i="42" a="1"/>
  <c r="GF200" i="42" s="1"/>
  <c r="GE200" i="42" a="1"/>
  <c r="GE200" i="42" s="1"/>
  <c r="GB200" i="42" a="1"/>
  <c r="GB200" i="42" s="1"/>
  <c r="GD200" i="42" a="1"/>
  <c r="GD200" i="42" s="1"/>
  <c r="GC200" i="42" a="1"/>
  <c r="GC200" i="42" s="1"/>
  <c r="GA200" i="42" a="1"/>
  <c r="GA200" i="42" s="1"/>
  <c r="FZ200" i="42" a="1"/>
  <c r="FZ200" i="42" s="1"/>
  <c r="GF176" i="42" a="1"/>
  <c r="GF176" i="42" s="1"/>
  <c r="GE176" i="42" a="1"/>
  <c r="GE176" i="42" s="1"/>
  <c r="GB176" i="42" a="1"/>
  <c r="GB176" i="42" s="1"/>
  <c r="FZ176" i="42" a="1"/>
  <c r="FZ176" i="42" s="1"/>
  <c r="GA176" i="42" a="1"/>
  <c r="GA176" i="42" s="1"/>
  <c r="GD176" i="42" a="1"/>
  <c r="GD176" i="42" s="1"/>
  <c r="GC176" i="42" a="1"/>
  <c r="GC176" i="42" s="1"/>
  <c r="GF128" i="42" a="1"/>
  <c r="GF128" i="42" s="1"/>
  <c r="GE128" i="42" a="1"/>
  <c r="GE128" i="42" s="1"/>
  <c r="GD128" i="42" a="1"/>
  <c r="GD128" i="42" s="1"/>
  <c r="GC128" i="42" a="1"/>
  <c r="GC128" i="42" s="1"/>
  <c r="FZ128" i="42" a="1"/>
  <c r="FZ128" i="42" s="1"/>
  <c r="GB128" i="42" a="1"/>
  <c r="GB128" i="42" s="1"/>
  <c r="GA128" i="42" a="1"/>
  <c r="GA128" i="42" s="1"/>
  <c r="GF56" i="42" a="1"/>
  <c r="GF56" i="42" s="1"/>
  <c r="GC56" i="42" a="1"/>
  <c r="GC56" i="42" s="1"/>
  <c r="GE56" i="42" a="1"/>
  <c r="GE56" i="42" s="1"/>
  <c r="GD56" i="42" a="1"/>
  <c r="GD56" i="42" s="1"/>
  <c r="GB56" i="42" a="1"/>
  <c r="GB56" i="42" s="1"/>
  <c r="GA56" i="42" a="1"/>
  <c r="GA56" i="42" s="1"/>
  <c r="FZ56" i="42" a="1"/>
  <c r="FZ56" i="42" s="1"/>
  <c r="GE279" i="42" a="1"/>
  <c r="GE279" i="42" s="1"/>
  <c r="GD279" i="42" a="1"/>
  <c r="GD279" i="42" s="1"/>
  <c r="GC279" i="42" a="1"/>
  <c r="GC279" i="42" s="1"/>
  <c r="GB279" i="42" a="1"/>
  <c r="GB279" i="42" s="1"/>
  <c r="GA279" i="42" a="1"/>
  <c r="GA279" i="42" s="1"/>
  <c r="FZ279" i="42" a="1"/>
  <c r="FZ279" i="42" s="1"/>
  <c r="GF279" i="42" a="1"/>
  <c r="GF279" i="42" s="1"/>
  <c r="GE263" i="42" a="1"/>
  <c r="GE263" i="42" s="1"/>
  <c r="GD263" i="42" a="1"/>
  <c r="GD263" i="42" s="1"/>
  <c r="GC263" i="42" a="1"/>
  <c r="GC263" i="42" s="1"/>
  <c r="GB263" i="42" a="1"/>
  <c r="GB263" i="42" s="1"/>
  <c r="GA263" i="42" a="1"/>
  <c r="GA263" i="42" s="1"/>
  <c r="GF263" i="42" a="1"/>
  <c r="GF263" i="42" s="1"/>
  <c r="FZ263" i="42" a="1"/>
  <c r="FZ263" i="42" s="1"/>
  <c r="GE247" i="42" a="1"/>
  <c r="GE247" i="42" s="1"/>
  <c r="GD247" i="42" a="1"/>
  <c r="GD247" i="42" s="1"/>
  <c r="GC247" i="42" a="1"/>
  <c r="GC247" i="42" s="1"/>
  <c r="GA247" i="42" a="1"/>
  <c r="GA247" i="42" s="1"/>
  <c r="GF247" i="42" a="1"/>
  <c r="GF247" i="42" s="1"/>
  <c r="GB247" i="42" a="1"/>
  <c r="GB247" i="42" s="1"/>
  <c r="FZ247" i="42" a="1"/>
  <c r="FZ247" i="42" s="1"/>
  <c r="GE231" i="42" a="1"/>
  <c r="GE231" i="42" s="1"/>
  <c r="GD231" i="42" a="1"/>
  <c r="GD231" i="42" s="1"/>
  <c r="GA231" i="42" a="1"/>
  <c r="GA231" i="42" s="1"/>
  <c r="GF231" i="42" a="1"/>
  <c r="GF231" i="42" s="1"/>
  <c r="GC231" i="42" a="1"/>
  <c r="GC231" i="42" s="1"/>
  <c r="GB231" i="42" a="1"/>
  <c r="GB231" i="42" s="1"/>
  <c r="FZ231" i="42" a="1"/>
  <c r="FZ231" i="42" s="1"/>
  <c r="GE215" i="42" a="1"/>
  <c r="GE215" i="42" s="1"/>
  <c r="GD215" i="42" a="1"/>
  <c r="GD215" i="42" s="1"/>
  <c r="GA215" i="42" a="1"/>
  <c r="GA215" i="42" s="1"/>
  <c r="GB215" i="42" a="1"/>
  <c r="GB215" i="42" s="1"/>
  <c r="FZ215" i="42" a="1"/>
  <c r="FZ215" i="42" s="1"/>
  <c r="GF215" i="42" a="1"/>
  <c r="GF215" i="42" s="1"/>
  <c r="GC215" i="42" a="1"/>
  <c r="GC215" i="42" s="1"/>
  <c r="GE199" i="42" a="1"/>
  <c r="GE199" i="42" s="1"/>
  <c r="GD199" i="42" a="1"/>
  <c r="GD199" i="42" s="1"/>
  <c r="GA199" i="42" a="1"/>
  <c r="GA199" i="42" s="1"/>
  <c r="GF199" i="42" a="1"/>
  <c r="GF199" i="42" s="1"/>
  <c r="GB199" i="42" a="1"/>
  <c r="GB199" i="42" s="1"/>
  <c r="FZ199" i="42" a="1"/>
  <c r="FZ199" i="42" s="1"/>
  <c r="GC199" i="42" a="1"/>
  <c r="GC199" i="42" s="1"/>
  <c r="GE183" i="42" a="1"/>
  <c r="GE183" i="42" s="1"/>
  <c r="GD183" i="42" a="1"/>
  <c r="GD183" i="42" s="1"/>
  <c r="GA183" i="42" a="1"/>
  <c r="GA183" i="42" s="1"/>
  <c r="GB183" i="42" a="1"/>
  <c r="GB183" i="42" s="1"/>
  <c r="FZ183" i="42" a="1"/>
  <c r="FZ183" i="42" s="1"/>
  <c r="GF183" i="42" a="1"/>
  <c r="GF183" i="42" s="1"/>
  <c r="GC183" i="42" a="1"/>
  <c r="GC183" i="42" s="1"/>
  <c r="GE167" i="42" a="1"/>
  <c r="GE167" i="42" s="1"/>
  <c r="GD167" i="42" a="1"/>
  <c r="GD167" i="42" s="1"/>
  <c r="GA167" i="42" a="1"/>
  <c r="GA167" i="42" s="1"/>
  <c r="GF167" i="42" a="1"/>
  <c r="GF167" i="42" s="1"/>
  <c r="GC167" i="42" a="1"/>
  <c r="GC167" i="42" s="1"/>
  <c r="GB167" i="42" a="1"/>
  <c r="GB167" i="42" s="1"/>
  <c r="FZ167" i="42" a="1"/>
  <c r="FZ167" i="42" s="1"/>
  <c r="GE151" i="42" a="1"/>
  <c r="GE151" i="42" s="1"/>
  <c r="GD151" i="42" a="1"/>
  <c r="GD151" i="42" s="1"/>
  <c r="GA151" i="42" a="1"/>
  <c r="GA151" i="42" s="1"/>
  <c r="GF151" i="42" a="1"/>
  <c r="GF151" i="42" s="1"/>
  <c r="GC151" i="42" a="1"/>
  <c r="GC151" i="42" s="1"/>
  <c r="GB151" i="42" a="1"/>
  <c r="GB151" i="42" s="1"/>
  <c r="FZ151" i="42" a="1"/>
  <c r="FZ151" i="42" s="1"/>
  <c r="GF135" i="42" a="1"/>
  <c r="GF135" i="42" s="1"/>
  <c r="GE135" i="42" a="1"/>
  <c r="GE135" i="42" s="1"/>
  <c r="GD135" i="42" a="1"/>
  <c r="GD135" i="42" s="1"/>
  <c r="GC135" i="42" a="1"/>
  <c r="GC135" i="42" s="1"/>
  <c r="GB135" i="42" a="1"/>
  <c r="GB135" i="42" s="1"/>
  <c r="GA135" i="42" a="1"/>
  <c r="GA135" i="42" s="1"/>
  <c r="FZ135" i="42" a="1"/>
  <c r="FZ135" i="42" s="1"/>
  <c r="GF119" i="42" a="1"/>
  <c r="GF119" i="42" s="1"/>
  <c r="GE119" i="42" a="1"/>
  <c r="GE119" i="42" s="1"/>
  <c r="GD119" i="42" a="1"/>
  <c r="GD119" i="42" s="1"/>
  <c r="GC119" i="42" a="1"/>
  <c r="GC119" i="42" s="1"/>
  <c r="GB119" i="42" a="1"/>
  <c r="GB119" i="42" s="1"/>
  <c r="GA119" i="42" a="1"/>
  <c r="GA119" i="42" s="1"/>
  <c r="FZ119" i="42" a="1"/>
  <c r="FZ119" i="42" s="1"/>
  <c r="GF103" i="42" a="1"/>
  <c r="GF103" i="42" s="1"/>
  <c r="GE103" i="42" a="1"/>
  <c r="GE103" i="42" s="1"/>
  <c r="GD103" i="42" a="1"/>
  <c r="GD103" i="42" s="1"/>
  <c r="GC103" i="42" a="1"/>
  <c r="GC103" i="42" s="1"/>
  <c r="GB103" i="42" a="1"/>
  <c r="GB103" i="42" s="1"/>
  <c r="GA103" i="42" a="1"/>
  <c r="GA103" i="42" s="1"/>
  <c r="FZ103" i="42" a="1"/>
  <c r="FZ103" i="42" s="1"/>
  <c r="GF87" i="42" a="1"/>
  <c r="GF87" i="42" s="1"/>
  <c r="GE87" i="42" a="1"/>
  <c r="GE87" i="42" s="1"/>
  <c r="GB87" i="42" a="1"/>
  <c r="GB87" i="42" s="1"/>
  <c r="GD87" i="42" a="1"/>
  <c r="GD87" i="42" s="1"/>
  <c r="GC87" i="42" a="1"/>
  <c r="GC87" i="42" s="1"/>
  <c r="GA87" i="42" a="1"/>
  <c r="GA87" i="42" s="1"/>
  <c r="FZ87" i="42" a="1"/>
  <c r="FZ87" i="42" s="1"/>
  <c r="GF71" i="42" a="1"/>
  <c r="GF71" i="42" s="1"/>
  <c r="GE71" i="42" a="1"/>
  <c r="GE71" i="42" s="1"/>
  <c r="GB71" i="42" a="1"/>
  <c r="GB71" i="42" s="1"/>
  <c r="GD71" i="42" a="1"/>
  <c r="GD71" i="42" s="1"/>
  <c r="GC71" i="42" a="1"/>
  <c r="GC71" i="42" s="1"/>
  <c r="GA71" i="42" a="1"/>
  <c r="GA71" i="42" s="1"/>
  <c r="FZ71" i="42" a="1"/>
  <c r="FZ71" i="42" s="1"/>
  <c r="GF55" i="42" a="1"/>
  <c r="GF55" i="42" s="1"/>
  <c r="GE55" i="42" a="1"/>
  <c r="GE55" i="42" s="1"/>
  <c r="GB55" i="42" a="1"/>
  <c r="GB55" i="42" s="1"/>
  <c r="GD55" i="42" a="1"/>
  <c r="GD55" i="42" s="1"/>
  <c r="GC55" i="42" a="1"/>
  <c r="GC55" i="42" s="1"/>
  <c r="GA55" i="42" a="1"/>
  <c r="GA55" i="42" s="1"/>
  <c r="FZ55" i="42" a="1"/>
  <c r="FZ55" i="42" s="1"/>
  <c r="GD278" i="42" a="1"/>
  <c r="GD278" i="42" s="1"/>
  <c r="GC278" i="42" a="1"/>
  <c r="GC278" i="42" s="1"/>
  <c r="GB278" i="42" a="1"/>
  <c r="GB278" i="42" s="1"/>
  <c r="GA278" i="42" a="1"/>
  <c r="GA278" i="42" s="1"/>
  <c r="FZ278" i="42" a="1"/>
  <c r="FZ278" i="42" s="1"/>
  <c r="GF278" i="42" a="1"/>
  <c r="GF278" i="42" s="1"/>
  <c r="GE278" i="42" a="1"/>
  <c r="GE278" i="42" s="1"/>
  <c r="GD262" i="42" a="1"/>
  <c r="GD262" i="42" s="1"/>
  <c r="GC262" i="42" a="1"/>
  <c r="GC262" i="42" s="1"/>
  <c r="GB262" i="42" a="1"/>
  <c r="GB262" i="42" s="1"/>
  <c r="GA262" i="42" a="1"/>
  <c r="GA262" i="42" s="1"/>
  <c r="FZ262" i="42" a="1"/>
  <c r="FZ262" i="42" s="1"/>
  <c r="GF262" i="42" a="1"/>
  <c r="GF262" i="42" s="1"/>
  <c r="GE262" i="42" a="1"/>
  <c r="GE262" i="42" s="1"/>
  <c r="GD246" i="42" a="1"/>
  <c r="GD246" i="42" s="1"/>
  <c r="GC246" i="42" a="1"/>
  <c r="GC246" i="42" s="1"/>
  <c r="FZ246" i="42" a="1"/>
  <c r="FZ246" i="42" s="1"/>
  <c r="GB246" i="42" a="1"/>
  <c r="GB246" i="42" s="1"/>
  <c r="GA246" i="42" a="1"/>
  <c r="GA246" i="42" s="1"/>
  <c r="GF246" i="42" a="1"/>
  <c r="GF246" i="42" s="1"/>
  <c r="GE246" i="42" a="1"/>
  <c r="GE246" i="42" s="1"/>
  <c r="GD230" i="42" a="1"/>
  <c r="GD230" i="42" s="1"/>
  <c r="GC230" i="42" a="1"/>
  <c r="GC230" i="42" s="1"/>
  <c r="FZ230" i="42" a="1"/>
  <c r="FZ230" i="42" s="1"/>
  <c r="GF230" i="42" a="1"/>
  <c r="GF230" i="42" s="1"/>
  <c r="GE230" i="42" a="1"/>
  <c r="GE230" i="42" s="1"/>
  <c r="GB230" i="42" a="1"/>
  <c r="GB230" i="42" s="1"/>
  <c r="GA230" i="42" a="1"/>
  <c r="GA230" i="42" s="1"/>
  <c r="GD214" i="42" a="1"/>
  <c r="GD214" i="42" s="1"/>
  <c r="GC214" i="42" a="1"/>
  <c r="GC214" i="42" s="1"/>
  <c r="FZ214" i="42" a="1"/>
  <c r="FZ214" i="42" s="1"/>
  <c r="GF214" i="42" a="1"/>
  <c r="GF214" i="42" s="1"/>
  <c r="GE214" i="42" a="1"/>
  <c r="GE214" i="42" s="1"/>
  <c r="GB214" i="42" a="1"/>
  <c r="GB214" i="42" s="1"/>
  <c r="GA214" i="42" a="1"/>
  <c r="GA214" i="42" s="1"/>
  <c r="GD206" i="42" a="1"/>
  <c r="GD206" i="42" s="1"/>
  <c r="GC206" i="42" a="1"/>
  <c r="GC206" i="42" s="1"/>
  <c r="FZ206" i="42" a="1"/>
  <c r="FZ206" i="42" s="1"/>
  <c r="GA206" i="42" a="1"/>
  <c r="GA206" i="42" s="1"/>
  <c r="GF206" i="42" a="1"/>
  <c r="GF206" i="42" s="1"/>
  <c r="GE206" i="42" a="1"/>
  <c r="GE206" i="42" s="1"/>
  <c r="GB206" i="42" a="1"/>
  <c r="GB206" i="42" s="1"/>
  <c r="GD198" i="42" a="1"/>
  <c r="GD198" i="42" s="1"/>
  <c r="GC198" i="42" a="1"/>
  <c r="GC198" i="42" s="1"/>
  <c r="FZ198" i="42" a="1"/>
  <c r="FZ198" i="42" s="1"/>
  <c r="GF198" i="42" a="1"/>
  <c r="GF198" i="42" s="1"/>
  <c r="GE198" i="42" a="1"/>
  <c r="GE198" i="42" s="1"/>
  <c r="GB198" i="42" a="1"/>
  <c r="GB198" i="42" s="1"/>
  <c r="GA198" i="42" a="1"/>
  <c r="GA198" i="42" s="1"/>
  <c r="GD190" i="42" a="1"/>
  <c r="GD190" i="42" s="1"/>
  <c r="GC190" i="42" a="1"/>
  <c r="GC190" i="42" s="1"/>
  <c r="FZ190" i="42" a="1"/>
  <c r="FZ190" i="42" s="1"/>
  <c r="GE190" i="42" a="1"/>
  <c r="GE190" i="42" s="1"/>
  <c r="GB190" i="42" a="1"/>
  <c r="GB190" i="42" s="1"/>
  <c r="GA190" i="42" a="1"/>
  <c r="GA190" i="42" s="1"/>
  <c r="GF190" i="42" a="1"/>
  <c r="GF190" i="42" s="1"/>
  <c r="GD182" i="42" a="1"/>
  <c r="GD182" i="42" s="1"/>
  <c r="GC182" i="42" a="1"/>
  <c r="GC182" i="42" s="1"/>
  <c r="FZ182" i="42" a="1"/>
  <c r="FZ182" i="42" s="1"/>
  <c r="GF182" i="42" a="1"/>
  <c r="GF182" i="42" s="1"/>
  <c r="GE182" i="42" a="1"/>
  <c r="GE182" i="42" s="1"/>
  <c r="GB182" i="42" a="1"/>
  <c r="GB182" i="42" s="1"/>
  <c r="GA182" i="42" a="1"/>
  <c r="GA182" i="42" s="1"/>
  <c r="GD174" i="42" a="1"/>
  <c r="GD174" i="42" s="1"/>
  <c r="GC174" i="42" a="1"/>
  <c r="GC174" i="42" s="1"/>
  <c r="FZ174" i="42" a="1"/>
  <c r="FZ174" i="42" s="1"/>
  <c r="GA174" i="42" a="1"/>
  <c r="GA174" i="42" s="1"/>
  <c r="GF174" i="42" a="1"/>
  <c r="GF174" i="42" s="1"/>
  <c r="GE174" i="42" a="1"/>
  <c r="GE174" i="42" s="1"/>
  <c r="GB174" i="42" a="1"/>
  <c r="GB174" i="42" s="1"/>
  <c r="GD166" i="42" a="1"/>
  <c r="GD166" i="42" s="1"/>
  <c r="GC166" i="42" a="1"/>
  <c r="GC166" i="42" s="1"/>
  <c r="FZ166" i="42" a="1"/>
  <c r="FZ166" i="42" s="1"/>
  <c r="GF166" i="42" a="1"/>
  <c r="GF166" i="42" s="1"/>
  <c r="GE166" i="42" a="1"/>
  <c r="GE166" i="42" s="1"/>
  <c r="GB166" i="42" a="1"/>
  <c r="GB166" i="42" s="1"/>
  <c r="GA166" i="42" a="1"/>
  <c r="GA166" i="42" s="1"/>
  <c r="GD158" i="42" a="1"/>
  <c r="GD158" i="42" s="1"/>
  <c r="GC158" i="42" a="1"/>
  <c r="GC158" i="42" s="1"/>
  <c r="FZ158" i="42" a="1"/>
  <c r="FZ158" i="42" s="1"/>
  <c r="GF158" i="42" a="1"/>
  <c r="GF158" i="42" s="1"/>
  <c r="GE158" i="42" a="1"/>
  <c r="GE158" i="42" s="1"/>
  <c r="GB158" i="42" a="1"/>
  <c r="GB158" i="42" s="1"/>
  <c r="GA158" i="42" a="1"/>
  <c r="GA158" i="42" s="1"/>
  <c r="GD150" i="42" a="1"/>
  <c r="GD150" i="42" s="1"/>
  <c r="GC150" i="42" a="1"/>
  <c r="GC150" i="42" s="1"/>
  <c r="FZ150" i="42" a="1"/>
  <c r="FZ150" i="42" s="1"/>
  <c r="GB150" i="42" a="1"/>
  <c r="GB150" i="42" s="1"/>
  <c r="GA150" i="42" a="1"/>
  <c r="GA150" i="42" s="1"/>
  <c r="GF150" i="42" a="1"/>
  <c r="GF150" i="42" s="1"/>
  <c r="GE150" i="42" a="1"/>
  <c r="GE150" i="42" s="1"/>
  <c r="GE142" i="42" a="1"/>
  <c r="GE142" i="42" s="1"/>
  <c r="GD142" i="42" a="1"/>
  <c r="GD142" i="42" s="1"/>
  <c r="GC142" i="42" a="1"/>
  <c r="GC142" i="42" s="1"/>
  <c r="GB142" i="42" a="1"/>
  <c r="GB142" i="42" s="1"/>
  <c r="GA142" i="42" a="1"/>
  <c r="GA142" i="42" s="1"/>
  <c r="GF142" i="42" a="1"/>
  <c r="GF142" i="42" s="1"/>
  <c r="FZ142" i="42" a="1"/>
  <c r="FZ142" i="42" s="1"/>
  <c r="GE134" i="42" a="1"/>
  <c r="GE134" i="42" s="1"/>
  <c r="GD134" i="42" a="1"/>
  <c r="GD134" i="42" s="1"/>
  <c r="GC134" i="42" a="1"/>
  <c r="GC134" i="42" s="1"/>
  <c r="GB134" i="42" a="1"/>
  <c r="GB134" i="42" s="1"/>
  <c r="GA134" i="42" a="1"/>
  <c r="GA134" i="42" s="1"/>
  <c r="GF134" i="42" a="1"/>
  <c r="GF134" i="42" s="1"/>
  <c r="FZ134" i="42" a="1"/>
  <c r="FZ134" i="42" s="1"/>
  <c r="GE126" i="42" a="1"/>
  <c r="GE126" i="42" s="1"/>
  <c r="GD126" i="42" a="1"/>
  <c r="GD126" i="42" s="1"/>
  <c r="GC126" i="42" a="1"/>
  <c r="GC126" i="42" s="1"/>
  <c r="GB126" i="42" a="1"/>
  <c r="GB126" i="42" s="1"/>
  <c r="GA126" i="42" a="1"/>
  <c r="GA126" i="42" s="1"/>
  <c r="GF126" i="42" a="1"/>
  <c r="GF126" i="42" s="1"/>
  <c r="FZ126" i="42" a="1"/>
  <c r="FZ126" i="42" s="1"/>
  <c r="GE118" i="42" a="1"/>
  <c r="GE118" i="42" s="1"/>
  <c r="GD118" i="42" a="1"/>
  <c r="GD118" i="42" s="1"/>
  <c r="GC118" i="42" a="1"/>
  <c r="GC118" i="42" s="1"/>
  <c r="GB118" i="42" a="1"/>
  <c r="GB118" i="42" s="1"/>
  <c r="GA118" i="42" a="1"/>
  <c r="GA118" i="42" s="1"/>
  <c r="GF118" i="42" a="1"/>
  <c r="GF118" i="42" s="1"/>
  <c r="FZ118" i="42" a="1"/>
  <c r="FZ118" i="42" s="1"/>
  <c r="GE110" i="42" a="1"/>
  <c r="GE110" i="42" s="1"/>
  <c r="GD110" i="42" a="1"/>
  <c r="GD110" i="42" s="1"/>
  <c r="GC110" i="42" a="1"/>
  <c r="GC110" i="42" s="1"/>
  <c r="GB110" i="42" a="1"/>
  <c r="GB110" i="42" s="1"/>
  <c r="GA110" i="42" a="1"/>
  <c r="GA110" i="42" s="1"/>
  <c r="GF110" i="42" a="1"/>
  <c r="GF110" i="42" s="1"/>
  <c r="FZ110" i="42" a="1"/>
  <c r="FZ110" i="42" s="1"/>
  <c r="GE102" i="42" a="1"/>
  <c r="GE102" i="42" s="1"/>
  <c r="GD102" i="42" a="1"/>
  <c r="GD102" i="42" s="1"/>
  <c r="GA102" i="42" a="1"/>
  <c r="GA102" i="42" s="1"/>
  <c r="GF102" i="42" a="1"/>
  <c r="GF102" i="42" s="1"/>
  <c r="GC102" i="42" a="1"/>
  <c r="GC102" i="42" s="1"/>
  <c r="GB102" i="42" a="1"/>
  <c r="GB102" i="42" s="1"/>
  <c r="FZ102" i="42" a="1"/>
  <c r="FZ102" i="42" s="1"/>
  <c r="GE94" i="42" a="1"/>
  <c r="GE94" i="42" s="1"/>
  <c r="GD94" i="42" a="1"/>
  <c r="GD94" i="42" s="1"/>
  <c r="GA94" i="42" a="1"/>
  <c r="GA94" i="42" s="1"/>
  <c r="FZ94" i="42" a="1"/>
  <c r="FZ94" i="42" s="1"/>
  <c r="GB94" i="42" a="1"/>
  <c r="GB94" i="42" s="1"/>
  <c r="GF94" i="42" a="1"/>
  <c r="GF94" i="42" s="1"/>
  <c r="GC94" i="42" a="1"/>
  <c r="GC94" i="42" s="1"/>
  <c r="GE86" i="42" a="1"/>
  <c r="GE86" i="42" s="1"/>
  <c r="GD86" i="42" a="1"/>
  <c r="GD86" i="42" s="1"/>
  <c r="GA86" i="42" a="1"/>
  <c r="GA86" i="42" s="1"/>
  <c r="GF86" i="42" a="1"/>
  <c r="GF86" i="42" s="1"/>
  <c r="GC86" i="42" a="1"/>
  <c r="GC86" i="42" s="1"/>
  <c r="GB86" i="42" a="1"/>
  <c r="GB86" i="42" s="1"/>
  <c r="FZ86" i="42" a="1"/>
  <c r="FZ86" i="42" s="1"/>
  <c r="GE78" i="42" a="1"/>
  <c r="GE78" i="42" s="1"/>
  <c r="GD78" i="42" a="1"/>
  <c r="GD78" i="42" s="1"/>
  <c r="GA78" i="42" a="1"/>
  <c r="GA78" i="42" s="1"/>
  <c r="GF78" i="42" a="1"/>
  <c r="GF78" i="42" s="1"/>
  <c r="GC78" i="42" a="1"/>
  <c r="GC78" i="42" s="1"/>
  <c r="GB78" i="42" a="1"/>
  <c r="GB78" i="42" s="1"/>
  <c r="FZ78" i="42" a="1"/>
  <c r="FZ78" i="42" s="1"/>
  <c r="GE70" i="42" a="1"/>
  <c r="GE70" i="42" s="1"/>
  <c r="GD70" i="42" a="1"/>
  <c r="GD70" i="42" s="1"/>
  <c r="GA70" i="42" a="1"/>
  <c r="GA70" i="42" s="1"/>
  <c r="GB70" i="42" a="1"/>
  <c r="GB70" i="42" s="1"/>
  <c r="FZ70" i="42" a="1"/>
  <c r="FZ70" i="42" s="1"/>
  <c r="GF70" i="42" a="1"/>
  <c r="GF70" i="42" s="1"/>
  <c r="GC70" i="42" a="1"/>
  <c r="GC70" i="42" s="1"/>
  <c r="GE62" i="42" a="1"/>
  <c r="GE62" i="42" s="1"/>
  <c r="GD62" i="42" a="1"/>
  <c r="GD62" i="42" s="1"/>
  <c r="GA62" i="42" a="1"/>
  <c r="GA62" i="42" s="1"/>
  <c r="GF62" i="42" a="1"/>
  <c r="GF62" i="42" s="1"/>
  <c r="GC62" i="42" a="1"/>
  <c r="GC62" i="42" s="1"/>
  <c r="GB62" i="42" a="1"/>
  <c r="GB62" i="42" s="1"/>
  <c r="FZ62" i="42" a="1"/>
  <c r="FZ62" i="42" s="1"/>
  <c r="GE54" i="42" a="1"/>
  <c r="GE54" i="42" s="1"/>
  <c r="GD54" i="42" a="1"/>
  <c r="GD54" i="42" s="1"/>
  <c r="GA54" i="42" a="1"/>
  <c r="GA54" i="42" s="1"/>
  <c r="GF54" i="42" a="1"/>
  <c r="GF54" i="42" s="1"/>
  <c r="GC54" i="42" a="1"/>
  <c r="GC54" i="42" s="1"/>
  <c r="GB54" i="42" a="1"/>
  <c r="GB54" i="42" s="1"/>
  <c r="FZ54" i="42" a="1"/>
  <c r="FZ54" i="42" s="1"/>
  <c r="GE46" i="42" a="1"/>
  <c r="GE46" i="42" s="1"/>
  <c r="GD46" i="42" a="1"/>
  <c r="GD46" i="42" s="1"/>
  <c r="GA46" i="42" a="1"/>
  <c r="GA46" i="42" s="1"/>
  <c r="GC46" i="42" a="1"/>
  <c r="GC46" i="42" s="1"/>
  <c r="GB46" i="42" a="1"/>
  <c r="GB46" i="42" s="1"/>
  <c r="FZ46" i="42" a="1"/>
  <c r="FZ46" i="42" s="1"/>
  <c r="GF46" i="42" a="1"/>
  <c r="GF46" i="42" s="1"/>
  <c r="GE38" i="42" a="1"/>
  <c r="GE38" i="42" s="1"/>
  <c r="GD38" i="42" a="1"/>
  <c r="GD38" i="42" s="1"/>
  <c r="GA38" i="42" a="1"/>
  <c r="GA38" i="42" s="1"/>
  <c r="GF38" i="42" a="1"/>
  <c r="GF38" i="42" s="1"/>
  <c r="GC38" i="42" a="1"/>
  <c r="GC38" i="42" s="1"/>
  <c r="GB38" i="42" a="1"/>
  <c r="GB38" i="42" s="1"/>
  <c r="FZ38" i="42" a="1"/>
  <c r="FZ38" i="42" s="1"/>
  <c r="FZ282" i="42" a="1"/>
  <c r="FZ282" i="42" s="1"/>
  <c r="GF282" i="42" a="1"/>
  <c r="GF282" i="42" s="1"/>
  <c r="GE282" i="42" a="1"/>
  <c r="GE282" i="42" s="1"/>
  <c r="GD282" i="42" a="1"/>
  <c r="GD282" i="42" s="1"/>
  <c r="GB282" i="42" a="1"/>
  <c r="GB282" i="42" s="1"/>
  <c r="GA282" i="42" a="1"/>
  <c r="GA282" i="42" s="1"/>
  <c r="GC282" i="42" a="1"/>
  <c r="GC282" i="42" s="1"/>
  <c r="FZ250" i="42" a="1"/>
  <c r="FZ250" i="42" s="1"/>
  <c r="GF250" i="42" a="1"/>
  <c r="GF250" i="42" s="1"/>
  <c r="GE250" i="42" a="1"/>
  <c r="GE250" i="42" s="1"/>
  <c r="GD250" i="42" a="1"/>
  <c r="GD250" i="42" s="1"/>
  <c r="GC250" i="42" a="1"/>
  <c r="GC250" i="42" s="1"/>
  <c r="GB250" i="42" a="1"/>
  <c r="GB250" i="42" s="1"/>
  <c r="GA250" i="42" a="1"/>
  <c r="GA250" i="42" s="1"/>
  <c r="FZ218" i="42" a="1"/>
  <c r="FZ218" i="42" s="1"/>
  <c r="GD218" i="42" a="1"/>
  <c r="GD218" i="42" s="1"/>
  <c r="GF218" i="42" a="1"/>
  <c r="GF218" i="42" s="1"/>
  <c r="GE218" i="42" a="1"/>
  <c r="GE218" i="42" s="1"/>
  <c r="GC218" i="42" a="1"/>
  <c r="GC218" i="42" s="1"/>
  <c r="GB218" i="42" a="1"/>
  <c r="GB218" i="42" s="1"/>
  <c r="GA218" i="42" a="1"/>
  <c r="GA218" i="42" s="1"/>
  <c r="GA58" i="42" a="1"/>
  <c r="GA58" i="42" s="1"/>
  <c r="FZ58" i="42" a="1"/>
  <c r="FZ58" i="42" s="1"/>
  <c r="GE58" i="42" a="1"/>
  <c r="GE58" i="42" s="1"/>
  <c r="GF58" i="42" a="1"/>
  <c r="GF58" i="42" s="1"/>
  <c r="GD58" i="42" a="1"/>
  <c r="GD58" i="42" s="1"/>
  <c r="GC58" i="42" a="1"/>
  <c r="GC58" i="42" s="1"/>
  <c r="GB58" i="42" a="1"/>
  <c r="GB58" i="42" s="1"/>
  <c r="GF273" i="42" a="1"/>
  <c r="GF273" i="42" s="1"/>
  <c r="GE273" i="42" a="1"/>
  <c r="GE273" i="42" s="1"/>
  <c r="GD273" i="42" a="1"/>
  <c r="GD273" i="42" s="1"/>
  <c r="GC273" i="42" a="1"/>
  <c r="GC273" i="42" s="1"/>
  <c r="GA273" i="42" a="1"/>
  <c r="GA273" i="42" s="1"/>
  <c r="FZ273" i="42" a="1"/>
  <c r="FZ273" i="42" s="1"/>
  <c r="GB273" i="42" a="1"/>
  <c r="GB273" i="42" s="1"/>
  <c r="GF265" i="42" a="1"/>
  <c r="GF265" i="42" s="1"/>
  <c r="GE265" i="42" a="1"/>
  <c r="GE265" i="42" s="1"/>
  <c r="GD265" i="42" a="1"/>
  <c r="GD265" i="42" s="1"/>
  <c r="GC265" i="42" a="1"/>
  <c r="GC265" i="42" s="1"/>
  <c r="GB265" i="42" a="1"/>
  <c r="GB265" i="42" s="1"/>
  <c r="GA265" i="42" a="1"/>
  <c r="GA265" i="42" s="1"/>
  <c r="FZ265" i="42" a="1"/>
  <c r="FZ265" i="42" s="1"/>
  <c r="GF257" i="42" a="1"/>
  <c r="GF257" i="42" s="1"/>
  <c r="GE257" i="42" a="1"/>
  <c r="GE257" i="42" s="1"/>
  <c r="GD257" i="42" a="1"/>
  <c r="GD257" i="42" s="1"/>
  <c r="GC257" i="42" a="1"/>
  <c r="GC257" i="42" s="1"/>
  <c r="GB257" i="42" a="1"/>
  <c r="GB257" i="42" s="1"/>
  <c r="GA257" i="42" a="1"/>
  <c r="GA257" i="42" s="1"/>
  <c r="FZ257" i="42" a="1"/>
  <c r="FZ257" i="42" s="1"/>
  <c r="GF249" i="42" a="1"/>
  <c r="GF249" i="42" s="1"/>
  <c r="GE249" i="42" a="1"/>
  <c r="GE249" i="42" s="1"/>
  <c r="GD249" i="42" a="1"/>
  <c r="GD249" i="42" s="1"/>
  <c r="GC249" i="42" a="1"/>
  <c r="GC249" i="42" s="1"/>
  <c r="FZ249" i="42" a="1"/>
  <c r="FZ249" i="42" s="1"/>
  <c r="GB249" i="42" a="1"/>
  <c r="GB249" i="42" s="1"/>
  <c r="GA249" i="42" a="1"/>
  <c r="GA249" i="42" s="1"/>
  <c r="GF241" i="42" a="1"/>
  <c r="GF241" i="42" s="1"/>
  <c r="GC241" i="42" a="1"/>
  <c r="GC241" i="42" s="1"/>
  <c r="FZ241" i="42" a="1"/>
  <c r="FZ241" i="42" s="1"/>
  <c r="GE241" i="42" a="1"/>
  <c r="GE241" i="42" s="1"/>
  <c r="GD241" i="42" a="1"/>
  <c r="GD241" i="42" s="1"/>
  <c r="GB241" i="42" a="1"/>
  <c r="GB241" i="42" s="1"/>
  <c r="GA241" i="42" a="1"/>
  <c r="GA241" i="42" s="1"/>
  <c r="GF233" i="42" a="1"/>
  <c r="GF233" i="42" s="1"/>
  <c r="GC233" i="42" a="1"/>
  <c r="GC233" i="42" s="1"/>
  <c r="GD233" i="42" a="1"/>
  <c r="GD233" i="42" s="1"/>
  <c r="GB233" i="42" a="1"/>
  <c r="GB233" i="42" s="1"/>
  <c r="GA233" i="42" a="1"/>
  <c r="GA233" i="42" s="1"/>
  <c r="FZ233" i="42" a="1"/>
  <c r="FZ233" i="42" s="1"/>
  <c r="GE233" i="42" a="1"/>
  <c r="GE233" i="42" s="1"/>
  <c r="GF225" i="42" a="1"/>
  <c r="GF225" i="42" s="1"/>
  <c r="GC225" i="42" a="1"/>
  <c r="GC225" i="42" s="1"/>
  <c r="GE225" i="42" a="1"/>
  <c r="GE225" i="42" s="1"/>
  <c r="GD225" i="42" a="1"/>
  <c r="GD225" i="42" s="1"/>
  <c r="GB225" i="42" a="1"/>
  <c r="GB225" i="42" s="1"/>
  <c r="GA225" i="42" a="1"/>
  <c r="GA225" i="42" s="1"/>
  <c r="FZ225" i="42" a="1"/>
  <c r="FZ225" i="42" s="1"/>
  <c r="GF201" i="42" a="1"/>
  <c r="GF201" i="42" s="1"/>
  <c r="GC201" i="42" a="1"/>
  <c r="GC201" i="42" s="1"/>
  <c r="GD201" i="42" a="1"/>
  <c r="GD201" i="42" s="1"/>
  <c r="GB201" i="42" a="1"/>
  <c r="GB201" i="42" s="1"/>
  <c r="GA201" i="42" a="1"/>
  <c r="GA201" i="42" s="1"/>
  <c r="FZ201" i="42" a="1"/>
  <c r="FZ201" i="42" s="1"/>
  <c r="GE201" i="42" a="1"/>
  <c r="GE201" i="42" s="1"/>
  <c r="GF193" i="42" a="1"/>
  <c r="GF193" i="42" s="1"/>
  <c r="GC193" i="42" a="1"/>
  <c r="GC193" i="42" s="1"/>
  <c r="GB193" i="42" a="1"/>
  <c r="GB193" i="42" s="1"/>
  <c r="GA193" i="42" a="1"/>
  <c r="GA193" i="42" s="1"/>
  <c r="GE193" i="42" a="1"/>
  <c r="GE193" i="42" s="1"/>
  <c r="GD193" i="42" a="1"/>
  <c r="GD193" i="42" s="1"/>
  <c r="FZ193" i="42" a="1"/>
  <c r="FZ193" i="42" s="1"/>
  <c r="GF185" i="42" a="1"/>
  <c r="GF185" i="42" s="1"/>
  <c r="GC185" i="42" a="1"/>
  <c r="GC185" i="42" s="1"/>
  <c r="GA185" i="42" a="1"/>
  <c r="GA185" i="42" s="1"/>
  <c r="FZ185" i="42" a="1"/>
  <c r="FZ185" i="42" s="1"/>
  <c r="GD185" i="42" a="1"/>
  <c r="GD185" i="42" s="1"/>
  <c r="GB185" i="42" a="1"/>
  <c r="GB185" i="42" s="1"/>
  <c r="GE185" i="42" a="1"/>
  <c r="GE185" i="42" s="1"/>
  <c r="GF177" i="42" a="1"/>
  <c r="GF177" i="42" s="1"/>
  <c r="GC177" i="42" a="1"/>
  <c r="GC177" i="42" s="1"/>
  <c r="GE177" i="42" a="1"/>
  <c r="GE177" i="42" s="1"/>
  <c r="GD177" i="42" a="1"/>
  <c r="GD177" i="42" s="1"/>
  <c r="GB177" i="42" a="1"/>
  <c r="GB177" i="42" s="1"/>
  <c r="GA177" i="42" a="1"/>
  <c r="GA177" i="42" s="1"/>
  <c r="FZ177" i="42" a="1"/>
  <c r="FZ177" i="42" s="1"/>
  <c r="GF153" i="42" a="1"/>
  <c r="GF153" i="42" s="1"/>
  <c r="GC153" i="42" a="1"/>
  <c r="GC153" i="42" s="1"/>
  <c r="GE153" i="42" a="1"/>
  <c r="GE153" i="42" s="1"/>
  <c r="GD153" i="42" a="1"/>
  <c r="GD153" i="42" s="1"/>
  <c r="GB153" i="42" a="1"/>
  <c r="GB153" i="42" s="1"/>
  <c r="GA153" i="42" a="1"/>
  <c r="GA153" i="42" s="1"/>
  <c r="FZ153" i="42" a="1"/>
  <c r="FZ153" i="42" s="1"/>
  <c r="GF288" i="42" a="1"/>
  <c r="GF288" i="42" s="1"/>
  <c r="GE288" i="42" a="1"/>
  <c r="GE288" i="42" s="1"/>
  <c r="GD288" i="42" a="1"/>
  <c r="GD288" i="42" s="1"/>
  <c r="GC288" i="42" a="1"/>
  <c r="GC288" i="42" s="1"/>
  <c r="GB288" i="42" a="1"/>
  <c r="GB288" i="42" s="1"/>
  <c r="GA288" i="42" a="1"/>
  <c r="GA288" i="42" s="1"/>
  <c r="FZ288" i="42" a="1"/>
  <c r="FZ288" i="42" s="1"/>
  <c r="GF264" i="42" a="1"/>
  <c r="GF264" i="42" s="1"/>
  <c r="GE264" i="42" a="1"/>
  <c r="GE264" i="42" s="1"/>
  <c r="GD264" i="42" a="1"/>
  <c r="GD264" i="42" s="1"/>
  <c r="GC264" i="42" a="1"/>
  <c r="GC264" i="42" s="1"/>
  <c r="GB264" i="42" a="1"/>
  <c r="GB264" i="42" s="1"/>
  <c r="FZ264" i="42" a="1"/>
  <c r="FZ264" i="42" s="1"/>
  <c r="GA264" i="42" a="1"/>
  <c r="GA264" i="42" s="1"/>
  <c r="GF240" i="42" a="1"/>
  <c r="GF240" i="42" s="1"/>
  <c r="GE240" i="42" a="1"/>
  <c r="GE240" i="42" s="1"/>
  <c r="GB240" i="42" a="1"/>
  <c r="GB240" i="42" s="1"/>
  <c r="GD240" i="42" a="1"/>
  <c r="GD240" i="42" s="1"/>
  <c r="GC240" i="42" a="1"/>
  <c r="GC240" i="42" s="1"/>
  <c r="GA240" i="42" a="1"/>
  <c r="GA240" i="42" s="1"/>
  <c r="FZ240" i="42" a="1"/>
  <c r="FZ240" i="42" s="1"/>
  <c r="GF216" i="42" a="1"/>
  <c r="GF216" i="42" s="1"/>
  <c r="GE216" i="42" a="1"/>
  <c r="GE216" i="42" s="1"/>
  <c r="GB216" i="42" a="1"/>
  <c r="GB216" i="42" s="1"/>
  <c r="GD216" i="42" a="1"/>
  <c r="GD216" i="42" s="1"/>
  <c r="GC216" i="42" a="1"/>
  <c r="GC216" i="42" s="1"/>
  <c r="GA216" i="42" a="1"/>
  <c r="GA216" i="42" s="1"/>
  <c r="FZ216" i="42" a="1"/>
  <c r="FZ216" i="42" s="1"/>
  <c r="GF192" i="42" a="1"/>
  <c r="GF192" i="42" s="1"/>
  <c r="GE192" i="42" a="1"/>
  <c r="GE192" i="42" s="1"/>
  <c r="GB192" i="42" a="1"/>
  <c r="GB192" i="42" s="1"/>
  <c r="GC192" i="42" a="1"/>
  <c r="GC192" i="42" s="1"/>
  <c r="GD192" i="42" a="1"/>
  <c r="GD192" i="42" s="1"/>
  <c r="GA192" i="42" a="1"/>
  <c r="GA192" i="42" s="1"/>
  <c r="FZ192" i="42" a="1"/>
  <c r="FZ192" i="42" s="1"/>
  <c r="GF168" i="42" a="1"/>
  <c r="GF168" i="42" s="1"/>
  <c r="GE168" i="42" a="1"/>
  <c r="GE168" i="42" s="1"/>
  <c r="GB168" i="42" a="1"/>
  <c r="GB168" i="42" s="1"/>
  <c r="GD168" i="42" a="1"/>
  <c r="GD168" i="42" s="1"/>
  <c r="GC168" i="42" a="1"/>
  <c r="GC168" i="42" s="1"/>
  <c r="GA168" i="42" a="1"/>
  <c r="GA168" i="42" s="1"/>
  <c r="FZ168" i="42" a="1"/>
  <c r="FZ168" i="42" s="1"/>
  <c r="GF152" i="42" a="1"/>
  <c r="GF152" i="42" s="1"/>
  <c r="GE152" i="42" a="1"/>
  <c r="GE152" i="42" s="1"/>
  <c r="GB152" i="42" a="1"/>
  <c r="GB152" i="42" s="1"/>
  <c r="GA152" i="42" a="1"/>
  <c r="GA152" i="42" s="1"/>
  <c r="FZ152" i="42" a="1"/>
  <c r="FZ152" i="42" s="1"/>
  <c r="GD152" i="42" a="1"/>
  <c r="GD152" i="42" s="1"/>
  <c r="GC152" i="42" a="1"/>
  <c r="GC152" i="42" s="1"/>
  <c r="GF144" i="42" a="1"/>
  <c r="GF144" i="42" s="1"/>
  <c r="GE144" i="42" a="1"/>
  <c r="GE144" i="42" s="1"/>
  <c r="GD144" i="42" a="1"/>
  <c r="GD144" i="42" s="1"/>
  <c r="GC144" i="42" a="1"/>
  <c r="GC144" i="42" s="1"/>
  <c r="GB144" i="42" a="1"/>
  <c r="GB144" i="42" s="1"/>
  <c r="GA144" i="42" a="1"/>
  <c r="GA144" i="42" s="1"/>
  <c r="FZ144" i="42" a="1"/>
  <c r="FZ144" i="42" s="1"/>
  <c r="GC221" i="42" a="1"/>
  <c r="GC221" i="42" s="1"/>
  <c r="GB221" i="42" a="1"/>
  <c r="GB221" i="42" s="1"/>
  <c r="GF221" i="42" a="1"/>
  <c r="GF221" i="42" s="1"/>
  <c r="GE221" i="42" a="1"/>
  <c r="GE221" i="42" s="1"/>
  <c r="GD221" i="42" a="1"/>
  <c r="GD221" i="42" s="1"/>
  <c r="GA221" i="42" a="1"/>
  <c r="GA221" i="42" s="1"/>
  <c r="FZ221" i="42" a="1"/>
  <c r="FZ221" i="42" s="1"/>
  <c r="GC213" i="42" a="1"/>
  <c r="GC213" i="42" s="1"/>
  <c r="GB213" i="42" a="1"/>
  <c r="GB213" i="42" s="1"/>
  <c r="GD213" i="42" a="1"/>
  <c r="GD213" i="42" s="1"/>
  <c r="GA213" i="42" a="1"/>
  <c r="GA213" i="42" s="1"/>
  <c r="FZ213" i="42" a="1"/>
  <c r="FZ213" i="42" s="1"/>
  <c r="GF213" i="42" a="1"/>
  <c r="GF213" i="42" s="1"/>
  <c r="GE213" i="42" a="1"/>
  <c r="GE213" i="42" s="1"/>
  <c r="GC205" i="42" a="1"/>
  <c r="GC205" i="42" s="1"/>
  <c r="GB205" i="42" a="1"/>
  <c r="GB205" i="42" s="1"/>
  <c r="GF205" i="42" a="1"/>
  <c r="GF205" i="42" s="1"/>
  <c r="GA205" i="42" a="1"/>
  <c r="GA205" i="42" s="1"/>
  <c r="GE205" i="42" a="1"/>
  <c r="GE205" i="42" s="1"/>
  <c r="FZ205" i="42" a="1"/>
  <c r="FZ205" i="42" s="1"/>
  <c r="GD205" i="42" a="1"/>
  <c r="GD205" i="42" s="1"/>
  <c r="GC197" i="42" a="1"/>
  <c r="GC197" i="42" s="1"/>
  <c r="GB197" i="42" a="1"/>
  <c r="GB197" i="42" s="1"/>
  <c r="FZ197" i="42" a="1"/>
  <c r="FZ197" i="42" s="1"/>
  <c r="GF197" i="42" a="1"/>
  <c r="GF197" i="42" s="1"/>
  <c r="GE197" i="42" a="1"/>
  <c r="GE197" i="42" s="1"/>
  <c r="GD197" i="42" a="1"/>
  <c r="GD197" i="42" s="1"/>
  <c r="GA197" i="42" a="1"/>
  <c r="GA197" i="42" s="1"/>
  <c r="GC189" i="42" a="1"/>
  <c r="GC189" i="42" s="1"/>
  <c r="GB189" i="42" a="1"/>
  <c r="GB189" i="42" s="1"/>
  <c r="GF189" i="42" a="1"/>
  <c r="GF189" i="42" s="1"/>
  <c r="GE189" i="42" a="1"/>
  <c r="GE189" i="42" s="1"/>
  <c r="GD189" i="42" a="1"/>
  <c r="GD189" i="42" s="1"/>
  <c r="GA189" i="42" a="1"/>
  <c r="GA189" i="42" s="1"/>
  <c r="FZ189" i="42" a="1"/>
  <c r="FZ189" i="42" s="1"/>
  <c r="GC181" i="42" a="1"/>
  <c r="GC181" i="42" s="1"/>
  <c r="GB181" i="42" a="1"/>
  <c r="GB181" i="42" s="1"/>
  <c r="GD181" i="42" a="1"/>
  <c r="GD181" i="42" s="1"/>
  <c r="GA181" i="42" a="1"/>
  <c r="GA181" i="42" s="1"/>
  <c r="FZ181" i="42" a="1"/>
  <c r="FZ181" i="42" s="1"/>
  <c r="GF181" i="42" a="1"/>
  <c r="GF181" i="42" s="1"/>
  <c r="GE181" i="42" a="1"/>
  <c r="GE181" i="42" s="1"/>
  <c r="GC173" i="42" a="1"/>
  <c r="GC173" i="42" s="1"/>
  <c r="GB173" i="42" a="1"/>
  <c r="GB173" i="42" s="1"/>
  <c r="GF173" i="42" a="1"/>
  <c r="GF173" i="42" s="1"/>
  <c r="GE173" i="42" a="1"/>
  <c r="GE173" i="42" s="1"/>
  <c r="GD173" i="42" a="1"/>
  <c r="GD173" i="42" s="1"/>
  <c r="GA173" i="42" a="1"/>
  <c r="GA173" i="42" s="1"/>
  <c r="FZ173" i="42" a="1"/>
  <c r="FZ173" i="42" s="1"/>
  <c r="GC165" i="42" a="1"/>
  <c r="GC165" i="42" s="1"/>
  <c r="GB165" i="42" a="1"/>
  <c r="GB165" i="42" s="1"/>
  <c r="FZ165" i="42" a="1"/>
  <c r="FZ165" i="42" s="1"/>
  <c r="GF165" i="42" a="1"/>
  <c r="GF165" i="42" s="1"/>
  <c r="GE165" i="42" a="1"/>
  <c r="GE165" i="42" s="1"/>
  <c r="GD165" i="42" a="1"/>
  <c r="GD165" i="42" s="1"/>
  <c r="GA165" i="42" a="1"/>
  <c r="GA165" i="42" s="1"/>
  <c r="GC157" i="42" a="1"/>
  <c r="GC157" i="42" s="1"/>
  <c r="GB157" i="42" a="1"/>
  <c r="GB157" i="42" s="1"/>
  <c r="GE157" i="42" a="1"/>
  <c r="GE157" i="42" s="1"/>
  <c r="GD157" i="42" a="1"/>
  <c r="GD157" i="42" s="1"/>
  <c r="GA157" i="42" a="1"/>
  <c r="GA157" i="42" s="1"/>
  <c r="FZ157" i="42" a="1"/>
  <c r="FZ157" i="42" s="1"/>
  <c r="GF157" i="42" a="1"/>
  <c r="GF157" i="42" s="1"/>
  <c r="GC149" i="42" a="1"/>
  <c r="GC149" i="42" s="1"/>
  <c r="GB149" i="42" a="1"/>
  <c r="GB149" i="42" s="1"/>
  <c r="GF149" i="42" a="1"/>
  <c r="GF149" i="42" s="1"/>
  <c r="GE149" i="42" a="1"/>
  <c r="GE149" i="42" s="1"/>
  <c r="GD149" i="42" a="1"/>
  <c r="GD149" i="42" s="1"/>
  <c r="GA149" i="42" a="1"/>
  <c r="GA149" i="42" s="1"/>
  <c r="FZ149" i="42" a="1"/>
  <c r="FZ149" i="42" s="1"/>
  <c r="GD141" i="42" a="1"/>
  <c r="GD141" i="42" s="1"/>
  <c r="GC141" i="42" a="1"/>
  <c r="GC141" i="42" s="1"/>
  <c r="GB141" i="42" a="1"/>
  <c r="GB141" i="42" s="1"/>
  <c r="GA141" i="42" a="1"/>
  <c r="GA141" i="42" s="1"/>
  <c r="FZ141" i="42" a="1"/>
  <c r="FZ141" i="42" s="1"/>
  <c r="GF141" i="42" a="1"/>
  <c r="GF141" i="42" s="1"/>
  <c r="GE141" i="42" a="1"/>
  <c r="GE141" i="42" s="1"/>
  <c r="GD133" i="42" a="1"/>
  <c r="GD133" i="42" s="1"/>
  <c r="GC133" i="42" a="1"/>
  <c r="GC133" i="42" s="1"/>
  <c r="GB133" i="42" a="1"/>
  <c r="GB133" i="42" s="1"/>
  <c r="GA133" i="42" a="1"/>
  <c r="GA133" i="42" s="1"/>
  <c r="FZ133" i="42" a="1"/>
  <c r="FZ133" i="42" s="1"/>
  <c r="GF133" i="42" a="1"/>
  <c r="GF133" i="42" s="1"/>
  <c r="GE133" i="42" a="1"/>
  <c r="GE133" i="42" s="1"/>
  <c r="GD125" i="42" a="1"/>
  <c r="GD125" i="42" s="1"/>
  <c r="GC125" i="42" a="1"/>
  <c r="GC125" i="42" s="1"/>
  <c r="GB125" i="42" a="1"/>
  <c r="GB125" i="42" s="1"/>
  <c r="GA125" i="42" a="1"/>
  <c r="GA125" i="42" s="1"/>
  <c r="FZ125" i="42" a="1"/>
  <c r="FZ125" i="42" s="1"/>
  <c r="GF125" i="42" a="1"/>
  <c r="GF125" i="42" s="1"/>
  <c r="GE125" i="42" a="1"/>
  <c r="GE125" i="42" s="1"/>
  <c r="GD117" i="42" a="1"/>
  <c r="GD117" i="42" s="1"/>
  <c r="GC117" i="42" a="1"/>
  <c r="GC117" i="42" s="1"/>
  <c r="GB117" i="42" a="1"/>
  <c r="GB117" i="42" s="1"/>
  <c r="GA117" i="42" a="1"/>
  <c r="GA117" i="42" s="1"/>
  <c r="FZ117" i="42" a="1"/>
  <c r="FZ117" i="42" s="1"/>
  <c r="GF117" i="42" a="1"/>
  <c r="GF117" i="42" s="1"/>
  <c r="GE117" i="42" a="1"/>
  <c r="GE117" i="42" s="1"/>
  <c r="GD109" i="42" a="1"/>
  <c r="GD109" i="42" s="1"/>
  <c r="GC109" i="42" a="1"/>
  <c r="GC109" i="42" s="1"/>
  <c r="GB109" i="42" a="1"/>
  <c r="GB109" i="42" s="1"/>
  <c r="GA109" i="42" a="1"/>
  <c r="GA109" i="42" s="1"/>
  <c r="FZ109" i="42" a="1"/>
  <c r="FZ109" i="42" s="1"/>
  <c r="GE109" i="42" a="1"/>
  <c r="GE109" i="42" s="1"/>
  <c r="GF109" i="42" a="1"/>
  <c r="GF109" i="42" s="1"/>
  <c r="GD101" i="42" a="1"/>
  <c r="GD101" i="42" s="1"/>
  <c r="GC101" i="42" a="1"/>
  <c r="GC101" i="42" s="1"/>
  <c r="FZ101" i="42" a="1"/>
  <c r="FZ101" i="42" s="1"/>
  <c r="GB101" i="42" a="1"/>
  <c r="GB101" i="42" s="1"/>
  <c r="GA101" i="42" a="1"/>
  <c r="GA101" i="42" s="1"/>
  <c r="GF101" i="42" a="1"/>
  <c r="GF101" i="42" s="1"/>
  <c r="GE101" i="42" a="1"/>
  <c r="GE101" i="42" s="1"/>
  <c r="GD93" i="42" a="1"/>
  <c r="GD93" i="42" s="1"/>
  <c r="GC93" i="42" a="1"/>
  <c r="GC93" i="42" s="1"/>
  <c r="FZ93" i="42" a="1"/>
  <c r="FZ93" i="42" s="1"/>
  <c r="GF93" i="42" a="1"/>
  <c r="GF93" i="42" s="1"/>
  <c r="GE93" i="42" a="1"/>
  <c r="GE93" i="42" s="1"/>
  <c r="GB93" i="42" a="1"/>
  <c r="GB93" i="42" s="1"/>
  <c r="GA93" i="42" a="1"/>
  <c r="GA93" i="42" s="1"/>
  <c r="GD85" i="42" a="1"/>
  <c r="GD85" i="42" s="1"/>
  <c r="GC85" i="42" a="1"/>
  <c r="GC85" i="42" s="1"/>
  <c r="FZ85" i="42" a="1"/>
  <c r="FZ85" i="42" s="1"/>
  <c r="GF85" i="42" a="1"/>
  <c r="GF85" i="42" s="1"/>
  <c r="GB85" i="42" a="1"/>
  <c r="GB85" i="42" s="1"/>
  <c r="GA85" i="42" a="1"/>
  <c r="GA85" i="42" s="1"/>
  <c r="GE85" i="42" a="1"/>
  <c r="GE85" i="42" s="1"/>
  <c r="GD77" i="42" a="1"/>
  <c r="GD77" i="42" s="1"/>
  <c r="GC77" i="42" a="1"/>
  <c r="GC77" i="42" s="1"/>
  <c r="FZ77" i="42" a="1"/>
  <c r="FZ77" i="42" s="1"/>
  <c r="GE77" i="42" a="1"/>
  <c r="GE77" i="42" s="1"/>
  <c r="GB77" i="42" a="1"/>
  <c r="GB77" i="42" s="1"/>
  <c r="GA77" i="42" a="1"/>
  <c r="GA77" i="42" s="1"/>
  <c r="GF77" i="42" a="1"/>
  <c r="GF77" i="42" s="1"/>
  <c r="GD69" i="42" a="1"/>
  <c r="GD69" i="42" s="1"/>
  <c r="GC69" i="42" a="1"/>
  <c r="GC69" i="42" s="1"/>
  <c r="FZ69" i="42" a="1"/>
  <c r="FZ69" i="42" s="1"/>
  <c r="GF69" i="42" a="1"/>
  <c r="GF69" i="42" s="1"/>
  <c r="GE69" i="42" a="1"/>
  <c r="GE69" i="42" s="1"/>
  <c r="GB69" i="42" a="1"/>
  <c r="GB69" i="42" s="1"/>
  <c r="GA69" i="42" a="1"/>
  <c r="GA69" i="42" s="1"/>
  <c r="GD61" i="42" a="1"/>
  <c r="GD61" i="42" s="1"/>
  <c r="GC61" i="42" a="1"/>
  <c r="GC61" i="42" s="1"/>
  <c r="FZ61" i="42" a="1"/>
  <c r="FZ61" i="42" s="1"/>
  <c r="GA61" i="42" a="1"/>
  <c r="GA61" i="42" s="1"/>
  <c r="GF61" i="42" a="1"/>
  <c r="GF61" i="42" s="1"/>
  <c r="GE61" i="42" a="1"/>
  <c r="GE61" i="42" s="1"/>
  <c r="GB61" i="42" a="1"/>
  <c r="GB61" i="42" s="1"/>
  <c r="GD53" i="42" a="1"/>
  <c r="GD53" i="42" s="1"/>
  <c r="GC53" i="42" a="1"/>
  <c r="GC53" i="42" s="1"/>
  <c r="FZ53" i="42" a="1"/>
  <c r="FZ53" i="42" s="1"/>
  <c r="GF53" i="42" a="1"/>
  <c r="GF53" i="42" s="1"/>
  <c r="GE53" i="42" a="1"/>
  <c r="GE53" i="42" s="1"/>
  <c r="GB53" i="42" a="1"/>
  <c r="GB53" i="42" s="1"/>
  <c r="GA53" i="42" a="1"/>
  <c r="GA53" i="42" s="1"/>
  <c r="GD45" i="42" a="1"/>
  <c r="GD45" i="42" s="1"/>
  <c r="GC45" i="42" a="1"/>
  <c r="GC45" i="42" s="1"/>
  <c r="FZ45" i="42" a="1"/>
  <c r="FZ45" i="42" s="1"/>
  <c r="GF45" i="42" a="1"/>
  <c r="GF45" i="42" s="1"/>
  <c r="GE45" i="42" a="1"/>
  <c r="GE45" i="42" s="1"/>
  <c r="GA45" i="42" a="1"/>
  <c r="GA45" i="42" s="1"/>
  <c r="GB45" i="42" a="1"/>
  <c r="GB45" i="42" s="1"/>
  <c r="GD37" i="42" a="1"/>
  <c r="GD37" i="42" s="1"/>
  <c r="GC37" i="42" a="1"/>
  <c r="GC37" i="42" s="1"/>
  <c r="FZ37" i="42" a="1"/>
  <c r="FZ37" i="42" s="1"/>
  <c r="GB37" i="42" a="1"/>
  <c r="GB37" i="42" s="1"/>
  <c r="GA37" i="42" a="1"/>
  <c r="GA37" i="42" s="1"/>
  <c r="GF37" i="42" a="1"/>
  <c r="GF37" i="42" s="1"/>
  <c r="GE37" i="42" a="1"/>
  <c r="GE37" i="42" s="1"/>
  <c r="FZ274" i="42" a="1"/>
  <c r="FZ274" i="42" s="1"/>
  <c r="GF274" i="42" a="1"/>
  <c r="GF274" i="42" s="1"/>
  <c r="GE274" i="42" a="1"/>
  <c r="GE274" i="42" s="1"/>
  <c r="GD274" i="42" a="1"/>
  <c r="GD274" i="42" s="1"/>
  <c r="GC274" i="42" a="1"/>
  <c r="GC274" i="42" s="1"/>
  <c r="GB274" i="42" a="1"/>
  <c r="GB274" i="42" s="1"/>
  <c r="GA274" i="42" a="1"/>
  <c r="GA274" i="42" s="1"/>
  <c r="FZ258" i="42" a="1"/>
  <c r="FZ258" i="42" s="1"/>
  <c r="GF258" i="42" a="1"/>
  <c r="GF258" i="42" s="1"/>
  <c r="GE258" i="42" a="1"/>
  <c r="GE258" i="42" s="1"/>
  <c r="GD258" i="42" a="1"/>
  <c r="GD258" i="42" s="1"/>
  <c r="GA258" i="42" a="1"/>
  <c r="GA258" i="42" s="1"/>
  <c r="GC258" i="42" a="1"/>
  <c r="GC258" i="42" s="1"/>
  <c r="GB258" i="42" a="1"/>
  <c r="GB258" i="42" s="1"/>
  <c r="FZ234" i="42" a="1"/>
  <c r="FZ234" i="42" s="1"/>
  <c r="GD234" i="42" a="1"/>
  <c r="GD234" i="42" s="1"/>
  <c r="GF234" i="42" a="1"/>
  <c r="GF234" i="42" s="1"/>
  <c r="GE234" i="42" a="1"/>
  <c r="GE234" i="42" s="1"/>
  <c r="GC234" i="42" a="1"/>
  <c r="GC234" i="42" s="1"/>
  <c r="GB234" i="42" a="1"/>
  <c r="GB234" i="42" s="1"/>
  <c r="GA234" i="42" a="1"/>
  <c r="GA234" i="42" s="1"/>
  <c r="FZ186" i="42" a="1"/>
  <c r="FZ186" i="42" s="1"/>
  <c r="GD186" i="42" a="1"/>
  <c r="GD186" i="42" s="1"/>
  <c r="GF186" i="42" a="1"/>
  <c r="GF186" i="42" s="1"/>
  <c r="GE186" i="42" a="1"/>
  <c r="GE186" i="42" s="1"/>
  <c r="GC186" i="42" a="1"/>
  <c r="GC186" i="42" s="1"/>
  <c r="GB186" i="42" a="1"/>
  <c r="GB186" i="42" s="1"/>
  <c r="GA186" i="42" a="1"/>
  <c r="GA186" i="42" s="1"/>
  <c r="GA130" i="42" a="1"/>
  <c r="GA130" i="42" s="1"/>
  <c r="FZ130" i="42" a="1"/>
  <c r="FZ130" i="42" s="1"/>
  <c r="GF130" i="42" a="1"/>
  <c r="GF130" i="42" s="1"/>
  <c r="GE130" i="42" a="1"/>
  <c r="GE130" i="42" s="1"/>
  <c r="GD130" i="42" a="1"/>
  <c r="GD130" i="42" s="1"/>
  <c r="GC130" i="42" a="1"/>
  <c r="GC130" i="42" s="1"/>
  <c r="GB130" i="42" a="1"/>
  <c r="GB130" i="42" s="1"/>
  <c r="GA50" i="42" a="1"/>
  <c r="GA50" i="42" s="1"/>
  <c r="FZ50" i="42" a="1"/>
  <c r="FZ50" i="42" s="1"/>
  <c r="GE50" i="42" a="1"/>
  <c r="GE50" i="42" s="1"/>
  <c r="GB50" i="42" a="1"/>
  <c r="GB50" i="42" s="1"/>
  <c r="GC50" i="42" a="1"/>
  <c r="GC50" i="42" s="1"/>
  <c r="GF50" i="42" a="1"/>
  <c r="GF50" i="42" s="1"/>
  <c r="GD50" i="42" a="1"/>
  <c r="GD50" i="42" s="1"/>
  <c r="GF281" i="42" a="1"/>
  <c r="GF281" i="42" s="1"/>
  <c r="GE281" i="42" a="1"/>
  <c r="GE281" i="42" s="1"/>
  <c r="GD281" i="42" a="1"/>
  <c r="GD281" i="42" s="1"/>
  <c r="GC281" i="42" a="1"/>
  <c r="GC281" i="42" s="1"/>
  <c r="GB281" i="42" a="1"/>
  <c r="GB281" i="42" s="1"/>
  <c r="GA281" i="42" a="1"/>
  <c r="GA281" i="42" s="1"/>
  <c r="FZ281" i="42" a="1"/>
  <c r="FZ281" i="42" s="1"/>
  <c r="GF209" i="42" a="1"/>
  <c r="GF209" i="42" s="1"/>
  <c r="GC209" i="42" a="1"/>
  <c r="GC209" i="42" s="1"/>
  <c r="GE209" i="42" a="1"/>
  <c r="GE209" i="42" s="1"/>
  <c r="GD209" i="42" a="1"/>
  <c r="GD209" i="42" s="1"/>
  <c r="GB209" i="42" a="1"/>
  <c r="GB209" i="42" s="1"/>
  <c r="GA209" i="42" a="1"/>
  <c r="GA209" i="42" s="1"/>
  <c r="FZ209" i="42" a="1"/>
  <c r="FZ209" i="42" s="1"/>
  <c r="GF161" i="42" a="1"/>
  <c r="GF161" i="42" s="1"/>
  <c r="GC161" i="42" a="1"/>
  <c r="GC161" i="42" s="1"/>
  <c r="GB161" i="42" a="1"/>
  <c r="GB161" i="42" s="1"/>
  <c r="GA161" i="42" a="1"/>
  <c r="GA161" i="42" s="1"/>
  <c r="FZ161" i="42" a="1"/>
  <c r="FZ161" i="42" s="1"/>
  <c r="GD161" i="42" a="1"/>
  <c r="GD161" i="42" s="1"/>
  <c r="GE161" i="42" a="1"/>
  <c r="GE161" i="42" s="1"/>
  <c r="FZ137" i="42" a="1"/>
  <c r="FZ137" i="42" s="1"/>
  <c r="GF137" i="42" a="1"/>
  <c r="GF137" i="42" s="1"/>
  <c r="GE137" i="42" a="1"/>
  <c r="GE137" i="42" s="1"/>
  <c r="GD137" i="42" a="1"/>
  <c r="GD137" i="42" s="1"/>
  <c r="GA137" i="42" a="1"/>
  <c r="GA137" i="42" s="1"/>
  <c r="GB137" i="42" a="1"/>
  <c r="GB137" i="42" s="1"/>
  <c r="GC137" i="42" a="1"/>
  <c r="GC137" i="42" s="1"/>
  <c r="GF280" i="42" a="1"/>
  <c r="GF280" i="42" s="1"/>
  <c r="GE280" i="42" a="1"/>
  <c r="GE280" i="42" s="1"/>
  <c r="GD280" i="42" a="1"/>
  <c r="GD280" i="42" s="1"/>
  <c r="GC280" i="42" a="1"/>
  <c r="GC280" i="42" s="1"/>
  <c r="GB280" i="42" a="1"/>
  <c r="GB280" i="42" s="1"/>
  <c r="GA280" i="42" a="1"/>
  <c r="GA280" i="42" s="1"/>
  <c r="FZ280" i="42" a="1"/>
  <c r="FZ280" i="42" s="1"/>
  <c r="GF256" i="42" a="1"/>
  <c r="GF256" i="42" s="1"/>
  <c r="GE256" i="42" a="1"/>
  <c r="GE256" i="42" s="1"/>
  <c r="GD256" i="42" a="1"/>
  <c r="GD256" i="42" s="1"/>
  <c r="GC256" i="42" a="1"/>
  <c r="GC256" i="42" s="1"/>
  <c r="GB256" i="42" a="1"/>
  <c r="GB256" i="42" s="1"/>
  <c r="GA256" i="42" a="1"/>
  <c r="GA256" i="42" s="1"/>
  <c r="FZ256" i="42" a="1"/>
  <c r="FZ256" i="42" s="1"/>
  <c r="GF224" i="42" a="1"/>
  <c r="GF224" i="42" s="1"/>
  <c r="GE224" i="42" a="1"/>
  <c r="GE224" i="42" s="1"/>
  <c r="GB224" i="42" a="1"/>
  <c r="GB224" i="42" s="1"/>
  <c r="GC224" i="42" a="1"/>
  <c r="GC224" i="42" s="1"/>
  <c r="GA224" i="42" a="1"/>
  <c r="GA224" i="42" s="1"/>
  <c r="FZ224" i="42" a="1"/>
  <c r="FZ224" i="42" s="1"/>
  <c r="GD224" i="42" a="1"/>
  <c r="GD224" i="42" s="1"/>
  <c r="GF208" i="42" a="1"/>
  <c r="GF208" i="42" s="1"/>
  <c r="GE208" i="42" a="1"/>
  <c r="GE208" i="42" s="1"/>
  <c r="GB208" i="42" a="1"/>
  <c r="GB208" i="42" s="1"/>
  <c r="FZ208" i="42" a="1"/>
  <c r="FZ208" i="42" s="1"/>
  <c r="GA208" i="42" a="1"/>
  <c r="GA208" i="42" s="1"/>
  <c r="GD208" i="42" a="1"/>
  <c r="GD208" i="42" s="1"/>
  <c r="GC208" i="42" a="1"/>
  <c r="GC208" i="42" s="1"/>
  <c r="GF184" i="42" a="1"/>
  <c r="GF184" i="42" s="1"/>
  <c r="GE184" i="42" a="1"/>
  <c r="GE184" i="42" s="1"/>
  <c r="GB184" i="42" a="1"/>
  <c r="GB184" i="42" s="1"/>
  <c r="GD184" i="42" a="1"/>
  <c r="GD184" i="42" s="1"/>
  <c r="GC184" i="42" a="1"/>
  <c r="GC184" i="42" s="1"/>
  <c r="GA184" i="42" a="1"/>
  <c r="GA184" i="42" s="1"/>
  <c r="FZ184" i="42" a="1"/>
  <c r="FZ184" i="42" s="1"/>
  <c r="GF160" i="42" a="1"/>
  <c r="GF160" i="42" s="1"/>
  <c r="GE160" i="42" a="1"/>
  <c r="GE160" i="42" s="1"/>
  <c r="GB160" i="42" a="1"/>
  <c r="GB160" i="42" s="1"/>
  <c r="GD160" i="42" a="1"/>
  <c r="GD160" i="42" s="1"/>
  <c r="GC160" i="42" a="1"/>
  <c r="GC160" i="42" s="1"/>
  <c r="GA160" i="42" a="1"/>
  <c r="GA160" i="42" s="1"/>
  <c r="FZ160" i="42" a="1"/>
  <c r="FZ160" i="42" s="1"/>
  <c r="GF136" i="42" a="1"/>
  <c r="GF136" i="42" s="1"/>
  <c r="GE136" i="42" a="1"/>
  <c r="GE136" i="42" s="1"/>
  <c r="GD136" i="42" a="1"/>
  <c r="GD136" i="42" s="1"/>
  <c r="GC136" i="42" a="1"/>
  <c r="GC136" i="42" s="1"/>
  <c r="GB136" i="42" a="1"/>
  <c r="GB136" i="42" s="1"/>
  <c r="GA136" i="42" a="1"/>
  <c r="GA136" i="42" s="1"/>
  <c r="FZ136" i="42" a="1"/>
  <c r="FZ136" i="42" s="1"/>
  <c r="GF48" i="42" a="1"/>
  <c r="GF48" i="42" s="1"/>
  <c r="GC48" i="42" a="1"/>
  <c r="GC48" i="42" s="1"/>
  <c r="GB48" i="42" a="1"/>
  <c r="GB48" i="42" s="1"/>
  <c r="GA48" i="42" a="1"/>
  <c r="GA48" i="42" s="1"/>
  <c r="FZ48" i="42" a="1"/>
  <c r="FZ48" i="42" s="1"/>
  <c r="GE48" i="42" a="1"/>
  <c r="GE48" i="42" s="1"/>
  <c r="GD48" i="42" a="1"/>
  <c r="GD48" i="42" s="1"/>
  <c r="GE287" i="42" a="1"/>
  <c r="GE287" i="42" s="1"/>
  <c r="GD287" i="42" a="1"/>
  <c r="GD287" i="42" s="1"/>
  <c r="GC287" i="42" a="1"/>
  <c r="GC287" i="42" s="1"/>
  <c r="GB287" i="42" a="1"/>
  <c r="GB287" i="42" s="1"/>
  <c r="GA287" i="42" a="1"/>
  <c r="GA287" i="42" s="1"/>
  <c r="GF287" i="42" a="1"/>
  <c r="GF287" i="42" s="1"/>
  <c r="FZ287" i="42" a="1"/>
  <c r="FZ287" i="42" s="1"/>
  <c r="GE271" i="42" a="1"/>
  <c r="GE271" i="42" s="1"/>
  <c r="GD271" i="42" a="1"/>
  <c r="GD271" i="42" s="1"/>
  <c r="GC271" i="42" a="1"/>
  <c r="GC271" i="42" s="1"/>
  <c r="GB271" i="42" a="1"/>
  <c r="GB271" i="42" s="1"/>
  <c r="GA271" i="42" a="1"/>
  <c r="GA271" i="42" s="1"/>
  <c r="GF271" i="42" a="1"/>
  <c r="GF271" i="42" s="1"/>
  <c r="FZ271" i="42" a="1"/>
  <c r="FZ271" i="42" s="1"/>
  <c r="GE255" i="42" a="1"/>
  <c r="GE255" i="42" s="1"/>
  <c r="GD255" i="42" a="1"/>
  <c r="GD255" i="42" s="1"/>
  <c r="GC255" i="42" a="1"/>
  <c r="GC255" i="42" s="1"/>
  <c r="GB255" i="42" a="1"/>
  <c r="GB255" i="42" s="1"/>
  <c r="GA255" i="42" a="1"/>
  <c r="GA255" i="42" s="1"/>
  <c r="FZ255" i="42" a="1"/>
  <c r="FZ255" i="42" s="1"/>
  <c r="GF255" i="42" a="1"/>
  <c r="GF255" i="42" s="1"/>
  <c r="GE239" i="42" a="1"/>
  <c r="GE239" i="42" s="1"/>
  <c r="GD239" i="42" a="1"/>
  <c r="GD239" i="42" s="1"/>
  <c r="GA239" i="42" a="1"/>
  <c r="GA239" i="42" s="1"/>
  <c r="FZ239" i="42" a="1"/>
  <c r="FZ239" i="42" s="1"/>
  <c r="GF239" i="42" a="1"/>
  <c r="GF239" i="42" s="1"/>
  <c r="GC239" i="42" a="1"/>
  <c r="GC239" i="42" s="1"/>
  <c r="GB239" i="42" a="1"/>
  <c r="GB239" i="42" s="1"/>
  <c r="GE223" i="42" a="1"/>
  <c r="GE223" i="42" s="1"/>
  <c r="GD223" i="42" a="1"/>
  <c r="GD223" i="42" s="1"/>
  <c r="GA223" i="42" a="1"/>
  <c r="GA223" i="42" s="1"/>
  <c r="GF223" i="42" a="1"/>
  <c r="GF223" i="42" s="1"/>
  <c r="GC223" i="42" a="1"/>
  <c r="GC223" i="42" s="1"/>
  <c r="GB223" i="42" a="1"/>
  <c r="GB223" i="42" s="1"/>
  <c r="FZ223" i="42" a="1"/>
  <c r="FZ223" i="42" s="1"/>
  <c r="GE207" i="42" a="1"/>
  <c r="GE207" i="42" s="1"/>
  <c r="GD207" i="42" a="1"/>
  <c r="GD207" i="42" s="1"/>
  <c r="GA207" i="42" a="1"/>
  <c r="GA207" i="42" s="1"/>
  <c r="GF207" i="42" a="1"/>
  <c r="GF207" i="42" s="1"/>
  <c r="GC207" i="42" a="1"/>
  <c r="GC207" i="42" s="1"/>
  <c r="GB207" i="42" a="1"/>
  <c r="GB207" i="42" s="1"/>
  <c r="FZ207" i="42" a="1"/>
  <c r="FZ207" i="42" s="1"/>
  <c r="GE191" i="42" a="1"/>
  <c r="GE191" i="42" s="1"/>
  <c r="GD191" i="42" a="1"/>
  <c r="GD191" i="42" s="1"/>
  <c r="GA191" i="42" a="1"/>
  <c r="GA191" i="42" s="1"/>
  <c r="GF191" i="42" a="1"/>
  <c r="GF191" i="42" s="1"/>
  <c r="GC191" i="42" a="1"/>
  <c r="GC191" i="42" s="1"/>
  <c r="GB191" i="42" a="1"/>
  <c r="GB191" i="42" s="1"/>
  <c r="FZ191" i="42" a="1"/>
  <c r="FZ191" i="42" s="1"/>
  <c r="GE175" i="42" a="1"/>
  <c r="GE175" i="42" s="1"/>
  <c r="GD175" i="42" a="1"/>
  <c r="GD175" i="42" s="1"/>
  <c r="GA175" i="42" a="1"/>
  <c r="GA175" i="42" s="1"/>
  <c r="GF175" i="42" a="1"/>
  <c r="GF175" i="42" s="1"/>
  <c r="GC175" i="42" a="1"/>
  <c r="GC175" i="42" s="1"/>
  <c r="GB175" i="42" a="1"/>
  <c r="GB175" i="42" s="1"/>
  <c r="FZ175" i="42" a="1"/>
  <c r="FZ175" i="42" s="1"/>
  <c r="GE159" i="42" a="1"/>
  <c r="GE159" i="42" s="1"/>
  <c r="GD159" i="42" a="1"/>
  <c r="GD159" i="42" s="1"/>
  <c r="GA159" i="42" a="1"/>
  <c r="GA159" i="42" s="1"/>
  <c r="GC159" i="42" a="1"/>
  <c r="GC159" i="42" s="1"/>
  <c r="GB159" i="42" a="1"/>
  <c r="GB159" i="42" s="1"/>
  <c r="FZ159" i="42" a="1"/>
  <c r="FZ159" i="42" s="1"/>
  <c r="GF159" i="42" a="1"/>
  <c r="GF159" i="42" s="1"/>
  <c r="GF143" i="42" a="1"/>
  <c r="GF143" i="42" s="1"/>
  <c r="GE143" i="42" a="1"/>
  <c r="GE143" i="42" s="1"/>
  <c r="GD143" i="42" a="1"/>
  <c r="GD143" i="42" s="1"/>
  <c r="GC143" i="42" a="1"/>
  <c r="GC143" i="42" s="1"/>
  <c r="GB143" i="42" a="1"/>
  <c r="GB143" i="42" s="1"/>
  <c r="FZ143" i="42" a="1"/>
  <c r="FZ143" i="42" s="1"/>
  <c r="GA143" i="42" a="1"/>
  <c r="GA143" i="42" s="1"/>
  <c r="GF127" i="42" a="1"/>
  <c r="GF127" i="42" s="1"/>
  <c r="GE127" i="42" a="1"/>
  <c r="GE127" i="42" s="1"/>
  <c r="GD127" i="42" a="1"/>
  <c r="GD127" i="42" s="1"/>
  <c r="GC127" i="42" a="1"/>
  <c r="GC127" i="42" s="1"/>
  <c r="GB127" i="42" a="1"/>
  <c r="GB127" i="42" s="1"/>
  <c r="GA127" i="42" a="1"/>
  <c r="GA127" i="42" s="1"/>
  <c r="FZ127" i="42" a="1"/>
  <c r="FZ127" i="42" s="1"/>
  <c r="GF111" i="42" a="1"/>
  <c r="GF111" i="42" s="1"/>
  <c r="GE111" i="42" a="1"/>
  <c r="GE111" i="42" s="1"/>
  <c r="GD111" i="42" a="1"/>
  <c r="GD111" i="42" s="1"/>
  <c r="GC111" i="42" a="1"/>
  <c r="GC111" i="42" s="1"/>
  <c r="GB111" i="42" a="1"/>
  <c r="GB111" i="42" s="1"/>
  <c r="GA111" i="42" a="1"/>
  <c r="GA111" i="42" s="1"/>
  <c r="FZ111" i="42" a="1"/>
  <c r="FZ111" i="42" s="1"/>
  <c r="GF95" i="42" a="1"/>
  <c r="GF95" i="42" s="1"/>
  <c r="GE95" i="42" a="1"/>
  <c r="GE95" i="42" s="1"/>
  <c r="GB95" i="42" a="1"/>
  <c r="GB95" i="42" s="1"/>
  <c r="GD95" i="42" a="1"/>
  <c r="GD95" i="42" s="1"/>
  <c r="GC95" i="42" a="1"/>
  <c r="GC95" i="42" s="1"/>
  <c r="GA95" i="42" a="1"/>
  <c r="GA95" i="42" s="1"/>
  <c r="FZ95" i="42" a="1"/>
  <c r="FZ95" i="42" s="1"/>
  <c r="GF79" i="42" a="1"/>
  <c r="GF79" i="42" s="1"/>
  <c r="GE79" i="42" a="1"/>
  <c r="GE79" i="42" s="1"/>
  <c r="GB79" i="42" a="1"/>
  <c r="GB79" i="42" s="1"/>
  <c r="GC79" i="42" a="1"/>
  <c r="GC79" i="42" s="1"/>
  <c r="GA79" i="42" a="1"/>
  <c r="GA79" i="42" s="1"/>
  <c r="FZ79" i="42" a="1"/>
  <c r="FZ79" i="42" s="1"/>
  <c r="GD79" i="42" a="1"/>
  <c r="GD79" i="42" s="1"/>
  <c r="GF63" i="42" a="1"/>
  <c r="GF63" i="42" s="1"/>
  <c r="GE63" i="42" a="1"/>
  <c r="GE63" i="42" s="1"/>
  <c r="GB63" i="42" a="1"/>
  <c r="GB63" i="42" s="1"/>
  <c r="FZ63" i="42" a="1"/>
  <c r="FZ63" i="42" s="1"/>
  <c r="GD63" i="42" a="1"/>
  <c r="GD63" i="42" s="1"/>
  <c r="GC63" i="42" a="1"/>
  <c r="GC63" i="42" s="1"/>
  <c r="GA63" i="42" a="1"/>
  <c r="GA63" i="42" s="1"/>
  <c r="GD286" i="42" a="1"/>
  <c r="GD286" i="42" s="1"/>
  <c r="GC286" i="42" a="1"/>
  <c r="GC286" i="42" s="1"/>
  <c r="GB286" i="42" a="1"/>
  <c r="GB286" i="42" s="1"/>
  <c r="GA286" i="42" a="1"/>
  <c r="GA286" i="42" s="1"/>
  <c r="FZ286" i="42" a="1"/>
  <c r="FZ286" i="42" s="1"/>
  <c r="GF286" i="42" a="1"/>
  <c r="GF286" i="42" s="1"/>
  <c r="GE286" i="42" a="1"/>
  <c r="GE286" i="42" s="1"/>
  <c r="GD270" i="42" a="1"/>
  <c r="GD270" i="42" s="1"/>
  <c r="GC270" i="42" a="1"/>
  <c r="GC270" i="42" s="1"/>
  <c r="GB270" i="42" a="1"/>
  <c r="GB270" i="42" s="1"/>
  <c r="GA270" i="42" a="1"/>
  <c r="GA270" i="42" s="1"/>
  <c r="FZ270" i="42" a="1"/>
  <c r="FZ270" i="42" s="1"/>
  <c r="GF270" i="42" a="1"/>
  <c r="GF270" i="42" s="1"/>
  <c r="GE270" i="42" a="1"/>
  <c r="GE270" i="42" s="1"/>
  <c r="GD254" i="42" a="1"/>
  <c r="GD254" i="42" s="1"/>
  <c r="GC254" i="42" a="1"/>
  <c r="GC254" i="42" s="1"/>
  <c r="GB254" i="42" a="1"/>
  <c r="GB254" i="42" s="1"/>
  <c r="GA254" i="42" a="1"/>
  <c r="GA254" i="42" s="1"/>
  <c r="FZ254" i="42" a="1"/>
  <c r="FZ254" i="42" s="1"/>
  <c r="GF254" i="42" a="1"/>
  <c r="GF254" i="42" s="1"/>
  <c r="GE254" i="42" a="1"/>
  <c r="GE254" i="42" s="1"/>
  <c r="GD238" i="42" a="1"/>
  <c r="GD238" i="42" s="1"/>
  <c r="GC238" i="42" a="1"/>
  <c r="GC238" i="42" s="1"/>
  <c r="FZ238" i="42" a="1"/>
  <c r="FZ238" i="42" s="1"/>
  <c r="GF238" i="42" a="1"/>
  <c r="GF238" i="42" s="1"/>
  <c r="GE238" i="42" a="1"/>
  <c r="GE238" i="42" s="1"/>
  <c r="GB238" i="42" a="1"/>
  <c r="GB238" i="42" s="1"/>
  <c r="GA238" i="42" a="1"/>
  <c r="GA238" i="42" s="1"/>
  <c r="GD222" i="42" a="1"/>
  <c r="GD222" i="42" s="1"/>
  <c r="GC222" i="42" a="1"/>
  <c r="GC222" i="42" s="1"/>
  <c r="FZ222" i="42" a="1"/>
  <c r="FZ222" i="42" s="1"/>
  <c r="GE222" i="42" a="1"/>
  <c r="GE222" i="42" s="1"/>
  <c r="GB222" i="42" a="1"/>
  <c r="GB222" i="42" s="1"/>
  <c r="GA222" i="42" a="1"/>
  <c r="GA222" i="42" s="1"/>
  <c r="GF222" i="42" a="1"/>
  <c r="GF222" i="42" s="1"/>
  <c r="GC285" i="42" a="1"/>
  <c r="GC285" i="42" s="1"/>
  <c r="GB285" i="42" a="1"/>
  <c r="GB285" i="42" s="1"/>
  <c r="GA285" i="42" a="1"/>
  <c r="GA285" i="42" s="1"/>
  <c r="FZ285" i="42" a="1"/>
  <c r="FZ285" i="42" s="1"/>
  <c r="GD285" i="42" a="1"/>
  <c r="GD285" i="42" s="1"/>
  <c r="GF285" i="42" a="1"/>
  <c r="GF285" i="42" s="1"/>
  <c r="GE285" i="42" a="1"/>
  <c r="GE285" i="42" s="1"/>
  <c r="GC277" i="42" a="1"/>
  <c r="GC277" i="42" s="1"/>
  <c r="GB277" i="42" a="1"/>
  <c r="GB277" i="42" s="1"/>
  <c r="GA277" i="42" a="1"/>
  <c r="GA277" i="42" s="1"/>
  <c r="FZ277" i="42" a="1"/>
  <c r="FZ277" i="42" s="1"/>
  <c r="GF277" i="42" a="1"/>
  <c r="GF277" i="42" s="1"/>
  <c r="GE277" i="42" a="1"/>
  <c r="GE277" i="42" s="1"/>
  <c r="GD277" i="42" a="1"/>
  <c r="GD277" i="42" s="1"/>
  <c r="GC269" i="42" a="1"/>
  <c r="GC269" i="42" s="1"/>
  <c r="GB269" i="42" a="1"/>
  <c r="GB269" i="42" s="1"/>
  <c r="GA269" i="42" a="1"/>
  <c r="GA269" i="42" s="1"/>
  <c r="FZ269" i="42" a="1"/>
  <c r="FZ269" i="42" s="1"/>
  <c r="GF269" i="42" a="1"/>
  <c r="GF269" i="42" s="1"/>
  <c r="GE269" i="42" a="1"/>
  <c r="GE269" i="42" s="1"/>
  <c r="GD269" i="42" a="1"/>
  <c r="GD269" i="42" s="1"/>
  <c r="GC261" i="42" a="1"/>
  <c r="GC261" i="42" s="1"/>
  <c r="GB261" i="42" a="1"/>
  <c r="GB261" i="42" s="1"/>
  <c r="GA261" i="42" a="1"/>
  <c r="GA261" i="42" s="1"/>
  <c r="FZ261" i="42" a="1"/>
  <c r="FZ261" i="42" s="1"/>
  <c r="GF261" i="42" a="1"/>
  <c r="GF261" i="42" s="1"/>
  <c r="GE261" i="42" a="1"/>
  <c r="GE261" i="42" s="1"/>
  <c r="GD261" i="42" a="1"/>
  <c r="GD261" i="42" s="1"/>
  <c r="GC253" i="42" a="1"/>
  <c r="GC253" i="42" s="1"/>
  <c r="GB253" i="42" a="1"/>
  <c r="GB253" i="42" s="1"/>
  <c r="GA253" i="42" a="1"/>
  <c r="GA253" i="42" s="1"/>
  <c r="FZ253" i="42" a="1"/>
  <c r="FZ253" i="42" s="1"/>
  <c r="GF253" i="42" a="1"/>
  <c r="GF253" i="42" s="1"/>
  <c r="GE253" i="42" a="1"/>
  <c r="GE253" i="42" s="1"/>
  <c r="GD253" i="42" a="1"/>
  <c r="GD253" i="42" s="1"/>
  <c r="GC245" i="42" a="1"/>
  <c r="GC245" i="42" s="1"/>
  <c r="GB245" i="42" a="1"/>
  <c r="GB245" i="42" s="1"/>
  <c r="GF245" i="42" a="1"/>
  <c r="GF245" i="42" s="1"/>
  <c r="GE245" i="42" a="1"/>
  <c r="GE245" i="42" s="1"/>
  <c r="GD245" i="42" a="1"/>
  <c r="GD245" i="42" s="1"/>
  <c r="GA245" i="42" a="1"/>
  <c r="GA245" i="42" s="1"/>
  <c r="FZ245" i="42" a="1"/>
  <c r="FZ245" i="42" s="1"/>
  <c r="GC237" i="42" a="1"/>
  <c r="GC237" i="42" s="1"/>
  <c r="GB237" i="42" a="1"/>
  <c r="GB237" i="42" s="1"/>
  <c r="GA237" i="42" a="1"/>
  <c r="GA237" i="42" s="1"/>
  <c r="FZ237" i="42" a="1"/>
  <c r="FZ237" i="42" s="1"/>
  <c r="GD237" i="42" a="1"/>
  <c r="GD237" i="42" s="1"/>
  <c r="GF237" i="42" a="1"/>
  <c r="GF237" i="42" s="1"/>
  <c r="GE237" i="42" a="1"/>
  <c r="GE237" i="42" s="1"/>
  <c r="GC229" i="42" a="1"/>
  <c r="GC229" i="42" s="1"/>
  <c r="GB229" i="42" a="1"/>
  <c r="GB229" i="42" s="1"/>
  <c r="GF229" i="42" a="1"/>
  <c r="GF229" i="42" s="1"/>
  <c r="GE229" i="42" a="1"/>
  <c r="GE229" i="42" s="1"/>
  <c r="GD229" i="42" a="1"/>
  <c r="GD229" i="42" s="1"/>
  <c r="GA229" i="42" a="1"/>
  <c r="GA229" i="42" s="1"/>
  <c r="FZ229" i="42" a="1"/>
  <c r="FZ229" i="42" s="1"/>
  <c r="GB284" i="42" a="1"/>
  <c r="GB284" i="42" s="1"/>
  <c r="GA284" i="42" a="1"/>
  <c r="GA284" i="42" s="1"/>
  <c r="FZ284" i="42" a="1"/>
  <c r="FZ284" i="42" s="1"/>
  <c r="GF284" i="42" a="1"/>
  <c r="GF284" i="42" s="1"/>
  <c r="GE284" i="42" a="1"/>
  <c r="GE284" i="42" s="1"/>
  <c r="GD284" i="42" a="1"/>
  <c r="GD284" i="42" s="1"/>
  <c r="GC284" i="42" a="1"/>
  <c r="GC284" i="42" s="1"/>
  <c r="GB276" i="42" a="1"/>
  <c r="GB276" i="42" s="1"/>
  <c r="GA276" i="42" a="1"/>
  <c r="GA276" i="42" s="1"/>
  <c r="FZ276" i="42" a="1"/>
  <c r="FZ276" i="42" s="1"/>
  <c r="GF276" i="42" a="1"/>
  <c r="GF276" i="42" s="1"/>
  <c r="GC276" i="42" a="1"/>
  <c r="GC276" i="42" s="1"/>
  <c r="GE276" i="42" a="1"/>
  <c r="GE276" i="42" s="1"/>
  <c r="GD276" i="42" a="1"/>
  <c r="GD276" i="42" s="1"/>
  <c r="GB268" i="42" a="1"/>
  <c r="GB268" i="42" s="1"/>
  <c r="GA268" i="42" a="1"/>
  <c r="GA268" i="42" s="1"/>
  <c r="FZ268" i="42" a="1"/>
  <c r="FZ268" i="42" s="1"/>
  <c r="GF268" i="42" a="1"/>
  <c r="GF268" i="42" s="1"/>
  <c r="GE268" i="42" a="1"/>
  <c r="GE268" i="42" s="1"/>
  <c r="GD268" i="42" a="1"/>
  <c r="GD268" i="42" s="1"/>
  <c r="GC268" i="42" a="1"/>
  <c r="GC268" i="42" s="1"/>
  <c r="GB260" i="42" a="1"/>
  <c r="GB260" i="42" s="1"/>
  <c r="GA260" i="42" a="1"/>
  <c r="GA260" i="42" s="1"/>
  <c r="FZ260" i="42" a="1"/>
  <c r="FZ260" i="42" s="1"/>
  <c r="GF260" i="42" a="1"/>
  <c r="GF260" i="42" s="1"/>
  <c r="GE260" i="42" a="1"/>
  <c r="GE260" i="42" s="1"/>
  <c r="GD260" i="42" a="1"/>
  <c r="GD260" i="42" s="1"/>
  <c r="GC260" i="42" a="1"/>
  <c r="GC260" i="42" s="1"/>
  <c r="GB252" i="42" a="1"/>
  <c r="GB252" i="42" s="1"/>
  <c r="GA252" i="42" a="1"/>
  <c r="GA252" i="42" s="1"/>
  <c r="FZ252" i="42" a="1"/>
  <c r="FZ252" i="42" s="1"/>
  <c r="GF252" i="42" a="1"/>
  <c r="GF252" i="42" s="1"/>
  <c r="GE252" i="42" a="1"/>
  <c r="GE252" i="42" s="1"/>
  <c r="GD252" i="42" a="1"/>
  <c r="GD252" i="42" s="1"/>
  <c r="GC252" i="42" a="1"/>
  <c r="GC252" i="42" s="1"/>
  <c r="GB244" i="42" a="1"/>
  <c r="GB244" i="42" s="1"/>
  <c r="GA244" i="42" a="1"/>
  <c r="GA244" i="42" s="1"/>
  <c r="GF244" i="42" a="1"/>
  <c r="GF244" i="42" s="1"/>
  <c r="GD244" i="42" a="1"/>
  <c r="GD244" i="42" s="1"/>
  <c r="GC244" i="42" a="1"/>
  <c r="GC244" i="42" s="1"/>
  <c r="FZ244" i="42" a="1"/>
  <c r="FZ244" i="42" s="1"/>
  <c r="GE244" i="42" a="1"/>
  <c r="GE244" i="42" s="1"/>
  <c r="GB236" i="42" a="1"/>
  <c r="GB236" i="42" s="1"/>
  <c r="GA236" i="42" a="1"/>
  <c r="GA236" i="42" s="1"/>
  <c r="GF236" i="42" a="1"/>
  <c r="GF236" i="42" s="1"/>
  <c r="GE236" i="42" a="1"/>
  <c r="GE236" i="42" s="1"/>
  <c r="GD236" i="42" a="1"/>
  <c r="GD236" i="42" s="1"/>
  <c r="GC236" i="42" a="1"/>
  <c r="GC236" i="42" s="1"/>
  <c r="FZ236" i="42" a="1"/>
  <c r="FZ236" i="42" s="1"/>
  <c r="GB188" i="42" a="1"/>
  <c r="GB188" i="42" s="1"/>
  <c r="GA188" i="42" a="1"/>
  <c r="GA188" i="42" s="1"/>
  <c r="GF188" i="42" a="1"/>
  <c r="GF188" i="42" s="1"/>
  <c r="GE188" i="42" a="1"/>
  <c r="GE188" i="42" s="1"/>
  <c r="GD188" i="42" a="1"/>
  <c r="GD188" i="42" s="1"/>
  <c r="GC188" i="42" a="1"/>
  <c r="GC188" i="42" s="1"/>
  <c r="FZ188" i="42" a="1"/>
  <c r="FZ188" i="42" s="1"/>
  <c r="GC52" i="42" a="1"/>
  <c r="GC52" i="42" s="1"/>
  <c r="GB52" i="42" a="1"/>
  <c r="GB52" i="42" s="1"/>
  <c r="FZ52" i="42" a="1"/>
  <c r="FZ52" i="42" s="1"/>
  <c r="GF52" i="42" a="1"/>
  <c r="GF52" i="42" s="1"/>
  <c r="GE52" i="42" a="1"/>
  <c r="GE52" i="42" s="1"/>
  <c r="GD52" i="42" a="1"/>
  <c r="GD52" i="42" s="1"/>
  <c r="GA52" i="42" a="1"/>
  <c r="GA52" i="42" s="1"/>
  <c r="FZ194" i="42" a="1"/>
  <c r="FZ194" i="42" s="1"/>
  <c r="GD194" i="42" a="1"/>
  <c r="GD194" i="42" s="1"/>
  <c r="GF194" i="42" a="1"/>
  <c r="GF194" i="42" s="1"/>
  <c r="GB194" i="42" a="1"/>
  <c r="GB194" i="42" s="1"/>
  <c r="GE194" i="42" a="1"/>
  <c r="GE194" i="42" s="1"/>
  <c r="GC194" i="42" a="1"/>
  <c r="GC194" i="42" s="1"/>
  <c r="GA194" i="42" a="1"/>
  <c r="GA194" i="42" s="1"/>
  <c r="FZ162" i="42" a="1"/>
  <c r="FZ162" i="42" s="1"/>
  <c r="GD162" i="42" a="1"/>
  <c r="GD162" i="42" s="1"/>
  <c r="GF162" i="42" a="1"/>
  <c r="GF162" i="42" s="1"/>
  <c r="GE162" i="42" a="1"/>
  <c r="GE162" i="42" s="1"/>
  <c r="GC162" i="42" a="1"/>
  <c r="GC162" i="42" s="1"/>
  <c r="GB162" i="42" a="1"/>
  <c r="GB162" i="42" s="1"/>
  <c r="GA162" i="42" a="1"/>
  <c r="GA162" i="42" s="1"/>
  <c r="FZ154" i="42" a="1"/>
  <c r="FZ154" i="42" s="1"/>
  <c r="GD154" i="42" a="1"/>
  <c r="GD154" i="42" s="1"/>
  <c r="GA154" i="42" a="1"/>
  <c r="GA154" i="42" s="1"/>
  <c r="GF154" i="42" a="1"/>
  <c r="GF154" i="42" s="1"/>
  <c r="GE154" i="42" a="1"/>
  <c r="GE154" i="42" s="1"/>
  <c r="GC154" i="42" a="1"/>
  <c r="GC154" i="42" s="1"/>
  <c r="GB154" i="42" a="1"/>
  <c r="GB154" i="42" s="1"/>
  <c r="GA138" i="42" a="1"/>
  <c r="GA138" i="42" s="1"/>
  <c r="FZ138" i="42" a="1"/>
  <c r="FZ138" i="42" s="1"/>
  <c r="GF138" i="42" a="1"/>
  <c r="GF138" i="42" s="1"/>
  <c r="GE138" i="42" a="1"/>
  <c r="GE138" i="42" s="1"/>
  <c r="GD138" i="42" a="1"/>
  <c r="GD138" i="42" s="1"/>
  <c r="GC138" i="42" a="1"/>
  <c r="GC138" i="42" s="1"/>
  <c r="GB138" i="42" a="1"/>
  <c r="GB138" i="42" s="1"/>
  <c r="GA122" i="42" a="1"/>
  <c r="GA122" i="42" s="1"/>
  <c r="FZ122" i="42" a="1"/>
  <c r="FZ122" i="42" s="1"/>
  <c r="GF122" i="42" a="1"/>
  <c r="GF122" i="42" s="1"/>
  <c r="GE122" i="42" a="1"/>
  <c r="GE122" i="42" s="1"/>
  <c r="GD122" i="42" a="1"/>
  <c r="GD122" i="42" s="1"/>
  <c r="GC122" i="42" a="1"/>
  <c r="GC122" i="42" s="1"/>
  <c r="GB122" i="42" a="1"/>
  <c r="GB122" i="42" s="1"/>
  <c r="GA106" i="42" a="1"/>
  <c r="GA106" i="42" s="1"/>
  <c r="FZ106" i="42" a="1"/>
  <c r="FZ106" i="42" s="1"/>
  <c r="GF106" i="42" a="1"/>
  <c r="GF106" i="42" s="1"/>
  <c r="GE106" i="42" a="1"/>
  <c r="GE106" i="42" s="1"/>
  <c r="GC106" i="42" a="1"/>
  <c r="GC106" i="42" s="1"/>
  <c r="GB106" i="42" a="1"/>
  <c r="GB106" i="42" s="1"/>
  <c r="GD106" i="42" a="1"/>
  <c r="GD106" i="42" s="1"/>
  <c r="GA98" i="42" a="1"/>
  <c r="GA98" i="42" s="1"/>
  <c r="FZ98" i="42" a="1"/>
  <c r="FZ98" i="42" s="1"/>
  <c r="GE98" i="42" a="1"/>
  <c r="GE98" i="42" s="1"/>
  <c r="GF98" i="42" a="1"/>
  <c r="GF98" i="42" s="1"/>
  <c r="GD98" i="42" a="1"/>
  <c r="GD98" i="42" s="1"/>
  <c r="GC98" i="42" a="1"/>
  <c r="GC98" i="42" s="1"/>
  <c r="GB98" i="42" a="1"/>
  <c r="GB98" i="42" s="1"/>
  <c r="GA90" i="42" a="1"/>
  <c r="GA90" i="42" s="1"/>
  <c r="FZ90" i="42" a="1"/>
  <c r="FZ90" i="42" s="1"/>
  <c r="GE90" i="42" a="1"/>
  <c r="GE90" i="42" s="1"/>
  <c r="GC90" i="42" a="1"/>
  <c r="GC90" i="42" s="1"/>
  <c r="GB90" i="42" a="1"/>
  <c r="GB90" i="42" s="1"/>
  <c r="GD90" i="42" a="1"/>
  <c r="GD90" i="42" s="1"/>
  <c r="GF90" i="42" a="1"/>
  <c r="GF90" i="42" s="1"/>
  <c r="GA82" i="42" a="1"/>
  <c r="GA82" i="42" s="1"/>
  <c r="FZ82" i="42" a="1"/>
  <c r="FZ82" i="42" s="1"/>
  <c r="GE82" i="42" a="1"/>
  <c r="GE82" i="42" s="1"/>
  <c r="GF82" i="42" a="1"/>
  <c r="GF82" i="42" s="1"/>
  <c r="GD82" i="42" a="1"/>
  <c r="GD82" i="42" s="1"/>
  <c r="GC82" i="42" a="1"/>
  <c r="GC82" i="42" s="1"/>
  <c r="GB82" i="42" a="1"/>
  <c r="GB82" i="42" s="1"/>
  <c r="GB228" i="42" a="1"/>
  <c r="GB228" i="42" s="1"/>
  <c r="GA228" i="42" a="1"/>
  <c r="GA228" i="42" s="1"/>
  <c r="GF228" i="42" a="1"/>
  <c r="GF228" i="42" s="1"/>
  <c r="FZ228" i="42" a="1"/>
  <c r="FZ228" i="42" s="1"/>
  <c r="GE228" i="42" a="1"/>
  <c r="GE228" i="42" s="1"/>
  <c r="GD228" i="42" a="1"/>
  <c r="GD228" i="42" s="1"/>
  <c r="GC228" i="42" a="1"/>
  <c r="GC228" i="42" s="1"/>
  <c r="GB220" i="42" a="1"/>
  <c r="GB220" i="42" s="1"/>
  <c r="GA220" i="42" a="1"/>
  <c r="GA220" i="42" s="1"/>
  <c r="GF220" i="42" a="1"/>
  <c r="GF220" i="42" s="1"/>
  <c r="GE220" i="42" a="1"/>
  <c r="GE220" i="42" s="1"/>
  <c r="GD220" i="42" a="1"/>
  <c r="GD220" i="42" s="1"/>
  <c r="GC220" i="42" a="1"/>
  <c r="GC220" i="42" s="1"/>
  <c r="FZ220" i="42" a="1"/>
  <c r="FZ220" i="42" s="1"/>
  <c r="GB212" i="42" a="1"/>
  <c r="GB212" i="42" s="1"/>
  <c r="GA212" i="42" a="1"/>
  <c r="GA212" i="42" s="1"/>
  <c r="GF212" i="42" a="1"/>
  <c r="GF212" i="42" s="1"/>
  <c r="GE212" i="42" a="1"/>
  <c r="GE212" i="42" s="1"/>
  <c r="GD212" i="42" a="1"/>
  <c r="GD212" i="42" s="1"/>
  <c r="GC212" i="42" a="1"/>
  <c r="GC212" i="42" s="1"/>
  <c r="FZ212" i="42" a="1"/>
  <c r="FZ212" i="42" s="1"/>
  <c r="GB204" i="42" a="1"/>
  <c r="GB204" i="42" s="1"/>
  <c r="GA204" i="42" a="1"/>
  <c r="GA204" i="42" s="1"/>
  <c r="GF204" i="42" a="1"/>
  <c r="GF204" i="42" s="1"/>
  <c r="GC204" i="42" a="1"/>
  <c r="GC204" i="42" s="1"/>
  <c r="FZ204" i="42" a="1"/>
  <c r="FZ204" i="42" s="1"/>
  <c r="GD204" i="42" a="1"/>
  <c r="GD204" i="42" s="1"/>
  <c r="GE204" i="42" a="1"/>
  <c r="GE204" i="42" s="1"/>
  <c r="GB196" i="42" a="1"/>
  <c r="GB196" i="42" s="1"/>
  <c r="GA196" i="42" a="1"/>
  <c r="GA196" i="42" s="1"/>
  <c r="GF196" i="42" a="1"/>
  <c r="GF196" i="42" s="1"/>
  <c r="GE196" i="42" a="1"/>
  <c r="GE196" i="42" s="1"/>
  <c r="FZ196" i="42" a="1"/>
  <c r="FZ196" i="42" s="1"/>
  <c r="GD196" i="42" a="1"/>
  <c r="GD196" i="42" s="1"/>
  <c r="GC196" i="42" a="1"/>
  <c r="GC196" i="42" s="1"/>
  <c r="GB180" i="42" a="1"/>
  <c r="GB180" i="42" s="1"/>
  <c r="GA180" i="42" a="1"/>
  <c r="GA180" i="42" s="1"/>
  <c r="GF180" i="42" a="1"/>
  <c r="GF180" i="42" s="1"/>
  <c r="GE180" i="42" a="1"/>
  <c r="GE180" i="42" s="1"/>
  <c r="GD180" i="42" a="1"/>
  <c r="GD180" i="42" s="1"/>
  <c r="GC180" i="42" a="1"/>
  <c r="GC180" i="42" s="1"/>
  <c r="FZ180" i="42" a="1"/>
  <c r="FZ180" i="42" s="1"/>
  <c r="GB172" i="42" a="1"/>
  <c r="GB172" i="42" s="1"/>
  <c r="GA172" i="42" a="1"/>
  <c r="GA172" i="42" s="1"/>
  <c r="GF172" i="42" a="1"/>
  <c r="GF172" i="42" s="1"/>
  <c r="GC172" i="42" a="1"/>
  <c r="GC172" i="42" s="1"/>
  <c r="FZ172" i="42" a="1"/>
  <c r="FZ172" i="42" s="1"/>
  <c r="GD172" i="42" a="1"/>
  <c r="GD172" i="42" s="1"/>
  <c r="GE172" i="42" a="1"/>
  <c r="GE172" i="42" s="1"/>
  <c r="GB164" i="42" a="1"/>
  <c r="GB164" i="42" s="1"/>
  <c r="GA164" i="42" a="1"/>
  <c r="GA164" i="42" s="1"/>
  <c r="GF164" i="42" a="1"/>
  <c r="GF164" i="42" s="1"/>
  <c r="GE164" i="42" a="1"/>
  <c r="GE164" i="42" s="1"/>
  <c r="GD164" i="42" a="1"/>
  <c r="GD164" i="42" s="1"/>
  <c r="GC164" i="42" a="1"/>
  <c r="GC164" i="42" s="1"/>
  <c r="FZ164" i="42" a="1"/>
  <c r="FZ164" i="42" s="1"/>
  <c r="GB156" i="42" a="1"/>
  <c r="GB156" i="42" s="1"/>
  <c r="GA156" i="42" a="1"/>
  <c r="GA156" i="42" s="1"/>
  <c r="GF156" i="42" a="1"/>
  <c r="GF156" i="42" s="1"/>
  <c r="GE156" i="42" a="1"/>
  <c r="GE156" i="42" s="1"/>
  <c r="GC156" i="42" a="1"/>
  <c r="GC156" i="42" s="1"/>
  <c r="FZ156" i="42" a="1"/>
  <c r="FZ156" i="42" s="1"/>
  <c r="GD156" i="42" a="1"/>
  <c r="GD156" i="42" s="1"/>
  <c r="GB148" i="42" a="1"/>
  <c r="GB148" i="42" s="1"/>
  <c r="GA148" i="42" a="1"/>
  <c r="GA148" i="42" s="1"/>
  <c r="GF148" i="42" a="1"/>
  <c r="GF148" i="42" s="1"/>
  <c r="GD148" i="42" a="1"/>
  <c r="GD148" i="42" s="1"/>
  <c r="GC148" i="42" a="1"/>
  <c r="GC148" i="42" s="1"/>
  <c r="FZ148" i="42" a="1"/>
  <c r="FZ148" i="42" s="1"/>
  <c r="GE148" i="42" a="1"/>
  <c r="GE148" i="42" s="1"/>
  <c r="GC140" i="42" a="1"/>
  <c r="GC140" i="42" s="1"/>
  <c r="GB140" i="42" a="1"/>
  <c r="GB140" i="42" s="1"/>
  <c r="GA140" i="42" a="1"/>
  <c r="GA140" i="42" s="1"/>
  <c r="FZ140" i="42" a="1"/>
  <c r="FZ140" i="42" s="1"/>
  <c r="GF140" i="42" a="1"/>
  <c r="GF140" i="42" s="1"/>
  <c r="GE140" i="42" a="1"/>
  <c r="GE140" i="42" s="1"/>
  <c r="GD140" i="42" a="1"/>
  <c r="GD140" i="42" s="1"/>
  <c r="GC132" i="42" a="1"/>
  <c r="GC132" i="42" s="1"/>
  <c r="GB132" i="42" a="1"/>
  <c r="GB132" i="42" s="1"/>
  <c r="GA132" i="42" a="1"/>
  <c r="GA132" i="42" s="1"/>
  <c r="FZ132" i="42" a="1"/>
  <c r="FZ132" i="42" s="1"/>
  <c r="GF132" i="42" a="1"/>
  <c r="GF132" i="42" s="1"/>
  <c r="GE132" i="42" a="1"/>
  <c r="GE132" i="42" s="1"/>
  <c r="GD132" i="42" a="1"/>
  <c r="GD132" i="42" s="1"/>
  <c r="GC124" i="42" a="1"/>
  <c r="GC124" i="42" s="1"/>
  <c r="GB124" i="42" a="1"/>
  <c r="GB124" i="42" s="1"/>
  <c r="GA124" i="42" a="1"/>
  <c r="GA124" i="42" s="1"/>
  <c r="FZ124" i="42" a="1"/>
  <c r="FZ124" i="42" s="1"/>
  <c r="GE124" i="42" a="1"/>
  <c r="GE124" i="42" s="1"/>
  <c r="GD124" i="42" a="1"/>
  <c r="GD124" i="42" s="1"/>
  <c r="GF124" i="42" a="1"/>
  <c r="GF124" i="42" s="1"/>
  <c r="GC116" i="42" a="1"/>
  <c r="GC116" i="42" s="1"/>
  <c r="GB116" i="42" a="1"/>
  <c r="GB116" i="42" s="1"/>
  <c r="GA116" i="42" a="1"/>
  <c r="GA116" i="42" s="1"/>
  <c r="FZ116" i="42" a="1"/>
  <c r="FZ116" i="42" s="1"/>
  <c r="GF116" i="42" a="1"/>
  <c r="GF116" i="42" s="1"/>
  <c r="GE116" i="42" a="1"/>
  <c r="GE116" i="42" s="1"/>
  <c r="GD116" i="42" a="1"/>
  <c r="GD116" i="42" s="1"/>
  <c r="GC108" i="42" a="1"/>
  <c r="GC108" i="42" s="1"/>
  <c r="GB108" i="42" a="1"/>
  <c r="GB108" i="42" s="1"/>
  <c r="GA108" i="42" a="1"/>
  <c r="GA108" i="42" s="1"/>
  <c r="FZ108" i="42" a="1"/>
  <c r="FZ108" i="42" s="1"/>
  <c r="GF108" i="42" a="1"/>
  <c r="GF108" i="42" s="1"/>
  <c r="GE108" i="42" a="1"/>
  <c r="GE108" i="42" s="1"/>
  <c r="GD108" i="42" a="1"/>
  <c r="GD108" i="42" s="1"/>
  <c r="GC100" i="42" a="1"/>
  <c r="GC100" i="42" s="1"/>
  <c r="GB100" i="42" a="1"/>
  <c r="GB100" i="42" s="1"/>
  <c r="GF100" i="42" a="1"/>
  <c r="GF100" i="42" s="1"/>
  <c r="GE100" i="42" a="1"/>
  <c r="GE100" i="42" s="1"/>
  <c r="GD100" i="42" a="1"/>
  <c r="GD100" i="42" s="1"/>
  <c r="GA100" i="42" a="1"/>
  <c r="GA100" i="42" s="1"/>
  <c r="FZ100" i="42" a="1"/>
  <c r="FZ100" i="42" s="1"/>
  <c r="GC92" i="42" a="1"/>
  <c r="GC92" i="42" s="1"/>
  <c r="GB92" i="42" a="1"/>
  <c r="GB92" i="42" s="1"/>
  <c r="GA92" i="42" a="1"/>
  <c r="GA92" i="42" s="1"/>
  <c r="FZ92" i="42" a="1"/>
  <c r="FZ92" i="42" s="1"/>
  <c r="GF92" i="42" a="1"/>
  <c r="GF92" i="42" s="1"/>
  <c r="GE92" i="42" a="1"/>
  <c r="GE92" i="42" s="1"/>
  <c r="GD92" i="42" a="1"/>
  <c r="GD92" i="42" s="1"/>
  <c r="GC84" i="42" a="1"/>
  <c r="GC84" i="42" s="1"/>
  <c r="GB84" i="42" a="1"/>
  <c r="GB84" i="42" s="1"/>
  <c r="GF84" i="42" a="1"/>
  <c r="GF84" i="42" s="1"/>
  <c r="GE84" i="42" a="1"/>
  <c r="GE84" i="42" s="1"/>
  <c r="GD84" i="42" a="1"/>
  <c r="GD84" i="42" s="1"/>
  <c r="GA84" i="42" a="1"/>
  <c r="GA84" i="42" s="1"/>
  <c r="FZ84" i="42" a="1"/>
  <c r="FZ84" i="42" s="1"/>
  <c r="GC76" i="42" a="1"/>
  <c r="GC76" i="42" s="1"/>
  <c r="GB76" i="42" a="1"/>
  <c r="GB76" i="42" s="1"/>
  <c r="GF76" i="42" a="1"/>
  <c r="GF76" i="42" s="1"/>
  <c r="GE76" i="42" a="1"/>
  <c r="GE76" i="42" s="1"/>
  <c r="GD76" i="42" a="1"/>
  <c r="GD76" i="42" s="1"/>
  <c r="GA76" i="42" a="1"/>
  <c r="GA76" i="42" s="1"/>
  <c r="FZ76" i="42" a="1"/>
  <c r="FZ76" i="42" s="1"/>
  <c r="GC68" i="42" a="1"/>
  <c r="GC68" i="42" s="1"/>
  <c r="GB68" i="42" a="1"/>
  <c r="GB68" i="42" s="1"/>
  <c r="GD68" i="42" a="1"/>
  <c r="GD68" i="42" s="1"/>
  <c r="GA68" i="42" a="1"/>
  <c r="GA68" i="42" s="1"/>
  <c r="FZ68" i="42" a="1"/>
  <c r="FZ68" i="42" s="1"/>
  <c r="GF68" i="42" a="1"/>
  <c r="GF68" i="42" s="1"/>
  <c r="GE68" i="42" a="1"/>
  <c r="GE68" i="42" s="1"/>
  <c r="GC60" i="42" a="1"/>
  <c r="GC60" i="42" s="1"/>
  <c r="GB60" i="42" a="1"/>
  <c r="GB60" i="42" s="1"/>
  <c r="GF60" i="42" a="1"/>
  <c r="GF60" i="42" s="1"/>
  <c r="GE60" i="42" a="1"/>
  <c r="GE60" i="42" s="1"/>
  <c r="GD60" i="42" a="1"/>
  <c r="GD60" i="42" s="1"/>
  <c r="GA60" i="42" a="1"/>
  <c r="GA60" i="42" s="1"/>
  <c r="FZ60" i="42" a="1"/>
  <c r="FZ60" i="42" s="1"/>
  <c r="GC44" i="42" a="1"/>
  <c r="GC44" i="42" s="1"/>
  <c r="GB44" i="42" a="1"/>
  <c r="GB44" i="42" s="1"/>
  <c r="GE44" i="42" a="1"/>
  <c r="GE44" i="42" s="1"/>
  <c r="GD44" i="42" a="1"/>
  <c r="GD44" i="42" s="1"/>
  <c r="GA44" i="42" a="1"/>
  <c r="GA44" i="42" s="1"/>
  <c r="FZ44" i="42" a="1"/>
  <c r="FZ44" i="42" s="1"/>
  <c r="GF44" i="42" a="1"/>
  <c r="GF44" i="42" s="1"/>
  <c r="GC36" i="42" a="1"/>
  <c r="GC36" i="42" s="1"/>
  <c r="GB36" i="42" a="1"/>
  <c r="GB36" i="42" s="1"/>
  <c r="GF36" i="42" a="1"/>
  <c r="GF36" i="42" s="1"/>
  <c r="GE36" i="42" a="1"/>
  <c r="GE36" i="42" s="1"/>
  <c r="GD36" i="42" a="1"/>
  <c r="GD36" i="42" s="1"/>
  <c r="GA36" i="42" a="1"/>
  <c r="GA36" i="42" s="1"/>
  <c r="FZ36" i="42" a="1"/>
  <c r="FZ36" i="42" s="1"/>
  <c r="GA283" i="42" a="1"/>
  <c r="GA283" i="42" s="1"/>
  <c r="FZ283" i="42" a="1"/>
  <c r="FZ283" i="42" s="1"/>
  <c r="GF283" i="42" a="1"/>
  <c r="GF283" i="42" s="1"/>
  <c r="GE283" i="42" a="1"/>
  <c r="GE283" i="42" s="1"/>
  <c r="GD283" i="42" a="1"/>
  <c r="GD283" i="42" s="1"/>
  <c r="GC283" i="42" a="1"/>
  <c r="GC283" i="42" s="1"/>
  <c r="GB283" i="42" a="1"/>
  <c r="GB283" i="42" s="1"/>
  <c r="GA275" i="42" a="1"/>
  <c r="GA275" i="42" s="1"/>
  <c r="FZ275" i="42" a="1"/>
  <c r="FZ275" i="42" s="1"/>
  <c r="GF275" i="42" a="1"/>
  <c r="GF275" i="42" s="1"/>
  <c r="GE275" i="42" a="1"/>
  <c r="GE275" i="42" s="1"/>
  <c r="GD275" i="42" a="1"/>
  <c r="GD275" i="42" s="1"/>
  <c r="GC275" i="42" a="1"/>
  <c r="GC275" i="42" s="1"/>
  <c r="GB275" i="42" a="1"/>
  <c r="GB275" i="42" s="1"/>
  <c r="GA267" i="42" a="1"/>
  <c r="GA267" i="42" s="1"/>
  <c r="FZ267" i="42" a="1"/>
  <c r="FZ267" i="42" s="1"/>
  <c r="GF267" i="42" a="1"/>
  <c r="GF267" i="42" s="1"/>
  <c r="GE267" i="42" a="1"/>
  <c r="GE267" i="42" s="1"/>
  <c r="GB267" i="42" a="1"/>
  <c r="GB267" i="42" s="1"/>
  <c r="GD267" i="42" a="1"/>
  <c r="GD267" i="42" s="1"/>
  <c r="GC267" i="42" a="1"/>
  <c r="GC267" i="42" s="1"/>
  <c r="GA259" i="42" a="1"/>
  <c r="GA259" i="42" s="1"/>
  <c r="FZ259" i="42" a="1"/>
  <c r="FZ259" i="42" s="1"/>
  <c r="GF259" i="42" a="1"/>
  <c r="GF259" i="42" s="1"/>
  <c r="GE259" i="42" a="1"/>
  <c r="GE259" i="42" s="1"/>
  <c r="GD259" i="42" a="1"/>
  <c r="GD259" i="42" s="1"/>
  <c r="GC259" i="42" a="1"/>
  <c r="GC259" i="42" s="1"/>
  <c r="GB259" i="42" a="1"/>
  <c r="GB259" i="42" s="1"/>
  <c r="GA251" i="42" a="1"/>
  <c r="GA251" i="42" s="1"/>
  <c r="FZ251" i="42" a="1"/>
  <c r="FZ251" i="42" s="1"/>
  <c r="GF251" i="42" a="1"/>
  <c r="GF251" i="42" s="1"/>
  <c r="GE251" i="42" a="1"/>
  <c r="GE251" i="42" s="1"/>
  <c r="GD251" i="42" a="1"/>
  <c r="GD251" i="42" s="1"/>
  <c r="GC251" i="42" a="1"/>
  <c r="GC251" i="42" s="1"/>
  <c r="GB251" i="42" a="1"/>
  <c r="GB251" i="42" s="1"/>
  <c r="GA243" i="42" a="1"/>
  <c r="GA243" i="42" s="1"/>
  <c r="FZ243" i="42" a="1"/>
  <c r="FZ243" i="42" s="1"/>
  <c r="GE243" i="42" a="1"/>
  <c r="GE243" i="42" s="1"/>
  <c r="GF243" i="42" a="1"/>
  <c r="GF243" i="42" s="1"/>
  <c r="GD243" i="42" a="1"/>
  <c r="GD243" i="42" s="1"/>
  <c r="GB243" i="42" a="1"/>
  <c r="GB243" i="42" s="1"/>
  <c r="GC243" i="42" a="1"/>
  <c r="GC243" i="42" s="1"/>
  <c r="GA235" i="42" a="1"/>
  <c r="GA235" i="42" s="1"/>
  <c r="FZ235" i="42" a="1"/>
  <c r="FZ235" i="42" s="1"/>
  <c r="GE235" i="42" a="1"/>
  <c r="GE235" i="42" s="1"/>
  <c r="GC235" i="42" a="1"/>
  <c r="GC235" i="42" s="1"/>
  <c r="GB235" i="42" a="1"/>
  <c r="GB235" i="42" s="1"/>
  <c r="GF235" i="42" a="1"/>
  <c r="GF235" i="42" s="1"/>
  <c r="GD235" i="42" a="1"/>
  <c r="GD235" i="42" s="1"/>
  <c r="GA227" i="42" a="1"/>
  <c r="GA227" i="42" s="1"/>
  <c r="FZ227" i="42" a="1"/>
  <c r="FZ227" i="42" s="1"/>
  <c r="GE227" i="42" a="1"/>
  <c r="GE227" i="42" s="1"/>
  <c r="GF227" i="42" a="1"/>
  <c r="GF227" i="42" s="1"/>
  <c r="GD227" i="42" a="1"/>
  <c r="GD227" i="42" s="1"/>
  <c r="GC227" i="42" a="1"/>
  <c r="GC227" i="42" s="1"/>
  <c r="GB227" i="42" a="1"/>
  <c r="GB227" i="42" s="1"/>
  <c r="GA219" i="42" a="1"/>
  <c r="GA219" i="42" s="1"/>
  <c r="FZ219" i="42" a="1"/>
  <c r="FZ219" i="42" s="1"/>
  <c r="GE219" i="42" a="1"/>
  <c r="GE219" i="42" s="1"/>
  <c r="GF219" i="42" a="1"/>
  <c r="GF219" i="42" s="1"/>
  <c r="GD219" i="42" a="1"/>
  <c r="GD219" i="42" s="1"/>
  <c r="GC219" i="42" a="1"/>
  <c r="GC219" i="42" s="1"/>
  <c r="GB219" i="42" a="1"/>
  <c r="GB219" i="42" s="1"/>
  <c r="GA211" i="42" a="1"/>
  <c r="GA211" i="42" s="1"/>
  <c r="FZ211" i="42" a="1"/>
  <c r="FZ211" i="42" s="1"/>
  <c r="GE211" i="42" a="1"/>
  <c r="GE211" i="42" s="1"/>
  <c r="GD211" i="42" a="1"/>
  <c r="GD211" i="42" s="1"/>
  <c r="GC211" i="42" a="1"/>
  <c r="GC211" i="42" s="1"/>
  <c r="GB211" i="42" a="1"/>
  <c r="GB211" i="42" s="1"/>
  <c r="GF211" i="42" a="1"/>
  <c r="GF211" i="42" s="1"/>
  <c r="GA203" i="42" a="1"/>
  <c r="GA203" i="42" s="1"/>
  <c r="FZ203" i="42" a="1"/>
  <c r="FZ203" i="42" s="1"/>
  <c r="GE203" i="42" a="1"/>
  <c r="GE203" i="42" s="1"/>
  <c r="GC203" i="42" a="1"/>
  <c r="GC203" i="42" s="1"/>
  <c r="GF203" i="42" a="1"/>
  <c r="GF203" i="42" s="1"/>
  <c r="GD203" i="42" a="1"/>
  <c r="GD203" i="42" s="1"/>
  <c r="GB203" i="42" a="1"/>
  <c r="GB203" i="42" s="1"/>
  <c r="GA195" i="42" a="1"/>
  <c r="GA195" i="42" s="1"/>
  <c r="FZ195" i="42" a="1"/>
  <c r="FZ195" i="42" s="1"/>
  <c r="GE195" i="42" a="1"/>
  <c r="GE195" i="42" s="1"/>
  <c r="GB195" i="42" a="1"/>
  <c r="GB195" i="42" s="1"/>
  <c r="GD195" i="42" a="1"/>
  <c r="GD195" i="42" s="1"/>
  <c r="GC195" i="42" a="1"/>
  <c r="GC195" i="42" s="1"/>
  <c r="GF195" i="42" a="1"/>
  <c r="GF195" i="42" s="1"/>
  <c r="GA187" i="42" a="1"/>
  <c r="GA187" i="42" s="1"/>
  <c r="FZ187" i="42" a="1"/>
  <c r="FZ187" i="42" s="1"/>
  <c r="GE187" i="42" a="1"/>
  <c r="GE187" i="42" s="1"/>
  <c r="GF187" i="42" a="1"/>
  <c r="GF187" i="42" s="1"/>
  <c r="GD187" i="42" a="1"/>
  <c r="GD187" i="42" s="1"/>
  <c r="GC187" i="42" a="1"/>
  <c r="GC187" i="42" s="1"/>
  <c r="GB187" i="42" a="1"/>
  <c r="GB187" i="42" s="1"/>
  <c r="GA179" i="42" a="1"/>
  <c r="GA179" i="42" s="1"/>
  <c r="FZ179" i="42" a="1"/>
  <c r="FZ179" i="42" s="1"/>
  <c r="GE179" i="42" a="1"/>
  <c r="GE179" i="42" s="1"/>
  <c r="GD179" i="42" a="1"/>
  <c r="GD179" i="42" s="1"/>
  <c r="GC179" i="42" a="1"/>
  <c r="GC179" i="42" s="1"/>
  <c r="GB179" i="42" a="1"/>
  <c r="GB179" i="42" s="1"/>
  <c r="GF179" i="42" a="1"/>
  <c r="GF179" i="42" s="1"/>
  <c r="GA171" i="42" a="1"/>
  <c r="GA171" i="42" s="1"/>
  <c r="FZ171" i="42" a="1"/>
  <c r="FZ171" i="42" s="1"/>
  <c r="GE171" i="42" a="1"/>
  <c r="GE171" i="42" s="1"/>
  <c r="GF171" i="42" a="1"/>
  <c r="GF171" i="42" s="1"/>
  <c r="GD171" i="42" a="1"/>
  <c r="GD171" i="42" s="1"/>
  <c r="GC171" i="42" a="1"/>
  <c r="GC171" i="42" s="1"/>
  <c r="GB171" i="42" a="1"/>
  <c r="GB171" i="42" s="1"/>
  <c r="GA163" i="42" a="1"/>
  <c r="GA163" i="42" s="1"/>
  <c r="FZ163" i="42" a="1"/>
  <c r="FZ163" i="42" s="1"/>
  <c r="GE163" i="42" a="1"/>
  <c r="GE163" i="42" s="1"/>
  <c r="GB163" i="42" a="1"/>
  <c r="GB163" i="42" s="1"/>
  <c r="GF163" i="42" a="1"/>
  <c r="GF163" i="42" s="1"/>
  <c r="GD163" i="42" a="1"/>
  <c r="GD163" i="42" s="1"/>
  <c r="GC163" i="42" a="1"/>
  <c r="GC163" i="42" s="1"/>
  <c r="GA155" i="42" a="1"/>
  <c r="GA155" i="42" s="1"/>
  <c r="FZ155" i="42" a="1"/>
  <c r="FZ155" i="42" s="1"/>
  <c r="GE155" i="42" a="1"/>
  <c r="GE155" i="42" s="1"/>
  <c r="GF155" i="42" a="1"/>
  <c r="GF155" i="42" s="1"/>
  <c r="GD155" i="42" a="1"/>
  <c r="GD155" i="42" s="1"/>
  <c r="GC155" i="42" a="1"/>
  <c r="GC155" i="42" s="1"/>
  <c r="GB155" i="42" a="1"/>
  <c r="GB155" i="42" s="1"/>
  <c r="GA147" i="42" a="1"/>
  <c r="GA147" i="42" s="1"/>
  <c r="FZ147" i="42" a="1"/>
  <c r="FZ147" i="42" s="1"/>
  <c r="GE147" i="42" a="1"/>
  <c r="GE147" i="42" s="1"/>
  <c r="GF147" i="42" a="1"/>
  <c r="GF147" i="42" s="1"/>
  <c r="GD147" i="42" a="1"/>
  <c r="GD147" i="42" s="1"/>
  <c r="GC147" i="42" a="1"/>
  <c r="GC147" i="42" s="1"/>
  <c r="GB147" i="42" a="1"/>
  <c r="GB147" i="42" s="1"/>
  <c r="GB139" i="42" a="1"/>
  <c r="GB139" i="42" s="1"/>
  <c r="GA139" i="42" a="1"/>
  <c r="GA139" i="42" s="1"/>
  <c r="FZ139" i="42" a="1"/>
  <c r="FZ139" i="42" s="1"/>
  <c r="GF139" i="42" a="1"/>
  <c r="GF139" i="42" s="1"/>
  <c r="GE139" i="42" a="1"/>
  <c r="GE139" i="42" s="1"/>
  <c r="GD139" i="42" a="1"/>
  <c r="GD139" i="42" s="1"/>
  <c r="GC139" i="42" a="1"/>
  <c r="GC139" i="42" s="1"/>
  <c r="GB131" i="42" a="1"/>
  <c r="GB131" i="42" s="1"/>
  <c r="GA131" i="42" a="1"/>
  <c r="GA131" i="42" s="1"/>
  <c r="FZ131" i="42" a="1"/>
  <c r="FZ131" i="42" s="1"/>
  <c r="GF131" i="42" a="1"/>
  <c r="GF131" i="42" s="1"/>
  <c r="GE131" i="42" a="1"/>
  <c r="GE131" i="42" s="1"/>
  <c r="GD131" i="42" a="1"/>
  <c r="GD131" i="42" s="1"/>
  <c r="GC131" i="42" a="1"/>
  <c r="GC131" i="42" s="1"/>
  <c r="GB123" i="42" a="1"/>
  <c r="GB123" i="42" s="1"/>
  <c r="GA123" i="42" a="1"/>
  <c r="GA123" i="42" s="1"/>
  <c r="FZ123" i="42" a="1"/>
  <c r="FZ123" i="42" s="1"/>
  <c r="GF123" i="42" a="1"/>
  <c r="GF123" i="42" s="1"/>
  <c r="GE123" i="42" a="1"/>
  <c r="GE123" i="42" s="1"/>
  <c r="GD123" i="42" a="1"/>
  <c r="GD123" i="42" s="1"/>
  <c r="GC123" i="42" a="1"/>
  <c r="GC123" i="42" s="1"/>
  <c r="GB115" i="42" a="1"/>
  <c r="GB115" i="42" s="1"/>
  <c r="GA115" i="42" a="1"/>
  <c r="GA115" i="42" s="1"/>
  <c r="FZ115" i="42" a="1"/>
  <c r="FZ115" i="42" s="1"/>
  <c r="GF115" i="42" a="1"/>
  <c r="GF115" i="42" s="1"/>
  <c r="GD115" i="42" a="1"/>
  <c r="GD115" i="42" s="1"/>
  <c r="GC115" i="42" a="1"/>
  <c r="GC115" i="42" s="1"/>
  <c r="GE115" i="42" a="1"/>
  <c r="GE115" i="42" s="1"/>
  <c r="GB107" i="42" a="1"/>
  <c r="GB107" i="42" s="1"/>
  <c r="GA107" i="42" a="1"/>
  <c r="GA107" i="42" s="1"/>
  <c r="FZ107" i="42" a="1"/>
  <c r="FZ107" i="42" s="1"/>
  <c r="GF107" i="42" a="1"/>
  <c r="GF107" i="42" s="1"/>
  <c r="GE107" i="42" a="1"/>
  <c r="GE107" i="42" s="1"/>
  <c r="GD107" i="42" a="1"/>
  <c r="GD107" i="42" s="1"/>
  <c r="GC107" i="42" a="1"/>
  <c r="GC107" i="42" s="1"/>
  <c r="GB99" i="42" a="1"/>
  <c r="GB99" i="42" s="1"/>
  <c r="GA99" i="42" a="1"/>
  <c r="GA99" i="42" s="1"/>
  <c r="GF99" i="42" a="1"/>
  <c r="GF99" i="42" s="1"/>
  <c r="GD99" i="42" a="1"/>
  <c r="GD99" i="42" s="1"/>
  <c r="GC99" i="42" a="1"/>
  <c r="GC99" i="42" s="1"/>
  <c r="FZ99" i="42" a="1"/>
  <c r="FZ99" i="42" s="1"/>
  <c r="GE99" i="42" a="1"/>
  <c r="GE99" i="42" s="1"/>
  <c r="GB91" i="42" a="1"/>
  <c r="GB91" i="42" s="1"/>
  <c r="GA91" i="42" a="1"/>
  <c r="GA91" i="42" s="1"/>
  <c r="GF91" i="42" a="1"/>
  <c r="GF91" i="42" s="1"/>
  <c r="GE91" i="42" a="1"/>
  <c r="GE91" i="42" s="1"/>
  <c r="GD91" i="42" a="1"/>
  <c r="GD91" i="42" s="1"/>
  <c r="GC91" i="42" a="1"/>
  <c r="GC91" i="42" s="1"/>
  <c r="FZ91" i="42" a="1"/>
  <c r="FZ91" i="42" s="1"/>
  <c r="GB83" i="42" a="1"/>
  <c r="GB83" i="42" s="1"/>
  <c r="GA83" i="42" a="1"/>
  <c r="GA83" i="42" s="1"/>
  <c r="GF83" i="42" a="1"/>
  <c r="GF83" i="42" s="1"/>
  <c r="FZ83" i="42" a="1"/>
  <c r="FZ83" i="42" s="1"/>
  <c r="GE83" i="42" a="1"/>
  <c r="GE83" i="42" s="1"/>
  <c r="GD83" i="42" a="1"/>
  <c r="GD83" i="42" s="1"/>
  <c r="GC83" i="42" a="1"/>
  <c r="GC83" i="42" s="1"/>
  <c r="GB75" i="42" a="1"/>
  <c r="GB75" i="42" s="1"/>
  <c r="GA75" i="42" a="1"/>
  <c r="GA75" i="42" s="1"/>
  <c r="GF75" i="42" a="1"/>
  <c r="GF75" i="42" s="1"/>
  <c r="GE75" i="42" a="1"/>
  <c r="GE75" i="42" s="1"/>
  <c r="GD75" i="42" a="1"/>
  <c r="GD75" i="42" s="1"/>
  <c r="GC75" i="42" a="1"/>
  <c r="GC75" i="42" s="1"/>
  <c r="FZ75" i="42" a="1"/>
  <c r="FZ75" i="42" s="1"/>
  <c r="GB67" i="42" a="1"/>
  <c r="GB67" i="42" s="1"/>
  <c r="GA67" i="42" a="1"/>
  <c r="GA67" i="42" s="1"/>
  <c r="GF67" i="42" a="1"/>
  <c r="GF67" i="42" s="1"/>
  <c r="GE67" i="42" a="1"/>
  <c r="GE67" i="42" s="1"/>
  <c r="GD67" i="42" a="1"/>
  <c r="GD67" i="42" s="1"/>
  <c r="GC67" i="42" a="1"/>
  <c r="GC67" i="42" s="1"/>
  <c r="FZ67" i="42" a="1"/>
  <c r="FZ67" i="42" s="1"/>
  <c r="GB59" i="42" a="1"/>
  <c r="GB59" i="42" s="1"/>
  <c r="GA59" i="42" a="1"/>
  <c r="GA59" i="42" s="1"/>
  <c r="GF59" i="42" a="1"/>
  <c r="GF59" i="42" s="1"/>
  <c r="GC59" i="42" a="1"/>
  <c r="GC59" i="42" s="1"/>
  <c r="FZ59" i="42" a="1"/>
  <c r="FZ59" i="42" s="1"/>
  <c r="GE59" i="42" a="1"/>
  <c r="GE59" i="42" s="1"/>
  <c r="GD59" i="42" a="1"/>
  <c r="GD59" i="42" s="1"/>
  <c r="GB51" i="42" a="1"/>
  <c r="GB51" i="42" s="1"/>
  <c r="GA51" i="42" a="1"/>
  <c r="GA51" i="42" s="1"/>
  <c r="GF51" i="42" a="1"/>
  <c r="GF51" i="42" s="1"/>
  <c r="GE51" i="42" a="1"/>
  <c r="GE51" i="42" s="1"/>
  <c r="GD51" i="42" a="1"/>
  <c r="GD51" i="42" s="1"/>
  <c r="GC51" i="42" a="1"/>
  <c r="GC51" i="42" s="1"/>
  <c r="FZ51" i="42" a="1"/>
  <c r="FZ51" i="42" s="1"/>
  <c r="GB43" i="42" a="1"/>
  <c r="GB43" i="42" s="1"/>
  <c r="GA43" i="42" a="1"/>
  <c r="GA43" i="42" s="1"/>
  <c r="GF43" i="42" a="1"/>
  <c r="GF43" i="42" s="1"/>
  <c r="GE43" i="42" a="1"/>
  <c r="GE43" i="42" s="1"/>
  <c r="GD43" i="42" a="1"/>
  <c r="GD43" i="42" s="1"/>
  <c r="GC43" i="42" a="1"/>
  <c r="GC43" i="42" s="1"/>
  <c r="FZ43" i="42" a="1"/>
  <c r="FZ43" i="42" s="1"/>
  <c r="GB35" i="42" a="1"/>
  <c r="GB35" i="42" s="1"/>
  <c r="GA35" i="42" a="1"/>
  <c r="GA35" i="42" s="1"/>
  <c r="GF35" i="42" a="1"/>
  <c r="GF35" i="42" s="1"/>
  <c r="GD35" i="42" a="1"/>
  <c r="GD35" i="42" s="1"/>
  <c r="GC35" i="42" a="1"/>
  <c r="GC35" i="42" s="1"/>
  <c r="FZ35" i="42" a="1"/>
  <c r="FZ35" i="42" s="1"/>
  <c r="GE35" i="42" a="1"/>
  <c r="GE35" i="42" s="1"/>
  <c r="B4" i="42" a="1"/>
  <c r="B4" i="42" s="1"/>
  <c r="B4" i="41" a="1"/>
  <c r="B4" i="41" s="1"/>
  <c r="FY288" i="34"/>
  <c r="FY287" i="34"/>
  <c r="FY286" i="34"/>
  <c r="FY285" i="34"/>
  <c r="FY284" i="34"/>
  <c r="FY283" i="34"/>
  <c r="FY282" i="34"/>
  <c r="FY281" i="34"/>
  <c r="FY280" i="34"/>
  <c r="FY279" i="34"/>
  <c r="FY278" i="34"/>
  <c r="FY277" i="34"/>
  <c r="FY276" i="34"/>
  <c r="FY275" i="34"/>
  <c r="FY274" i="34"/>
  <c r="FY273" i="34"/>
  <c r="FY272" i="34"/>
  <c r="FY271" i="34"/>
  <c r="FY270" i="34"/>
  <c r="FY269" i="34"/>
  <c r="FY268" i="34"/>
  <c r="FY267" i="34"/>
  <c r="FY266" i="34"/>
  <c r="FY265" i="34"/>
  <c r="FY264" i="34"/>
  <c r="FY263" i="34"/>
  <c r="FY262" i="34"/>
  <c r="FY261" i="34"/>
  <c r="FY260" i="34"/>
  <c r="FY259" i="34"/>
  <c r="FY258" i="34"/>
  <c r="B4" i="34" a="1"/>
  <c r="B4" i="34" s="1"/>
  <c r="FZ275" i="34" l="1" a="1"/>
  <c r="FZ275" i="34" s="1"/>
  <c r="GF275" i="34" a="1"/>
  <c r="GF275" i="34" s="1"/>
  <c r="GE275" i="34" a="1"/>
  <c r="GE275" i="34" s="1"/>
  <c r="GD275" i="34" a="1"/>
  <c r="GD275" i="34" s="1"/>
  <c r="GC275" i="34" a="1"/>
  <c r="GC275" i="34" s="1"/>
  <c r="GB275" i="34" a="1"/>
  <c r="GB275" i="34" s="1"/>
  <c r="GA275" i="34" a="1"/>
  <c r="GA275" i="34" s="1"/>
  <c r="GC276" i="34" a="1"/>
  <c r="GC276" i="34" s="1"/>
  <c r="FZ276" i="34" a="1"/>
  <c r="FZ276" i="34" s="1"/>
  <c r="GA276" i="34" a="1"/>
  <c r="GA276" i="34" s="1"/>
  <c r="GF276" i="34" a="1"/>
  <c r="GF276" i="34" s="1"/>
  <c r="GB276" i="34" a="1"/>
  <c r="GB276" i="34" s="1"/>
  <c r="GE276" i="34" a="1"/>
  <c r="GE276" i="34" s="1"/>
  <c r="GD276" i="34" a="1"/>
  <c r="GD276" i="34" s="1"/>
  <c r="GE269" i="34" a="1"/>
  <c r="GE269" i="34" s="1"/>
  <c r="GB269" i="34" a="1"/>
  <c r="GB269" i="34" s="1"/>
  <c r="GF269" i="34" a="1"/>
  <c r="GF269" i="34" s="1"/>
  <c r="GC269" i="34" a="1"/>
  <c r="GC269" i="34" s="1"/>
  <c r="GD269" i="34" a="1"/>
  <c r="GD269" i="34" s="1"/>
  <c r="GA269" i="34" a="1"/>
  <c r="GA269" i="34" s="1"/>
  <c r="FZ269" i="34" a="1"/>
  <c r="FZ269" i="34" s="1"/>
  <c r="GD270" i="34" a="1"/>
  <c r="GD270" i="34" s="1"/>
  <c r="GF270" i="34" a="1"/>
  <c r="GF270" i="34" s="1"/>
  <c r="GE270" i="34" a="1"/>
  <c r="GE270" i="34" s="1"/>
  <c r="GC270" i="34" a="1"/>
  <c r="GC270" i="34" s="1"/>
  <c r="GB270" i="34" a="1"/>
  <c r="GB270" i="34" s="1"/>
  <c r="GA270" i="34" a="1"/>
  <c r="GA270" i="34" s="1"/>
  <c r="FZ270" i="34" a="1"/>
  <c r="FZ270" i="34" s="1"/>
  <c r="GC278" i="34" a="1"/>
  <c r="GC278" i="34" s="1"/>
  <c r="FZ278" i="34" a="1"/>
  <c r="FZ278" i="34" s="1"/>
  <c r="GF278" i="34" a="1"/>
  <c r="GF278" i="34" s="1"/>
  <c r="GE278" i="34" a="1"/>
  <c r="GE278" i="34" s="1"/>
  <c r="GD278" i="34" a="1"/>
  <c r="GD278" i="34" s="1"/>
  <c r="GB278" i="34" a="1"/>
  <c r="GB278" i="34" s="1"/>
  <c r="GA278" i="34" a="1"/>
  <c r="GA278" i="34" s="1"/>
  <c r="GE286" i="34" a="1"/>
  <c r="GE286" i="34" s="1"/>
  <c r="GC286" i="34" a="1"/>
  <c r="GC286" i="34" s="1"/>
  <c r="GB286" i="34" a="1"/>
  <c r="GB286" i="34" s="1"/>
  <c r="GF286" i="34" a="1"/>
  <c r="GF286" i="34" s="1"/>
  <c r="GD286" i="34" a="1"/>
  <c r="GD286" i="34" s="1"/>
  <c r="GA286" i="34" a="1"/>
  <c r="GA286" i="34" s="1"/>
  <c r="FZ286" i="34" a="1"/>
  <c r="FZ286" i="34" s="1"/>
  <c r="FZ259" i="34" a="1"/>
  <c r="FZ259" i="34" s="1"/>
  <c r="GD259" i="34" a="1"/>
  <c r="GD259" i="34" s="1"/>
  <c r="GA259" i="34" a="1"/>
  <c r="GA259" i="34" s="1"/>
  <c r="GF259" i="34" a="1"/>
  <c r="GF259" i="34" s="1"/>
  <c r="GE259" i="34" a="1"/>
  <c r="GE259" i="34" s="1"/>
  <c r="GB259" i="34" a="1"/>
  <c r="GB259" i="34" s="1"/>
  <c r="GC259" i="34" a="1"/>
  <c r="GC259" i="34" s="1"/>
  <c r="GD268" i="34" a="1"/>
  <c r="GD268" i="34" s="1"/>
  <c r="GB268" i="34" a="1"/>
  <c r="GB268" i="34" s="1"/>
  <c r="GC268" i="34" a="1"/>
  <c r="GC268" i="34" s="1"/>
  <c r="FZ268" i="34" a="1"/>
  <c r="FZ268" i="34" s="1"/>
  <c r="GF268" i="34" a="1"/>
  <c r="GF268" i="34" s="1"/>
  <c r="GE268" i="34" a="1"/>
  <c r="GE268" i="34" s="1"/>
  <c r="GA268" i="34" a="1"/>
  <c r="GA268" i="34" s="1"/>
  <c r="GF261" i="34" a="1"/>
  <c r="GF261" i="34" s="1"/>
  <c r="FZ261" i="34" a="1"/>
  <c r="FZ261" i="34" s="1"/>
  <c r="GD261" i="34" a="1"/>
  <c r="GD261" i="34" s="1"/>
  <c r="GE261" i="34" a="1"/>
  <c r="GE261" i="34" s="1"/>
  <c r="GC261" i="34" a="1"/>
  <c r="GC261" i="34" s="1"/>
  <c r="GB261" i="34" a="1"/>
  <c r="GB261" i="34" s="1"/>
  <c r="GA261" i="34" a="1"/>
  <c r="GA261" i="34" s="1"/>
  <c r="GE285" i="34" a="1"/>
  <c r="GE285" i="34" s="1"/>
  <c r="GD285" i="34" a="1"/>
  <c r="GD285" i="34" s="1"/>
  <c r="GC285" i="34" a="1"/>
  <c r="GC285" i="34" s="1"/>
  <c r="GB285" i="34" a="1"/>
  <c r="GB285" i="34" s="1"/>
  <c r="FZ285" i="34" a="1"/>
  <c r="FZ285" i="34" s="1"/>
  <c r="GF285" i="34" a="1"/>
  <c r="GF285" i="34" s="1"/>
  <c r="GA285" i="34" a="1"/>
  <c r="GA285" i="34" s="1"/>
  <c r="GD271" i="34" a="1"/>
  <c r="GD271" i="34" s="1"/>
  <c r="GA271" i="34" a="1"/>
  <c r="GA271" i="34" s="1"/>
  <c r="GF271" i="34" a="1"/>
  <c r="GF271" i="34" s="1"/>
  <c r="GE271" i="34" a="1"/>
  <c r="GE271" i="34" s="1"/>
  <c r="GB271" i="34" a="1"/>
  <c r="GB271" i="34" s="1"/>
  <c r="GC271" i="34" a="1"/>
  <c r="GC271" i="34" s="1"/>
  <c r="FZ271" i="34" a="1"/>
  <c r="FZ271" i="34" s="1"/>
  <c r="GB272" i="34" a="1"/>
  <c r="GB272" i="34" s="1"/>
  <c r="FZ272" i="34" a="1"/>
  <c r="FZ272" i="34" s="1"/>
  <c r="GC272" i="34" a="1"/>
  <c r="GC272" i="34" s="1"/>
  <c r="GA272" i="34" a="1"/>
  <c r="GA272" i="34" s="1"/>
  <c r="GF272" i="34" a="1"/>
  <c r="GF272" i="34" s="1"/>
  <c r="GE272" i="34" a="1"/>
  <c r="GE272" i="34" s="1"/>
  <c r="GD272" i="34" a="1"/>
  <c r="GD272" i="34" s="1"/>
  <c r="GD280" i="34" a="1"/>
  <c r="GD280" i="34" s="1"/>
  <c r="GA280" i="34" a="1"/>
  <c r="GA280" i="34" s="1"/>
  <c r="GB280" i="34" a="1"/>
  <c r="GB280" i="34" s="1"/>
  <c r="FZ280" i="34" a="1"/>
  <c r="FZ280" i="34" s="1"/>
  <c r="GF280" i="34" a="1"/>
  <c r="GF280" i="34" s="1"/>
  <c r="GE280" i="34" a="1"/>
  <c r="GE280" i="34" s="1"/>
  <c r="GC280" i="34" a="1"/>
  <c r="GC280" i="34" s="1"/>
  <c r="GE288" i="34" a="1"/>
  <c r="GE288" i="34" s="1"/>
  <c r="GD288" i="34" a="1"/>
  <c r="GD288" i="34" s="1"/>
  <c r="GC288" i="34" a="1"/>
  <c r="GC288" i="34" s="1"/>
  <c r="GF288" i="34" a="1"/>
  <c r="GF288" i="34" s="1"/>
  <c r="GB288" i="34" a="1"/>
  <c r="GB288" i="34" s="1"/>
  <c r="GA288" i="34" a="1"/>
  <c r="GA288" i="34" s="1"/>
  <c r="FZ288" i="34" a="1"/>
  <c r="FZ288" i="34" s="1"/>
  <c r="GE283" i="34" a="1"/>
  <c r="GE283" i="34" s="1"/>
  <c r="GB283" i="34" a="1"/>
  <c r="GB283" i="34" s="1"/>
  <c r="FZ283" i="34" a="1"/>
  <c r="FZ283" i="34" s="1"/>
  <c r="GF283" i="34" a="1"/>
  <c r="GF283" i="34" s="1"/>
  <c r="GD283" i="34" a="1"/>
  <c r="GD283" i="34" s="1"/>
  <c r="GC283" i="34" a="1"/>
  <c r="GC283" i="34" s="1"/>
  <c r="GA283" i="34" a="1"/>
  <c r="GA283" i="34" s="1"/>
  <c r="GE284" i="34" a="1"/>
  <c r="GE284" i="34" s="1"/>
  <c r="GC284" i="34" a="1"/>
  <c r="GC284" i="34" s="1"/>
  <c r="GB284" i="34" a="1"/>
  <c r="GB284" i="34" s="1"/>
  <c r="GF284" i="34" a="1"/>
  <c r="GF284" i="34" s="1"/>
  <c r="GD284" i="34" a="1"/>
  <c r="GD284" i="34" s="1"/>
  <c r="GA284" i="34" a="1"/>
  <c r="GA284" i="34" s="1"/>
  <c r="FZ284" i="34" a="1"/>
  <c r="FZ284" i="34" s="1"/>
  <c r="GF263" i="34" a="1"/>
  <c r="GF263" i="34" s="1"/>
  <c r="FZ263" i="34" a="1"/>
  <c r="FZ263" i="34" s="1"/>
  <c r="GC263" i="34" a="1"/>
  <c r="GC263" i="34" s="1"/>
  <c r="GB263" i="34" a="1"/>
  <c r="GB263" i="34" s="1"/>
  <c r="GE263" i="34" a="1"/>
  <c r="GE263" i="34" s="1"/>
  <c r="GD263" i="34" a="1"/>
  <c r="GD263" i="34" s="1"/>
  <c r="GA263" i="34" a="1"/>
  <c r="GA263" i="34" s="1"/>
  <c r="GF287" i="34" a="1"/>
  <c r="GF287" i="34" s="1"/>
  <c r="GD287" i="34" a="1"/>
  <c r="GD287" i="34" s="1"/>
  <c r="GC287" i="34" a="1"/>
  <c r="GC287" i="34" s="1"/>
  <c r="GB287" i="34" a="1"/>
  <c r="GB287" i="34" s="1"/>
  <c r="GE287" i="34" a="1"/>
  <c r="GE287" i="34" s="1"/>
  <c r="GA287" i="34" a="1"/>
  <c r="GA287" i="34" s="1"/>
  <c r="FZ287" i="34" a="1"/>
  <c r="FZ287" i="34" s="1"/>
  <c r="GE265" i="34" a="1"/>
  <c r="GE265" i="34" s="1"/>
  <c r="GC265" i="34" a="1"/>
  <c r="GC265" i="34" s="1"/>
  <c r="GF265" i="34" a="1"/>
  <c r="GF265" i="34" s="1"/>
  <c r="GD265" i="34" a="1"/>
  <c r="GD265" i="34" s="1"/>
  <c r="GB265" i="34" a="1"/>
  <c r="GB265" i="34" s="1"/>
  <c r="GA265" i="34" a="1"/>
  <c r="GA265" i="34" s="1"/>
  <c r="FZ265" i="34" a="1"/>
  <c r="FZ265" i="34" s="1"/>
  <c r="GC273" i="34" a="1"/>
  <c r="GC273" i="34" s="1"/>
  <c r="GD273" i="34" a="1"/>
  <c r="GD273" i="34" s="1"/>
  <c r="GA273" i="34" a="1"/>
  <c r="GA273" i="34" s="1"/>
  <c r="GF273" i="34" a="1"/>
  <c r="GF273" i="34" s="1"/>
  <c r="GE273" i="34" a="1"/>
  <c r="GE273" i="34" s="1"/>
  <c r="GB273" i="34" a="1"/>
  <c r="GB273" i="34" s="1"/>
  <c r="FZ273" i="34" a="1"/>
  <c r="FZ273" i="34" s="1"/>
  <c r="GD281" i="34" a="1"/>
  <c r="GD281" i="34" s="1"/>
  <c r="GA281" i="34" a="1"/>
  <c r="GA281" i="34" s="1"/>
  <c r="GC281" i="34" a="1"/>
  <c r="GC281" i="34" s="1"/>
  <c r="GB281" i="34" a="1"/>
  <c r="GB281" i="34" s="1"/>
  <c r="GE281" i="34" a="1"/>
  <c r="GE281" i="34" s="1"/>
  <c r="FZ281" i="34" a="1"/>
  <c r="FZ281" i="34" s="1"/>
  <c r="GF281" i="34" a="1"/>
  <c r="GF281" i="34" s="1"/>
  <c r="GE267" i="34" a="1"/>
  <c r="GE267" i="34" s="1"/>
  <c r="GC267" i="34" a="1"/>
  <c r="GC267" i="34" s="1"/>
  <c r="GA267" i="34" a="1"/>
  <c r="GA267" i="34" s="1"/>
  <c r="GB267" i="34" a="1"/>
  <c r="GB267" i="34" s="1"/>
  <c r="FZ267" i="34" a="1"/>
  <c r="FZ267" i="34" s="1"/>
  <c r="GF267" i="34" a="1"/>
  <c r="GF267" i="34" s="1"/>
  <c r="GD267" i="34" a="1"/>
  <c r="GD267" i="34" s="1"/>
  <c r="FZ260" i="34" a="1"/>
  <c r="FZ260" i="34" s="1"/>
  <c r="GE260" i="34" a="1"/>
  <c r="GE260" i="34" s="1"/>
  <c r="GC260" i="34" a="1"/>
  <c r="GC260" i="34" s="1"/>
  <c r="GB260" i="34" a="1"/>
  <c r="GB260" i="34" s="1"/>
  <c r="GA260" i="34" a="1"/>
  <c r="GA260" i="34" s="1"/>
  <c r="GF260" i="34" a="1"/>
  <c r="GF260" i="34" s="1"/>
  <c r="GD260" i="34" a="1"/>
  <c r="GD260" i="34" s="1"/>
  <c r="GB277" i="34" a="1"/>
  <c r="GB277" i="34" s="1"/>
  <c r="FZ277" i="34" a="1"/>
  <c r="FZ277" i="34" s="1"/>
  <c r="GC277" i="34" a="1"/>
  <c r="GC277" i="34" s="1"/>
  <c r="GA277" i="34" a="1"/>
  <c r="GA277" i="34" s="1"/>
  <c r="GF277" i="34" a="1"/>
  <c r="GF277" i="34" s="1"/>
  <c r="GE277" i="34" a="1"/>
  <c r="GE277" i="34" s="1"/>
  <c r="GD277" i="34" a="1"/>
  <c r="GD277" i="34" s="1"/>
  <c r="GD262" i="34" a="1"/>
  <c r="GD262" i="34" s="1"/>
  <c r="FZ262" i="34" a="1"/>
  <c r="FZ262" i="34" s="1"/>
  <c r="GA262" i="34" a="1"/>
  <c r="GA262" i="34" s="1"/>
  <c r="GE262" i="34" a="1"/>
  <c r="GE262" i="34" s="1"/>
  <c r="GC262" i="34" a="1"/>
  <c r="GC262" i="34" s="1"/>
  <c r="GB262" i="34" a="1"/>
  <c r="GB262" i="34" s="1"/>
  <c r="GF262" i="34" a="1"/>
  <c r="GF262" i="34" s="1"/>
  <c r="GD279" i="34" a="1"/>
  <c r="GD279" i="34" s="1"/>
  <c r="GA279" i="34" a="1"/>
  <c r="GA279" i="34" s="1"/>
  <c r="GF279" i="34" a="1"/>
  <c r="GF279" i="34" s="1"/>
  <c r="FZ279" i="34" a="1"/>
  <c r="FZ279" i="34" s="1"/>
  <c r="GE279" i="34" a="1"/>
  <c r="GE279" i="34" s="1"/>
  <c r="GC279" i="34" a="1"/>
  <c r="GC279" i="34" s="1"/>
  <c r="GB279" i="34" a="1"/>
  <c r="GB279" i="34" s="1"/>
  <c r="GF264" i="34" a="1"/>
  <c r="GF264" i="34" s="1"/>
  <c r="GC264" i="34" a="1"/>
  <c r="GC264" i="34" s="1"/>
  <c r="GD264" i="34" a="1"/>
  <c r="GD264" i="34" s="1"/>
  <c r="GA264" i="34" a="1"/>
  <c r="GA264" i="34" s="1"/>
  <c r="GB264" i="34" a="1"/>
  <c r="GB264" i="34" s="1"/>
  <c r="GE264" i="34" a="1"/>
  <c r="GE264" i="34" s="1"/>
  <c r="FZ264" i="34" a="1"/>
  <c r="FZ264" i="34" s="1"/>
  <c r="GA258" i="34" a="1"/>
  <c r="GA258" i="34" s="1"/>
  <c r="GE258" i="34" a="1"/>
  <c r="GE258" i="34" s="1"/>
  <c r="GB258" i="34" a="1"/>
  <c r="GB258" i="34" s="1"/>
  <c r="GD258" i="34" a="1"/>
  <c r="GD258" i="34" s="1"/>
  <c r="GC258" i="34" a="1"/>
  <c r="GC258" i="34" s="1"/>
  <c r="FZ258" i="34" a="1"/>
  <c r="FZ258" i="34" s="1"/>
  <c r="GF258" i="34" a="1"/>
  <c r="GF258" i="34" s="1"/>
  <c r="GE266" i="34" a="1"/>
  <c r="GE266" i="34" s="1"/>
  <c r="GB266" i="34" a="1"/>
  <c r="GB266" i="34" s="1"/>
  <c r="GF266" i="34" a="1"/>
  <c r="GF266" i="34" s="1"/>
  <c r="GD266" i="34" a="1"/>
  <c r="GD266" i="34" s="1"/>
  <c r="GC266" i="34" a="1"/>
  <c r="GC266" i="34" s="1"/>
  <c r="GA266" i="34" a="1"/>
  <c r="GA266" i="34" s="1"/>
  <c r="FZ266" i="34" a="1"/>
  <c r="FZ266" i="34" s="1"/>
  <c r="GA274" i="34" a="1"/>
  <c r="GA274" i="34" s="1"/>
  <c r="GD274" i="34" a="1"/>
  <c r="GD274" i="34" s="1"/>
  <c r="FZ274" i="34" a="1"/>
  <c r="FZ274" i="34" s="1"/>
  <c r="GE274" i="34" a="1"/>
  <c r="GE274" i="34" s="1"/>
  <c r="GB274" i="34" a="1"/>
  <c r="GB274" i="34" s="1"/>
  <c r="GF274" i="34" a="1"/>
  <c r="GF274" i="34" s="1"/>
  <c r="GC274" i="34" a="1"/>
  <c r="GC274" i="34" s="1"/>
  <c r="GD282" i="34" a="1"/>
  <c r="GD282" i="34" s="1"/>
  <c r="GA282" i="34" a="1"/>
  <c r="GA282" i="34" s="1"/>
  <c r="GF282" i="34" a="1"/>
  <c r="GF282" i="34" s="1"/>
  <c r="GE282" i="34" a="1"/>
  <c r="GE282" i="34" s="1"/>
  <c r="GC282" i="34" a="1"/>
  <c r="GC282" i="34" s="1"/>
  <c r="GB282" i="34" a="1"/>
  <c r="GB282" i="34" s="1"/>
  <c r="FZ282" i="34" a="1"/>
  <c r="FZ282" i="34" s="1"/>
  <c r="B1" i="49"/>
  <c r="J77" i="55" l="1"/>
  <c r="CJ88" i="46" l="1"/>
  <c r="CI88" i="46"/>
  <c r="B1" i="65"/>
  <c r="B1" i="34"/>
  <c r="B1" i="40"/>
  <c r="B1" i="46"/>
  <c r="B1" i="55"/>
  <c r="B1" i="43"/>
  <c r="B1" i="44"/>
  <c r="B1" i="16"/>
  <c r="A1" i="42"/>
  <c r="A1" i="41"/>
  <c r="B1" i="5"/>
  <c r="B44" i="16"/>
  <c r="B64" i="16" l="1"/>
  <c r="B102" i="55"/>
  <c r="B120" i="55" s="1"/>
  <c r="FY31" i="41" l="1"/>
  <c r="FY32" i="41"/>
  <c r="GD32" i="41" l="1" a="1"/>
  <c r="GD32" i="41" s="1"/>
  <c r="GC32" i="41" a="1"/>
  <c r="GC32" i="41" s="1"/>
  <c r="GA32" i="41" a="1"/>
  <c r="GA32" i="41" s="1"/>
  <c r="GB32" i="41" a="1"/>
  <c r="GB32" i="41" s="1"/>
  <c r="GF32" i="41" a="1"/>
  <c r="GF32" i="41" s="1"/>
  <c r="FZ32" i="41" a="1"/>
  <c r="FZ32" i="41" s="1"/>
  <c r="GE32" i="41" a="1"/>
  <c r="GE32" i="41" s="1"/>
  <c r="GC31" i="41" a="1"/>
  <c r="GC31" i="41" s="1"/>
  <c r="GB31" i="41" a="1"/>
  <c r="GB31" i="41" s="1"/>
  <c r="GA31" i="41" a="1"/>
  <c r="GA31" i="41" s="1"/>
  <c r="FZ31" i="41" a="1"/>
  <c r="FZ31" i="41" s="1"/>
  <c r="GF31" i="41" a="1"/>
  <c r="GF31" i="41" s="1"/>
  <c r="GE31" i="41" a="1"/>
  <c r="GE31" i="41" s="1"/>
  <c r="GD31" i="41" a="1"/>
  <c r="GD31" i="41" s="1"/>
  <c r="J72" i="55"/>
  <c r="J73" i="55"/>
  <c r="J76" i="55"/>
  <c r="J75" i="55" l="1"/>
  <c r="I78" i="55"/>
  <c r="H78" i="55"/>
  <c r="HE257" i="34" l="1"/>
  <c r="HE256" i="34"/>
  <c r="FY256" i="34"/>
  <c r="GE256" i="34" l="1" a="1"/>
  <c r="GE256" i="34" s="1"/>
  <c r="GF256" i="34" a="1"/>
  <c r="GF256" i="34" s="1"/>
  <c r="GD256" i="34" a="1"/>
  <c r="GD256" i="34" s="1"/>
  <c r="GC256" i="34" a="1"/>
  <c r="GC256" i="34" s="1"/>
  <c r="GB256" i="34" a="1"/>
  <c r="GB256" i="34" s="1"/>
  <c r="FZ256" i="34" a="1"/>
  <c r="FZ256" i="34" s="1"/>
  <c r="GA256" i="34" a="1"/>
  <c r="GA256" i="34" s="1"/>
  <c r="FY257" i="34"/>
  <c r="HH257" i="34"/>
  <c r="HH256" i="34"/>
  <c r="GE257" i="34" l="1" a="1"/>
  <c r="GE257" i="34" s="1"/>
  <c r="GF257" i="34" a="1"/>
  <c r="GF257" i="34" s="1"/>
  <c r="FZ257" i="34" a="1"/>
  <c r="FZ257" i="34" s="1"/>
  <c r="GC257" i="34" a="1"/>
  <c r="GC257" i="34" s="1"/>
  <c r="GD257" i="34" a="1"/>
  <c r="GD257" i="34" s="1"/>
  <c r="GA257" i="34" a="1"/>
  <c r="GA257" i="34" s="1"/>
  <c r="GB257" i="34" a="1"/>
  <c r="GB257" i="34" s="1"/>
  <c r="FY26" i="41"/>
  <c r="FY21" i="41"/>
  <c r="FY20" i="41"/>
  <c r="FY22" i="41"/>
  <c r="FY24" i="41"/>
  <c r="FY28" i="41"/>
  <c r="FY30" i="41"/>
  <c r="FY23" i="41"/>
  <c r="FY29" i="41"/>
  <c r="FY19" i="41"/>
  <c r="FY25" i="41"/>
  <c r="FY27" i="41"/>
  <c r="FY17" i="41"/>
  <c r="FY18" i="41"/>
  <c r="GB30" i="41" l="1" a="1"/>
  <c r="GB30" i="41" s="1"/>
  <c r="GA30" i="41" a="1"/>
  <c r="GA30" i="41" s="1"/>
  <c r="FZ30" i="41" a="1"/>
  <c r="FZ30" i="41" s="1"/>
  <c r="GE30" i="41" a="1"/>
  <c r="GE30" i="41" s="1"/>
  <c r="GD30" i="41" a="1"/>
  <c r="GD30" i="41" s="1"/>
  <c r="GF30" i="41" a="1"/>
  <c r="GF30" i="41" s="1"/>
  <c r="GC30" i="41" a="1"/>
  <c r="GC30" i="41" s="1"/>
  <c r="FZ28" i="41" a="1"/>
  <c r="FZ28" i="41" s="1"/>
  <c r="GF28" i="41" a="1"/>
  <c r="GF28" i="41" s="1"/>
  <c r="GE28" i="41" a="1"/>
  <c r="GE28" i="41" s="1"/>
  <c r="GC28" i="41" a="1"/>
  <c r="GC28" i="41" s="1"/>
  <c r="GB28" i="41" a="1"/>
  <c r="GB28" i="41" s="1"/>
  <c r="GD28" i="41" a="1"/>
  <c r="GD28" i="41" s="1"/>
  <c r="GA28" i="41" a="1"/>
  <c r="GA28" i="41" s="1"/>
  <c r="GB22" i="41" a="1"/>
  <c r="GB22" i="41" s="1"/>
  <c r="GA22" i="41" a="1"/>
  <c r="GA22" i="41" s="1"/>
  <c r="FZ22" i="41" a="1"/>
  <c r="FZ22" i="41" s="1"/>
  <c r="GE22" i="41" a="1"/>
  <c r="GE22" i="41" s="1"/>
  <c r="GD22" i="41" a="1"/>
  <c r="GD22" i="41" s="1"/>
  <c r="GF22" i="41" a="1"/>
  <c r="GF22" i="41" s="1"/>
  <c r="GC22" i="41" a="1"/>
  <c r="GC22" i="41" s="1"/>
  <c r="GE25" i="41" a="1"/>
  <c r="GE25" i="41" s="1"/>
  <c r="GD25" i="41" a="1"/>
  <c r="GD25" i="41" s="1"/>
  <c r="GC25" i="41" a="1"/>
  <c r="GC25" i="41" s="1"/>
  <c r="GB25" i="41" a="1"/>
  <c r="GB25" i="41" s="1"/>
  <c r="FZ25" i="41" a="1"/>
  <c r="FZ25" i="41" s="1"/>
  <c r="GA25" i="41" a="1"/>
  <c r="GA25" i="41" s="1"/>
  <c r="GF25" i="41" a="1"/>
  <c r="GF25" i="41" s="1"/>
  <c r="FZ20" i="41" a="1"/>
  <c r="FZ20" i="41" s="1"/>
  <c r="GF20" i="41" a="1"/>
  <c r="GF20" i="41" s="1"/>
  <c r="GE20" i="41" a="1"/>
  <c r="GE20" i="41" s="1"/>
  <c r="GC20" i="41" a="1"/>
  <c r="GC20" i="41" s="1"/>
  <c r="GB20" i="41" a="1"/>
  <c r="GB20" i="41" s="1"/>
  <c r="GD20" i="41" a="1"/>
  <c r="GD20" i="41" s="1"/>
  <c r="GA20" i="41" a="1"/>
  <c r="GA20" i="41" s="1"/>
  <c r="GF19" i="41" a="1"/>
  <c r="GF19" i="41" s="1"/>
  <c r="GE19" i="41" a="1"/>
  <c r="GE19" i="41" s="1"/>
  <c r="GD19" i="41" a="1"/>
  <c r="GD19" i="41" s="1"/>
  <c r="GB19" i="41" a="1"/>
  <c r="GB19" i="41" s="1"/>
  <c r="GA19" i="41" a="1"/>
  <c r="GA19" i="41" s="1"/>
  <c r="GC19" i="41" a="1"/>
  <c r="GC19" i="41" s="1"/>
  <c r="FZ19" i="41" a="1"/>
  <c r="FZ19" i="41" s="1"/>
  <c r="GD18" i="41" a="1"/>
  <c r="GD18" i="41" s="1"/>
  <c r="GE18" i="41" a="1"/>
  <c r="GE18" i="41" s="1"/>
  <c r="GF18" i="41" a="1"/>
  <c r="GF18" i="41" s="1"/>
  <c r="GC18" i="41" a="1"/>
  <c r="GC18" i="41" s="1"/>
  <c r="GB18" i="41" a="1"/>
  <c r="GB18" i="41" s="1"/>
  <c r="FZ18" i="41" a="1"/>
  <c r="FZ18" i="41" s="1"/>
  <c r="GA18" i="41" a="1"/>
  <c r="GA18" i="41" s="1"/>
  <c r="GF17" i="41" a="1"/>
  <c r="GF17" i="41" s="1"/>
  <c r="GE17" i="41" a="1"/>
  <c r="GE17" i="41" s="1"/>
  <c r="GD17" i="41" a="1"/>
  <c r="GD17" i="41" s="1"/>
  <c r="GC17" i="41" a="1"/>
  <c r="GC17" i="41" s="1"/>
  <c r="GA17" i="41" a="1"/>
  <c r="GA17" i="41" s="1"/>
  <c r="FZ17" i="41" a="1"/>
  <c r="FZ17" i="41" s="1"/>
  <c r="GB17" i="41" a="1"/>
  <c r="GB17" i="41" s="1"/>
  <c r="GD24" i="41" a="1"/>
  <c r="GD24" i="41" s="1"/>
  <c r="GC24" i="41" a="1"/>
  <c r="GC24" i="41" s="1"/>
  <c r="GB24" i="41" a="1"/>
  <c r="GB24" i="41" s="1"/>
  <c r="GA24" i="41" a="1"/>
  <c r="GA24" i="41" s="1"/>
  <c r="GF24" i="41" a="1"/>
  <c r="GF24" i="41" s="1"/>
  <c r="GE24" i="41" a="1"/>
  <c r="GE24" i="41" s="1"/>
  <c r="FZ24" i="41" a="1"/>
  <c r="FZ24" i="41" s="1"/>
  <c r="GF27" i="41" a="1"/>
  <c r="GF27" i="41" s="1"/>
  <c r="GE27" i="41" a="1"/>
  <c r="GE27" i="41" s="1"/>
  <c r="GD27" i="41" a="1"/>
  <c r="GD27" i="41" s="1"/>
  <c r="GB27" i="41" a="1"/>
  <c r="GB27" i="41" s="1"/>
  <c r="GA27" i="41" a="1"/>
  <c r="GA27" i="41" s="1"/>
  <c r="GC27" i="41" a="1"/>
  <c r="GC27" i="41" s="1"/>
  <c r="FZ27" i="41" a="1"/>
  <c r="FZ27" i="41" s="1"/>
  <c r="GA21" i="41" a="1"/>
  <c r="GA21" i="41" s="1"/>
  <c r="FZ21" i="41" a="1"/>
  <c r="FZ21" i="41" s="1"/>
  <c r="GF21" i="41" a="1"/>
  <c r="GF21" i="41" s="1"/>
  <c r="GD21" i="41" a="1"/>
  <c r="GD21" i="41" s="1"/>
  <c r="GC21" i="41" a="1"/>
  <c r="GC21" i="41" s="1"/>
  <c r="GE21" i="41" a="1"/>
  <c r="GE21" i="41" s="1"/>
  <c r="GB21" i="41" a="1"/>
  <c r="GB21" i="41" s="1"/>
  <c r="GA29" i="41" a="1"/>
  <c r="GA29" i="41" s="1"/>
  <c r="FZ29" i="41" a="1"/>
  <c r="FZ29" i="41" s="1"/>
  <c r="GF29" i="41" a="1"/>
  <c r="GF29" i="41" s="1"/>
  <c r="GD29" i="41" a="1"/>
  <c r="GD29" i="41" s="1"/>
  <c r="GC29" i="41" a="1"/>
  <c r="GC29" i="41" s="1"/>
  <c r="GE29" i="41" a="1"/>
  <c r="GE29" i="41" s="1"/>
  <c r="GB29" i="41" a="1"/>
  <c r="GB29" i="41" s="1"/>
  <c r="GF26" i="41" a="1"/>
  <c r="GF26" i="41" s="1"/>
  <c r="GE26" i="41" a="1"/>
  <c r="GE26" i="41" s="1"/>
  <c r="GD26" i="41" a="1"/>
  <c r="GD26" i="41" s="1"/>
  <c r="GC26" i="41" a="1"/>
  <c r="GC26" i="41" s="1"/>
  <c r="GA26" i="41" a="1"/>
  <c r="GA26" i="41" s="1"/>
  <c r="FZ26" i="41" a="1"/>
  <c r="FZ26" i="41" s="1"/>
  <c r="GB26" i="41" a="1"/>
  <c r="GB26" i="41" s="1"/>
  <c r="GC23" i="41" a="1"/>
  <c r="GC23" i="41" s="1"/>
  <c r="GB23" i="41" a="1"/>
  <c r="GB23" i="41" s="1"/>
  <c r="GA23" i="41" a="1"/>
  <c r="GA23" i="41" s="1"/>
  <c r="FZ23" i="41" a="1"/>
  <c r="FZ23" i="41" s="1"/>
  <c r="GF23" i="41" a="1"/>
  <c r="GF23" i="41" s="1"/>
  <c r="GE23" i="41" a="1"/>
  <c r="GE23" i="41" s="1"/>
  <c r="GD23" i="41" a="1"/>
  <c r="GD23" i="41" s="1"/>
  <c r="C50" i="46" l="1"/>
  <c r="CR5" i="49"/>
  <c r="C10" i="46"/>
  <c r="CZ5" i="49"/>
  <c r="K50" i="46"/>
  <c r="K88" i="46" s="1"/>
  <c r="K10" i="46"/>
  <c r="DH5" i="49"/>
  <c r="S10" i="46"/>
  <c r="S50" i="46"/>
  <c r="S88" i="46" s="1"/>
  <c r="DP5" i="49"/>
  <c r="AA50" i="46"/>
  <c r="AA88" i="46" s="1"/>
  <c r="AA10" i="46"/>
  <c r="DX5" i="49"/>
  <c r="AI50" i="46"/>
  <c r="AI88" i="46" s="1"/>
  <c r="AI10" i="46"/>
  <c r="EF5" i="49"/>
  <c r="AQ10" i="46"/>
  <c r="AQ50" i="46"/>
  <c r="AQ88" i="46" s="1"/>
  <c r="AY50" i="46"/>
  <c r="AY88" i="46" s="1"/>
  <c r="EN5" i="49"/>
  <c r="AY10" i="46"/>
  <c r="EV5" i="49"/>
  <c r="BG10" i="46"/>
  <c r="BG50" i="46"/>
  <c r="BG88" i="46" s="1"/>
  <c r="CY5" i="49"/>
  <c r="J10" i="46"/>
  <c r="J50" i="46"/>
  <c r="J88" i="46" s="1"/>
  <c r="DG5" i="49"/>
  <c r="R10" i="46"/>
  <c r="R50" i="46"/>
  <c r="R88" i="46" s="1"/>
  <c r="Z50" i="46"/>
  <c r="Z88" i="46" s="1"/>
  <c r="Z10" i="46"/>
  <c r="DO5" i="49"/>
  <c r="AH50" i="46"/>
  <c r="AH88" i="46" s="1"/>
  <c r="DW5" i="49"/>
  <c r="AH10" i="46"/>
  <c r="AP50" i="46"/>
  <c r="AP88" i="46" s="1"/>
  <c r="EE5" i="49"/>
  <c r="AP10" i="46"/>
  <c r="AX10" i="46"/>
  <c r="AX50" i="46"/>
  <c r="AX88" i="46" s="1"/>
  <c r="EM5" i="49"/>
  <c r="BF50" i="46"/>
  <c r="BF88" i="46" s="1"/>
  <c r="EU5" i="49"/>
  <c r="BF10" i="46"/>
  <c r="F10" i="46"/>
  <c r="F50" i="46"/>
  <c r="F88" i="46" s="1"/>
  <c r="CU5" i="49"/>
  <c r="DC5" i="49"/>
  <c r="N10" i="46"/>
  <c r="N50" i="46"/>
  <c r="N88" i="46" s="1"/>
  <c r="DK5" i="49"/>
  <c r="V10" i="46"/>
  <c r="V50" i="46"/>
  <c r="V88" i="46" s="1"/>
  <c r="AD50" i="46"/>
  <c r="AD88" i="46" s="1"/>
  <c r="AD10" i="46"/>
  <c r="DS5" i="49"/>
  <c r="AL50" i="46"/>
  <c r="AL88" i="46" s="1"/>
  <c r="EA5" i="49"/>
  <c r="AL10" i="46"/>
  <c r="AT50" i="46"/>
  <c r="AT88" i="46" s="1"/>
  <c r="AT10" i="46"/>
  <c r="EI5" i="49"/>
  <c r="BB10" i="46"/>
  <c r="EQ5" i="49"/>
  <c r="BB50" i="46"/>
  <c r="BB88" i="46" s="1"/>
  <c r="EY5" i="49"/>
  <c r="BJ10" i="46"/>
  <c r="BJ50" i="46"/>
  <c r="BJ88" i="46" s="1"/>
  <c r="W50" i="46"/>
  <c r="W88" i="46" s="1"/>
  <c r="W10" i="46"/>
  <c r="DL5" i="49"/>
  <c r="BC10" i="46"/>
  <c r="ER5" i="49"/>
  <c r="BC50" i="46"/>
  <c r="BC88" i="46" s="1"/>
  <c r="H10" i="46"/>
  <c r="H50" i="46"/>
  <c r="H88" i="46" s="1"/>
  <c r="CW5" i="49"/>
  <c r="P50" i="46"/>
  <c r="P88" i="46" s="1"/>
  <c r="DE5" i="49"/>
  <c r="P10" i="46"/>
  <c r="X50" i="46"/>
  <c r="X88" i="46" s="1"/>
  <c r="DM5" i="49"/>
  <c r="X10" i="46"/>
  <c r="AF10" i="46"/>
  <c r="AF50" i="46"/>
  <c r="AF88" i="46" s="1"/>
  <c r="DU5" i="49"/>
  <c r="AN50" i="46"/>
  <c r="AN88" i="46" s="1"/>
  <c r="EC5" i="49"/>
  <c r="AN10" i="46"/>
  <c r="AV50" i="46"/>
  <c r="AV88" i="46" s="1"/>
  <c r="EK5" i="49"/>
  <c r="AV10" i="46"/>
  <c r="BD10" i="46"/>
  <c r="BD50" i="46"/>
  <c r="BD88" i="46" s="1"/>
  <c r="ES5" i="49"/>
  <c r="BK10" i="46"/>
  <c r="EZ5" i="49"/>
  <c r="BK50" i="46"/>
  <c r="BK88" i="46" s="1"/>
  <c r="DN5" i="49"/>
  <c r="Y10" i="46"/>
  <c r="Y50" i="46"/>
  <c r="Y88" i="46" s="1"/>
  <c r="AO50" i="46"/>
  <c r="AO88" i="46" s="1"/>
  <c r="ED5" i="49"/>
  <c r="AO10" i="46"/>
  <c r="AW50" i="46"/>
  <c r="AW88" i="46" s="1"/>
  <c r="EL5" i="49"/>
  <c r="AW10" i="46"/>
  <c r="BE50" i="46"/>
  <c r="BE88" i="46" s="1"/>
  <c r="ET5" i="49"/>
  <c r="BE10" i="46"/>
  <c r="C88" i="46" l="1"/>
  <c r="AE50" i="46"/>
  <c r="AE88" i="46" s="1"/>
  <c r="AE10" i="46"/>
  <c r="DT5" i="49"/>
  <c r="AZ50" i="46"/>
  <c r="AZ88" i="46" s="1"/>
  <c r="AZ10" i="46"/>
  <c r="EO5" i="49"/>
  <c r="T10" i="46"/>
  <c r="T50" i="46"/>
  <c r="T88" i="46" s="1"/>
  <c r="DI5" i="49"/>
  <c r="G50" i="46"/>
  <c r="G88" i="46" s="1"/>
  <c r="G10" i="46"/>
  <c r="CV5" i="49"/>
  <c r="BA50" i="46"/>
  <c r="BA88" i="46" s="1"/>
  <c r="EP5" i="49"/>
  <c r="BA10" i="46"/>
  <c r="DJ5" i="49"/>
  <c r="U10" i="46"/>
  <c r="U50" i="46"/>
  <c r="U88" i="46" s="1"/>
  <c r="EH5" i="49"/>
  <c r="AS10" i="46"/>
  <c r="AS50" i="46"/>
  <c r="AS88" i="46" s="1"/>
  <c r="DB5" i="49"/>
  <c r="M10" i="46"/>
  <c r="M50" i="46"/>
  <c r="M88" i="46" s="1"/>
  <c r="EG5" i="49"/>
  <c r="AR50" i="46"/>
  <c r="AR88" i="46" s="1"/>
  <c r="AR10" i="46"/>
  <c r="DA5" i="49"/>
  <c r="L10" i="46"/>
  <c r="L50" i="46"/>
  <c r="L88" i="46" s="1"/>
  <c r="Q50" i="46"/>
  <c r="Q88" i="46" s="1"/>
  <c r="DF5" i="49"/>
  <c r="Q10" i="46"/>
  <c r="AK10" i="46"/>
  <c r="AK50" i="46"/>
  <c r="AK88" i="46" s="1"/>
  <c r="DZ5" i="49"/>
  <c r="E10" i="46"/>
  <c r="E50" i="46"/>
  <c r="E88" i="46" s="1"/>
  <c r="CT5" i="49"/>
  <c r="EJ5" i="49"/>
  <c r="AU50" i="46"/>
  <c r="AU88" i="46" s="1"/>
  <c r="AU10" i="46"/>
  <c r="AJ10" i="46"/>
  <c r="AJ50" i="46"/>
  <c r="AJ88" i="46" s="1"/>
  <c r="DY5" i="49"/>
  <c r="CS5" i="49"/>
  <c r="D50" i="46"/>
  <c r="D88" i="46" s="1"/>
  <c r="D10" i="46"/>
  <c r="CX5" i="49"/>
  <c r="I10" i="46"/>
  <c r="I50" i="46"/>
  <c r="I88" i="46" s="1"/>
  <c r="DD5" i="49"/>
  <c r="O50" i="46"/>
  <c r="O88" i="46" s="1"/>
  <c r="O10" i="46"/>
  <c r="BI10" i="46"/>
  <c r="EX5" i="49"/>
  <c r="BI50" i="46"/>
  <c r="BI88" i="46" s="1"/>
  <c r="AC10" i="46"/>
  <c r="AC50" i="46"/>
  <c r="AC88" i="46" s="1"/>
  <c r="DR5" i="49"/>
  <c r="BL10" i="46"/>
  <c r="BL50" i="46"/>
  <c r="BL88" i="46" s="1"/>
  <c r="FA5" i="49"/>
  <c r="DV5" i="49"/>
  <c r="AG10" i="46"/>
  <c r="AG50" i="46"/>
  <c r="AG88" i="46" s="1"/>
  <c r="EB5" i="49"/>
  <c r="AM50" i="46"/>
  <c r="AM88" i="46" s="1"/>
  <c r="AM10" i="46"/>
  <c r="BH50" i="46"/>
  <c r="BH88" i="46" s="1"/>
  <c r="EW5" i="49"/>
  <c r="BH10" i="46"/>
  <c r="DQ5" i="49"/>
  <c r="AB50" i="46"/>
  <c r="AB88" i="46" s="1"/>
  <c r="AB10" i="46"/>
  <c r="BM50" i="46" l="1"/>
  <c r="BM88" i="46" s="1"/>
  <c r="FB5" i="49"/>
  <c r="BM10" i="46"/>
  <c r="BN50" i="46" l="1"/>
  <c r="BN88" i="46" s="1"/>
  <c r="FC5" i="49"/>
  <c r="BN10" i="46"/>
  <c r="FD5" i="49" l="1"/>
  <c r="BO10" i="46"/>
  <c r="BO50" i="46"/>
  <c r="BO88" i="46" s="1"/>
  <c r="FE5" i="49" l="1"/>
  <c r="BP50" i="46"/>
  <c r="BP88" i="46" s="1"/>
  <c r="BP10" i="46"/>
  <c r="FF5" i="49" l="1"/>
  <c r="BQ10" i="46"/>
  <c r="BQ50" i="46"/>
  <c r="BQ88" i="46" s="1"/>
  <c r="FG5" i="49" l="1"/>
  <c r="BR10" i="46"/>
  <c r="BR50" i="46"/>
  <c r="BR88" i="46" s="1"/>
  <c r="BS10" i="46" l="1"/>
  <c r="BS50" i="46"/>
  <c r="BS88" i="46" s="1"/>
  <c r="FH5" i="49"/>
  <c r="BT10" i="46" l="1"/>
  <c r="BT50" i="46"/>
  <c r="BT88" i="46" s="1"/>
  <c r="FI5" i="49"/>
  <c r="BU10" i="46" l="1"/>
  <c r="FJ5" i="49"/>
  <c r="BU50" i="46"/>
  <c r="BU88" i="46" s="1"/>
  <c r="BV50" i="46" l="1"/>
  <c r="BV88" i="46" s="1"/>
  <c r="FK5" i="49"/>
  <c r="BV10" i="46"/>
  <c r="BW10" i="46" l="1"/>
  <c r="FL5" i="49"/>
  <c r="BW50" i="46"/>
  <c r="BW88" i="46" s="1"/>
  <c r="BX50" i="46" l="1"/>
  <c r="BX88" i="46" s="1"/>
  <c r="FM5" i="49"/>
  <c r="BX10" i="46"/>
  <c r="FN5" i="49" l="1"/>
  <c r="BY10" i="46"/>
  <c r="BY50" i="46"/>
  <c r="BY88" i="46" s="1"/>
  <c r="BZ50" i="46" l="1"/>
  <c r="BZ88" i="46" s="1"/>
  <c r="BZ10" i="46"/>
  <c r="FO5" i="49"/>
  <c r="CA10" i="46" l="1"/>
  <c r="CA50" i="46"/>
  <c r="CA88" i="46" s="1"/>
  <c r="FP5" i="49"/>
  <c r="FQ5" i="49" l="1"/>
  <c r="CB50" i="46"/>
  <c r="CB88" i="46" s="1"/>
  <c r="CB10" i="46"/>
  <c r="CC10" i="46" l="1"/>
  <c r="CC50" i="46"/>
  <c r="CC88" i="46" s="1"/>
  <c r="FR5" i="49"/>
  <c r="FS5" i="49" l="1"/>
  <c r="CD50" i="46"/>
  <c r="CD88" i="46" s="1"/>
  <c r="CD10" i="46"/>
  <c r="FT5" i="49" l="1"/>
  <c r="CE50" i="46"/>
  <c r="CE88" i="46" s="1"/>
  <c r="CE10" i="46"/>
  <c r="FU5" i="49" l="1"/>
  <c r="CF10" i="46"/>
  <c r="CF50" i="46"/>
  <c r="CF88" i="46" s="1"/>
  <c r="FV5" i="49" l="1"/>
  <c r="CG50" i="46"/>
  <c r="CG88" i="46" s="1"/>
  <c r="CG10" i="46"/>
  <c r="FW5" i="49" l="1"/>
  <c r="CH10" i="46"/>
  <c r="CH50" i="46"/>
  <c r="CH88" i="46" s="1"/>
  <c r="B7" i="42" l="1" a="1"/>
  <c r="B7" i="41" a="1"/>
  <c r="B7" i="34" a="1"/>
  <c r="GR278" i="41" l="1" a="1"/>
  <c r="GR278" i="41" s="1"/>
  <c r="GR266" i="41" a="1"/>
  <c r="GR266" i="41" s="1"/>
  <c r="GR254" i="41" a="1"/>
  <c r="GR254" i="41" s="1"/>
  <c r="GR242" i="41" a="1"/>
  <c r="GR242" i="41" s="1"/>
  <c r="GR230" i="41" a="1"/>
  <c r="GR230" i="41" s="1"/>
  <c r="GR218" i="41" a="1"/>
  <c r="GR218" i="41" s="1"/>
  <c r="GR206" i="41" a="1"/>
  <c r="GR206" i="41" s="1"/>
  <c r="GR194" i="41" a="1"/>
  <c r="GR194" i="41" s="1"/>
  <c r="GR182" i="41" a="1"/>
  <c r="GR182" i="41" s="1"/>
  <c r="GR170" i="41" a="1"/>
  <c r="GR170" i="41" s="1"/>
  <c r="GR277" i="41" a="1"/>
  <c r="GR277" i="41" s="1"/>
  <c r="GR265" i="41" a="1"/>
  <c r="GR265" i="41" s="1"/>
  <c r="GR253" i="41" a="1"/>
  <c r="GR253" i="41" s="1"/>
  <c r="GR241" i="41" a="1"/>
  <c r="GR241" i="41" s="1"/>
  <c r="GR229" i="41" a="1"/>
  <c r="GR229" i="41" s="1"/>
  <c r="GR217" i="41" a="1"/>
  <c r="GR217" i="41" s="1"/>
  <c r="GR205" i="41" a="1"/>
  <c r="GR205" i="41" s="1"/>
  <c r="GR193" i="41" a="1"/>
  <c r="GR193" i="41" s="1"/>
  <c r="GR181" i="41" a="1"/>
  <c r="GR181" i="41" s="1"/>
  <c r="GR169" i="41" a="1"/>
  <c r="GR169" i="41" s="1"/>
  <c r="GR157" i="41" a="1"/>
  <c r="GR157" i="41" s="1"/>
  <c r="GR145" i="41" a="1"/>
  <c r="GR145" i="41" s="1"/>
  <c r="GR133" i="41" a="1"/>
  <c r="GR133" i="41" s="1"/>
  <c r="GR288" i="41" a="1"/>
  <c r="GR288" i="41" s="1"/>
  <c r="GR276" i="41" a="1"/>
  <c r="GR276" i="41" s="1"/>
  <c r="GR264" i="41" a="1"/>
  <c r="GR264" i="41" s="1"/>
  <c r="GR252" i="41" a="1"/>
  <c r="GR252" i="41" s="1"/>
  <c r="GR240" i="41" a="1"/>
  <c r="GR240" i="41" s="1"/>
  <c r="GR228" i="41" a="1"/>
  <c r="GR228" i="41" s="1"/>
  <c r="GR216" i="41" a="1"/>
  <c r="GR216" i="41" s="1"/>
  <c r="GR204" i="41" a="1"/>
  <c r="GR204" i="41" s="1"/>
  <c r="GR192" i="41" a="1"/>
  <c r="GR192" i="41" s="1"/>
  <c r="GR180" i="41" a="1"/>
  <c r="GR180" i="41" s="1"/>
  <c r="GR168" i="41" a="1"/>
  <c r="GR168" i="41" s="1"/>
  <c r="GR156" i="41" a="1"/>
  <c r="GR156" i="41" s="1"/>
  <c r="GR144" i="41" a="1"/>
  <c r="GR144" i="41" s="1"/>
  <c r="GR132" i="41" a="1"/>
  <c r="GR132" i="41" s="1"/>
  <c r="GR120" i="41" a="1"/>
  <c r="GR120" i="41" s="1"/>
  <c r="GR108" i="41" a="1"/>
  <c r="GR108" i="41" s="1"/>
  <c r="GR96" i="41" a="1"/>
  <c r="GR96" i="41" s="1"/>
  <c r="GR84" i="41" a="1"/>
  <c r="GR84" i="41" s="1"/>
  <c r="GR72" i="41" a="1"/>
  <c r="GR72" i="41" s="1"/>
  <c r="GR60" i="41" a="1"/>
  <c r="GR60" i="41" s="1"/>
  <c r="GR48" i="41" a="1"/>
  <c r="GR48" i="41" s="1"/>
  <c r="GR36" i="41" a="1"/>
  <c r="GR36" i="41" s="1"/>
  <c r="GR24" i="41" a="1"/>
  <c r="GR24" i="41" s="1"/>
  <c r="GR203" i="41" a="1"/>
  <c r="GR203" i="41" s="1"/>
  <c r="GR191" i="41" a="1"/>
  <c r="GR191" i="41" s="1"/>
  <c r="GR179" i="41" a="1"/>
  <c r="GR179" i="41" s="1"/>
  <c r="GR167" i="41" a="1"/>
  <c r="GR167" i="41" s="1"/>
  <c r="GR155" i="41" a="1"/>
  <c r="GR155" i="41" s="1"/>
  <c r="GR131" i="41" a="1"/>
  <c r="GR131" i="41" s="1"/>
  <c r="GR107" i="41" a="1"/>
  <c r="GR107" i="41" s="1"/>
  <c r="GR71" i="41" a="1"/>
  <c r="GR71" i="41" s="1"/>
  <c r="GR47" i="41" a="1"/>
  <c r="GR47" i="41" s="1"/>
  <c r="GR23" i="41" a="1"/>
  <c r="GR23" i="41" s="1"/>
  <c r="GR34" i="41" a="1"/>
  <c r="GR34" i="41" s="1"/>
  <c r="GR165" i="41" a="1"/>
  <c r="GR165" i="41" s="1"/>
  <c r="GR129" i="41" a="1"/>
  <c r="GR129" i="41" s="1"/>
  <c r="GR81" i="41" a="1"/>
  <c r="GR81" i="41" s="1"/>
  <c r="GR45" i="41" a="1"/>
  <c r="GR45" i="41" s="1"/>
  <c r="GR259" i="41" a="1"/>
  <c r="GR259" i="41" s="1"/>
  <c r="GR175" i="41" a="1"/>
  <c r="GR175" i="41" s="1"/>
  <c r="GR139" i="41" a="1"/>
  <c r="GR139" i="41" s="1"/>
  <c r="GR67" i="41" a="1"/>
  <c r="GR67" i="41" s="1"/>
  <c r="GR30" i="41" a="1"/>
  <c r="GR30" i="41" s="1"/>
  <c r="GR77" i="41" a="1"/>
  <c r="GR77" i="41" s="1"/>
  <c r="GR287" i="41" a="1"/>
  <c r="GR287" i="41" s="1"/>
  <c r="GR275" i="41" a="1"/>
  <c r="GR275" i="41" s="1"/>
  <c r="GR263" i="41" a="1"/>
  <c r="GR263" i="41" s="1"/>
  <c r="GR251" i="41" a="1"/>
  <c r="GR251" i="41" s="1"/>
  <c r="GR239" i="41" a="1"/>
  <c r="GR239" i="41" s="1"/>
  <c r="GR227" i="41" a="1"/>
  <c r="GR227" i="41" s="1"/>
  <c r="GR215" i="41" a="1"/>
  <c r="GR215" i="41" s="1"/>
  <c r="GR143" i="41" a="1"/>
  <c r="GR143" i="41" s="1"/>
  <c r="GR119" i="41" a="1"/>
  <c r="GR119" i="41" s="1"/>
  <c r="GR95" i="41" a="1"/>
  <c r="GR95" i="41" s="1"/>
  <c r="GR83" i="41" a="1"/>
  <c r="GR83" i="41" s="1"/>
  <c r="GR59" i="41" a="1"/>
  <c r="GR59" i="41" s="1"/>
  <c r="GR35" i="41" a="1"/>
  <c r="GR35" i="41" s="1"/>
  <c r="GR70" i="41" a="1"/>
  <c r="GR70" i="41" s="1"/>
  <c r="GR46" i="41" a="1"/>
  <c r="GR46" i="41" s="1"/>
  <c r="GR213" i="41" a="1"/>
  <c r="GR213" i="41" s="1"/>
  <c r="GR177" i="41" a="1"/>
  <c r="GR177" i="41" s="1"/>
  <c r="GR141" i="41" a="1"/>
  <c r="GR141" i="41" s="1"/>
  <c r="GR105" i="41" a="1"/>
  <c r="GR105" i="41" s="1"/>
  <c r="GR57" i="41" a="1"/>
  <c r="GR57" i="41" s="1"/>
  <c r="GR21" i="41" a="1"/>
  <c r="GR21" i="41" s="1"/>
  <c r="GR286" i="41" a="1"/>
  <c r="GR286" i="41" s="1"/>
  <c r="GR274" i="41" a="1"/>
  <c r="GR274" i="41" s="1"/>
  <c r="GR262" i="41" a="1"/>
  <c r="GR262" i="41" s="1"/>
  <c r="GR250" i="41" a="1"/>
  <c r="GR250" i="41" s="1"/>
  <c r="GR238" i="41" a="1"/>
  <c r="GR238" i="41" s="1"/>
  <c r="GR226" i="41" a="1"/>
  <c r="GR226" i="41" s="1"/>
  <c r="GR214" i="41" a="1"/>
  <c r="GR214" i="41" s="1"/>
  <c r="GR202" i="41" a="1"/>
  <c r="GR202" i="41" s="1"/>
  <c r="GR190" i="41" a="1"/>
  <c r="GR190" i="41" s="1"/>
  <c r="GR178" i="41" a="1"/>
  <c r="GR178" i="41" s="1"/>
  <c r="GR166" i="41" a="1"/>
  <c r="GR166" i="41" s="1"/>
  <c r="GR154" i="41" a="1"/>
  <c r="GR154" i="41" s="1"/>
  <c r="GR142" i="41" a="1"/>
  <c r="GR142" i="41" s="1"/>
  <c r="GR130" i="41" a="1"/>
  <c r="GR130" i="41" s="1"/>
  <c r="GR118" i="41" a="1"/>
  <c r="GR118" i="41" s="1"/>
  <c r="GR106" i="41" a="1"/>
  <c r="GR106" i="41" s="1"/>
  <c r="GR94" i="41" a="1"/>
  <c r="GR94" i="41" s="1"/>
  <c r="GR82" i="41" a="1"/>
  <c r="GR82" i="41" s="1"/>
  <c r="GR58" i="41" a="1"/>
  <c r="GR58" i="41" s="1"/>
  <c r="GR22" i="41" a="1"/>
  <c r="GR22" i="41" s="1"/>
  <c r="GR201" i="41" a="1"/>
  <c r="GR201" i="41" s="1"/>
  <c r="GR189" i="41" a="1"/>
  <c r="GR189" i="41" s="1"/>
  <c r="GR153" i="41" a="1"/>
  <c r="GR153" i="41" s="1"/>
  <c r="GR117" i="41" a="1"/>
  <c r="GR117" i="41" s="1"/>
  <c r="GR69" i="41" a="1"/>
  <c r="GR69" i="41" s="1"/>
  <c r="GR271" i="41" a="1"/>
  <c r="GR271" i="41" s="1"/>
  <c r="GR223" i="41" a="1"/>
  <c r="GR223" i="41" s="1"/>
  <c r="GR199" i="41" a="1"/>
  <c r="GR199" i="41" s="1"/>
  <c r="GR163" i="41" a="1"/>
  <c r="GR163" i="41" s="1"/>
  <c r="GR127" i="41" a="1"/>
  <c r="GR127" i="41" s="1"/>
  <c r="GR103" i="41" a="1"/>
  <c r="GR103" i="41" s="1"/>
  <c r="GR43" i="41" a="1"/>
  <c r="GR43" i="41" s="1"/>
  <c r="GR102" i="41" a="1"/>
  <c r="GR102" i="41" s="1"/>
  <c r="GR78" i="41" a="1"/>
  <c r="GR78" i="41" s="1"/>
  <c r="GR18" i="41" a="1"/>
  <c r="GR18" i="41" s="1"/>
  <c r="GR285" i="41" a="1"/>
  <c r="GR285" i="41" s="1"/>
  <c r="GR273" i="41" a="1"/>
  <c r="GR273" i="41" s="1"/>
  <c r="GR261" i="41" a="1"/>
  <c r="GR261" i="41" s="1"/>
  <c r="GR249" i="41" a="1"/>
  <c r="GR249" i="41" s="1"/>
  <c r="GR237" i="41" a="1"/>
  <c r="GR237" i="41" s="1"/>
  <c r="GR225" i="41" a="1"/>
  <c r="GR225" i="41" s="1"/>
  <c r="GR93" i="41" a="1"/>
  <c r="GR93" i="41" s="1"/>
  <c r="GR33" i="41" a="1"/>
  <c r="GR33" i="41" s="1"/>
  <c r="GR247" i="41" a="1"/>
  <c r="GR247" i="41" s="1"/>
  <c r="GR79" i="41" a="1"/>
  <c r="GR79" i="41" s="1"/>
  <c r="GR31" i="41" a="1"/>
  <c r="GR31" i="41" s="1"/>
  <c r="GR66" i="41" a="1"/>
  <c r="GR66" i="41" s="1"/>
  <c r="GR54" i="41" a="1"/>
  <c r="GR54" i="41" s="1"/>
  <c r="GR101" i="41" a="1"/>
  <c r="GR101" i="41" s="1"/>
  <c r="GR65" i="41" a="1"/>
  <c r="GR65" i="41" s="1"/>
  <c r="GR284" i="41" a="1"/>
  <c r="GR284" i="41" s="1"/>
  <c r="GR272" i="41" a="1"/>
  <c r="GR272" i="41" s="1"/>
  <c r="GR260" i="41" a="1"/>
  <c r="GR260" i="41" s="1"/>
  <c r="GR248" i="41" a="1"/>
  <c r="GR248" i="41" s="1"/>
  <c r="GR236" i="41" a="1"/>
  <c r="GR236" i="41" s="1"/>
  <c r="GR224" i="41" a="1"/>
  <c r="GR224" i="41" s="1"/>
  <c r="GR212" i="41" a="1"/>
  <c r="GR212" i="41" s="1"/>
  <c r="GR200" i="41" a="1"/>
  <c r="GR200" i="41" s="1"/>
  <c r="GR188" i="41" a="1"/>
  <c r="GR188" i="41" s="1"/>
  <c r="GR176" i="41" a="1"/>
  <c r="GR176" i="41" s="1"/>
  <c r="GR164" i="41" a="1"/>
  <c r="GR164" i="41" s="1"/>
  <c r="GR152" i="41" a="1"/>
  <c r="GR152" i="41" s="1"/>
  <c r="GR140" i="41" a="1"/>
  <c r="GR140" i="41" s="1"/>
  <c r="GR128" i="41" a="1"/>
  <c r="GR128" i="41" s="1"/>
  <c r="GR116" i="41" a="1"/>
  <c r="GR116" i="41" s="1"/>
  <c r="GR104" i="41" a="1"/>
  <c r="GR104" i="41" s="1"/>
  <c r="GR92" i="41" a="1"/>
  <c r="GR92" i="41" s="1"/>
  <c r="GR80" i="41" a="1"/>
  <c r="GR80" i="41" s="1"/>
  <c r="GR68" i="41" a="1"/>
  <c r="GR68" i="41" s="1"/>
  <c r="GR56" i="41" a="1"/>
  <c r="GR56" i="41" s="1"/>
  <c r="GR44" i="41" a="1"/>
  <c r="GR44" i="41" s="1"/>
  <c r="GR32" i="41" a="1"/>
  <c r="GR32" i="41" s="1"/>
  <c r="GR20" i="41" a="1"/>
  <c r="GR20" i="41" s="1"/>
  <c r="GR283" i="41" a="1"/>
  <c r="GR283" i="41" s="1"/>
  <c r="GR187" i="41" a="1"/>
  <c r="GR187" i="41" s="1"/>
  <c r="GR151" i="41" a="1"/>
  <c r="GR151" i="41" s="1"/>
  <c r="GR91" i="41" a="1"/>
  <c r="GR91" i="41" s="1"/>
  <c r="GR55" i="41" a="1"/>
  <c r="GR55" i="41" s="1"/>
  <c r="GR90" i="41" a="1"/>
  <c r="GR90" i="41" s="1"/>
  <c r="GR53" i="41" a="1"/>
  <c r="GR53" i="41" s="1"/>
  <c r="GR235" i="41" a="1"/>
  <c r="GR235" i="41" s="1"/>
  <c r="GR211" i="41" a="1"/>
  <c r="GR211" i="41" s="1"/>
  <c r="GR115" i="41" a="1"/>
  <c r="GR115" i="41" s="1"/>
  <c r="GR19" i="41" a="1"/>
  <c r="GR19" i="41" s="1"/>
  <c r="GR42" i="41" a="1"/>
  <c r="GR42" i="41" s="1"/>
  <c r="GR282" i="41" a="1"/>
  <c r="GR282" i="41" s="1"/>
  <c r="GR270" i="41" a="1"/>
  <c r="GR270" i="41" s="1"/>
  <c r="GR258" i="41" a="1"/>
  <c r="GR258" i="41" s="1"/>
  <c r="GR246" i="41" a="1"/>
  <c r="GR246" i="41" s="1"/>
  <c r="GR234" i="41" a="1"/>
  <c r="GR234" i="41" s="1"/>
  <c r="GR222" i="41" a="1"/>
  <c r="GR222" i="41" s="1"/>
  <c r="GR210" i="41" a="1"/>
  <c r="GR210" i="41" s="1"/>
  <c r="GR198" i="41" a="1"/>
  <c r="GR198" i="41" s="1"/>
  <c r="GR186" i="41" a="1"/>
  <c r="GR186" i="41" s="1"/>
  <c r="GR174" i="41" a="1"/>
  <c r="GR174" i="41" s="1"/>
  <c r="GR162" i="41" a="1"/>
  <c r="GR162" i="41" s="1"/>
  <c r="GR150" i="41" a="1"/>
  <c r="GR150" i="41" s="1"/>
  <c r="GR138" i="41" a="1"/>
  <c r="GR138" i="41" s="1"/>
  <c r="GR126" i="41" a="1"/>
  <c r="GR126" i="41" s="1"/>
  <c r="GR114" i="41" a="1"/>
  <c r="GR114" i="41" s="1"/>
  <c r="GR281" i="41" a="1"/>
  <c r="GR281" i="41" s="1"/>
  <c r="GR269" i="41" a="1"/>
  <c r="GR269" i="41" s="1"/>
  <c r="GR257" i="41" a="1"/>
  <c r="GR257" i="41" s="1"/>
  <c r="GR245" i="41" a="1"/>
  <c r="GR245" i="41" s="1"/>
  <c r="GR233" i="41" a="1"/>
  <c r="GR233" i="41" s="1"/>
  <c r="GR221" i="41" a="1"/>
  <c r="GR221" i="41" s="1"/>
  <c r="GR209" i="41" a="1"/>
  <c r="GR209" i="41" s="1"/>
  <c r="GR197" i="41" a="1"/>
  <c r="GR197" i="41" s="1"/>
  <c r="GR185" i="41" a="1"/>
  <c r="GR185" i="41" s="1"/>
  <c r="GR173" i="41" a="1"/>
  <c r="GR173" i="41" s="1"/>
  <c r="GR161" i="41" a="1"/>
  <c r="GR161" i="41" s="1"/>
  <c r="GR149" i="41" a="1"/>
  <c r="GR149" i="41" s="1"/>
  <c r="GR137" i="41" a="1"/>
  <c r="GR137" i="41" s="1"/>
  <c r="GR125" i="41" a="1"/>
  <c r="GR125" i="41" s="1"/>
  <c r="GR113" i="41" a="1"/>
  <c r="GR113" i="41" s="1"/>
  <c r="GR89" i="41" a="1"/>
  <c r="GR89" i="41" s="1"/>
  <c r="GR280" i="41" a="1"/>
  <c r="GR280" i="41" s="1"/>
  <c r="GR268" i="41" a="1"/>
  <c r="GR268" i="41" s="1"/>
  <c r="GR256" i="41" a="1"/>
  <c r="GR256" i="41" s="1"/>
  <c r="GR244" i="41" a="1"/>
  <c r="GR244" i="41" s="1"/>
  <c r="GR232" i="41" a="1"/>
  <c r="GR232" i="41" s="1"/>
  <c r="GR220" i="41" a="1"/>
  <c r="GR220" i="41" s="1"/>
  <c r="GR208" i="41" a="1"/>
  <c r="GR208" i="41" s="1"/>
  <c r="GR196" i="41" a="1"/>
  <c r="GR196" i="41" s="1"/>
  <c r="GR184" i="41" a="1"/>
  <c r="GR184" i="41" s="1"/>
  <c r="GR172" i="41" a="1"/>
  <c r="GR172" i="41" s="1"/>
  <c r="GR160" i="41" a="1"/>
  <c r="GR160" i="41" s="1"/>
  <c r="GR148" i="41" a="1"/>
  <c r="GR148" i="41" s="1"/>
  <c r="GR136" i="41" a="1"/>
  <c r="GR136" i="41" s="1"/>
  <c r="GR124" i="41" a="1"/>
  <c r="GR124" i="41" s="1"/>
  <c r="GR112" i="41" a="1"/>
  <c r="GR112" i="41" s="1"/>
  <c r="GR100" i="41" a="1"/>
  <c r="GR100" i="41" s="1"/>
  <c r="GR88" i="41" a="1"/>
  <c r="GR88" i="41" s="1"/>
  <c r="GR76" i="41" a="1"/>
  <c r="GR76" i="41" s="1"/>
  <c r="GR64" i="41" a="1"/>
  <c r="GR64" i="41" s="1"/>
  <c r="GR52" i="41" a="1"/>
  <c r="GR52" i="41" s="1"/>
  <c r="GR40" i="41" a="1"/>
  <c r="GR40" i="41" s="1"/>
  <c r="GR28" i="41" a="1"/>
  <c r="GR28" i="41" s="1"/>
  <c r="GR16" i="41" a="1"/>
  <c r="GR16" i="41" s="1"/>
  <c r="GR231" i="41" a="1"/>
  <c r="GR231" i="41" s="1"/>
  <c r="GR207" i="41" a="1"/>
  <c r="GR207" i="41" s="1"/>
  <c r="GR195" i="41" a="1"/>
  <c r="GR195" i="41" s="1"/>
  <c r="GR147" i="41" a="1"/>
  <c r="GR147" i="41" s="1"/>
  <c r="GR135" i="41" a="1"/>
  <c r="GR135" i="41" s="1"/>
  <c r="GR123" i="41" a="1"/>
  <c r="GR123" i="41" s="1"/>
  <c r="GR111" i="41" a="1"/>
  <c r="GR111" i="41" s="1"/>
  <c r="GR99" i="41" a="1"/>
  <c r="GR99" i="41" s="1"/>
  <c r="GR87" i="41" a="1"/>
  <c r="GR87" i="41" s="1"/>
  <c r="GR279" i="41" a="1"/>
  <c r="GR279" i="41" s="1"/>
  <c r="GR267" i="41" a="1"/>
  <c r="GR267" i="41" s="1"/>
  <c r="GR255" i="41" a="1"/>
  <c r="GR255" i="41" s="1"/>
  <c r="GR243" i="41" a="1"/>
  <c r="GR243" i="41" s="1"/>
  <c r="GR219" i="41" a="1"/>
  <c r="GR219" i="41" s="1"/>
  <c r="GR183" i="41" a="1"/>
  <c r="GR183" i="41" s="1"/>
  <c r="GR171" i="41" a="1"/>
  <c r="GR171" i="41" s="1"/>
  <c r="GR159" i="41" a="1"/>
  <c r="GR159" i="41" s="1"/>
  <c r="GR146" i="41" a="1"/>
  <c r="GR146" i="41" s="1"/>
  <c r="GR73" i="41" a="1"/>
  <c r="GR73" i="41" s="1"/>
  <c r="GR27" i="41" a="1"/>
  <c r="GR27" i="41" s="1"/>
  <c r="GR26" i="41" a="1"/>
  <c r="GR26" i="41" s="1"/>
  <c r="GR39" i="41" a="1"/>
  <c r="GR39" i="41" s="1"/>
  <c r="GR134" i="41" a="1"/>
  <c r="GR134" i="41" s="1"/>
  <c r="GR63" i="41" a="1"/>
  <c r="GR63" i="41" s="1"/>
  <c r="GR41" i="41" a="1"/>
  <c r="GR41" i="41" s="1"/>
  <c r="GR122" i="41" a="1"/>
  <c r="GR122" i="41" s="1"/>
  <c r="GR62" i="41" a="1"/>
  <c r="GR62" i="41" s="1"/>
  <c r="GR25" i="41" a="1"/>
  <c r="GR25" i="41" s="1"/>
  <c r="GR86" i="41" a="1"/>
  <c r="GR86" i="41" s="1"/>
  <c r="GR85" i="41" a="1"/>
  <c r="GR85" i="41" s="1"/>
  <c r="GR121" i="41" a="1"/>
  <c r="GR121" i="41" s="1"/>
  <c r="GR61" i="41" a="1"/>
  <c r="GR61" i="41" s="1"/>
  <c r="GR17" i="41" a="1"/>
  <c r="GR17" i="41" s="1"/>
  <c r="GR97" i="41" a="1"/>
  <c r="GR97" i="41" s="1"/>
  <c r="GR74" i="41" a="1"/>
  <c r="GR74" i="41" s="1"/>
  <c r="GR110" i="41" a="1"/>
  <c r="GR110" i="41" s="1"/>
  <c r="GR51" i="41" a="1"/>
  <c r="GR51" i="41" s="1"/>
  <c r="GR15" i="41" a="1"/>
  <c r="GR15" i="41" s="1"/>
  <c r="GR109" i="41" a="1"/>
  <c r="GR109" i="41" s="1"/>
  <c r="GR50" i="41" a="1"/>
  <c r="GR50" i="41" s="1"/>
  <c r="GR14" i="41" a="1"/>
  <c r="GR14" i="41" s="1"/>
  <c r="GR38" i="41" a="1"/>
  <c r="GR38" i="41" s="1"/>
  <c r="GR98" i="41" a="1"/>
  <c r="GR98" i="41" s="1"/>
  <c r="GR49" i="41" a="1"/>
  <c r="GR49" i="41" s="1"/>
  <c r="GR29" i="41" a="1"/>
  <c r="GR29" i="41" s="1"/>
  <c r="GR75" i="41" a="1"/>
  <c r="GR75" i="41" s="1"/>
  <c r="GR37" i="41" a="1"/>
  <c r="GR37" i="41" s="1"/>
  <c r="GR158" i="41" a="1"/>
  <c r="GR158" i="41" s="1"/>
  <c r="GR281" i="34" a="1"/>
  <c r="GR281" i="34" s="1"/>
  <c r="GR271" i="34" a="1"/>
  <c r="GR271" i="34" s="1"/>
  <c r="GR261" i="34" a="1"/>
  <c r="GR261" i="34" s="1"/>
  <c r="GR280" i="34" a="1"/>
  <c r="GR280" i="34" s="1"/>
  <c r="GR270" i="34" a="1"/>
  <c r="GR270" i="34" s="1"/>
  <c r="GR260" i="34" a="1"/>
  <c r="GR260" i="34" s="1"/>
  <c r="GR279" i="34" a="1"/>
  <c r="GR279" i="34" s="1"/>
  <c r="GR269" i="34" a="1"/>
  <c r="GR269" i="34" s="1"/>
  <c r="GR259" i="34" a="1"/>
  <c r="GR259" i="34" s="1"/>
  <c r="GR272" i="34" a="1"/>
  <c r="GR272" i="34" s="1"/>
  <c r="GR268" i="34" a="1"/>
  <c r="GR268" i="34" s="1"/>
  <c r="GR258" i="34" a="1"/>
  <c r="GR258" i="34" s="1"/>
  <c r="GR274" i="34" a="1"/>
  <c r="GR274" i="34" s="1"/>
  <c r="GR263" i="34" a="1"/>
  <c r="GR263" i="34" s="1"/>
  <c r="GR283" i="34" a="1"/>
  <c r="GR283" i="34" s="1"/>
  <c r="GR288" i="34" a="1"/>
  <c r="GR288" i="34" s="1"/>
  <c r="GR278" i="34" a="1"/>
  <c r="GR278" i="34" s="1"/>
  <c r="GR267" i="34" a="1"/>
  <c r="GR267" i="34" s="1"/>
  <c r="GR257" i="34" a="1"/>
  <c r="GR257" i="34" s="1"/>
  <c r="GR264" i="34" a="1"/>
  <c r="GR264" i="34" s="1"/>
  <c r="GR273" i="34" a="1"/>
  <c r="GR273" i="34" s="1"/>
  <c r="GR287" i="34" a="1"/>
  <c r="GR287" i="34" s="1"/>
  <c r="GR277" i="34" a="1"/>
  <c r="GR277" i="34" s="1"/>
  <c r="GR256" i="34" a="1"/>
  <c r="GR256" i="34" s="1"/>
  <c r="GR262" i="34" a="1"/>
  <c r="GR262" i="34" s="1"/>
  <c r="GR286" i="34" a="1"/>
  <c r="GR286" i="34" s="1"/>
  <c r="GR276" i="34" a="1"/>
  <c r="GR276" i="34" s="1"/>
  <c r="GR266" i="34" a="1"/>
  <c r="GR266" i="34" s="1"/>
  <c r="GR284" i="34" a="1"/>
  <c r="GR284" i="34" s="1"/>
  <c r="GR282" i="34" a="1"/>
  <c r="GR282" i="34" s="1"/>
  <c r="GR285" i="34" a="1"/>
  <c r="GR285" i="34" s="1"/>
  <c r="GR275" i="34" a="1"/>
  <c r="GR275" i="34" s="1"/>
  <c r="GR265" i="34" a="1"/>
  <c r="GR265" i="34" s="1"/>
  <c r="GR281" i="42" a="1"/>
  <c r="GR281" i="42" s="1"/>
  <c r="GR269" i="42" a="1"/>
  <c r="GR269" i="42" s="1"/>
  <c r="GR258" i="42" a="1"/>
  <c r="GR258" i="42" s="1"/>
  <c r="GR247" i="42" a="1"/>
  <c r="GR247" i="42" s="1"/>
  <c r="GR235" i="42" a="1"/>
  <c r="GR235" i="42" s="1"/>
  <c r="GR224" i="42" a="1"/>
  <c r="GR224" i="42" s="1"/>
  <c r="GR212" i="42" a="1"/>
  <c r="GR212" i="42" s="1"/>
  <c r="GR200" i="42" a="1"/>
  <c r="GR200" i="42" s="1"/>
  <c r="GR189" i="42" a="1"/>
  <c r="GR189" i="42" s="1"/>
  <c r="GR178" i="42" a="1"/>
  <c r="GR178" i="42" s="1"/>
  <c r="GR166" i="42" a="1"/>
  <c r="GR166" i="42" s="1"/>
  <c r="GR155" i="42" a="1"/>
  <c r="GR155" i="42" s="1"/>
  <c r="GR143" i="42" a="1"/>
  <c r="GR143" i="42" s="1"/>
  <c r="GR131" i="42" a="1"/>
  <c r="GR131" i="42" s="1"/>
  <c r="GR120" i="42" a="1"/>
  <c r="GR120" i="42" s="1"/>
  <c r="GR108" i="42" a="1"/>
  <c r="GR108" i="42" s="1"/>
  <c r="GR97" i="42" a="1"/>
  <c r="GR97" i="42" s="1"/>
  <c r="GR86" i="42" a="1"/>
  <c r="GR86" i="42" s="1"/>
  <c r="GR74" i="42" a="1"/>
  <c r="GR74" i="42" s="1"/>
  <c r="GR62" i="42" a="1"/>
  <c r="GR62" i="42" s="1"/>
  <c r="GR50" i="42" a="1"/>
  <c r="GR50" i="42" s="1"/>
  <c r="GR40" i="42" a="1"/>
  <c r="GR40" i="42" s="1"/>
  <c r="GR280" i="42" a="1"/>
  <c r="GR280" i="42" s="1"/>
  <c r="GR257" i="42" a="1"/>
  <c r="GR257" i="42" s="1"/>
  <c r="GR246" i="42" a="1"/>
  <c r="GR246" i="42" s="1"/>
  <c r="GR234" i="42" a="1"/>
  <c r="GR234" i="42" s="1"/>
  <c r="GR223" i="42" a="1"/>
  <c r="GR223" i="42" s="1"/>
  <c r="GR211" i="42" a="1"/>
  <c r="GR211" i="42" s="1"/>
  <c r="GR199" i="42" a="1"/>
  <c r="GR199" i="42" s="1"/>
  <c r="GR188" i="42" a="1"/>
  <c r="GR188" i="42" s="1"/>
  <c r="GR177" i="42" a="1"/>
  <c r="GR177" i="42" s="1"/>
  <c r="GR165" i="42" a="1"/>
  <c r="GR165" i="42" s="1"/>
  <c r="GR154" i="42" a="1"/>
  <c r="GR154" i="42" s="1"/>
  <c r="GR142" i="42" a="1"/>
  <c r="GR142" i="42" s="1"/>
  <c r="GR130" i="42" a="1"/>
  <c r="GR130" i="42" s="1"/>
  <c r="GR119" i="42" a="1"/>
  <c r="GR119" i="42" s="1"/>
  <c r="GR107" i="42" a="1"/>
  <c r="GR107" i="42" s="1"/>
  <c r="GR96" i="42" a="1"/>
  <c r="GR96" i="42" s="1"/>
  <c r="GR85" i="42" a="1"/>
  <c r="GR85" i="42" s="1"/>
  <c r="GR73" i="42" a="1"/>
  <c r="GR73" i="42" s="1"/>
  <c r="GR61" i="42" a="1"/>
  <c r="GR61" i="42" s="1"/>
  <c r="GR49" i="42" a="1"/>
  <c r="GR49" i="42" s="1"/>
  <c r="GR39" i="42" a="1"/>
  <c r="GR39" i="42" s="1"/>
  <c r="GR279" i="42" a="1"/>
  <c r="GR279" i="42" s="1"/>
  <c r="GR268" i="42" a="1"/>
  <c r="GR268" i="42" s="1"/>
  <c r="GR256" i="42" a="1"/>
  <c r="GR256" i="42" s="1"/>
  <c r="GR245" i="42" a="1"/>
  <c r="GR245" i="42" s="1"/>
  <c r="GR233" i="42" a="1"/>
  <c r="GR233" i="42" s="1"/>
  <c r="GR222" i="42" a="1"/>
  <c r="GR222" i="42" s="1"/>
  <c r="GR210" i="42" a="1"/>
  <c r="GR210" i="42" s="1"/>
  <c r="GR198" i="42" a="1"/>
  <c r="GR198" i="42" s="1"/>
  <c r="GR187" i="42" a="1"/>
  <c r="GR187" i="42" s="1"/>
  <c r="GR176" i="42" a="1"/>
  <c r="GR176" i="42" s="1"/>
  <c r="GR164" i="42" a="1"/>
  <c r="GR164" i="42" s="1"/>
  <c r="GR153" i="42" a="1"/>
  <c r="GR153" i="42" s="1"/>
  <c r="GR141" i="42" a="1"/>
  <c r="GR141" i="42" s="1"/>
  <c r="GR129" i="42" a="1"/>
  <c r="GR129" i="42" s="1"/>
  <c r="GR118" i="42" a="1"/>
  <c r="GR118" i="42" s="1"/>
  <c r="GR95" i="42" a="1"/>
  <c r="GR95" i="42" s="1"/>
  <c r="GR84" i="42" a="1"/>
  <c r="GR84" i="42" s="1"/>
  <c r="GR72" i="42" a="1"/>
  <c r="GR72" i="42" s="1"/>
  <c r="GR60" i="42" a="1"/>
  <c r="GR60" i="42" s="1"/>
  <c r="GR48" i="42" a="1"/>
  <c r="GR48" i="42" s="1"/>
  <c r="GR38" i="42" a="1"/>
  <c r="GR38" i="42" s="1"/>
  <c r="GR148" i="42" a="1"/>
  <c r="GR148" i="42" s="1"/>
  <c r="GR79" i="42" a="1"/>
  <c r="GR79" i="42" s="1"/>
  <c r="GR278" i="42" a="1"/>
  <c r="GR278" i="42" s="1"/>
  <c r="GR267" i="42" a="1"/>
  <c r="GR267" i="42" s="1"/>
  <c r="GR255" i="42" a="1"/>
  <c r="GR255" i="42" s="1"/>
  <c r="GR244" i="42" a="1"/>
  <c r="GR244" i="42" s="1"/>
  <c r="GR221" i="42" a="1"/>
  <c r="GR221" i="42" s="1"/>
  <c r="GR209" i="42" a="1"/>
  <c r="GR209" i="42" s="1"/>
  <c r="GR197" i="42" a="1"/>
  <c r="GR197" i="42" s="1"/>
  <c r="GR186" i="42" a="1"/>
  <c r="GR186" i="42" s="1"/>
  <c r="GR175" i="42" a="1"/>
  <c r="GR175" i="42" s="1"/>
  <c r="GR163" i="42" a="1"/>
  <c r="GR163" i="42" s="1"/>
  <c r="GR152" i="42" a="1"/>
  <c r="GR152" i="42" s="1"/>
  <c r="GR140" i="42" a="1"/>
  <c r="GR140" i="42" s="1"/>
  <c r="GR128" i="42" a="1"/>
  <c r="GR128" i="42" s="1"/>
  <c r="GR117" i="42" a="1"/>
  <c r="GR117" i="42" s="1"/>
  <c r="GR106" i="42" a="1"/>
  <c r="GR106" i="42" s="1"/>
  <c r="GR94" i="42" a="1"/>
  <c r="GR94" i="42" s="1"/>
  <c r="GR83" i="42" a="1"/>
  <c r="GR83" i="42" s="1"/>
  <c r="GR71" i="42" a="1"/>
  <c r="GR71" i="42" s="1"/>
  <c r="GR59" i="42" a="1"/>
  <c r="GR59" i="42" s="1"/>
  <c r="GR47" i="42" a="1"/>
  <c r="GR47" i="42" s="1"/>
  <c r="GR37" i="42" a="1"/>
  <c r="GR37" i="42" s="1"/>
  <c r="GR136" i="42" a="1"/>
  <c r="GR136" i="42" s="1"/>
  <c r="GR277" i="42" a="1"/>
  <c r="GR277" i="42" s="1"/>
  <c r="GR266" i="42" a="1"/>
  <c r="GR266" i="42" s="1"/>
  <c r="GR254" i="42" a="1"/>
  <c r="GR254" i="42" s="1"/>
  <c r="GR243" i="42" a="1"/>
  <c r="GR243" i="42" s="1"/>
  <c r="GR232" i="42" a="1"/>
  <c r="GR232" i="42" s="1"/>
  <c r="GR220" i="42" a="1"/>
  <c r="GR220" i="42" s="1"/>
  <c r="GR208" i="42" a="1"/>
  <c r="GR208" i="42" s="1"/>
  <c r="GR185" i="42" a="1"/>
  <c r="GR185" i="42" s="1"/>
  <c r="GR174" i="42" a="1"/>
  <c r="GR174" i="42" s="1"/>
  <c r="GR162" i="42" a="1"/>
  <c r="GR162" i="42" s="1"/>
  <c r="GR151" i="42" a="1"/>
  <c r="GR151" i="42" s="1"/>
  <c r="GR139" i="42" a="1"/>
  <c r="GR139" i="42" s="1"/>
  <c r="GR127" i="42" a="1"/>
  <c r="GR127" i="42" s="1"/>
  <c r="GR116" i="42" a="1"/>
  <c r="GR116" i="42" s="1"/>
  <c r="GR105" i="42" a="1"/>
  <c r="GR105" i="42" s="1"/>
  <c r="GR93" i="42" a="1"/>
  <c r="GR93" i="42" s="1"/>
  <c r="GR82" i="42" a="1"/>
  <c r="GR82" i="42" s="1"/>
  <c r="GR70" i="42" a="1"/>
  <c r="GR70" i="42" s="1"/>
  <c r="GR58" i="42" a="1"/>
  <c r="GR58" i="42" s="1"/>
  <c r="GR36" i="42" a="1"/>
  <c r="GR36" i="42" s="1"/>
  <c r="GR90" i="42" a="1"/>
  <c r="GR90" i="42" s="1"/>
  <c r="GR288" i="42" a="1"/>
  <c r="GR288" i="42" s="1"/>
  <c r="GR276" i="42" a="1"/>
  <c r="GR276" i="42" s="1"/>
  <c r="GR265" i="42" a="1"/>
  <c r="GR265" i="42" s="1"/>
  <c r="GR253" i="42" a="1"/>
  <c r="GR253" i="42" s="1"/>
  <c r="GR242" i="42" a="1"/>
  <c r="GR242" i="42" s="1"/>
  <c r="GR231" i="42" a="1"/>
  <c r="GR231" i="42" s="1"/>
  <c r="GR219" i="42" a="1"/>
  <c r="GR219" i="42" s="1"/>
  <c r="GR207" i="42" a="1"/>
  <c r="GR207" i="42" s="1"/>
  <c r="GR196" i="42" a="1"/>
  <c r="GR196" i="42" s="1"/>
  <c r="GR184" i="42" a="1"/>
  <c r="GR184" i="42" s="1"/>
  <c r="GR173" i="42" a="1"/>
  <c r="GR173" i="42" s="1"/>
  <c r="GR161" i="42" a="1"/>
  <c r="GR161" i="42" s="1"/>
  <c r="GR150" i="42" a="1"/>
  <c r="GR150" i="42" s="1"/>
  <c r="GR138" i="42" a="1"/>
  <c r="GR138" i="42" s="1"/>
  <c r="GR126" i="42" a="1"/>
  <c r="GR126" i="42" s="1"/>
  <c r="GR115" i="42" a="1"/>
  <c r="GR115" i="42" s="1"/>
  <c r="GR104" i="42" a="1"/>
  <c r="GR104" i="42" s="1"/>
  <c r="GR92" i="42" a="1"/>
  <c r="GR92" i="42" s="1"/>
  <c r="GR81" i="42" a="1"/>
  <c r="GR81" i="42" s="1"/>
  <c r="GR69" i="42" a="1"/>
  <c r="GR69" i="42" s="1"/>
  <c r="GR57" i="42" a="1"/>
  <c r="GR57" i="42" s="1"/>
  <c r="GR46" i="42" a="1"/>
  <c r="GR46" i="42" s="1"/>
  <c r="GR35" i="42" a="1"/>
  <c r="GR35" i="42" s="1"/>
  <c r="GR55" i="42" a="1"/>
  <c r="GR55" i="42" s="1"/>
  <c r="GR287" i="42" a="1"/>
  <c r="GR287" i="42" s="1"/>
  <c r="GR275" i="42" a="1"/>
  <c r="GR275" i="42" s="1"/>
  <c r="GR264" i="42" a="1"/>
  <c r="GR264" i="42" s="1"/>
  <c r="GR252" i="42" a="1"/>
  <c r="GR252" i="42" s="1"/>
  <c r="GR241" i="42" a="1"/>
  <c r="GR241" i="42" s="1"/>
  <c r="GR230" i="42" a="1"/>
  <c r="GR230" i="42" s="1"/>
  <c r="GR218" i="42" a="1"/>
  <c r="GR218" i="42" s="1"/>
  <c r="GR206" i="42" a="1"/>
  <c r="GR206" i="42" s="1"/>
  <c r="GR195" i="42" a="1"/>
  <c r="GR195" i="42" s="1"/>
  <c r="GR183" i="42" a="1"/>
  <c r="GR183" i="42" s="1"/>
  <c r="GR172" i="42" a="1"/>
  <c r="GR172" i="42" s="1"/>
  <c r="GR149" i="42" a="1"/>
  <c r="GR149" i="42" s="1"/>
  <c r="GR137" i="42" a="1"/>
  <c r="GR137" i="42" s="1"/>
  <c r="GR125" i="42" a="1"/>
  <c r="GR125" i="42" s="1"/>
  <c r="GR114" i="42" a="1"/>
  <c r="GR114" i="42" s="1"/>
  <c r="GR103" i="42" a="1"/>
  <c r="GR103" i="42" s="1"/>
  <c r="GR91" i="42" a="1"/>
  <c r="GR91" i="42" s="1"/>
  <c r="GR80" i="42" a="1"/>
  <c r="GR80" i="42" s="1"/>
  <c r="GR68" i="42" a="1"/>
  <c r="GR68" i="42" s="1"/>
  <c r="GR56" i="42" a="1"/>
  <c r="GR56" i="42" s="1"/>
  <c r="GR45" i="42" a="1"/>
  <c r="GR45" i="42" s="1"/>
  <c r="GR263" i="42" a="1"/>
  <c r="GR263" i="42" s="1"/>
  <c r="GR251" i="42" a="1"/>
  <c r="GR251" i="42" s="1"/>
  <c r="GR113" i="42" a="1"/>
  <c r="GR113" i="42" s="1"/>
  <c r="GR102" i="42" a="1"/>
  <c r="GR102" i="42" s="1"/>
  <c r="GR67" i="42" a="1"/>
  <c r="GR67" i="42" s="1"/>
  <c r="GR286" i="42" a="1"/>
  <c r="GR286" i="42" s="1"/>
  <c r="GR274" i="42" a="1"/>
  <c r="GR274" i="42" s="1"/>
  <c r="GR240" i="42" a="1"/>
  <c r="GR240" i="42" s="1"/>
  <c r="GR229" i="42" a="1"/>
  <c r="GR229" i="42" s="1"/>
  <c r="GR217" i="42" a="1"/>
  <c r="GR217" i="42" s="1"/>
  <c r="GR205" i="42" a="1"/>
  <c r="GR205" i="42" s="1"/>
  <c r="GR194" i="42" a="1"/>
  <c r="GR194" i="42" s="1"/>
  <c r="GR182" i="42" a="1"/>
  <c r="GR182" i="42" s="1"/>
  <c r="GR171" i="42" a="1"/>
  <c r="GR171" i="42" s="1"/>
  <c r="GR160" i="42" a="1"/>
  <c r="GR160" i="42" s="1"/>
  <c r="GR285" i="42" a="1"/>
  <c r="GR285" i="42" s="1"/>
  <c r="GR273" i="42" a="1"/>
  <c r="GR273" i="42" s="1"/>
  <c r="GR262" i="42" a="1"/>
  <c r="GR262" i="42" s="1"/>
  <c r="GR239" i="42" a="1"/>
  <c r="GR239" i="42" s="1"/>
  <c r="GR228" i="42" a="1"/>
  <c r="GR228" i="42" s="1"/>
  <c r="GR216" i="42" a="1"/>
  <c r="GR216" i="42" s="1"/>
  <c r="GR204" i="42" a="1"/>
  <c r="GR204" i="42" s="1"/>
  <c r="GR193" i="42" a="1"/>
  <c r="GR193" i="42" s="1"/>
  <c r="GR181" i="42" a="1"/>
  <c r="GR181" i="42" s="1"/>
  <c r="GR170" i="42" a="1"/>
  <c r="GR170" i="42" s="1"/>
  <c r="GR159" i="42" a="1"/>
  <c r="GR159" i="42" s="1"/>
  <c r="GR147" i="42" a="1"/>
  <c r="GR147" i="42" s="1"/>
  <c r="GR135" i="42" a="1"/>
  <c r="GR135" i="42" s="1"/>
  <c r="GR124" i="42" a="1"/>
  <c r="GR124" i="42" s="1"/>
  <c r="GR112" i="42" a="1"/>
  <c r="GR112" i="42" s="1"/>
  <c r="GR101" i="42" a="1"/>
  <c r="GR101" i="42" s="1"/>
  <c r="GR89" i="42" a="1"/>
  <c r="GR89" i="42" s="1"/>
  <c r="GR78" i="42" a="1"/>
  <c r="GR78" i="42" s="1"/>
  <c r="GR66" i="42" a="1"/>
  <c r="GR66" i="42" s="1"/>
  <c r="GR54" i="42" a="1"/>
  <c r="GR54" i="42" s="1"/>
  <c r="GR44" i="42" a="1"/>
  <c r="GR44" i="42" s="1"/>
  <c r="GR284" i="42" a="1"/>
  <c r="GR284" i="42" s="1"/>
  <c r="GR272" i="42" a="1"/>
  <c r="GR272" i="42" s="1"/>
  <c r="GR261" i="42" a="1"/>
  <c r="GR261" i="42" s="1"/>
  <c r="GR250" i="42" a="1"/>
  <c r="GR250" i="42" s="1"/>
  <c r="GR238" i="42" a="1"/>
  <c r="GR238" i="42" s="1"/>
  <c r="GR227" i="42" a="1"/>
  <c r="GR227" i="42" s="1"/>
  <c r="GR215" i="42" a="1"/>
  <c r="GR215" i="42" s="1"/>
  <c r="GR203" i="42" a="1"/>
  <c r="GR203" i="42" s="1"/>
  <c r="GR192" i="42" a="1"/>
  <c r="GR192" i="42" s="1"/>
  <c r="GR180" i="42" a="1"/>
  <c r="GR180" i="42" s="1"/>
  <c r="GR169" i="42" a="1"/>
  <c r="GR169" i="42" s="1"/>
  <c r="GR158" i="42" a="1"/>
  <c r="GR158" i="42" s="1"/>
  <c r="GR146" i="42" a="1"/>
  <c r="GR146" i="42" s="1"/>
  <c r="GR134" i="42" a="1"/>
  <c r="GR134" i="42" s="1"/>
  <c r="GR123" i="42" a="1"/>
  <c r="GR123" i="42" s="1"/>
  <c r="GR111" i="42" a="1"/>
  <c r="GR111" i="42" s="1"/>
  <c r="GR100" i="42" a="1"/>
  <c r="GR100" i="42" s="1"/>
  <c r="GR77" i="42" a="1"/>
  <c r="GR77" i="42" s="1"/>
  <c r="GR65" i="42" a="1"/>
  <c r="GR65" i="42" s="1"/>
  <c r="GR53" i="42" a="1"/>
  <c r="GR53" i="42" s="1"/>
  <c r="GR43" i="42" a="1"/>
  <c r="GR43" i="42" s="1"/>
  <c r="GR283" i="42" a="1"/>
  <c r="GR283" i="42" s="1"/>
  <c r="GR271" i="42" a="1"/>
  <c r="GR271" i="42" s="1"/>
  <c r="GR260" i="42" a="1"/>
  <c r="GR260" i="42" s="1"/>
  <c r="GR249" i="42" a="1"/>
  <c r="GR249" i="42" s="1"/>
  <c r="GR237" i="42" a="1"/>
  <c r="GR237" i="42" s="1"/>
  <c r="GR226" i="42" a="1"/>
  <c r="GR226" i="42" s="1"/>
  <c r="GR214" i="42" a="1"/>
  <c r="GR214" i="42" s="1"/>
  <c r="GR202" i="42" a="1"/>
  <c r="GR202" i="42" s="1"/>
  <c r="GR191" i="42" a="1"/>
  <c r="GR191" i="42" s="1"/>
  <c r="GR179" i="42" a="1"/>
  <c r="GR179" i="42" s="1"/>
  <c r="GR168" i="42" a="1"/>
  <c r="GR168" i="42" s="1"/>
  <c r="GR157" i="42" a="1"/>
  <c r="GR157" i="42" s="1"/>
  <c r="GR145" i="42" a="1"/>
  <c r="GR145" i="42" s="1"/>
  <c r="GR133" i="42" a="1"/>
  <c r="GR133" i="42" s="1"/>
  <c r="GR122" i="42" a="1"/>
  <c r="GR122" i="42" s="1"/>
  <c r="GR110" i="42" a="1"/>
  <c r="GR110" i="42" s="1"/>
  <c r="GR99" i="42" a="1"/>
  <c r="GR99" i="42" s="1"/>
  <c r="GR88" i="42" a="1"/>
  <c r="GR88" i="42" s="1"/>
  <c r="GR76" i="42" a="1"/>
  <c r="GR76" i="42" s="1"/>
  <c r="GR64" i="42" a="1"/>
  <c r="GR64" i="42" s="1"/>
  <c r="GR52" i="42" a="1"/>
  <c r="GR52" i="42" s="1"/>
  <c r="GR42" i="42" a="1"/>
  <c r="GR42" i="42" s="1"/>
  <c r="GR282" i="42" a="1"/>
  <c r="GR282" i="42" s="1"/>
  <c r="GR270" i="42" a="1"/>
  <c r="GR270" i="42" s="1"/>
  <c r="GR259" i="42" a="1"/>
  <c r="GR259" i="42" s="1"/>
  <c r="GR248" i="42" a="1"/>
  <c r="GR248" i="42" s="1"/>
  <c r="GR236" i="42" a="1"/>
  <c r="GR236" i="42" s="1"/>
  <c r="GR225" i="42" a="1"/>
  <c r="GR225" i="42" s="1"/>
  <c r="GR213" i="42" a="1"/>
  <c r="GR213" i="42" s="1"/>
  <c r="GR201" i="42" a="1"/>
  <c r="GR201" i="42" s="1"/>
  <c r="GR190" i="42" a="1"/>
  <c r="GR190" i="42" s="1"/>
  <c r="GR167" i="42" a="1"/>
  <c r="GR167" i="42" s="1"/>
  <c r="GR156" i="42" a="1"/>
  <c r="GR156" i="42" s="1"/>
  <c r="GR144" i="42" a="1"/>
  <c r="GR144" i="42" s="1"/>
  <c r="GR132" i="42" a="1"/>
  <c r="GR132" i="42" s="1"/>
  <c r="GR121" i="42" a="1"/>
  <c r="GR121" i="42" s="1"/>
  <c r="GR109" i="42" a="1"/>
  <c r="GR109" i="42" s="1"/>
  <c r="GR98" i="42" a="1"/>
  <c r="GR98" i="42" s="1"/>
  <c r="GR87" i="42" a="1"/>
  <c r="GR87" i="42" s="1"/>
  <c r="GR75" i="42" a="1"/>
  <c r="GR75" i="42" s="1"/>
  <c r="GR63" i="42" a="1"/>
  <c r="GR63" i="42" s="1"/>
  <c r="GR51" i="42" a="1"/>
  <c r="GR51" i="42" s="1"/>
  <c r="GR41" i="42" a="1"/>
  <c r="GR41" i="42" s="1"/>
  <c r="HC285" i="34" a="1"/>
  <c r="HC285" i="34" s="1"/>
  <c r="HC273" i="34" a="1"/>
  <c r="HC273" i="34" s="1"/>
  <c r="HC261" i="34" a="1"/>
  <c r="HC261" i="34" s="1"/>
  <c r="HC284" i="34" a="1"/>
  <c r="HC284" i="34" s="1"/>
  <c r="HC272" i="34" a="1"/>
  <c r="HC272" i="34" s="1"/>
  <c r="HC260" i="34" a="1"/>
  <c r="HC260" i="34" s="1"/>
  <c r="HC283" i="34" a="1"/>
  <c r="HC283" i="34" s="1"/>
  <c r="HC271" i="34" a="1"/>
  <c r="HC271" i="34" s="1"/>
  <c r="HC259" i="34" a="1"/>
  <c r="HC259" i="34" s="1"/>
  <c r="HC282" i="34" a="1"/>
  <c r="HC282" i="34" s="1"/>
  <c r="HC270" i="34" a="1"/>
  <c r="HC270" i="34" s="1"/>
  <c r="HC258" i="34" a="1"/>
  <c r="HC258" i="34" s="1"/>
  <c r="HC281" i="34" a="1"/>
  <c r="HC281" i="34" s="1"/>
  <c r="HC269" i="34" a="1"/>
  <c r="HC269" i="34" s="1"/>
  <c r="HC257" i="34" a="1"/>
  <c r="HC257" i="34" s="1"/>
  <c r="HC280" i="34" a="1"/>
  <c r="HC280" i="34" s="1"/>
  <c r="HC268" i="34" a="1"/>
  <c r="HC268" i="34" s="1"/>
  <c r="HC256" i="34" a="1"/>
  <c r="HC256" i="34" s="1"/>
  <c r="HC279" i="34" a="1"/>
  <c r="HC279" i="34" s="1"/>
  <c r="HC267" i="34" a="1"/>
  <c r="HC267" i="34" s="1"/>
  <c r="HC278" i="34" a="1"/>
  <c r="HC278" i="34" s="1"/>
  <c r="HC266" i="34" a="1"/>
  <c r="HC266" i="34" s="1"/>
  <c r="HC277" i="34" a="1"/>
  <c r="HC277" i="34" s="1"/>
  <c r="HC265" i="34" a="1"/>
  <c r="HC265" i="34" s="1"/>
  <c r="HC287" i="34" a="1"/>
  <c r="HC287" i="34" s="1"/>
  <c r="HC275" i="34" a="1"/>
  <c r="HC275" i="34" s="1"/>
  <c r="HC263" i="34" a="1"/>
  <c r="HC263" i="34" s="1"/>
  <c r="HC286" i="34" a="1"/>
  <c r="HC286" i="34" s="1"/>
  <c r="HC274" i="34" a="1"/>
  <c r="HC274" i="34" s="1"/>
  <c r="HC262" i="34" a="1"/>
  <c r="HC262" i="34" s="1"/>
  <c r="HC288" i="34" a="1"/>
  <c r="HC288" i="34" s="1"/>
  <c r="HC264" i="34" a="1"/>
  <c r="HC264" i="34" s="1"/>
  <c r="HC276" i="34" a="1"/>
  <c r="HC276" i="34" s="1"/>
  <c r="B7" i="34"/>
  <c r="B7" i="41"/>
  <c r="B7" i="42"/>
  <c r="FY16" i="41" l="1"/>
  <c r="GE16" i="41" l="1" a="1"/>
  <c r="GE16" i="41" s="1"/>
  <c r="GD16" i="41" a="1"/>
  <c r="GD16" i="41" s="1"/>
  <c r="GC16" i="41" a="1"/>
  <c r="GC16" i="41" s="1"/>
  <c r="GB16" i="41" a="1"/>
  <c r="GB16" i="41" s="1"/>
  <c r="FZ16" i="41" a="1"/>
  <c r="FZ16" i="41" s="1"/>
  <c r="GF16" i="41" a="1"/>
  <c r="GF16" i="41" s="1"/>
  <c r="GA16" i="41" a="1"/>
  <c r="GA16" i="41" s="1"/>
  <c r="FY15" i="41" l="1"/>
  <c r="FY14" i="41"/>
  <c r="C68" i="65" l="1"/>
  <c r="C67" i="65"/>
  <c r="C70" i="65"/>
  <c r="C77" i="65"/>
  <c r="C69" i="65"/>
  <c r="C66" i="65"/>
  <c r="C40" i="65" l="1"/>
  <c r="C59" i="65"/>
  <c r="C65" i="65"/>
  <c r="C21" i="65"/>
  <c r="C78" i="65" l="1"/>
  <c r="D24" i="5"/>
  <c r="G10" i="40" l="1"/>
  <c r="I17" i="5"/>
  <c r="I18" i="5" l="1"/>
  <c r="I16" i="5" s="1"/>
  <c r="I19" i="5" s="1"/>
  <c r="J17" i="5" l="1"/>
  <c r="C78" i="55" l="1"/>
  <c r="J18" i="5"/>
  <c r="J16" i="5" s="1"/>
  <c r="J19" i="5" s="1"/>
  <c r="H10" i="40"/>
  <c r="K17" i="5" l="1"/>
  <c r="I10" i="40" l="1"/>
  <c r="D78" i="55"/>
  <c r="K18" i="5"/>
  <c r="K16" i="5" l="1"/>
  <c r="K19" i="5" s="1"/>
  <c r="L17" i="5"/>
  <c r="D25" i="5"/>
  <c r="HI282" i="34" l="1"/>
  <c r="IF282" i="34" s="1"/>
  <c r="HI273" i="34"/>
  <c r="IF273" i="34" s="1"/>
  <c r="HI261" i="34"/>
  <c r="IF261" i="34" s="1"/>
  <c r="HI277" i="34"/>
  <c r="IF277" i="34" s="1"/>
  <c r="HI270" i="34"/>
  <c r="IF270" i="34" s="1"/>
  <c r="HI268" i="34"/>
  <c r="IF268" i="34" s="1"/>
  <c r="HI287" i="34"/>
  <c r="IF287" i="34" s="1"/>
  <c r="HI272" i="34"/>
  <c r="IF272" i="34" s="1"/>
  <c r="HI288" i="34"/>
  <c r="IF288" i="34" s="1"/>
  <c r="HI262" i="34"/>
  <c r="IF262" i="34" s="1"/>
  <c r="HI259" i="34"/>
  <c r="IF259" i="34" s="1"/>
  <c r="HI285" i="34"/>
  <c r="IF285" i="34" s="1"/>
  <c r="HI258" i="34"/>
  <c r="IF258" i="34" s="1"/>
  <c r="HI275" i="34"/>
  <c r="IF275" i="34" s="1"/>
  <c r="HI257" i="34"/>
  <c r="IF257" i="34" s="1"/>
  <c r="HI279" i="34"/>
  <c r="IF279" i="34" s="1"/>
  <c r="HI274" i="34"/>
  <c r="IF274" i="34" s="1"/>
  <c r="HI278" i="34"/>
  <c r="IF278" i="34" s="1"/>
  <c r="HI271" i="34"/>
  <c r="IF271" i="34" s="1"/>
  <c r="HI256" i="34"/>
  <c r="IF256" i="34" s="1"/>
  <c r="HI284" i="34"/>
  <c r="IF284" i="34" s="1"/>
  <c r="HI283" i="34"/>
  <c r="IF283" i="34" s="1"/>
  <c r="HI264" i="34"/>
  <c r="IF264" i="34" s="1"/>
  <c r="HI265" i="34"/>
  <c r="IF265" i="34" s="1"/>
  <c r="HI267" i="34"/>
  <c r="IF267" i="34" s="1"/>
  <c r="HI276" i="34"/>
  <c r="IF276" i="34" s="1"/>
  <c r="HI266" i="34"/>
  <c r="IF266" i="34" s="1"/>
  <c r="HI269" i="34"/>
  <c r="IF269" i="34" s="1"/>
  <c r="HI263" i="34"/>
  <c r="IF263" i="34" s="1"/>
  <c r="HI281" i="34"/>
  <c r="IF281" i="34" s="1"/>
  <c r="HI286" i="34"/>
  <c r="IF286" i="34" s="1"/>
  <c r="HI260" i="34"/>
  <c r="IF260" i="34" s="1"/>
  <c r="HI280" i="34"/>
  <c r="IF280" i="34" s="1"/>
  <c r="E78" i="55"/>
  <c r="J10" i="40"/>
  <c r="L18" i="5"/>
  <c r="L16" i="5" l="1"/>
  <c r="L19" i="5" s="1"/>
  <c r="M17" i="5"/>
  <c r="HJ281" i="34"/>
  <c r="HU281" i="34" s="1"/>
  <c r="HJ269" i="34"/>
  <c r="HU269" i="34" s="1"/>
  <c r="HJ287" i="34"/>
  <c r="HU287" i="34" s="1"/>
  <c r="HJ266" i="34"/>
  <c r="HU266" i="34" s="1"/>
  <c r="HJ256" i="34"/>
  <c r="HU256" i="34" s="1"/>
  <c r="HJ279" i="34"/>
  <c r="HU279" i="34" s="1"/>
  <c r="HJ285" i="34"/>
  <c r="HU285" i="34" s="1"/>
  <c r="HJ268" i="34"/>
  <c r="HU268" i="34" s="1"/>
  <c r="HJ277" i="34"/>
  <c r="HU277" i="34" s="1"/>
  <c r="HJ276" i="34"/>
  <c r="HU276" i="34" s="1"/>
  <c r="HJ265" i="34"/>
  <c r="HU265" i="34" s="1"/>
  <c r="HJ271" i="34"/>
  <c r="HU271" i="34" s="1"/>
  <c r="HJ257" i="34"/>
  <c r="HU257" i="34" s="1"/>
  <c r="HJ259" i="34"/>
  <c r="HU259" i="34" s="1"/>
  <c r="HJ270" i="34"/>
  <c r="HU270" i="34" s="1"/>
  <c r="HJ261" i="34"/>
  <c r="HU261" i="34" s="1"/>
  <c r="HJ267" i="34"/>
  <c r="HU267" i="34" s="1"/>
  <c r="HJ264" i="34"/>
  <c r="HU264" i="34" s="1"/>
  <c r="HJ275" i="34"/>
  <c r="HU275" i="34" s="1"/>
  <c r="HJ262" i="34"/>
  <c r="HU262" i="34" s="1"/>
  <c r="HJ273" i="34"/>
  <c r="HU273" i="34" s="1"/>
  <c r="HJ278" i="34"/>
  <c r="HU278" i="34" s="1"/>
  <c r="HJ258" i="34"/>
  <c r="HU258" i="34" s="1"/>
  <c r="HJ288" i="34"/>
  <c r="HU288" i="34" s="1"/>
  <c r="HJ282" i="34"/>
  <c r="HU282" i="34" s="1"/>
  <c r="HJ280" i="34"/>
  <c r="HU280" i="34" s="1"/>
  <c r="HJ283" i="34"/>
  <c r="HU283" i="34" s="1"/>
  <c r="HJ274" i="34"/>
  <c r="HU274" i="34" s="1"/>
  <c r="HJ260" i="34"/>
  <c r="HU260" i="34" s="1"/>
  <c r="HJ284" i="34"/>
  <c r="HU284" i="34" s="1"/>
  <c r="HJ286" i="34"/>
  <c r="HU286" i="34" s="1"/>
  <c r="HJ263" i="34"/>
  <c r="HU263" i="34" s="1"/>
  <c r="HJ272" i="34"/>
  <c r="HU272" i="34" s="1"/>
  <c r="F78" i="55" l="1"/>
  <c r="K10" i="40"/>
  <c r="M18" i="5"/>
  <c r="M16" i="5" l="1"/>
  <c r="M19" i="5" s="1"/>
  <c r="N17" i="5"/>
  <c r="N18" i="5" s="1"/>
  <c r="J74" i="55" l="1"/>
  <c r="N16" i="5"/>
  <c r="N19" i="5" s="1"/>
  <c r="G78" i="55"/>
  <c r="J78" i="55" s="1"/>
  <c r="J65" i="55"/>
  <c r="L10" i="40"/>
  <c r="GT5" i="34" a="1"/>
  <c r="C68" i="46" a="1"/>
  <c r="GH5" i="41" a="1"/>
  <c r="C30" i="46" a="1"/>
  <c r="GH5" i="42" a="1"/>
  <c r="C106" i="46" a="1"/>
  <c r="GH5" i="34" a="1"/>
  <c r="C68" i="46" l="1"/>
  <c r="GU277" i="34" a="1"/>
  <c r="GU277" i="34" s="1"/>
  <c r="GX281" i="34" a="1"/>
  <c r="GX281" i="34" s="1"/>
  <c r="GZ271" i="34" a="1"/>
  <c r="GZ271" i="34" s="1"/>
  <c r="GZ284" i="34" a="1"/>
  <c r="GZ284" i="34" s="1"/>
  <c r="GU281" i="34" a="1"/>
  <c r="GU281" i="34" s="1"/>
  <c r="GV271" i="34" a="1"/>
  <c r="GV271" i="34" s="1"/>
  <c r="GX280" i="34" a="1"/>
  <c r="GX280" i="34" s="1"/>
  <c r="GX273" i="34" a="1"/>
  <c r="GX273" i="34" s="1"/>
  <c r="GW286" i="34" a="1"/>
  <c r="GW286" i="34" s="1"/>
  <c r="GV281" i="34" a="1"/>
  <c r="GV281" i="34" s="1"/>
  <c r="GV267" i="34" a="1"/>
  <c r="GV267" i="34" s="1"/>
  <c r="GU273" i="34" a="1"/>
  <c r="GU273" i="34" s="1"/>
  <c r="GZ261" i="34" a="1"/>
  <c r="GZ261" i="34" s="1"/>
  <c r="GX288" i="34" a="1"/>
  <c r="GX288" i="34" s="1"/>
  <c r="GW257" i="34" a="1"/>
  <c r="GW257" i="34" s="1"/>
  <c r="GY274" i="34" a="1"/>
  <c r="GY274" i="34" s="1"/>
  <c r="GY262" i="34" a="1"/>
  <c r="GY262" i="34" s="1"/>
  <c r="GX263" i="34" a="1"/>
  <c r="GX263" i="34" s="1"/>
  <c r="GV257" i="34" a="1"/>
  <c r="GV257" i="34" s="1"/>
  <c r="GX272" i="34" a="1"/>
  <c r="GX272" i="34" s="1"/>
  <c r="GZ256" i="34" a="1"/>
  <c r="GZ256" i="34" s="1"/>
  <c r="GZ285" i="34" a="1"/>
  <c r="GZ285" i="34" s="1"/>
  <c r="GX260" i="34" a="1"/>
  <c r="GX260" i="34" s="1"/>
  <c r="GY256" i="34" a="1"/>
  <c r="GY256" i="34" s="1"/>
  <c r="GW281" i="34" a="1"/>
  <c r="GW281" i="34" s="1"/>
  <c r="GW277" i="34" a="1"/>
  <c r="GW277" i="34" s="1"/>
  <c r="GZ281" i="34" a="1"/>
  <c r="GZ281" i="34" s="1"/>
  <c r="GV269" i="34" a="1"/>
  <c r="GV269" i="34" s="1"/>
  <c r="GY261" i="34" a="1"/>
  <c r="GY261" i="34" s="1"/>
  <c r="GW276" i="34" a="1"/>
  <c r="GW276" i="34" s="1"/>
  <c r="GX279" i="34" a="1"/>
  <c r="GX279" i="34" s="1"/>
  <c r="GZ267" i="34" a="1"/>
  <c r="GZ267" i="34" s="1"/>
  <c r="GU268" i="34" a="1"/>
  <c r="GU268" i="34" s="1"/>
  <c r="GV278" i="34" a="1"/>
  <c r="GV278" i="34" s="1"/>
  <c r="GY286" i="34" a="1"/>
  <c r="GY286" i="34" s="1"/>
  <c r="GX269" i="34" a="1"/>
  <c r="GX269" i="34" s="1"/>
  <c r="GX265" i="34" a="1"/>
  <c r="GX265" i="34" s="1"/>
  <c r="GY257" i="34" a="1"/>
  <c r="GY257" i="34" s="1"/>
  <c r="GU288" i="34" a="1"/>
  <c r="GU288" i="34" s="1"/>
  <c r="GU271" i="34" a="1"/>
  <c r="GU271" i="34" s="1"/>
  <c r="GV258" i="34" a="1"/>
  <c r="GV258" i="34" s="1"/>
  <c r="GY269" i="34" a="1"/>
  <c r="GY269" i="34" s="1"/>
  <c r="GW280" i="34" a="1"/>
  <c r="GW280" i="34" s="1"/>
  <c r="GU266" i="34" a="1"/>
  <c r="GU266" i="34" s="1"/>
  <c r="GX274" i="34" a="1"/>
  <c r="GX274" i="34" s="1"/>
  <c r="GV270" i="34" a="1"/>
  <c r="GV270" i="34" s="1"/>
  <c r="GZ272" i="34" a="1"/>
  <c r="GZ272" i="34" s="1"/>
  <c r="GX287" i="34" a="1"/>
  <c r="GX287" i="34" s="1"/>
  <c r="GZ270" i="34" a="1"/>
  <c r="GZ270" i="34" s="1"/>
  <c r="GV274" i="34" a="1"/>
  <c r="GV274" i="34" s="1"/>
  <c r="GV280" i="34" a="1"/>
  <c r="GV280" i="34" s="1"/>
  <c r="GY285" i="34" a="1"/>
  <c r="GY285" i="34" s="1"/>
  <c r="GV279" i="34" a="1"/>
  <c r="GV279" i="34" s="1"/>
  <c r="GW264" i="34" a="1"/>
  <c r="GW264" i="34" s="1"/>
  <c r="GY275" i="34" a="1"/>
  <c r="GY275" i="34" s="1"/>
  <c r="GX258" i="34" a="1"/>
  <c r="GX258" i="34" s="1"/>
  <c r="GV265" i="34" a="1"/>
  <c r="GV265" i="34" s="1"/>
  <c r="GV273" i="34" a="1"/>
  <c r="GV273" i="34" s="1"/>
  <c r="GZ280" i="34" a="1"/>
  <c r="GZ280" i="34" s="1"/>
  <c r="GX283" i="34" a="1"/>
  <c r="GX283" i="34" s="1"/>
  <c r="GX262" i="34" a="1"/>
  <c r="GX262" i="34" s="1"/>
  <c r="GV287" i="34" a="1"/>
  <c r="GV287" i="34" s="1"/>
  <c r="GV263" i="34" a="1"/>
  <c r="GV263" i="34" s="1"/>
  <c r="GY278" i="34" a="1"/>
  <c r="GY278" i="34" s="1"/>
  <c r="GV262" i="34" a="1"/>
  <c r="GV262" i="34" s="1"/>
  <c r="GZ279" i="34" a="1"/>
  <c r="GZ279" i="34" s="1"/>
  <c r="GZ263" i="34" a="1"/>
  <c r="GZ263" i="34" s="1"/>
  <c r="GZ264" i="34" a="1"/>
  <c r="GZ264" i="34" s="1"/>
  <c r="GU264" i="34" a="1"/>
  <c r="GU264" i="34" s="1"/>
  <c r="GY277" i="34" a="1"/>
  <c r="GY277" i="34" s="1"/>
  <c r="GY268" i="34" a="1"/>
  <c r="GY268" i="34" s="1"/>
  <c r="GW282" i="34" a="1"/>
  <c r="GW282" i="34" s="1"/>
  <c r="GW278" i="34" a="1"/>
  <c r="GW278" i="34" s="1"/>
  <c r="GU274" i="34" a="1"/>
  <c r="GU274" i="34" s="1"/>
  <c r="GX282" i="34" a="1"/>
  <c r="GX282" i="34" s="1"/>
  <c r="GX275" i="34" a="1"/>
  <c r="GX275" i="34" s="1"/>
  <c r="GW274" i="34" a="1"/>
  <c r="GW274" i="34" s="1"/>
  <c r="GZ266" i="34" a="1"/>
  <c r="GZ266" i="34" s="1"/>
  <c r="GU276" i="34" a="1"/>
  <c r="GU276" i="34" s="1"/>
  <c r="GZ260" i="34" a="1"/>
  <c r="GZ260" i="34" s="1"/>
  <c r="GY280" i="34" a="1"/>
  <c r="GY280" i="34" s="1"/>
  <c r="GY267" i="34" a="1"/>
  <c r="GY267" i="34" s="1"/>
  <c r="GW270" i="34" a="1"/>
  <c r="GW270" i="34" s="1"/>
  <c r="GZ257" i="34" a="1"/>
  <c r="GZ257" i="34" s="1"/>
  <c r="GX259" i="34" a="1"/>
  <c r="GX259" i="34" s="1"/>
  <c r="GY270" i="34" a="1"/>
  <c r="GY270" i="34" s="1"/>
  <c r="GX285" i="34" a="1"/>
  <c r="GX285" i="34" s="1"/>
  <c r="GU265" i="34" a="1"/>
  <c r="GU265" i="34" s="1"/>
  <c r="GW279" i="34" a="1"/>
  <c r="GW279" i="34" s="1"/>
  <c r="GW273" i="34" a="1"/>
  <c r="GW273" i="34" s="1"/>
  <c r="GY287" i="34" a="1"/>
  <c r="GY287" i="34" s="1"/>
  <c r="GW262" i="34" a="1"/>
  <c r="GW262" i="34" s="1"/>
  <c r="GZ282" i="34" a="1"/>
  <c r="GZ282" i="34" s="1"/>
  <c r="GV266" i="34" a="1"/>
  <c r="GV266" i="34" s="1"/>
  <c r="GV288" i="34" a="1"/>
  <c r="GV288" i="34" s="1"/>
  <c r="GY265" i="34" a="1"/>
  <c r="GY265" i="34" s="1"/>
  <c r="GV277" i="34" a="1"/>
  <c r="GV277" i="34" s="1"/>
  <c r="GU263" i="34" a="1"/>
  <c r="GU263" i="34" s="1"/>
  <c r="GY266" i="34" a="1"/>
  <c r="GY266" i="34" s="1"/>
  <c r="GV284" i="34" a="1"/>
  <c r="GV284" i="34" s="1"/>
  <c r="GU257" i="34" a="1"/>
  <c r="GU257" i="34" s="1"/>
  <c r="GU262" i="34" a="1"/>
  <c r="GU262" i="34" s="1"/>
  <c r="GV276" i="34" a="1"/>
  <c r="GV276" i="34" s="1"/>
  <c r="GZ265" i="34" a="1"/>
  <c r="GZ265" i="34" s="1"/>
  <c r="GV283" i="34" a="1"/>
  <c r="GV283" i="34" s="1"/>
  <c r="GW266" i="34" a="1"/>
  <c r="GW266" i="34" s="1"/>
  <c r="GV268" i="34" a="1"/>
  <c r="GV268" i="34" s="1"/>
  <c r="GV264" i="34" a="1"/>
  <c r="GV264" i="34" s="1"/>
  <c r="GX264" i="34" a="1"/>
  <c r="GX264" i="34" s="1"/>
  <c r="GZ288" i="34" a="1"/>
  <c r="GZ288" i="34" s="1"/>
  <c r="GU267" i="34" a="1"/>
  <c r="GU267" i="34" s="1"/>
  <c r="GZ268" i="34" a="1"/>
  <c r="GZ268" i="34" s="1"/>
  <c r="GU275" i="34" a="1"/>
  <c r="GU275" i="34" s="1"/>
  <c r="GU261" i="34" a="1"/>
  <c r="GU261" i="34" s="1"/>
  <c r="GW272" i="34" a="1"/>
  <c r="GW272" i="34" s="1"/>
  <c r="GU258" i="34" a="1"/>
  <c r="GU258" i="34" s="1"/>
  <c r="GY272" i="34" a="1"/>
  <c r="GY272" i="34" s="1"/>
  <c r="GW265" i="34" a="1"/>
  <c r="GW265" i="34" s="1"/>
  <c r="GZ269" i="34" a="1"/>
  <c r="GZ269" i="34" s="1"/>
  <c r="GX267" i="34" a="1"/>
  <c r="GX267" i="34" s="1"/>
  <c r="GY264" i="34" a="1"/>
  <c r="GY264" i="34" s="1"/>
  <c r="GY284" i="34" a="1"/>
  <c r="GY284" i="34" s="1"/>
  <c r="GU272" i="34" a="1"/>
  <c r="GU272" i="34" s="1"/>
  <c r="GV256" i="34" a="1"/>
  <c r="GV256" i="34" s="1"/>
  <c r="GW271" i="34" a="1"/>
  <c r="GW271" i="34" s="1"/>
  <c r="GY276" i="34" a="1"/>
  <c r="GY276" i="34" s="1"/>
  <c r="GY260" i="34" a="1"/>
  <c r="GY260" i="34" s="1"/>
  <c r="GV285" i="34" a="1"/>
  <c r="GV285" i="34" s="1"/>
  <c r="GW288" i="34" a="1"/>
  <c r="GW288" i="34" s="1"/>
  <c r="GV275" i="34" a="1"/>
  <c r="GV275" i="34" s="1"/>
  <c r="GW269" i="34" a="1"/>
  <c r="GW269" i="34" s="1"/>
  <c r="GY259" i="34" a="1"/>
  <c r="GY259" i="34" s="1"/>
  <c r="GV259" i="34" a="1"/>
  <c r="GV259" i="34" s="1"/>
  <c r="GZ273" i="34" a="1"/>
  <c r="GZ273" i="34" s="1"/>
  <c r="GZ262" i="34" a="1"/>
  <c r="GZ262" i="34" s="1"/>
  <c r="GY283" i="34" a="1"/>
  <c r="GY283" i="34" s="1"/>
  <c r="GX286" i="34" a="1"/>
  <c r="GX286" i="34" s="1"/>
  <c r="GY258" i="34" a="1"/>
  <c r="GY258" i="34" s="1"/>
  <c r="GY271" i="34" a="1"/>
  <c r="GY271" i="34" s="1"/>
  <c r="GX257" i="34" a="1"/>
  <c r="GX257" i="34" s="1"/>
  <c r="GU286" i="34" a="1"/>
  <c r="GU286" i="34" s="1"/>
  <c r="GX270" i="34" a="1"/>
  <c r="GX270" i="34" s="1"/>
  <c r="GW267" i="34" a="1"/>
  <c r="GW267" i="34" s="1"/>
  <c r="GW268" i="34" a="1"/>
  <c r="GW268" i="34" s="1"/>
  <c r="GZ286" i="34" a="1"/>
  <c r="GZ286" i="34" s="1"/>
  <c r="GX268" i="34" a="1"/>
  <c r="GX268" i="34" s="1"/>
  <c r="GU285" i="34" a="1"/>
  <c r="GU285" i="34" s="1"/>
  <c r="GY273" i="34" a="1"/>
  <c r="GY273" i="34" s="1"/>
  <c r="GU270" i="34" a="1"/>
  <c r="GU270" i="34" s="1"/>
  <c r="GV272" i="34" a="1"/>
  <c r="GV272" i="34" s="1"/>
  <c r="GU279" i="34" a="1"/>
  <c r="GU279" i="34" s="1"/>
  <c r="GU256" i="34" a="1"/>
  <c r="GU256" i="34" s="1"/>
  <c r="GV282" i="34" a="1"/>
  <c r="GV282" i="34" s="1"/>
  <c r="GX271" i="34" a="1"/>
  <c r="GX271" i="34" s="1"/>
  <c r="GU282" i="34" a="1"/>
  <c r="GU282" i="34" s="1"/>
  <c r="GZ283" i="34" a="1"/>
  <c r="GZ283" i="34" s="1"/>
  <c r="GY263" i="34" a="1"/>
  <c r="GY263" i="34" s="1"/>
  <c r="GZ276" i="34" a="1"/>
  <c r="GZ276" i="34" s="1"/>
  <c r="GU284" i="34" a="1"/>
  <c r="GU284" i="34" s="1"/>
  <c r="GX278" i="34" a="1"/>
  <c r="GX278" i="34" s="1"/>
  <c r="GX277" i="34" a="1"/>
  <c r="GX277" i="34" s="1"/>
  <c r="GY279" i="34" a="1"/>
  <c r="GY279" i="34" s="1"/>
  <c r="GU278" i="34" a="1"/>
  <c r="GU278" i="34" s="1"/>
  <c r="GX276" i="34" a="1"/>
  <c r="GX276" i="34" s="1"/>
  <c r="GY281" i="34" a="1"/>
  <c r="GY281" i="34" s="1"/>
  <c r="GX261" i="34" a="1"/>
  <c r="GX261" i="34" s="1"/>
  <c r="GZ278" i="34" a="1"/>
  <c r="GZ278" i="34" s="1"/>
  <c r="GZ274" i="34" a="1"/>
  <c r="GZ274" i="34" s="1"/>
  <c r="GY288" i="34" a="1"/>
  <c r="GY288" i="34" s="1"/>
  <c r="GZ259" i="34" a="1"/>
  <c r="GZ259" i="34" s="1"/>
  <c r="GZ277" i="34" a="1"/>
  <c r="GZ277" i="34" s="1"/>
  <c r="GU259" i="34" a="1"/>
  <c r="GU259" i="34" s="1"/>
  <c r="GW256" i="34" a="1"/>
  <c r="GW256" i="34" s="1"/>
  <c r="GW259" i="34" a="1"/>
  <c r="GW259" i="34" s="1"/>
  <c r="GW284" i="34" a="1"/>
  <c r="GW284" i="34" s="1"/>
  <c r="GW285" i="34" a="1"/>
  <c r="GW285" i="34" s="1"/>
  <c r="GW275" i="34" a="1"/>
  <c r="GW275" i="34" s="1"/>
  <c r="GW260" i="34" a="1"/>
  <c r="GW260" i="34" s="1"/>
  <c r="GU280" i="34" a="1"/>
  <c r="GU280" i="34" s="1"/>
  <c r="GZ287" i="34" a="1"/>
  <c r="GZ287" i="34" s="1"/>
  <c r="GY282" i="34" a="1"/>
  <c r="GY282" i="34" s="1"/>
  <c r="GU269" i="34" a="1"/>
  <c r="GU269" i="34" s="1"/>
  <c r="GV260" i="34" a="1"/>
  <c r="GV260" i="34" s="1"/>
  <c r="GX284" i="34" a="1"/>
  <c r="GX284" i="34" s="1"/>
  <c r="GX256" i="34" a="1"/>
  <c r="GX256" i="34" s="1"/>
  <c r="GZ275" i="34" a="1"/>
  <c r="GZ275" i="34" s="1"/>
  <c r="GW258" i="34" a="1"/>
  <c r="GW258" i="34" s="1"/>
  <c r="GX266" i="34" a="1"/>
  <c r="GX266" i="34" s="1"/>
  <c r="GU287" i="34" a="1"/>
  <c r="GU287" i="34" s="1"/>
  <c r="GW261" i="34" a="1"/>
  <c r="GW261" i="34" s="1"/>
  <c r="GW287" i="34" a="1"/>
  <c r="GW287" i="34" s="1"/>
  <c r="GZ258" i="34" a="1"/>
  <c r="GZ258" i="34" s="1"/>
  <c r="GV261" i="34" a="1"/>
  <c r="GV261" i="34" s="1"/>
  <c r="GU283" i="34" a="1"/>
  <c r="GU283" i="34" s="1"/>
  <c r="GU260" i="34" a="1"/>
  <c r="GU260" i="34" s="1"/>
  <c r="GW283" i="34" a="1"/>
  <c r="GW283" i="34" s="1"/>
  <c r="GW263" i="34" a="1"/>
  <c r="GW263" i="34" s="1"/>
  <c r="GV286" i="34" a="1"/>
  <c r="GV286" i="34" s="1"/>
  <c r="GT5" i="34"/>
  <c r="M10" i="40"/>
  <c r="C82" i="55" a="1"/>
  <c r="C82" i="55" s="1"/>
  <c r="C92" i="43" a="1"/>
  <c r="C92" i="43" s="1"/>
  <c r="C126" i="46" a="1"/>
  <c r="C126" i="46" s="1"/>
  <c r="GH7" i="34" a="1"/>
  <c r="GH7" i="34" s="1"/>
  <c r="C32" i="46" a="1"/>
  <c r="C32" i="46" s="1"/>
  <c r="C108" i="46" a="1"/>
  <c r="C108" i="46" s="1"/>
  <c r="C30" i="43" a="1"/>
  <c r="C30" i="43" s="1"/>
  <c r="C158" i="43" a="1"/>
  <c r="C158" i="43" s="1"/>
  <c r="C10" i="44" a="1"/>
  <c r="C10" i="44" s="1"/>
  <c r="GH7" i="42" a="1"/>
  <c r="GH7" i="42" s="1"/>
  <c r="C50" i="44" a="1"/>
  <c r="C50" i="44" s="1"/>
  <c r="C120" i="55" a="1"/>
  <c r="C120" i="55" s="1"/>
  <c r="C28" i="55" a="1"/>
  <c r="C28" i="55" s="1"/>
  <c r="FZ7" i="42" a="1"/>
  <c r="C30" i="16" a="1"/>
  <c r="C30" i="16" s="1"/>
  <c r="C136" i="43" a="1"/>
  <c r="C136" i="43" s="1"/>
  <c r="C10" i="43" a="1"/>
  <c r="C10" i="43" s="1"/>
  <c r="C10" i="16" a="1"/>
  <c r="C10" i="16" s="1"/>
  <c r="C202" i="43" a="1"/>
  <c r="C202" i="43" s="1"/>
  <c r="C50" i="16" a="1"/>
  <c r="C50" i="16" s="1"/>
  <c r="GT7" i="34" a="1"/>
  <c r="GT7" i="34" s="1"/>
  <c r="HK7" i="34" a="1"/>
  <c r="HK7" i="34" s="1"/>
  <c r="C64" i="55" a="1"/>
  <c r="C64" i="55" s="1"/>
  <c r="C180" i="43" a="1"/>
  <c r="C180" i="43" s="1"/>
  <c r="C46" i="55" a="1"/>
  <c r="C46" i="55" s="1"/>
  <c r="HW7" i="34" a="1"/>
  <c r="HW7" i="34" s="1"/>
  <c r="C50" i="43" a="1"/>
  <c r="C50" i="43" s="1"/>
  <c r="C70" i="43" a="1"/>
  <c r="C70" i="43" s="1"/>
  <c r="C30" i="44" a="1"/>
  <c r="C30" i="44" s="1"/>
  <c r="C102" i="55" a="1"/>
  <c r="C102" i="55" s="1"/>
  <c r="FZ7" i="34" a="1"/>
  <c r="C70" i="46" a="1"/>
  <c r="C70" i="46" s="1"/>
  <c r="GH7" i="41" a="1"/>
  <c r="GH7" i="41" s="1"/>
  <c r="C114" i="43" a="1"/>
  <c r="C114" i="43" s="1"/>
  <c r="C10" i="55" a="1"/>
  <c r="C10" i="55" s="1"/>
  <c r="C106" i="46"/>
  <c r="GJ136" i="42" a="1"/>
  <c r="GJ136" i="42" s="1"/>
  <c r="GK161" i="42" a="1"/>
  <c r="GK161" i="42" s="1"/>
  <c r="GM280" i="42" a="1"/>
  <c r="GM280" i="42" s="1"/>
  <c r="GN196" i="42" a="1"/>
  <c r="GN196" i="42" s="1"/>
  <c r="GN234" i="42" a="1"/>
  <c r="GN234" i="42" s="1"/>
  <c r="GN226" i="42" a="1"/>
  <c r="GN226" i="42" s="1"/>
  <c r="GN235" i="42" a="1"/>
  <c r="GN235" i="42" s="1"/>
  <c r="GM70" i="42" a="1"/>
  <c r="GM70" i="42" s="1"/>
  <c r="GN83" i="42" a="1"/>
  <c r="GN83" i="42" s="1"/>
  <c r="GL167" i="42" a="1"/>
  <c r="GL167" i="42" s="1"/>
  <c r="GI226" i="42" a="1"/>
  <c r="GI226" i="42" s="1"/>
  <c r="GL175" i="42" a="1"/>
  <c r="GL175" i="42" s="1"/>
  <c r="GJ44" i="42" a="1"/>
  <c r="GJ44" i="42" s="1"/>
  <c r="GI159" i="42" a="1"/>
  <c r="GI159" i="42" s="1"/>
  <c r="GJ182" i="42" a="1"/>
  <c r="GJ182" i="42" s="1"/>
  <c r="GN270" i="42" a="1"/>
  <c r="GN270" i="42" s="1"/>
  <c r="GL195" i="42" a="1"/>
  <c r="GL195" i="42" s="1"/>
  <c r="GN96" i="42" a="1"/>
  <c r="GN96" i="42" s="1"/>
  <c r="GJ66" i="42" a="1"/>
  <c r="GJ66" i="42" s="1"/>
  <c r="GN264" i="42" a="1"/>
  <c r="GN264" i="42" s="1"/>
  <c r="GK86" i="42" a="1"/>
  <c r="GK86" i="42" s="1"/>
  <c r="GJ215" i="42" a="1"/>
  <c r="GJ215" i="42" s="1"/>
  <c r="GN162" i="42" a="1"/>
  <c r="GN162" i="42" s="1"/>
  <c r="GM209" i="42" a="1"/>
  <c r="GM209" i="42" s="1"/>
  <c r="GM100" i="42" a="1"/>
  <c r="GM100" i="42" s="1"/>
  <c r="GJ235" i="42" a="1"/>
  <c r="GJ235" i="42" s="1"/>
  <c r="GJ179" i="42" a="1"/>
  <c r="GJ179" i="42" s="1"/>
  <c r="GN250" i="42" a="1"/>
  <c r="GN250" i="42" s="1"/>
  <c r="GL277" i="42" a="1"/>
  <c r="GL277" i="42" s="1"/>
  <c r="GJ204" i="42" a="1"/>
  <c r="GJ204" i="42" s="1"/>
  <c r="GJ71" i="42" a="1"/>
  <c r="GJ71" i="42" s="1"/>
  <c r="GI89" i="42" a="1"/>
  <c r="GI89" i="42" s="1"/>
  <c r="GL255" i="42" a="1"/>
  <c r="GL255" i="42" s="1"/>
  <c r="GI94" i="42" a="1"/>
  <c r="GI94" i="42" s="1"/>
  <c r="GN266" i="42" a="1"/>
  <c r="GN266" i="42" s="1"/>
  <c r="GL85" i="42" a="1"/>
  <c r="GL85" i="42" s="1"/>
  <c r="GK250" i="42" a="1"/>
  <c r="GK250" i="42" s="1"/>
  <c r="GI167" i="42" a="1"/>
  <c r="GI167" i="42" s="1"/>
  <c r="GN282" i="42" a="1"/>
  <c r="GN282" i="42" s="1"/>
  <c r="GN176" i="42" a="1"/>
  <c r="GN176" i="42" s="1"/>
  <c r="GK147" i="42" a="1"/>
  <c r="GK147" i="42" s="1"/>
  <c r="GN257" i="42" a="1"/>
  <c r="GN257" i="42" s="1"/>
  <c r="GK223" i="42" a="1"/>
  <c r="GK223" i="42" s="1"/>
  <c r="GJ194" i="42" a="1"/>
  <c r="GJ194" i="42" s="1"/>
  <c r="GI252" i="42" a="1"/>
  <c r="GI252" i="42" s="1"/>
  <c r="GI199" i="42" a="1"/>
  <c r="GI199" i="42" s="1"/>
  <c r="GK259" i="42" a="1"/>
  <c r="GK259" i="42" s="1"/>
  <c r="GL158" i="42" a="1"/>
  <c r="GL158" i="42" s="1"/>
  <c r="GL278" i="42" a="1"/>
  <c r="GL278" i="42" s="1"/>
  <c r="GM269" i="42" a="1"/>
  <c r="GM269" i="42" s="1"/>
  <c r="GK156" i="42" a="1"/>
  <c r="GK156" i="42" s="1"/>
  <c r="GK231" i="42" a="1"/>
  <c r="GK231" i="42" s="1"/>
  <c r="GM84" i="42" a="1"/>
  <c r="GM84" i="42" s="1"/>
  <c r="GL242" i="42" a="1"/>
  <c r="GL242" i="42" s="1"/>
  <c r="GJ208" i="42" a="1"/>
  <c r="GJ208" i="42" s="1"/>
  <c r="GN90" i="42" a="1"/>
  <c r="GN90" i="42" s="1"/>
  <c r="GN248" i="42" a="1"/>
  <c r="GN248" i="42" s="1"/>
  <c r="GN269" i="42" a="1"/>
  <c r="GN269" i="42" s="1"/>
  <c r="GL44" i="42" a="1"/>
  <c r="GL44" i="42" s="1"/>
  <c r="GL279" i="42" a="1"/>
  <c r="GL279" i="42" s="1"/>
  <c r="GK213" i="42" a="1"/>
  <c r="GK213" i="42" s="1"/>
  <c r="GK170" i="42" a="1"/>
  <c r="GK170" i="42" s="1"/>
  <c r="GM123" i="42" a="1"/>
  <c r="GM123" i="42" s="1"/>
  <c r="GJ62" i="42" a="1"/>
  <c r="GJ62" i="42" s="1"/>
  <c r="GL35" i="42" a="1"/>
  <c r="GL35" i="42" s="1"/>
  <c r="GL65" i="42" a="1"/>
  <c r="GL65" i="42" s="1"/>
  <c r="GN219" i="42" a="1"/>
  <c r="GN219" i="42" s="1"/>
  <c r="GK133" i="42" a="1"/>
  <c r="GK133" i="42" s="1"/>
  <c r="GM214" i="42" a="1"/>
  <c r="GM214" i="42" s="1"/>
  <c r="GK255" i="42" a="1"/>
  <c r="GK255" i="42" s="1"/>
  <c r="GL288" i="42" a="1"/>
  <c r="GL288" i="42" s="1"/>
  <c r="GM286" i="42" a="1"/>
  <c r="GM286" i="42" s="1"/>
  <c r="GK111" i="42" a="1"/>
  <c r="GK111" i="42" s="1"/>
  <c r="GJ268" i="42" a="1"/>
  <c r="GJ268" i="42" s="1"/>
  <c r="GJ274" i="42" a="1"/>
  <c r="GJ274" i="42" s="1"/>
  <c r="GL155" i="42" a="1"/>
  <c r="GL155" i="42" s="1"/>
  <c r="GN212" i="42" a="1"/>
  <c r="GN212" i="42" s="1"/>
  <c r="GI251" i="42" a="1"/>
  <c r="GI251" i="42" s="1"/>
  <c r="GM229" i="42" a="1"/>
  <c r="GM229" i="42" s="1"/>
  <c r="GL62" i="42" a="1"/>
  <c r="GL62" i="42" s="1"/>
  <c r="GK229" i="42" a="1"/>
  <c r="GK229" i="42" s="1"/>
  <c r="GM250" i="42" a="1"/>
  <c r="GM250" i="42" s="1"/>
  <c r="GM72" i="42" a="1"/>
  <c r="GM72" i="42" s="1"/>
  <c r="GK245" i="42" a="1"/>
  <c r="GK245" i="42" s="1"/>
  <c r="GL258" i="42" a="1"/>
  <c r="GL258" i="42" s="1"/>
  <c r="GK257" i="42" a="1"/>
  <c r="GK257" i="42" s="1"/>
  <c r="GM159" i="42" a="1"/>
  <c r="GM159" i="42" s="1"/>
  <c r="GN214" i="42" a="1"/>
  <c r="GN214" i="42" s="1"/>
  <c r="GI125" i="42" a="1"/>
  <c r="GI125" i="42" s="1"/>
  <c r="GL212" i="42" a="1"/>
  <c r="GL212" i="42" s="1"/>
  <c r="GK236" i="42" a="1"/>
  <c r="GK236" i="42" s="1"/>
  <c r="GK59" i="42" a="1"/>
  <c r="GK59" i="42" s="1"/>
  <c r="GM222" i="42" a="1"/>
  <c r="GM222" i="42" s="1"/>
  <c r="GI68" i="42" a="1"/>
  <c r="GI68" i="42" s="1"/>
  <c r="GN166" i="42" a="1"/>
  <c r="GN166" i="42" s="1"/>
  <c r="GJ282" i="42" a="1"/>
  <c r="GJ282" i="42" s="1"/>
  <c r="GN63" i="42" a="1"/>
  <c r="GN63" i="42" s="1"/>
  <c r="GM216" i="42" a="1"/>
  <c r="GM216" i="42" s="1"/>
  <c r="GI259" i="42" a="1"/>
  <c r="GI259" i="42" s="1"/>
  <c r="GJ127" i="42" a="1"/>
  <c r="GJ127" i="42" s="1"/>
  <c r="GL253" i="42" a="1"/>
  <c r="GL253" i="42" s="1"/>
  <c r="GM119" i="42" a="1"/>
  <c r="GM119" i="42" s="1"/>
  <c r="GJ142" i="42" a="1"/>
  <c r="GJ142" i="42" s="1"/>
  <c r="GI196" i="42" a="1"/>
  <c r="GI196" i="42" s="1"/>
  <c r="GI193" i="42" a="1"/>
  <c r="GI193" i="42" s="1"/>
  <c r="GM255" i="42" a="1"/>
  <c r="GM255" i="42" s="1"/>
  <c r="GL236" i="42" a="1"/>
  <c r="GL236" i="42" s="1"/>
  <c r="GL263" i="42" a="1"/>
  <c r="GL263" i="42" s="1"/>
  <c r="GM260" i="42" a="1"/>
  <c r="GM260" i="42" s="1"/>
  <c r="GI137" i="42" a="1"/>
  <c r="GI137" i="42" s="1"/>
  <c r="GN49" i="42" a="1"/>
  <c r="GN49" i="42" s="1"/>
  <c r="GK199" i="42" a="1"/>
  <c r="GK199" i="42" s="1"/>
  <c r="GK74" i="42" a="1"/>
  <c r="GK74" i="42" s="1"/>
  <c r="GI192" i="42" a="1"/>
  <c r="GI192" i="42" s="1"/>
  <c r="GL266" i="42" a="1"/>
  <c r="GL266" i="42" s="1"/>
  <c r="GL226" i="42" a="1"/>
  <c r="GL226" i="42" s="1"/>
  <c r="GK83" i="42" a="1"/>
  <c r="GK83" i="42" s="1"/>
  <c r="GM195" i="42" a="1"/>
  <c r="GM195" i="42" s="1"/>
  <c r="GK266" i="42" a="1"/>
  <c r="GK266" i="42" s="1"/>
  <c r="GI231" i="42" a="1"/>
  <c r="GI231" i="42" s="1"/>
  <c r="GK260" i="42" a="1"/>
  <c r="GK260" i="42" s="1"/>
  <c r="GI230" i="42" a="1"/>
  <c r="GI230" i="42" s="1"/>
  <c r="GL225" i="42" a="1"/>
  <c r="GL225" i="42" s="1"/>
  <c r="GK97" i="42" a="1"/>
  <c r="GK97" i="42" s="1"/>
  <c r="GJ200" i="42" a="1"/>
  <c r="GJ200" i="42" s="1"/>
  <c r="GN265" i="42" a="1"/>
  <c r="GN265" i="42" s="1"/>
  <c r="GL244" i="42" a="1"/>
  <c r="GL244" i="42" s="1"/>
  <c r="GL227" i="42" a="1"/>
  <c r="GL227" i="42" s="1"/>
  <c r="GK122" i="42" a="1"/>
  <c r="GK122" i="42" s="1"/>
  <c r="GJ202" i="42" a="1"/>
  <c r="GJ202" i="42" s="1"/>
  <c r="GN190" i="42" a="1"/>
  <c r="GN190" i="42" s="1"/>
  <c r="GI211" i="42" a="1"/>
  <c r="GI211" i="42" s="1"/>
  <c r="GM218" i="42" a="1"/>
  <c r="GM218" i="42" s="1"/>
  <c r="GL254" i="42" a="1"/>
  <c r="GL254" i="42" s="1"/>
  <c r="GI64" i="42" a="1"/>
  <c r="GI64" i="42" s="1"/>
  <c r="GN249" i="42" a="1"/>
  <c r="GN249" i="42" s="1"/>
  <c r="GJ285" i="42" a="1"/>
  <c r="GJ285" i="42" s="1"/>
  <c r="GK206" i="42" a="1"/>
  <c r="GK206" i="42" s="1"/>
  <c r="GJ188" i="42" a="1"/>
  <c r="GJ188" i="42" s="1"/>
  <c r="GI212" i="42" a="1"/>
  <c r="GI212" i="42" s="1"/>
  <c r="GK262" i="42" a="1"/>
  <c r="GK262" i="42" s="1"/>
  <c r="GL86" i="42" a="1"/>
  <c r="GL86" i="42" s="1"/>
  <c r="GJ90" i="42" a="1"/>
  <c r="GJ90" i="42" s="1"/>
  <c r="GI283" i="42" a="1"/>
  <c r="GI283" i="42" s="1"/>
  <c r="GJ98" i="42" a="1"/>
  <c r="GJ98" i="42" s="1"/>
  <c r="GM262" i="42" a="1"/>
  <c r="GM262" i="42" s="1"/>
  <c r="GM49" i="42" a="1"/>
  <c r="GM49" i="42" s="1"/>
  <c r="GI256" i="42" a="1"/>
  <c r="GI256" i="42" s="1"/>
  <c r="GI182" i="42" a="1"/>
  <c r="GI182" i="42" s="1"/>
  <c r="GN73" i="42" a="1"/>
  <c r="GN73" i="42" s="1"/>
  <c r="GK284" i="42" a="1"/>
  <c r="GK284" i="42" s="1"/>
  <c r="GN245" i="42" a="1"/>
  <c r="GN245" i="42" s="1"/>
  <c r="GL281" i="42" a="1"/>
  <c r="GL281" i="42" s="1"/>
  <c r="GJ177" i="42" a="1"/>
  <c r="GJ177" i="42" s="1"/>
  <c r="GM285" i="42" a="1"/>
  <c r="GM285" i="42" s="1"/>
  <c r="GL177" i="42" a="1"/>
  <c r="GL177" i="42" s="1"/>
  <c r="GN153" i="42" a="1"/>
  <c r="GN153" i="42" s="1"/>
  <c r="GI217" i="42" a="1"/>
  <c r="GI217" i="42" s="1"/>
  <c r="GN50" i="42" a="1"/>
  <c r="GN50" i="42" s="1"/>
  <c r="GJ195" i="42" a="1"/>
  <c r="GJ195" i="42" s="1"/>
  <c r="GL248" i="42" a="1"/>
  <c r="GL248" i="42" s="1"/>
  <c r="GI181" i="42" a="1"/>
  <c r="GI181" i="42" s="1"/>
  <c r="GJ67" i="42" a="1"/>
  <c r="GJ67" i="42" s="1"/>
  <c r="GI168" i="42" a="1"/>
  <c r="GI168" i="42" s="1"/>
  <c r="GM187" i="42" a="1"/>
  <c r="GM187" i="42" s="1"/>
  <c r="GL84" i="42" a="1"/>
  <c r="GL84" i="42" s="1"/>
  <c r="GM39" i="42" a="1"/>
  <c r="GM39" i="42" s="1"/>
  <c r="GL229" i="42" a="1"/>
  <c r="GL229" i="42" s="1"/>
  <c r="GM172" i="42" a="1"/>
  <c r="GM172" i="42" s="1"/>
  <c r="GN278" i="42" a="1"/>
  <c r="GN278" i="42" s="1"/>
  <c r="GL221" i="42" a="1"/>
  <c r="GL221" i="42" s="1"/>
  <c r="GN253" i="42" a="1"/>
  <c r="GN253" i="42" s="1"/>
  <c r="GN223" i="42" a="1"/>
  <c r="GN223" i="42" s="1"/>
  <c r="GN236" i="42" a="1"/>
  <c r="GN236" i="42" s="1"/>
  <c r="GJ273" i="42" a="1"/>
  <c r="GJ273" i="42" s="1"/>
  <c r="GJ263" i="42" a="1"/>
  <c r="GJ263" i="42" s="1"/>
  <c r="GM249" i="42" a="1"/>
  <c r="GM249" i="42" s="1"/>
  <c r="GL194" i="42" a="1"/>
  <c r="GL194" i="42" s="1"/>
  <c r="GI51" i="42" a="1"/>
  <c r="GI51" i="42" s="1"/>
  <c r="GL241" i="42" a="1"/>
  <c r="GL241" i="42" s="1"/>
  <c r="GM279" i="42" a="1"/>
  <c r="GM279" i="42" s="1"/>
  <c r="GM246" i="42" a="1"/>
  <c r="GM246" i="42" s="1"/>
  <c r="GN56" i="42" a="1"/>
  <c r="GN56" i="42" s="1"/>
  <c r="GJ278" i="42" a="1"/>
  <c r="GJ278" i="42" s="1"/>
  <c r="GN124" i="42" a="1"/>
  <c r="GN124" i="42" s="1"/>
  <c r="GN35" i="42" a="1"/>
  <c r="GN35" i="42" s="1"/>
  <c r="GJ281" i="42" a="1"/>
  <c r="GJ281" i="42" s="1"/>
  <c r="GN160" i="42" a="1"/>
  <c r="GN160" i="42" s="1"/>
  <c r="GL124" i="42" a="1"/>
  <c r="GL124" i="42" s="1"/>
  <c r="GK225" i="42" a="1"/>
  <c r="GK225" i="42" s="1"/>
  <c r="GI97" i="42" a="1"/>
  <c r="GI97" i="42" s="1"/>
  <c r="GN251" i="42" a="1"/>
  <c r="GN251" i="42" s="1"/>
  <c r="GI77" i="42" a="1"/>
  <c r="GI77" i="42" s="1"/>
  <c r="GK189" i="42" a="1"/>
  <c r="GK189" i="42" s="1"/>
  <c r="GL98" i="42" a="1"/>
  <c r="GL98" i="42" s="1"/>
  <c r="GK55" i="42" a="1"/>
  <c r="GK55" i="42" s="1"/>
  <c r="GM95" i="42" a="1"/>
  <c r="GM95" i="42" s="1"/>
  <c r="GK88" i="42" a="1"/>
  <c r="GK88" i="42" s="1"/>
  <c r="GK271" i="42" a="1"/>
  <c r="GK271" i="42" s="1"/>
  <c r="GJ228" i="42" a="1"/>
  <c r="GJ228" i="42" s="1"/>
  <c r="GL59" i="42" a="1"/>
  <c r="GL59" i="42" s="1"/>
  <c r="GK186" i="42" a="1"/>
  <c r="GK186" i="42" s="1"/>
  <c r="GN228" i="42" a="1"/>
  <c r="GN228" i="42" s="1"/>
  <c r="GL213" i="42" a="1"/>
  <c r="GL213" i="42" s="1"/>
  <c r="GL58" i="42" a="1"/>
  <c r="GL58" i="42" s="1"/>
  <c r="GM156" i="42" a="1"/>
  <c r="GM156" i="42" s="1"/>
  <c r="GM67" i="42" a="1"/>
  <c r="GM67" i="42" s="1"/>
  <c r="GJ152" i="42" a="1"/>
  <c r="GJ152" i="42" s="1"/>
  <c r="GM198" i="42" a="1"/>
  <c r="GM198" i="42" s="1"/>
  <c r="GL251" i="42" a="1"/>
  <c r="GL251" i="42" s="1"/>
  <c r="GN118" i="42" a="1"/>
  <c r="GN118" i="42" s="1"/>
  <c r="GL275" i="42" a="1"/>
  <c r="GL275" i="42" s="1"/>
  <c r="GM270" i="42" a="1"/>
  <c r="GM270" i="42" s="1"/>
  <c r="GK253" i="42" a="1"/>
  <c r="GK253" i="42" s="1"/>
  <c r="GL222" i="42" a="1"/>
  <c r="GL222" i="42" s="1"/>
  <c r="GJ118" i="42" a="1"/>
  <c r="GJ118" i="42" s="1"/>
  <c r="GJ211" i="42" a="1"/>
  <c r="GJ211" i="42" s="1"/>
  <c r="GM228" i="42" a="1"/>
  <c r="GM228" i="42" s="1"/>
  <c r="GK237" i="42" a="1"/>
  <c r="GK237" i="42" s="1"/>
  <c r="GK233" i="42" a="1"/>
  <c r="GK233" i="42" s="1"/>
  <c r="GL286" i="42" a="1"/>
  <c r="GL286" i="42" s="1"/>
  <c r="GJ256" i="42" a="1"/>
  <c r="GJ256" i="42" s="1"/>
  <c r="GK208" i="42" a="1"/>
  <c r="GK208" i="42" s="1"/>
  <c r="GL262" i="42" a="1"/>
  <c r="GL262" i="42" s="1"/>
  <c r="GK179" i="42" a="1"/>
  <c r="GK179" i="42" s="1"/>
  <c r="GN60" i="42" a="1"/>
  <c r="GN60" i="42" s="1"/>
  <c r="GN147" i="42" a="1"/>
  <c r="GN147" i="42" s="1"/>
  <c r="GI61" i="42" a="1"/>
  <c r="GI61" i="42" s="1"/>
  <c r="GI47" i="42" a="1"/>
  <c r="GI47" i="42" s="1"/>
  <c r="GM152" i="42" a="1"/>
  <c r="GM152" i="42" s="1"/>
  <c r="GJ209" i="42" a="1"/>
  <c r="GJ209" i="42" s="1"/>
  <c r="GI70" i="42" a="1"/>
  <c r="GI70" i="42" s="1"/>
  <c r="GI194" i="42" a="1"/>
  <c r="GI194" i="42" s="1"/>
  <c r="GK56" i="42" a="1"/>
  <c r="GK56" i="42" s="1"/>
  <c r="GJ107" i="42" a="1"/>
  <c r="GJ107" i="42" s="1"/>
  <c r="GJ96" i="42" a="1"/>
  <c r="GJ96" i="42" s="1"/>
  <c r="GL111" i="42" a="1"/>
  <c r="GL111" i="42" s="1"/>
  <c r="GJ196" i="42" a="1"/>
  <c r="GJ196" i="42" s="1"/>
  <c r="GI214" i="42" a="1"/>
  <c r="GI214" i="42" s="1"/>
  <c r="GN205" i="42" a="1"/>
  <c r="GN205" i="42" s="1"/>
  <c r="GK274" i="42" a="1"/>
  <c r="GK274" i="42" s="1"/>
  <c r="GN244" i="42" a="1"/>
  <c r="GN244" i="42" s="1"/>
  <c r="GK100" i="42" a="1"/>
  <c r="GK100" i="42" s="1"/>
  <c r="GN58" i="42" a="1"/>
  <c r="GN58" i="42" s="1"/>
  <c r="GK265" i="42" a="1"/>
  <c r="GK265" i="42" s="1"/>
  <c r="GI284" i="42" a="1"/>
  <c r="GI284" i="42" s="1"/>
  <c r="GK124" i="42" a="1"/>
  <c r="GK124" i="42" s="1"/>
  <c r="GJ266" i="42" a="1"/>
  <c r="GJ266" i="42" s="1"/>
  <c r="GK192" i="42" a="1"/>
  <c r="GK192" i="42" s="1"/>
  <c r="GL139" i="42" a="1"/>
  <c r="GL139" i="42" s="1"/>
  <c r="GL259" i="42" a="1"/>
  <c r="GL259" i="42" s="1"/>
  <c r="GL47" i="42" a="1"/>
  <c r="GL47" i="42" s="1"/>
  <c r="GK235" i="42" a="1"/>
  <c r="GK235" i="42" s="1"/>
  <c r="GI213" i="42" a="1"/>
  <c r="GI213" i="42" s="1"/>
  <c r="GN136" i="42" a="1"/>
  <c r="GN136" i="42" s="1"/>
  <c r="GN117" i="42" a="1"/>
  <c r="GN117" i="42" s="1"/>
  <c r="GM207" i="42" a="1"/>
  <c r="GM207" i="42" s="1"/>
  <c r="GL149" i="42" a="1"/>
  <c r="GL149" i="42" s="1"/>
  <c r="GM244" i="42" a="1"/>
  <c r="GM244" i="42" s="1"/>
  <c r="GI188" i="42" a="1"/>
  <c r="GI188" i="42" s="1"/>
  <c r="GL202" i="42" a="1"/>
  <c r="GL202" i="42" s="1"/>
  <c r="GL223" i="42" a="1"/>
  <c r="GL223" i="42" s="1"/>
  <c r="GN39" i="42" a="1"/>
  <c r="GN39" i="42" s="1"/>
  <c r="GI122" i="42" a="1"/>
  <c r="GI122" i="42" s="1"/>
  <c r="GK268" i="42" a="1"/>
  <c r="GK268" i="42" s="1"/>
  <c r="GL232" i="42" a="1"/>
  <c r="GL232" i="42" s="1"/>
  <c r="GK211" i="42" a="1"/>
  <c r="GK211" i="42" s="1"/>
  <c r="GM125" i="42" a="1"/>
  <c r="GM125" i="42" s="1"/>
  <c r="GN287" i="42" a="1"/>
  <c r="GN287" i="42" s="1"/>
  <c r="GK203" i="42" a="1"/>
  <c r="GK203" i="42" s="1"/>
  <c r="GI205" i="42" a="1"/>
  <c r="GI205" i="42" s="1"/>
  <c r="GM227" i="42" a="1"/>
  <c r="GM227" i="42" s="1"/>
  <c r="GM256" i="42" a="1"/>
  <c r="GM256" i="42" s="1"/>
  <c r="GI170" i="42" a="1"/>
  <c r="GI170" i="42" s="1"/>
  <c r="GM56" i="42" a="1"/>
  <c r="GM56" i="42" s="1"/>
  <c r="GL60" i="42" a="1"/>
  <c r="GL60" i="42" s="1"/>
  <c r="GL165" i="42" a="1"/>
  <c r="GL165" i="42" s="1"/>
  <c r="GM202" i="42" a="1"/>
  <c r="GM202" i="42" s="1"/>
  <c r="GJ234" i="42" a="1"/>
  <c r="GJ234" i="42" s="1"/>
  <c r="GI132" i="42" a="1"/>
  <c r="GI132" i="42" s="1"/>
  <c r="GK135" i="42" a="1"/>
  <c r="GK135" i="42" s="1"/>
  <c r="GK70" i="42" a="1"/>
  <c r="GK70" i="42" s="1"/>
  <c r="GM52" i="42" a="1"/>
  <c r="GM52" i="42" s="1"/>
  <c r="GJ129" i="42" a="1"/>
  <c r="GJ129" i="42" s="1"/>
  <c r="GN172" i="42" a="1"/>
  <c r="GN172" i="42" s="1"/>
  <c r="GM59" i="42" a="1"/>
  <c r="GM59" i="42" s="1"/>
  <c r="GM243" i="42" a="1"/>
  <c r="GM243" i="42" s="1"/>
  <c r="GI190" i="42" a="1"/>
  <c r="GI190" i="42" s="1"/>
  <c r="GM101" i="42" a="1"/>
  <c r="GM101" i="42" s="1"/>
  <c r="GK247" i="42" a="1"/>
  <c r="GK247" i="42" s="1"/>
  <c r="GK202" i="42" a="1"/>
  <c r="GK202" i="42" s="1"/>
  <c r="GJ117" i="42" a="1"/>
  <c r="GJ117" i="42" s="1"/>
  <c r="GK177" i="42" a="1"/>
  <c r="GK177" i="42" s="1"/>
  <c r="GL73" i="42" a="1"/>
  <c r="GL73" i="42" s="1"/>
  <c r="GL45" i="42" a="1"/>
  <c r="GL45" i="42" s="1"/>
  <c r="GL61" i="42" a="1"/>
  <c r="GL61" i="42" s="1"/>
  <c r="GK118" i="42" a="1"/>
  <c r="GK118" i="42" s="1"/>
  <c r="GK150" i="42" a="1"/>
  <c r="GK150" i="42" s="1"/>
  <c r="GJ84" i="42" a="1"/>
  <c r="GJ84" i="42" s="1"/>
  <c r="GK169" i="42" a="1"/>
  <c r="GK169" i="42" s="1"/>
  <c r="GM147" i="42" a="1"/>
  <c r="GM147" i="42" s="1"/>
  <c r="GK50" i="42" a="1"/>
  <c r="GK50" i="42" s="1"/>
  <c r="GI40" i="42" a="1"/>
  <c r="GI40" i="42" s="1"/>
  <c r="GI220" i="42" a="1"/>
  <c r="GI220" i="42" s="1"/>
  <c r="GI88" i="42" a="1"/>
  <c r="GI88" i="42" s="1"/>
  <c r="GL150" i="42" a="1"/>
  <c r="GL150" i="42" s="1"/>
  <c r="GM108" i="42" a="1"/>
  <c r="GM108" i="42" s="1"/>
  <c r="GL231" i="42" a="1"/>
  <c r="GL231" i="42" s="1"/>
  <c r="GJ162" i="42" a="1"/>
  <c r="GJ162" i="42" s="1"/>
  <c r="GJ201" i="42" a="1"/>
  <c r="GJ201" i="42" s="1"/>
  <c r="GM166" i="42" a="1"/>
  <c r="GM166" i="42" s="1"/>
  <c r="GK47" i="42" a="1"/>
  <c r="GK47" i="42" s="1"/>
  <c r="GI263" i="42" a="1"/>
  <c r="GI263" i="42" s="1"/>
  <c r="GL66" i="42" a="1"/>
  <c r="GL66" i="42" s="1"/>
  <c r="GI75" i="42" a="1"/>
  <c r="GI75" i="42" s="1"/>
  <c r="GN174" i="42" a="1"/>
  <c r="GN174" i="42" s="1"/>
  <c r="GJ246" i="42" a="1"/>
  <c r="GJ246" i="42" s="1"/>
  <c r="GK85" i="42" a="1"/>
  <c r="GK85" i="42" s="1"/>
  <c r="GM264" i="42" a="1"/>
  <c r="GM264" i="42" s="1"/>
  <c r="GM180" i="42" a="1"/>
  <c r="GM180" i="42" s="1"/>
  <c r="GM45" i="42" a="1"/>
  <c r="GM45" i="42" s="1"/>
  <c r="GJ157" i="42" a="1"/>
  <c r="GJ157" i="42" s="1"/>
  <c r="GK197" i="42" a="1"/>
  <c r="GK197" i="42" s="1"/>
  <c r="GN225" i="42" a="1"/>
  <c r="GN225" i="42" s="1"/>
  <c r="GL88" i="42" a="1"/>
  <c r="GL88" i="42" s="1"/>
  <c r="GM58" i="42" a="1"/>
  <c r="GM58" i="42" s="1"/>
  <c r="GM168" i="42" a="1"/>
  <c r="GM168" i="42" s="1"/>
  <c r="GJ258" i="42" a="1"/>
  <c r="GJ258" i="42" s="1"/>
  <c r="GI52" i="42" a="1"/>
  <c r="GI52" i="42" s="1"/>
  <c r="GK190" i="42" a="1"/>
  <c r="GK190" i="42" s="1"/>
  <c r="GL182" i="42" a="1"/>
  <c r="GL182" i="42" s="1"/>
  <c r="GJ167" i="42" a="1"/>
  <c r="GJ167" i="42" s="1"/>
  <c r="GL249" i="42" a="1"/>
  <c r="GL249" i="42" s="1"/>
  <c r="GN94" i="42" a="1"/>
  <c r="GN94" i="42" s="1"/>
  <c r="GK107" i="42" a="1"/>
  <c r="GK107" i="42" s="1"/>
  <c r="GJ85" i="42" a="1"/>
  <c r="GJ85" i="42" s="1"/>
  <c r="GM109" i="42" a="1"/>
  <c r="GM109" i="42" s="1"/>
  <c r="GM71" i="42" a="1"/>
  <c r="GM71" i="42" s="1"/>
  <c r="GK94" i="42" a="1"/>
  <c r="GK94" i="42" s="1"/>
  <c r="GI107" i="42" a="1"/>
  <c r="GI107" i="42" s="1"/>
  <c r="GM163" i="42" a="1"/>
  <c r="GM163" i="42" s="1"/>
  <c r="GL219" i="42" a="1"/>
  <c r="GL219" i="42" s="1"/>
  <c r="GJ248" i="42" a="1"/>
  <c r="GJ248" i="42" s="1"/>
  <c r="GJ175" i="42" a="1"/>
  <c r="GJ175" i="42" s="1"/>
  <c r="GJ270" i="42" a="1"/>
  <c r="GJ270" i="42" s="1"/>
  <c r="GL199" i="42" a="1"/>
  <c r="GL199" i="42" s="1"/>
  <c r="GM234" i="42" a="1"/>
  <c r="GM234" i="42" s="1"/>
  <c r="GK180" i="42" a="1"/>
  <c r="GK180" i="42" s="1"/>
  <c r="GN108" i="42" a="1"/>
  <c r="GN108" i="42" s="1"/>
  <c r="GI278" i="42" a="1"/>
  <c r="GI278" i="42" s="1"/>
  <c r="GM176" i="42" a="1"/>
  <c r="GM176" i="42" s="1"/>
  <c r="GL160" i="42" a="1"/>
  <c r="GL160" i="42" s="1"/>
  <c r="GK41" i="42" a="1"/>
  <c r="GK41" i="42" s="1"/>
  <c r="GN199" i="42" a="1"/>
  <c r="GN199" i="42" s="1"/>
  <c r="GN99" i="42" a="1"/>
  <c r="GN99" i="42" s="1"/>
  <c r="GI200" i="42" a="1"/>
  <c r="GI200" i="42" s="1"/>
  <c r="GN64" i="42" a="1"/>
  <c r="GN64" i="42" s="1"/>
  <c r="GK105" i="42" a="1"/>
  <c r="GK105" i="42" s="1"/>
  <c r="GM76" i="42" a="1"/>
  <c r="GM76" i="42" s="1"/>
  <c r="GN131" i="42" a="1"/>
  <c r="GN131" i="42" s="1"/>
  <c r="GK270" i="42" a="1"/>
  <c r="GK270" i="42" s="1"/>
  <c r="GN48" i="42" a="1"/>
  <c r="GN48" i="42" s="1"/>
  <c r="GK92" i="42" a="1"/>
  <c r="GK92" i="42" s="1"/>
  <c r="GI58" i="42" a="1"/>
  <c r="GI58" i="42" s="1"/>
  <c r="GM153" i="42" a="1"/>
  <c r="GM153" i="42" s="1"/>
  <c r="GM178" i="42" a="1"/>
  <c r="GM178" i="42" s="1"/>
  <c r="GJ94" i="42" a="1"/>
  <c r="GJ94" i="42" s="1"/>
  <c r="GM275" i="42" a="1"/>
  <c r="GM275" i="42" s="1"/>
  <c r="GK40" i="42" a="1"/>
  <c r="GK40" i="42" s="1"/>
  <c r="GN171" i="42" a="1"/>
  <c r="GN171" i="42" s="1"/>
  <c r="GK48" i="42" a="1"/>
  <c r="GK48" i="42" s="1"/>
  <c r="GL40" i="42" a="1"/>
  <c r="GL40" i="42" s="1"/>
  <c r="GI244" i="42" a="1"/>
  <c r="GI244" i="42" s="1"/>
  <c r="GJ154" i="42" a="1"/>
  <c r="GJ154" i="42" s="1"/>
  <c r="GL146" i="42" a="1"/>
  <c r="GL146" i="42" s="1"/>
  <c r="GK224" i="42" a="1"/>
  <c r="GK224" i="42" s="1"/>
  <c r="GJ39" i="42" a="1"/>
  <c r="GJ39" i="42" s="1"/>
  <c r="GJ83" i="42" a="1"/>
  <c r="GJ83" i="42" s="1"/>
  <c r="GL210" i="42" a="1"/>
  <c r="GL210" i="42" s="1"/>
  <c r="GI108" i="42" a="1"/>
  <c r="GI108" i="42" s="1"/>
  <c r="GJ140" i="42" a="1"/>
  <c r="GJ140" i="42" s="1"/>
  <c r="GI227" i="42" a="1"/>
  <c r="GI227" i="42" s="1"/>
  <c r="GI158" i="42" a="1"/>
  <c r="GI158" i="42" s="1"/>
  <c r="GJ173" i="42" a="1"/>
  <c r="GJ173" i="42" s="1"/>
  <c r="GL90" i="42" a="1"/>
  <c r="GL90" i="42" s="1"/>
  <c r="GM115" i="42" a="1"/>
  <c r="GM115" i="42" s="1"/>
  <c r="GK84" i="42" a="1"/>
  <c r="GK84" i="42" s="1"/>
  <c r="GL283" i="42" a="1"/>
  <c r="GL283" i="42" s="1"/>
  <c r="GJ116" i="42" a="1"/>
  <c r="GJ116" i="42" s="1"/>
  <c r="GJ170" i="42" a="1"/>
  <c r="GJ170" i="42" s="1"/>
  <c r="GL284" i="42" a="1"/>
  <c r="GL284" i="42" s="1"/>
  <c r="GN227" i="42" a="1"/>
  <c r="GN227" i="42" s="1"/>
  <c r="GN208" i="42" a="1"/>
  <c r="GN208" i="42" s="1"/>
  <c r="GN74" i="42" a="1"/>
  <c r="GN74" i="42" s="1"/>
  <c r="GJ54" i="42" a="1"/>
  <c r="GJ54" i="42" s="1"/>
  <c r="GJ113" i="42" a="1"/>
  <c r="GJ113" i="42" s="1"/>
  <c r="GJ110" i="42" a="1"/>
  <c r="GJ110" i="42" s="1"/>
  <c r="GL176" i="42" a="1"/>
  <c r="GL176" i="42" s="1"/>
  <c r="GL143" i="42" a="1"/>
  <c r="GL143" i="42" s="1"/>
  <c r="GL187" i="42" a="1"/>
  <c r="GL187" i="42" s="1"/>
  <c r="GK39" i="42" a="1"/>
  <c r="GK39" i="42" s="1"/>
  <c r="GM252" i="42" a="1"/>
  <c r="GM252" i="42" s="1"/>
  <c r="GM171" i="42" a="1"/>
  <c r="GM171" i="42" s="1"/>
  <c r="GI141" i="42" a="1"/>
  <c r="GI141" i="42" s="1"/>
  <c r="GN285" i="42" a="1"/>
  <c r="GN285" i="42" s="1"/>
  <c r="GK204" i="42" a="1"/>
  <c r="GK204" i="42" s="1"/>
  <c r="GK62" i="42" a="1"/>
  <c r="GK62" i="42" s="1"/>
  <c r="GJ259" i="42" a="1"/>
  <c r="GJ259" i="42" s="1"/>
  <c r="GI180" i="42" a="1"/>
  <c r="GI180" i="42" s="1"/>
  <c r="GI242" i="42" a="1"/>
  <c r="GI242" i="42" s="1"/>
  <c r="GN107" i="42" a="1"/>
  <c r="GN107" i="42" s="1"/>
  <c r="GI222" i="42" a="1"/>
  <c r="GI222" i="42" s="1"/>
  <c r="GJ77" i="42" a="1"/>
  <c r="GJ77" i="42" s="1"/>
  <c r="GI37" i="42" a="1"/>
  <c r="GI37" i="42" s="1"/>
  <c r="GN242" i="42" a="1"/>
  <c r="GN242" i="42" s="1"/>
  <c r="GJ217" i="42" a="1"/>
  <c r="GJ217" i="42" s="1"/>
  <c r="GM261" i="42" a="1"/>
  <c r="GM261" i="42" s="1"/>
  <c r="GN241" i="42" a="1"/>
  <c r="GN241" i="42" s="1"/>
  <c r="GM274" i="42" a="1"/>
  <c r="GM274" i="42" s="1"/>
  <c r="GL80" i="42" a="1"/>
  <c r="GL80" i="42" s="1"/>
  <c r="GI268" i="42" a="1"/>
  <c r="GI268" i="42" s="1"/>
  <c r="GN254" i="42" a="1"/>
  <c r="GN254" i="42" s="1"/>
  <c r="GI248" i="42" a="1"/>
  <c r="GI248" i="42" s="1"/>
  <c r="GL68" i="42" a="1"/>
  <c r="GL68" i="42" s="1"/>
  <c r="GI229" i="42" a="1"/>
  <c r="GI229" i="42" s="1"/>
  <c r="GK258" i="42" a="1"/>
  <c r="GK258" i="42" s="1"/>
  <c r="GL42" i="42" a="1"/>
  <c r="GL42" i="42" s="1"/>
  <c r="GL193" i="42" a="1"/>
  <c r="GL193" i="42" s="1"/>
  <c r="GK114" i="42" a="1"/>
  <c r="GK114" i="42" s="1"/>
  <c r="GI237" i="42" a="1"/>
  <c r="GI237" i="42" s="1"/>
  <c r="GJ51" i="42" a="1"/>
  <c r="GJ51" i="42" s="1"/>
  <c r="GI136" i="42" a="1"/>
  <c r="GI136" i="42" s="1"/>
  <c r="GN222" i="42" a="1"/>
  <c r="GN222" i="42" s="1"/>
  <c r="GI39" i="42" a="1"/>
  <c r="GI39" i="42" s="1"/>
  <c r="GL132" i="42" a="1"/>
  <c r="GL132" i="42" s="1"/>
  <c r="GN126" i="42" a="1"/>
  <c r="GN126" i="42" s="1"/>
  <c r="GI117" i="42" a="1"/>
  <c r="GI117" i="42" s="1"/>
  <c r="GL280" i="42" a="1"/>
  <c r="GL280" i="42" s="1"/>
  <c r="GJ165" i="42" a="1"/>
  <c r="GJ165" i="42" s="1"/>
  <c r="GI270" i="42" a="1"/>
  <c r="GI270" i="42" s="1"/>
  <c r="GI95" i="42" a="1"/>
  <c r="GI95" i="42" s="1"/>
  <c r="GM219" i="42" a="1"/>
  <c r="GM219" i="42" s="1"/>
  <c r="GL276" i="42" a="1"/>
  <c r="GL276" i="42" s="1"/>
  <c r="GL174" i="42" a="1"/>
  <c r="GL174" i="42" s="1"/>
  <c r="GN260" i="42" a="1"/>
  <c r="GN260" i="42" s="1"/>
  <c r="GJ92" i="42" a="1"/>
  <c r="GJ92" i="42" s="1"/>
  <c r="GK144" i="42" a="1"/>
  <c r="GK144" i="42" s="1"/>
  <c r="GL133" i="42" a="1"/>
  <c r="GL133" i="42" s="1"/>
  <c r="GJ159" i="42" a="1"/>
  <c r="GJ159" i="42" s="1"/>
  <c r="GK96" i="42" a="1"/>
  <c r="GK96" i="42" s="1"/>
  <c r="GM85" i="42" a="1"/>
  <c r="GM85" i="42" s="1"/>
  <c r="GJ126" i="42" a="1"/>
  <c r="GJ126" i="42" s="1"/>
  <c r="GJ183" i="42" a="1"/>
  <c r="GJ183" i="42" s="1"/>
  <c r="GL118" i="42" a="1"/>
  <c r="GL118" i="42" s="1"/>
  <c r="GK173" i="42" a="1"/>
  <c r="GK173" i="42" s="1"/>
  <c r="GN76" i="42" a="1"/>
  <c r="GN76" i="42" s="1"/>
  <c r="GL108" i="42" a="1"/>
  <c r="GL108" i="42" s="1"/>
  <c r="GI189" i="42" a="1"/>
  <c r="GI189" i="42" s="1"/>
  <c r="GJ149" i="42" a="1"/>
  <c r="GJ149" i="42" s="1"/>
  <c r="GI69" i="42" a="1"/>
  <c r="GI69" i="42" s="1"/>
  <c r="GI59" i="42" a="1"/>
  <c r="GI59" i="42" s="1"/>
  <c r="GM183" i="42" a="1"/>
  <c r="GM183" i="42" s="1"/>
  <c r="GK184" i="42" a="1"/>
  <c r="GK184" i="42" s="1"/>
  <c r="GJ218" i="42" a="1"/>
  <c r="GJ218" i="42" s="1"/>
  <c r="GN232" i="42" a="1"/>
  <c r="GN232" i="42" s="1"/>
  <c r="GN211" i="42" a="1"/>
  <c r="GN211" i="42" s="1"/>
  <c r="GM212" i="42" a="1"/>
  <c r="GM212" i="42" s="1"/>
  <c r="GI285" i="42" a="1"/>
  <c r="GI285" i="42" s="1"/>
  <c r="GM63" i="42" a="1"/>
  <c r="GM63" i="42" s="1"/>
  <c r="GK234" i="42" a="1"/>
  <c r="GK234" i="42" s="1"/>
  <c r="GI257" i="42" a="1"/>
  <c r="GI257" i="42" s="1"/>
  <c r="GL157" i="42" a="1"/>
  <c r="GL157" i="42" s="1"/>
  <c r="GI239" i="42" a="1"/>
  <c r="GI239" i="42" s="1"/>
  <c r="GN179" i="42" a="1"/>
  <c r="GN179" i="42" s="1"/>
  <c r="GN252" i="42" a="1"/>
  <c r="GN252" i="42" s="1"/>
  <c r="GL211" i="42" a="1"/>
  <c r="GL211" i="42" s="1"/>
  <c r="GK42" i="42" a="1"/>
  <c r="GK42" i="42" s="1"/>
  <c r="GK127" i="42" a="1"/>
  <c r="GK127" i="42" s="1"/>
  <c r="GJ87" i="42" a="1"/>
  <c r="GJ87" i="42" s="1"/>
  <c r="GL116" i="42" a="1"/>
  <c r="GL116" i="42" s="1"/>
  <c r="GI60" i="42" a="1"/>
  <c r="GI60" i="42" s="1"/>
  <c r="GK191" i="42" a="1"/>
  <c r="GK191" i="42" s="1"/>
  <c r="GI195" i="42" a="1"/>
  <c r="GI195" i="42" s="1"/>
  <c r="GJ120" i="42" a="1"/>
  <c r="GJ120" i="42" s="1"/>
  <c r="GL261" i="42" a="1"/>
  <c r="GL261" i="42" s="1"/>
  <c r="GL218" i="42" a="1"/>
  <c r="GL218" i="42" s="1"/>
  <c r="GM46" i="42" a="1"/>
  <c r="GM46" i="42" s="1"/>
  <c r="GM117" i="42" a="1"/>
  <c r="GM117" i="42" s="1"/>
  <c r="GK244" i="42" a="1"/>
  <c r="GK244" i="42" s="1"/>
  <c r="GJ138" i="42" a="1"/>
  <c r="GJ138" i="42" s="1"/>
  <c r="GM137" i="42" a="1"/>
  <c r="GM137" i="42" s="1"/>
  <c r="GK143" i="42" a="1"/>
  <c r="GK143" i="42" s="1"/>
  <c r="GK116" i="42" a="1"/>
  <c r="GK116" i="42" s="1"/>
  <c r="GI275" i="42" a="1"/>
  <c r="GI275" i="42" s="1"/>
  <c r="GM128" i="42" a="1"/>
  <c r="GM128" i="42" s="1"/>
  <c r="GI236" i="42" a="1"/>
  <c r="GI236" i="42" s="1"/>
  <c r="GJ41" i="42" a="1"/>
  <c r="GJ41" i="42" s="1"/>
  <c r="GJ244" i="42" a="1"/>
  <c r="GJ244" i="42" s="1"/>
  <c r="GM102" i="42" a="1"/>
  <c r="GM102" i="42" s="1"/>
  <c r="GK227" i="42" a="1"/>
  <c r="GK227" i="42" s="1"/>
  <c r="GN156" i="42" a="1"/>
  <c r="GN156" i="42" s="1"/>
  <c r="GI157" i="42" a="1"/>
  <c r="GI157" i="42" s="1"/>
  <c r="GN185" i="42" a="1"/>
  <c r="GN185" i="42" s="1"/>
  <c r="GJ229" i="42" a="1"/>
  <c r="GJ229" i="42" s="1"/>
  <c r="GN85" i="42" a="1"/>
  <c r="GN85" i="42" s="1"/>
  <c r="GI261" i="42" a="1"/>
  <c r="GI261" i="42" s="1"/>
  <c r="GN263" i="42" a="1"/>
  <c r="GN263" i="42" s="1"/>
  <c r="GJ80" i="42" a="1"/>
  <c r="GJ80" i="42" s="1"/>
  <c r="GJ132" i="42" a="1"/>
  <c r="GJ132" i="42" s="1"/>
  <c r="GJ156" i="42" a="1"/>
  <c r="GJ156" i="42" s="1"/>
  <c r="GN149" i="42" a="1"/>
  <c r="GN149" i="42" s="1"/>
  <c r="GI45" i="42" a="1"/>
  <c r="GI45" i="42" s="1"/>
  <c r="GN121" i="42" a="1"/>
  <c r="GN121" i="42" s="1"/>
  <c r="GK37" i="42" a="1"/>
  <c r="GK37" i="42" s="1"/>
  <c r="GI175" i="42" a="1"/>
  <c r="GI175" i="42" s="1"/>
  <c r="GM233" i="42" a="1"/>
  <c r="GM233" i="42" s="1"/>
  <c r="GJ72" i="42" a="1"/>
  <c r="GJ72" i="42" s="1"/>
  <c r="GI93" i="42" a="1"/>
  <c r="GI93" i="42" s="1"/>
  <c r="GL106" i="42" a="1"/>
  <c r="GL106" i="42" s="1"/>
  <c r="GK167" i="42" a="1"/>
  <c r="GK167" i="42" s="1"/>
  <c r="GK158" i="42" a="1"/>
  <c r="GK158" i="42" s="1"/>
  <c r="GN115" i="42" a="1"/>
  <c r="GN115" i="42" s="1"/>
  <c r="GK82" i="42" a="1"/>
  <c r="GK82" i="42" s="1"/>
  <c r="GN274" i="42" a="1"/>
  <c r="GN274" i="42" s="1"/>
  <c r="GJ141" i="42" a="1"/>
  <c r="GJ141" i="42" s="1"/>
  <c r="GL169" i="42" a="1"/>
  <c r="GL169" i="42" s="1"/>
  <c r="GK113" i="42" a="1"/>
  <c r="GK113" i="42" s="1"/>
  <c r="GJ69" i="42" a="1"/>
  <c r="GJ69" i="42" s="1"/>
  <c r="GK65" i="42" a="1"/>
  <c r="GK65" i="42" s="1"/>
  <c r="GK165" i="42" a="1"/>
  <c r="GK165" i="42" s="1"/>
  <c r="GK71" i="42" a="1"/>
  <c r="GK71" i="42" s="1"/>
  <c r="GK201" i="42" a="1"/>
  <c r="GK201" i="42" s="1"/>
  <c r="GN275" i="42" a="1"/>
  <c r="GN275" i="42" s="1"/>
  <c r="GI216" i="42" a="1"/>
  <c r="GI216" i="42" s="1"/>
  <c r="GL70" i="42" a="1"/>
  <c r="GL70" i="42" s="1"/>
  <c r="GI72" i="42" a="1"/>
  <c r="GI72" i="42" s="1"/>
  <c r="GM242" i="42" a="1"/>
  <c r="GM242" i="42" s="1"/>
  <c r="GJ253" i="42" a="1"/>
  <c r="GJ253" i="42" s="1"/>
  <c r="GK205" i="42" a="1"/>
  <c r="GK205" i="42" s="1"/>
  <c r="GN89" i="42" a="1"/>
  <c r="GN89" i="42" s="1"/>
  <c r="GL141" i="42" a="1"/>
  <c r="GL141" i="42" s="1"/>
  <c r="GN157" i="42" a="1"/>
  <c r="GN157" i="42" s="1"/>
  <c r="GK81" i="42" a="1"/>
  <c r="GK81" i="42" s="1"/>
  <c r="GJ40" i="42" a="1"/>
  <c r="GJ40" i="42" s="1"/>
  <c r="GL114" i="42" a="1"/>
  <c r="GL114" i="42" s="1"/>
  <c r="GJ123" i="42" a="1"/>
  <c r="GJ123" i="42" s="1"/>
  <c r="GN204" i="42" a="1"/>
  <c r="GN204" i="42" s="1"/>
  <c r="GN84" i="42" a="1"/>
  <c r="GN84" i="42" s="1"/>
  <c r="GI266" i="42" a="1"/>
  <c r="GI266" i="42" s="1"/>
  <c r="GI246" i="42" a="1"/>
  <c r="GI246" i="42" s="1"/>
  <c r="GK256" i="42" a="1"/>
  <c r="GK256" i="42" s="1"/>
  <c r="GN92" i="42" a="1"/>
  <c r="GN92" i="42" s="1"/>
  <c r="GM268" i="42" a="1"/>
  <c r="GM268" i="42" s="1"/>
  <c r="GI209" i="42" a="1"/>
  <c r="GI209" i="42" s="1"/>
  <c r="GI179" i="42" a="1"/>
  <c r="GI179" i="42" s="1"/>
  <c r="GJ105" i="42" a="1"/>
  <c r="GJ105" i="42" s="1"/>
  <c r="GM105" i="42" a="1"/>
  <c r="GM105" i="42" s="1"/>
  <c r="GK239" i="42" a="1"/>
  <c r="GK239" i="42" s="1"/>
  <c r="GK146" i="42" a="1"/>
  <c r="GK146" i="42" s="1"/>
  <c r="GN230" i="42" a="1"/>
  <c r="GN230" i="42" s="1"/>
  <c r="GM131" i="42" a="1"/>
  <c r="GM131" i="42" s="1"/>
  <c r="GN168" i="42" a="1"/>
  <c r="GN168" i="42" s="1"/>
  <c r="GJ207" i="42" a="1"/>
  <c r="GJ207" i="42" s="1"/>
  <c r="GM232" i="42" a="1"/>
  <c r="GM232" i="42" s="1"/>
  <c r="GJ174" i="42" a="1"/>
  <c r="GJ174" i="42" s="1"/>
  <c r="GK279" i="42" a="1"/>
  <c r="GK279" i="42" s="1"/>
  <c r="GN106" i="42" a="1"/>
  <c r="GN106" i="42" s="1"/>
  <c r="GL205" i="42" a="1"/>
  <c r="GL205" i="42" s="1"/>
  <c r="GK175" i="42" a="1"/>
  <c r="GK175" i="42" s="1"/>
  <c r="GM199" i="42" a="1"/>
  <c r="GM199" i="42" s="1"/>
  <c r="GN284" i="42" a="1"/>
  <c r="GN284" i="42" s="1"/>
  <c r="GL138" i="42" a="1"/>
  <c r="GL138" i="42" s="1"/>
  <c r="GL122" i="42" a="1"/>
  <c r="GL122" i="42" s="1"/>
  <c r="GI273" i="42" a="1"/>
  <c r="GI273" i="42" s="1"/>
  <c r="GK215" i="42" a="1"/>
  <c r="GK215" i="42" s="1"/>
  <c r="GM170" i="42" a="1"/>
  <c r="GM170" i="42" s="1"/>
  <c r="GM93" i="42" a="1"/>
  <c r="GM93" i="42" s="1"/>
  <c r="GM239" i="42" a="1"/>
  <c r="GM239" i="42" s="1"/>
  <c r="GK123" i="42" a="1"/>
  <c r="GK123" i="42" s="1"/>
  <c r="GJ151" i="42" a="1"/>
  <c r="GJ151" i="42" s="1"/>
  <c r="GJ161" i="42" a="1"/>
  <c r="GJ161" i="42" s="1"/>
  <c r="GN167" i="42" a="1"/>
  <c r="GN167" i="42" s="1"/>
  <c r="GM238" i="42" a="1"/>
  <c r="GM238" i="42" s="1"/>
  <c r="GI260" i="42" a="1"/>
  <c r="GI260" i="42" s="1"/>
  <c r="GJ203" i="42" a="1"/>
  <c r="GJ203" i="42" s="1"/>
  <c r="GL257" i="42" a="1"/>
  <c r="GL257" i="42" s="1"/>
  <c r="GN130" i="42" a="1"/>
  <c r="GN130" i="42" s="1"/>
  <c r="GI80" i="42" a="1"/>
  <c r="GI80" i="42" s="1"/>
  <c r="GN288" i="42" a="1"/>
  <c r="GN288" i="42" s="1"/>
  <c r="GL128" i="42" a="1"/>
  <c r="GL128" i="42" s="1"/>
  <c r="GJ199" i="42" a="1"/>
  <c r="GJ199" i="42" s="1"/>
  <c r="GL77" i="42" a="1"/>
  <c r="GL77" i="42" s="1"/>
  <c r="GI282" i="42" a="1"/>
  <c r="GI282" i="42" s="1"/>
  <c r="GL55" i="42" a="1"/>
  <c r="GL55" i="42" s="1"/>
  <c r="GJ81" i="42" a="1"/>
  <c r="GJ81" i="42" s="1"/>
  <c r="GM175" i="42" a="1"/>
  <c r="GM175" i="42" s="1"/>
  <c r="GM277" i="42" a="1"/>
  <c r="GM277" i="42" s="1"/>
  <c r="GL201" i="42" a="1"/>
  <c r="GL201" i="42" s="1"/>
  <c r="GN210" i="42" a="1"/>
  <c r="GN210" i="42" s="1"/>
  <c r="GN262" i="42" a="1"/>
  <c r="GN262" i="42" s="1"/>
  <c r="GN197" i="42" a="1"/>
  <c r="GN197" i="42" s="1"/>
  <c r="GJ206" i="42" a="1"/>
  <c r="GJ206" i="42" s="1"/>
  <c r="GN279" i="42" a="1"/>
  <c r="GN279" i="42" s="1"/>
  <c r="GI224" i="42" a="1"/>
  <c r="GI224" i="42" s="1"/>
  <c r="GJ166" i="42" a="1"/>
  <c r="GJ166" i="42" s="1"/>
  <c r="GM206" i="42" a="1"/>
  <c r="GM206" i="42" s="1"/>
  <c r="GJ64" i="42" a="1"/>
  <c r="GJ64" i="42" s="1"/>
  <c r="GL131" i="42" a="1"/>
  <c r="GL131" i="42" s="1"/>
  <c r="GJ272" i="42" a="1"/>
  <c r="GJ272" i="42" s="1"/>
  <c r="GL243" i="42" a="1"/>
  <c r="GL243" i="42" s="1"/>
  <c r="GI208" i="42" a="1"/>
  <c r="GI208" i="42" s="1"/>
  <c r="GN37" i="42" a="1"/>
  <c r="GN37" i="42" s="1"/>
  <c r="GJ247" i="42" a="1"/>
  <c r="GJ247" i="42" s="1"/>
  <c r="GM188" i="42" a="1"/>
  <c r="GM188" i="42" s="1"/>
  <c r="GK108" i="42" a="1"/>
  <c r="GK108" i="42" s="1"/>
  <c r="GM221" i="42" a="1"/>
  <c r="GM221" i="42" s="1"/>
  <c r="GL238" i="42" a="1"/>
  <c r="GL238" i="42" s="1"/>
  <c r="GM37" i="42" a="1"/>
  <c r="GM37" i="42" s="1"/>
  <c r="GJ267" i="42" a="1"/>
  <c r="GJ267" i="42" s="1"/>
  <c r="GM235" i="42" a="1"/>
  <c r="GM235" i="42" s="1"/>
  <c r="GM259" i="42" a="1"/>
  <c r="GM259" i="42" s="1"/>
  <c r="GJ45" i="42" a="1"/>
  <c r="GJ45" i="42" s="1"/>
  <c r="GI228" i="42" a="1"/>
  <c r="GI228" i="42" s="1"/>
  <c r="GL101" i="42" a="1"/>
  <c r="GL101" i="42" s="1"/>
  <c r="GK159" i="42" a="1"/>
  <c r="GK159" i="42" s="1"/>
  <c r="GN128" i="42" a="1"/>
  <c r="GN128" i="42" s="1"/>
  <c r="GN87" i="42" a="1"/>
  <c r="GN87" i="42" s="1"/>
  <c r="GJ260" i="42" a="1"/>
  <c r="GJ260" i="42" s="1"/>
  <c r="GI119" i="42" a="1"/>
  <c r="GI119" i="42" s="1"/>
  <c r="GM55" i="42" a="1"/>
  <c r="GM55" i="42" s="1"/>
  <c r="GL256" i="42" a="1"/>
  <c r="GL256" i="42" s="1"/>
  <c r="GM62" i="42" a="1"/>
  <c r="GM62" i="42" s="1"/>
  <c r="GJ153" i="42" a="1"/>
  <c r="GJ153" i="42" s="1"/>
  <c r="GN47" i="42" a="1"/>
  <c r="GN47" i="42" s="1"/>
  <c r="GM69" i="42" a="1"/>
  <c r="GM69" i="42" s="1"/>
  <c r="GI145" i="42" a="1"/>
  <c r="GI145" i="42" s="1"/>
  <c r="GL168" i="42" a="1"/>
  <c r="GL168" i="42" s="1"/>
  <c r="GJ168" i="42" a="1"/>
  <c r="GJ168" i="42" s="1"/>
  <c r="GK145" i="42" a="1"/>
  <c r="GK145" i="42" s="1"/>
  <c r="GM87" i="42" a="1"/>
  <c r="GM87" i="42" s="1"/>
  <c r="GI85" i="42" a="1"/>
  <c r="GI85" i="42" s="1"/>
  <c r="GI135" i="42" a="1"/>
  <c r="GI135" i="42" s="1"/>
  <c r="GL189" i="42" a="1"/>
  <c r="GL189" i="42" s="1"/>
  <c r="GJ86" i="42" a="1"/>
  <c r="GJ86" i="42" s="1"/>
  <c r="GI129" i="42" a="1"/>
  <c r="GI129" i="42" s="1"/>
  <c r="GL113" i="42" a="1"/>
  <c r="GL113" i="42" s="1"/>
  <c r="GI42" i="42" a="1"/>
  <c r="GI42" i="42" s="1"/>
  <c r="GK44" i="42" a="1"/>
  <c r="GK44" i="42" s="1"/>
  <c r="GN142" i="42" a="1"/>
  <c r="GN142" i="42" s="1"/>
  <c r="GL166" i="42" a="1"/>
  <c r="GL166" i="42" s="1"/>
  <c r="GK148" i="42" a="1"/>
  <c r="GK148" i="42" s="1"/>
  <c r="GM161" i="42" a="1"/>
  <c r="GM161" i="42" s="1"/>
  <c r="GM258" i="42" a="1"/>
  <c r="GM258" i="42" s="1"/>
  <c r="GL103" i="42" a="1"/>
  <c r="GL103" i="42" s="1"/>
  <c r="GL234" i="42" a="1"/>
  <c r="GL234" i="42" s="1"/>
  <c r="GK129" i="42" a="1"/>
  <c r="GK129" i="42" s="1"/>
  <c r="GI76" i="42" a="1"/>
  <c r="GI76" i="42" s="1"/>
  <c r="GL247" i="42" a="1"/>
  <c r="GL247" i="42" s="1"/>
  <c r="GK287" i="42" a="1"/>
  <c r="GK287" i="42" s="1"/>
  <c r="GK120" i="42" a="1"/>
  <c r="GK120" i="42" s="1"/>
  <c r="GI204" i="42" a="1"/>
  <c r="GI204" i="42" s="1"/>
  <c r="GK243" i="42" a="1"/>
  <c r="GK243" i="42" s="1"/>
  <c r="GJ254" i="42" a="1"/>
  <c r="GJ254" i="42" s="1"/>
  <c r="GJ125" i="42" a="1"/>
  <c r="GJ125" i="42" s="1"/>
  <c r="GM204" i="42" a="1"/>
  <c r="GM204" i="42" s="1"/>
  <c r="GK185" i="42" a="1"/>
  <c r="GK185" i="42" s="1"/>
  <c r="GK78" i="42" a="1"/>
  <c r="GK78" i="42" s="1"/>
  <c r="GI166" i="42" a="1"/>
  <c r="GI166" i="42" s="1"/>
  <c r="GJ219" i="42" a="1"/>
  <c r="GJ219" i="42" s="1"/>
  <c r="GM201" i="42" a="1"/>
  <c r="GM201" i="42" s="1"/>
  <c r="GM158" i="42" a="1"/>
  <c r="GM158" i="42" s="1"/>
  <c r="GK207" i="42" a="1"/>
  <c r="GK207" i="42" s="1"/>
  <c r="GM118" i="42" a="1"/>
  <c r="GM118" i="42" s="1"/>
  <c r="GI140" i="42" a="1"/>
  <c r="GI140" i="42" s="1"/>
  <c r="GK252" i="42" a="1"/>
  <c r="GK252" i="42" s="1"/>
  <c r="GK138" i="42" a="1"/>
  <c r="GK138" i="42" s="1"/>
  <c r="GN281" i="42" a="1"/>
  <c r="GN281" i="42" s="1"/>
  <c r="GI87" i="42" a="1"/>
  <c r="GI87" i="42" s="1"/>
  <c r="GN261" i="42" a="1"/>
  <c r="GN261" i="42" s="1"/>
  <c r="GJ265" i="42" a="1"/>
  <c r="GJ265" i="42" s="1"/>
  <c r="GM142" i="42" a="1"/>
  <c r="GM142" i="42" s="1"/>
  <c r="GJ93" i="42" a="1"/>
  <c r="GJ93" i="42" s="1"/>
  <c r="GL282" i="42" a="1"/>
  <c r="GL282" i="42" s="1"/>
  <c r="GL94" i="42" a="1"/>
  <c r="GL94" i="42" s="1"/>
  <c r="GJ205" i="42" a="1"/>
  <c r="GJ205" i="42" s="1"/>
  <c r="GN100" i="42" a="1"/>
  <c r="GN100" i="42" s="1"/>
  <c r="GL287" i="42" a="1"/>
  <c r="GL287" i="42" s="1"/>
  <c r="GJ47" i="42" a="1"/>
  <c r="GJ47" i="42" s="1"/>
  <c r="GK53" i="42" a="1"/>
  <c r="GK53" i="42" s="1"/>
  <c r="GI203" i="42" a="1"/>
  <c r="GI203" i="42" s="1"/>
  <c r="GM138" i="42" a="1"/>
  <c r="GM138" i="42" s="1"/>
  <c r="GJ112" i="42" a="1"/>
  <c r="GJ112" i="42" s="1"/>
  <c r="GJ216" i="42" a="1"/>
  <c r="GJ216" i="42" s="1"/>
  <c r="GN218" i="42" a="1"/>
  <c r="GN218" i="42" s="1"/>
  <c r="GL269" i="42" a="1"/>
  <c r="GL269" i="42" s="1"/>
  <c r="GM73" i="42" a="1"/>
  <c r="GM73" i="42" s="1"/>
  <c r="GL239" i="42" a="1"/>
  <c r="GL239" i="42" s="1"/>
  <c r="GJ210" i="42" a="1"/>
  <c r="GJ210" i="42" s="1"/>
  <c r="GI161" i="42" a="1"/>
  <c r="GI161" i="42" s="1"/>
  <c r="GK219" i="42" a="1"/>
  <c r="GK219" i="42" s="1"/>
  <c r="GM89" i="42" a="1"/>
  <c r="GM89" i="42" s="1"/>
  <c r="GN246" i="42" a="1"/>
  <c r="GN246" i="42" s="1"/>
  <c r="GI288" i="42" a="1"/>
  <c r="GI288" i="42" s="1"/>
  <c r="GM177" i="42" a="1"/>
  <c r="GM177" i="42" s="1"/>
  <c r="GL264" i="42" a="1"/>
  <c r="GL264" i="42" s="1"/>
  <c r="GL125" i="42" a="1"/>
  <c r="GL125" i="42" s="1"/>
  <c r="GN93" i="42" a="1"/>
  <c r="GN93" i="42" s="1"/>
  <c r="GL148" i="42" a="1"/>
  <c r="GL148" i="42" s="1"/>
  <c r="GL145" i="42" a="1"/>
  <c r="GL145" i="42" s="1"/>
  <c r="GI147" i="42" a="1"/>
  <c r="GI147" i="42" s="1"/>
  <c r="GL79" i="42" a="1"/>
  <c r="GL79" i="42" s="1"/>
  <c r="GK98" i="42" a="1"/>
  <c r="GK98" i="42" s="1"/>
  <c r="GJ277" i="42" a="1"/>
  <c r="GJ277" i="42" s="1"/>
  <c r="GJ133" i="42" a="1"/>
  <c r="GJ133" i="42" s="1"/>
  <c r="GN134" i="42" a="1"/>
  <c r="GN134" i="42" s="1"/>
  <c r="GM66" i="42" a="1"/>
  <c r="GM66" i="42" s="1"/>
  <c r="GM44" i="42" a="1"/>
  <c r="GM44" i="42" s="1"/>
  <c r="GJ250" i="42" a="1"/>
  <c r="GJ250" i="42" s="1"/>
  <c r="GI120" i="42" a="1"/>
  <c r="GI120" i="42" s="1"/>
  <c r="GN206" i="42" a="1"/>
  <c r="GN206" i="42" s="1"/>
  <c r="GI151" i="42" a="1"/>
  <c r="GI151" i="42" s="1"/>
  <c r="GJ121" i="42" a="1"/>
  <c r="GJ121" i="42" s="1"/>
  <c r="GM64" i="42" a="1"/>
  <c r="GM64" i="42" s="1"/>
  <c r="GL192" i="42" a="1"/>
  <c r="GL192" i="42" s="1"/>
  <c r="GN79" i="42" a="1"/>
  <c r="GN79" i="42" s="1"/>
  <c r="GK220" i="42" a="1"/>
  <c r="GK220" i="42" s="1"/>
  <c r="GJ137" i="42" a="1"/>
  <c r="GJ137" i="42" s="1"/>
  <c r="GM141" i="42" a="1"/>
  <c r="GM141" i="42" s="1"/>
  <c r="GL64" i="42" a="1"/>
  <c r="GL64" i="42" s="1"/>
  <c r="GJ146" i="42" a="1"/>
  <c r="GJ146" i="42" s="1"/>
  <c r="GL183" i="42" a="1"/>
  <c r="GL183" i="42" s="1"/>
  <c r="GK110" i="42" a="1"/>
  <c r="GK110" i="42" s="1"/>
  <c r="GN111" i="42" a="1"/>
  <c r="GN111" i="42" s="1"/>
  <c r="GN178" i="42" a="1"/>
  <c r="GN178" i="42" s="1"/>
  <c r="GJ255" i="42" a="1"/>
  <c r="GJ255" i="42" s="1"/>
  <c r="GN127" i="42" a="1"/>
  <c r="GN127" i="42" s="1"/>
  <c r="GI201" i="42" a="1"/>
  <c r="GI201" i="42" s="1"/>
  <c r="GM208" i="42" a="1"/>
  <c r="GM208" i="42" s="1"/>
  <c r="GK73" i="42" a="1"/>
  <c r="GK73" i="42" s="1"/>
  <c r="GJ171" i="42" a="1"/>
  <c r="GJ171" i="42" s="1"/>
  <c r="GL100" i="42" a="1"/>
  <c r="GL100" i="42" s="1"/>
  <c r="GL82" i="42" a="1"/>
  <c r="GL82" i="42" s="1"/>
  <c r="GI286" i="42" a="1"/>
  <c r="GI286" i="42" s="1"/>
  <c r="GN138" i="42" a="1"/>
  <c r="GN138" i="42" s="1"/>
  <c r="GK151" i="42" a="1"/>
  <c r="GK151" i="42" s="1"/>
  <c r="GI90" i="42" a="1"/>
  <c r="GI90" i="42" s="1"/>
  <c r="GK251" i="42" a="1"/>
  <c r="GK251" i="42" s="1"/>
  <c r="GN132" i="42" a="1"/>
  <c r="GN132" i="42" s="1"/>
  <c r="GM57" i="42" a="1"/>
  <c r="GM57" i="42" s="1"/>
  <c r="GL102" i="42" a="1"/>
  <c r="GL102" i="42" s="1"/>
  <c r="GN119" i="42" a="1"/>
  <c r="GN119" i="42" s="1"/>
  <c r="GN66" i="42" a="1"/>
  <c r="GN66" i="42" s="1"/>
  <c r="GK267" i="42" a="1"/>
  <c r="GK267" i="42" s="1"/>
  <c r="GM92" i="42" a="1"/>
  <c r="GM92" i="42" s="1"/>
  <c r="GM106" i="42" a="1"/>
  <c r="GM106" i="42" s="1"/>
  <c r="GN72" i="42" a="1"/>
  <c r="GN72" i="42" s="1"/>
  <c r="GM35" i="42" a="1"/>
  <c r="GM35" i="42" s="1"/>
  <c r="GI114" i="42" a="1"/>
  <c r="GI114" i="42" s="1"/>
  <c r="GL245" i="42" a="1"/>
  <c r="GL245" i="42" s="1"/>
  <c r="GK195" i="42" a="1"/>
  <c r="GK195" i="42" s="1"/>
  <c r="GM273" i="42" a="1"/>
  <c r="GM273" i="42" s="1"/>
  <c r="GI184" i="42" a="1"/>
  <c r="GI184" i="42" s="1"/>
  <c r="GJ131" i="42" a="1"/>
  <c r="GJ131" i="42" s="1"/>
  <c r="GK230" i="42" a="1"/>
  <c r="GK230" i="42" s="1"/>
  <c r="GI115" i="42" a="1"/>
  <c r="GI115" i="42" s="1"/>
  <c r="GN45" i="42" a="1"/>
  <c r="GN45" i="42" s="1"/>
  <c r="GL109" i="42" a="1"/>
  <c r="GL109" i="42" s="1"/>
  <c r="GJ176" i="42" a="1"/>
  <c r="GJ176" i="42" s="1"/>
  <c r="GI53" i="42" a="1"/>
  <c r="GI53" i="42" s="1"/>
  <c r="GM223" i="42" a="1"/>
  <c r="GM223" i="42" s="1"/>
  <c r="GJ181" i="42" a="1"/>
  <c r="GJ181" i="42" s="1"/>
  <c r="GJ130" i="42" a="1"/>
  <c r="GJ130" i="42" s="1"/>
  <c r="GN201" i="42" a="1"/>
  <c r="GN201" i="42" s="1"/>
  <c r="GN202" i="42" a="1"/>
  <c r="GN202" i="42" s="1"/>
  <c r="GN224" i="42" a="1"/>
  <c r="GN224" i="42" s="1"/>
  <c r="GL99" i="42" a="1"/>
  <c r="GL99" i="42" s="1"/>
  <c r="GM254" i="42" a="1"/>
  <c r="GM254" i="42" s="1"/>
  <c r="GN65" i="42" a="1"/>
  <c r="GN65" i="42" s="1"/>
  <c r="GJ48" i="42" a="1"/>
  <c r="GJ48" i="42" s="1"/>
  <c r="GI267" i="42" a="1"/>
  <c r="GI267" i="42" s="1"/>
  <c r="GM114" i="42" a="1"/>
  <c r="GM114" i="42" s="1"/>
  <c r="GJ59" i="42" a="1"/>
  <c r="GJ59" i="42" s="1"/>
  <c r="GI79" i="42" a="1"/>
  <c r="GI79" i="42" s="1"/>
  <c r="GM112" i="42" a="1"/>
  <c r="GM112" i="42" s="1"/>
  <c r="GN137" i="42" a="1"/>
  <c r="GN137" i="42" s="1"/>
  <c r="GN182" i="42" a="1"/>
  <c r="GN182" i="42" s="1"/>
  <c r="GI153" i="42" a="1"/>
  <c r="GI153" i="42" s="1"/>
  <c r="GK109" i="42" a="1"/>
  <c r="GK109" i="42" s="1"/>
  <c r="GJ163" i="42" a="1"/>
  <c r="GJ163" i="42" s="1"/>
  <c r="GK126" i="42" a="1"/>
  <c r="GK126" i="42" s="1"/>
  <c r="GL252" i="42" a="1"/>
  <c r="GL252" i="42" s="1"/>
  <c r="GN155" i="42" a="1"/>
  <c r="GN155" i="42" s="1"/>
  <c r="GN200" i="42" a="1"/>
  <c r="GN200" i="42" s="1"/>
  <c r="GN237" i="42" a="1"/>
  <c r="GN237" i="42" s="1"/>
  <c r="GM51" i="42" a="1"/>
  <c r="GM51" i="42" s="1"/>
  <c r="GJ249" i="42" a="1"/>
  <c r="GJ249" i="42" s="1"/>
  <c r="GK162" i="42" a="1"/>
  <c r="GK162" i="42" s="1"/>
  <c r="GM164" i="42" a="1"/>
  <c r="GM164" i="42" s="1"/>
  <c r="GL110" i="42" a="1"/>
  <c r="GL110" i="42" s="1"/>
  <c r="GN164" i="42" a="1"/>
  <c r="GN164" i="42" s="1"/>
  <c r="GL224" i="42" a="1"/>
  <c r="GL224" i="42" s="1"/>
  <c r="GK157" i="42" a="1"/>
  <c r="GK157" i="42" s="1"/>
  <c r="GN51" i="42" a="1"/>
  <c r="GN51" i="42" s="1"/>
  <c r="GJ288" i="42" a="1"/>
  <c r="GJ288" i="42" s="1"/>
  <c r="GN217" i="42" a="1"/>
  <c r="GN217" i="42" s="1"/>
  <c r="GK152" i="42" a="1"/>
  <c r="GK152" i="42" s="1"/>
  <c r="GJ214" i="42" a="1"/>
  <c r="GJ214" i="42" s="1"/>
  <c r="GM145" i="42" a="1"/>
  <c r="GM145" i="42" s="1"/>
  <c r="GN57" i="42" a="1"/>
  <c r="GN57" i="42" s="1"/>
  <c r="GM173" i="42" a="1"/>
  <c r="GM173" i="42" s="1"/>
  <c r="GJ226" i="42" a="1"/>
  <c r="GJ226" i="42" s="1"/>
  <c r="GL260" i="42" a="1"/>
  <c r="GL260" i="42" s="1"/>
  <c r="GJ280" i="42" a="1"/>
  <c r="GJ280" i="42" s="1"/>
  <c r="GK188" i="42" a="1"/>
  <c r="GK188" i="42" s="1"/>
  <c r="GI243" i="42" a="1"/>
  <c r="GI243" i="42" s="1"/>
  <c r="GL39" i="42" a="1"/>
  <c r="GL39" i="42" s="1"/>
  <c r="GM167" i="42" a="1"/>
  <c r="GM167" i="42" s="1"/>
  <c r="GK125" i="42" a="1"/>
  <c r="GK125" i="42" s="1"/>
  <c r="GI146" i="42" a="1"/>
  <c r="GI146" i="42" s="1"/>
  <c r="GL48" i="42" a="1"/>
  <c r="GL48" i="42" s="1"/>
  <c r="GK286" i="42" a="1"/>
  <c r="GK286" i="42" s="1"/>
  <c r="GJ160" i="42" a="1"/>
  <c r="GJ160" i="42" s="1"/>
  <c r="GL272" i="42" a="1"/>
  <c r="GL272" i="42" s="1"/>
  <c r="GJ147" i="42" a="1"/>
  <c r="GJ147" i="42" s="1"/>
  <c r="GK212" i="42" a="1"/>
  <c r="GK212" i="42" s="1"/>
  <c r="GK254" i="42" a="1"/>
  <c r="GK254" i="42" s="1"/>
  <c r="GL123" i="42" a="1"/>
  <c r="GL123" i="42" s="1"/>
  <c r="GK221" i="42" a="1"/>
  <c r="GK221" i="42" s="1"/>
  <c r="GI102" i="42" a="1"/>
  <c r="GI102" i="42" s="1"/>
  <c r="GL271" i="42" a="1"/>
  <c r="GL271" i="42" s="1"/>
  <c r="GJ58" i="42" a="1"/>
  <c r="GJ58" i="42" s="1"/>
  <c r="GI198" i="42" a="1"/>
  <c r="GI198" i="42" s="1"/>
  <c r="GL173" i="42" a="1"/>
  <c r="GL173" i="42" s="1"/>
  <c r="GN165" i="42" a="1"/>
  <c r="GN165" i="42" s="1"/>
  <c r="GJ109" i="42" a="1"/>
  <c r="GJ109" i="42" s="1"/>
  <c r="GI116" i="42" a="1"/>
  <c r="GI116" i="42" s="1"/>
  <c r="GK240" i="42" a="1"/>
  <c r="GK240" i="42" s="1"/>
  <c r="GM150" i="42" a="1"/>
  <c r="GM150" i="42" s="1"/>
  <c r="GI103" i="42" a="1"/>
  <c r="GI103" i="42" s="1"/>
  <c r="GI91" i="42" a="1"/>
  <c r="GI91" i="42" s="1"/>
  <c r="GL274" i="42" a="1"/>
  <c r="GL274" i="42" s="1"/>
  <c r="GL156" i="42" a="1"/>
  <c r="GL156" i="42" s="1"/>
  <c r="GM288" i="42" a="1"/>
  <c r="GM288" i="42" s="1"/>
  <c r="GM149" i="42" a="1"/>
  <c r="GM149" i="42" s="1"/>
  <c r="GL38" i="42" a="1"/>
  <c r="GL38" i="42" s="1"/>
  <c r="GI279" i="42" a="1"/>
  <c r="GI279" i="42" s="1"/>
  <c r="GM50" i="42" a="1"/>
  <c r="GM50" i="42" s="1"/>
  <c r="GM80" i="42" a="1"/>
  <c r="GM80" i="42" s="1"/>
  <c r="GK131" i="42" a="1"/>
  <c r="GK131" i="42" s="1"/>
  <c r="GI82" i="42" a="1"/>
  <c r="GI82" i="42" s="1"/>
  <c r="GI144" i="42" a="1"/>
  <c r="GI144" i="42" s="1"/>
  <c r="GI139" i="42" a="1"/>
  <c r="GI139" i="42" s="1"/>
  <c r="GN233" i="42" a="1"/>
  <c r="GN233" i="42" s="1"/>
  <c r="GK139" i="42" a="1"/>
  <c r="GK139" i="42" s="1"/>
  <c r="GJ198" i="42" a="1"/>
  <c r="GJ198" i="42" s="1"/>
  <c r="GI240" i="42" a="1"/>
  <c r="GI240" i="42" s="1"/>
  <c r="GJ192" i="42" a="1"/>
  <c r="GJ192" i="42" s="1"/>
  <c r="GN259" i="42" a="1"/>
  <c r="GN259" i="42" s="1"/>
  <c r="GJ257" i="42" a="1"/>
  <c r="GJ257" i="42" s="1"/>
  <c r="GI174" i="42" a="1"/>
  <c r="GI174" i="42" s="1"/>
  <c r="GI112" i="42" a="1"/>
  <c r="GI112" i="42" s="1"/>
  <c r="GL52" i="42" a="1"/>
  <c r="GL52" i="42" s="1"/>
  <c r="GM236" i="42" a="1"/>
  <c r="GM236" i="42" s="1"/>
  <c r="GK275" i="42" a="1"/>
  <c r="GK275" i="42" s="1"/>
  <c r="GI54" i="42" a="1"/>
  <c r="GI54" i="42" s="1"/>
  <c r="GN110" i="42" a="1"/>
  <c r="GN110" i="42" s="1"/>
  <c r="GJ283" i="42" a="1"/>
  <c r="GJ283" i="42" s="1"/>
  <c r="GK278" i="42" a="1"/>
  <c r="GK278" i="42" s="1"/>
  <c r="GL57" i="42" a="1"/>
  <c r="GL57" i="42" s="1"/>
  <c r="GJ264" i="42" a="1"/>
  <c r="GJ264" i="42" s="1"/>
  <c r="GM276" i="42" a="1"/>
  <c r="GM276" i="42" s="1"/>
  <c r="GI235" i="42" a="1"/>
  <c r="GI235" i="42" s="1"/>
  <c r="GJ164" i="42" a="1"/>
  <c r="GJ164" i="42" s="1"/>
  <c r="GJ172" i="42" a="1"/>
  <c r="GJ172" i="42" s="1"/>
  <c r="GI96" i="42" a="1"/>
  <c r="GI96" i="42" s="1"/>
  <c r="GJ76" i="42" a="1"/>
  <c r="GJ76" i="42" s="1"/>
  <c r="GM104" i="42" a="1"/>
  <c r="GM104" i="42" s="1"/>
  <c r="GN62" i="42" a="1"/>
  <c r="GN62" i="42" s="1"/>
  <c r="GI183" i="42" a="1"/>
  <c r="GI183" i="42" s="1"/>
  <c r="GJ148" i="42" a="1"/>
  <c r="GJ148" i="42" s="1"/>
  <c r="GJ276" i="42" a="1"/>
  <c r="GJ276" i="42" s="1"/>
  <c r="GI163" i="42" a="1"/>
  <c r="GI163" i="42" s="1"/>
  <c r="GM126" i="42" a="1"/>
  <c r="GM126" i="42" s="1"/>
  <c r="GJ65" i="42" a="1"/>
  <c r="GJ65" i="42" s="1"/>
  <c r="GI113" i="42" a="1"/>
  <c r="GI113" i="42" s="1"/>
  <c r="GM54" i="42" a="1"/>
  <c r="GM54" i="42" s="1"/>
  <c r="GJ95" i="42" a="1"/>
  <c r="GJ95" i="42" s="1"/>
  <c r="GN277" i="42" a="1"/>
  <c r="GN277" i="42" s="1"/>
  <c r="GN184" i="42" a="1"/>
  <c r="GN184" i="42" s="1"/>
  <c r="GI110" i="42" a="1"/>
  <c r="GI110" i="42" s="1"/>
  <c r="GL81" i="42" a="1"/>
  <c r="GL81" i="42" s="1"/>
  <c r="GL93" i="42" a="1"/>
  <c r="GL93" i="42" s="1"/>
  <c r="GL121" i="42" a="1"/>
  <c r="GL121" i="42" s="1"/>
  <c r="GJ187" i="42" a="1"/>
  <c r="GJ187" i="42" s="1"/>
  <c r="GM82" i="42" a="1"/>
  <c r="GM82" i="42" s="1"/>
  <c r="GI249" i="42" a="1"/>
  <c r="GI249" i="42" s="1"/>
  <c r="GI253" i="42" a="1"/>
  <c r="GI253" i="42" s="1"/>
  <c r="GK72" i="42" a="1"/>
  <c r="GK72" i="42" s="1"/>
  <c r="GN276" i="42" a="1"/>
  <c r="GN276" i="42" s="1"/>
  <c r="GN109" i="42" a="1"/>
  <c r="GN109" i="42" s="1"/>
  <c r="GI149" i="42" a="1"/>
  <c r="GI149" i="42" s="1"/>
  <c r="GN42" i="42" a="1"/>
  <c r="GN42" i="42" s="1"/>
  <c r="GK153" i="42" a="1"/>
  <c r="GK153" i="42" s="1"/>
  <c r="GN97" i="42" a="1"/>
  <c r="GN97" i="42" s="1"/>
  <c r="GK282" i="42" a="1"/>
  <c r="GK282" i="42" s="1"/>
  <c r="GI35" i="42" a="1"/>
  <c r="GI35" i="42" s="1"/>
  <c r="GK217" i="42" a="1"/>
  <c r="GK217" i="42" s="1"/>
  <c r="GM210" i="42" a="1"/>
  <c r="GM210" i="42" s="1"/>
  <c r="GI50" i="42" a="1"/>
  <c r="GI50" i="42" s="1"/>
  <c r="GK154" i="42" a="1"/>
  <c r="GK154" i="42" s="1"/>
  <c r="GJ150" i="42" a="1"/>
  <c r="GJ150" i="42" s="1"/>
  <c r="GI57" i="42" a="1"/>
  <c r="GI57" i="42" s="1"/>
  <c r="GL140" i="42" a="1"/>
  <c r="GL140" i="42" s="1"/>
  <c r="GM143" i="42" a="1"/>
  <c r="GM143" i="42" s="1"/>
  <c r="GM282" i="42" a="1"/>
  <c r="GM282" i="42" s="1"/>
  <c r="GK128" i="42" a="1"/>
  <c r="GK128" i="42" s="1"/>
  <c r="GM181" i="42" a="1"/>
  <c r="GM181" i="42" s="1"/>
  <c r="GI46" i="42" a="1"/>
  <c r="GI46" i="42" s="1"/>
  <c r="GK49" i="42" a="1"/>
  <c r="GK49" i="42" s="1"/>
  <c r="GI83" i="42" a="1"/>
  <c r="GI83" i="42" s="1"/>
  <c r="GI173" i="42" a="1"/>
  <c r="GI173" i="42" s="1"/>
  <c r="GM272" i="42" a="1"/>
  <c r="GM272" i="42" s="1"/>
  <c r="GJ50" i="42" a="1"/>
  <c r="GJ50" i="42" s="1"/>
  <c r="GK181" i="42" a="1"/>
  <c r="GK181" i="42" s="1"/>
  <c r="GK261" i="42" a="1"/>
  <c r="GK261" i="42" s="1"/>
  <c r="GM103" i="42" a="1"/>
  <c r="GM103" i="42" s="1"/>
  <c r="GN170" i="42" a="1"/>
  <c r="GN170" i="42" s="1"/>
  <c r="GN173" i="42" a="1"/>
  <c r="GN173" i="42" s="1"/>
  <c r="GI152" i="42" a="1"/>
  <c r="GI152" i="42" s="1"/>
  <c r="GI81" i="42" a="1"/>
  <c r="GI81" i="42" s="1"/>
  <c r="GL49" i="42" a="1"/>
  <c r="GL49" i="42" s="1"/>
  <c r="GM140" i="42" a="1"/>
  <c r="GM140" i="42" s="1"/>
  <c r="GL237" i="42" a="1"/>
  <c r="GL237" i="42" s="1"/>
  <c r="GI63" i="42" a="1"/>
  <c r="GI63" i="42" s="1"/>
  <c r="GI150" i="42" a="1"/>
  <c r="GI150" i="42" s="1"/>
  <c r="GI177" i="42" a="1"/>
  <c r="GI177" i="42" s="1"/>
  <c r="GK137" i="42" a="1"/>
  <c r="GK137" i="42" s="1"/>
  <c r="GK60" i="42" a="1"/>
  <c r="GK60" i="42" s="1"/>
  <c r="GI162" i="42" a="1"/>
  <c r="GI162" i="42" s="1"/>
  <c r="GJ101" i="42" a="1"/>
  <c r="GJ101" i="42" s="1"/>
  <c r="GL151" i="42" a="1"/>
  <c r="GL151" i="42" s="1"/>
  <c r="GI99" i="42" a="1"/>
  <c r="GI99" i="42" s="1"/>
  <c r="GN70" i="42" a="1"/>
  <c r="GN70" i="42" s="1"/>
  <c r="GL161" i="42" a="1"/>
  <c r="GL161" i="42" s="1"/>
  <c r="GK166" i="42" a="1"/>
  <c r="GK166" i="42" s="1"/>
  <c r="GI191" i="42" a="1"/>
  <c r="GI191" i="42" s="1"/>
  <c r="GK272" i="42" a="1"/>
  <c r="GK272" i="42" s="1"/>
  <c r="GM226" i="42" a="1"/>
  <c r="GM226" i="42" s="1"/>
  <c r="GM266" i="42" a="1"/>
  <c r="GM266" i="42" s="1"/>
  <c r="GK95" i="42" a="1"/>
  <c r="GK95" i="42" s="1"/>
  <c r="GM284" i="42" a="1"/>
  <c r="GM284" i="42" s="1"/>
  <c r="GL120" i="42" a="1"/>
  <c r="GL120" i="42" s="1"/>
  <c r="GL200" i="42" a="1"/>
  <c r="GL200" i="42" s="1"/>
  <c r="GL228" i="42" a="1"/>
  <c r="GL228" i="42" s="1"/>
  <c r="GJ89" i="42" a="1"/>
  <c r="GJ89" i="42" s="1"/>
  <c r="GI169" i="42" a="1"/>
  <c r="GI169" i="42" s="1"/>
  <c r="GN180" i="42" a="1"/>
  <c r="GN180" i="42" s="1"/>
  <c r="GK238" i="42" a="1"/>
  <c r="GK238" i="42" s="1"/>
  <c r="GN123" i="42" a="1"/>
  <c r="GN123" i="42" s="1"/>
  <c r="GL63" i="42" a="1"/>
  <c r="GL63" i="42" s="1"/>
  <c r="GL184" i="42" a="1"/>
  <c r="GL184" i="42" s="1"/>
  <c r="GN152" i="42" a="1"/>
  <c r="GN152" i="42" s="1"/>
  <c r="GK104" i="42" a="1"/>
  <c r="GK104" i="42" s="1"/>
  <c r="GI48" i="42" a="1"/>
  <c r="GI48" i="42" s="1"/>
  <c r="GL43" i="42" a="1"/>
  <c r="GL43" i="42" s="1"/>
  <c r="GL53" i="42" a="1"/>
  <c r="GL53" i="42" s="1"/>
  <c r="GL36" i="42" a="1"/>
  <c r="GL36" i="42" s="1"/>
  <c r="GN220" i="42" a="1"/>
  <c r="GN220" i="42" s="1"/>
  <c r="GL285" i="42" a="1"/>
  <c r="GL285" i="42" s="1"/>
  <c r="GM42" i="42" a="1"/>
  <c r="GM42" i="42" s="1"/>
  <c r="GN81" i="42" a="1"/>
  <c r="GN81" i="42" s="1"/>
  <c r="GI241" i="42" a="1"/>
  <c r="GI241" i="42" s="1"/>
  <c r="GK214" i="42" a="1"/>
  <c r="GK214" i="42" s="1"/>
  <c r="GM116" i="42" a="1"/>
  <c r="GM116" i="42" s="1"/>
  <c r="GN258" i="42" a="1"/>
  <c r="GN258" i="42" s="1"/>
  <c r="GM182" i="42" a="1"/>
  <c r="GM182" i="42" s="1"/>
  <c r="GJ75" i="42" a="1"/>
  <c r="GJ75" i="42" s="1"/>
  <c r="GM215" i="42" a="1"/>
  <c r="GM215" i="42" s="1"/>
  <c r="GJ240" i="42" a="1"/>
  <c r="GJ240" i="42" s="1"/>
  <c r="GK164" i="42" a="1"/>
  <c r="GK164" i="42" s="1"/>
  <c r="GJ221" i="42" a="1"/>
  <c r="GJ221" i="42" s="1"/>
  <c r="GM197" i="42" a="1"/>
  <c r="GM197" i="42" s="1"/>
  <c r="GK263" i="42" a="1"/>
  <c r="GK263" i="42" s="1"/>
  <c r="GJ213" i="42" a="1"/>
  <c r="GJ213" i="42" s="1"/>
  <c r="GK130" i="42" a="1"/>
  <c r="GK130" i="42" s="1"/>
  <c r="GK198" i="42" a="1"/>
  <c r="GK198" i="42" s="1"/>
  <c r="GJ239" i="42" a="1"/>
  <c r="GJ239" i="42" s="1"/>
  <c r="GM97" i="42" a="1"/>
  <c r="GM97" i="42" s="1"/>
  <c r="GM132" i="42" a="1"/>
  <c r="GM132" i="42" s="1"/>
  <c r="GI277" i="42" a="1"/>
  <c r="GI277" i="42" s="1"/>
  <c r="GM127" i="42" a="1"/>
  <c r="GM127" i="42" s="1"/>
  <c r="GL117" i="42" a="1"/>
  <c r="GL117" i="42" s="1"/>
  <c r="GI178" i="42" a="1"/>
  <c r="GI178" i="42" s="1"/>
  <c r="GI86" i="42" a="1"/>
  <c r="GI86" i="42" s="1"/>
  <c r="GN86" i="42" a="1"/>
  <c r="GN86" i="42" s="1"/>
  <c r="GI156" i="42" a="1"/>
  <c r="GI156" i="42" s="1"/>
  <c r="GJ145" i="42" a="1"/>
  <c r="GJ145" i="42" s="1"/>
  <c r="GN125" i="42" a="1"/>
  <c r="GN125" i="42" s="1"/>
  <c r="GJ236" i="42" a="1"/>
  <c r="GJ236" i="42" s="1"/>
  <c r="GM230" i="42" a="1"/>
  <c r="GM230" i="42" s="1"/>
  <c r="GM211" i="42" a="1"/>
  <c r="GM211" i="42" s="1"/>
  <c r="GN169" i="42" a="1"/>
  <c r="GN169" i="42" s="1"/>
  <c r="GL91" i="42" a="1"/>
  <c r="GL91" i="42" s="1"/>
  <c r="GL235" i="42" a="1"/>
  <c r="GL235" i="42" s="1"/>
  <c r="GK61" i="42" a="1"/>
  <c r="GK61" i="42" s="1"/>
  <c r="GL54" i="42" a="1"/>
  <c r="GL54" i="42" s="1"/>
  <c r="GJ91" i="42" a="1"/>
  <c r="GJ91" i="42" s="1"/>
  <c r="GI238" i="42" a="1"/>
  <c r="GI238" i="42" s="1"/>
  <c r="GL154" i="42" a="1"/>
  <c r="GL154" i="42" s="1"/>
  <c r="GN186" i="42" a="1"/>
  <c r="GN186" i="42" s="1"/>
  <c r="GN145" i="42" a="1"/>
  <c r="GN145" i="42" s="1"/>
  <c r="GM83" i="42" a="1"/>
  <c r="GM83" i="42" s="1"/>
  <c r="GJ241" i="42" a="1"/>
  <c r="GJ241" i="42" s="1"/>
  <c r="GJ57" i="42" a="1"/>
  <c r="GJ57" i="42" s="1"/>
  <c r="GL181" i="42" a="1"/>
  <c r="GL181" i="42" s="1"/>
  <c r="GI186" i="42" a="1"/>
  <c r="GI186" i="42" s="1"/>
  <c r="GK134" i="42" a="1"/>
  <c r="GK134" i="42" s="1"/>
  <c r="GI111" i="42" a="1"/>
  <c r="GI111" i="42" s="1"/>
  <c r="GN213" i="42" a="1"/>
  <c r="GN213" i="42" s="1"/>
  <c r="GK210" i="42" a="1"/>
  <c r="GK210" i="42" s="1"/>
  <c r="GJ102" i="42" a="1"/>
  <c r="GJ102" i="42" s="1"/>
  <c r="GN154" i="42" a="1"/>
  <c r="GN154" i="42" s="1"/>
  <c r="GI78" i="42" a="1"/>
  <c r="GI78" i="42" s="1"/>
  <c r="GI155" i="42" a="1"/>
  <c r="GI155" i="42" s="1"/>
  <c r="GJ275" i="42" a="1"/>
  <c r="GJ275" i="42" s="1"/>
  <c r="GL134" i="42" a="1"/>
  <c r="GL134" i="42" s="1"/>
  <c r="GN139" i="42" a="1"/>
  <c r="GN139" i="42" s="1"/>
  <c r="GM160" i="42" a="1"/>
  <c r="GM160" i="42" s="1"/>
  <c r="GL265" i="42" a="1"/>
  <c r="GL265" i="42" s="1"/>
  <c r="GM190" i="42" a="1"/>
  <c r="GM190" i="42" s="1"/>
  <c r="GI262" i="42" a="1"/>
  <c r="GI262" i="42" s="1"/>
  <c r="GI74" i="42" a="1"/>
  <c r="GI74" i="42" s="1"/>
  <c r="GI126" i="42" a="1"/>
  <c r="GI126" i="42" s="1"/>
  <c r="GJ144" i="42" a="1"/>
  <c r="GJ144" i="42" s="1"/>
  <c r="GK200" i="42" a="1"/>
  <c r="GK200" i="42" s="1"/>
  <c r="GK119" i="42" a="1"/>
  <c r="GK119" i="42" s="1"/>
  <c r="GM41" i="42" a="1"/>
  <c r="GM41" i="42" s="1"/>
  <c r="GJ243" i="42" a="1"/>
  <c r="GJ243" i="42" s="1"/>
  <c r="GJ230" i="42" a="1"/>
  <c r="GJ230" i="42" s="1"/>
  <c r="GL50" i="42" a="1"/>
  <c r="GL50" i="42" s="1"/>
  <c r="GM98" i="42" a="1"/>
  <c r="GM98" i="42" s="1"/>
  <c r="GJ63" i="42" a="1"/>
  <c r="GJ63" i="42" s="1"/>
  <c r="GM240" i="42" a="1"/>
  <c r="GM240" i="42" s="1"/>
  <c r="GI121" i="42" a="1"/>
  <c r="GI121" i="42" s="1"/>
  <c r="GI134" i="42" a="1"/>
  <c r="GI134" i="42" s="1"/>
  <c r="GI101" i="42" a="1"/>
  <c r="GI101" i="42" s="1"/>
  <c r="GN191" i="42" a="1"/>
  <c r="GN191" i="42" s="1"/>
  <c r="GJ143" i="42" a="1"/>
  <c r="GJ143" i="42" s="1"/>
  <c r="GL136" i="42" a="1"/>
  <c r="GL136" i="42" s="1"/>
  <c r="GI254" i="42" a="1"/>
  <c r="GI254" i="42" s="1"/>
  <c r="GN141" i="42" a="1"/>
  <c r="GN141" i="42" s="1"/>
  <c r="GI36" i="42" a="1"/>
  <c r="GI36" i="42" s="1"/>
  <c r="GL164" i="42" a="1"/>
  <c r="GL164" i="42" s="1"/>
  <c r="GN103" i="42" a="1"/>
  <c r="GN103" i="42" s="1"/>
  <c r="GJ49" i="42" a="1"/>
  <c r="GJ49" i="42" s="1"/>
  <c r="GJ184" i="42" a="1"/>
  <c r="GJ184" i="42" s="1"/>
  <c r="GL107" i="42" a="1"/>
  <c r="GL107" i="42" s="1"/>
  <c r="GM74" i="42" a="1"/>
  <c r="GM74" i="42" s="1"/>
  <c r="GJ212" i="42" a="1"/>
  <c r="GJ212" i="42" s="1"/>
  <c r="GI138" i="42" a="1"/>
  <c r="GI138" i="42" s="1"/>
  <c r="GM139" i="42" a="1"/>
  <c r="GM139" i="42" s="1"/>
  <c r="GL203" i="42" a="1"/>
  <c r="GL203" i="42" s="1"/>
  <c r="GM241" i="42" a="1"/>
  <c r="GM241" i="42" s="1"/>
  <c r="GI255" i="42" a="1"/>
  <c r="GI255" i="42" s="1"/>
  <c r="GK136" i="42" a="1"/>
  <c r="GK136" i="42" s="1"/>
  <c r="GM162" i="42" a="1"/>
  <c r="GM162" i="42" s="1"/>
  <c r="GM257" i="42" a="1"/>
  <c r="GM257" i="42" s="1"/>
  <c r="GJ237" i="42" a="1"/>
  <c r="GJ237" i="42" s="1"/>
  <c r="GI225" i="42" a="1"/>
  <c r="GI225" i="42" s="1"/>
  <c r="GM189" i="42" a="1"/>
  <c r="GM189" i="42" s="1"/>
  <c r="GJ73" i="42" a="1"/>
  <c r="GJ73" i="42" s="1"/>
  <c r="GK187" i="42" a="1"/>
  <c r="GK187" i="42" s="1"/>
  <c r="GN140" i="42" a="1"/>
  <c r="GN140" i="42" s="1"/>
  <c r="GL144" i="42" a="1"/>
  <c r="GL144" i="42" s="1"/>
  <c r="GK68" i="42" a="1"/>
  <c r="GK68" i="42" s="1"/>
  <c r="GJ35" i="42" a="1"/>
  <c r="GJ35" i="42" s="1"/>
  <c r="GK183" i="42" a="1"/>
  <c r="GK183" i="42" s="1"/>
  <c r="GN129" i="42" a="1"/>
  <c r="GN129" i="42" s="1"/>
  <c r="GJ79" i="42" a="1"/>
  <c r="GJ79" i="42" s="1"/>
  <c r="GJ224" i="42" a="1"/>
  <c r="GJ224" i="42" s="1"/>
  <c r="GN243" i="42" a="1"/>
  <c r="GN243" i="42" s="1"/>
  <c r="GI276" i="42" a="1"/>
  <c r="GI276" i="42" s="1"/>
  <c r="GL188" i="42" a="1"/>
  <c r="GL188" i="42" s="1"/>
  <c r="GM134" i="42" a="1"/>
  <c r="GM134" i="42" s="1"/>
  <c r="GN77" i="42" a="1"/>
  <c r="GN77" i="42" s="1"/>
  <c r="GK141" i="42" a="1"/>
  <c r="GK141" i="42" s="1"/>
  <c r="GM267" i="42" a="1"/>
  <c r="GM267" i="42" s="1"/>
  <c r="GJ37" i="42" a="1"/>
  <c r="GJ37" i="42" s="1"/>
  <c r="GJ104" i="42" a="1"/>
  <c r="GJ104" i="42" s="1"/>
  <c r="GN88" i="42" a="1"/>
  <c r="GN88" i="42" s="1"/>
  <c r="GI154" i="42" a="1"/>
  <c r="GI154" i="42" s="1"/>
  <c r="GM47" i="42" a="1"/>
  <c r="GM47" i="42" s="1"/>
  <c r="GN52" i="42" a="1"/>
  <c r="GN52" i="42" s="1"/>
  <c r="GI207" i="42" a="1"/>
  <c r="GI207" i="42" s="1"/>
  <c r="GM110" i="42" a="1"/>
  <c r="GM110" i="42" s="1"/>
  <c r="GL37" i="42" a="1"/>
  <c r="GL37" i="42" s="1"/>
  <c r="GL170" i="42" a="1"/>
  <c r="GL170" i="42" s="1"/>
  <c r="GM169" i="42" a="1"/>
  <c r="GM169" i="42" s="1"/>
  <c r="GJ191" i="42" a="1"/>
  <c r="GJ191" i="42" s="1"/>
  <c r="GK273" i="42" a="1"/>
  <c r="GK273" i="42" s="1"/>
  <c r="GN183" i="42" a="1"/>
  <c r="GN183" i="42" s="1"/>
  <c r="GL75" i="42" a="1"/>
  <c r="GL75" i="42" s="1"/>
  <c r="GL198" i="42" a="1"/>
  <c r="GL198" i="42" s="1"/>
  <c r="GM220" i="42" a="1"/>
  <c r="GM220" i="42" s="1"/>
  <c r="GL206" i="42" a="1"/>
  <c r="GL206" i="42" s="1"/>
  <c r="GM43" i="42" a="1"/>
  <c r="GM43" i="42" s="1"/>
  <c r="GM203" i="42" a="1"/>
  <c r="GM203" i="42" s="1"/>
  <c r="GN143" i="42" a="1"/>
  <c r="GN143" i="42" s="1"/>
  <c r="GM40" i="42" a="1"/>
  <c r="GM40" i="42" s="1"/>
  <c r="GM213" i="42" a="1"/>
  <c r="GM213" i="42" s="1"/>
  <c r="GM192" i="42" a="1"/>
  <c r="GM192" i="42" s="1"/>
  <c r="GN135" i="42" a="1"/>
  <c r="GN135" i="42" s="1"/>
  <c r="GK91" i="42" a="1"/>
  <c r="GK91" i="42" s="1"/>
  <c r="GJ286" i="42" a="1"/>
  <c r="GJ286" i="42" s="1"/>
  <c r="GK64" i="42" a="1"/>
  <c r="GK64" i="42" s="1"/>
  <c r="GM271" i="42" a="1"/>
  <c r="GM271" i="42" s="1"/>
  <c r="GK276" i="42" a="1"/>
  <c r="GK276" i="42" s="1"/>
  <c r="GL267" i="42" a="1"/>
  <c r="GL267" i="42" s="1"/>
  <c r="GJ97" i="42" a="1"/>
  <c r="GJ97" i="42" s="1"/>
  <c r="GI98" i="42" a="1"/>
  <c r="GI98" i="42" s="1"/>
  <c r="GN114" i="42" a="1"/>
  <c r="GN114" i="42" s="1"/>
  <c r="GJ53" i="42" a="1"/>
  <c r="GJ53" i="42" s="1"/>
  <c r="GJ52" i="42" a="1"/>
  <c r="GJ52" i="42" s="1"/>
  <c r="GJ180" i="42" a="1"/>
  <c r="GJ180" i="42" s="1"/>
  <c r="GM48" i="42" a="1"/>
  <c r="GM48" i="42" s="1"/>
  <c r="GK249" i="42" a="1"/>
  <c r="GK249" i="42" s="1"/>
  <c r="GN286" i="42" a="1"/>
  <c r="GN286" i="42" s="1"/>
  <c r="GM135" i="42" a="1"/>
  <c r="GM135" i="42" s="1"/>
  <c r="GJ99" i="42" a="1"/>
  <c r="GJ99" i="42" s="1"/>
  <c r="GK246" i="42" a="1"/>
  <c r="GK246" i="42" s="1"/>
  <c r="GM224" i="42" a="1"/>
  <c r="GM224" i="42" s="1"/>
  <c r="GN113" i="42" a="1"/>
  <c r="GN113" i="42" s="1"/>
  <c r="GN40" i="42" a="1"/>
  <c r="GN40" i="42" s="1"/>
  <c r="GM263" i="42" a="1"/>
  <c r="GM263" i="42" s="1"/>
  <c r="GL69" i="42" a="1"/>
  <c r="GL69" i="42" s="1"/>
  <c r="GN80" i="42" a="1"/>
  <c r="GN80" i="42" s="1"/>
  <c r="GL74" i="42" a="1"/>
  <c r="GL74" i="42" s="1"/>
  <c r="GN150" i="42" a="1"/>
  <c r="GN150" i="42" s="1"/>
  <c r="GJ227" i="42" a="1"/>
  <c r="GJ227" i="42" s="1"/>
  <c r="GN238" i="42" a="1"/>
  <c r="GN238" i="42" s="1"/>
  <c r="GL240" i="42" a="1"/>
  <c r="GL240" i="42" s="1"/>
  <c r="GM237" i="42" a="1"/>
  <c r="GM237" i="42" s="1"/>
  <c r="GM124" i="42" a="1"/>
  <c r="GM124" i="42" s="1"/>
  <c r="GK51" i="42" a="1"/>
  <c r="GK51" i="42" s="1"/>
  <c r="GN36" i="42" a="1"/>
  <c r="GN36" i="42" s="1"/>
  <c r="GJ186" i="42" a="1"/>
  <c r="GJ186" i="42" s="1"/>
  <c r="GN116" i="42" a="1"/>
  <c r="GN116" i="42" s="1"/>
  <c r="GL95" i="42" a="1"/>
  <c r="GL95" i="42" s="1"/>
  <c r="GI232" i="42" a="1"/>
  <c r="GI232" i="42" s="1"/>
  <c r="GN187" i="42" a="1"/>
  <c r="GN187" i="42" s="1"/>
  <c r="GM155" i="42" a="1"/>
  <c r="GM155" i="42" s="1"/>
  <c r="GL142" i="42" a="1"/>
  <c r="GL142" i="42" s="1"/>
  <c r="GM144" i="42" a="1"/>
  <c r="GM144" i="42" s="1"/>
  <c r="GM53" i="42" a="1"/>
  <c r="GM53" i="42" s="1"/>
  <c r="GL152" i="42" a="1"/>
  <c r="GL152" i="42" s="1"/>
  <c r="GK193" i="42" a="1"/>
  <c r="GK193" i="42" s="1"/>
  <c r="GI104" i="42" a="1"/>
  <c r="GI104" i="42" s="1"/>
  <c r="GJ197" i="42" a="1"/>
  <c r="GJ197" i="42" s="1"/>
  <c r="GI171" i="42" a="1"/>
  <c r="GI171" i="42" s="1"/>
  <c r="GI245" i="42" a="1"/>
  <c r="GI245" i="42" s="1"/>
  <c r="GI172" i="42" a="1"/>
  <c r="GI172" i="42" s="1"/>
  <c r="GN146" i="42" a="1"/>
  <c r="GN146" i="42" s="1"/>
  <c r="GN53" i="42" a="1"/>
  <c r="GN53" i="42" s="1"/>
  <c r="GN43" i="42" a="1"/>
  <c r="GN43" i="42" s="1"/>
  <c r="GJ60" i="42" a="1"/>
  <c r="GJ60" i="42" s="1"/>
  <c r="GM90" i="42" a="1"/>
  <c r="GM90" i="42" s="1"/>
  <c r="GN159" i="42" a="1"/>
  <c r="GN159" i="42" s="1"/>
  <c r="GJ36" i="42" a="1"/>
  <c r="GJ36" i="42" s="1"/>
  <c r="GK101" i="42" a="1"/>
  <c r="GK101" i="42" s="1"/>
  <c r="GM122" i="42" a="1"/>
  <c r="GM122" i="42" s="1"/>
  <c r="GM283" i="42" a="1"/>
  <c r="GM283" i="42" s="1"/>
  <c r="GJ46" i="42" a="1"/>
  <c r="GJ46" i="42" s="1"/>
  <c r="GN144" i="42" a="1"/>
  <c r="GN144" i="42" s="1"/>
  <c r="GN256" i="42" a="1"/>
  <c r="GN256" i="42" s="1"/>
  <c r="GI221" i="42" a="1"/>
  <c r="GI221" i="42" s="1"/>
  <c r="GL41" i="42" a="1"/>
  <c r="GL41" i="42" s="1"/>
  <c r="GM113" i="42" a="1"/>
  <c r="GM113" i="42" s="1"/>
  <c r="GN104" i="42" a="1"/>
  <c r="GN104" i="42" s="1"/>
  <c r="GK43" i="42" a="1"/>
  <c r="GK43" i="42" s="1"/>
  <c r="GM121" i="42" a="1"/>
  <c r="GM121" i="42" s="1"/>
  <c r="GL196" i="42" a="1"/>
  <c r="GL196" i="42" s="1"/>
  <c r="GI67" i="42" a="1"/>
  <c r="GI67" i="42" s="1"/>
  <c r="GL127" i="42" a="1"/>
  <c r="GL127" i="42" s="1"/>
  <c r="GM154" i="42" a="1"/>
  <c r="GM154" i="42" s="1"/>
  <c r="GK115" i="42" a="1"/>
  <c r="GK115" i="42" s="1"/>
  <c r="GM99" i="42" a="1"/>
  <c r="GM99" i="42" s="1"/>
  <c r="GL204" i="42" a="1"/>
  <c r="GL204" i="42" s="1"/>
  <c r="GK140" i="42" a="1"/>
  <c r="GK140" i="42" s="1"/>
  <c r="GM179" i="42" a="1"/>
  <c r="GM179" i="42" s="1"/>
  <c r="GJ169" i="42" a="1"/>
  <c r="GJ169" i="42" s="1"/>
  <c r="GI185" i="42" a="1"/>
  <c r="GI185" i="42" s="1"/>
  <c r="GL171" i="42" a="1"/>
  <c r="GL171" i="42" s="1"/>
  <c r="GN67" i="42" a="1"/>
  <c r="GN67" i="42" s="1"/>
  <c r="GI218" i="42" a="1"/>
  <c r="GI218" i="42" s="1"/>
  <c r="GM194" i="42" a="1"/>
  <c r="GM194" i="42" s="1"/>
  <c r="GN151" i="42" a="1"/>
  <c r="GN151" i="42" s="1"/>
  <c r="GJ74" i="42" a="1"/>
  <c r="GJ74" i="42" s="1"/>
  <c r="GI109" i="42" a="1"/>
  <c r="GI109" i="42" s="1"/>
  <c r="GI92" i="42" a="1"/>
  <c r="GI92" i="42" s="1"/>
  <c r="GI100" i="42" a="1"/>
  <c r="GI100" i="42" s="1"/>
  <c r="GM60" i="42" a="1"/>
  <c r="GM60" i="42" s="1"/>
  <c r="GI271" i="42" a="1"/>
  <c r="GI271" i="42" s="1"/>
  <c r="GK248" i="42" a="1"/>
  <c r="GK248" i="42" s="1"/>
  <c r="GK288" i="42" a="1"/>
  <c r="GK288" i="42" s="1"/>
  <c r="GK67" i="42" a="1"/>
  <c r="GK67" i="42" s="1"/>
  <c r="GK209" i="42" a="1"/>
  <c r="GK209" i="42" s="1"/>
  <c r="GM247" i="42" a="1"/>
  <c r="GM247" i="42" s="1"/>
  <c r="GN221" i="42" a="1"/>
  <c r="GN221" i="42" s="1"/>
  <c r="GM111" i="42" a="1"/>
  <c r="GM111" i="42" s="1"/>
  <c r="GI219" i="42" a="1"/>
  <c r="GI219" i="42" s="1"/>
  <c r="GK218" i="42" a="1"/>
  <c r="GK218" i="42" s="1"/>
  <c r="GM251" i="42" a="1"/>
  <c r="GM251" i="42" s="1"/>
  <c r="GI258" i="42" a="1"/>
  <c r="GI258" i="42" s="1"/>
  <c r="GL72" i="42" a="1"/>
  <c r="GL72" i="42" s="1"/>
  <c r="GL180" i="42" a="1"/>
  <c r="GL180" i="42" s="1"/>
  <c r="GK285" i="42" a="1"/>
  <c r="GK285" i="42" s="1"/>
  <c r="GN95" i="42" a="1"/>
  <c r="GN95" i="42" s="1"/>
  <c r="GI176" i="42" a="1"/>
  <c r="GI176" i="42" s="1"/>
  <c r="GM81" i="42" a="1"/>
  <c r="GM81" i="42" s="1"/>
  <c r="GM38" i="42" a="1"/>
  <c r="GM38" i="42" s="1"/>
  <c r="GM287" i="42" a="1"/>
  <c r="GM287" i="42" s="1"/>
  <c r="GN268" i="42" a="1"/>
  <c r="GN268" i="42" s="1"/>
  <c r="GN198" i="42" a="1"/>
  <c r="GN198" i="42" s="1"/>
  <c r="GM86" i="42" a="1"/>
  <c r="GM86" i="42" s="1"/>
  <c r="GL137" i="42" a="1"/>
  <c r="GL137" i="42" s="1"/>
  <c r="GI280" i="42" a="1"/>
  <c r="GI280" i="42" s="1"/>
  <c r="GI118" i="42" a="1"/>
  <c r="GI118" i="42" s="1"/>
  <c r="GN82" i="42" a="1"/>
  <c r="GN82" i="42" s="1"/>
  <c r="GJ193" i="42" a="1"/>
  <c r="GJ193" i="42" s="1"/>
  <c r="GJ134" i="42" a="1"/>
  <c r="GJ134" i="42" s="1"/>
  <c r="GN46" i="42" a="1"/>
  <c r="GN46" i="42" s="1"/>
  <c r="GM148" i="42" a="1"/>
  <c r="GM148" i="42" s="1"/>
  <c r="GN59" i="42" a="1"/>
  <c r="GN59" i="42" s="1"/>
  <c r="GL105" i="42" a="1"/>
  <c r="GL105" i="42" s="1"/>
  <c r="GK121" i="42" a="1"/>
  <c r="GK121" i="42" s="1"/>
  <c r="GN120" i="42" a="1"/>
  <c r="GN120" i="42" s="1"/>
  <c r="GM165" i="42" a="1"/>
  <c r="GM165" i="42" s="1"/>
  <c r="GM253" i="42" a="1"/>
  <c r="GM253" i="42" s="1"/>
  <c r="GI265" i="42" a="1"/>
  <c r="GI265" i="42" s="1"/>
  <c r="GL112" i="42" a="1"/>
  <c r="GL112" i="42" s="1"/>
  <c r="GN122" i="42" a="1"/>
  <c r="GN122" i="42" s="1"/>
  <c r="GN91" i="42" a="1"/>
  <c r="GN91" i="42" s="1"/>
  <c r="GK117" i="42" a="1"/>
  <c r="GK117" i="42" s="1"/>
  <c r="GL126" i="42" a="1"/>
  <c r="GL126" i="42" s="1"/>
  <c r="GJ155" i="42" a="1"/>
  <c r="GJ155" i="42" s="1"/>
  <c r="GI130" i="42" a="1"/>
  <c r="GI130" i="42" s="1"/>
  <c r="GJ43" i="42" a="1"/>
  <c r="GJ43" i="42" s="1"/>
  <c r="GN181" i="42" a="1"/>
  <c r="GN181" i="42" s="1"/>
  <c r="GL67" i="42" a="1"/>
  <c r="GL67" i="42" s="1"/>
  <c r="GK178" i="42" a="1"/>
  <c r="GK178" i="42" s="1"/>
  <c r="GK36" i="42" a="1"/>
  <c r="GK36" i="42" s="1"/>
  <c r="GI281" i="42" a="1"/>
  <c r="GI281" i="42" s="1"/>
  <c r="GK283" i="42" a="1"/>
  <c r="GK283" i="42" s="1"/>
  <c r="GI160" i="42" a="1"/>
  <c r="GI160" i="42" s="1"/>
  <c r="GN283" i="42" a="1"/>
  <c r="GN283" i="42" s="1"/>
  <c r="GL83" i="42" a="1"/>
  <c r="GL83" i="42" s="1"/>
  <c r="GI165" i="42" a="1"/>
  <c r="GI165" i="42" s="1"/>
  <c r="GJ108" i="42" a="1"/>
  <c r="GJ108" i="42" s="1"/>
  <c r="GJ68" i="42" a="1"/>
  <c r="GJ68" i="42" s="1"/>
  <c r="GJ279" i="42" a="1"/>
  <c r="GJ279" i="42" s="1"/>
  <c r="GJ115" i="42" a="1"/>
  <c r="GJ115" i="42" s="1"/>
  <c r="GI250" i="42" a="1"/>
  <c r="GI250" i="42" s="1"/>
  <c r="GN161" i="42" a="1"/>
  <c r="GN161" i="42" s="1"/>
  <c r="GK63" i="42" a="1"/>
  <c r="GK63" i="42" s="1"/>
  <c r="GJ223" i="42" a="1"/>
  <c r="GJ223" i="42" s="1"/>
  <c r="GI66" i="42" a="1"/>
  <c r="GI66" i="42" s="1"/>
  <c r="GL76" i="42" a="1"/>
  <c r="GL76" i="42" s="1"/>
  <c r="GK45" i="42" a="1"/>
  <c r="GK45" i="42" s="1"/>
  <c r="GM107" i="42" a="1"/>
  <c r="GM107" i="42" s="1"/>
  <c r="GL273" i="42" a="1"/>
  <c r="GL273" i="42" s="1"/>
  <c r="GN229" i="42" a="1"/>
  <c r="GN229" i="42" s="1"/>
  <c r="GJ190" i="42" a="1"/>
  <c r="GJ190" i="42" s="1"/>
  <c r="GK87" i="42" a="1"/>
  <c r="GK87" i="42" s="1"/>
  <c r="GJ238" i="42" a="1"/>
  <c r="GJ238" i="42" s="1"/>
  <c r="GK196" i="42" a="1"/>
  <c r="GK196" i="42" s="1"/>
  <c r="GL92" i="42" a="1"/>
  <c r="GL92" i="42" s="1"/>
  <c r="GL209" i="42" a="1"/>
  <c r="GL209" i="42" s="1"/>
  <c r="GN68" i="42" a="1"/>
  <c r="GN68" i="42" s="1"/>
  <c r="GK174" i="42" a="1"/>
  <c r="GK174" i="42" s="1"/>
  <c r="GK46" i="42" a="1"/>
  <c r="GK46" i="42" s="1"/>
  <c r="GK89" i="42" a="1"/>
  <c r="GK89" i="42" s="1"/>
  <c r="GK69" i="42" a="1"/>
  <c r="GK69" i="42" s="1"/>
  <c r="GL190" i="42" a="1"/>
  <c r="GL190" i="42" s="1"/>
  <c r="GL147" i="42" a="1"/>
  <c r="GL147" i="42" s="1"/>
  <c r="GN255" i="42" a="1"/>
  <c r="GN255" i="42" s="1"/>
  <c r="GI128" i="42" a="1"/>
  <c r="GI128" i="42" s="1"/>
  <c r="GI142" i="42" a="1"/>
  <c r="GI142" i="42" s="1"/>
  <c r="GL163" i="42" a="1"/>
  <c r="GL163" i="42" s="1"/>
  <c r="GL246" i="42" a="1"/>
  <c r="GL246" i="42" s="1"/>
  <c r="GL208" i="42" a="1"/>
  <c r="GL208" i="42" s="1"/>
  <c r="GI38" i="42" a="1"/>
  <c r="GI38" i="42" s="1"/>
  <c r="GN158" i="42" a="1"/>
  <c r="GN158" i="42" s="1"/>
  <c r="GL115" i="42" a="1"/>
  <c r="GL115" i="42" s="1"/>
  <c r="GK76" i="42" a="1"/>
  <c r="GK76" i="42" s="1"/>
  <c r="GJ233" i="42" a="1"/>
  <c r="GJ233" i="42" s="1"/>
  <c r="GK80" i="42" a="1"/>
  <c r="GK80" i="42" s="1"/>
  <c r="GJ55" i="42" a="1"/>
  <c r="GJ55" i="42" s="1"/>
  <c r="GL230" i="42" a="1"/>
  <c r="GL230" i="42" s="1"/>
  <c r="GN280" i="42" a="1"/>
  <c r="GN280" i="42" s="1"/>
  <c r="GM193" i="42" a="1"/>
  <c r="GM193" i="42" s="1"/>
  <c r="GJ251" i="42" a="1"/>
  <c r="GJ251" i="42" s="1"/>
  <c r="GI197" i="42" a="1"/>
  <c r="GI197" i="42" s="1"/>
  <c r="GN215" i="42" a="1"/>
  <c r="GN215" i="42" s="1"/>
  <c r="GN195" i="42" a="1"/>
  <c r="GN195" i="42" s="1"/>
  <c r="GJ122" i="42" a="1"/>
  <c r="GJ122" i="42" s="1"/>
  <c r="GJ189" i="42" a="1"/>
  <c r="GJ189" i="42" s="1"/>
  <c r="GI123" i="42" a="1"/>
  <c r="GI123" i="42" s="1"/>
  <c r="GK176" i="42" a="1"/>
  <c r="GK176" i="42" s="1"/>
  <c r="GM96" i="42" a="1"/>
  <c r="GM96" i="42" s="1"/>
  <c r="GI73" i="42" a="1"/>
  <c r="GI73" i="42" s="1"/>
  <c r="GL129" i="42" a="1"/>
  <c r="GL129" i="42" s="1"/>
  <c r="GK269" i="42" a="1"/>
  <c r="GK269" i="42" s="1"/>
  <c r="GN192" i="42" a="1"/>
  <c r="GN192" i="42" s="1"/>
  <c r="GJ287" i="42" a="1"/>
  <c r="GJ287" i="42" s="1"/>
  <c r="GM196" i="42" a="1"/>
  <c r="GM196" i="42" s="1"/>
  <c r="GJ56" i="42" a="1"/>
  <c r="GJ56" i="42" s="1"/>
  <c r="GL233" i="42" a="1"/>
  <c r="GL233" i="42" s="1"/>
  <c r="GJ231" i="42" a="1"/>
  <c r="GJ231" i="42" s="1"/>
  <c r="GI105" i="42" a="1"/>
  <c r="GI105" i="42" s="1"/>
  <c r="GJ100" i="42" a="1"/>
  <c r="GJ100" i="42" s="1"/>
  <c r="GL104" i="42" a="1"/>
  <c r="GL104" i="42" s="1"/>
  <c r="GK281" i="42" a="1"/>
  <c r="GK281" i="42" s="1"/>
  <c r="GL87" i="42" a="1"/>
  <c r="GL87" i="42" s="1"/>
  <c r="GM186" i="42" a="1"/>
  <c r="GM186" i="42" s="1"/>
  <c r="GL97" i="42" a="1"/>
  <c r="GL97" i="42" s="1"/>
  <c r="GI41" i="42" a="1"/>
  <c r="GI41" i="42" s="1"/>
  <c r="GM265" i="42" a="1"/>
  <c r="GM265" i="42" s="1"/>
  <c r="GJ119" i="42" a="1"/>
  <c r="GJ119" i="42" s="1"/>
  <c r="GJ70" i="42" a="1"/>
  <c r="GJ70" i="42" s="1"/>
  <c r="GL207" i="42" a="1"/>
  <c r="GL207" i="42" s="1"/>
  <c r="GN41" i="42" a="1"/>
  <c r="GN41" i="42" s="1"/>
  <c r="GM65" i="42" a="1"/>
  <c r="GM65" i="42" s="1"/>
  <c r="GJ245" i="42" a="1"/>
  <c r="GJ245" i="42" s="1"/>
  <c r="GI49" i="42" a="1"/>
  <c r="GI49" i="42" s="1"/>
  <c r="GK112" i="42" a="1"/>
  <c r="GK112" i="42" s="1"/>
  <c r="GM91" i="42" a="1"/>
  <c r="GM91" i="42" s="1"/>
  <c r="GK90" i="42" a="1"/>
  <c r="GK90" i="42" s="1"/>
  <c r="GN98" i="42" a="1"/>
  <c r="GN98" i="42" s="1"/>
  <c r="GK168" i="42" a="1"/>
  <c r="GK168" i="42" s="1"/>
  <c r="GL217" i="42" a="1"/>
  <c r="GL217" i="42" s="1"/>
  <c r="GN273" i="42" a="1"/>
  <c r="GN273" i="42" s="1"/>
  <c r="GN112" i="42" a="1"/>
  <c r="GN112" i="42" s="1"/>
  <c r="GI143" i="42" a="1"/>
  <c r="GI143" i="42" s="1"/>
  <c r="GL46" i="42" a="1"/>
  <c r="GL46" i="42" s="1"/>
  <c r="GK222" i="42" a="1"/>
  <c r="GK222" i="42" s="1"/>
  <c r="GM120" i="42" a="1"/>
  <c r="GM120" i="42" s="1"/>
  <c r="GK171" i="42" a="1"/>
  <c r="GK171" i="42" s="1"/>
  <c r="GL191" i="42" a="1"/>
  <c r="GL191" i="42" s="1"/>
  <c r="GJ124" i="42" a="1"/>
  <c r="GJ124" i="42" s="1"/>
  <c r="GJ252" i="42" a="1"/>
  <c r="GJ252" i="42" s="1"/>
  <c r="GN101" i="42" a="1"/>
  <c r="GN101" i="42" s="1"/>
  <c r="GJ82" i="42" a="1"/>
  <c r="GJ82" i="42" s="1"/>
  <c r="GK99" i="42" a="1"/>
  <c r="GK99" i="42" s="1"/>
  <c r="GL216" i="42" a="1"/>
  <c r="GL216" i="42" s="1"/>
  <c r="GM248" i="42" a="1"/>
  <c r="GM248" i="42" s="1"/>
  <c r="GI234" i="42" a="1"/>
  <c r="GI234" i="42" s="1"/>
  <c r="GI202" i="42" a="1"/>
  <c r="GI202" i="42" s="1"/>
  <c r="GK241" i="42" a="1"/>
  <c r="GK241" i="42" s="1"/>
  <c r="GK142" i="42" a="1"/>
  <c r="GK142" i="42" s="1"/>
  <c r="GK228" i="42" a="1"/>
  <c r="GK228" i="42" s="1"/>
  <c r="GK58" i="42" a="1"/>
  <c r="GK58" i="42" s="1"/>
  <c r="GN231" i="42" a="1"/>
  <c r="GN231" i="42" s="1"/>
  <c r="GK52" i="42" a="1"/>
  <c r="GK52" i="42" s="1"/>
  <c r="GI247" i="42" a="1"/>
  <c r="GI247" i="42" s="1"/>
  <c r="GL172" i="42" a="1"/>
  <c r="GL172" i="42" s="1"/>
  <c r="GI84" i="42" a="1"/>
  <c r="GI84" i="42" s="1"/>
  <c r="GI233" i="42" a="1"/>
  <c r="GI233" i="42" s="1"/>
  <c r="GN247" i="42" a="1"/>
  <c r="GN247" i="42" s="1"/>
  <c r="GN44" i="42" a="1"/>
  <c r="GN44" i="42" s="1"/>
  <c r="GN189" i="42" a="1"/>
  <c r="GN189" i="42" s="1"/>
  <c r="GK54" i="42" a="1"/>
  <c r="GK54" i="42" s="1"/>
  <c r="GI274" i="42" a="1"/>
  <c r="GI274" i="42" s="1"/>
  <c r="GI65" i="42" a="1"/>
  <c r="GI65" i="42" s="1"/>
  <c r="GM36" i="42" a="1"/>
  <c r="GM36" i="42" s="1"/>
  <c r="GI187" i="42" a="1"/>
  <c r="GI187" i="42" s="1"/>
  <c r="GM225" i="42" a="1"/>
  <c r="GM225" i="42" s="1"/>
  <c r="GL185" i="42" a="1"/>
  <c r="GL185" i="42" s="1"/>
  <c r="GJ61" i="42" a="1"/>
  <c r="GJ61" i="42" s="1"/>
  <c r="GK57" i="42" a="1"/>
  <c r="GK57" i="42" s="1"/>
  <c r="GK194" i="42" a="1"/>
  <c r="GK194" i="42" s="1"/>
  <c r="GK38" i="42" a="1"/>
  <c r="GK38" i="42" s="1"/>
  <c r="GM79" i="42" a="1"/>
  <c r="GM79" i="42" s="1"/>
  <c r="GL89" i="42" a="1"/>
  <c r="GL89" i="42" s="1"/>
  <c r="GM217" i="42" a="1"/>
  <c r="GM217" i="42" s="1"/>
  <c r="GM185" i="42" a="1"/>
  <c r="GM185" i="42" s="1"/>
  <c r="GN209" i="42" a="1"/>
  <c r="GN209" i="42" s="1"/>
  <c r="GI148" i="42" a="1"/>
  <c r="GI148" i="42" s="1"/>
  <c r="GM184" i="42" a="1"/>
  <c r="GM184" i="42" s="1"/>
  <c r="GK132" i="42" a="1"/>
  <c r="GK132" i="42" s="1"/>
  <c r="GL135" i="42" a="1"/>
  <c r="GL135" i="42" s="1"/>
  <c r="GN175" i="42" a="1"/>
  <c r="GN175" i="42" s="1"/>
  <c r="GN271" i="42" a="1"/>
  <c r="GN271" i="42" s="1"/>
  <c r="GJ42" i="42" a="1"/>
  <c r="GJ42" i="42" s="1"/>
  <c r="GN203" i="42" a="1"/>
  <c r="GN203" i="42" s="1"/>
  <c r="GK93" i="42" a="1"/>
  <c r="GK93" i="42" s="1"/>
  <c r="GN55" i="42" a="1"/>
  <c r="GN55" i="42" s="1"/>
  <c r="GJ114" i="42" a="1"/>
  <c r="GJ114" i="42" s="1"/>
  <c r="GL214" i="42" a="1"/>
  <c r="GL214" i="42" s="1"/>
  <c r="GM231" i="42" a="1"/>
  <c r="GM231" i="42" s="1"/>
  <c r="GN207" i="42" a="1"/>
  <c r="GN207" i="42" s="1"/>
  <c r="GN188" i="42" a="1"/>
  <c r="GN188" i="42" s="1"/>
  <c r="GN133" i="42" a="1"/>
  <c r="GN133" i="42" s="1"/>
  <c r="GI272" i="42" a="1"/>
  <c r="GI272" i="42" s="1"/>
  <c r="GN71" i="42" a="1"/>
  <c r="GN71" i="42" s="1"/>
  <c r="GK277" i="42" a="1"/>
  <c r="GK277" i="42" s="1"/>
  <c r="GL153" i="42" a="1"/>
  <c r="GL153" i="42" s="1"/>
  <c r="GI56" i="42" a="1"/>
  <c r="GI56" i="42" s="1"/>
  <c r="GK232" i="42" a="1"/>
  <c r="GK232" i="42" s="1"/>
  <c r="GL220" i="42" a="1"/>
  <c r="GL220" i="42" s="1"/>
  <c r="GJ135" i="42" a="1"/>
  <c r="GJ135" i="42" s="1"/>
  <c r="GM200" i="42" a="1"/>
  <c r="GM200" i="42" s="1"/>
  <c r="GN148" i="42" a="1"/>
  <c r="GN148" i="42" s="1"/>
  <c r="GI106" i="42" a="1"/>
  <c r="GI106" i="42" s="1"/>
  <c r="GI287" i="42" a="1"/>
  <c r="GI287" i="42" s="1"/>
  <c r="GN61" i="42" a="1"/>
  <c r="GN61" i="42" s="1"/>
  <c r="GK149" i="42" a="1"/>
  <c r="GK149" i="42" s="1"/>
  <c r="GJ139" i="42" a="1"/>
  <c r="GJ139" i="42" s="1"/>
  <c r="GM151" i="42" a="1"/>
  <c r="GM151" i="42" s="1"/>
  <c r="GK155" i="42" a="1"/>
  <c r="GK155" i="42" s="1"/>
  <c r="GJ103" i="42" a="1"/>
  <c r="GJ103" i="42" s="1"/>
  <c r="GN69" i="42" a="1"/>
  <c r="GN69" i="42" s="1"/>
  <c r="GK77" i="42" a="1"/>
  <c r="GK77" i="42" s="1"/>
  <c r="GJ242" i="42" a="1"/>
  <c r="GJ242" i="42" s="1"/>
  <c r="GM205" i="42" a="1"/>
  <c r="GM205" i="42" s="1"/>
  <c r="GJ269" i="42" a="1"/>
  <c r="GJ269" i="42" s="1"/>
  <c r="GN105" i="42" a="1"/>
  <c r="GN105" i="42" s="1"/>
  <c r="GK280" i="42" a="1"/>
  <c r="GK280" i="42" s="1"/>
  <c r="GL159" i="42" a="1"/>
  <c r="GL159" i="42" s="1"/>
  <c r="GL71" i="42" a="1"/>
  <c r="GL71" i="42" s="1"/>
  <c r="GN267" i="42" a="1"/>
  <c r="GN267" i="42" s="1"/>
  <c r="GJ220" i="42" a="1"/>
  <c r="GJ220" i="42" s="1"/>
  <c r="GN177" i="42" a="1"/>
  <c r="GN177" i="42" s="1"/>
  <c r="GK79" i="42" a="1"/>
  <c r="GK79" i="42" s="1"/>
  <c r="GK226" i="42" a="1"/>
  <c r="GK226" i="42" s="1"/>
  <c r="GN54" i="42" a="1"/>
  <c r="GN54" i="42" s="1"/>
  <c r="GJ88" i="42" a="1"/>
  <c r="GJ88" i="42" s="1"/>
  <c r="GK103" i="42" a="1"/>
  <c r="GK103" i="42" s="1"/>
  <c r="GL56" i="42" a="1"/>
  <c r="GL56" i="42" s="1"/>
  <c r="GL162" i="42" a="1"/>
  <c r="GL162" i="42" s="1"/>
  <c r="GN239" i="42" a="1"/>
  <c r="GN239" i="42" s="1"/>
  <c r="GM157" i="42" a="1"/>
  <c r="GM157" i="42" s="1"/>
  <c r="GN78" i="42" a="1"/>
  <c r="GN78" i="42" s="1"/>
  <c r="GM77" i="42" a="1"/>
  <c r="GM77" i="42" s="1"/>
  <c r="GM174" i="42" a="1"/>
  <c r="GM174" i="42" s="1"/>
  <c r="GL78" i="42" a="1"/>
  <c r="GL78" i="42" s="1"/>
  <c r="GN38" i="42" a="1"/>
  <c r="GN38" i="42" s="1"/>
  <c r="GJ78" i="42" a="1"/>
  <c r="GJ78" i="42" s="1"/>
  <c r="GK75" i="42" a="1"/>
  <c r="GK75" i="42" s="1"/>
  <c r="GK160" i="42" a="1"/>
  <c r="GK160" i="42" s="1"/>
  <c r="GI43" i="42" a="1"/>
  <c r="GI43" i="42" s="1"/>
  <c r="GI62" i="42" a="1"/>
  <c r="GI62" i="42" s="1"/>
  <c r="GL130" i="42" a="1"/>
  <c r="GL130" i="42" s="1"/>
  <c r="GN75" i="42" a="1"/>
  <c r="GN75" i="42" s="1"/>
  <c r="GI55" i="42" a="1"/>
  <c r="GI55" i="42" s="1"/>
  <c r="GL268" i="42" a="1"/>
  <c r="GL268" i="42" s="1"/>
  <c r="GM75" i="42" a="1"/>
  <c r="GM75" i="42" s="1"/>
  <c r="GL119" i="42" a="1"/>
  <c r="GL119" i="42" s="1"/>
  <c r="GN272" i="42" a="1"/>
  <c r="GN272" i="42" s="1"/>
  <c r="GN193" i="42" a="1"/>
  <c r="GN193" i="42" s="1"/>
  <c r="GN216" i="42" a="1"/>
  <c r="GN216" i="42" s="1"/>
  <c r="GK264" i="42" a="1"/>
  <c r="GK264" i="42" s="1"/>
  <c r="GJ271" i="42" a="1"/>
  <c r="GJ271" i="42" s="1"/>
  <c r="GL270" i="42" a="1"/>
  <c r="GL270" i="42" s="1"/>
  <c r="GM68" i="42" a="1"/>
  <c r="GM68" i="42" s="1"/>
  <c r="GL215" i="42" a="1"/>
  <c r="GL215" i="42" s="1"/>
  <c r="GM94" i="42" a="1"/>
  <c r="GM94" i="42" s="1"/>
  <c r="GM278" i="42" a="1"/>
  <c r="GM278" i="42" s="1"/>
  <c r="GJ128" i="42" a="1"/>
  <c r="GJ128" i="42" s="1"/>
  <c r="GN240" i="42" a="1"/>
  <c r="GN240" i="42" s="1"/>
  <c r="GM191" i="42" a="1"/>
  <c r="GM191" i="42" s="1"/>
  <c r="GJ262" i="42" a="1"/>
  <c r="GJ262" i="42" s="1"/>
  <c r="GI223" i="42" a="1"/>
  <c r="GI223" i="42" s="1"/>
  <c r="GM61" i="42" a="1"/>
  <c r="GM61" i="42" s="1"/>
  <c r="GM78" i="42" a="1"/>
  <c r="GM78" i="42" s="1"/>
  <c r="GL186" i="42" a="1"/>
  <c r="GL186" i="42" s="1"/>
  <c r="GI124" i="42" a="1"/>
  <c r="GI124" i="42" s="1"/>
  <c r="GL178" i="42" a="1"/>
  <c r="GL178" i="42" s="1"/>
  <c r="GI133" i="42" a="1"/>
  <c r="GI133" i="42" s="1"/>
  <c r="GN163" i="42" a="1"/>
  <c r="GN163" i="42" s="1"/>
  <c r="GM88" i="42" a="1"/>
  <c r="GM88" i="42" s="1"/>
  <c r="GI210" i="42" a="1"/>
  <c r="GI210" i="42" s="1"/>
  <c r="GJ225" i="42" a="1"/>
  <c r="GJ225" i="42" s="1"/>
  <c r="GK172" i="42" a="1"/>
  <c r="GK172" i="42" s="1"/>
  <c r="GN102" i="42" a="1"/>
  <c r="GN102" i="42" s="1"/>
  <c r="GJ158" i="42" a="1"/>
  <c r="GJ158" i="42" s="1"/>
  <c r="GI131" i="42" a="1"/>
  <c r="GI131" i="42" s="1"/>
  <c r="GM136" i="42" a="1"/>
  <c r="GM136" i="42" s="1"/>
  <c r="GK163" i="42" a="1"/>
  <c r="GK163" i="42" s="1"/>
  <c r="GJ261" i="42" a="1"/>
  <c r="GJ261" i="42" s="1"/>
  <c r="GK66" i="42" a="1"/>
  <c r="GK66" i="42" s="1"/>
  <c r="GI206" i="42" a="1"/>
  <c r="GI206" i="42" s="1"/>
  <c r="GJ178" i="42" a="1"/>
  <c r="GJ178" i="42" s="1"/>
  <c r="GI44" i="42" a="1"/>
  <c r="GI44" i="42" s="1"/>
  <c r="GM146" i="42" a="1"/>
  <c r="GM146" i="42" s="1"/>
  <c r="GM245" i="42" a="1"/>
  <c r="GM245" i="42" s="1"/>
  <c r="GM129" i="42" a="1"/>
  <c r="GM129" i="42" s="1"/>
  <c r="GK35" i="42" a="1"/>
  <c r="GK35" i="42" s="1"/>
  <c r="GJ222" i="42" a="1"/>
  <c r="GJ222" i="42" s="1"/>
  <c r="GK216" i="42" a="1"/>
  <c r="GK216" i="42" s="1"/>
  <c r="GM130" i="42" a="1"/>
  <c r="GM130" i="42" s="1"/>
  <c r="GL96" i="42" a="1"/>
  <c r="GL96" i="42" s="1"/>
  <c r="GN194" i="42" a="1"/>
  <c r="GN194" i="42" s="1"/>
  <c r="GI71" i="42" a="1"/>
  <c r="GI71" i="42" s="1"/>
  <c r="GI269" i="42" a="1"/>
  <c r="GI269" i="42" s="1"/>
  <c r="GJ232" i="42" a="1"/>
  <c r="GJ232" i="42" s="1"/>
  <c r="GI164" i="42" a="1"/>
  <c r="GI164" i="42" s="1"/>
  <c r="GK182" i="42" a="1"/>
  <c r="GK182" i="42" s="1"/>
  <c r="GJ38" i="42" a="1"/>
  <c r="GJ38" i="42" s="1"/>
  <c r="GJ185" i="42" a="1"/>
  <c r="GJ185" i="42" s="1"/>
  <c r="GL51" i="42" a="1"/>
  <c r="GL51" i="42" s="1"/>
  <c r="GL179" i="42" a="1"/>
  <c r="GL179" i="42" s="1"/>
  <c r="GJ284" i="42" a="1"/>
  <c r="GJ284" i="42" s="1"/>
  <c r="GM133" i="42" a="1"/>
  <c r="GM133" i="42" s="1"/>
  <c r="GL197" i="42" a="1"/>
  <c r="GL197" i="42" s="1"/>
  <c r="GJ106" i="42" a="1"/>
  <c r="GJ106" i="42" s="1"/>
  <c r="GI215" i="42" a="1"/>
  <c r="GI215" i="42" s="1"/>
  <c r="GK102" i="42" a="1"/>
  <c r="GK102" i="42" s="1"/>
  <c r="GJ111" i="42" a="1"/>
  <c r="GJ111" i="42" s="1"/>
  <c r="GI127" i="42" a="1"/>
  <c r="GI127" i="42" s="1"/>
  <c r="GK106" i="42" a="1"/>
  <c r="GK106" i="42" s="1"/>
  <c r="GI264" i="42" a="1"/>
  <c r="GI264" i="42" s="1"/>
  <c r="GK242" i="42" a="1"/>
  <c r="GK242" i="42" s="1"/>
  <c r="GM281" i="42" a="1"/>
  <c r="GM281" i="42" s="1"/>
  <c r="GL250" i="42" a="1"/>
  <c r="GL250" i="42" s="1"/>
  <c r="GH5" i="42"/>
  <c r="GJ284" i="34" a="1"/>
  <c r="GJ284" i="34" s="1"/>
  <c r="GI273" i="34" a="1"/>
  <c r="GI273" i="34" s="1"/>
  <c r="GM268" i="34" a="1"/>
  <c r="GM268" i="34" s="1"/>
  <c r="GJ277" i="34" a="1"/>
  <c r="GJ277" i="34" s="1"/>
  <c r="GM285" i="34" a="1"/>
  <c r="GM285" i="34" s="1"/>
  <c r="GJ265" i="34" a="1"/>
  <c r="GJ265" i="34" s="1"/>
  <c r="GJ266" i="34" a="1"/>
  <c r="GJ266" i="34" s="1"/>
  <c r="GJ263" i="34" a="1"/>
  <c r="GJ263" i="34" s="1"/>
  <c r="GI260" i="34" a="1"/>
  <c r="GI260" i="34" s="1"/>
  <c r="GM275" i="34" a="1"/>
  <c r="GM275" i="34" s="1"/>
  <c r="GI277" i="34" a="1"/>
  <c r="GI277" i="34" s="1"/>
  <c r="GJ259" i="34" a="1"/>
  <c r="GJ259" i="34" s="1"/>
  <c r="GK288" i="34" a="1"/>
  <c r="GK288" i="34" s="1"/>
  <c r="GL258" i="34" a="1"/>
  <c r="GL258" i="34" s="1"/>
  <c r="GJ280" i="34" a="1"/>
  <c r="GJ280" i="34" s="1"/>
  <c r="GL285" i="34" a="1"/>
  <c r="GL285" i="34" s="1"/>
  <c r="GL264" i="34" a="1"/>
  <c r="GL264" i="34" s="1"/>
  <c r="GJ283" i="34" a="1"/>
  <c r="GJ283" i="34" s="1"/>
  <c r="GN274" i="34" a="1"/>
  <c r="GN274" i="34" s="1"/>
  <c r="GJ267" i="34" a="1"/>
  <c r="GJ267" i="34" s="1"/>
  <c r="GL274" i="34" a="1"/>
  <c r="GL274" i="34" s="1"/>
  <c r="GL269" i="34" a="1"/>
  <c r="GL269" i="34" s="1"/>
  <c r="GK287" i="34" a="1"/>
  <c r="GK287" i="34" s="1"/>
  <c r="GK283" i="34" a="1"/>
  <c r="GK283" i="34" s="1"/>
  <c r="GI287" i="34" a="1"/>
  <c r="GI287" i="34" s="1"/>
  <c r="GN261" i="34" a="1"/>
  <c r="GN261" i="34" s="1"/>
  <c r="GK265" i="34" a="1"/>
  <c r="GK265" i="34" s="1"/>
  <c r="GN275" i="34" a="1"/>
  <c r="GN275" i="34" s="1"/>
  <c r="GM259" i="34" a="1"/>
  <c r="GM259" i="34" s="1"/>
  <c r="GN269" i="34" a="1"/>
  <c r="GN269" i="34" s="1"/>
  <c r="GN282" i="34" a="1"/>
  <c r="GN282" i="34" s="1"/>
  <c r="GJ271" i="34" a="1"/>
  <c r="GJ271" i="34" s="1"/>
  <c r="GK259" i="34" a="1"/>
  <c r="GK259" i="34" s="1"/>
  <c r="GL272" i="34" a="1"/>
  <c r="GL272" i="34" s="1"/>
  <c r="GJ281" i="34" a="1"/>
  <c r="GJ281" i="34" s="1"/>
  <c r="GL276" i="34" a="1"/>
  <c r="GL276" i="34" s="1"/>
  <c r="GJ260" i="34" a="1"/>
  <c r="GJ260" i="34" s="1"/>
  <c r="GI278" i="34" a="1"/>
  <c r="GI278" i="34" s="1"/>
  <c r="GL271" i="34" a="1"/>
  <c r="GL271" i="34" s="1"/>
  <c r="GI262" i="34" a="1"/>
  <c r="GI262" i="34" s="1"/>
  <c r="GM258" i="34" a="1"/>
  <c r="GM258" i="34" s="1"/>
  <c r="GK269" i="34" a="1"/>
  <c r="GK269" i="34" s="1"/>
  <c r="GJ257" i="34" a="1"/>
  <c r="GJ257" i="34" s="1"/>
  <c r="GM284" i="34" a="1"/>
  <c r="GM284" i="34" s="1"/>
  <c r="GJ272" i="34" a="1"/>
  <c r="GJ272" i="34" s="1"/>
  <c r="GN264" i="34" a="1"/>
  <c r="GN264" i="34" s="1"/>
  <c r="GN257" i="34" a="1"/>
  <c r="GN257" i="34" s="1"/>
  <c r="GM260" i="34" a="1"/>
  <c r="GM260" i="34" s="1"/>
  <c r="GK279" i="34" a="1"/>
  <c r="GK279" i="34" s="1"/>
  <c r="GK282" i="34" a="1"/>
  <c r="GK282" i="34" s="1"/>
  <c r="GL287" i="34" a="1"/>
  <c r="GL287" i="34" s="1"/>
  <c r="GN280" i="34" a="1"/>
  <c r="GN280" i="34" s="1"/>
  <c r="GM280" i="34" a="1"/>
  <c r="GM280" i="34" s="1"/>
  <c r="GJ269" i="34" a="1"/>
  <c r="GJ269" i="34" s="1"/>
  <c r="GM277" i="34" a="1"/>
  <c r="GM277" i="34" s="1"/>
  <c r="GN268" i="34" a="1"/>
  <c r="GN268" i="34" s="1"/>
  <c r="GI269" i="34" a="1"/>
  <c r="GI269" i="34" s="1"/>
  <c r="GL270" i="34" a="1"/>
  <c r="GL270" i="34" s="1"/>
  <c r="GL282" i="34" a="1"/>
  <c r="GL282" i="34" s="1"/>
  <c r="GI264" i="34" a="1"/>
  <c r="GI264" i="34" s="1"/>
  <c r="GL260" i="34" a="1"/>
  <c r="GL260" i="34" s="1"/>
  <c r="GK263" i="34" a="1"/>
  <c r="GK263" i="34" s="1"/>
  <c r="GJ268" i="34" a="1"/>
  <c r="GJ268" i="34" s="1"/>
  <c r="GL262" i="34" a="1"/>
  <c r="GL262" i="34" s="1"/>
  <c r="GN284" i="34" a="1"/>
  <c r="GN284" i="34" s="1"/>
  <c r="GL277" i="34" a="1"/>
  <c r="GL277" i="34" s="1"/>
  <c r="GK261" i="34" a="1"/>
  <c r="GK261" i="34" s="1"/>
  <c r="GK273" i="34" a="1"/>
  <c r="GK273" i="34" s="1"/>
  <c r="GL284" i="34" a="1"/>
  <c r="GL284" i="34" s="1"/>
  <c r="GL275" i="34" a="1"/>
  <c r="GL275" i="34" s="1"/>
  <c r="GK264" i="34" a="1"/>
  <c r="GK264" i="34" s="1"/>
  <c r="GK258" i="34" a="1"/>
  <c r="GK258" i="34" s="1"/>
  <c r="GN278" i="34" a="1"/>
  <c r="GN278" i="34" s="1"/>
  <c r="GL286" i="34" a="1"/>
  <c r="GL286" i="34" s="1"/>
  <c r="GK278" i="34" a="1"/>
  <c r="GK278" i="34" s="1"/>
  <c r="GK270" i="34" a="1"/>
  <c r="GK270" i="34" s="1"/>
  <c r="GJ287" i="34" a="1"/>
  <c r="GJ287" i="34" s="1"/>
  <c r="GN281" i="34" a="1"/>
  <c r="GN281" i="34" s="1"/>
  <c r="GN279" i="34" a="1"/>
  <c r="GN279" i="34" s="1"/>
  <c r="GM286" i="34" a="1"/>
  <c r="GM286" i="34" s="1"/>
  <c r="GK285" i="34" a="1"/>
  <c r="GK285" i="34" s="1"/>
  <c r="GI276" i="34" a="1"/>
  <c r="GI276" i="34" s="1"/>
  <c r="GI263" i="34" a="1"/>
  <c r="GI263" i="34" s="1"/>
  <c r="GI282" i="34" a="1"/>
  <c r="GI282" i="34" s="1"/>
  <c r="GN262" i="34" a="1"/>
  <c r="GN262" i="34" s="1"/>
  <c r="GL273" i="34" a="1"/>
  <c r="GL273" i="34" s="1"/>
  <c r="GK280" i="34" a="1"/>
  <c r="GK280" i="34" s="1"/>
  <c r="GI272" i="34" a="1"/>
  <c r="GI272" i="34" s="1"/>
  <c r="GM288" i="34" a="1"/>
  <c r="GM288" i="34" s="1"/>
  <c r="GN287" i="34" a="1"/>
  <c r="GN287" i="34" s="1"/>
  <c r="GL288" i="34" a="1"/>
  <c r="GL288" i="34" s="1"/>
  <c r="GL281" i="34" a="1"/>
  <c r="GL281" i="34" s="1"/>
  <c r="GJ273" i="34" a="1"/>
  <c r="GJ273" i="34" s="1"/>
  <c r="GK277" i="34" a="1"/>
  <c r="GK277" i="34" s="1"/>
  <c r="GM287" i="34" a="1"/>
  <c r="GM287" i="34" s="1"/>
  <c r="GM274" i="34" a="1"/>
  <c r="GM274" i="34" s="1"/>
  <c r="GK262" i="34" a="1"/>
  <c r="GK262" i="34" s="1"/>
  <c r="GM262" i="34" a="1"/>
  <c r="GM262" i="34" s="1"/>
  <c r="GL265" i="34" a="1"/>
  <c r="GL265" i="34" s="1"/>
  <c r="GI279" i="34" a="1"/>
  <c r="GI279" i="34" s="1"/>
  <c r="GM272" i="34" a="1"/>
  <c r="GM272" i="34" s="1"/>
  <c r="GK274" i="34" a="1"/>
  <c r="GK274" i="34" s="1"/>
  <c r="GK257" i="34" a="1"/>
  <c r="GK257" i="34" s="1"/>
  <c r="GN272" i="34" a="1"/>
  <c r="GN272" i="34" s="1"/>
  <c r="GM273" i="34" a="1"/>
  <c r="GM273" i="34" s="1"/>
  <c r="GM276" i="34" a="1"/>
  <c r="GM276" i="34" s="1"/>
  <c r="GI285" i="34" a="1"/>
  <c r="GI285" i="34" s="1"/>
  <c r="GM263" i="34" a="1"/>
  <c r="GM263" i="34" s="1"/>
  <c r="GI280" i="34" a="1"/>
  <c r="GI280" i="34" s="1"/>
  <c r="GN270" i="34" a="1"/>
  <c r="GN270" i="34" s="1"/>
  <c r="GM266" i="34" a="1"/>
  <c r="GM266" i="34" s="1"/>
  <c r="GL283" i="34" a="1"/>
  <c r="GL283" i="34" s="1"/>
  <c r="GK281" i="34" a="1"/>
  <c r="GK281" i="34" s="1"/>
  <c r="GM256" i="34" a="1"/>
  <c r="GM256" i="34" s="1"/>
  <c r="GI261" i="34" a="1"/>
  <c r="GI261" i="34" s="1"/>
  <c r="GJ282" i="34" a="1"/>
  <c r="GJ282" i="34" s="1"/>
  <c r="GN258" i="34" a="1"/>
  <c r="GN258" i="34" s="1"/>
  <c r="GN267" i="34" a="1"/>
  <c r="GN267" i="34" s="1"/>
  <c r="GI275" i="34" a="1"/>
  <c r="GI275" i="34" s="1"/>
  <c r="GN256" i="34" a="1"/>
  <c r="GN256" i="34" s="1"/>
  <c r="GN288" i="34" a="1"/>
  <c r="GN288" i="34" s="1"/>
  <c r="GM269" i="34" a="1"/>
  <c r="GM269" i="34" s="1"/>
  <c r="GN285" i="34" a="1"/>
  <c r="GN285" i="34" s="1"/>
  <c r="GI268" i="34" a="1"/>
  <c r="GI268" i="34" s="1"/>
  <c r="GI265" i="34" a="1"/>
  <c r="GI265" i="34" s="1"/>
  <c r="GL266" i="34" a="1"/>
  <c r="GL266" i="34" s="1"/>
  <c r="GI286" i="34" a="1"/>
  <c r="GI286" i="34" s="1"/>
  <c r="GL256" i="34" a="1"/>
  <c r="GL256" i="34" s="1"/>
  <c r="GM267" i="34" a="1"/>
  <c r="GM267" i="34" s="1"/>
  <c r="GI284" i="34" a="1"/>
  <c r="GI284" i="34" s="1"/>
  <c r="GJ285" i="34" a="1"/>
  <c r="GJ285" i="34" s="1"/>
  <c r="GK266" i="34" a="1"/>
  <c r="GK266" i="34" s="1"/>
  <c r="GM257" i="34" a="1"/>
  <c r="GM257" i="34" s="1"/>
  <c r="GN276" i="34" a="1"/>
  <c r="GN276" i="34" s="1"/>
  <c r="GL280" i="34" a="1"/>
  <c r="GL280" i="34" s="1"/>
  <c r="GI283" i="34" a="1"/>
  <c r="GI283" i="34" s="1"/>
  <c r="GL261" i="34" a="1"/>
  <c r="GL261" i="34" s="1"/>
  <c r="GJ276" i="34" a="1"/>
  <c r="GJ276" i="34" s="1"/>
  <c r="GI271" i="34" a="1"/>
  <c r="GI271" i="34" s="1"/>
  <c r="GK284" i="34" a="1"/>
  <c r="GK284" i="34" s="1"/>
  <c r="GK276" i="34" a="1"/>
  <c r="GK276" i="34" s="1"/>
  <c r="GM270" i="34" a="1"/>
  <c r="GM270" i="34" s="1"/>
  <c r="GM283" i="34" a="1"/>
  <c r="GM283" i="34" s="1"/>
  <c r="GI266" i="34" a="1"/>
  <c r="GI266" i="34" s="1"/>
  <c r="GN286" i="34" a="1"/>
  <c r="GN286" i="34" s="1"/>
  <c r="GN263" i="34" a="1"/>
  <c r="GN263" i="34" s="1"/>
  <c r="GM261" i="34" a="1"/>
  <c r="GM261" i="34" s="1"/>
  <c r="GI257" i="34" a="1"/>
  <c r="GI257" i="34" s="1"/>
  <c r="GL279" i="34" a="1"/>
  <c r="GL279" i="34" s="1"/>
  <c r="GM281" i="34" a="1"/>
  <c r="GM281" i="34" s="1"/>
  <c r="GI267" i="34" a="1"/>
  <c r="GI267" i="34" s="1"/>
  <c r="GI256" i="34" a="1"/>
  <c r="GI256" i="34" s="1"/>
  <c r="GJ286" i="34" a="1"/>
  <c r="GJ286" i="34" s="1"/>
  <c r="GL259" i="34" a="1"/>
  <c r="GL259" i="34" s="1"/>
  <c r="GN260" i="34" a="1"/>
  <c r="GN260" i="34" s="1"/>
  <c r="GN271" i="34" a="1"/>
  <c r="GN271" i="34" s="1"/>
  <c r="GJ270" i="34" a="1"/>
  <c r="GJ270" i="34" s="1"/>
  <c r="GL278" i="34" a="1"/>
  <c r="GL278" i="34" s="1"/>
  <c r="GJ256" i="34" a="1"/>
  <c r="GJ256" i="34" s="1"/>
  <c r="GK286" i="34" a="1"/>
  <c r="GK286" i="34" s="1"/>
  <c r="GI270" i="34" a="1"/>
  <c r="GI270" i="34" s="1"/>
  <c r="GM264" i="34" a="1"/>
  <c r="GM264" i="34" s="1"/>
  <c r="GJ262" i="34" a="1"/>
  <c r="GJ262" i="34" s="1"/>
  <c r="GN259" i="34" a="1"/>
  <c r="GN259" i="34" s="1"/>
  <c r="GI274" i="34" a="1"/>
  <c r="GI274" i="34" s="1"/>
  <c r="GJ258" i="34" a="1"/>
  <c r="GJ258" i="34" s="1"/>
  <c r="GN273" i="34" a="1"/>
  <c r="GN273" i="34" s="1"/>
  <c r="GM271" i="34" a="1"/>
  <c r="GM271" i="34" s="1"/>
  <c r="GK260" i="34" a="1"/>
  <c r="GK260" i="34" s="1"/>
  <c r="GI281" i="34" a="1"/>
  <c r="GI281" i="34" s="1"/>
  <c r="GJ288" i="34" a="1"/>
  <c r="GJ288" i="34" s="1"/>
  <c r="GN266" i="34" a="1"/>
  <c r="GN266" i="34" s="1"/>
  <c r="GJ264" i="34" a="1"/>
  <c r="GJ264" i="34" s="1"/>
  <c r="GN283" i="34" a="1"/>
  <c r="GN283" i="34" s="1"/>
  <c r="GL268" i="34" a="1"/>
  <c r="GL268" i="34" s="1"/>
  <c r="GM282" i="34" a="1"/>
  <c r="GM282" i="34" s="1"/>
  <c r="GK271" i="34" a="1"/>
  <c r="GK271" i="34" s="1"/>
  <c r="GM278" i="34" a="1"/>
  <c r="GM278" i="34" s="1"/>
  <c r="GK256" i="34" a="1"/>
  <c r="GK256" i="34" s="1"/>
  <c r="GJ261" i="34" a="1"/>
  <c r="GJ261" i="34" s="1"/>
  <c r="GJ275" i="34" a="1"/>
  <c r="GJ275" i="34" s="1"/>
  <c r="GK272" i="34" a="1"/>
  <c r="GK272" i="34" s="1"/>
  <c r="GI259" i="34" a="1"/>
  <c r="GI259" i="34" s="1"/>
  <c r="GK268" i="34" a="1"/>
  <c r="GK268" i="34" s="1"/>
  <c r="GM265" i="34" a="1"/>
  <c r="GM265" i="34" s="1"/>
  <c r="GJ274" i="34" a="1"/>
  <c r="GJ274" i="34" s="1"/>
  <c r="GN265" i="34" a="1"/>
  <c r="GN265" i="34" s="1"/>
  <c r="GN277" i="34" a="1"/>
  <c r="GN277" i="34" s="1"/>
  <c r="GK267" i="34" a="1"/>
  <c r="GK267" i="34" s="1"/>
  <c r="GL267" i="34" a="1"/>
  <c r="GL267" i="34" s="1"/>
  <c r="GK275" i="34" a="1"/>
  <c r="GK275" i="34" s="1"/>
  <c r="GL263" i="34" a="1"/>
  <c r="GL263" i="34" s="1"/>
  <c r="GI288" i="34" a="1"/>
  <c r="GI288" i="34" s="1"/>
  <c r="GI258" i="34" a="1"/>
  <c r="GI258" i="34" s="1"/>
  <c r="GM279" i="34" a="1"/>
  <c r="GM279" i="34" s="1"/>
  <c r="GJ279" i="34" a="1"/>
  <c r="GJ279" i="34" s="1"/>
  <c r="GJ278" i="34" a="1"/>
  <c r="GJ278" i="34" s="1"/>
  <c r="GL257" i="34" a="1"/>
  <c r="GL257" i="34" s="1"/>
  <c r="GH5" i="34"/>
  <c r="FZ7" i="41" a="1"/>
  <c r="C30" i="46"/>
  <c r="GK37" i="41" a="1"/>
  <c r="GK37" i="41" s="1"/>
  <c r="GJ216" i="41" a="1"/>
  <c r="GJ216" i="41" s="1"/>
  <c r="GM121" i="41" a="1"/>
  <c r="GM121" i="41" s="1"/>
  <c r="GJ272" i="41" a="1"/>
  <c r="GJ272" i="41" s="1"/>
  <c r="GI176" i="41" a="1"/>
  <c r="GI176" i="41" s="1"/>
  <c r="GJ32" i="41" a="1"/>
  <c r="GJ32" i="41" s="1"/>
  <c r="GJ243" i="41" a="1"/>
  <c r="GJ243" i="41" s="1"/>
  <c r="GJ241" i="41" a="1"/>
  <c r="GJ241" i="41" s="1"/>
  <c r="GM245" i="41" a="1"/>
  <c r="GM245" i="41" s="1"/>
  <c r="GI272" i="41" a="1"/>
  <c r="GI272" i="41" s="1"/>
  <c r="GI157" i="41" a="1"/>
  <c r="GI157" i="41" s="1"/>
  <c r="GI231" i="41" a="1"/>
  <c r="GI231" i="41" s="1"/>
  <c r="GL254" i="41" a="1"/>
  <c r="GL254" i="41" s="1"/>
  <c r="GJ57" i="41" a="1"/>
  <c r="GJ57" i="41" s="1"/>
  <c r="GI144" i="41" a="1"/>
  <c r="GI144" i="41" s="1"/>
  <c r="GI59" i="41" a="1"/>
  <c r="GI59" i="41" s="1"/>
  <c r="GI204" i="41" a="1"/>
  <c r="GI204" i="41" s="1"/>
  <c r="GI249" i="41" a="1"/>
  <c r="GI249" i="41" s="1"/>
  <c r="GI198" i="41" a="1"/>
  <c r="GI198" i="41" s="1"/>
  <c r="GM251" i="41" a="1"/>
  <c r="GM251" i="41" s="1"/>
  <c r="GJ31" i="41" a="1"/>
  <c r="GJ31" i="41" s="1"/>
  <c r="GK265" i="41" a="1"/>
  <c r="GK265" i="41" s="1"/>
  <c r="GL37" i="41" a="1"/>
  <c r="GL37" i="41" s="1"/>
  <c r="GK172" i="41" a="1"/>
  <c r="GK172" i="41" s="1"/>
  <c r="GM272" i="41" a="1"/>
  <c r="GM272" i="41" s="1"/>
  <c r="GK285" i="41" a="1"/>
  <c r="GK285" i="41" s="1"/>
  <c r="GJ288" i="41" a="1"/>
  <c r="GJ288" i="41" s="1"/>
  <c r="GJ36" i="41" a="1"/>
  <c r="GJ36" i="41" s="1"/>
  <c r="GI282" i="41" a="1"/>
  <c r="GI282" i="41" s="1"/>
  <c r="GI39" i="41" a="1"/>
  <c r="GI39" i="41" s="1"/>
  <c r="GI85" i="41" a="1"/>
  <c r="GI85" i="41" s="1"/>
  <c r="GJ141" i="41" a="1"/>
  <c r="GJ141" i="41" s="1"/>
  <c r="GJ184" i="41" a="1"/>
  <c r="GJ184" i="41" s="1"/>
  <c r="GL222" i="41" a="1"/>
  <c r="GL222" i="41" s="1"/>
  <c r="GI40" i="41" a="1"/>
  <c r="GI40" i="41" s="1"/>
  <c r="GI93" i="41" a="1"/>
  <c r="GI93" i="41" s="1"/>
  <c r="GK233" i="41" a="1"/>
  <c r="GK233" i="41" s="1"/>
  <c r="GI57" i="41" a="1"/>
  <c r="GI57" i="41" s="1"/>
  <c r="GM65" i="41" a="1"/>
  <c r="GM65" i="41" s="1"/>
  <c r="GM127" i="41" a="1"/>
  <c r="GM127" i="41" s="1"/>
  <c r="GK160" i="41" a="1"/>
  <c r="GK160" i="41" s="1"/>
  <c r="GL209" i="41" a="1"/>
  <c r="GL209" i="41" s="1"/>
  <c r="GM202" i="41" a="1"/>
  <c r="GM202" i="41" s="1"/>
  <c r="GM274" i="41" a="1"/>
  <c r="GM274" i="41" s="1"/>
  <c r="GK40" i="41" a="1"/>
  <c r="GK40" i="41" s="1"/>
  <c r="GK241" i="41" a="1"/>
  <c r="GK241" i="41" s="1"/>
  <c r="GL251" i="41" a="1"/>
  <c r="GL251" i="41" s="1"/>
  <c r="GL231" i="41" a="1"/>
  <c r="GL231" i="41" s="1"/>
  <c r="GL177" i="41" a="1"/>
  <c r="GL177" i="41" s="1"/>
  <c r="GJ281" i="41" a="1"/>
  <c r="GJ281" i="41" s="1"/>
  <c r="GL65" i="41" a="1"/>
  <c r="GL65" i="41" s="1"/>
  <c r="GL208" i="41" a="1"/>
  <c r="GL208" i="41" s="1"/>
  <c r="GM35" i="41" a="1"/>
  <c r="GM35" i="41" s="1"/>
  <c r="GK284" i="41" a="1"/>
  <c r="GK284" i="41" s="1"/>
  <c r="GM79" i="41" a="1"/>
  <c r="GM79" i="41" s="1"/>
  <c r="GK32" i="41" a="1"/>
  <c r="GK32" i="41" s="1"/>
  <c r="GJ131" i="41" a="1"/>
  <c r="GJ131" i="41" s="1"/>
  <c r="GI205" i="41" a="1"/>
  <c r="GI205" i="41" s="1"/>
  <c r="GI189" i="41" a="1"/>
  <c r="GI189" i="41" s="1"/>
  <c r="GM205" i="41" a="1"/>
  <c r="GM205" i="41" s="1"/>
  <c r="GI148" i="41" a="1"/>
  <c r="GI148" i="41" s="1"/>
  <c r="GL252" i="41" a="1"/>
  <c r="GL252" i="41" s="1"/>
  <c r="GM77" i="41" a="1"/>
  <c r="GM77" i="41" s="1"/>
  <c r="GL223" i="41" a="1"/>
  <c r="GL223" i="41" s="1"/>
  <c r="GK281" i="41" a="1"/>
  <c r="GK281" i="41" s="1"/>
  <c r="GL163" i="41" a="1"/>
  <c r="GL163" i="41" s="1"/>
  <c r="GL268" i="41" a="1"/>
  <c r="GL268" i="41" s="1"/>
  <c r="GN36" i="41" a="1"/>
  <c r="GN36" i="41" s="1"/>
  <c r="GM63" i="41" a="1"/>
  <c r="GM63" i="41" s="1"/>
  <c r="GJ247" i="41" a="1"/>
  <c r="GJ247" i="41" s="1"/>
  <c r="GL193" i="41" a="1"/>
  <c r="GL193" i="41" s="1"/>
  <c r="GK140" i="41" a="1"/>
  <c r="GK140" i="41" s="1"/>
  <c r="GL226" i="41" a="1"/>
  <c r="GL226" i="41" s="1"/>
  <c r="GK258" i="41" a="1"/>
  <c r="GK258" i="41" s="1"/>
  <c r="GJ282" i="41" a="1"/>
  <c r="GJ282" i="41" s="1"/>
  <c r="GJ236" i="41" a="1"/>
  <c r="GJ236" i="41" s="1"/>
  <c r="GI243" i="41" a="1"/>
  <c r="GI243" i="41" s="1"/>
  <c r="GN38" i="41" a="1"/>
  <c r="GN38" i="41" s="1"/>
  <c r="GK174" i="41" a="1"/>
  <c r="GK174" i="41" s="1"/>
  <c r="GL39" i="41" a="1"/>
  <c r="GL39" i="41" s="1"/>
  <c r="GK153" i="41" a="1"/>
  <c r="GK153" i="41" s="1"/>
  <c r="GK254" i="41" a="1"/>
  <c r="GK254" i="41" s="1"/>
  <c r="GL35" i="41" a="1"/>
  <c r="GL35" i="41" s="1"/>
  <c r="GK58" i="41" a="1"/>
  <c r="GK58" i="41" s="1"/>
  <c r="GJ253" i="41" a="1"/>
  <c r="GJ253" i="41" s="1"/>
  <c r="GJ33" i="41" a="1"/>
  <c r="GJ33" i="41" s="1"/>
  <c r="GK186" i="41" a="1"/>
  <c r="GK186" i="41" s="1"/>
  <c r="GJ38" i="41" a="1"/>
  <c r="GJ38" i="41" s="1"/>
  <c r="GL258" i="41" a="1"/>
  <c r="GL258" i="41" s="1"/>
  <c r="GJ219" i="41" a="1"/>
  <c r="GJ219" i="41" s="1"/>
  <c r="GK197" i="41" a="1"/>
  <c r="GK197" i="41" s="1"/>
  <c r="GK183" i="41" a="1"/>
  <c r="GK183" i="41" s="1"/>
  <c r="GM262" i="41" a="1"/>
  <c r="GM262" i="41" s="1"/>
  <c r="GL206" i="41" a="1"/>
  <c r="GL206" i="41" s="1"/>
  <c r="GL266" i="41" a="1"/>
  <c r="GL266" i="41" s="1"/>
  <c r="GL184" i="41" a="1"/>
  <c r="GL184" i="41" s="1"/>
  <c r="GJ148" i="41" a="1"/>
  <c r="GJ148" i="41" s="1"/>
  <c r="GL240" i="41" a="1"/>
  <c r="GL240" i="41" s="1"/>
  <c r="GM268" i="41" a="1"/>
  <c r="GM268" i="41" s="1"/>
  <c r="GM114" i="41" a="1"/>
  <c r="GM114" i="41" s="1"/>
  <c r="GM260" i="41" a="1"/>
  <c r="GM260" i="41" s="1"/>
  <c r="GJ167" i="41" a="1"/>
  <c r="GJ167" i="41" s="1"/>
  <c r="GJ48" i="41" a="1"/>
  <c r="GJ48" i="41" s="1"/>
  <c r="GM266" i="41" a="1"/>
  <c r="GM266" i="41" s="1"/>
  <c r="GJ34" i="41" a="1"/>
  <c r="GJ34" i="41" s="1"/>
  <c r="GI217" i="41" a="1"/>
  <c r="GI217" i="41" s="1"/>
  <c r="GI268" i="41" a="1"/>
  <c r="GI268" i="41" s="1"/>
  <c r="GL151" i="41" a="1"/>
  <c r="GL151" i="41" s="1"/>
  <c r="GJ165" i="41" a="1"/>
  <c r="GJ165" i="41" s="1"/>
  <c r="GM221" i="41" a="1"/>
  <c r="GM221" i="41" s="1"/>
  <c r="GI193" i="41" a="1"/>
  <c r="GI193" i="41" s="1"/>
  <c r="GL241" i="41" a="1"/>
  <c r="GL241" i="41" s="1"/>
  <c r="GI240" i="41" a="1"/>
  <c r="GI240" i="41" s="1"/>
  <c r="GK60" i="41" a="1"/>
  <c r="GK60" i="41" s="1"/>
  <c r="GL232" i="41" a="1"/>
  <c r="GL232" i="41" s="1"/>
  <c r="GJ35" i="41" a="1"/>
  <c r="GJ35" i="41" s="1"/>
  <c r="GM141" i="41" a="1"/>
  <c r="GM141" i="41" s="1"/>
  <c r="GI247" i="41" a="1"/>
  <c r="GI247" i="41" s="1"/>
  <c r="GL98" i="41" a="1"/>
  <c r="GL98" i="41" s="1"/>
  <c r="GI137" i="41" a="1"/>
  <c r="GI137" i="41" s="1"/>
  <c r="GM243" i="41" a="1"/>
  <c r="GM243" i="41" s="1"/>
  <c r="GM258" i="41" a="1"/>
  <c r="GM258" i="41" s="1"/>
  <c r="GL257" i="41" a="1"/>
  <c r="GL257" i="41" s="1"/>
  <c r="GK182" i="41" a="1"/>
  <c r="GK182" i="41" s="1"/>
  <c r="GM158" i="41" a="1"/>
  <c r="GM158" i="41" s="1"/>
  <c r="GJ235" i="41" a="1"/>
  <c r="GJ235" i="41" s="1"/>
  <c r="GJ37" i="41" a="1"/>
  <c r="GJ37" i="41" s="1"/>
  <c r="GK106" i="41" a="1"/>
  <c r="GK106" i="41" s="1"/>
  <c r="GL261" i="41" a="1"/>
  <c r="GL261" i="41" s="1"/>
  <c r="GI151" i="41" a="1"/>
  <c r="GI151" i="41" s="1"/>
  <c r="GM128" i="41" a="1"/>
  <c r="GM128" i="41" s="1"/>
  <c r="GK137" i="41" a="1"/>
  <c r="GK137" i="41" s="1"/>
  <c r="GM174" i="41" a="1"/>
  <c r="GM174" i="41" s="1"/>
  <c r="GK69" i="41" a="1"/>
  <c r="GK69" i="41" s="1"/>
  <c r="GJ210" i="41" a="1"/>
  <c r="GJ210" i="41" s="1"/>
  <c r="GK123" i="41" a="1"/>
  <c r="GK123" i="41" s="1"/>
  <c r="GL32" i="41" a="1"/>
  <c r="GL32" i="41" s="1"/>
  <c r="GL227" i="41" a="1"/>
  <c r="GL227" i="41" s="1"/>
  <c r="GI146" i="41" a="1"/>
  <c r="GI146" i="41" s="1"/>
  <c r="GJ155" i="41" a="1"/>
  <c r="GJ155" i="41" s="1"/>
  <c r="GL234" i="41" a="1"/>
  <c r="GL234" i="41" s="1"/>
  <c r="GJ197" i="41" a="1"/>
  <c r="GJ197" i="41" s="1"/>
  <c r="GI94" i="41" a="1"/>
  <c r="GI94" i="41" s="1"/>
  <c r="GI288" i="41" a="1"/>
  <c r="GI288" i="41" s="1"/>
  <c r="GL125" i="41" a="1"/>
  <c r="GL125" i="41" s="1"/>
  <c r="GL153" i="41" a="1"/>
  <c r="GL153" i="41" s="1"/>
  <c r="GK139" i="41" a="1"/>
  <c r="GK139" i="41" s="1"/>
  <c r="GM108" i="41" a="1"/>
  <c r="GM108" i="41" s="1"/>
  <c r="GJ45" i="41" a="1"/>
  <c r="GJ45" i="41" s="1"/>
  <c r="GL36" i="41" a="1"/>
  <c r="GL36" i="41" s="1"/>
  <c r="GK227" i="41" a="1"/>
  <c r="GK227" i="41" s="1"/>
  <c r="GM94" i="41" a="1"/>
  <c r="GM94" i="41" s="1"/>
  <c r="GM76" i="41" a="1"/>
  <c r="GM76" i="41" s="1"/>
  <c r="GN256" i="41" a="1"/>
  <c r="GN256" i="41" s="1"/>
  <c r="GL225" i="41" a="1"/>
  <c r="GL225" i="41" s="1"/>
  <c r="GI232" i="41" a="1"/>
  <c r="GI232" i="41" s="1"/>
  <c r="GK273" i="41" a="1"/>
  <c r="GK273" i="41" s="1"/>
  <c r="GM184" i="41" a="1"/>
  <c r="GM184" i="41" s="1"/>
  <c r="GL158" i="41" a="1"/>
  <c r="GL158" i="41" s="1"/>
  <c r="GL150" i="41" a="1"/>
  <c r="GL150" i="41" s="1"/>
  <c r="GJ215" i="41" a="1"/>
  <c r="GJ215" i="41" s="1"/>
  <c r="GK279" i="41" a="1"/>
  <c r="GK279" i="41" s="1"/>
  <c r="GJ277" i="41" a="1"/>
  <c r="GJ277" i="41" s="1"/>
  <c r="GM98" i="41" a="1"/>
  <c r="GM98" i="41" s="1"/>
  <c r="GI251" i="41" a="1"/>
  <c r="GI251" i="41" s="1"/>
  <c r="GJ69" i="41" a="1"/>
  <c r="GJ69" i="41" s="1"/>
  <c r="GJ287" i="41" a="1"/>
  <c r="GJ287" i="41" s="1"/>
  <c r="GK287" i="41" a="1"/>
  <c r="GK287" i="41" s="1"/>
  <c r="GJ77" i="41" a="1"/>
  <c r="GJ77" i="41" s="1"/>
  <c r="GM159" i="41" a="1"/>
  <c r="GM159" i="41" s="1"/>
  <c r="GM203" i="41" a="1"/>
  <c r="GM203" i="41" s="1"/>
  <c r="GJ97" i="41" a="1"/>
  <c r="GJ97" i="41" s="1"/>
  <c r="GK262" i="41" a="1"/>
  <c r="GK262" i="41" s="1"/>
  <c r="GI32" i="41" a="1"/>
  <c r="GI32" i="41" s="1"/>
  <c r="GM284" i="41" a="1"/>
  <c r="GM284" i="41" s="1"/>
  <c r="GK266" i="41" a="1"/>
  <c r="GK266" i="41" s="1"/>
  <c r="GK143" i="41" a="1"/>
  <c r="GK143" i="41" s="1"/>
  <c r="GJ234" i="41" a="1"/>
  <c r="GJ234" i="41" s="1"/>
  <c r="GK274" i="41" a="1"/>
  <c r="GK274" i="41" s="1"/>
  <c r="GM60" i="41" a="1"/>
  <c r="GM60" i="41" s="1"/>
  <c r="GI212" i="41" a="1"/>
  <c r="GI212" i="41" s="1"/>
  <c r="GK193" i="41" a="1"/>
  <c r="GK193" i="41" s="1"/>
  <c r="GM182" i="41" a="1"/>
  <c r="GM182" i="41" s="1"/>
  <c r="GK142" i="41" a="1"/>
  <c r="GK142" i="41" s="1"/>
  <c r="GN34" i="41" a="1"/>
  <c r="GN34" i="41" s="1"/>
  <c r="GJ249" i="41" a="1"/>
  <c r="GJ249" i="41" s="1"/>
  <c r="GM40" i="41" a="1"/>
  <c r="GM40" i="41" s="1"/>
  <c r="GI89" i="41" a="1"/>
  <c r="GI89" i="41" s="1"/>
  <c r="GK176" i="41" a="1"/>
  <c r="GK176" i="41" s="1"/>
  <c r="GM116" i="41" a="1"/>
  <c r="GM116" i="41" s="1"/>
  <c r="GJ137" i="41" a="1"/>
  <c r="GJ137" i="41" s="1"/>
  <c r="GL141" i="41" a="1"/>
  <c r="GL141" i="41" s="1"/>
  <c r="GK288" i="41" a="1"/>
  <c r="GK288" i="41" s="1"/>
  <c r="GJ231" i="41" a="1"/>
  <c r="GJ231" i="41" s="1"/>
  <c r="GM281" i="41" a="1"/>
  <c r="GM281" i="41" s="1"/>
  <c r="GM85" i="41" a="1"/>
  <c r="GM85" i="41" s="1"/>
  <c r="GI173" i="41" a="1"/>
  <c r="GI173" i="41" s="1"/>
  <c r="GK276" i="41" a="1"/>
  <c r="GK276" i="41" s="1"/>
  <c r="GK198" i="41" a="1"/>
  <c r="GK198" i="41" s="1"/>
  <c r="GM252" i="41" a="1"/>
  <c r="GM252" i="41" s="1"/>
  <c r="GI98" i="41" a="1"/>
  <c r="GI98" i="41" s="1"/>
  <c r="GJ123" i="41" a="1"/>
  <c r="GJ123" i="41" s="1"/>
  <c r="GI184" i="41" a="1"/>
  <c r="GI184" i="41" s="1"/>
  <c r="GI241" i="41" a="1"/>
  <c r="GI241" i="41" s="1"/>
  <c r="GK208" i="41" a="1"/>
  <c r="GK208" i="41" s="1"/>
  <c r="GI166" i="41" a="1"/>
  <c r="GI166" i="41" s="1"/>
  <c r="GN39" i="41" a="1"/>
  <c r="GN39" i="41" s="1"/>
  <c r="GK204" i="41" a="1"/>
  <c r="GK204" i="41" s="1"/>
  <c r="GJ257" i="41" a="1"/>
  <c r="GJ257" i="41" s="1"/>
  <c r="GM37" i="41" a="1"/>
  <c r="GM37" i="41" s="1"/>
  <c r="GL215" i="41" a="1"/>
  <c r="GL215" i="41" s="1"/>
  <c r="GI41" i="41" a="1"/>
  <c r="GI41" i="41" s="1"/>
  <c r="GK129" i="41" a="1"/>
  <c r="GK129" i="41" s="1"/>
  <c r="GK201" i="41" a="1"/>
  <c r="GK201" i="41" s="1"/>
  <c r="GM247" i="41" a="1"/>
  <c r="GM247" i="41" s="1"/>
  <c r="GJ273" i="41" a="1"/>
  <c r="GJ273" i="41" s="1"/>
  <c r="GJ285" i="41" a="1"/>
  <c r="GJ285" i="41" s="1"/>
  <c r="GJ67" i="41" a="1"/>
  <c r="GJ67" i="41" s="1"/>
  <c r="GK105" i="41" a="1"/>
  <c r="GK105" i="41" s="1"/>
  <c r="GJ227" i="41" a="1"/>
  <c r="GJ227" i="41" s="1"/>
  <c r="GM90" i="41" a="1"/>
  <c r="GM90" i="41" s="1"/>
  <c r="GI271" i="41" a="1"/>
  <c r="GI271" i="41" s="1"/>
  <c r="GK185" i="41" a="1"/>
  <c r="GK185" i="41" s="1"/>
  <c r="GI226" i="41" a="1"/>
  <c r="GI226" i="41" s="1"/>
  <c r="GJ245" i="41" a="1"/>
  <c r="GJ245" i="41" s="1"/>
  <c r="GI143" i="41" a="1"/>
  <c r="GI143" i="41" s="1"/>
  <c r="GI277" i="41" a="1"/>
  <c r="GI277" i="41" s="1"/>
  <c r="GI92" i="41" a="1"/>
  <c r="GI92" i="41" s="1"/>
  <c r="GL53" i="41" a="1"/>
  <c r="GL53" i="41" s="1"/>
  <c r="GM97" i="41" a="1"/>
  <c r="GM97" i="41" s="1"/>
  <c r="GM185" i="41" a="1"/>
  <c r="GM185" i="41" s="1"/>
  <c r="GI163" i="41" a="1"/>
  <c r="GI163" i="41" s="1"/>
  <c r="GJ261" i="41" a="1"/>
  <c r="GJ261" i="41" s="1"/>
  <c r="GK268" i="41" a="1"/>
  <c r="GK268" i="41" s="1"/>
  <c r="GM200" i="41" a="1"/>
  <c r="GM200" i="41" s="1"/>
  <c r="GL164" i="41" a="1"/>
  <c r="GL164" i="41" s="1"/>
  <c r="GL108" i="41" a="1"/>
  <c r="GL108" i="41" s="1"/>
  <c r="GJ44" i="41" a="1"/>
  <c r="GJ44" i="41" s="1"/>
  <c r="GK152" i="41" a="1"/>
  <c r="GK152" i="41" s="1"/>
  <c r="GI83" i="41" a="1"/>
  <c r="GI83" i="41" s="1"/>
  <c r="GM139" i="41" a="1"/>
  <c r="GM139" i="41" s="1"/>
  <c r="GI71" i="41" a="1"/>
  <c r="GI71" i="41" s="1"/>
  <c r="GL145" i="41" a="1"/>
  <c r="GL145" i="41" s="1"/>
  <c r="GK280" i="41" a="1"/>
  <c r="GK280" i="41" s="1"/>
  <c r="GJ179" i="41" a="1"/>
  <c r="GJ179" i="41" s="1"/>
  <c r="GN64" i="41" a="1"/>
  <c r="GN64" i="41" s="1"/>
  <c r="GL259" i="41" a="1"/>
  <c r="GL259" i="41" s="1"/>
  <c r="GL263" i="41" a="1"/>
  <c r="GL263" i="41" s="1"/>
  <c r="GK190" i="41" a="1"/>
  <c r="GK190" i="41" s="1"/>
  <c r="GK171" i="41" a="1"/>
  <c r="GK171" i="41" s="1"/>
  <c r="GK177" i="41" a="1"/>
  <c r="GK177" i="41" s="1"/>
  <c r="GL112" i="41" a="1"/>
  <c r="GL112" i="41" s="1"/>
  <c r="GL172" i="41" a="1"/>
  <c r="GL172" i="41" s="1"/>
  <c r="GL83" i="41" a="1"/>
  <c r="GL83" i="41" s="1"/>
  <c r="GL285" i="41" a="1"/>
  <c r="GL285" i="41" s="1"/>
  <c r="GK145" i="41" a="1"/>
  <c r="GK145" i="41" s="1"/>
  <c r="GL211" i="41" a="1"/>
  <c r="GL211" i="41" s="1"/>
  <c r="GI195" i="41" a="1"/>
  <c r="GI195" i="41" s="1"/>
  <c r="GM38" i="41" a="1"/>
  <c r="GM38" i="41" s="1"/>
  <c r="GL34" i="41" a="1"/>
  <c r="GL34" i="41" s="1"/>
  <c r="GL196" i="41" a="1"/>
  <c r="GL196" i="41" s="1"/>
  <c r="GK252" i="41" a="1"/>
  <c r="GK252" i="41" s="1"/>
  <c r="GI185" i="41" a="1"/>
  <c r="GI185" i="41" s="1"/>
  <c r="GK35" i="41" a="1"/>
  <c r="GK35" i="41" s="1"/>
  <c r="GL245" i="41" a="1"/>
  <c r="GL245" i="41" s="1"/>
  <c r="GK218" i="41" a="1"/>
  <c r="GK218" i="41" s="1"/>
  <c r="GK189" i="41" a="1"/>
  <c r="GK189" i="41" s="1"/>
  <c r="GL239" i="41" a="1"/>
  <c r="GL239" i="41" s="1"/>
  <c r="GK71" i="41" a="1"/>
  <c r="GK71" i="41" s="1"/>
  <c r="GI121" i="41" a="1"/>
  <c r="GI121" i="41" s="1"/>
  <c r="GJ256" i="41" a="1"/>
  <c r="GJ256" i="41" s="1"/>
  <c r="GL281" i="41" a="1"/>
  <c r="GL281" i="41" s="1"/>
  <c r="GI179" i="41" a="1"/>
  <c r="GI179" i="41" s="1"/>
  <c r="GM32" i="41" a="1"/>
  <c r="GM32" i="41" s="1"/>
  <c r="GL187" i="41" a="1"/>
  <c r="GL187" i="41" s="1"/>
  <c r="GI31" i="41" a="1"/>
  <c r="GI31" i="41" s="1"/>
  <c r="GL134" i="41" a="1"/>
  <c r="GL134" i="41" s="1"/>
  <c r="GK68" i="41" a="1"/>
  <c r="GK68" i="41" s="1"/>
  <c r="GM215" i="41" a="1"/>
  <c r="GM215" i="41" s="1"/>
  <c r="GK132" i="41" a="1"/>
  <c r="GK132" i="41" s="1"/>
  <c r="GL207" i="41" a="1"/>
  <c r="GL207" i="41" s="1"/>
  <c r="GK99" i="41" a="1"/>
  <c r="GK99" i="41" s="1"/>
  <c r="GL255" i="41" a="1"/>
  <c r="GL255" i="41" s="1"/>
  <c r="GK117" i="41" a="1"/>
  <c r="GK117" i="41" s="1"/>
  <c r="GK161" i="41" a="1"/>
  <c r="GK161" i="41" s="1"/>
  <c r="GL262" i="41" a="1"/>
  <c r="GL262" i="41" s="1"/>
  <c r="GM282" i="41" a="1"/>
  <c r="GM282" i="41" s="1"/>
  <c r="GL210" i="41" a="1"/>
  <c r="GL210" i="41" s="1"/>
  <c r="GK125" i="41" a="1"/>
  <c r="GK125" i="41" s="1"/>
  <c r="GJ76" i="41" a="1"/>
  <c r="GJ76" i="41" s="1"/>
  <c r="GM197" i="41" a="1"/>
  <c r="GM197" i="41" s="1"/>
  <c r="GK91" i="41" a="1"/>
  <c r="GK91" i="41" s="1"/>
  <c r="GJ207" i="41" a="1"/>
  <c r="GJ207" i="41" s="1"/>
  <c r="GK33" i="41" a="1"/>
  <c r="GK33" i="41" s="1"/>
  <c r="GJ60" i="41" a="1"/>
  <c r="GJ60" i="41" s="1"/>
  <c r="GM133" i="41" a="1"/>
  <c r="GM133" i="41" s="1"/>
  <c r="GI36" i="41" a="1"/>
  <c r="GI36" i="41" s="1"/>
  <c r="GK165" i="41" a="1"/>
  <c r="GK165" i="41" s="1"/>
  <c r="GM232" i="41" a="1"/>
  <c r="GM232" i="41" s="1"/>
  <c r="GL105" i="41" a="1"/>
  <c r="GL105" i="41" s="1"/>
  <c r="GJ59" i="41" a="1"/>
  <c r="GJ59" i="41" s="1"/>
  <c r="GL171" i="41" a="1"/>
  <c r="GL171" i="41" s="1"/>
  <c r="GJ204" i="41" a="1"/>
  <c r="GJ204" i="41" s="1"/>
  <c r="GM287" i="41" a="1"/>
  <c r="GM287" i="41" s="1"/>
  <c r="GM39" i="41" a="1"/>
  <c r="GM39" i="41" s="1"/>
  <c r="GK81" i="41" a="1"/>
  <c r="GK81" i="41" s="1"/>
  <c r="GM256" i="41" a="1"/>
  <c r="GM256" i="41" s="1"/>
  <c r="GI42" i="41" a="1"/>
  <c r="GI42" i="41" s="1"/>
  <c r="GJ169" i="41" a="1"/>
  <c r="GJ169" i="41" s="1"/>
  <c r="GM157" i="41" a="1"/>
  <c r="GM157" i="41" s="1"/>
  <c r="GL33" i="41" a="1"/>
  <c r="GL33" i="41" s="1"/>
  <c r="GK261" i="41" a="1"/>
  <c r="GK261" i="41" s="1"/>
  <c r="GL279" i="41" a="1"/>
  <c r="GL279" i="41" s="1"/>
  <c r="GN35" i="41" a="1"/>
  <c r="GN35" i="41" s="1"/>
  <c r="GI284" i="41" a="1"/>
  <c r="GI284" i="41" s="1"/>
  <c r="GL168" i="41" a="1"/>
  <c r="GL168" i="41" s="1"/>
  <c r="GI262" i="41" a="1"/>
  <c r="GI262" i="41" s="1"/>
  <c r="GL81" i="41" a="1"/>
  <c r="GL81" i="41" s="1"/>
  <c r="GI171" i="41" a="1"/>
  <c r="GI171" i="41" s="1"/>
  <c r="GJ159" i="41" a="1"/>
  <c r="GJ159" i="41" s="1"/>
  <c r="GL271" i="41" a="1"/>
  <c r="GL271" i="41" s="1"/>
  <c r="GI237" i="41" a="1"/>
  <c r="GI237" i="41" s="1"/>
  <c r="GI276" i="41" a="1"/>
  <c r="GI276" i="41" s="1"/>
  <c r="GL203" i="41" a="1"/>
  <c r="GL203" i="41" s="1"/>
  <c r="GJ270" i="41" a="1"/>
  <c r="GJ270" i="41" s="1"/>
  <c r="GK202" i="41" a="1"/>
  <c r="GK202" i="41" s="1"/>
  <c r="GM36" i="41" a="1"/>
  <c r="GM36" i="41" s="1"/>
  <c r="GL267" i="41" a="1"/>
  <c r="GL267" i="41" s="1"/>
  <c r="GI188" i="41" a="1"/>
  <c r="GI188" i="41" s="1"/>
  <c r="GI183" i="41" a="1"/>
  <c r="GI183" i="41" s="1"/>
  <c r="GI187" i="41" a="1"/>
  <c r="GI187" i="41" s="1"/>
  <c r="GJ91" i="41" a="1"/>
  <c r="GJ91" i="41" s="1"/>
  <c r="GL182" i="41" a="1"/>
  <c r="GL182" i="41" s="1"/>
  <c r="GK215" i="41" a="1"/>
  <c r="GK215" i="41" s="1"/>
  <c r="GK113" i="41" a="1"/>
  <c r="GK113" i="41" s="1"/>
  <c r="GL159" i="41" a="1"/>
  <c r="GL159" i="41" s="1"/>
  <c r="GL170" i="41" a="1"/>
  <c r="GL170" i="41" s="1"/>
  <c r="GL253" i="41" a="1"/>
  <c r="GL253" i="41" s="1"/>
  <c r="GL38" i="41" a="1"/>
  <c r="GL38" i="41" s="1"/>
  <c r="GJ258" i="41" a="1"/>
  <c r="GJ258" i="41" s="1"/>
  <c r="GM193" i="41" a="1"/>
  <c r="GM193" i="41" s="1"/>
  <c r="GK194" i="41" a="1"/>
  <c r="GK194" i="41" s="1"/>
  <c r="GI67" i="41" a="1"/>
  <c r="GI67" i="41" s="1"/>
  <c r="GL49" i="41" a="1"/>
  <c r="GL49" i="41" s="1"/>
  <c r="GI150" i="41" a="1"/>
  <c r="GI150" i="41" s="1"/>
  <c r="GM233" i="41" a="1"/>
  <c r="GM233" i="41" s="1"/>
  <c r="GK206" i="41" a="1"/>
  <c r="GK206" i="41" s="1"/>
  <c r="GL96" i="41" a="1"/>
  <c r="GL96" i="41" s="1"/>
  <c r="GJ189" i="41" a="1"/>
  <c r="GJ189" i="41" s="1"/>
  <c r="GL40" i="41" a="1"/>
  <c r="GL40" i="41" s="1"/>
  <c r="GM212" i="41" a="1"/>
  <c r="GM212" i="41" s="1"/>
  <c r="GJ242" i="41" a="1"/>
  <c r="GJ242" i="41" s="1"/>
  <c r="GM31" i="41" a="1"/>
  <c r="GM31" i="41" s="1"/>
  <c r="GJ70" i="41" a="1"/>
  <c r="GJ70" i="41" s="1"/>
  <c r="GI254" i="41" a="1"/>
  <c r="GI254" i="41" s="1"/>
  <c r="GL165" i="41" a="1"/>
  <c r="GL165" i="41" s="1"/>
  <c r="GJ61" i="41" a="1"/>
  <c r="GJ61" i="41" s="1"/>
  <c r="GM285" i="41" a="1"/>
  <c r="GM285" i="41" s="1"/>
  <c r="GJ274" i="41" a="1"/>
  <c r="GJ274" i="41" s="1"/>
  <c r="GM214" i="41" a="1"/>
  <c r="GM214" i="41" s="1"/>
  <c r="GM48" i="41" a="1"/>
  <c r="GM48" i="41" s="1"/>
  <c r="GI196" i="41" a="1"/>
  <c r="GI196" i="41" s="1"/>
  <c r="GM237" i="41" a="1"/>
  <c r="GM237" i="41" s="1"/>
  <c r="GJ181" i="41" a="1"/>
  <c r="GJ181" i="41" s="1"/>
  <c r="GK255" i="41" a="1"/>
  <c r="GK255" i="41" s="1"/>
  <c r="GM199" i="41" a="1"/>
  <c r="GM199" i="41" s="1"/>
  <c r="GJ135" i="41" a="1"/>
  <c r="GJ135" i="41" s="1"/>
  <c r="GM180" i="41" a="1"/>
  <c r="GM180" i="41" s="1"/>
  <c r="GI139" i="41" a="1"/>
  <c r="GI139" i="41" s="1"/>
  <c r="GL102" i="41" a="1"/>
  <c r="GL102" i="41" s="1"/>
  <c r="GI142" i="41" a="1"/>
  <c r="GI142" i="41" s="1"/>
  <c r="GN58" i="41" a="1"/>
  <c r="GN58" i="41" s="1"/>
  <c r="GL238" i="41" a="1"/>
  <c r="GL238" i="41" s="1"/>
  <c r="GJ190" i="41" a="1"/>
  <c r="GJ190" i="41" s="1"/>
  <c r="GK277" i="41" a="1"/>
  <c r="GK277" i="41" s="1"/>
  <c r="GM112" i="41" a="1"/>
  <c r="GM112" i="41" s="1"/>
  <c r="GJ283" i="41" a="1"/>
  <c r="GJ283" i="41" s="1"/>
  <c r="GL52" i="41" a="1"/>
  <c r="GL52" i="41" s="1"/>
  <c r="GI236" i="41" a="1"/>
  <c r="GI236" i="41" s="1"/>
  <c r="GI286" i="41" a="1"/>
  <c r="GI286" i="41" s="1"/>
  <c r="GL179" i="41" a="1"/>
  <c r="GL179" i="41" s="1"/>
  <c r="GM191" i="41" a="1"/>
  <c r="GM191" i="41" s="1"/>
  <c r="GM135" i="41" a="1"/>
  <c r="GM135" i="41" s="1"/>
  <c r="GL58" i="41" a="1"/>
  <c r="GL58" i="41" s="1"/>
  <c r="GI126" i="41" a="1"/>
  <c r="GI126" i="41" s="1"/>
  <c r="GL174" i="41" a="1"/>
  <c r="GL174" i="41" s="1"/>
  <c r="GI75" i="41" a="1"/>
  <c r="GI75" i="41" s="1"/>
  <c r="GM236" i="41" a="1"/>
  <c r="GM236" i="41" s="1"/>
  <c r="GJ177" i="41" a="1"/>
  <c r="GJ177" i="41" s="1"/>
  <c r="GK83" i="41" a="1"/>
  <c r="GK83" i="41" s="1"/>
  <c r="GK56" i="41" a="1"/>
  <c r="GK56" i="41" s="1"/>
  <c r="GM43" i="41" a="1"/>
  <c r="GM43" i="41" s="1"/>
  <c r="GI270" i="41" a="1"/>
  <c r="GI270" i="41" s="1"/>
  <c r="GJ144" i="41" a="1"/>
  <c r="GJ144" i="41" s="1"/>
  <c r="GM177" i="41" a="1"/>
  <c r="GM177" i="41" s="1"/>
  <c r="GM75" i="41" a="1"/>
  <c r="GM75" i="41" s="1"/>
  <c r="GK263" i="41" a="1"/>
  <c r="GK263" i="41" s="1"/>
  <c r="GI172" i="41" a="1"/>
  <c r="GI172" i="41" s="1"/>
  <c r="GK267" i="41" a="1"/>
  <c r="GK267" i="41" s="1"/>
  <c r="GI266" i="41" a="1"/>
  <c r="GI266" i="41" s="1"/>
  <c r="GL148" i="41" a="1"/>
  <c r="GL148" i="41" s="1"/>
  <c r="GL277" i="41" a="1"/>
  <c r="GL277" i="41" s="1"/>
  <c r="GM198" i="41" a="1"/>
  <c r="GM198" i="41" s="1"/>
  <c r="GM225" i="41" a="1"/>
  <c r="GM225" i="41" s="1"/>
  <c r="GJ225" i="41" a="1"/>
  <c r="GJ225" i="41" s="1"/>
  <c r="GL237" i="41" a="1"/>
  <c r="GL237" i="41" s="1"/>
  <c r="GM59" i="41" a="1"/>
  <c r="GM59" i="41" s="1"/>
  <c r="GJ84" i="41" a="1"/>
  <c r="GJ84" i="41" s="1"/>
  <c r="GL72" i="41" a="1"/>
  <c r="GL72" i="41" s="1"/>
  <c r="GM91" i="41" a="1"/>
  <c r="GM91" i="41" s="1"/>
  <c r="GK217" i="41" a="1"/>
  <c r="GK217" i="41" s="1"/>
  <c r="GI265" i="41" a="1"/>
  <c r="GI265" i="41" s="1"/>
  <c r="GM67" i="41" a="1"/>
  <c r="GM67" i="41" s="1"/>
  <c r="GK61" i="41" a="1"/>
  <c r="GK61" i="41" s="1"/>
  <c r="GL242" i="41" a="1"/>
  <c r="GL242" i="41" s="1"/>
  <c r="GJ221" i="41" a="1"/>
  <c r="GJ221" i="41" s="1"/>
  <c r="GL236" i="41" a="1"/>
  <c r="GL236" i="41" s="1"/>
  <c r="GK157" i="41" a="1"/>
  <c r="GK157" i="41" s="1"/>
  <c r="GM109" i="41" a="1"/>
  <c r="GM109" i="41" s="1"/>
  <c r="GL104" i="41" a="1"/>
  <c r="GL104" i="41" s="1"/>
  <c r="GI275" i="41" a="1"/>
  <c r="GI275" i="41" s="1"/>
  <c r="GM178" i="41" a="1"/>
  <c r="GM178" i="41" s="1"/>
  <c r="GI60" i="41" a="1"/>
  <c r="GI60" i="41" s="1"/>
  <c r="GK53" i="41" a="1"/>
  <c r="GK53" i="41" s="1"/>
  <c r="GL64" i="41" a="1"/>
  <c r="GL64" i="41" s="1"/>
  <c r="GI61" i="41" a="1"/>
  <c r="GI61" i="41" s="1"/>
  <c r="GI177" i="41" a="1"/>
  <c r="GI177" i="41" s="1"/>
  <c r="GI136" i="41" a="1"/>
  <c r="GI136" i="41" s="1"/>
  <c r="GL123" i="41" a="1"/>
  <c r="GL123" i="41" s="1"/>
  <c r="GK167" i="41" a="1"/>
  <c r="GK167" i="41" s="1"/>
  <c r="GK134" i="41" a="1"/>
  <c r="GK134" i="41" s="1"/>
  <c r="GN240" i="41" a="1"/>
  <c r="GN240" i="41" s="1"/>
  <c r="GJ99" i="41" a="1"/>
  <c r="GJ99" i="41" s="1"/>
  <c r="GL204" i="41" a="1"/>
  <c r="GL204" i="41" s="1"/>
  <c r="GL57" i="41" a="1"/>
  <c r="GL57" i="41" s="1"/>
  <c r="GM53" i="41" a="1"/>
  <c r="GM53" i="41" s="1"/>
  <c r="GN160" i="41" a="1"/>
  <c r="GN160" i="41" s="1"/>
  <c r="GM132" i="41" a="1"/>
  <c r="GM132" i="41" s="1"/>
  <c r="GM64" i="41" a="1"/>
  <c r="GM64" i="41" s="1"/>
  <c r="GI230" i="41" a="1"/>
  <c r="GI230" i="41" s="1"/>
  <c r="GI160" i="41" a="1"/>
  <c r="GI160" i="41" s="1"/>
  <c r="GN282" i="41" a="1"/>
  <c r="GN282" i="41" s="1"/>
  <c r="GI91" i="41" a="1"/>
  <c r="GI91" i="41" s="1"/>
  <c r="GL202" i="41" a="1"/>
  <c r="GL202" i="41" s="1"/>
  <c r="GI199" i="41" a="1"/>
  <c r="GI199" i="41" s="1"/>
  <c r="GN260" i="41" a="1"/>
  <c r="GN260" i="41" s="1"/>
  <c r="GN68" i="41" a="1"/>
  <c r="GN68" i="41" s="1"/>
  <c r="GN276" i="41" a="1"/>
  <c r="GN276" i="41" s="1"/>
  <c r="GN82" i="41" a="1"/>
  <c r="GN82" i="41" s="1"/>
  <c r="GK235" i="41" a="1"/>
  <c r="GK235" i="41" s="1"/>
  <c r="GL194" i="41" a="1"/>
  <c r="GL194" i="41" s="1"/>
  <c r="GN215" i="41" a="1"/>
  <c r="GN215" i="41" s="1"/>
  <c r="GN149" i="41" a="1"/>
  <c r="GN149" i="41" s="1"/>
  <c r="GN108" i="41" a="1"/>
  <c r="GN108" i="41" s="1"/>
  <c r="GN87" i="41" a="1"/>
  <c r="GN87" i="41" s="1"/>
  <c r="GK17" i="41" a="1"/>
  <c r="GK17" i="41" s="1"/>
  <c r="GM25" i="41" a="1"/>
  <c r="GM25" i="41" s="1"/>
  <c r="GI168" i="41" a="1"/>
  <c r="GI168" i="41" s="1"/>
  <c r="GM169" i="41" a="1"/>
  <c r="GM169" i="41" s="1"/>
  <c r="GL44" i="41" a="1"/>
  <c r="GL44" i="41" s="1"/>
  <c r="GI191" i="41" a="1"/>
  <c r="GI191" i="41" s="1"/>
  <c r="GN281" i="41" a="1"/>
  <c r="GN281" i="41" s="1"/>
  <c r="GI109" i="41" a="1"/>
  <c r="GI109" i="41" s="1"/>
  <c r="GK92" i="41" a="1"/>
  <c r="GK92" i="41" s="1"/>
  <c r="GK250" i="41" a="1"/>
  <c r="GK250" i="41" s="1"/>
  <c r="GN89" i="41" a="1"/>
  <c r="GN89" i="41" s="1"/>
  <c r="GJ260" i="41" a="1"/>
  <c r="GJ260" i="41" s="1"/>
  <c r="GM273" i="41" a="1"/>
  <c r="GM273" i="41" s="1"/>
  <c r="GJ188" i="41" a="1"/>
  <c r="GJ188" i="41" s="1"/>
  <c r="GL183" i="41" a="1"/>
  <c r="GL183" i="41" s="1"/>
  <c r="GK282" i="41" a="1"/>
  <c r="GK282" i="41" s="1"/>
  <c r="GK109" i="41" a="1"/>
  <c r="GK109" i="41" s="1"/>
  <c r="GI134" i="41" a="1"/>
  <c r="GI134" i="41" s="1"/>
  <c r="GI38" i="41" a="1"/>
  <c r="GI38" i="41" s="1"/>
  <c r="GL212" i="41" a="1"/>
  <c r="GL212" i="41" s="1"/>
  <c r="GK38" i="41" a="1"/>
  <c r="GK38" i="41" s="1"/>
  <c r="GJ279" i="41" a="1"/>
  <c r="GJ279" i="41" s="1"/>
  <c r="GM111" i="41" a="1"/>
  <c r="GM111" i="41" s="1"/>
  <c r="GJ262" i="41" a="1"/>
  <c r="GJ262" i="41" s="1"/>
  <c r="GM176" i="41" a="1"/>
  <c r="GM176" i="41" s="1"/>
  <c r="GM208" i="41" a="1"/>
  <c r="GM208" i="41" s="1"/>
  <c r="GK115" i="41" a="1"/>
  <c r="GK115" i="41" s="1"/>
  <c r="GK203" i="41" a="1"/>
  <c r="GK203" i="41" s="1"/>
  <c r="GI222" i="41" a="1"/>
  <c r="GI222" i="41" s="1"/>
  <c r="GI90" i="41" a="1"/>
  <c r="GI90" i="41" s="1"/>
  <c r="GJ276" i="41" a="1"/>
  <c r="GJ276" i="41" s="1"/>
  <c r="GM143" i="41" a="1"/>
  <c r="GM143" i="41" s="1"/>
  <c r="GI101" i="41" a="1"/>
  <c r="GI101" i="41" s="1"/>
  <c r="GJ239" i="41" a="1"/>
  <c r="GJ239" i="41" s="1"/>
  <c r="GN128" i="41" a="1"/>
  <c r="GN128" i="41" s="1"/>
  <c r="GJ217" i="41" a="1"/>
  <c r="GJ217" i="41" s="1"/>
  <c r="GJ95" i="41" a="1"/>
  <c r="GJ95" i="41" s="1"/>
  <c r="GJ92" i="41" a="1"/>
  <c r="GJ92" i="41" s="1"/>
  <c r="GL62" i="41" a="1"/>
  <c r="GL62" i="41" s="1"/>
  <c r="GK84" i="41" a="1"/>
  <c r="GK84" i="41" s="1"/>
  <c r="GJ73" i="41" a="1"/>
  <c r="GJ73" i="41" s="1"/>
  <c r="GI161" i="41" a="1"/>
  <c r="GI161" i="41" s="1"/>
  <c r="GK128" i="41" a="1"/>
  <c r="GK128" i="41" s="1"/>
  <c r="GN72" i="41" a="1"/>
  <c r="GN72" i="41" s="1"/>
  <c r="GK286" i="41" a="1"/>
  <c r="GK286" i="41" s="1"/>
  <c r="GI164" i="41" a="1"/>
  <c r="GI164" i="41" s="1"/>
  <c r="GJ80" i="41" a="1"/>
  <c r="GJ80" i="41" s="1"/>
  <c r="GJ143" i="41" a="1"/>
  <c r="GJ143" i="41" s="1"/>
  <c r="GM170" i="41" a="1"/>
  <c r="GM170" i="41" s="1"/>
  <c r="GL47" i="41" a="1"/>
  <c r="GL47" i="41" s="1"/>
  <c r="GL67" i="41" a="1"/>
  <c r="GL67" i="41" s="1"/>
  <c r="GI206" i="41" a="1"/>
  <c r="GI206" i="41" s="1"/>
  <c r="GM239" i="41" a="1"/>
  <c r="GM239" i="41" s="1"/>
  <c r="GI79" i="41" a="1"/>
  <c r="GI79" i="41" s="1"/>
  <c r="GJ200" i="41" a="1"/>
  <c r="GJ200" i="41" s="1"/>
  <c r="GI80" i="41" a="1"/>
  <c r="GI80" i="41" s="1"/>
  <c r="GM156" i="41" a="1"/>
  <c r="GM156" i="41" s="1"/>
  <c r="GM187" i="41" a="1"/>
  <c r="GM187" i="41" s="1"/>
  <c r="GJ264" i="41" a="1"/>
  <c r="GJ264" i="41" s="1"/>
  <c r="GI261" i="41" a="1"/>
  <c r="GI261" i="41" s="1"/>
  <c r="GI279" i="41" a="1"/>
  <c r="GI279" i="41" s="1"/>
  <c r="GI245" i="41" a="1"/>
  <c r="GI245" i="41" s="1"/>
  <c r="GI225" i="41" a="1"/>
  <c r="GI225" i="41" s="1"/>
  <c r="GJ254" i="41" a="1"/>
  <c r="GJ254" i="41" s="1"/>
  <c r="GL127" i="41" a="1"/>
  <c r="GL127" i="41" s="1"/>
  <c r="GL205" i="41" a="1"/>
  <c r="GL205" i="41" s="1"/>
  <c r="GN37" i="41" a="1"/>
  <c r="GN37" i="41" s="1"/>
  <c r="GL192" i="41" a="1"/>
  <c r="GL192" i="41" s="1"/>
  <c r="GI255" i="41" a="1"/>
  <c r="GI255" i="41" s="1"/>
  <c r="GJ108" i="41" a="1"/>
  <c r="GJ108" i="41" s="1"/>
  <c r="GK44" i="41" a="1"/>
  <c r="GK44" i="41" s="1"/>
  <c r="GK102" i="41" a="1"/>
  <c r="GK102" i="41" s="1"/>
  <c r="GL79" i="41" a="1"/>
  <c r="GL79" i="41" s="1"/>
  <c r="GJ193" i="41" a="1"/>
  <c r="GJ193" i="41" s="1"/>
  <c r="GN192" i="41" a="1"/>
  <c r="GN192" i="41" s="1"/>
  <c r="GJ120" i="41" a="1"/>
  <c r="GJ120" i="41" s="1"/>
  <c r="GJ175" i="41" a="1"/>
  <c r="GJ175" i="41" s="1"/>
  <c r="GK211" i="41" a="1"/>
  <c r="GK211" i="41" s="1"/>
  <c r="GJ171" i="41" a="1"/>
  <c r="GJ171" i="41" s="1"/>
  <c r="GL181" i="41" a="1"/>
  <c r="GL181" i="41" s="1"/>
  <c r="GJ106" i="41" a="1"/>
  <c r="GJ106" i="41" s="1"/>
  <c r="GL42" i="41" a="1"/>
  <c r="GL42" i="41" s="1"/>
  <c r="GL180" i="41" a="1"/>
  <c r="GL180" i="41" s="1"/>
  <c r="GI152" i="41" a="1"/>
  <c r="GI152" i="41" s="1"/>
  <c r="GM131" i="41" a="1"/>
  <c r="GM131" i="41" s="1"/>
  <c r="GK150" i="41" a="1"/>
  <c r="GK150" i="41" s="1"/>
  <c r="GI221" i="41" a="1"/>
  <c r="GI221" i="41" s="1"/>
  <c r="GI116" i="41" a="1"/>
  <c r="GI116" i="41" s="1"/>
  <c r="GM164" i="41" a="1"/>
  <c r="GM164" i="41" s="1"/>
  <c r="GJ246" i="41" a="1"/>
  <c r="GJ246" i="41" s="1"/>
  <c r="GM104" i="41" a="1"/>
  <c r="GM104" i="41" s="1"/>
  <c r="GL121" i="41" a="1"/>
  <c r="GL121" i="41" s="1"/>
  <c r="GL122" i="41" a="1"/>
  <c r="GL122" i="41" s="1"/>
  <c r="GK270" i="41" a="1"/>
  <c r="GK270" i="41" s="1"/>
  <c r="GJ98" i="41" a="1"/>
  <c r="GJ98" i="41" s="1"/>
  <c r="GM148" i="41" a="1"/>
  <c r="GM148" i="41" s="1"/>
  <c r="GI122" i="41" a="1"/>
  <c r="GI122" i="41" s="1"/>
  <c r="GM224" i="41" a="1"/>
  <c r="GM224" i="41" s="1"/>
  <c r="GJ56" i="41" a="1"/>
  <c r="GJ56" i="41" s="1"/>
  <c r="GK162" i="41" a="1"/>
  <c r="GK162" i="41" s="1"/>
  <c r="GM276" i="41" a="1"/>
  <c r="GM276" i="41" s="1"/>
  <c r="GM288" i="41" a="1"/>
  <c r="GM288" i="41" s="1"/>
  <c r="GI135" i="41" a="1"/>
  <c r="GI135" i="41" s="1"/>
  <c r="GI154" i="41" a="1"/>
  <c r="GI154" i="41" s="1"/>
  <c r="GI63" i="41" a="1"/>
  <c r="GI63" i="41" s="1"/>
  <c r="GM235" i="41" a="1"/>
  <c r="GM235" i="41" s="1"/>
  <c r="GI159" i="41" a="1"/>
  <c r="GI159" i="41" s="1"/>
  <c r="GM257" i="41" a="1"/>
  <c r="GM257" i="41" s="1"/>
  <c r="GK264" i="41" a="1"/>
  <c r="GK264" i="41" s="1"/>
  <c r="GK77" i="41" a="1"/>
  <c r="GK77" i="41" s="1"/>
  <c r="GI64" i="41" a="1"/>
  <c r="GI64" i="41" s="1"/>
  <c r="GI202" i="41" a="1"/>
  <c r="GI202" i="41" s="1"/>
  <c r="GM151" i="41" a="1"/>
  <c r="GM151" i="41" s="1"/>
  <c r="GM125" i="41" a="1"/>
  <c r="GM125" i="41" s="1"/>
  <c r="GK94" i="41" a="1"/>
  <c r="GK94" i="41" s="1"/>
  <c r="GI211" i="41" a="1"/>
  <c r="GI211" i="41" s="1"/>
  <c r="GI145" i="41" a="1"/>
  <c r="GI145" i="41" s="1"/>
  <c r="GJ267" i="41" a="1"/>
  <c r="GJ267" i="41" s="1"/>
  <c r="GI127" i="41" a="1"/>
  <c r="GI127" i="41" s="1"/>
  <c r="GL135" i="41" a="1"/>
  <c r="GL135" i="41" s="1"/>
  <c r="GL230" i="41" a="1"/>
  <c r="GL230" i="41" s="1"/>
  <c r="GJ113" i="41" a="1"/>
  <c r="GJ113" i="41" s="1"/>
  <c r="GJ233" i="41" a="1"/>
  <c r="GJ233" i="41" s="1"/>
  <c r="GJ101" i="41" a="1"/>
  <c r="GJ101" i="41" s="1"/>
  <c r="GM278" i="41" a="1"/>
  <c r="GM278" i="41" s="1"/>
  <c r="GM69" i="41" a="1"/>
  <c r="GM69" i="41" s="1"/>
  <c r="GJ192" i="41" a="1"/>
  <c r="GJ192" i="41" s="1"/>
  <c r="GL88" i="41" a="1"/>
  <c r="GL88" i="41" s="1"/>
  <c r="GL273" i="41" a="1"/>
  <c r="GL273" i="41" s="1"/>
  <c r="GK39" i="41" a="1"/>
  <c r="GK39" i="41" s="1"/>
  <c r="GJ183" i="41" a="1"/>
  <c r="GJ183" i="41" s="1"/>
  <c r="GI149" i="41" a="1"/>
  <c r="GI149" i="41" s="1"/>
  <c r="GI119" i="41" a="1"/>
  <c r="GI119" i="41" s="1"/>
  <c r="GM254" i="41" a="1"/>
  <c r="GM254" i="41" s="1"/>
  <c r="GM183" i="41" a="1"/>
  <c r="GM183" i="41" s="1"/>
  <c r="GL156" i="41" a="1"/>
  <c r="GL156" i="41" s="1"/>
  <c r="GJ213" i="41" a="1"/>
  <c r="GJ213" i="41" s="1"/>
  <c r="GL48" i="41" a="1"/>
  <c r="GL48" i="41" s="1"/>
  <c r="GL113" i="41" a="1"/>
  <c r="GL113" i="41" s="1"/>
  <c r="GJ166" i="41" a="1"/>
  <c r="GJ166" i="41" s="1"/>
  <c r="GL31" i="41" a="1"/>
  <c r="GL31" i="41" s="1"/>
  <c r="GI213" i="41" a="1"/>
  <c r="GI213" i="41" s="1"/>
  <c r="GK205" i="41" a="1"/>
  <c r="GK205" i="41" s="1"/>
  <c r="GJ222" i="41" a="1"/>
  <c r="GJ222" i="41" s="1"/>
  <c r="GJ170" i="41" a="1"/>
  <c r="GJ170" i="41" s="1"/>
  <c r="GK173" i="41" a="1"/>
  <c r="GK173" i="41" s="1"/>
  <c r="GL77" i="41" a="1"/>
  <c r="GL77" i="41" s="1"/>
  <c r="GJ176" i="41" a="1"/>
  <c r="GJ176" i="41" s="1"/>
  <c r="GI281" i="41" a="1"/>
  <c r="GI281" i="41" s="1"/>
  <c r="GL97" i="41" a="1"/>
  <c r="GL97" i="41" s="1"/>
  <c r="GI114" i="41" a="1"/>
  <c r="GI114" i="41" s="1"/>
  <c r="GJ164" i="41" a="1"/>
  <c r="GJ164" i="41" s="1"/>
  <c r="GI269" i="41" a="1"/>
  <c r="GI269" i="41" s="1"/>
  <c r="GJ129" i="41" a="1"/>
  <c r="GJ129" i="41" s="1"/>
  <c r="GJ154" i="41" a="1"/>
  <c r="GJ154" i="41" s="1"/>
  <c r="GL94" i="41" a="1"/>
  <c r="GL94" i="41" s="1"/>
  <c r="GN136" i="41" a="1"/>
  <c r="GN136" i="41" s="1"/>
  <c r="GJ191" i="41" a="1"/>
  <c r="GJ191" i="41" s="1"/>
  <c r="GL130" i="41" a="1"/>
  <c r="GL130" i="41" s="1"/>
  <c r="GI51" i="41" a="1"/>
  <c r="GI51" i="41" s="1"/>
  <c r="GJ50" i="41" a="1"/>
  <c r="GJ50" i="41" s="1"/>
  <c r="GL286" i="41" a="1"/>
  <c r="GL286" i="41" s="1"/>
  <c r="GK209" i="41" a="1"/>
  <c r="GK209" i="41" s="1"/>
  <c r="GL228" i="41" a="1"/>
  <c r="GL228" i="41" s="1"/>
  <c r="GI278" i="41" a="1"/>
  <c r="GI278" i="41" s="1"/>
  <c r="GM181" i="41" a="1"/>
  <c r="GM181" i="41" s="1"/>
  <c r="GM186" i="41" a="1"/>
  <c r="GM186" i="41" s="1"/>
  <c r="GI96" i="41" a="1"/>
  <c r="GI96" i="41" s="1"/>
  <c r="GM50" i="41" a="1"/>
  <c r="GM50" i="41" s="1"/>
  <c r="GL220" i="41" a="1"/>
  <c r="GL220" i="41" s="1"/>
  <c r="GJ172" i="41" a="1"/>
  <c r="GJ172" i="41" s="1"/>
  <c r="GM96" i="41" a="1"/>
  <c r="GM96" i="41" s="1"/>
  <c r="GK51" i="41" a="1"/>
  <c r="GK51" i="41" s="1"/>
  <c r="GJ206" i="41" a="1"/>
  <c r="GJ206" i="41" s="1"/>
  <c r="GM240" i="41" a="1"/>
  <c r="GM240" i="41" s="1"/>
  <c r="GM255" i="41" a="1"/>
  <c r="GM255" i="41" s="1"/>
  <c r="GK135" i="41" a="1"/>
  <c r="GK135" i="41" s="1"/>
  <c r="GI48" i="41" a="1"/>
  <c r="GI48" i="41" s="1"/>
  <c r="GK249" i="41" a="1"/>
  <c r="GK249" i="41" s="1"/>
  <c r="GK163" i="41" a="1"/>
  <c r="GK163" i="41" s="1"/>
  <c r="GJ132" i="41" a="1"/>
  <c r="GJ132" i="41" s="1"/>
  <c r="GJ126" i="41" a="1"/>
  <c r="GJ126" i="41" s="1"/>
  <c r="GI194" i="41" a="1"/>
  <c r="GI194" i="41" s="1"/>
  <c r="GL120" i="41" a="1"/>
  <c r="GL120" i="41" s="1"/>
  <c r="GK49" i="41" a="1"/>
  <c r="GK49" i="41" s="1"/>
  <c r="GL235" i="41" a="1"/>
  <c r="GL235" i="41" s="1"/>
  <c r="GK114" i="41" a="1"/>
  <c r="GK114" i="41" s="1"/>
  <c r="GK256" i="41" a="1"/>
  <c r="GK256" i="41" s="1"/>
  <c r="GI264" i="41" a="1"/>
  <c r="GI264" i="41" s="1"/>
  <c r="GJ142" i="41" a="1"/>
  <c r="GJ142" i="41" s="1"/>
  <c r="GK90" i="41" a="1"/>
  <c r="GK90" i="41" s="1"/>
  <c r="GJ173" i="41" a="1"/>
  <c r="GJ173" i="41" s="1"/>
  <c r="GM134" i="41" a="1"/>
  <c r="GM134" i="41" s="1"/>
  <c r="GL278" i="41" a="1"/>
  <c r="GL278" i="41" s="1"/>
  <c r="GK236" i="41" a="1"/>
  <c r="GK236" i="41" s="1"/>
  <c r="GI50" i="41" a="1"/>
  <c r="GI50" i="41" s="1"/>
  <c r="GJ149" i="41" a="1"/>
  <c r="GJ149" i="41" s="1"/>
  <c r="GI259" i="41" a="1"/>
  <c r="GI259" i="41" s="1"/>
  <c r="GI180" i="41" a="1"/>
  <c r="GI180" i="41" s="1"/>
  <c r="GL136" i="41" a="1"/>
  <c r="GL136" i="41" s="1"/>
  <c r="GI224" i="41" a="1"/>
  <c r="GI224" i="41" s="1"/>
  <c r="GK46" i="41" a="1"/>
  <c r="GK46" i="41" s="1"/>
  <c r="GJ187" i="41" a="1"/>
  <c r="GJ187" i="41" s="1"/>
  <c r="GK158" i="41" a="1"/>
  <c r="GK158" i="41" s="1"/>
  <c r="GI82" i="41" a="1"/>
  <c r="GI82" i="41" s="1"/>
  <c r="GL138" i="41" a="1"/>
  <c r="GL138" i="41" s="1"/>
  <c r="GL41" i="41" a="1"/>
  <c r="GL41" i="41" s="1"/>
  <c r="GM66" i="41" a="1"/>
  <c r="GM66" i="41" s="1"/>
  <c r="GK147" i="41" a="1"/>
  <c r="GK147" i="41" s="1"/>
  <c r="GK224" i="41" a="1"/>
  <c r="GK224" i="41" s="1"/>
  <c r="GL189" i="41" a="1"/>
  <c r="GL189" i="41" s="1"/>
  <c r="GJ203" i="41" a="1"/>
  <c r="GJ203" i="41" s="1"/>
  <c r="GK122" i="41" a="1"/>
  <c r="GK122" i="41" s="1"/>
  <c r="GL198" i="41" a="1"/>
  <c r="GL198" i="41" s="1"/>
  <c r="GI46" i="41" a="1"/>
  <c r="GI46" i="41" s="1"/>
  <c r="GI287" i="41" a="1"/>
  <c r="GI287" i="41" s="1"/>
  <c r="GK107" i="41" a="1"/>
  <c r="GK107" i="41" s="1"/>
  <c r="GM259" i="41" a="1"/>
  <c r="GM259" i="41" s="1"/>
  <c r="GJ232" i="41" a="1"/>
  <c r="GJ232" i="41" s="1"/>
  <c r="GI108" i="41" a="1"/>
  <c r="GI108" i="41" s="1"/>
  <c r="GK251" i="41" a="1"/>
  <c r="GK251" i="41" s="1"/>
  <c r="GJ107" i="41" a="1"/>
  <c r="GJ107" i="41" s="1"/>
  <c r="GI234" i="41" a="1"/>
  <c r="GI234" i="41" s="1"/>
  <c r="GK210" i="41" a="1"/>
  <c r="GK210" i="41" s="1"/>
  <c r="GJ121" i="41" a="1"/>
  <c r="GJ121" i="41" s="1"/>
  <c r="GL264" i="41" a="1"/>
  <c r="GL264" i="41" s="1"/>
  <c r="GM270" i="41" a="1"/>
  <c r="GM270" i="41" s="1"/>
  <c r="GI105" i="41" a="1"/>
  <c r="GI105" i="41" s="1"/>
  <c r="GJ85" i="41" a="1"/>
  <c r="GJ85" i="41" s="1"/>
  <c r="GJ259" i="41" a="1"/>
  <c r="GJ259" i="41" s="1"/>
  <c r="GI77" i="41" a="1"/>
  <c r="GI77" i="41" s="1"/>
  <c r="GJ89" i="41" a="1"/>
  <c r="GJ89" i="41" s="1"/>
  <c r="GM146" i="41" a="1"/>
  <c r="GM146" i="41" s="1"/>
  <c r="GK65" i="41" a="1"/>
  <c r="GK65" i="41" s="1"/>
  <c r="GJ127" i="41" a="1"/>
  <c r="GJ127" i="41" s="1"/>
  <c r="GM34" i="41" a="1"/>
  <c r="GM34" i="41" s="1"/>
  <c r="GL95" i="41" a="1"/>
  <c r="GL95" i="41" s="1"/>
  <c r="GI257" i="41" a="1"/>
  <c r="GI257" i="41" s="1"/>
  <c r="GK234" i="41" a="1"/>
  <c r="GK234" i="41" s="1"/>
  <c r="GL197" i="41" a="1"/>
  <c r="GL197" i="41" s="1"/>
  <c r="GJ240" i="41" a="1"/>
  <c r="GJ240" i="41" s="1"/>
  <c r="GK259" i="41" a="1"/>
  <c r="GK259" i="41" s="1"/>
  <c r="GM234" i="41" a="1"/>
  <c r="GM234" i="41" s="1"/>
  <c r="GI214" i="41" a="1"/>
  <c r="GI214" i="41" s="1"/>
  <c r="GL131" i="41" a="1"/>
  <c r="GL131" i="41" s="1"/>
  <c r="GM190" i="41" a="1"/>
  <c r="GM190" i="41" s="1"/>
  <c r="GJ275" i="41" a="1"/>
  <c r="GJ275" i="41" s="1"/>
  <c r="GJ280" i="41" a="1"/>
  <c r="GJ280" i="41" s="1"/>
  <c r="GJ199" i="41" a="1"/>
  <c r="GJ199" i="41" s="1"/>
  <c r="GI228" i="41" a="1"/>
  <c r="GI228" i="41" s="1"/>
  <c r="GM149" i="41" a="1"/>
  <c r="GM149" i="41" s="1"/>
  <c r="GI113" i="41" a="1"/>
  <c r="GI113" i="41" s="1"/>
  <c r="GJ133" i="41" a="1"/>
  <c r="GJ133" i="41" s="1"/>
  <c r="GM228" i="41" a="1"/>
  <c r="GM228" i="41" s="1"/>
  <c r="GJ268" i="41" a="1"/>
  <c r="GJ268" i="41" s="1"/>
  <c r="GL272" i="41" a="1"/>
  <c r="GL272" i="41" s="1"/>
  <c r="GL249" i="41" a="1"/>
  <c r="GL249" i="41" s="1"/>
  <c r="GI34" i="41" a="1"/>
  <c r="GI34" i="41" s="1"/>
  <c r="GJ83" i="41" a="1"/>
  <c r="GJ83" i="41" s="1"/>
  <c r="GK52" i="41" a="1"/>
  <c r="GK52" i="41" s="1"/>
  <c r="GM118" i="41" a="1"/>
  <c r="GM118" i="41" s="1"/>
  <c r="GI102" i="41" a="1"/>
  <c r="GI102" i="41" s="1"/>
  <c r="GL283" i="41" a="1"/>
  <c r="GL283" i="41" s="1"/>
  <c r="GM142" i="41" a="1"/>
  <c r="GM142" i="41" s="1"/>
  <c r="GI252" i="41" a="1"/>
  <c r="GI252" i="41" s="1"/>
  <c r="GK188" i="41" a="1"/>
  <c r="GK188" i="41" s="1"/>
  <c r="GM106" i="41" a="1"/>
  <c r="GM106" i="41" s="1"/>
  <c r="GM144" i="41" a="1"/>
  <c r="GM144" i="41" s="1"/>
  <c r="GJ138" i="41" a="1"/>
  <c r="GJ138" i="41" s="1"/>
  <c r="GJ93" i="41" a="1"/>
  <c r="GJ93" i="41" s="1"/>
  <c r="GL161" i="41" a="1"/>
  <c r="GL161" i="41" s="1"/>
  <c r="GJ180" i="41" a="1"/>
  <c r="GJ180" i="41" s="1"/>
  <c r="GN200" i="41" a="1"/>
  <c r="GN200" i="41" s="1"/>
  <c r="GL63" i="41" a="1"/>
  <c r="GL63" i="41" s="1"/>
  <c r="GK124" i="41" a="1"/>
  <c r="GK124" i="41" s="1"/>
  <c r="GK70" i="41" a="1"/>
  <c r="GK70" i="41" s="1"/>
  <c r="GI174" i="41" a="1"/>
  <c r="GI174" i="41" s="1"/>
  <c r="GK96" i="41" a="1"/>
  <c r="GK96" i="41" s="1"/>
  <c r="GM271" i="41" a="1"/>
  <c r="GM271" i="41" s="1"/>
  <c r="GM269" i="41" a="1"/>
  <c r="GM269" i="41" s="1"/>
  <c r="GJ66" i="41" a="1"/>
  <c r="GJ66" i="41" s="1"/>
  <c r="GJ251" i="41" a="1"/>
  <c r="GJ251" i="41" s="1"/>
  <c r="GJ151" i="41" a="1"/>
  <c r="GJ151" i="41" s="1"/>
  <c r="GJ218" i="41" a="1"/>
  <c r="GJ218" i="41" s="1"/>
  <c r="GK242" i="41" a="1"/>
  <c r="GK242" i="41" s="1"/>
  <c r="GL214" i="41" a="1"/>
  <c r="GL214" i="41" s="1"/>
  <c r="GM217" i="41" a="1"/>
  <c r="GM217" i="41" s="1"/>
  <c r="GJ228" i="41" a="1"/>
  <c r="GJ228" i="41" s="1"/>
  <c r="GM33" i="41" a="1"/>
  <c r="GM33" i="41" s="1"/>
  <c r="GK31" i="41" a="1"/>
  <c r="GK31" i="41" s="1"/>
  <c r="GJ224" i="41" a="1"/>
  <c r="GJ224" i="41" s="1"/>
  <c r="GM119" i="41" a="1"/>
  <c r="GM119" i="41" s="1"/>
  <c r="GL284" i="41" a="1"/>
  <c r="GL284" i="41" s="1"/>
  <c r="GK170" i="41" a="1"/>
  <c r="GK170" i="41" s="1"/>
  <c r="GI84" i="41" a="1"/>
  <c r="GI84" i="41" s="1"/>
  <c r="GI35" i="41" a="1"/>
  <c r="GI35" i="41" s="1"/>
  <c r="GI192" i="41" a="1"/>
  <c r="GI192" i="41" s="1"/>
  <c r="GK229" i="41" a="1"/>
  <c r="GK229" i="41" s="1"/>
  <c r="GL154" i="41" a="1"/>
  <c r="GL154" i="41" s="1"/>
  <c r="GL110" i="41" a="1"/>
  <c r="GL110" i="41" s="1"/>
  <c r="GM110" i="41" a="1"/>
  <c r="GM110" i="41" s="1"/>
  <c r="GJ39" i="41" a="1"/>
  <c r="GJ39" i="41" s="1"/>
  <c r="GK246" i="41" a="1"/>
  <c r="GK246" i="41" s="1"/>
  <c r="GK86" i="41" a="1"/>
  <c r="GK86" i="41" s="1"/>
  <c r="GL186" i="41" a="1"/>
  <c r="GL186" i="41" s="1"/>
  <c r="GK148" i="41" a="1"/>
  <c r="GK148" i="41" s="1"/>
  <c r="GL190" i="41" a="1"/>
  <c r="GL190" i="41" s="1"/>
  <c r="GM220" i="41" a="1"/>
  <c r="GM220" i="41" s="1"/>
  <c r="GK133" i="41" a="1"/>
  <c r="GK133" i="41" s="1"/>
  <c r="GM124" i="41" a="1"/>
  <c r="GM124" i="41" s="1"/>
  <c r="GN264" i="41" a="1"/>
  <c r="GN264" i="41" s="1"/>
  <c r="GJ157" i="41" a="1"/>
  <c r="GJ157" i="41" s="1"/>
  <c r="GK168" i="41" a="1"/>
  <c r="GK168" i="41" s="1"/>
  <c r="GK95" i="41" a="1"/>
  <c r="GK95" i="41" s="1"/>
  <c r="GI95" i="41" a="1"/>
  <c r="GI95" i="41" s="1"/>
  <c r="GL218" i="41" a="1"/>
  <c r="GL218" i="41" s="1"/>
  <c r="GM267" i="41" a="1"/>
  <c r="GM267" i="41" s="1"/>
  <c r="GM242" i="41" a="1"/>
  <c r="GM242" i="41" s="1"/>
  <c r="GL276" i="41" a="1"/>
  <c r="GL276" i="41" s="1"/>
  <c r="GJ198" i="41" a="1"/>
  <c r="GJ198" i="41" s="1"/>
  <c r="GM93" i="41" a="1"/>
  <c r="GM93" i="41" s="1"/>
  <c r="GI86" i="41" a="1"/>
  <c r="GI86" i="41" s="1"/>
  <c r="GL111" i="41" a="1"/>
  <c r="GL111" i="41" s="1"/>
  <c r="GJ271" i="41" a="1"/>
  <c r="GJ271" i="41" s="1"/>
  <c r="GM61" i="41" a="1"/>
  <c r="GM61" i="41" s="1"/>
  <c r="GI131" i="41" a="1"/>
  <c r="GI131" i="41" s="1"/>
  <c r="GM201" i="41" a="1"/>
  <c r="GM201" i="41" s="1"/>
  <c r="GK119" i="41" a="1"/>
  <c r="GK119" i="41" s="1"/>
  <c r="GK169" i="41" a="1"/>
  <c r="GK169" i="41" s="1"/>
  <c r="GM171" i="41" a="1"/>
  <c r="GM171" i="41" s="1"/>
  <c r="GM107" i="41" a="1"/>
  <c r="GM107" i="41" s="1"/>
  <c r="GJ226" i="41" a="1"/>
  <c r="GJ226" i="41" s="1"/>
  <c r="GI52" i="41" a="1"/>
  <c r="GI52" i="41" s="1"/>
  <c r="GL142" i="41" a="1"/>
  <c r="GL142" i="41" s="1"/>
  <c r="GK54" i="41" a="1"/>
  <c r="GK54" i="41" s="1"/>
  <c r="GK47" i="41" a="1"/>
  <c r="GK47" i="41" s="1"/>
  <c r="GM120" i="41" a="1"/>
  <c r="GM120" i="41" s="1"/>
  <c r="GI239" i="41" a="1"/>
  <c r="GI239" i="41" s="1"/>
  <c r="GJ139" i="41" a="1"/>
  <c r="GJ139" i="41" s="1"/>
  <c r="GI178" i="41" a="1"/>
  <c r="GI178" i="41" s="1"/>
  <c r="GM165" i="41" a="1"/>
  <c r="GM165" i="41" s="1"/>
  <c r="GK144" i="41" a="1"/>
  <c r="GK144" i="41" s="1"/>
  <c r="GL117" i="41" a="1"/>
  <c r="GL117" i="41" s="1"/>
  <c r="GK79" i="41" a="1"/>
  <c r="GK79" i="41" s="1"/>
  <c r="GK212" i="41" a="1"/>
  <c r="GK212" i="41" s="1"/>
  <c r="GK34" i="41" a="1"/>
  <c r="GK34" i="41" s="1"/>
  <c r="GM162" i="41" a="1"/>
  <c r="GM162" i="41" s="1"/>
  <c r="GL99" i="41" a="1"/>
  <c r="GL99" i="41" s="1"/>
  <c r="GK97" i="41" a="1"/>
  <c r="GK97" i="41" s="1"/>
  <c r="GI128" i="41" a="1"/>
  <c r="GI128" i="41" s="1"/>
  <c r="GK187" i="41" a="1"/>
  <c r="GK187" i="41" s="1"/>
  <c r="GI62" i="41" a="1"/>
  <c r="GI62" i="41" s="1"/>
  <c r="GL176" i="41" a="1"/>
  <c r="GL176" i="41" s="1"/>
  <c r="GI263" i="41" a="1"/>
  <c r="GI263" i="41" s="1"/>
  <c r="GM241" i="41" a="1"/>
  <c r="GM241" i="41" s="1"/>
  <c r="GM102" i="41" a="1"/>
  <c r="GM102" i="41" s="1"/>
  <c r="GJ81" i="41" a="1"/>
  <c r="GJ81" i="41" s="1"/>
  <c r="GJ52" i="41" a="1"/>
  <c r="GJ52" i="41" s="1"/>
  <c r="GK116" i="41" a="1"/>
  <c r="GK116" i="41" s="1"/>
  <c r="GL133" i="41" a="1"/>
  <c r="GL133" i="41" s="1"/>
  <c r="GM283" i="41" a="1"/>
  <c r="GM283" i="41" s="1"/>
  <c r="GK110" i="41" a="1"/>
  <c r="GK110" i="41" s="1"/>
  <c r="GI158" i="41" a="1"/>
  <c r="GI158" i="41" s="1"/>
  <c r="GL246" i="41" a="1"/>
  <c r="GL246" i="41" s="1"/>
  <c r="GI260" i="41" a="1"/>
  <c r="GI260" i="41" s="1"/>
  <c r="GI125" i="41" a="1"/>
  <c r="GI125" i="41" s="1"/>
  <c r="GM153" i="41" a="1"/>
  <c r="GM153" i="41" s="1"/>
  <c r="GM196" i="41" a="1"/>
  <c r="GM196" i="41" s="1"/>
  <c r="GI117" i="41" a="1"/>
  <c r="GI117" i="41" s="1"/>
  <c r="GL61" i="41" a="1"/>
  <c r="GL61" i="41" s="1"/>
  <c r="GJ41" i="41" a="1"/>
  <c r="GJ41" i="41" s="1"/>
  <c r="GM95" i="41" a="1"/>
  <c r="GM95" i="41" s="1"/>
  <c r="GN56" i="41" a="1"/>
  <c r="GN56" i="41" s="1"/>
  <c r="GK126" i="41" a="1"/>
  <c r="GK126" i="41" s="1"/>
  <c r="GK207" i="41" a="1"/>
  <c r="GK207" i="41" s="1"/>
  <c r="GI175" i="41" a="1"/>
  <c r="GI175" i="41" s="1"/>
  <c r="GJ153" i="41" a="1"/>
  <c r="GJ153" i="41" s="1"/>
  <c r="GN253" i="41" a="1"/>
  <c r="GN253" i="41" s="1"/>
  <c r="GN188" i="41" a="1"/>
  <c r="GN188" i="41" s="1"/>
  <c r="GM261" i="41" a="1"/>
  <c r="GM261" i="41" s="1"/>
  <c r="GN194" i="41" a="1"/>
  <c r="GN194" i="41" s="1"/>
  <c r="GI30" i="41" a="1"/>
  <c r="GI30" i="41" s="1"/>
  <c r="GI47" i="41" a="1"/>
  <c r="GI47" i="41" s="1"/>
  <c r="GJ185" i="41" a="1"/>
  <c r="GJ185" i="41" s="1"/>
  <c r="GM51" i="41" a="1"/>
  <c r="GM51" i="41" s="1"/>
  <c r="GJ42" i="41" a="1"/>
  <c r="GJ42" i="41" s="1"/>
  <c r="GI250" i="41" a="1"/>
  <c r="GI250" i="41" s="1"/>
  <c r="GN79" i="41" a="1"/>
  <c r="GN79" i="41" s="1"/>
  <c r="GJ86" i="41" a="1"/>
  <c r="GJ86" i="41" s="1"/>
  <c r="GJ229" i="41" a="1"/>
  <c r="GJ229" i="41" s="1"/>
  <c r="GI233" i="41" a="1"/>
  <c r="GI233" i="41" s="1"/>
  <c r="GI22" i="41" a="1"/>
  <c r="GI22" i="41" s="1"/>
  <c r="GN25" i="41" a="1"/>
  <c r="GN25" i="41" s="1"/>
  <c r="GI87" i="41" a="1"/>
  <c r="GI87" i="41" s="1"/>
  <c r="GJ105" i="41" a="1"/>
  <c r="GJ105" i="41" s="1"/>
  <c r="GI65" i="41" a="1"/>
  <c r="GI65" i="41" s="1"/>
  <c r="GM126" i="41" a="1"/>
  <c r="GM126" i="41" s="1"/>
  <c r="GK195" i="41" a="1"/>
  <c r="GK195" i="41" s="1"/>
  <c r="GI70" i="41" a="1"/>
  <c r="GI70" i="41" s="1"/>
  <c r="GN287" i="41" a="1"/>
  <c r="GN287" i="41" s="1"/>
  <c r="GN261" i="41" a="1"/>
  <c r="GN261" i="41" s="1"/>
  <c r="GN83" i="41" a="1"/>
  <c r="GN83" i="41" s="1"/>
  <c r="GM103" i="41" a="1"/>
  <c r="GM103" i="41" s="1"/>
  <c r="GJ82" i="41" a="1"/>
  <c r="GJ82" i="41" s="1"/>
  <c r="GN208" i="41" a="1"/>
  <c r="GN208" i="41" s="1"/>
  <c r="GM68" i="41" a="1"/>
  <c r="GM68" i="41" s="1"/>
  <c r="GN41" i="41" a="1"/>
  <c r="GN41" i="41" s="1"/>
  <c r="GL282" i="41" a="1"/>
  <c r="GL282" i="41" s="1"/>
  <c r="GI186" i="41" a="1"/>
  <c r="GI186" i="41" s="1"/>
  <c r="GK245" i="41" a="1"/>
  <c r="GK245" i="41" s="1"/>
  <c r="GN274" i="41" a="1"/>
  <c r="GN274" i="41" s="1"/>
  <c r="GN179" i="41" a="1"/>
  <c r="GN179" i="41" s="1"/>
  <c r="GI54" i="41" a="1"/>
  <c r="GI54" i="41" s="1"/>
  <c r="GI190" i="41" a="1"/>
  <c r="GI190" i="41" s="1"/>
  <c r="GI81" i="41" a="1"/>
  <c r="GI81" i="41" s="1"/>
  <c r="GN113" i="41" a="1"/>
  <c r="GN113" i="41" s="1"/>
  <c r="GL201" i="41" a="1"/>
  <c r="GL201" i="41" s="1"/>
  <c r="GL275" i="41" a="1"/>
  <c r="GL275" i="41" s="1"/>
  <c r="GM249" i="41" a="1"/>
  <c r="GM249" i="41" s="1"/>
  <c r="GN284" i="41" a="1"/>
  <c r="GN284" i="41" s="1"/>
  <c r="GM218" i="41" a="1"/>
  <c r="GM218" i="41" s="1"/>
  <c r="GK248" i="41" a="1"/>
  <c r="GK248" i="41" s="1"/>
  <c r="GI218" i="41" a="1"/>
  <c r="GI218" i="41" s="1"/>
  <c r="GN120" i="41" a="1"/>
  <c r="GN120" i="41" s="1"/>
  <c r="GM101" i="41" a="1"/>
  <c r="GM101" i="41" s="1"/>
  <c r="GN185" i="41" a="1"/>
  <c r="GN185" i="41" s="1"/>
  <c r="GK200" i="41" a="1"/>
  <c r="GK200" i="41" s="1"/>
  <c r="GN53" i="41" a="1"/>
  <c r="GN53" i="41" s="1"/>
  <c r="GK76" i="41" a="1"/>
  <c r="GK76" i="41" s="1"/>
  <c r="GM54" i="41" a="1"/>
  <c r="GM54" i="41" s="1"/>
  <c r="GI106" i="41" a="1"/>
  <c r="GI106" i="41" s="1"/>
  <c r="GM140" i="41" a="1"/>
  <c r="GM140" i="41" s="1"/>
  <c r="GM265" i="41" a="1"/>
  <c r="GM265" i="41" s="1"/>
  <c r="GM275" i="41" a="1"/>
  <c r="GM275" i="41" s="1"/>
  <c r="GM55" i="41" a="1"/>
  <c r="GM55" i="41" s="1"/>
  <c r="GJ244" i="41" a="1"/>
  <c r="GJ244" i="41" s="1"/>
  <c r="GI155" i="41" a="1"/>
  <c r="GI155" i="41" s="1"/>
  <c r="GN183" i="41" a="1"/>
  <c r="GN183" i="41" s="1"/>
  <c r="GN219" i="41" a="1"/>
  <c r="GN219" i="41" s="1"/>
  <c r="GL224" i="41" a="1"/>
  <c r="GL224" i="41" s="1"/>
  <c r="GN170" i="41" a="1"/>
  <c r="GN170" i="41" s="1"/>
  <c r="GN258" i="41" a="1"/>
  <c r="GN258" i="41" s="1"/>
  <c r="GM188" i="41" a="1"/>
  <c r="GM188" i="41" s="1"/>
  <c r="GN247" i="41" a="1"/>
  <c r="GN247" i="41" s="1"/>
  <c r="GJ110" i="41" a="1"/>
  <c r="GJ110" i="41" s="1"/>
  <c r="GN61" i="41" a="1"/>
  <c r="GN61" i="41" s="1"/>
  <c r="GN17" i="41" a="1"/>
  <c r="GN17" i="41" s="1"/>
  <c r="GJ186" i="41" a="1"/>
  <c r="GJ186" i="41" s="1"/>
  <c r="GM80" i="41" a="1"/>
  <c r="GM80" i="41" s="1"/>
  <c r="GL55" i="41" a="1"/>
  <c r="GL55" i="41" s="1"/>
  <c r="GI111" i="41" a="1"/>
  <c r="GI111" i="41" s="1"/>
  <c r="GI242" i="41" a="1"/>
  <c r="GI242" i="41" s="1"/>
  <c r="GN186" i="41" a="1"/>
  <c r="GN186" i="41" s="1"/>
  <c r="GK88" i="41" a="1"/>
  <c r="GK88" i="41" s="1"/>
  <c r="GJ47" i="41" a="1"/>
  <c r="GJ47" i="41" s="1"/>
  <c r="GI104" i="41" a="1"/>
  <c r="GI104" i="41" s="1"/>
  <c r="GN118" i="41" a="1"/>
  <c r="GN118" i="41" s="1"/>
  <c r="GN18" i="41" a="1"/>
  <c r="GN18" i="41" s="1"/>
  <c r="GK30" i="41" a="1"/>
  <c r="GK30" i="41" s="1"/>
  <c r="GM230" i="41" a="1"/>
  <c r="GM230" i="41" s="1"/>
  <c r="GI43" i="41" a="1"/>
  <c r="GI43" i="41" s="1"/>
  <c r="GJ238" i="41" a="1"/>
  <c r="GJ238" i="41" s="1"/>
  <c r="GJ119" i="41" a="1"/>
  <c r="GJ119" i="41" s="1"/>
  <c r="GK232" i="41" a="1"/>
  <c r="GK232" i="41" s="1"/>
  <c r="GL91" i="41" a="1"/>
  <c r="GL91" i="41" s="1"/>
  <c r="GN242" i="41" a="1"/>
  <c r="GN242" i="41" s="1"/>
  <c r="GN102" i="41" a="1"/>
  <c r="GN102" i="41" s="1"/>
  <c r="GI285" i="41" a="1"/>
  <c r="GI285" i="41" s="1"/>
  <c r="GM57" i="41" a="1"/>
  <c r="GM57" i="41" s="1"/>
  <c r="GJ150" i="41" a="1"/>
  <c r="GJ150" i="41" s="1"/>
  <c r="GL73" i="41" a="1"/>
  <c r="GL73" i="41" s="1"/>
  <c r="GN105" i="41" a="1"/>
  <c r="GN105" i="41" s="1"/>
  <c r="GM81" i="41" a="1"/>
  <c r="GM81" i="41" s="1"/>
  <c r="GL199" i="41" a="1"/>
  <c r="GL199" i="41" s="1"/>
  <c r="GM210" i="41" a="1"/>
  <c r="GM210" i="41" s="1"/>
  <c r="GN99" i="41" a="1"/>
  <c r="GN99" i="41" s="1"/>
  <c r="GN266" i="41" a="1"/>
  <c r="GN266" i="41" s="1"/>
  <c r="GL128" i="41" a="1"/>
  <c r="GL128" i="41" s="1"/>
  <c r="GM117" i="41" a="1"/>
  <c r="GM117" i="41" s="1"/>
  <c r="GM145" i="41" a="1"/>
  <c r="GM145" i="41" s="1"/>
  <c r="GK127" i="41" a="1"/>
  <c r="GK127" i="41" s="1"/>
  <c r="GJ128" i="41" a="1"/>
  <c r="GJ128" i="41" s="1"/>
  <c r="GL280" i="41" a="1"/>
  <c r="GL280" i="41" s="1"/>
  <c r="GN32" i="41" a="1"/>
  <c r="GN32" i="41" s="1"/>
  <c r="GJ71" i="41" a="1"/>
  <c r="GJ71" i="41" s="1"/>
  <c r="GN124" i="41" a="1"/>
  <c r="GN124" i="41" s="1"/>
  <c r="GN189" i="41" a="1"/>
  <c r="GN189" i="41" s="1"/>
  <c r="GL274" i="41" a="1"/>
  <c r="GL274" i="41" s="1"/>
  <c r="GI88" i="41" a="1"/>
  <c r="GI88" i="41" s="1"/>
  <c r="GK48" i="41" a="1"/>
  <c r="GK48" i="41" s="1"/>
  <c r="GK222" i="41" a="1"/>
  <c r="GK222" i="41" s="1"/>
  <c r="GK149" i="41" a="1"/>
  <c r="GK149" i="41" s="1"/>
  <c r="GL68" i="41" a="1"/>
  <c r="GL68" i="41" s="1"/>
  <c r="GL213" i="41" a="1"/>
  <c r="GL213" i="41" s="1"/>
  <c r="GN205" i="41" a="1"/>
  <c r="GN205" i="41" s="1"/>
  <c r="GI273" i="41" a="1"/>
  <c r="GI273" i="41" s="1"/>
  <c r="GK100" i="41" a="1"/>
  <c r="GK100" i="41" s="1"/>
  <c r="GI244" i="41" a="1"/>
  <c r="GI244" i="41" s="1"/>
  <c r="GI223" i="41" a="1"/>
  <c r="GI223" i="41" s="1"/>
  <c r="GL82" i="41" a="1"/>
  <c r="GL82" i="41" s="1"/>
  <c r="GN74" i="41" a="1"/>
  <c r="GN74" i="41" s="1"/>
  <c r="GK240" i="41" a="1"/>
  <c r="GK240" i="41" s="1"/>
  <c r="GL76" i="41" a="1"/>
  <c r="GL76" i="41" s="1"/>
  <c r="GN156" i="41" a="1"/>
  <c r="GN156" i="41" s="1"/>
  <c r="GN55" i="41" a="1"/>
  <c r="GN55" i="41" s="1"/>
  <c r="GN31" i="41" a="1"/>
  <c r="GN31" i="41" s="1"/>
  <c r="GJ156" i="41" a="1"/>
  <c r="GJ156" i="41" s="1"/>
  <c r="GN21" i="41" a="1"/>
  <c r="GN21" i="41" s="1"/>
  <c r="GJ29" i="41" a="1"/>
  <c r="GJ29" i="41" s="1"/>
  <c r="GJ64" i="41" a="1"/>
  <c r="GJ64" i="41" s="1"/>
  <c r="GN250" i="41" a="1"/>
  <c r="GN250" i="41" s="1"/>
  <c r="GI235" i="41" a="1"/>
  <c r="GI235" i="41" s="1"/>
  <c r="GM280" i="41" a="1"/>
  <c r="GM280" i="41" s="1"/>
  <c r="GM21" i="41" a="1"/>
  <c r="GM21" i="41" s="1"/>
  <c r="GL26" i="41" a="1"/>
  <c r="GL26" i="41" s="1"/>
  <c r="GL229" i="41" a="1"/>
  <c r="GL229" i="41" s="1"/>
  <c r="GN211" i="41" a="1"/>
  <c r="GN211" i="41" s="1"/>
  <c r="GJ174" i="41" a="1"/>
  <c r="GJ174" i="41" s="1"/>
  <c r="GI181" i="41" a="1"/>
  <c r="GI181" i="41" s="1"/>
  <c r="GJ55" i="41" a="1"/>
  <c r="GJ55" i="41" s="1"/>
  <c r="GL132" i="41" a="1"/>
  <c r="GL132" i="41" s="1"/>
  <c r="GL84" i="41" a="1"/>
  <c r="GL84" i="41" s="1"/>
  <c r="GK179" i="41" a="1"/>
  <c r="GK179" i="41" s="1"/>
  <c r="GM45" i="41" a="1"/>
  <c r="GM45" i="41" s="1"/>
  <c r="GI208" i="41" a="1"/>
  <c r="GI208" i="41" s="1"/>
  <c r="GN48" i="41" a="1"/>
  <c r="GN48" i="41" s="1"/>
  <c r="GL51" i="41" a="1"/>
  <c r="GL51" i="41" s="1"/>
  <c r="GI76" i="41" a="1"/>
  <c r="GI76" i="41" s="1"/>
  <c r="GN272" i="41" a="1"/>
  <c r="GN272" i="41" s="1"/>
  <c r="GM62" i="41" a="1"/>
  <c r="GM62" i="41" s="1"/>
  <c r="GN81" i="41" a="1"/>
  <c r="GN81" i="41" s="1"/>
  <c r="GI220" i="41" a="1"/>
  <c r="GI220" i="41" s="1"/>
  <c r="GM246" i="41" a="1"/>
  <c r="GM246" i="41" s="1"/>
  <c r="GM206" i="41" a="1"/>
  <c r="GM206" i="41" s="1"/>
  <c r="GM238" i="41" a="1"/>
  <c r="GM238" i="41" s="1"/>
  <c r="GN279" i="41" a="1"/>
  <c r="GN279" i="41" s="1"/>
  <c r="GL25" i="41" a="1"/>
  <c r="GL25" i="41" s="1"/>
  <c r="GI20" i="41" a="1"/>
  <c r="GI20" i="41" s="1"/>
  <c r="GL107" i="41" a="1"/>
  <c r="GL107" i="41" s="1"/>
  <c r="GK239" i="41" a="1"/>
  <c r="GK239" i="41" s="1"/>
  <c r="GL200" i="41" a="1"/>
  <c r="GL200" i="41" s="1"/>
  <c r="GJ214" i="41" a="1"/>
  <c r="GJ214" i="41" s="1"/>
  <c r="GJ51" i="41" a="1"/>
  <c r="GJ51" i="41" s="1"/>
  <c r="GN270" i="41" a="1"/>
  <c r="GN270" i="41" s="1"/>
  <c r="GN165" i="41" a="1"/>
  <c r="GN165" i="41" s="1"/>
  <c r="GI100" i="41" a="1"/>
  <c r="GI100" i="41" s="1"/>
  <c r="GJ202" i="41" a="1"/>
  <c r="GJ202" i="41" s="1"/>
  <c r="GN204" i="41" a="1"/>
  <c r="GN204" i="41" s="1"/>
  <c r="GM30" i="41" a="1"/>
  <c r="GM30" i="41" s="1"/>
  <c r="GI73" i="41" a="1"/>
  <c r="GI73" i="41" s="1"/>
  <c r="GL270" i="41" a="1"/>
  <c r="GL270" i="41" s="1"/>
  <c r="GI33" i="41" a="1"/>
  <c r="GI33" i="41" s="1"/>
  <c r="GJ265" i="41" a="1"/>
  <c r="GJ265" i="41" s="1"/>
  <c r="GM179" i="41" a="1"/>
  <c r="GM179" i="41" s="1"/>
  <c r="GJ223" i="41" a="1"/>
  <c r="GJ223" i="41" s="1"/>
  <c r="GL139" i="41" a="1"/>
  <c r="GL139" i="41" s="1"/>
  <c r="GK120" i="41" a="1"/>
  <c r="GK120" i="41" s="1"/>
  <c r="GJ68" i="41" a="1"/>
  <c r="GJ68" i="41" s="1"/>
  <c r="GN112" i="41" a="1"/>
  <c r="GN112" i="41" s="1"/>
  <c r="GK141" i="41" a="1"/>
  <c r="GK141" i="41" s="1"/>
  <c r="GM89" i="41" a="1"/>
  <c r="GM89" i="41" s="1"/>
  <c r="GK228" i="41" a="1"/>
  <c r="GK228" i="41" s="1"/>
  <c r="GI201" i="41" a="1"/>
  <c r="GI201" i="41" s="1"/>
  <c r="GN145" i="41" a="1"/>
  <c r="GN145" i="41" s="1"/>
  <c r="GJ201" i="41" a="1"/>
  <c r="GJ201" i="41" s="1"/>
  <c r="GM46" i="41" a="1"/>
  <c r="GM46" i="41" s="1"/>
  <c r="GL86" i="41" a="1"/>
  <c r="GL86" i="41" s="1"/>
  <c r="GN106" i="41" a="1"/>
  <c r="GN106" i="41" s="1"/>
  <c r="GN235" i="41" a="1"/>
  <c r="GN235" i="41" s="1"/>
  <c r="GM286" i="41" a="1"/>
  <c r="GM286" i="41" s="1"/>
  <c r="GK226" i="41" a="1"/>
  <c r="GK226" i="41" s="1"/>
  <c r="GI112" i="41" a="1"/>
  <c r="GI112" i="41" s="1"/>
  <c r="GJ90" i="41" a="1"/>
  <c r="GJ90" i="41" s="1"/>
  <c r="GI44" i="41" a="1"/>
  <c r="GI44" i="41" s="1"/>
  <c r="GL59" i="41" a="1"/>
  <c r="GL59" i="41" s="1"/>
  <c r="GN251" i="41" a="1"/>
  <c r="GN251" i="41" s="1"/>
  <c r="GM226" i="41" a="1"/>
  <c r="GM226" i="41" s="1"/>
  <c r="GI182" i="41" a="1"/>
  <c r="GI182" i="41" s="1"/>
  <c r="GN75" i="41" a="1"/>
  <c r="GN75" i="41" s="1"/>
  <c r="GJ18" i="41" a="1"/>
  <c r="GJ18" i="41" s="1"/>
  <c r="GL24" i="41" a="1"/>
  <c r="GL24" i="41" s="1"/>
  <c r="GK138" i="41" a="1"/>
  <c r="GK138" i="41" s="1"/>
  <c r="GK220" i="41" a="1"/>
  <c r="GK220" i="41" s="1"/>
  <c r="GI129" i="41" a="1"/>
  <c r="GI129" i="41" s="1"/>
  <c r="GM86" i="41" a="1"/>
  <c r="GM86" i="41" s="1"/>
  <c r="GM277" i="41" a="1"/>
  <c r="GM277" i="41" s="1"/>
  <c r="GM213" i="41" a="1"/>
  <c r="GM213" i="41" s="1"/>
  <c r="GM209" i="41" a="1"/>
  <c r="GM209" i="41" s="1"/>
  <c r="GI248" i="41" a="1"/>
  <c r="GI248" i="41" s="1"/>
  <c r="GN176" i="41" a="1"/>
  <c r="GN176" i="41" s="1"/>
  <c r="GK269" i="41" a="1"/>
  <c r="GK269" i="41" s="1"/>
  <c r="GL93" i="41" a="1"/>
  <c r="GL93" i="41" s="1"/>
  <c r="GM192" i="41" a="1"/>
  <c r="GM192" i="41" s="1"/>
  <c r="GJ284" i="41" a="1"/>
  <c r="GJ284" i="41" s="1"/>
  <c r="GN209" i="41" a="1"/>
  <c r="GN209" i="41" s="1"/>
  <c r="GK253" i="41" a="1"/>
  <c r="GK253" i="41" s="1"/>
  <c r="GJ72" i="41" a="1"/>
  <c r="GJ72" i="41" s="1"/>
  <c r="GN59" i="41" a="1"/>
  <c r="GN59" i="41" s="1"/>
  <c r="GN190" i="41" a="1"/>
  <c r="GN190" i="41" s="1"/>
  <c r="GK23" i="41" a="1"/>
  <c r="GK23" i="41" s="1"/>
  <c r="GL167" i="41" a="1"/>
  <c r="GL167" i="41" s="1"/>
  <c r="GL116" i="41" a="1"/>
  <c r="GL116" i="41" s="1"/>
  <c r="GK72" i="41" a="1"/>
  <c r="GK72" i="41" s="1"/>
  <c r="GN153" i="41" a="1"/>
  <c r="GN153" i="41" s="1"/>
  <c r="GM175" i="41" a="1"/>
  <c r="GM175" i="41" s="1"/>
  <c r="GM231" i="41" a="1"/>
  <c r="GM231" i="41" s="1"/>
  <c r="GN234" i="41" a="1"/>
  <c r="GN234" i="41" s="1"/>
  <c r="GN92" i="41" a="1"/>
  <c r="GN92" i="41" s="1"/>
  <c r="GN70" i="41" a="1"/>
  <c r="GN70" i="41" s="1"/>
  <c r="GN159" i="41" a="1"/>
  <c r="GN159" i="41" s="1"/>
  <c r="GI78" i="41" a="1"/>
  <c r="GI78" i="41" s="1"/>
  <c r="GL20" i="41" a="1"/>
  <c r="GL20" i="41" s="1"/>
  <c r="GJ78" i="41" a="1"/>
  <c r="GJ78" i="41" s="1"/>
  <c r="GJ162" i="41" a="1"/>
  <c r="GJ162" i="41" s="1"/>
  <c r="GN184" i="41" a="1"/>
  <c r="GN184" i="41" s="1"/>
  <c r="GK181" i="41" a="1"/>
  <c r="GK181" i="41" s="1"/>
  <c r="GN97" i="41" a="1"/>
  <c r="GN97" i="41" s="1"/>
  <c r="GJ117" i="41" a="1"/>
  <c r="GJ117" i="41" s="1"/>
  <c r="GN110" i="41" a="1"/>
  <c r="GN110" i="41" s="1"/>
  <c r="GL75" i="41" a="1"/>
  <c r="GL75" i="41" s="1"/>
  <c r="GK87" i="41" a="1"/>
  <c r="GK87" i="41" s="1"/>
  <c r="GK136" i="41" a="1"/>
  <c r="GK136" i="41" s="1"/>
  <c r="GM227" i="41" a="1"/>
  <c r="GM227" i="41" s="1"/>
  <c r="GM49" i="41" a="1"/>
  <c r="GM49" i="41" s="1"/>
  <c r="GI69" i="41" a="1"/>
  <c r="GI69" i="41" s="1"/>
  <c r="GN233" i="41" a="1"/>
  <c r="GN233" i="41" s="1"/>
  <c r="GL157" i="41" a="1"/>
  <c r="GL157" i="41" s="1"/>
  <c r="GL162" i="41" a="1"/>
  <c r="GL162" i="41" s="1"/>
  <c r="GN206" i="41" a="1"/>
  <c r="GN206" i="41" s="1"/>
  <c r="GK275" i="41" a="1"/>
  <c r="GK275" i="41" s="1"/>
  <c r="GK225" i="41" a="1"/>
  <c r="GK225" i="41" s="1"/>
  <c r="GM263" i="41" a="1"/>
  <c r="GM263" i="41" s="1"/>
  <c r="GK130" i="41" a="1"/>
  <c r="GK130" i="41" s="1"/>
  <c r="GL90" i="41" a="1"/>
  <c r="GL90" i="41" s="1"/>
  <c r="GI162" i="41" a="1"/>
  <c r="GI162" i="41" s="1"/>
  <c r="GK111" i="41" a="1"/>
  <c r="GK111" i="41" s="1"/>
  <c r="GI49" i="41" a="1"/>
  <c r="GI49" i="41" s="1"/>
  <c r="GN218" i="41" a="1"/>
  <c r="GN218" i="41" s="1"/>
  <c r="GL152" i="41" a="1"/>
  <c r="GL152" i="41" s="1"/>
  <c r="GJ58" i="41" a="1"/>
  <c r="GJ58" i="41" s="1"/>
  <c r="GJ53" i="41" a="1"/>
  <c r="GJ53" i="41" s="1"/>
  <c r="GI58" i="41" a="1"/>
  <c r="GI58" i="41" s="1"/>
  <c r="GL160" i="41" a="1"/>
  <c r="GL160" i="41" s="1"/>
  <c r="GI207" i="41" a="1"/>
  <c r="GI207" i="41" s="1"/>
  <c r="GJ194" i="41" a="1"/>
  <c r="GJ194" i="41" s="1"/>
  <c r="GM41" i="41" a="1"/>
  <c r="GM41" i="41" s="1"/>
  <c r="GN66" i="41" a="1"/>
  <c r="GN66" i="41" s="1"/>
  <c r="GN207" i="41" a="1"/>
  <c r="GN207" i="41" s="1"/>
  <c r="GL69" i="41" a="1"/>
  <c r="GL69" i="41" s="1"/>
  <c r="GJ104" i="41" a="1"/>
  <c r="GJ104" i="41" s="1"/>
  <c r="GM92" i="41" a="1"/>
  <c r="GM92" i="41" s="1"/>
  <c r="GN232" i="41" a="1"/>
  <c r="GN232" i="41" s="1"/>
  <c r="GM136" i="41" a="1"/>
  <c r="GM136" i="41" s="1"/>
  <c r="GN129" i="41" a="1"/>
  <c r="GN129" i="41" s="1"/>
  <c r="GJ152" i="41" a="1"/>
  <c r="GJ152" i="41" s="1"/>
  <c r="GK219" i="41" a="1"/>
  <c r="GK219" i="41" s="1"/>
  <c r="GN154" i="41" a="1"/>
  <c r="GN154" i="41" s="1"/>
  <c r="GN280" i="41" a="1"/>
  <c r="GN280" i="41" s="1"/>
  <c r="GN63" i="41" a="1"/>
  <c r="GN63" i="41" s="1"/>
  <c r="GM137" i="41" a="1"/>
  <c r="GM137" i="41" s="1"/>
  <c r="GM44" i="41" a="1"/>
  <c r="GM44" i="41" s="1"/>
  <c r="GN90" i="41" a="1"/>
  <c r="GN90" i="41" s="1"/>
  <c r="GN155" i="41" a="1"/>
  <c r="GN155" i="41" s="1"/>
  <c r="GJ208" i="41" a="1"/>
  <c r="GJ208" i="41" s="1"/>
  <c r="GK154" i="41" a="1"/>
  <c r="GK154" i="41" s="1"/>
  <c r="GJ21" i="41" a="1"/>
  <c r="GJ21" i="41" s="1"/>
  <c r="GM22" i="41" a="1"/>
  <c r="GM22" i="41" s="1"/>
  <c r="GN80" i="41" a="1"/>
  <c r="GN80" i="41" s="1"/>
  <c r="GK221" i="41" a="1"/>
  <c r="GK221" i="41" s="1"/>
  <c r="GK98" i="41" a="1"/>
  <c r="GK98" i="41" s="1"/>
  <c r="GL103" i="41" a="1"/>
  <c r="GL103" i="41" s="1"/>
  <c r="GI267" i="41" a="1"/>
  <c r="GI267" i="41" s="1"/>
  <c r="GJ163" i="41" a="1"/>
  <c r="GJ163" i="41" s="1"/>
  <c r="GN220" i="41" a="1"/>
  <c r="GN220" i="41" s="1"/>
  <c r="GN157" i="41" a="1"/>
  <c r="GN157" i="41" s="1"/>
  <c r="GN116" i="41" a="1"/>
  <c r="GN116" i="41" s="1"/>
  <c r="GM195" i="41" a="1"/>
  <c r="GM195" i="41" s="1"/>
  <c r="GJ28" i="41" a="1"/>
  <c r="GJ28" i="41" s="1"/>
  <c r="GK59" i="41" a="1"/>
  <c r="GK59" i="41" s="1"/>
  <c r="GI110" i="41" a="1"/>
  <c r="GI110" i="41" s="1"/>
  <c r="GN267" i="41" a="1"/>
  <c r="GN267" i="41" s="1"/>
  <c r="GM28" i="41" a="1"/>
  <c r="GM28" i="41" s="1"/>
  <c r="GM82" i="41" a="1"/>
  <c r="GM82" i="41" s="1"/>
  <c r="GK247" i="41" a="1"/>
  <c r="GK247" i="41" s="1"/>
  <c r="GN141" i="41" a="1"/>
  <c r="GN141" i="41" s="1"/>
  <c r="GJ252" i="41" a="1"/>
  <c r="GJ252" i="41" s="1"/>
  <c r="GK78" i="41" a="1"/>
  <c r="GK78" i="41" s="1"/>
  <c r="GJ178" i="41" a="1"/>
  <c r="GJ178" i="41" s="1"/>
  <c r="GK104" i="41" a="1"/>
  <c r="GK104" i="41" s="1"/>
  <c r="GK50" i="41" a="1"/>
  <c r="GK50" i="41" s="1"/>
  <c r="GN91" i="41" a="1"/>
  <c r="GN91" i="41" s="1"/>
  <c r="GN286" i="41" a="1"/>
  <c r="GN286" i="41" s="1"/>
  <c r="GI56" i="41" a="1"/>
  <c r="GI56" i="41" s="1"/>
  <c r="GJ109" i="41" a="1"/>
  <c r="GJ109" i="41" s="1"/>
  <c r="GI219" i="41" a="1"/>
  <c r="GI219" i="41" s="1"/>
  <c r="GN277" i="41" a="1"/>
  <c r="GN277" i="41" s="1"/>
  <c r="GN163" i="41" a="1"/>
  <c r="GN163" i="41" s="1"/>
  <c r="GL287" i="41" a="1"/>
  <c r="GL287" i="41" s="1"/>
  <c r="GN216" i="41" a="1"/>
  <c r="GN216" i="41" s="1"/>
  <c r="GL114" i="41" a="1"/>
  <c r="GL114" i="41" s="1"/>
  <c r="GI203" i="41" a="1"/>
  <c r="GI203" i="41" s="1"/>
  <c r="GI97" i="41" a="1"/>
  <c r="GI97" i="41" s="1"/>
  <c r="GJ196" i="41" a="1"/>
  <c r="GJ196" i="41" s="1"/>
  <c r="GI120" i="41" a="1"/>
  <c r="GI120" i="41" s="1"/>
  <c r="GM115" i="41" a="1"/>
  <c r="GM115" i="41" s="1"/>
  <c r="GN121" i="41" a="1"/>
  <c r="GN121" i="41" s="1"/>
  <c r="GN142" i="41" a="1"/>
  <c r="GN142" i="41" s="1"/>
  <c r="GN134" i="41" a="1"/>
  <c r="GN134" i="41" s="1"/>
  <c r="GK178" i="41" a="1"/>
  <c r="GK178" i="41" s="1"/>
  <c r="GJ195" i="41" a="1"/>
  <c r="GJ195" i="41" s="1"/>
  <c r="GK82" i="41" a="1"/>
  <c r="GK82" i="41" s="1"/>
  <c r="GM152" i="41" a="1"/>
  <c r="GM152" i="41" s="1"/>
  <c r="GK237" i="41" a="1"/>
  <c r="GK237" i="41" s="1"/>
  <c r="GN238" i="41" a="1"/>
  <c r="GN238" i="41" s="1"/>
  <c r="GL221" i="41" a="1"/>
  <c r="GL221" i="41" s="1"/>
  <c r="GN172" i="41" a="1"/>
  <c r="GN172" i="41" s="1"/>
  <c r="GL21" i="41" a="1"/>
  <c r="GL21" i="41" s="1"/>
  <c r="GK151" i="41" a="1"/>
  <c r="GK151" i="41" s="1"/>
  <c r="GN23" i="41" a="1"/>
  <c r="GN23" i="41" s="1"/>
  <c r="GL60" i="41" a="1"/>
  <c r="GL60" i="41" s="1"/>
  <c r="GN119" i="41" a="1"/>
  <c r="GN119" i="41" s="1"/>
  <c r="GN150" i="41" a="1"/>
  <c r="GN150" i="41" s="1"/>
  <c r="GK166" i="41" a="1"/>
  <c r="GK166" i="41" s="1"/>
  <c r="GL217" i="41" a="1"/>
  <c r="GL217" i="41" s="1"/>
  <c r="GN162" i="41" a="1"/>
  <c r="GN162" i="41" s="1"/>
  <c r="GM17" i="41" a="1"/>
  <c r="GM17" i="41" s="1"/>
  <c r="GK36" i="41" a="1"/>
  <c r="GK36" i="41" s="1"/>
  <c r="GN135" i="41" a="1"/>
  <c r="GN135" i="41" s="1"/>
  <c r="GM23" i="41" a="1"/>
  <c r="GM23" i="41" s="1"/>
  <c r="GN40" i="41" a="1"/>
  <c r="GN40" i="41" s="1"/>
  <c r="GM154" i="41" a="1"/>
  <c r="GM154" i="41" s="1"/>
  <c r="GN62" i="41" a="1"/>
  <c r="GN62" i="41" s="1"/>
  <c r="GI25" i="41" a="1"/>
  <c r="GI25" i="41" s="1"/>
  <c r="GN60" i="41" a="1"/>
  <c r="GN60" i="41" s="1"/>
  <c r="GL173" i="41" a="1"/>
  <c r="GL173" i="41" s="1"/>
  <c r="GJ20" i="41" a="1"/>
  <c r="GJ20" i="41" s="1"/>
  <c r="GL169" i="41" a="1"/>
  <c r="GL169" i="41" s="1"/>
  <c r="GN236" i="41" a="1"/>
  <c r="GN236" i="41" s="1"/>
  <c r="GK27" i="41" a="1"/>
  <c r="GK27" i="41" s="1"/>
  <c r="GN229" i="41" a="1"/>
  <c r="GN229" i="41" s="1"/>
  <c r="GI26" i="41" a="1"/>
  <c r="GI26" i="41" s="1"/>
  <c r="GI16" i="41" a="1"/>
  <c r="GI16" i="41" s="1"/>
  <c r="GK16" i="41" a="1"/>
  <c r="GK16" i="41" s="1"/>
  <c r="GL178" i="41" a="1"/>
  <c r="GL178" i="41" s="1"/>
  <c r="GL56" i="41" a="1"/>
  <c r="GL56" i="41" s="1"/>
  <c r="GN174" i="41" a="1"/>
  <c r="GN174" i="41" s="1"/>
  <c r="GI169" i="41" a="1"/>
  <c r="GI169" i="41" s="1"/>
  <c r="GK216" i="41" a="1"/>
  <c r="GK216" i="41" s="1"/>
  <c r="GL92" i="41" a="1"/>
  <c r="GL92" i="41" s="1"/>
  <c r="GN22" i="41" a="1"/>
  <c r="GN22" i="41" s="1"/>
  <c r="GM113" i="41" a="1"/>
  <c r="GM113" i="41" s="1"/>
  <c r="GL147" i="41" a="1"/>
  <c r="GL147" i="41" s="1"/>
  <c r="GL269" i="41" a="1"/>
  <c r="GL269" i="41" s="1"/>
  <c r="GI74" i="41" a="1"/>
  <c r="GI74" i="41" s="1"/>
  <c r="GJ79" i="41" a="1"/>
  <c r="GJ79" i="41" s="1"/>
  <c r="GL149" i="41" a="1"/>
  <c r="GL149" i="41" s="1"/>
  <c r="GN175" i="41" a="1"/>
  <c r="GN175" i="41" s="1"/>
  <c r="GL248" i="41" a="1"/>
  <c r="GL248" i="41" s="1"/>
  <c r="GN169" i="41" a="1"/>
  <c r="GN169" i="41" s="1"/>
  <c r="GM52" i="41" a="1"/>
  <c r="GM52" i="41" s="1"/>
  <c r="GI99" i="41" a="1"/>
  <c r="GI99" i="41" s="1"/>
  <c r="GI167" i="41" a="1"/>
  <c r="GI167" i="41" s="1"/>
  <c r="GJ145" i="41" a="1"/>
  <c r="GJ145" i="41" s="1"/>
  <c r="GL175" i="41" a="1"/>
  <c r="GL175" i="41" s="1"/>
  <c r="GJ124" i="41" a="1"/>
  <c r="GJ124" i="41" s="1"/>
  <c r="GK64" i="41" a="1"/>
  <c r="GK64" i="41" s="1"/>
  <c r="GM264" i="41" a="1"/>
  <c r="GM264" i="41" s="1"/>
  <c r="GN111" i="41" a="1"/>
  <c r="GN111" i="41" s="1"/>
  <c r="GJ161" i="41" a="1"/>
  <c r="GJ161" i="41" s="1"/>
  <c r="GM194" i="41" a="1"/>
  <c r="GM194" i="41" s="1"/>
  <c r="GN249" i="41" a="1"/>
  <c r="GN249" i="41" s="1"/>
  <c r="GL54" i="41" a="1"/>
  <c r="GL54" i="41" s="1"/>
  <c r="GN228" i="41" a="1"/>
  <c r="GN228" i="41" s="1"/>
  <c r="GN231" i="41" a="1"/>
  <c r="GN231" i="41" s="1"/>
  <c r="GN115" i="41" a="1"/>
  <c r="GN115" i="41" s="1"/>
  <c r="GM204" i="41" a="1"/>
  <c r="GM204" i="41" s="1"/>
  <c r="GI258" i="41" a="1"/>
  <c r="GI258" i="41" s="1"/>
  <c r="GJ46" i="41" a="1"/>
  <c r="GJ46" i="41" s="1"/>
  <c r="GN263" i="41" a="1"/>
  <c r="GN263" i="41" s="1"/>
  <c r="GI147" i="41" a="1"/>
  <c r="GI147" i="41" s="1"/>
  <c r="GL233" i="41" a="1"/>
  <c r="GL233" i="41" s="1"/>
  <c r="GN137" i="41" a="1"/>
  <c r="GN137" i="41" s="1"/>
  <c r="GN126" i="41" a="1"/>
  <c r="GN126" i="41" s="1"/>
  <c r="GN140" i="41" a="1"/>
  <c r="GN140" i="41" s="1"/>
  <c r="GL119" i="41" a="1"/>
  <c r="GL119" i="41" s="1"/>
  <c r="GJ22" i="41" a="1"/>
  <c r="GJ22" i="41" s="1"/>
  <c r="GL45" i="41" a="1"/>
  <c r="GL45" i="41" s="1"/>
  <c r="GL288" i="41" a="1"/>
  <c r="GL288" i="41" s="1"/>
  <c r="GN26" i="41" a="1"/>
  <c r="GN26" i="41" s="1"/>
  <c r="GK103" i="41" a="1"/>
  <c r="GK103" i="41" s="1"/>
  <c r="GJ263" i="41" a="1"/>
  <c r="GJ263" i="41" s="1"/>
  <c r="GM105" i="41" a="1"/>
  <c r="GM105" i="41" s="1"/>
  <c r="GJ17" i="41" a="1"/>
  <c r="GJ17" i="41" s="1"/>
  <c r="GK42" i="41" a="1"/>
  <c r="GK42" i="41" s="1"/>
  <c r="GL195" i="41" a="1"/>
  <c r="GL195" i="41" s="1"/>
  <c r="GM20" i="41" a="1"/>
  <c r="GM20" i="41" s="1"/>
  <c r="GM253" i="41" a="1"/>
  <c r="GM253" i="41" s="1"/>
  <c r="GN212" i="41" a="1"/>
  <c r="GN212" i="41" s="1"/>
  <c r="GI28" i="41" a="1"/>
  <c r="GI28" i="41" s="1"/>
  <c r="GJ182" i="41" a="1"/>
  <c r="GJ182" i="41" s="1"/>
  <c r="GN171" i="41" a="1"/>
  <c r="GN171" i="41" s="1"/>
  <c r="GJ146" i="41" a="1"/>
  <c r="GJ146" i="41" s="1"/>
  <c r="GN164" i="41" a="1"/>
  <c r="GN164" i="41" s="1"/>
  <c r="GI283" i="41" a="1"/>
  <c r="GI283" i="41" s="1"/>
  <c r="GN73" i="41" a="1"/>
  <c r="GN73" i="41" s="1"/>
  <c r="GL129" i="41" a="1"/>
  <c r="GL129" i="41" s="1"/>
  <c r="GM56" i="41" a="1"/>
  <c r="GM56" i="41" s="1"/>
  <c r="GM173" i="41" a="1"/>
  <c r="GM173" i="41" s="1"/>
  <c r="GL124" i="41" a="1"/>
  <c r="GL124" i="41" s="1"/>
  <c r="GN100" i="41" a="1"/>
  <c r="GN100" i="41" s="1"/>
  <c r="GJ74" i="41" a="1"/>
  <c r="GJ74" i="41" s="1"/>
  <c r="GJ111" i="41" a="1"/>
  <c r="GJ111" i="41" s="1"/>
  <c r="GM172" i="41" a="1"/>
  <c r="GM172" i="41" s="1"/>
  <c r="GJ122" i="41" a="1"/>
  <c r="GJ122" i="41" s="1"/>
  <c r="GL250" i="41" a="1"/>
  <c r="GL250" i="41" s="1"/>
  <c r="GM160" i="41" a="1"/>
  <c r="GM160" i="41" s="1"/>
  <c r="GM211" i="41" a="1"/>
  <c r="GM211" i="41" s="1"/>
  <c r="GM207" i="41" a="1"/>
  <c r="GM207" i="41" s="1"/>
  <c r="GI123" i="41" a="1"/>
  <c r="GI123" i="41" s="1"/>
  <c r="GL66" i="41" a="1"/>
  <c r="GL66" i="41" s="1"/>
  <c r="GI132" i="41" a="1"/>
  <c r="GI132" i="41" s="1"/>
  <c r="GN101" i="41" a="1"/>
  <c r="GN101" i="41" s="1"/>
  <c r="GN114" i="41" a="1"/>
  <c r="GN114" i="41" s="1"/>
  <c r="GI280" i="41" a="1"/>
  <c r="GI280" i="41" s="1"/>
  <c r="GI156" i="41" a="1"/>
  <c r="GI156" i="41" s="1"/>
  <c r="GM83" i="41" a="1"/>
  <c r="GM83" i="41" s="1"/>
  <c r="GK74" i="41" a="1"/>
  <c r="GK74" i="41" s="1"/>
  <c r="GN288" i="41" a="1"/>
  <c r="GN288" i="41" s="1"/>
  <c r="GL143" i="41" a="1"/>
  <c r="GL143" i="41" s="1"/>
  <c r="GN224" i="41" a="1"/>
  <c r="GN224" i="41" s="1"/>
  <c r="GK57" i="41" a="1"/>
  <c r="GK57" i="41" s="1"/>
  <c r="GN50" i="41" a="1"/>
  <c r="GN50" i="41" s="1"/>
  <c r="GI118" i="41" a="1"/>
  <c r="GI118" i="41" s="1"/>
  <c r="GN262" i="41" a="1"/>
  <c r="GN262" i="41" s="1"/>
  <c r="GK85" i="41" a="1"/>
  <c r="GK85" i="41" s="1"/>
  <c r="GN221" i="41" a="1"/>
  <c r="GN221" i="41" s="1"/>
  <c r="GI130" i="41" a="1"/>
  <c r="GI130" i="41" s="1"/>
  <c r="GI200" i="41" a="1"/>
  <c r="GI200" i="41" s="1"/>
  <c r="GN285" i="41" a="1"/>
  <c r="GN285" i="41" s="1"/>
  <c r="GN125" i="41" a="1"/>
  <c r="GN125" i="41" s="1"/>
  <c r="GN127" i="41" a="1"/>
  <c r="GN127" i="41" s="1"/>
  <c r="GJ24" i="41" a="1"/>
  <c r="GJ24" i="41" s="1"/>
  <c r="GN28" i="41" a="1"/>
  <c r="GN28" i="41" s="1"/>
  <c r="GK101" i="41" a="1"/>
  <c r="GK101" i="41" s="1"/>
  <c r="GN20" i="41" a="1"/>
  <c r="GN20" i="41" s="1"/>
  <c r="GK243" i="41" a="1"/>
  <c r="GK243" i="41" s="1"/>
  <c r="GJ43" i="41" a="1"/>
  <c r="GJ43" i="41" s="1"/>
  <c r="GM18" i="41" a="1"/>
  <c r="GM18" i="41" s="1"/>
  <c r="GM71" i="41" a="1"/>
  <c r="GM71" i="41" s="1"/>
  <c r="GN95" i="41" a="1"/>
  <c r="GN95" i="41" s="1"/>
  <c r="GM73" i="41" a="1"/>
  <c r="GM73" i="41" s="1"/>
  <c r="GM42" i="41" a="1"/>
  <c r="GM42" i="41" s="1"/>
  <c r="GL146" i="41" a="1"/>
  <c r="GL146" i="41" s="1"/>
  <c r="GN51" i="41" a="1"/>
  <c r="GN51" i="41" s="1"/>
  <c r="GK25" i="41" a="1"/>
  <c r="GK25" i="41" s="1"/>
  <c r="GL19" i="41" a="1"/>
  <c r="GL19" i="41" s="1"/>
  <c r="GJ94" i="41" a="1"/>
  <c r="GJ94" i="41" s="1"/>
  <c r="GN214" i="41" a="1"/>
  <c r="GN214" i="41" s="1"/>
  <c r="GK213" i="41" a="1"/>
  <c r="GK213" i="41" s="1"/>
  <c r="GM166" i="41" a="1"/>
  <c r="GM166" i="41" s="1"/>
  <c r="GN76" i="41" a="1"/>
  <c r="GN76" i="41" s="1"/>
  <c r="GM100" i="41" a="1"/>
  <c r="GM100" i="41" s="1"/>
  <c r="GN71" i="41" a="1"/>
  <c r="GN71" i="41" s="1"/>
  <c r="GI215" i="41" a="1"/>
  <c r="GI215" i="41" s="1"/>
  <c r="GK22" i="41" a="1"/>
  <c r="GK22" i="41" s="1"/>
  <c r="GL109" i="41" a="1"/>
  <c r="GL109" i="41" s="1"/>
  <c r="GK257" i="41" a="1"/>
  <c r="GK257" i="41" s="1"/>
  <c r="GN245" i="41" a="1"/>
  <c r="GN245" i="41" s="1"/>
  <c r="GM16" i="41" a="1"/>
  <c r="GM16" i="41" s="1"/>
  <c r="GN16" i="41" a="1"/>
  <c r="GN16" i="41" s="1"/>
  <c r="GJ255" i="41" a="1"/>
  <c r="GJ255" i="41" s="1"/>
  <c r="GJ209" i="41" a="1"/>
  <c r="GJ209" i="41" s="1"/>
  <c r="GK230" i="41" a="1"/>
  <c r="GK230" i="41" s="1"/>
  <c r="GM138" i="41" a="1"/>
  <c r="GM138" i="41" s="1"/>
  <c r="GK80" i="41" a="1"/>
  <c r="GK80" i="41" s="1"/>
  <c r="GN217" i="41" a="1"/>
  <c r="GN217" i="41" s="1"/>
  <c r="GN202" i="41" a="1"/>
  <c r="GN202" i="41" s="1"/>
  <c r="GI19" i="41" a="1"/>
  <c r="GI19" i="41" s="1"/>
  <c r="GL256" i="41" a="1"/>
  <c r="GL256" i="41" s="1"/>
  <c r="GN88" i="41" a="1"/>
  <c r="GN88" i="41" s="1"/>
  <c r="GL115" i="41" a="1"/>
  <c r="GL115" i="41" s="1"/>
  <c r="GN196" i="41" a="1"/>
  <c r="GN196" i="41" s="1"/>
  <c r="GK231" i="41" a="1"/>
  <c r="GK231" i="41" s="1"/>
  <c r="GJ248" i="41" a="1"/>
  <c r="GJ248" i="41" s="1"/>
  <c r="GJ266" i="41" a="1"/>
  <c r="GJ266" i="41" s="1"/>
  <c r="GM87" i="41" a="1"/>
  <c r="GM87" i="41" s="1"/>
  <c r="GJ116" i="41" a="1"/>
  <c r="GJ116" i="41" s="1"/>
  <c r="GM161" i="41" a="1"/>
  <c r="GM161" i="41" s="1"/>
  <c r="GN187" i="41" a="1"/>
  <c r="GN187" i="41" s="1"/>
  <c r="GM129" i="41" a="1"/>
  <c r="GM129" i="41" s="1"/>
  <c r="GK164" i="41" a="1"/>
  <c r="GK164" i="41" s="1"/>
  <c r="GK283" i="41" a="1"/>
  <c r="GK283" i="41" s="1"/>
  <c r="GN132" i="41" a="1"/>
  <c r="GN132" i="41" s="1"/>
  <c r="GN197" i="41" a="1"/>
  <c r="GN197" i="41" s="1"/>
  <c r="GL265" i="41" a="1"/>
  <c r="GL265" i="41" s="1"/>
  <c r="GK67" i="41" a="1"/>
  <c r="GK67" i="41" s="1"/>
  <c r="GI37" i="41" a="1"/>
  <c r="GI37" i="41" s="1"/>
  <c r="GI229" i="41" a="1"/>
  <c r="GI229" i="41" s="1"/>
  <c r="GM167" i="41" a="1"/>
  <c r="GM167" i="41" s="1"/>
  <c r="GI153" i="41" a="1"/>
  <c r="GI153" i="41" s="1"/>
  <c r="GN109" i="41" a="1"/>
  <c r="GN109" i="41" s="1"/>
  <c r="GI197" i="41" a="1"/>
  <c r="GI197" i="41" s="1"/>
  <c r="GN65" i="41" a="1"/>
  <c r="GN65" i="41" s="1"/>
  <c r="GM150" i="41" a="1"/>
  <c r="GM150" i="41" s="1"/>
  <c r="GM47" i="41" a="1"/>
  <c r="GM47" i="41" s="1"/>
  <c r="GI227" i="41" a="1"/>
  <c r="GI227" i="41" s="1"/>
  <c r="GN275" i="41" a="1"/>
  <c r="GN275" i="41" s="1"/>
  <c r="GN213" i="41" a="1"/>
  <c r="GN213" i="41" s="1"/>
  <c r="GM24" i="41" a="1"/>
  <c r="GM24" i="41" s="1"/>
  <c r="GM88" i="41" a="1"/>
  <c r="GM88" i="41" s="1"/>
  <c r="GN268" i="41" a="1"/>
  <c r="GN268" i="41" s="1"/>
  <c r="GL216" i="41" a="1"/>
  <c r="GL216" i="41" s="1"/>
  <c r="GN85" i="41" a="1"/>
  <c r="GN85" i="41" s="1"/>
  <c r="GJ112" i="41" a="1"/>
  <c r="GJ112" i="41" s="1"/>
  <c r="GL185" i="41" a="1"/>
  <c r="GL185" i="41" s="1"/>
  <c r="GN237" i="41" a="1"/>
  <c r="GN237" i="41" s="1"/>
  <c r="GI209" i="41" a="1"/>
  <c r="GI209" i="41" s="1"/>
  <c r="GK20" i="41" a="1"/>
  <c r="GK20" i="41" s="1"/>
  <c r="GL243" i="41" a="1"/>
  <c r="GL243" i="41" s="1"/>
  <c r="GN158" i="41" a="1"/>
  <c r="GN158" i="41" s="1"/>
  <c r="GL22" i="41" a="1"/>
  <c r="GL22" i="41" s="1"/>
  <c r="GL247" i="41" a="1"/>
  <c r="GL247" i="41" s="1"/>
  <c r="GJ250" i="41" a="1"/>
  <c r="GJ250" i="41" s="1"/>
  <c r="GI29" i="41" a="1"/>
  <c r="GI29" i="41" s="1"/>
  <c r="GN152" i="41" a="1"/>
  <c r="GN152" i="41" s="1"/>
  <c r="GJ65" i="41" a="1"/>
  <c r="GJ65" i="41" s="1"/>
  <c r="GL30" i="41" a="1"/>
  <c r="GL30" i="41" s="1"/>
  <c r="GN78" i="41" a="1"/>
  <c r="GN78" i="41" s="1"/>
  <c r="GN222" i="41" a="1"/>
  <c r="GN222" i="41" s="1"/>
  <c r="GM26" i="41" a="1"/>
  <c r="GM26" i="41" s="1"/>
  <c r="GN181" i="41" a="1"/>
  <c r="GN181" i="41" s="1"/>
  <c r="GK19" i="41" a="1"/>
  <c r="GK19" i="41" s="1"/>
  <c r="GN94" i="41" a="1"/>
  <c r="GN94" i="41" s="1"/>
  <c r="GI115" i="41" a="1"/>
  <c r="GI115" i="41" s="1"/>
  <c r="GJ115" i="41" a="1"/>
  <c r="GJ115" i="41" s="1"/>
  <c r="GL50" i="41" a="1"/>
  <c r="GL50" i="41" s="1"/>
  <c r="GN239" i="41" a="1"/>
  <c r="GN239" i="41" s="1"/>
  <c r="GM216" i="41" a="1"/>
  <c r="GM216" i="41" s="1"/>
  <c r="GI170" i="41" a="1"/>
  <c r="GI170" i="41" s="1"/>
  <c r="GI23" i="41" a="1"/>
  <c r="GI23" i="41" s="1"/>
  <c r="GL101" i="41" a="1"/>
  <c r="GL101" i="41" s="1"/>
  <c r="GN161" i="41" a="1"/>
  <c r="GN161" i="41" s="1"/>
  <c r="GK159" i="41" a="1"/>
  <c r="GK159" i="41" s="1"/>
  <c r="GJ230" i="41" a="1"/>
  <c r="GJ230" i="41" s="1"/>
  <c r="GM279" i="41" a="1"/>
  <c r="GM279" i="41" s="1"/>
  <c r="GJ125" i="41" a="1"/>
  <c r="GJ125" i="41" s="1"/>
  <c r="GI256" i="41" a="1"/>
  <c r="GI256" i="41" s="1"/>
  <c r="GJ168" i="41" a="1"/>
  <c r="GJ168" i="41" s="1"/>
  <c r="GJ88" i="41" a="1"/>
  <c r="GJ88" i="41" s="1"/>
  <c r="GN122" i="41" a="1"/>
  <c r="GN122" i="41" s="1"/>
  <c r="GN271" i="41" a="1"/>
  <c r="GN271" i="41" s="1"/>
  <c r="GJ54" i="41" a="1"/>
  <c r="GJ54" i="41" s="1"/>
  <c r="GK93" i="41" a="1"/>
  <c r="GK93" i="41" s="1"/>
  <c r="GJ237" i="41" a="1"/>
  <c r="GJ237" i="41" s="1"/>
  <c r="GN199" i="41" a="1"/>
  <c r="GN199" i="41" s="1"/>
  <c r="GM99" i="41" a="1"/>
  <c r="GM99" i="41" s="1"/>
  <c r="GL43" i="41" a="1"/>
  <c r="GL43" i="41" s="1"/>
  <c r="GJ102" i="41" a="1"/>
  <c r="GJ102" i="41" s="1"/>
  <c r="GI107" i="41" a="1"/>
  <c r="GI107" i="41" s="1"/>
  <c r="GJ100" i="41" a="1"/>
  <c r="GJ100" i="41" s="1"/>
  <c r="GL140" i="41" a="1"/>
  <c r="GL140" i="41" s="1"/>
  <c r="GN44" i="41" a="1"/>
  <c r="GN44" i="41" s="1"/>
  <c r="GN144" i="41" a="1"/>
  <c r="GN144" i="41" s="1"/>
  <c r="GM58" i="41" a="1"/>
  <c r="GM58" i="41" s="1"/>
  <c r="GK66" i="41" a="1"/>
  <c r="GK66" i="41" s="1"/>
  <c r="GJ40" i="41" a="1"/>
  <c r="GJ40" i="41" s="1"/>
  <c r="GI45" i="41" a="1"/>
  <c r="GI45" i="41" s="1"/>
  <c r="GK223" i="41" a="1"/>
  <c r="GK223" i="41" s="1"/>
  <c r="GJ103" i="41" a="1"/>
  <c r="GJ103" i="41" s="1"/>
  <c r="GK41" i="41" a="1"/>
  <c r="GK41" i="41" s="1"/>
  <c r="GM244" i="41" a="1"/>
  <c r="GM244" i="41" s="1"/>
  <c r="GL155" i="41" a="1"/>
  <c r="GL155" i="41" s="1"/>
  <c r="GN47" i="41" a="1"/>
  <c r="GN47" i="41" s="1"/>
  <c r="GN244" i="41" a="1"/>
  <c r="GN244" i="41" s="1"/>
  <c r="GI21" i="41" a="1"/>
  <c r="GI21" i="41" s="1"/>
  <c r="GJ30" i="41" a="1"/>
  <c r="GJ30" i="41" s="1"/>
  <c r="GN45" i="41" a="1"/>
  <c r="GN45" i="41" s="1"/>
  <c r="GN223" i="41" a="1"/>
  <c r="GN223" i="41" s="1"/>
  <c r="GN29" i="41" a="1"/>
  <c r="GN29" i="41" s="1"/>
  <c r="GK199" i="41" a="1"/>
  <c r="GK199" i="41" s="1"/>
  <c r="GJ75" i="41" a="1"/>
  <c r="GJ75" i="41" s="1"/>
  <c r="GN182" i="41" a="1"/>
  <c r="GN182" i="41" s="1"/>
  <c r="GK244" i="41" a="1"/>
  <c r="GK244" i="41" s="1"/>
  <c r="GN254" i="41" a="1"/>
  <c r="GN254" i="41" s="1"/>
  <c r="GI141" i="41" a="1"/>
  <c r="GI141" i="41" s="1"/>
  <c r="GL23" i="41" a="1"/>
  <c r="GL23" i="41" s="1"/>
  <c r="GN54" i="41" a="1"/>
  <c r="GN54" i="41" s="1"/>
  <c r="GN226" i="41" a="1"/>
  <c r="GN226" i="41" s="1"/>
  <c r="GL188" i="41" a="1"/>
  <c r="GL188" i="41" s="1"/>
  <c r="GN143" i="41" a="1"/>
  <c r="GN143" i="41" s="1"/>
  <c r="GK155" i="41" a="1"/>
  <c r="GK155" i="41" s="1"/>
  <c r="GK21" i="41" a="1"/>
  <c r="GK21" i="41" s="1"/>
  <c r="GI24" i="41" a="1"/>
  <c r="GI24" i="41" s="1"/>
  <c r="GM229" i="41" a="1"/>
  <c r="GM229" i="41" s="1"/>
  <c r="GJ19" i="41" a="1"/>
  <c r="GJ19" i="41" s="1"/>
  <c r="GL16" i="41" a="1"/>
  <c r="GL16" i="41" s="1"/>
  <c r="GI103" i="41" a="1"/>
  <c r="GI103" i="41" s="1"/>
  <c r="GI246" i="41" a="1"/>
  <c r="GI246" i="41" s="1"/>
  <c r="GL166" i="41" a="1"/>
  <c r="GL166" i="41" s="1"/>
  <c r="GN168" i="41" a="1"/>
  <c r="GN168" i="41" s="1"/>
  <c r="GN255" i="41" a="1"/>
  <c r="GN255" i="41" s="1"/>
  <c r="GL71" i="41" a="1"/>
  <c r="GL71" i="41" s="1"/>
  <c r="GN273" i="41" a="1"/>
  <c r="GN273" i="41" s="1"/>
  <c r="GL85" i="41" a="1"/>
  <c r="GL85" i="41" s="1"/>
  <c r="GN283" i="41" a="1"/>
  <c r="GN283" i="41" s="1"/>
  <c r="GN167" i="41" a="1"/>
  <c r="GN167" i="41" s="1"/>
  <c r="GK272" i="41" a="1"/>
  <c r="GK272" i="41" s="1"/>
  <c r="GK118" i="41" a="1"/>
  <c r="GK118" i="41" s="1"/>
  <c r="GJ62" i="41" a="1"/>
  <c r="GJ62" i="41" s="1"/>
  <c r="GK45" i="41" a="1"/>
  <c r="GK45" i="41" s="1"/>
  <c r="GM219" i="41" a="1"/>
  <c r="GM219" i="41" s="1"/>
  <c r="GJ49" i="41" a="1"/>
  <c r="GJ49" i="41" s="1"/>
  <c r="GI55" i="41" a="1"/>
  <c r="GI55" i="41" s="1"/>
  <c r="GK89" i="41" a="1"/>
  <c r="GK89" i="41" s="1"/>
  <c r="GN49" i="41" a="1"/>
  <c r="GN49" i="41" s="1"/>
  <c r="GI124" i="41" a="1"/>
  <c r="GI124" i="41" s="1"/>
  <c r="GN230" i="41" a="1"/>
  <c r="GN230" i="41" s="1"/>
  <c r="GN173" i="41" a="1"/>
  <c r="GN173" i="41" s="1"/>
  <c r="GN103" i="41" a="1"/>
  <c r="GN103" i="41" s="1"/>
  <c r="GM223" i="41" a="1"/>
  <c r="GM223" i="41" s="1"/>
  <c r="GJ278" i="41" a="1"/>
  <c r="GJ278" i="41" s="1"/>
  <c r="GK108" i="41" a="1"/>
  <c r="GK108" i="41" s="1"/>
  <c r="GK156" i="41" a="1"/>
  <c r="GK156" i="41" s="1"/>
  <c r="GJ205" i="41" a="1"/>
  <c r="GJ205" i="41" s="1"/>
  <c r="GK63" i="41" a="1"/>
  <c r="GK63" i="41" s="1"/>
  <c r="GL70" i="41" a="1"/>
  <c r="GL70" i="41" s="1"/>
  <c r="GN193" i="41" a="1"/>
  <c r="GN193" i="41" s="1"/>
  <c r="GJ160" i="41" a="1"/>
  <c r="GJ160" i="41" s="1"/>
  <c r="GM122" i="41" a="1"/>
  <c r="GM122" i="41" s="1"/>
  <c r="GN43" i="41" a="1"/>
  <c r="GN43" i="41" s="1"/>
  <c r="GN166" i="41" a="1"/>
  <c r="GN166" i="41" s="1"/>
  <c r="GN84" i="41" a="1"/>
  <c r="GN84" i="41" s="1"/>
  <c r="GL18" i="41" a="1"/>
  <c r="GL18" i="41" s="1"/>
  <c r="GL87" i="41" a="1"/>
  <c r="GL87" i="41" s="1"/>
  <c r="GK28" i="41" a="1"/>
  <c r="GK28" i="41" s="1"/>
  <c r="GI238" i="41" a="1"/>
  <c r="GI238" i="41" s="1"/>
  <c r="GI138" i="41" a="1"/>
  <c r="GI138" i="41" s="1"/>
  <c r="GN203" i="41" a="1"/>
  <c r="GN203" i="41" s="1"/>
  <c r="GL28" i="41" a="1"/>
  <c r="GL28" i="41" s="1"/>
  <c r="GJ147" i="41" a="1"/>
  <c r="GJ147" i="41" s="1"/>
  <c r="GJ96" i="41" a="1"/>
  <c r="GJ96" i="41" s="1"/>
  <c r="GK29" i="41" a="1"/>
  <c r="GK29" i="41" s="1"/>
  <c r="GJ114" i="41" a="1"/>
  <c r="GJ114" i="41" s="1"/>
  <c r="GL74" i="41" a="1"/>
  <c r="GL74" i="41" s="1"/>
  <c r="GI165" i="41" a="1"/>
  <c r="GI165" i="41" s="1"/>
  <c r="GI18" i="41" a="1"/>
  <c r="GI18" i="41" s="1"/>
  <c r="GK278" i="41" a="1"/>
  <c r="GK278" i="41" s="1"/>
  <c r="GN117" i="41" a="1"/>
  <c r="GN117" i="41" s="1"/>
  <c r="GN269" i="41" a="1"/>
  <c r="GN269" i="41" s="1"/>
  <c r="GM74" i="41" a="1"/>
  <c r="GM74" i="41" s="1"/>
  <c r="GN139" i="41" a="1"/>
  <c r="GN139" i="41" s="1"/>
  <c r="GM29" i="41" a="1"/>
  <c r="GM29" i="41" s="1"/>
  <c r="GN248" i="41" a="1"/>
  <c r="GN248" i="41" s="1"/>
  <c r="GJ212" i="41" a="1"/>
  <c r="GJ212" i="41" s="1"/>
  <c r="GK26" i="41" a="1"/>
  <c r="GK26" i="41" s="1"/>
  <c r="GN27" i="41" a="1"/>
  <c r="GN27" i="41" s="1"/>
  <c r="GI140" i="41" a="1"/>
  <c r="GI140" i="41" s="1"/>
  <c r="GN246" i="41" a="1"/>
  <c r="GN246" i="41" s="1"/>
  <c r="GK214" i="41" a="1"/>
  <c r="GK214" i="41" s="1"/>
  <c r="GL118" i="41" a="1"/>
  <c r="GL118" i="41" s="1"/>
  <c r="GI66" i="41" a="1"/>
  <c r="GI66" i="41" s="1"/>
  <c r="GN252" i="41" a="1"/>
  <c r="GN252" i="41" s="1"/>
  <c r="GN19" i="41" a="1"/>
  <c r="GN19" i="41" s="1"/>
  <c r="GJ140" i="41" a="1"/>
  <c r="GJ140" i="41" s="1"/>
  <c r="GK191" i="41" a="1"/>
  <c r="GK191" i="41" s="1"/>
  <c r="GK73" i="41" a="1"/>
  <c r="GK73" i="41" s="1"/>
  <c r="GM123" i="41" a="1"/>
  <c r="GM123" i="41" s="1"/>
  <c r="GN225" i="41" a="1"/>
  <c r="GN225" i="41" s="1"/>
  <c r="GK131" i="41" a="1"/>
  <c r="GK131" i="41" s="1"/>
  <c r="GK260" i="41" a="1"/>
  <c r="GK260" i="41" s="1"/>
  <c r="GN77" i="41" a="1"/>
  <c r="GN77" i="41" s="1"/>
  <c r="GL191" i="41" a="1"/>
  <c r="GL191" i="41" s="1"/>
  <c r="GJ118" i="41" a="1"/>
  <c r="GJ118" i="41" s="1"/>
  <c r="GI253" i="41" a="1"/>
  <c r="GI253" i="41" s="1"/>
  <c r="GK180" i="41" a="1"/>
  <c r="GK180" i="41" s="1"/>
  <c r="GN210" i="41" a="1"/>
  <c r="GN210" i="41" s="1"/>
  <c r="GI210" i="41" a="1"/>
  <c r="GI210" i="41" s="1"/>
  <c r="GK55" i="41" a="1"/>
  <c r="GK55" i="41" s="1"/>
  <c r="GN177" i="41" a="1"/>
  <c r="GN177" i="41" s="1"/>
  <c r="GM222" i="41" a="1"/>
  <c r="GM222" i="41" s="1"/>
  <c r="GM70" i="41" a="1"/>
  <c r="GM70" i="41" s="1"/>
  <c r="GN278" i="41" a="1"/>
  <c r="GN278" i="41" s="1"/>
  <c r="GM168" i="41" a="1"/>
  <c r="GM168" i="41" s="1"/>
  <c r="GN259" i="41" a="1"/>
  <c r="GN259" i="41" s="1"/>
  <c r="GJ87" i="41" a="1"/>
  <c r="GJ87" i="41" s="1"/>
  <c r="GN57" i="41" a="1"/>
  <c r="GN57" i="41" s="1"/>
  <c r="GN123" i="41" a="1"/>
  <c r="GN123" i="41" s="1"/>
  <c r="GN146" i="41" a="1"/>
  <c r="GN146" i="41" s="1"/>
  <c r="GJ220" i="41" a="1"/>
  <c r="GJ220" i="41" s="1"/>
  <c r="GL260" i="41" a="1"/>
  <c r="GL260" i="41" s="1"/>
  <c r="GK43" i="41" a="1"/>
  <c r="GK43" i="41" s="1"/>
  <c r="GN257" i="41" a="1"/>
  <c r="GN257" i="41" s="1"/>
  <c r="GL46" i="41" a="1"/>
  <c r="GL46" i="41" s="1"/>
  <c r="GN67" i="41" a="1"/>
  <c r="GN67" i="41" s="1"/>
  <c r="GN133" i="41" a="1"/>
  <c r="GN133" i="41" s="1"/>
  <c r="GN86" i="41" a="1"/>
  <c r="GN86" i="41" s="1"/>
  <c r="GN178" i="41" a="1"/>
  <c r="GN178" i="41" s="1"/>
  <c r="GN191" i="41" a="1"/>
  <c r="GN191" i="41" s="1"/>
  <c r="GI17" i="41" a="1"/>
  <c r="GI17" i="41" s="1"/>
  <c r="GI68" i="41" a="1"/>
  <c r="GI68" i="41" s="1"/>
  <c r="GI27" i="41" a="1"/>
  <c r="GI27" i="41" s="1"/>
  <c r="GN265" i="41" a="1"/>
  <c r="GN265" i="41" s="1"/>
  <c r="GK62" i="41" a="1"/>
  <c r="GK62" i="41" s="1"/>
  <c r="GM27" i="41" a="1"/>
  <c r="GM27" i="41" s="1"/>
  <c r="GK24" i="41" a="1"/>
  <c r="GK24" i="41" s="1"/>
  <c r="GJ134" i="41" a="1"/>
  <c r="GJ134" i="41" s="1"/>
  <c r="GN107" i="41" a="1"/>
  <c r="GN107" i="41" s="1"/>
  <c r="GL106" i="41" a="1"/>
  <c r="GL106" i="41" s="1"/>
  <c r="GN46" i="41" a="1"/>
  <c r="GN46" i="41" s="1"/>
  <c r="GN131" i="41" a="1"/>
  <c r="GN131" i="41" s="1"/>
  <c r="GL29" i="41" a="1"/>
  <c r="GL29" i="41" s="1"/>
  <c r="GN69" i="41" a="1"/>
  <c r="GN69" i="41" s="1"/>
  <c r="GI53" i="41" a="1"/>
  <c r="GI53" i="41" s="1"/>
  <c r="GN30" i="41" a="1"/>
  <c r="GN30" i="41" s="1"/>
  <c r="GN198" i="41" a="1"/>
  <c r="GN198" i="41" s="1"/>
  <c r="GN98" i="41" a="1"/>
  <c r="GN98" i="41" s="1"/>
  <c r="GL80" i="41" a="1"/>
  <c r="GL80" i="41" s="1"/>
  <c r="GI274" i="41" a="1"/>
  <c r="GI274" i="41" s="1"/>
  <c r="GN130" i="41" a="1"/>
  <c r="GN130" i="41" s="1"/>
  <c r="GJ158" i="41" a="1"/>
  <c r="GJ158" i="41" s="1"/>
  <c r="GJ16" i="41" a="1"/>
  <c r="GJ16" i="41" s="1"/>
  <c r="GJ211" i="41" a="1"/>
  <c r="GJ211" i="41" s="1"/>
  <c r="GL219" i="41" a="1"/>
  <c r="GL219" i="41" s="1"/>
  <c r="GK196" i="41" a="1"/>
  <c r="GK196" i="41" s="1"/>
  <c r="GN147" i="41" a="1"/>
  <c r="GN147" i="41" s="1"/>
  <c r="GK238" i="41" a="1"/>
  <c r="GK238" i="41" s="1"/>
  <c r="GN243" i="41" a="1"/>
  <c r="GN243" i="41" s="1"/>
  <c r="GM163" i="41" a="1"/>
  <c r="GM163" i="41" s="1"/>
  <c r="GL126" i="41" a="1"/>
  <c r="GL126" i="41" s="1"/>
  <c r="GI133" i="41" a="1"/>
  <c r="GI133" i="41" s="1"/>
  <c r="GL144" i="41" a="1"/>
  <c r="GL144" i="41" s="1"/>
  <c r="GM248" i="41" a="1"/>
  <c r="GM248" i="41" s="1"/>
  <c r="GL100" i="41" a="1"/>
  <c r="GL100" i="41" s="1"/>
  <c r="GJ63" i="41" a="1"/>
  <c r="GJ63" i="41" s="1"/>
  <c r="GK112" i="41" a="1"/>
  <c r="GK112" i="41" s="1"/>
  <c r="GN96" i="41" a="1"/>
  <c r="GN96" i="41" s="1"/>
  <c r="GM147" i="41" a="1"/>
  <c r="GM147" i="41" s="1"/>
  <c r="GL78" i="41" a="1"/>
  <c r="GL78" i="41" s="1"/>
  <c r="GN93" i="41" a="1"/>
  <c r="GN93" i="41" s="1"/>
  <c r="GN104" i="41" a="1"/>
  <c r="GN104" i="41" s="1"/>
  <c r="GL89" i="41" a="1"/>
  <c r="GL89" i="41" s="1"/>
  <c r="GN241" i="41" a="1"/>
  <c r="GN241" i="41" s="1"/>
  <c r="GL244" i="41" a="1"/>
  <c r="GL244" i="41" s="1"/>
  <c r="GN42" i="41" a="1"/>
  <c r="GN42" i="41" s="1"/>
  <c r="GM155" i="41" a="1"/>
  <c r="GM155" i="41" s="1"/>
  <c r="GM250" i="41" a="1"/>
  <c r="GM250" i="41" s="1"/>
  <c r="GM72" i="41" a="1"/>
  <c r="GM72" i="41" s="1"/>
  <c r="GJ130" i="41" a="1"/>
  <c r="GJ130" i="41" s="1"/>
  <c r="GK75" i="41" a="1"/>
  <c r="GK75" i="41" s="1"/>
  <c r="GJ136" i="41" a="1"/>
  <c r="GJ136" i="41" s="1"/>
  <c r="GM130" i="41" a="1"/>
  <c r="GM130" i="41" s="1"/>
  <c r="GK192" i="41" a="1"/>
  <c r="GK192" i="41" s="1"/>
  <c r="GM189" i="41" a="1"/>
  <c r="GM189" i="41" s="1"/>
  <c r="GK146" i="41" a="1"/>
  <c r="GK146" i="41" s="1"/>
  <c r="GK175" i="41" a="1"/>
  <c r="GK175" i="41" s="1"/>
  <c r="GI216" i="41" a="1"/>
  <c r="GI216" i="41" s="1"/>
  <c r="GM78" i="41" a="1"/>
  <c r="GM78" i="41" s="1"/>
  <c r="GL17" i="41" a="1"/>
  <c r="GL17" i="41" s="1"/>
  <c r="GK121" i="41" a="1"/>
  <c r="GK121" i="41" s="1"/>
  <c r="GJ286" i="41" a="1"/>
  <c r="GJ286" i="41" s="1"/>
  <c r="GN201" i="41" a="1"/>
  <c r="GN201" i="41" s="1"/>
  <c r="GN138" i="41" a="1"/>
  <c r="GN138" i="41" s="1"/>
  <c r="GM19" i="41" a="1"/>
  <c r="GM19" i="41" s="1"/>
  <c r="GN33" i="41" a="1"/>
  <c r="GN33" i="41" s="1"/>
  <c r="GN148" i="41" a="1"/>
  <c r="GN148" i="41" s="1"/>
  <c r="GK271" i="41" a="1"/>
  <c r="GK271" i="41" s="1"/>
  <c r="GJ26" i="41" a="1"/>
  <c r="GJ26" i="41" s="1"/>
  <c r="GK184" i="41" a="1"/>
  <c r="GK184" i="41" s="1"/>
  <c r="GN52" i="41" a="1"/>
  <c r="GN52" i="41" s="1"/>
  <c r="GN195" i="41" a="1"/>
  <c r="GN195" i="41" s="1"/>
  <c r="GL27" i="41" a="1"/>
  <c r="GL27" i="41" s="1"/>
  <c r="GJ269" i="41" a="1"/>
  <c r="GJ269" i="41" s="1"/>
  <c r="GN180" i="41" a="1"/>
  <c r="GN180" i="41" s="1"/>
  <c r="GJ23" i="41" a="1"/>
  <c r="GJ23" i="41" s="1"/>
  <c r="GM84" i="41" a="1"/>
  <c r="GM84" i="41" s="1"/>
  <c r="GN227" i="41" a="1"/>
  <c r="GN227" i="41" s="1"/>
  <c r="GJ27" i="41" a="1"/>
  <c r="GJ27" i="41" s="1"/>
  <c r="GI72" i="41" a="1"/>
  <c r="GI72" i="41" s="1"/>
  <c r="GL137" i="41" a="1"/>
  <c r="GL137" i="41" s="1"/>
  <c r="GJ25" i="41" a="1"/>
  <c r="GJ25" i="41" s="1"/>
  <c r="GN24" i="41" a="1"/>
  <c r="GN24" i="41" s="1"/>
  <c r="GN151" i="41" a="1"/>
  <c r="GN151" i="41" s="1"/>
  <c r="GK18" i="41" a="1"/>
  <c r="GK18" i="41" s="1"/>
  <c r="GH5" i="41"/>
  <c r="HZ283" i="34" l="1"/>
  <c r="HN283" i="34"/>
  <c r="HX283" i="34"/>
  <c r="HL283" i="34"/>
  <c r="IA284" i="34"/>
  <c r="HO284" i="34"/>
  <c r="HZ260" i="34"/>
  <c r="HN260" i="34"/>
  <c r="IB288" i="34"/>
  <c r="HP288" i="34"/>
  <c r="HX278" i="34"/>
  <c r="HL278" i="34"/>
  <c r="IA271" i="34"/>
  <c r="HO271" i="34"/>
  <c r="IC262" i="34"/>
  <c r="HQ262" i="34"/>
  <c r="IB260" i="34"/>
  <c r="HP260" i="34"/>
  <c r="IC269" i="34"/>
  <c r="HQ269" i="34"/>
  <c r="HX267" i="34"/>
  <c r="HL267" i="34"/>
  <c r="HX262" i="34"/>
  <c r="HL262" i="34"/>
  <c r="HY266" i="34"/>
  <c r="HM266" i="34"/>
  <c r="IB270" i="34"/>
  <c r="HP270" i="34"/>
  <c r="HX276" i="34"/>
  <c r="HL276" i="34"/>
  <c r="IB268" i="34"/>
  <c r="HP268" i="34"/>
  <c r="IA262" i="34"/>
  <c r="HO262" i="34"/>
  <c r="HY279" i="34"/>
  <c r="HM279" i="34"/>
  <c r="IA274" i="34"/>
  <c r="HO274" i="34"/>
  <c r="IA265" i="34"/>
  <c r="HO265" i="34"/>
  <c r="IB261" i="34"/>
  <c r="HP261" i="34"/>
  <c r="IC256" i="34"/>
  <c r="HQ256" i="34"/>
  <c r="IC261" i="34"/>
  <c r="HQ261" i="34"/>
  <c r="HX281" i="34"/>
  <c r="HL281" i="34"/>
  <c r="GH282" i="42" a="1"/>
  <c r="GH282" i="42" s="1"/>
  <c r="GO282" i="42" s="1"/>
  <c r="GH104" i="42" a="1"/>
  <c r="GH104" i="42" s="1"/>
  <c r="GO104" i="42" s="1"/>
  <c r="GH85" i="42" a="1"/>
  <c r="GH85" i="42" s="1"/>
  <c r="GO85" i="42" s="1"/>
  <c r="GH244" i="42" a="1"/>
  <c r="GH244" i="42" s="1"/>
  <c r="GO244" i="42" s="1"/>
  <c r="GH249" i="42" a="1"/>
  <c r="GH249" i="42" s="1"/>
  <c r="GO249" i="42" s="1"/>
  <c r="GH174" i="42" a="1"/>
  <c r="GH174" i="42" s="1"/>
  <c r="GO174" i="42" s="1"/>
  <c r="GH265" i="42" a="1"/>
  <c r="GH265" i="42" s="1"/>
  <c r="GO265" i="42" s="1"/>
  <c r="GH98" i="42" a="1"/>
  <c r="GH98" i="42" s="1"/>
  <c r="GO98" i="42" s="1"/>
  <c r="GH81" i="42" a="1"/>
  <c r="GH81" i="42" s="1"/>
  <c r="GO81" i="42" s="1"/>
  <c r="GH71" i="42" a="1"/>
  <c r="GH71" i="42" s="1"/>
  <c r="GO71" i="42" s="1"/>
  <c r="GH171" i="42" a="1"/>
  <c r="GH171" i="42" s="1"/>
  <c r="GO171" i="42" s="1"/>
  <c r="GH88" i="42" a="1"/>
  <c r="GH88" i="42" s="1"/>
  <c r="GO88" i="42" s="1"/>
  <c r="GH189" i="42" a="1"/>
  <c r="GH189" i="42" s="1"/>
  <c r="GO189" i="42" s="1"/>
  <c r="GH157" i="42" a="1"/>
  <c r="GH157" i="42" s="1"/>
  <c r="GO157" i="42" s="1"/>
  <c r="GH96" i="42" a="1"/>
  <c r="GH96" i="42" s="1"/>
  <c r="GO96" i="42" s="1"/>
  <c r="GH225" i="42" a="1"/>
  <c r="GH225" i="42" s="1"/>
  <c r="GO225" i="42" s="1"/>
  <c r="GH205" i="42" a="1"/>
  <c r="GH205" i="42" s="1"/>
  <c r="GO205" i="42" s="1"/>
  <c r="GH154" i="42" a="1"/>
  <c r="GH154" i="42" s="1"/>
  <c r="GO154" i="42" s="1"/>
  <c r="GH101" i="42" a="1"/>
  <c r="GH101" i="42" s="1"/>
  <c r="GO101" i="42" s="1"/>
  <c r="GH148" i="42" a="1"/>
  <c r="GH148" i="42" s="1"/>
  <c r="GO148" i="42" s="1"/>
  <c r="GH129" i="42" a="1"/>
  <c r="GH129" i="42" s="1"/>
  <c r="GO129" i="42" s="1"/>
  <c r="GH238" i="42" a="1"/>
  <c r="GH238" i="42" s="1"/>
  <c r="GO238" i="42" s="1"/>
  <c r="GH286" i="42" a="1"/>
  <c r="GH286" i="42" s="1"/>
  <c r="GO286" i="42" s="1"/>
  <c r="GH191" i="42" a="1"/>
  <c r="GH191" i="42" s="1"/>
  <c r="GO191" i="42" s="1"/>
  <c r="GH92" i="42" a="1"/>
  <c r="GH92" i="42" s="1"/>
  <c r="GO92" i="42" s="1"/>
  <c r="GH208" i="42" a="1"/>
  <c r="GH208" i="42" s="1"/>
  <c r="GO208" i="42" s="1"/>
  <c r="GH147" i="42" a="1"/>
  <c r="GH147" i="42" s="1"/>
  <c r="GO147" i="42" s="1"/>
  <c r="GH233" i="42" a="1"/>
  <c r="GH233" i="42" s="1"/>
  <c r="GO233" i="42" s="1"/>
  <c r="GH109" i="42" a="1"/>
  <c r="GH109" i="42" s="1"/>
  <c r="GO109" i="42" s="1"/>
  <c r="GH273" i="42" a="1"/>
  <c r="GH273" i="42" s="1"/>
  <c r="GO273" i="42" s="1"/>
  <c r="GH232" i="42" a="1"/>
  <c r="GH232" i="42" s="1"/>
  <c r="GO232" i="42" s="1"/>
  <c r="GH142" i="42" a="1"/>
  <c r="GH142" i="42" s="1"/>
  <c r="GO142" i="42" s="1"/>
  <c r="GH51" i="42" a="1"/>
  <c r="GH51" i="42" s="1"/>
  <c r="GO51" i="42" s="1"/>
  <c r="GH194" i="42" a="1"/>
  <c r="GH194" i="42" s="1"/>
  <c r="GO194" i="42" s="1"/>
  <c r="GH86" i="42" a="1"/>
  <c r="GH86" i="42" s="1"/>
  <c r="GO86" i="42" s="1"/>
  <c r="GH35" i="42" a="1"/>
  <c r="GH35" i="42" s="1"/>
  <c r="GO35" i="42" s="1"/>
  <c r="GH64" i="42" a="1"/>
  <c r="GH64" i="42" s="1"/>
  <c r="GO64" i="42" s="1"/>
  <c r="GH234" i="42" a="1"/>
  <c r="GH234" i="42" s="1"/>
  <c r="GO234" i="42" s="1"/>
  <c r="GH160" i="42" a="1"/>
  <c r="GH160" i="42" s="1"/>
  <c r="GO160" i="42" s="1"/>
  <c r="GH49" i="42" a="1"/>
  <c r="GH49" i="42" s="1"/>
  <c r="GO49" i="42" s="1"/>
  <c r="GH89" i="42" a="1"/>
  <c r="GH89" i="42" s="1"/>
  <c r="GO89" i="42" s="1"/>
  <c r="GH59" i="42" a="1"/>
  <c r="GH59" i="42" s="1"/>
  <c r="GO59" i="42" s="1"/>
  <c r="GH131" i="42" a="1"/>
  <c r="GH131" i="42" s="1"/>
  <c r="GO131" i="42" s="1"/>
  <c r="GH57" i="42" a="1"/>
  <c r="GH57" i="42" s="1"/>
  <c r="GO57" i="42" s="1"/>
  <c r="GH182" i="42" a="1"/>
  <c r="GH182" i="42" s="1"/>
  <c r="GO182" i="42" s="1"/>
  <c r="GH240" i="42" a="1"/>
  <c r="GH240" i="42" s="1"/>
  <c r="GO240" i="42" s="1"/>
  <c r="GH163" i="42" a="1"/>
  <c r="GH163" i="42" s="1"/>
  <c r="GO163" i="42" s="1"/>
  <c r="GH220" i="42" a="1"/>
  <c r="GH220" i="42" s="1"/>
  <c r="GO220" i="42" s="1"/>
  <c r="GH279" i="42" a="1"/>
  <c r="GH279" i="42" s="1"/>
  <c r="GO279" i="42" s="1"/>
  <c r="GH173" i="42" a="1"/>
  <c r="GH173" i="42" s="1"/>
  <c r="GO173" i="42" s="1"/>
  <c r="GH108" i="42" a="1"/>
  <c r="GH108" i="42" s="1"/>
  <c r="GO108" i="42" s="1"/>
  <c r="GH161" i="42" a="1"/>
  <c r="GH161" i="42" s="1"/>
  <c r="GO161" i="42" s="1"/>
  <c r="GH58" i="42" a="1"/>
  <c r="GH58" i="42" s="1"/>
  <c r="GO58" i="42" s="1"/>
  <c r="GH190" i="42" a="1"/>
  <c r="GH190" i="42" s="1"/>
  <c r="GO190" i="42" s="1"/>
  <c r="GH271" i="42" a="1"/>
  <c r="GH271" i="42" s="1"/>
  <c r="GO271" i="42" s="1"/>
  <c r="GH259" i="42" a="1"/>
  <c r="GH259" i="42" s="1"/>
  <c r="GO259" i="42" s="1"/>
  <c r="GH120" i="42" a="1"/>
  <c r="GH120" i="42" s="1"/>
  <c r="GO120" i="42" s="1"/>
  <c r="GH211" i="42" a="1"/>
  <c r="GH211" i="42" s="1"/>
  <c r="GO211" i="42" s="1"/>
  <c r="GH263" i="42" a="1"/>
  <c r="GH263" i="42" s="1"/>
  <c r="GO263" i="42" s="1"/>
  <c r="GH288" i="42" a="1"/>
  <c r="GH288" i="42" s="1"/>
  <c r="GO288" i="42" s="1"/>
  <c r="GH272" i="42" a="1"/>
  <c r="GH272" i="42" s="1"/>
  <c r="GO272" i="42" s="1"/>
  <c r="GH139" i="42" a="1"/>
  <c r="GH139" i="42" s="1"/>
  <c r="GO139" i="42" s="1"/>
  <c r="GH168" i="42" a="1"/>
  <c r="GH168" i="42" s="1"/>
  <c r="GO168" i="42" s="1"/>
  <c r="GH76" i="42" a="1"/>
  <c r="GH76" i="42" s="1"/>
  <c r="GO76" i="42" s="1"/>
  <c r="GH143" i="42" a="1"/>
  <c r="GH143" i="42" s="1"/>
  <c r="GO143" i="42" s="1"/>
  <c r="GH87" i="42" a="1"/>
  <c r="GH87" i="42" s="1"/>
  <c r="GO87" i="42" s="1"/>
  <c r="GH37" i="42" a="1"/>
  <c r="GH37" i="42" s="1"/>
  <c r="GO37" i="42" s="1"/>
  <c r="GH50" i="42" a="1"/>
  <c r="GH50" i="42" s="1"/>
  <c r="GO50" i="42" s="1"/>
  <c r="GH45" i="42" a="1"/>
  <c r="GH45" i="42" s="1"/>
  <c r="GO45" i="42" s="1"/>
  <c r="GH275" i="42" a="1"/>
  <c r="GH275" i="42" s="1"/>
  <c r="GO275" i="42" s="1"/>
  <c r="GH107" i="42" a="1"/>
  <c r="GH107" i="42" s="1"/>
  <c r="GO107" i="42" s="1"/>
  <c r="GH179" i="42" a="1"/>
  <c r="GH179" i="42" s="1"/>
  <c r="GO179" i="42" s="1"/>
  <c r="GH151" i="42" a="1"/>
  <c r="GH151" i="42" s="1"/>
  <c r="GO151" i="42" s="1"/>
  <c r="GH274" i="42" a="1"/>
  <c r="GH274" i="42" s="1"/>
  <c r="GO274" i="42" s="1"/>
  <c r="GH197" i="42" a="1"/>
  <c r="GH197" i="42" s="1"/>
  <c r="GO197" i="42" s="1"/>
  <c r="GH123" i="42" a="1"/>
  <c r="GH123" i="42" s="1"/>
  <c r="GO123" i="42" s="1"/>
  <c r="GH264" i="42" a="1"/>
  <c r="GH264" i="42" s="1"/>
  <c r="GO264" i="42" s="1"/>
  <c r="GH219" i="42" a="1"/>
  <c r="GH219" i="42" s="1"/>
  <c r="GO219" i="42" s="1"/>
  <c r="GH105" i="42" a="1"/>
  <c r="GH105" i="42" s="1"/>
  <c r="GO105" i="42" s="1"/>
  <c r="GH121" i="42" a="1"/>
  <c r="GH121" i="42" s="1"/>
  <c r="GO121" i="42" s="1"/>
  <c r="GH103" i="42" a="1"/>
  <c r="GH103" i="42" s="1"/>
  <c r="GO103" i="42" s="1"/>
  <c r="GH195" i="42" a="1"/>
  <c r="GH195" i="42" s="1"/>
  <c r="GO195" i="42" s="1"/>
  <c r="GH239" i="42" a="1"/>
  <c r="GH239" i="42" s="1"/>
  <c r="GO239" i="42" s="1"/>
  <c r="GH118" i="42" a="1"/>
  <c r="GH118" i="42" s="1"/>
  <c r="GO118" i="42" s="1"/>
  <c r="GH40" i="42" a="1"/>
  <c r="GH40" i="42" s="1"/>
  <c r="GO40" i="42" s="1"/>
  <c r="GH281" i="42" a="1"/>
  <c r="GH281" i="42" s="1"/>
  <c r="GO281" i="42" s="1"/>
  <c r="GH93" i="42" a="1"/>
  <c r="GH93" i="42" s="1"/>
  <c r="GO93" i="42" s="1"/>
  <c r="GH266" i="42" a="1"/>
  <c r="GH266" i="42" s="1"/>
  <c r="GO266" i="42" s="1"/>
  <c r="GH155" i="42" a="1"/>
  <c r="GH155" i="42" s="1"/>
  <c r="GO155" i="42" s="1"/>
  <c r="GH166" i="42" a="1"/>
  <c r="GH166" i="42" s="1"/>
  <c r="GO166" i="42" s="1"/>
  <c r="GH146" i="42" a="1"/>
  <c r="GH146" i="42" s="1"/>
  <c r="GO146" i="42" s="1"/>
  <c r="GH258" i="42" a="1"/>
  <c r="GH258" i="42" s="1"/>
  <c r="GO258" i="42" s="1"/>
  <c r="GH169" i="42" a="1"/>
  <c r="GH169" i="42" s="1"/>
  <c r="GO169" i="42" s="1"/>
  <c r="GH135" i="42" a="1"/>
  <c r="GH135" i="42" s="1"/>
  <c r="GO135" i="42" s="1"/>
  <c r="GH77" i="42" a="1"/>
  <c r="GH77" i="42" s="1"/>
  <c r="GO77" i="42" s="1"/>
  <c r="GH243" i="42" a="1"/>
  <c r="GH243" i="42" s="1"/>
  <c r="GO243" i="42" s="1"/>
  <c r="GH145" i="42" a="1"/>
  <c r="GH145" i="42" s="1"/>
  <c r="GO145" i="42" s="1"/>
  <c r="GH150" i="42" a="1"/>
  <c r="GH150" i="42" s="1"/>
  <c r="GO150" i="42" s="1"/>
  <c r="GH251" i="42" a="1"/>
  <c r="GH251" i="42" s="1"/>
  <c r="GO251" i="42" s="1"/>
  <c r="GH228" i="42" a="1"/>
  <c r="GH228" i="42" s="1"/>
  <c r="GO228" i="42" s="1"/>
  <c r="GH48" i="42" a="1"/>
  <c r="GH48" i="42" s="1"/>
  <c r="GO48" i="42" s="1"/>
  <c r="GH153" i="42" a="1"/>
  <c r="GH153" i="42" s="1"/>
  <c r="GO153" i="42" s="1"/>
  <c r="GH277" i="42" a="1"/>
  <c r="GH277" i="42" s="1"/>
  <c r="GO277" i="42" s="1"/>
  <c r="GH102" i="42" a="1"/>
  <c r="GH102" i="42" s="1"/>
  <c r="GO102" i="42" s="1"/>
  <c r="GH164" i="42" a="1"/>
  <c r="GH164" i="42" s="1"/>
  <c r="GO164" i="42" s="1"/>
  <c r="GH276" i="42" a="1"/>
  <c r="GH276" i="42" s="1"/>
  <c r="GO276" i="42" s="1"/>
  <c r="GH125" i="42" a="1"/>
  <c r="GH125" i="42" s="1"/>
  <c r="GO125" i="42" s="1"/>
  <c r="GH72" i="42" a="1"/>
  <c r="GH72" i="42" s="1"/>
  <c r="GO72" i="42" s="1"/>
  <c r="GH172" i="42" a="1"/>
  <c r="GH172" i="42" s="1"/>
  <c r="GO172" i="42" s="1"/>
  <c r="GH84" i="42" a="1"/>
  <c r="GH84" i="42" s="1"/>
  <c r="GO84" i="42" s="1"/>
  <c r="GH97" i="42" a="1"/>
  <c r="GH97" i="42" s="1"/>
  <c r="GO97" i="42" s="1"/>
  <c r="GH127" i="42" a="1"/>
  <c r="GH127" i="42" s="1"/>
  <c r="GO127" i="42" s="1"/>
  <c r="GH177" i="42" a="1"/>
  <c r="GH177" i="42" s="1"/>
  <c r="GO177" i="42" s="1"/>
  <c r="GH83" i="42" a="1"/>
  <c r="GH83" i="42" s="1"/>
  <c r="GO83" i="42" s="1"/>
  <c r="GH69" i="42" a="1"/>
  <c r="GH69" i="42" s="1"/>
  <c r="GO69" i="42" s="1"/>
  <c r="GH65" i="42" a="1"/>
  <c r="GH65" i="42" s="1"/>
  <c r="GO65" i="42" s="1"/>
  <c r="GH78" i="42" a="1"/>
  <c r="GH78" i="42" s="1"/>
  <c r="GO78" i="42" s="1"/>
  <c r="GH218" i="42" a="1"/>
  <c r="GH218" i="42" s="1"/>
  <c r="GO218" i="42" s="1"/>
  <c r="GH188" i="42" a="1"/>
  <c r="GH188" i="42" s="1"/>
  <c r="GO188" i="42" s="1"/>
  <c r="GH94" i="42" a="1"/>
  <c r="GH94" i="42" s="1"/>
  <c r="GO94" i="42" s="1"/>
  <c r="GH115" i="42" a="1"/>
  <c r="GH115" i="42" s="1"/>
  <c r="GO115" i="42" s="1"/>
  <c r="GH247" i="42" a="1"/>
  <c r="GH247" i="42" s="1"/>
  <c r="GO247" i="42" s="1"/>
  <c r="GH257" i="42" a="1"/>
  <c r="GH257" i="42" s="1"/>
  <c r="GO257" i="42" s="1"/>
  <c r="GH158" i="42" a="1"/>
  <c r="GH158" i="42" s="1"/>
  <c r="GO158" i="42" s="1"/>
  <c r="GH223" i="42" a="1"/>
  <c r="GH223" i="42" s="1"/>
  <c r="GO223" i="42" s="1"/>
  <c r="GH206" i="42" a="1"/>
  <c r="GH206" i="42" s="1"/>
  <c r="GO206" i="42" s="1"/>
  <c r="GH60" i="42" a="1"/>
  <c r="GH60" i="42" s="1"/>
  <c r="GO60" i="42" s="1"/>
  <c r="GH178" i="42" a="1"/>
  <c r="GH178" i="42" s="1"/>
  <c r="GO178" i="42" s="1"/>
  <c r="GH207" i="42" a="1"/>
  <c r="GH207" i="42" s="1"/>
  <c r="GO207" i="42" s="1"/>
  <c r="GH248" i="42" a="1"/>
  <c r="GH248" i="42" s="1"/>
  <c r="GO248" i="42" s="1"/>
  <c r="GH36" i="42" a="1"/>
  <c r="GH36" i="42" s="1"/>
  <c r="GO36" i="42" s="1"/>
  <c r="GH192" i="42" a="1"/>
  <c r="GH192" i="42" s="1"/>
  <c r="GO192" i="42" s="1"/>
  <c r="GH74" i="42" a="1"/>
  <c r="GH74" i="42" s="1"/>
  <c r="GO74" i="42" s="1"/>
  <c r="GH203" i="42" a="1"/>
  <c r="GH203" i="42" s="1"/>
  <c r="GO203" i="42" s="1"/>
  <c r="GH42" i="42" a="1"/>
  <c r="GH42" i="42" s="1"/>
  <c r="GO42" i="42" s="1"/>
  <c r="GH222" i="42" a="1"/>
  <c r="GH222" i="42" s="1"/>
  <c r="GO222" i="42" s="1"/>
  <c r="GH111" i="42" a="1"/>
  <c r="GH111" i="42" s="1"/>
  <c r="GO111" i="42" s="1"/>
  <c r="GH73" i="42" a="1"/>
  <c r="GH73" i="42" s="1"/>
  <c r="GO73" i="42" s="1"/>
  <c r="GH268" i="42" a="1"/>
  <c r="GH268" i="42" s="1"/>
  <c r="GO268" i="42" s="1"/>
  <c r="GH117" i="42" a="1"/>
  <c r="GH117" i="42" s="1"/>
  <c r="GO117" i="42" s="1"/>
  <c r="GH41" i="42" a="1"/>
  <c r="GH41" i="42" s="1"/>
  <c r="GO41" i="42" s="1"/>
  <c r="GH199" i="42" a="1"/>
  <c r="GH199" i="42" s="1"/>
  <c r="GO199" i="42" s="1"/>
  <c r="GH43" i="42" a="1"/>
  <c r="GH43" i="42" s="1"/>
  <c r="GO43" i="42" s="1"/>
  <c r="GH112" i="42" a="1"/>
  <c r="GH112" i="42" s="1"/>
  <c r="GO112" i="42" s="1"/>
  <c r="GH285" i="42" a="1"/>
  <c r="GH285" i="42" s="1"/>
  <c r="GO285" i="42" s="1"/>
  <c r="GH260" i="42" a="1"/>
  <c r="GH260" i="42" s="1"/>
  <c r="GO260" i="42" s="1"/>
  <c r="GH202" i="42" a="1"/>
  <c r="GH202" i="42" s="1"/>
  <c r="GO202" i="42" s="1"/>
  <c r="GH221" i="42" a="1"/>
  <c r="GH221" i="42" s="1"/>
  <c r="GO221" i="42" s="1"/>
  <c r="GH132" i="42" a="1"/>
  <c r="GH132" i="42" s="1"/>
  <c r="GO132" i="42" s="1"/>
  <c r="GH67" i="42" a="1"/>
  <c r="GH67" i="42" s="1"/>
  <c r="GO67" i="42" s="1"/>
  <c r="GH63" i="42" a="1"/>
  <c r="GH63" i="42" s="1"/>
  <c r="GO63" i="42" s="1"/>
  <c r="GH254" i="42" a="1"/>
  <c r="GH254" i="42" s="1"/>
  <c r="GO254" i="42" s="1"/>
  <c r="GH141" i="42" a="1"/>
  <c r="GH141" i="42" s="1"/>
  <c r="GO141" i="42" s="1"/>
  <c r="GH130" i="42" a="1"/>
  <c r="GH130" i="42" s="1"/>
  <c r="GO130" i="42" s="1"/>
  <c r="GH39" i="42" a="1"/>
  <c r="GH39" i="42" s="1"/>
  <c r="GO39" i="42" s="1"/>
  <c r="GH270" i="42" a="1"/>
  <c r="GH270" i="42" s="1"/>
  <c r="GO270" i="42" s="1"/>
  <c r="GH56" i="42" a="1"/>
  <c r="GH56" i="42" s="1"/>
  <c r="GO56" i="42" s="1"/>
  <c r="GH241" i="42" a="1"/>
  <c r="GH241" i="42" s="1"/>
  <c r="GO241" i="42" s="1"/>
  <c r="GH250" i="42" a="1"/>
  <c r="GH250" i="42" s="1"/>
  <c r="GO250" i="42" s="1"/>
  <c r="GH229" i="42" a="1"/>
  <c r="GH229" i="42" s="1"/>
  <c r="GO229" i="42" s="1"/>
  <c r="GH99" i="42" a="1"/>
  <c r="GH99" i="42" s="1"/>
  <c r="GO99" i="42" s="1"/>
  <c r="GH262" i="42" a="1"/>
  <c r="GH262" i="42" s="1"/>
  <c r="GO262" i="42" s="1"/>
  <c r="GH137" i="42" a="1"/>
  <c r="GH137" i="42" s="1"/>
  <c r="GO137" i="42" s="1"/>
  <c r="GH231" i="42" a="1"/>
  <c r="GH231" i="42" s="1"/>
  <c r="GO231" i="42" s="1"/>
  <c r="GH106" i="42" a="1"/>
  <c r="GH106" i="42" s="1"/>
  <c r="GO106" i="42" s="1"/>
  <c r="GH70" i="42" a="1"/>
  <c r="GH70" i="42" s="1"/>
  <c r="GO70" i="42" s="1"/>
  <c r="GH236" i="42" a="1"/>
  <c r="GH236" i="42" s="1"/>
  <c r="GO236" i="42" s="1"/>
  <c r="GH183" i="42" a="1"/>
  <c r="GH183" i="42" s="1"/>
  <c r="GO183" i="42" s="1"/>
  <c r="GH165" i="42" a="1"/>
  <c r="GH165" i="42" s="1"/>
  <c r="GO165" i="42" s="1"/>
  <c r="GH181" i="42" a="1"/>
  <c r="GH181" i="42" s="1"/>
  <c r="GO181" i="42" s="1"/>
  <c r="GH215" i="42" a="1"/>
  <c r="GH215" i="42" s="1"/>
  <c r="GO215" i="42" s="1"/>
  <c r="GH237" i="42" a="1"/>
  <c r="GH237" i="42" s="1"/>
  <c r="GO237" i="42" s="1"/>
  <c r="GH149" i="42" a="1"/>
  <c r="GH149" i="42" s="1"/>
  <c r="GO149" i="42" s="1"/>
  <c r="GH242" i="42" a="1"/>
  <c r="GH242" i="42" s="1"/>
  <c r="GO242" i="42" s="1"/>
  <c r="GH38" i="42" a="1"/>
  <c r="GH38" i="42" s="1"/>
  <c r="GO38" i="42" s="1"/>
  <c r="GH170" i="42" a="1"/>
  <c r="GH170" i="42" s="1"/>
  <c r="GO170" i="42" s="1"/>
  <c r="GH133" i="42" a="1"/>
  <c r="GH133" i="42" s="1"/>
  <c r="GO133" i="42" s="1"/>
  <c r="GH230" i="42" a="1"/>
  <c r="GH230" i="42" s="1"/>
  <c r="GO230" i="42" s="1"/>
  <c r="GH204" i="42" a="1"/>
  <c r="GH204" i="42" s="1"/>
  <c r="GO204" i="42" s="1"/>
  <c r="GH136" i="42" a="1"/>
  <c r="GH136" i="42" s="1"/>
  <c r="GO136" i="42" s="1"/>
  <c r="GH253" i="42" a="1"/>
  <c r="GH253" i="42" s="1"/>
  <c r="GO253" i="42" s="1"/>
  <c r="GH212" i="42" a="1"/>
  <c r="GH212" i="42" s="1"/>
  <c r="GO212" i="42" s="1"/>
  <c r="GH80" i="42" a="1"/>
  <c r="GH80" i="42" s="1"/>
  <c r="GO80" i="42" s="1"/>
  <c r="GH209" i="42" a="1"/>
  <c r="GH209" i="42" s="1"/>
  <c r="GO209" i="42" s="1"/>
  <c r="GH167" i="42" a="1"/>
  <c r="GH167" i="42" s="1"/>
  <c r="GO167" i="42" s="1"/>
  <c r="GH52" i="42" a="1"/>
  <c r="GH52" i="42" s="1"/>
  <c r="GO52" i="42" s="1"/>
  <c r="GH113" i="42" a="1"/>
  <c r="GH113" i="42" s="1"/>
  <c r="GO113" i="42" s="1"/>
  <c r="GH280" i="42" a="1"/>
  <c r="GH280" i="42" s="1"/>
  <c r="GO280" i="42" s="1"/>
  <c r="GH246" i="42" a="1"/>
  <c r="GH246" i="42" s="1"/>
  <c r="GO246" i="42" s="1"/>
  <c r="GH79" i="42" a="1"/>
  <c r="GH79" i="42" s="1"/>
  <c r="GO79" i="42" s="1"/>
  <c r="GH140" i="42" a="1"/>
  <c r="GH140" i="42" s="1"/>
  <c r="GO140" i="42" s="1"/>
  <c r="GH252" i="42" a="1"/>
  <c r="GH252" i="42" s="1"/>
  <c r="GO252" i="42" s="1"/>
  <c r="GH184" i="42" a="1"/>
  <c r="GH184" i="42" s="1"/>
  <c r="GO184" i="42" s="1"/>
  <c r="GH187" i="42" a="1"/>
  <c r="GH187" i="42" s="1"/>
  <c r="GO187" i="42" s="1"/>
  <c r="GH44" i="42" a="1"/>
  <c r="GH44" i="42" s="1"/>
  <c r="GO44" i="42" s="1"/>
  <c r="GH110" i="42" a="1"/>
  <c r="GH110" i="42" s="1"/>
  <c r="GO110" i="42" s="1"/>
  <c r="GH47" i="42" a="1"/>
  <c r="GH47" i="42" s="1"/>
  <c r="GO47" i="42" s="1"/>
  <c r="GH256" i="42" a="1"/>
  <c r="GH256" i="42" s="1"/>
  <c r="GO256" i="42" s="1"/>
  <c r="GH55" i="42" a="1"/>
  <c r="GH55" i="42" s="1"/>
  <c r="GO55" i="42" s="1"/>
  <c r="GH152" i="42" a="1"/>
  <c r="GH152" i="42" s="1"/>
  <c r="GO152" i="42" s="1"/>
  <c r="GH114" i="42" a="1"/>
  <c r="GH114" i="42" s="1"/>
  <c r="GO114" i="42" s="1"/>
  <c r="GH91" i="42" a="1"/>
  <c r="GH91" i="42" s="1"/>
  <c r="GO91" i="42" s="1"/>
  <c r="GH196" i="42" a="1"/>
  <c r="GH196" i="42" s="1"/>
  <c r="GO196" i="42" s="1"/>
  <c r="GH159" i="42" a="1"/>
  <c r="GH159" i="42" s="1"/>
  <c r="GO159" i="42" s="1"/>
  <c r="GH198" i="42" a="1"/>
  <c r="GH198" i="42" s="1"/>
  <c r="GO198" i="42" s="1"/>
  <c r="GH235" i="42" a="1"/>
  <c r="GH235" i="42" s="1"/>
  <c r="GO235" i="42" s="1"/>
  <c r="GH287" i="42" a="1"/>
  <c r="GH287" i="42" s="1"/>
  <c r="GO287" i="42" s="1"/>
  <c r="GH278" i="42" a="1"/>
  <c r="GH278" i="42" s="1"/>
  <c r="GO278" i="42" s="1"/>
  <c r="GH126" i="42" a="1"/>
  <c r="GH126" i="42" s="1"/>
  <c r="GO126" i="42" s="1"/>
  <c r="GH255" i="42" a="1"/>
  <c r="GH255" i="42" s="1"/>
  <c r="GO255" i="42" s="1"/>
  <c r="GH185" i="42" a="1"/>
  <c r="GH185" i="42" s="1"/>
  <c r="GO185" i="42" s="1"/>
  <c r="GH227" i="42" a="1"/>
  <c r="GH227" i="42" s="1"/>
  <c r="GO227" i="42" s="1"/>
  <c r="GH100" i="42" a="1"/>
  <c r="GH100" i="42" s="1"/>
  <c r="GO100" i="42" s="1"/>
  <c r="GH200" i="42" a="1"/>
  <c r="GH200" i="42" s="1"/>
  <c r="GO200" i="42" s="1"/>
  <c r="GH216" i="42" a="1"/>
  <c r="GH216" i="42" s="1"/>
  <c r="GO216" i="42" s="1"/>
  <c r="GH119" i="42" a="1"/>
  <c r="GH119" i="42" s="1"/>
  <c r="GO119" i="42" s="1"/>
  <c r="GH217" i="42" a="1"/>
  <c r="GH217" i="42" s="1"/>
  <c r="GO217" i="42" s="1"/>
  <c r="GH261" i="42" a="1"/>
  <c r="GH261" i="42" s="1"/>
  <c r="GO261" i="42" s="1"/>
  <c r="GH193" i="42" a="1"/>
  <c r="GH193" i="42" s="1"/>
  <c r="GO193" i="42" s="1"/>
  <c r="GH269" i="42" a="1"/>
  <c r="GH269" i="42" s="1"/>
  <c r="GO269" i="42" s="1"/>
  <c r="GH75" i="42" a="1"/>
  <c r="GH75" i="42" s="1"/>
  <c r="GO75" i="42" s="1"/>
  <c r="GH144" i="42" a="1"/>
  <c r="GH144" i="42" s="1"/>
  <c r="GO144" i="42" s="1"/>
  <c r="GH176" i="42" a="1"/>
  <c r="GH176" i="42" s="1"/>
  <c r="GO176" i="42" s="1"/>
  <c r="GH128" i="42" a="1"/>
  <c r="GH128" i="42" s="1"/>
  <c r="GO128" i="42" s="1"/>
  <c r="GH46" i="42" a="1"/>
  <c r="GH46" i="42" s="1"/>
  <c r="GO46" i="42" s="1"/>
  <c r="GH66" i="42" a="1"/>
  <c r="GH66" i="42" s="1"/>
  <c r="GO66" i="42" s="1"/>
  <c r="GH283" i="42" a="1"/>
  <c r="GH283" i="42" s="1"/>
  <c r="GO283" i="42" s="1"/>
  <c r="GH53" i="42" a="1"/>
  <c r="GH53" i="42" s="1"/>
  <c r="GO53" i="42" s="1"/>
  <c r="GH213" i="42" a="1"/>
  <c r="GH213" i="42" s="1"/>
  <c r="GO213" i="42" s="1"/>
  <c r="GH62" i="42" a="1"/>
  <c r="GH62" i="42" s="1"/>
  <c r="GO62" i="42" s="1"/>
  <c r="GH162" i="42" a="1"/>
  <c r="GH162" i="42" s="1"/>
  <c r="GO162" i="42" s="1"/>
  <c r="GH224" i="42" a="1"/>
  <c r="GH224" i="42" s="1"/>
  <c r="GO224" i="42" s="1"/>
  <c r="GH201" i="42" a="1"/>
  <c r="GH201" i="42" s="1"/>
  <c r="GO201" i="42" s="1"/>
  <c r="GH210" i="42" a="1"/>
  <c r="GH210" i="42" s="1"/>
  <c r="GO210" i="42" s="1"/>
  <c r="GH122" i="42" a="1"/>
  <c r="GH122" i="42" s="1"/>
  <c r="GO122" i="42" s="1"/>
  <c r="GH61" i="42" a="1"/>
  <c r="GH61" i="42" s="1"/>
  <c r="GO61" i="42" s="1"/>
  <c r="GH124" i="42" a="1"/>
  <c r="GH124" i="42" s="1"/>
  <c r="GO124" i="42" s="1"/>
  <c r="GH267" i="42" a="1"/>
  <c r="GH267" i="42" s="1"/>
  <c r="GO267" i="42" s="1"/>
  <c r="GH82" i="42" a="1"/>
  <c r="GH82" i="42" s="1"/>
  <c r="GO82" i="42" s="1"/>
  <c r="GH226" i="42" a="1"/>
  <c r="GH226" i="42" s="1"/>
  <c r="GO226" i="42" s="1"/>
  <c r="GH180" i="42" a="1"/>
  <c r="GH180" i="42" s="1"/>
  <c r="GO180" i="42" s="1"/>
  <c r="GH54" i="42" a="1"/>
  <c r="GH54" i="42" s="1"/>
  <c r="GO54" i="42" s="1"/>
  <c r="GH186" i="42" a="1"/>
  <c r="GH186" i="42" s="1"/>
  <c r="GO186" i="42" s="1"/>
  <c r="GH134" i="42" a="1"/>
  <c r="GH134" i="42" s="1"/>
  <c r="GO134" i="42" s="1"/>
  <c r="GH175" i="42" a="1"/>
  <c r="GH175" i="42" s="1"/>
  <c r="GO175" i="42" s="1"/>
  <c r="GH68" i="42" a="1"/>
  <c r="GH68" i="42" s="1"/>
  <c r="GO68" i="42" s="1"/>
  <c r="GH95" i="42" a="1"/>
  <c r="GH95" i="42" s="1"/>
  <c r="GO95" i="42" s="1"/>
  <c r="GH245" i="42" a="1"/>
  <c r="GH245" i="42" s="1"/>
  <c r="GO245" i="42" s="1"/>
  <c r="GH116" i="42" a="1"/>
  <c r="GH116" i="42" s="1"/>
  <c r="GO116" i="42" s="1"/>
  <c r="GH284" i="42" a="1"/>
  <c r="GH284" i="42" s="1"/>
  <c r="GO284" i="42" s="1"/>
  <c r="GH214" i="42" a="1"/>
  <c r="GH214" i="42" s="1"/>
  <c r="GO214" i="42" s="1"/>
  <c r="GH156" i="42" a="1"/>
  <c r="GH156" i="42" s="1"/>
  <c r="GO156" i="42" s="1"/>
  <c r="GH90" i="42" a="1"/>
  <c r="GH90" i="42" s="1"/>
  <c r="GO90" i="42" s="1"/>
  <c r="GH138" i="42" a="1"/>
  <c r="GH138" i="42" s="1"/>
  <c r="GO138" i="42" s="1"/>
  <c r="HX260" i="34"/>
  <c r="HL260" i="34"/>
  <c r="HY261" i="34"/>
  <c r="HM261" i="34"/>
  <c r="HY260" i="34"/>
  <c r="HM260" i="34"/>
  <c r="HZ275" i="34"/>
  <c r="HN275" i="34"/>
  <c r="IC274" i="34"/>
  <c r="HQ274" i="34"/>
  <c r="IB279" i="34"/>
  <c r="HP279" i="34"/>
  <c r="HY282" i="34"/>
  <c r="HM282" i="34"/>
  <c r="HX285" i="34"/>
  <c r="HL285" i="34"/>
  <c r="IC273" i="34"/>
  <c r="HQ273" i="34"/>
  <c r="IB276" i="34"/>
  <c r="HP276" i="34"/>
  <c r="HZ265" i="34"/>
  <c r="HN265" i="34"/>
  <c r="IC288" i="34"/>
  <c r="HQ288" i="34"/>
  <c r="HX257" i="34"/>
  <c r="HL257" i="34"/>
  <c r="IC282" i="34"/>
  <c r="HQ282" i="34"/>
  <c r="IA259" i="34"/>
  <c r="HO259" i="34"/>
  <c r="IC266" i="34"/>
  <c r="HQ266" i="34"/>
  <c r="IB277" i="34"/>
  <c r="HP277" i="34"/>
  <c r="IA283" i="34"/>
  <c r="HO283" i="34"/>
  <c r="IB285" i="34"/>
  <c r="HP285" i="34"/>
  <c r="HX266" i="34"/>
  <c r="HL266" i="34"/>
  <c r="IA269" i="34"/>
  <c r="HO269" i="34"/>
  <c r="HY269" i="34"/>
  <c r="HM269" i="34"/>
  <c r="IA272" i="34"/>
  <c r="HO272" i="34"/>
  <c r="HX273" i="34"/>
  <c r="HL273" i="34"/>
  <c r="IC284" i="34"/>
  <c r="HQ284" i="34"/>
  <c r="HY286" i="34"/>
  <c r="HM286" i="34"/>
  <c r="HX269" i="34"/>
  <c r="HL269" i="34"/>
  <c r="HZ285" i="34"/>
  <c r="HN285" i="34"/>
  <c r="IC278" i="34"/>
  <c r="HQ278" i="34"/>
  <c r="IA277" i="34"/>
  <c r="HO277" i="34"/>
  <c r="HX256" i="34"/>
  <c r="HL256" i="34"/>
  <c r="IA268" i="34"/>
  <c r="HO268" i="34"/>
  <c r="HY259" i="34"/>
  <c r="HM259" i="34"/>
  <c r="HZ271" i="34"/>
  <c r="HN271" i="34"/>
  <c r="IB272" i="34"/>
  <c r="HP272" i="34"/>
  <c r="IA264" i="34"/>
  <c r="HO264" i="34"/>
  <c r="HY284" i="34"/>
  <c r="HM284" i="34"/>
  <c r="HZ262" i="34"/>
  <c r="HN262" i="34"/>
  <c r="HZ274" i="34"/>
  <c r="HN274" i="34"/>
  <c r="HX264" i="34"/>
  <c r="HL264" i="34"/>
  <c r="IC280" i="34"/>
  <c r="HQ280" i="34"/>
  <c r="HY280" i="34"/>
  <c r="HM280" i="34"/>
  <c r="HZ280" i="34"/>
  <c r="HN280" i="34"/>
  <c r="IB286" i="34"/>
  <c r="HP286" i="34"/>
  <c r="IC281" i="34"/>
  <c r="HQ281" i="34"/>
  <c r="HY257" i="34"/>
  <c r="HM257" i="34"/>
  <c r="HY267" i="34"/>
  <c r="HM267" i="34"/>
  <c r="IC271" i="34"/>
  <c r="HQ271" i="34"/>
  <c r="GH184" i="41" a="1"/>
  <c r="GH184" i="41" s="1"/>
  <c r="GO184" i="41" s="1"/>
  <c r="GH241" i="41" a="1"/>
  <c r="GH241" i="41" s="1"/>
  <c r="GO241" i="41" s="1"/>
  <c r="GH100" i="41" a="1"/>
  <c r="GH100" i="41" s="1"/>
  <c r="GO100" i="41" s="1"/>
  <c r="GH253" i="41" a="1"/>
  <c r="GH253" i="41" s="1"/>
  <c r="GO253" i="41" s="1"/>
  <c r="GH255" i="41" a="1"/>
  <c r="GH255" i="41" s="1"/>
  <c r="GO255" i="41" s="1"/>
  <c r="GH157" i="41" a="1"/>
  <c r="GH157" i="41" s="1"/>
  <c r="GO157" i="41" s="1"/>
  <c r="GH237" i="41" a="1"/>
  <c r="GH237" i="41" s="1"/>
  <c r="GO237" i="41" s="1"/>
  <c r="GH55" i="41" a="1"/>
  <c r="GH55" i="41" s="1"/>
  <c r="GO55" i="41" s="1"/>
  <c r="GH197" i="41" a="1"/>
  <c r="GH197" i="41" s="1"/>
  <c r="GO197" i="41" s="1"/>
  <c r="GH195" i="41" a="1"/>
  <c r="GH195" i="41" s="1"/>
  <c r="GO195" i="41" s="1"/>
  <c r="GH238" i="41" a="1"/>
  <c r="GH238" i="41" s="1"/>
  <c r="GO238" i="41" s="1"/>
  <c r="GH54" i="41" a="1"/>
  <c r="GH54" i="41" s="1"/>
  <c r="GO54" i="41" s="1"/>
  <c r="GH180" i="41" a="1"/>
  <c r="GH180" i="41" s="1"/>
  <c r="GO180" i="41" s="1"/>
  <c r="GH276" i="41" a="1"/>
  <c r="GH276" i="41" s="1"/>
  <c r="GO276" i="41" s="1"/>
  <c r="GH284" i="41" a="1"/>
  <c r="GH284" i="41" s="1"/>
  <c r="GO284" i="41" s="1"/>
  <c r="GH91" i="41" a="1"/>
  <c r="GH91" i="41" s="1"/>
  <c r="GO91" i="41" s="1"/>
  <c r="GH275" i="41" a="1"/>
  <c r="GH275" i="41" s="1"/>
  <c r="GO275" i="41" s="1"/>
  <c r="GH20" i="41" a="1"/>
  <c r="GH20" i="41" s="1"/>
  <c r="GO20" i="41" s="1"/>
  <c r="GH144" i="41" a="1"/>
  <c r="GH144" i="41" s="1"/>
  <c r="GO144" i="41" s="1"/>
  <c r="GH166" i="41" a="1"/>
  <c r="GH166" i="41" s="1"/>
  <c r="GO166" i="41" s="1"/>
  <c r="GH128" i="41" a="1"/>
  <c r="GH128" i="41" s="1"/>
  <c r="GO128" i="41" s="1"/>
  <c r="GH178" i="41" a="1"/>
  <c r="GH178" i="41" s="1"/>
  <c r="GO178" i="41" s="1"/>
  <c r="GH67" i="41" a="1"/>
  <c r="GH67" i="41" s="1"/>
  <c r="GO67" i="41" s="1"/>
  <c r="GH202" i="41" a="1"/>
  <c r="GH202" i="41" s="1"/>
  <c r="GO202" i="41" s="1"/>
  <c r="GH279" i="41" a="1"/>
  <c r="GH279" i="41" s="1"/>
  <c r="GO279" i="41" s="1"/>
  <c r="GH209" i="41" a="1"/>
  <c r="GH209" i="41" s="1"/>
  <c r="GO209" i="41" s="1"/>
  <c r="GH206" i="41" a="1"/>
  <c r="GH206" i="41" s="1"/>
  <c r="GO206" i="41" s="1"/>
  <c r="GH256" i="41" a="1"/>
  <c r="GH256" i="41" s="1"/>
  <c r="GO256" i="41" s="1"/>
  <c r="GH114" i="41" a="1"/>
  <c r="GH114" i="41" s="1"/>
  <c r="GO114" i="41" s="1"/>
  <c r="GH288" i="41" a="1"/>
  <c r="GH288" i="41" s="1"/>
  <c r="GO288" i="41" s="1"/>
  <c r="GH164" i="41" a="1"/>
  <c r="GH164" i="41" s="1"/>
  <c r="GO164" i="41" s="1"/>
  <c r="GH216" i="41" a="1"/>
  <c r="GH216" i="41" s="1"/>
  <c r="GO216" i="41" s="1"/>
  <c r="GH147" i="41" a="1"/>
  <c r="GH147" i="41" s="1"/>
  <c r="GO147" i="41" s="1"/>
  <c r="GH99" i="41" a="1"/>
  <c r="GH99" i="41" s="1"/>
  <c r="GO99" i="41" s="1"/>
  <c r="GH278" i="41" a="1"/>
  <c r="GH278" i="41" s="1"/>
  <c r="GO278" i="41" s="1"/>
  <c r="GH76" i="41" a="1"/>
  <c r="GH76" i="41" s="1"/>
  <c r="GO76" i="41" s="1"/>
  <c r="GH122" i="41" a="1"/>
  <c r="GH122" i="41" s="1"/>
  <c r="GO122" i="41" s="1"/>
  <c r="GH113" i="41" a="1"/>
  <c r="GH113" i="41" s="1"/>
  <c r="GO113" i="41" s="1"/>
  <c r="GH83" i="41" a="1"/>
  <c r="GH83" i="41" s="1"/>
  <c r="GO83" i="41" s="1"/>
  <c r="GH123" i="41" a="1"/>
  <c r="GH123" i="41" s="1"/>
  <c r="GO123" i="41" s="1"/>
  <c r="GH159" i="41" a="1"/>
  <c r="GH159" i="41" s="1"/>
  <c r="GO159" i="41" s="1"/>
  <c r="GH232" i="41" a="1"/>
  <c r="GH232" i="41" s="1"/>
  <c r="GO232" i="41" s="1"/>
  <c r="GH225" i="41" a="1"/>
  <c r="GH225" i="41" s="1"/>
  <c r="GO225" i="41" s="1"/>
  <c r="GH270" i="41" a="1"/>
  <c r="GH270" i="41" s="1"/>
  <c r="GO270" i="41" s="1"/>
  <c r="GH222" i="41" a="1"/>
  <c r="GH222" i="41" s="1"/>
  <c r="GO222" i="41" s="1"/>
  <c r="GH227" i="41" a="1"/>
  <c r="GH227" i="41" s="1"/>
  <c r="GO227" i="41" s="1"/>
  <c r="GH183" i="41" a="1"/>
  <c r="GH183" i="41" s="1"/>
  <c r="GO183" i="41" s="1"/>
  <c r="GH77" i="41" a="1"/>
  <c r="GH77" i="41" s="1"/>
  <c r="GO77" i="41" s="1"/>
  <c r="GH190" i="41" a="1"/>
  <c r="GH190" i="41" s="1"/>
  <c r="GO190" i="41" s="1"/>
  <c r="GH155" i="41" a="1"/>
  <c r="GH155" i="41" s="1"/>
  <c r="GO155" i="41" s="1"/>
  <c r="GH163" i="41" a="1"/>
  <c r="GH163" i="41" s="1"/>
  <c r="GO163" i="41" s="1"/>
  <c r="GH44" i="41" a="1"/>
  <c r="GH44" i="41" s="1"/>
  <c r="GO44" i="41" s="1"/>
  <c r="GH224" i="41" a="1"/>
  <c r="GH224" i="41" s="1"/>
  <c r="GO224" i="41" s="1"/>
  <c r="GH42" i="41" a="1"/>
  <c r="GH42" i="41" s="1"/>
  <c r="GO42" i="41" s="1"/>
  <c r="GH189" i="41" a="1"/>
  <c r="GH189" i="41" s="1"/>
  <c r="GO189" i="41" s="1"/>
  <c r="GH218" i="41" a="1"/>
  <c r="GH218" i="41" s="1"/>
  <c r="GO218" i="41" s="1"/>
  <c r="GH153" i="41" a="1"/>
  <c r="GH153" i="41" s="1"/>
  <c r="GO153" i="41" s="1"/>
  <c r="GH129" i="41" a="1"/>
  <c r="GH129" i="41" s="1"/>
  <c r="GO129" i="41" s="1"/>
  <c r="GH133" i="41" a="1"/>
  <c r="GH133" i="41" s="1"/>
  <c r="GO133" i="41" s="1"/>
  <c r="GH102" i="41" a="1"/>
  <c r="GH102" i="41" s="1"/>
  <c r="GO102" i="41" s="1"/>
  <c r="GH235" i="41" a="1"/>
  <c r="GH235" i="41" s="1"/>
  <c r="GO235" i="41" s="1"/>
  <c r="GH220" i="41" a="1"/>
  <c r="GH220" i="41" s="1"/>
  <c r="GO220" i="41" s="1"/>
  <c r="GH267" i="41" a="1"/>
  <c r="GH267" i="41" s="1"/>
  <c r="GO267" i="41" s="1"/>
  <c r="GH49" i="41" a="1"/>
  <c r="GH49" i="41" s="1"/>
  <c r="GO49" i="41" s="1"/>
  <c r="GH79" i="41" a="1"/>
  <c r="GH79" i="41" s="1"/>
  <c r="GO79" i="41" s="1"/>
  <c r="GH165" i="41" a="1"/>
  <c r="GH165" i="41" s="1"/>
  <c r="GO165" i="41" s="1"/>
  <c r="GH136" i="41" a="1"/>
  <c r="GH136" i="41" s="1"/>
  <c r="GO136" i="41" s="1"/>
  <c r="GH52" i="41" a="1"/>
  <c r="GH52" i="41" s="1"/>
  <c r="GO52" i="41" s="1"/>
  <c r="GH88" i="41" a="1"/>
  <c r="GH88" i="41" s="1"/>
  <c r="GO88" i="41" s="1"/>
  <c r="GH158" i="41" a="1"/>
  <c r="GH158" i="41" s="1"/>
  <c r="GO158" i="41" s="1"/>
  <c r="GH150" i="41" a="1"/>
  <c r="GH150" i="41" s="1"/>
  <c r="GO150" i="41" s="1"/>
  <c r="GH258" i="41" a="1"/>
  <c r="GH258" i="41" s="1"/>
  <c r="GO258" i="41" s="1"/>
  <c r="GH175" i="41" a="1"/>
  <c r="GH175" i="41" s="1"/>
  <c r="GO175" i="41" s="1"/>
  <c r="GH45" i="41" a="1"/>
  <c r="GH45" i="41" s="1"/>
  <c r="GO45" i="41" s="1"/>
  <c r="GH97" i="41" a="1"/>
  <c r="GH97" i="41" s="1"/>
  <c r="GO97" i="41" s="1"/>
  <c r="GH46" i="41" a="1"/>
  <c r="GH46" i="41" s="1"/>
  <c r="GO46" i="41" s="1"/>
  <c r="GH266" i="41" a="1"/>
  <c r="GH266" i="41" s="1"/>
  <c r="GO266" i="41" s="1"/>
  <c r="GH264" i="41" a="1"/>
  <c r="GH264" i="41" s="1"/>
  <c r="GO264" i="41" s="1"/>
  <c r="GH36" i="41" a="1"/>
  <c r="GH36" i="41" s="1"/>
  <c r="GO36" i="41" s="1"/>
  <c r="GH200" i="41" a="1"/>
  <c r="GH200" i="41" s="1"/>
  <c r="GO200" i="41" s="1"/>
  <c r="GH228" i="41" a="1"/>
  <c r="GH228" i="41" s="1"/>
  <c r="GO228" i="41" s="1"/>
  <c r="GH32" i="41" a="1"/>
  <c r="GH32" i="41" s="1"/>
  <c r="GO32" i="41" s="1"/>
  <c r="GH56" i="41" a="1"/>
  <c r="GH56" i="41" s="1"/>
  <c r="GO56" i="41" s="1"/>
  <c r="GH271" i="41" a="1"/>
  <c r="GH271" i="41" s="1"/>
  <c r="GO271" i="41" s="1"/>
  <c r="GH132" i="41" a="1"/>
  <c r="GH132" i="41" s="1"/>
  <c r="GO132" i="41" s="1"/>
  <c r="GH204" i="41" a="1"/>
  <c r="GH204" i="41" s="1"/>
  <c r="GO204" i="41" s="1"/>
  <c r="GH233" i="41" a="1"/>
  <c r="GH233" i="41" s="1"/>
  <c r="GO233" i="41" s="1"/>
  <c r="GH230" i="41" a="1"/>
  <c r="GH230" i="41" s="1"/>
  <c r="GO230" i="41" s="1"/>
  <c r="GH58" i="41" a="1"/>
  <c r="GH58" i="41" s="1"/>
  <c r="GO58" i="41" s="1"/>
  <c r="GH137" i="41" a="1"/>
  <c r="GH137" i="41" s="1"/>
  <c r="GO137" i="41" s="1"/>
  <c r="GH151" i="41" a="1"/>
  <c r="GH151" i="41" s="1"/>
  <c r="GO151" i="41" s="1"/>
  <c r="GH103" i="41" a="1"/>
  <c r="GH103" i="41" s="1"/>
  <c r="GO103" i="41" s="1"/>
  <c r="GH181" i="41" a="1"/>
  <c r="GH181" i="41" s="1"/>
  <c r="GO181" i="41" s="1"/>
  <c r="GH96" i="41" a="1"/>
  <c r="GH96" i="41" s="1"/>
  <c r="GO96" i="41" s="1"/>
  <c r="GH187" i="41" a="1"/>
  <c r="GH187" i="41" s="1"/>
  <c r="GO187" i="41" s="1"/>
  <c r="GH170" i="41" a="1"/>
  <c r="GH170" i="41" s="1"/>
  <c r="GO170" i="41" s="1"/>
  <c r="GH191" i="41" a="1"/>
  <c r="GH191" i="41" s="1"/>
  <c r="GO191" i="41" s="1"/>
  <c r="GH74" i="41" a="1"/>
  <c r="GH74" i="41" s="1"/>
  <c r="GO74" i="41" s="1"/>
  <c r="GH130" i="41" a="1"/>
  <c r="GH130" i="41" s="1"/>
  <c r="GO130" i="41" s="1"/>
  <c r="GH208" i="41" a="1"/>
  <c r="GH208" i="41" s="1"/>
  <c r="GO208" i="41" s="1"/>
  <c r="GH41" i="41" a="1"/>
  <c r="GH41" i="41" s="1"/>
  <c r="GO41" i="41" s="1"/>
  <c r="GH231" i="41" a="1"/>
  <c r="GH231" i="41" s="1"/>
  <c r="GO231" i="41" s="1"/>
  <c r="GH89" i="41" a="1"/>
  <c r="GH89" i="41" s="1"/>
  <c r="GO89" i="41" s="1"/>
  <c r="GH285" i="41" a="1"/>
  <c r="GH285" i="41" s="1"/>
  <c r="GO285" i="41" s="1"/>
  <c r="GH87" i="41" a="1"/>
  <c r="GH87" i="41" s="1"/>
  <c r="GO87" i="41" s="1"/>
  <c r="GH34" i="41" a="1"/>
  <c r="GH34" i="41" s="1"/>
  <c r="GO34" i="41" s="1"/>
  <c r="GH118" i="41" a="1"/>
  <c r="GH118" i="41" s="1"/>
  <c r="GO118" i="41" s="1"/>
  <c r="GH108" i="41" a="1"/>
  <c r="GH108" i="41" s="1"/>
  <c r="GO108" i="41" s="1"/>
  <c r="GH17" i="41" a="1"/>
  <c r="GH17" i="41" s="1"/>
  <c r="GO17" i="41" s="1"/>
  <c r="GH250" i="41" a="1"/>
  <c r="GH250" i="41" s="1"/>
  <c r="GO250" i="41" s="1"/>
  <c r="GH168" i="41" a="1"/>
  <c r="GH168" i="41" s="1"/>
  <c r="GO168" i="41" s="1"/>
  <c r="GH85" i="41" a="1"/>
  <c r="GH85" i="41" s="1"/>
  <c r="GO85" i="41" s="1"/>
  <c r="GH281" i="41" a="1"/>
  <c r="GH281" i="41" s="1"/>
  <c r="GO281" i="41" s="1"/>
  <c r="GH82" i="41" a="1"/>
  <c r="GH82" i="41" s="1"/>
  <c r="GO82" i="41" s="1"/>
  <c r="GH167" i="41" a="1"/>
  <c r="GH167" i="41" s="1"/>
  <c r="GO167" i="41" s="1"/>
  <c r="GH247" i="41" a="1"/>
  <c r="GH247" i="41" s="1"/>
  <c r="GO247" i="41" s="1"/>
  <c r="GH205" i="41" a="1"/>
  <c r="GH205" i="41" s="1"/>
  <c r="GO205" i="41" s="1"/>
  <c r="GH146" i="41" a="1"/>
  <c r="GH146" i="41" s="1"/>
  <c r="GO146" i="41" s="1"/>
  <c r="GH265" i="41" a="1"/>
  <c r="GH265" i="41" s="1"/>
  <c r="GO265" i="41" s="1"/>
  <c r="GH22" i="41" a="1"/>
  <c r="GH22" i="41" s="1"/>
  <c r="GO22" i="41" s="1"/>
  <c r="GH47" i="41" a="1"/>
  <c r="GH47" i="41" s="1"/>
  <c r="GO47" i="41" s="1"/>
  <c r="GH43" i="41" a="1"/>
  <c r="GH43" i="41" s="1"/>
  <c r="GO43" i="41" s="1"/>
  <c r="GH192" i="41" a="1"/>
  <c r="GH192" i="41" s="1"/>
  <c r="GO192" i="41" s="1"/>
  <c r="GH194" i="41" a="1"/>
  <c r="GH194" i="41" s="1"/>
  <c r="GO194" i="41" s="1"/>
  <c r="GH244" i="41" a="1"/>
  <c r="GH244" i="41" s="1"/>
  <c r="GO244" i="41" s="1"/>
  <c r="GH135" i="41" a="1"/>
  <c r="GH135" i="41" s="1"/>
  <c r="GO135" i="41" s="1"/>
  <c r="GH149" i="41" a="1"/>
  <c r="GH149" i="41" s="1"/>
  <c r="GO149" i="41" s="1"/>
  <c r="GH277" i="41" a="1"/>
  <c r="GH277" i="41" s="1"/>
  <c r="GO277" i="41" s="1"/>
  <c r="GH186" i="41" a="1"/>
  <c r="GH186" i="41" s="1"/>
  <c r="GO186" i="41" s="1"/>
  <c r="GH61" i="41" a="1"/>
  <c r="GH61" i="41" s="1"/>
  <c r="GO61" i="41" s="1"/>
  <c r="GH40" i="41" a="1"/>
  <c r="GH40" i="41" s="1"/>
  <c r="GO40" i="41" s="1"/>
  <c r="GH283" i="41" a="1"/>
  <c r="GH283" i="41" s="1"/>
  <c r="GO283" i="41" s="1"/>
  <c r="GH199" i="41" a="1"/>
  <c r="GH199" i="41" s="1"/>
  <c r="GO199" i="41" s="1"/>
  <c r="GH145" i="41" a="1"/>
  <c r="GH145" i="41" s="1"/>
  <c r="GO145" i="41" s="1"/>
  <c r="GH39" i="41" a="1"/>
  <c r="GH39" i="41" s="1"/>
  <c r="GO39" i="41" s="1"/>
  <c r="GH143" i="41" a="1"/>
  <c r="GH143" i="41" s="1"/>
  <c r="GO143" i="41" s="1"/>
  <c r="GH215" i="41" a="1"/>
  <c r="GH215" i="41" s="1"/>
  <c r="GO215" i="41" s="1"/>
  <c r="GH161" i="41" a="1"/>
  <c r="GH161" i="41" s="1"/>
  <c r="GO161" i="41" s="1"/>
  <c r="GH152" i="41" a="1"/>
  <c r="GH152" i="41" s="1"/>
  <c r="GO152" i="41" s="1"/>
  <c r="GH62" i="41" a="1"/>
  <c r="GH62" i="41" s="1"/>
  <c r="GO62" i="41" s="1"/>
  <c r="GH273" i="41" a="1"/>
  <c r="GH273" i="41" s="1"/>
  <c r="GO273" i="41" s="1"/>
  <c r="GH212" i="41" a="1"/>
  <c r="GH212" i="41" s="1"/>
  <c r="GO212" i="41" s="1"/>
  <c r="GH120" i="41" a="1"/>
  <c r="GH120" i="41" s="1"/>
  <c r="GO120" i="41" s="1"/>
  <c r="GH274" i="41" a="1"/>
  <c r="GH274" i="41" s="1"/>
  <c r="GO274" i="41" s="1"/>
  <c r="GH223" i="41" a="1"/>
  <c r="GH223" i="41" s="1"/>
  <c r="GO223" i="41" s="1"/>
  <c r="GH261" i="41" a="1"/>
  <c r="GH261" i="41" s="1"/>
  <c r="GO261" i="41" s="1"/>
  <c r="GH105" i="41" a="1"/>
  <c r="GH105" i="41" s="1"/>
  <c r="GO105" i="41" s="1"/>
  <c r="GH177" i="41" a="1"/>
  <c r="GH177" i="41" s="1"/>
  <c r="GO177" i="41" s="1"/>
  <c r="GH203" i="41" a="1"/>
  <c r="GH203" i="41" s="1"/>
  <c r="GO203" i="41" s="1"/>
  <c r="GH142" i="41" a="1"/>
  <c r="GH142" i="41" s="1"/>
  <c r="GO142" i="41" s="1"/>
  <c r="GH127" i="41" a="1"/>
  <c r="GH127" i="41" s="1"/>
  <c r="GO127" i="41" s="1"/>
  <c r="GH214" i="41" a="1"/>
  <c r="GH214" i="41" s="1"/>
  <c r="GO214" i="41" s="1"/>
  <c r="GH134" i="41" a="1"/>
  <c r="GH134" i="41" s="1"/>
  <c r="GO134" i="41" s="1"/>
  <c r="GH213" i="41" a="1"/>
  <c r="GH213" i="41" s="1"/>
  <c r="GO213" i="41" s="1"/>
  <c r="GH240" i="41" a="1"/>
  <c r="GH240" i="41" s="1"/>
  <c r="GO240" i="41" s="1"/>
  <c r="GH217" i="41" a="1"/>
  <c r="GH217" i="41" s="1"/>
  <c r="GO217" i="41" s="1"/>
  <c r="GH94" i="41" a="1"/>
  <c r="GH94" i="41" s="1"/>
  <c r="GO94" i="41" s="1"/>
  <c r="GH57" i="41" a="1"/>
  <c r="GH57" i="41" s="1"/>
  <c r="GO57" i="41" s="1"/>
  <c r="GH107" i="41" a="1"/>
  <c r="GH107" i="41" s="1"/>
  <c r="GO107" i="41" s="1"/>
  <c r="GH75" i="41" a="1"/>
  <c r="GH75" i="41" s="1"/>
  <c r="GO75" i="41" s="1"/>
  <c r="GH38" i="41" a="1"/>
  <c r="GH38" i="41" s="1"/>
  <c r="GO38" i="41" s="1"/>
  <c r="GH93" i="41" a="1"/>
  <c r="GH93" i="41" s="1"/>
  <c r="GO93" i="41" s="1"/>
  <c r="GH92" i="41" a="1"/>
  <c r="GH92" i="41" s="1"/>
  <c r="GO92" i="41" s="1"/>
  <c r="GH207" i="41" a="1"/>
  <c r="GH207" i="41" s="1"/>
  <c r="GO207" i="41" s="1"/>
  <c r="GH70" i="41" a="1"/>
  <c r="GH70" i="41" s="1"/>
  <c r="GO70" i="41" s="1"/>
  <c r="GH252" i="41" a="1"/>
  <c r="GH252" i="41" s="1"/>
  <c r="GO252" i="41" s="1"/>
  <c r="GH221" i="41" a="1"/>
  <c r="GH221" i="41" s="1"/>
  <c r="GO221" i="41" s="1"/>
  <c r="GH236" i="41" a="1"/>
  <c r="GH236" i="41" s="1"/>
  <c r="GO236" i="41" s="1"/>
  <c r="GH268" i="41" a="1"/>
  <c r="GH268" i="41" s="1"/>
  <c r="GO268" i="41" s="1"/>
  <c r="GH169" i="41" a="1"/>
  <c r="GH169" i="41" s="1"/>
  <c r="GO169" i="41" s="1"/>
  <c r="GH263" i="41" a="1"/>
  <c r="GH263" i="41" s="1"/>
  <c r="GO263" i="41" s="1"/>
  <c r="GH257" i="41" a="1"/>
  <c r="GH257" i="41" s="1"/>
  <c r="GO257" i="41" s="1"/>
  <c r="GH248" i="41" a="1"/>
  <c r="GH248" i="41" s="1"/>
  <c r="GO248" i="41" s="1"/>
  <c r="GH246" i="41" a="1"/>
  <c r="GH246" i="41" s="1"/>
  <c r="GO246" i="41" s="1"/>
  <c r="GH124" i="41" a="1"/>
  <c r="GH124" i="41" s="1"/>
  <c r="GO124" i="41" s="1"/>
  <c r="GH27" i="41" a="1"/>
  <c r="GH27" i="41" s="1"/>
  <c r="GO27" i="41" s="1"/>
  <c r="GH196" i="41" a="1"/>
  <c r="GH196" i="41" s="1"/>
  <c r="GO196" i="41" s="1"/>
  <c r="GH286" i="41" a="1"/>
  <c r="GH286" i="41" s="1"/>
  <c r="GO286" i="41" s="1"/>
  <c r="GH51" i="41" a="1"/>
  <c r="GH51" i="41" s="1"/>
  <c r="GO51" i="41" s="1"/>
  <c r="GH19" i="41" a="1"/>
  <c r="GH19" i="41" s="1"/>
  <c r="GO19" i="41" s="1"/>
  <c r="GH156" i="41" a="1"/>
  <c r="GH156" i="41" s="1"/>
  <c r="GO156" i="41" s="1"/>
  <c r="GH198" i="41" a="1"/>
  <c r="GH198" i="41" s="1"/>
  <c r="GO198" i="41" s="1"/>
  <c r="GH116" i="41" a="1"/>
  <c r="GH116" i="41" s="1"/>
  <c r="GO116" i="41" s="1"/>
  <c r="GH60" i="41" a="1"/>
  <c r="GH60" i="41" s="1"/>
  <c r="GO60" i="41" s="1"/>
  <c r="GH272" i="41" a="1"/>
  <c r="GH272" i="41" s="1"/>
  <c r="GO272" i="41" s="1"/>
  <c r="GH201" i="41" a="1"/>
  <c r="GH201" i="41" s="1"/>
  <c r="GO201" i="41" s="1"/>
  <c r="GH95" i="41" a="1"/>
  <c r="GH95" i="41" s="1"/>
  <c r="GO95" i="41" s="1"/>
  <c r="GH234" i="41" a="1"/>
  <c r="GH234" i="41" s="1"/>
  <c r="GO234" i="41" s="1"/>
  <c r="GH174" i="41" a="1"/>
  <c r="GH174" i="41" s="1"/>
  <c r="GO174" i="41" s="1"/>
  <c r="GH259" i="41" a="1"/>
  <c r="GH259" i="41" s="1"/>
  <c r="GO259" i="41" s="1"/>
  <c r="GH59" i="41" a="1"/>
  <c r="GH59" i="41" s="1"/>
  <c r="GO59" i="41" s="1"/>
  <c r="GH121" i="41" a="1"/>
  <c r="GH121" i="41" s="1"/>
  <c r="GO121" i="41" s="1"/>
  <c r="GH31" i="41" a="1"/>
  <c r="GH31" i="41" s="1"/>
  <c r="GO31" i="41" s="1"/>
  <c r="GH104" i="41" a="1"/>
  <c r="GH104" i="41" s="1"/>
  <c r="GO104" i="41" s="1"/>
  <c r="GH160" i="41" a="1"/>
  <c r="GH160" i="41" s="1"/>
  <c r="GO160" i="41" s="1"/>
  <c r="GH106" i="41" a="1"/>
  <c r="GH106" i="41" s="1"/>
  <c r="GO106" i="41" s="1"/>
  <c r="GH182" i="41" a="1"/>
  <c r="GH182" i="41" s="1"/>
  <c r="GO182" i="41" s="1"/>
  <c r="GH140" i="41" a="1"/>
  <c r="GH140" i="41" s="1"/>
  <c r="GO140" i="41" s="1"/>
  <c r="GH282" i="41" a="1"/>
  <c r="GH282" i="41" s="1"/>
  <c r="GO282" i="41" s="1"/>
  <c r="GH115" i="41" a="1"/>
  <c r="GH115" i="41" s="1"/>
  <c r="GO115" i="41" s="1"/>
  <c r="GH64" i="41" a="1"/>
  <c r="GH64" i="41" s="1"/>
  <c r="GO64" i="41" s="1"/>
  <c r="GH28" i="41" a="1"/>
  <c r="GH28" i="41" s="1"/>
  <c r="GO28" i="41" s="1"/>
  <c r="GH98" i="41" a="1"/>
  <c r="GH98" i="41" s="1"/>
  <c r="GO98" i="41" s="1"/>
  <c r="GH109" i="41" a="1"/>
  <c r="GH109" i="41" s="1"/>
  <c r="GO109" i="41" s="1"/>
  <c r="GH239" i="41" a="1"/>
  <c r="GH239" i="41" s="1"/>
  <c r="GO239" i="41" s="1"/>
  <c r="GH188" i="41" a="1"/>
  <c r="GH188" i="41" s="1"/>
  <c r="GO188" i="41" s="1"/>
  <c r="GH185" i="41" a="1"/>
  <c r="GH185" i="41" s="1"/>
  <c r="GO185" i="41" s="1"/>
  <c r="GH80" i="41" a="1"/>
  <c r="GH80" i="41" s="1"/>
  <c r="GO80" i="41" s="1"/>
  <c r="GH125" i="41" a="1"/>
  <c r="GH125" i="41" s="1"/>
  <c r="GO125" i="41" s="1"/>
  <c r="GH179" i="41" a="1"/>
  <c r="GH179" i="41" s="1"/>
  <c r="GO179" i="41" s="1"/>
  <c r="GH29" i="41" a="1"/>
  <c r="GH29" i="41" s="1"/>
  <c r="GO29" i="41" s="1"/>
  <c r="GH141" i="41" a="1"/>
  <c r="GH141" i="41" s="1"/>
  <c r="GO141" i="41" s="1"/>
  <c r="GH73" i="41" a="1"/>
  <c r="GH73" i="41" s="1"/>
  <c r="GO73" i="41" s="1"/>
  <c r="GH63" i="41" a="1"/>
  <c r="GH63" i="41" s="1"/>
  <c r="GO63" i="41" s="1"/>
  <c r="GH18" i="41" a="1"/>
  <c r="GH18" i="41" s="1"/>
  <c r="GO18" i="41" s="1"/>
  <c r="GH131" i="41" a="1"/>
  <c r="GH131" i="41" s="1"/>
  <c r="GO131" i="41" s="1"/>
  <c r="GH171" i="41" a="1"/>
  <c r="GH171" i="41" s="1"/>
  <c r="GO171" i="41" s="1"/>
  <c r="GH66" i="41" a="1"/>
  <c r="GH66" i="41" s="1"/>
  <c r="GO66" i="41" s="1"/>
  <c r="GH119" i="41" a="1"/>
  <c r="GH119" i="41" s="1"/>
  <c r="GO119" i="41" s="1"/>
  <c r="GH249" i="41" a="1"/>
  <c r="GH249" i="41" s="1"/>
  <c r="GO249" i="41" s="1"/>
  <c r="GH211" i="41" a="1"/>
  <c r="GH211" i="41" s="1"/>
  <c r="GO211" i="41" s="1"/>
  <c r="GH111" i="41" a="1"/>
  <c r="GH111" i="41" s="1"/>
  <c r="GO111" i="41" s="1"/>
  <c r="GH242" i="41" a="1"/>
  <c r="GH242" i="41" s="1"/>
  <c r="GO242" i="41" s="1"/>
  <c r="GH219" i="41" a="1"/>
  <c r="GH219" i="41" s="1"/>
  <c r="GO219" i="41" s="1"/>
  <c r="GH210" i="41" a="1"/>
  <c r="GH210" i="41" s="1"/>
  <c r="GO210" i="41" s="1"/>
  <c r="GH90" i="41" a="1"/>
  <c r="GH90" i="41" s="1"/>
  <c r="GO90" i="41" s="1"/>
  <c r="GH260" i="41" a="1"/>
  <c r="GH260" i="41" s="1"/>
  <c r="GO260" i="41" s="1"/>
  <c r="GH37" i="41" a="1"/>
  <c r="GH37" i="41" s="1"/>
  <c r="GO37" i="41" s="1"/>
  <c r="GH173" i="41" a="1"/>
  <c r="GH173" i="41" s="1"/>
  <c r="GO173" i="41" s="1"/>
  <c r="GH84" i="41" a="1"/>
  <c r="GH84" i="41" s="1"/>
  <c r="GO84" i="41" s="1"/>
  <c r="GH50" i="41" a="1"/>
  <c r="GH50" i="41" s="1"/>
  <c r="GO50" i="41" s="1"/>
  <c r="GH172" i="41" a="1"/>
  <c r="GH172" i="41" s="1"/>
  <c r="GO172" i="41" s="1"/>
  <c r="GH26" i="41" a="1"/>
  <c r="GH26" i="41" s="1"/>
  <c r="GO26" i="41" s="1"/>
  <c r="GH176" i="41" a="1"/>
  <c r="GH176" i="41" s="1"/>
  <c r="GO176" i="41" s="1"/>
  <c r="GH243" i="41" a="1"/>
  <c r="GH243" i="41" s="1"/>
  <c r="GO243" i="41" s="1"/>
  <c r="GH245" i="41" a="1"/>
  <c r="GH245" i="41" s="1"/>
  <c r="GO245" i="41" s="1"/>
  <c r="GH78" i="41" a="1"/>
  <c r="GH78" i="41" s="1"/>
  <c r="GO78" i="41" s="1"/>
  <c r="GH269" i="41" a="1"/>
  <c r="GH269" i="41" s="1"/>
  <c r="GO269" i="41" s="1"/>
  <c r="GH193" i="41" a="1"/>
  <c r="GH193" i="41" s="1"/>
  <c r="GO193" i="41" s="1"/>
  <c r="GH148" i="41" a="1"/>
  <c r="GH148" i="41" s="1"/>
  <c r="GO148" i="41" s="1"/>
  <c r="GH72" i="41" a="1"/>
  <c r="GH72" i="41" s="1"/>
  <c r="GO72" i="41" s="1"/>
  <c r="GH126" i="41" a="1"/>
  <c r="GH126" i="41" s="1"/>
  <c r="GO126" i="41" s="1"/>
  <c r="GH24" i="41" a="1"/>
  <c r="GH24" i="41" s="1"/>
  <c r="GO24" i="41" s="1"/>
  <c r="GH112" i="41" a="1"/>
  <c r="GH112" i="41" s="1"/>
  <c r="GO112" i="41" s="1"/>
  <c r="GH69" i="41" a="1"/>
  <c r="GH69" i="41" s="1"/>
  <c r="GO69" i="41" s="1"/>
  <c r="GH110" i="41" a="1"/>
  <c r="GH110" i="41" s="1"/>
  <c r="GO110" i="41" s="1"/>
  <c r="GH23" i="41" a="1"/>
  <c r="GH23" i="41" s="1"/>
  <c r="GO23" i="41" s="1"/>
  <c r="GH25" i="41" a="1"/>
  <c r="GH25" i="41" s="1"/>
  <c r="GO25" i="41" s="1"/>
  <c r="GH86" i="41" a="1"/>
  <c r="GH86" i="41" s="1"/>
  <c r="GO86" i="41" s="1"/>
  <c r="GH229" i="41" a="1"/>
  <c r="GH229" i="41" s="1"/>
  <c r="GO229" i="41" s="1"/>
  <c r="GH226" i="41" a="1"/>
  <c r="GH226" i="41" s="1"/>
  <c r="GO226" i="41" s="1"/>
  <c r="GH16" i="41" a="1"/>
  <c r="GH16" i="41" s="1"/>
  <c r="GO16" i="41" s="1"/>
  <c r="GH138" i="41" a="1"/>
  <c r="GH138" i="41" s="1"/>
  <c r="GO138" i="41" s="1"/>
  <c r="GH48" i="41" a="1"/>
  <c r="GH48" i="41" s="1"/>
  <c r="GO48" i="41" s="1"/>
  <c r="GH71" i="41" a="1"/>
  <c r="GH71" i="41" s="1"/>
  <c r="GO71" i="41" s="1"/>
  <c r="GH287" i="41" a="1"/>
  <c r="GH287" i="41" s="1"/>
  <c r="GO287" i="41" s="1"/>
  <c r="GH81" i="41" a="1"/>
  <c r="GH81" i="41" s="1"/>
  <c r="GO81" i="41" s="1"/>
  <c r="GH280" i="41" a="1"/>
  <c r="GH280" i="41" s="1"/>
  <c r="GO280" i="41" s="1"/>
  <c r="GH68" i="41" a="1"/>
  <c r="GH68" i="41" s="1"/>
  <c r="GO68" i="41" s="1"/>
  <c r="GH30" i="41" a="1"/>
  <c r="GH30" i="41" s="1"/>
  <c r="GO30" i="41" s="1"/>
  <c r="GH162" i="41" a="1"/>
  <c r="GH162" i="41" s="1"/>
  <c r="GO162" i="41" s="1"/>
  <c r="GH21" i="41" a="1"/>
  <c r="GH21" i="41" s="1"/>
  <c r="GO21" i="41" s="1"/>
  <c r="GH33" i="41" a="1"/>
  <c r="GH33" i="41" s="1"/>
  <c r="GO33" i="41" s="1"/>
  <c r="GH35" i="41" a="1"/>
  <c r="GH35" i="41" s="1"/>
  <c r="GO35" i="41" s="1"/>
  <c r="GH251" i="41" a="1"/>
  <c r="GH251" i="41" s="1"/>
  <c r="GO251" i="41" s="1"/>
  <c r="GH117" i="41" a="1"/>
  <c r="GH117" i="41" s="1"/>
  <c r="GO117" i="41" s="1"/>
  <c r="GH254" i="41" a="1"/>
  <c r="GH254" i="41" s="1"/>
  <c r="GO254" i="41" s="1"/>
  <c r="GH154" i="41" a="1"/>
  <c r="GH154" i="41" s="1"/>
  <c r="GO154" i="41" s="1"/>
  <c r="GH53" i="41" a="1"/>
  <c r="GH53" i="41" s="1"/>
  <c r="GO53" i="41" s="1"/>
  <c r="GH139" i="41" a="1"/>
  <c r="GH139" i="41" s="1"/>
  <c r="GO139" i="41" s="1"/>
  <c r="GH101" i="41" a="1"/>
  <c r="GH101" i="41" s="1"/>
  <c r="GO101" i="41" s="1"/>
  <c r="GH65" i="41" a="1"/>
  <c r="GH65" i="41" s="1"/>
  <c r="GO65" i="41" s="1"/>
  <c r="GH262" i="41" a="1"/>
  <c r="GH262" i="41" s="1"/>
  <c r="GO262" i="41" s="1"/>
  <c r="HX287" i="34"/>
  <c r="HL287" i="34"/>
  <c r="HZ284" i="34"/>
  <c r="HN284" i="34"/>
  <c r="IA261" i="34"/>
  <c r="HO261" i="34"/>
  <c r="IA278" i="34"/>
  <c r="HO278" i="34"/>
  <c r="HX279" i="34"/>
  <c r="HL279" i="34"/>
  <c r="IC286" i="34"/>
  <c r="HQ286" i="34"/>
  <c r="IA257" i="34"/>
  <c r="HO257" i="34"/>
  <c r="IB259" i="34"/>
  <c r="HP259" i="34"/>
  <c r="HY256" i="34"/>
  <c r="HM256" i="34"/>
  <c r="HX258" i="34"/>
  <c r="HL258" i="34"/>
  <c r="HY264" i="34"/>
  <c r="HM264" i="34"/>
  <c r="HY268" i="34"/>
  <c r="HM268" i="34"/>
  <c r="IB266" i="34"/>
  <c r="HP266" i="34"/>
  <c r="IB287" i="34"/>
  <c r="HP287" i="34"/>
  <c r="IC257" i="34"/>
  <c r="HQ257" i="34"/>
  <c r="IA275" i="34"/>
  <c r="HO275" i="34"/>
  <c r="IC264" i="34"/>
  <c r="HQ264" i="34"/>
  <c r="HY273" i="34"/>
  <c r="HM273" i="34"/>
  <c r="HY274" i="34"/>
  <c r="HM274" i="34"/>
  <c r="IB269" i="34"/>
  <c r="HP269" i="34"/>
  <c r="HY278" i="34"/>
  <c r="HM278" i="34"/>
  <c r="HZ277" i="34"/>
  <c r="HN277" i="34"/>
  <c r="IA263" i="34"/>
  <c r="HO263" i="34"/>
  <c r="HY281" i="34"/>
  <c r="HM281" i="34"/>
  <c r="IA281" i="34"/>
  <c r="HO281" i="34"/>
  <c r="IC258" i="34"/>
  <c r="HQ258" i="34"/>
  <c r="IA266" i="34"/>
  <c r="HO266" i="34"/>
  <c r="HZ259" i="34"/>
  <c r="HN259" i="34"/>
  <c r="HZ256" i="34"/>
  <c r="HN256" i="34"/>
  <c r="IB281" i="34"/>
  <c r="HP281" i="34"/>
  <c r="HX284" i="34"/>
  <c r="HL284" i="34"/>
  <c r="HY272" i="34"/>
  <c r="HM272" i="34"/>
  <c r="HZ268" i="34"/>
  <c r="HN268" i="34"/>
  <c r="IB271" i="34"/>
  <c r="HP271" i="34"/>
  <c r="HZ269" i="34"/>
  <c r="HN269" i="34"/>
  <c r="HX272" i="34"/>
  <c r="HL272" i="34"/>
  <c r="HZ272" i="34"/>
  <c r="HN272" i="34"/>
  <c r="HZ266" i="34"/>
  <c r="HN266" i="34"/>
  <c r="HX263" i="34"/>
  <c r="HL263" i="34"/>
  <c r="HZ273" i="34"/>
  <c r="HN273" i="34"/>
  <c r="HZ270" i="34"/>
  <c r="HN270" i="34"/>
  <c r="IA282" i="34"/>
  <c r="HO282" i="34"/>
  <c r="IC263" i="34"/>
  <c r="HQ263" i="34"/>
  <c r="HY265" i="34"/>
  <c r="HM265" i="34"/>
  <c r="IC270" i="34"/>
  <c r="HQ270" i="34"/>
  <c r="HY258" i="34"/>
  <c r="HM258" i="34"/>
  <c r="HX268" i="34"/>
  <c r="HL268" i="34"/>
  <c r="HZ281" i="34"/>
  <c r="HN281" i="34"/>
  <c r="IB262" i="34"/>
  <c r="HP262" i="34"/>
  <c r="HZ286" i="34"/>
  <c r="HN286" i="34"/>
  <c r="HX277" i="34"/>
  <c r="HL277" i="34"/>
  <c r="HZ258" i="34"/>
  <c r="HN258" i="34"/>
  <c r="IB282" i="34"/>
  <c r="HP282" i="34"/>
  <c r="HX259" i="34"/>
  <c r="HL259" i="34"/>
  <c r="IC276" i="34"/>
  <c r="HQ276" i="34"/>
  <c r="HX270" i="34"/>
  <c r="HL270" i="34"/>
  <c r="HZ267" i="34"/>
  <c r="HN267" i="34"/>
  <c r="IB258" i="34"/>
  <c r="HP258" i="34"/>
  <c r="HY275" i="34"/>
  <c r="HM275" i="34"/>
  <c r="IB284" i="34"/>
  <c r="HP284" i="34"/>
  <c r="HX261" i="34"/>
  <c r="HL261" i="34"/>
  <c r="HY283" i="34"/>
  <c r="HM283" i="34"/>
  <c r="HY277" i="34"/>
  <c r="HM277" i="34"/>
  <c r="HZ279" i="34"/>
  <c r="HN279" i="34"/>
  <c r="IB267" i="34"/>
  <c r="HP267" i="34"/>
  <c r="HX274" i="34"/>
  <c r="HL274" i="34"/>
  <c r="IC279" i="34"/>
  <c r="HQ279" i="34"/>
  <c r="IA258" i="34"/>
  <c r="HO258" i="34"/>
  <c r="IA287" i="34"/>
  <c r="HO287" i="34"/>
  <c r="HX271" i="34"/>
  <c r="HL271" i="34"/>
  <c r="IC267" i="34"/>
  <c r="HQ267" i="34"/>
  <c r="IB256" i="34"/>
  <c r="HP256" i="34"/>
  <c r="IB274" i="34"/>
  <c r="HP274" i="34"/>
  <c r="IA273" i="34"/>
  <c r="HO273" i="34"/>
  <c r="GH273" i="34" a="1"/>
  <c r="GH273" i="34" s="1"/>
  <c r="GO273" i="34" s="1"/>
  <c r="GH261" i="34" a="1"/>
  <c r="GH261" i="34" s="1"/>
  <c r="GO261" i="34" s="1"/>
  <c r="GH279" i="34" a="1"/>
  <c r="GH279" i="34" s="1"/>
  <c r="GO279" i="34" s="1"/>
  <c r="GH267" i="34" a="1"/>
  <c r="GH267" i="34" s="1"/>
  <c r="GO267" i="34" s="1"/>
  <c r="GH262" i="34" a="1"/>
  <c r="GH262" i="34" s="1"/>
  <c r="GO262" i="34" s="1"/>
  <c r="GH285" i="34" a="1"/>
  <c r="GH285" i="34" s="1"/>
  <c r="GO285" i="34" s="1"/>
  <c r="GH276" i="34" a="1"/>
  <c r="GH276" i="34" s="1"/>
  <c r="GO276" i="34" s="1"/>
  <c r="GH270" i="34" a="1"/>
  <c r="GH270" i="34" s="1"/>
  <c r="GO270" i="34" s="1"/>
  <c r="GH271" i="34" a="1"/>
  <c r="GH271" i="34" s="1"/>
  <c r="GO271" i="34" s="1"/>
  <c r="GH286" i="34" a="1"/>
  <c r="GH286" i="34" s="1"/>
  <c r="GO286" i="34" s="1"/>
  <c r="GH272" i="34" a="1"/>
  <c r="GH272" i="34" s="1"/>
  <c r="GO272" i="34" s="1"/>
  <c r="GH269" i="34" a="1"/>
  <c r="GH269" i="34" s="1"/>
  <c r="GO269" i="34" s="1"/>
  <c r="GH264" i="34" a="1"/>
  <c r="GH264" i="34" s="1"/>
  <c r="GO264" i="34" s="1"/>
  <c r="GH280" i="34" a="1"/>
  <c r="GH280" i="34" s="1"/>
  <c r="GO280" i="34" s="1"/>
  <c r="GH281" i="34" a="1"/>
  <c r="GH281" i="34" s="1"/>
  <c r="GO281" i="34" s="1"/>
  <c r="GH257" i="34" a="1"/>
  <c r="GH257" i="34" s="1"/>
  <c r="GO257" i="34" s="1"/>
  <c r="GH282" i="34" a="1"/>
  <c r="GH282" i="34" s="1"/>
  <c r="GO282" i="34" s="1"/>
  <c r="GH268" i="34" a="1"/>
  <c r="GH268" i="34" s="1"/>
  <c r="GO268" i="34" s="1"/>
  <c r="GH259" i="34" a="1"/>
  <c r="GH259" i="34" s="1"/>
  <c r="GO259" i="34" s="1"/>
  <c r="GH283" i="34" a="1"/>
  <c r="GH283" i="34" s="1"/>
  <c r="GO283" i="34" s="1"/>
  <c r="GH256" i="34" a="1"/>
  <c r="GH256" i="34" s="1"/>
  <c r="GO256" i="34" s="1"/>
  <c r="GH277" i="34" a="1"/>
  <c r="GH277" i="34" s="1"/>
  <c r="GO277" i="34" s="1"/>
  <c r="GH263" i="34" a="1"/>
  <c r="GH263" i="34" s="1"/>
  <c r="GO263" i="34" s="1"/>
  <c r="GH288" i="34" a="1"/>
  <c r="GH288" i="34" s="1"/>
  <c r="GO288" i="34" s="1"/>
  <c r="GH275" i="34" a="1"/>
  <c r="GH275" i="34" s="1"/>
  <c r="GO275" i="34" s="1"/>
  <c r="GH284" i="34" a="1"/>
  <c r="GH284" i="34" s="1"/>
  <c r="GO284" i="34" s="1"/>
  <c r="GH265" i="34" a="1"/>
  <c r="GH265" i="34" s="1"/>
  <c r="GO265" i="34" s="1"/>
  <c r="GH260" i="34" a="1"/>
  <c r="GH260" i="34" s="1"/>
  <c r="GO260" i="34" s="1"/>
  <c r="GH258" i="34" a="1"/>
  <c r="GH258" i="34" s="1"/>
  <c r="GO258" i="34" s="1"/>
  <c r="GH274" i="34" a="1"/>
  <c r="GH274" i="34" s="1"/>
  <c r="GO274" i="34" s="1"/>
  <c r="GH278" i="34" a="1"/>
  <c r="GH278" i="34" s="1"/>
  <c r="GO278" i="34" s="1"/>
  <c r="GH266" i="34" a="1"/>
  <c r="GH266" i="34" s="1"/>
  <c r="GO266" i="34" s="1"/>
  <c r="GH287" i="34" a="1"/>
  <c r="GH287" i="34" s="1"/>
  <c r="GO287" i="34" s="1"/>
  <c r="FZ7" i="34"/>
  <c r="GT270" i="34" a="1"/>
  <c r="GT270" i="34" s="1"/>
  <c r="GT281" i="34" a="1"/>
  <c r="GT281" i="34" s="1"/>
  <c r="GT282" i="34" a="1"/>
  <c r="GT282" i="34" s="1"/>
  <c r="GT263" i="34" a="1"/>
  <c r="GT263" i="34" s="1"/>
  <c r="GT271" i="34" a="1"/>
  <c r="GT271" i="34" s="1"/>
  <c r="GT284" i="34" a="1"/>
  <c r="GT284" i="34" s="1"/>
  <c r="GT287" i="34" a="1"/>
  <c r="GT287" i="34" s="1"/>
  <c r="GT261" i="34" a="1"/>
  <c r="GT261" i="34" s="1"/>
  <c r="GT280" i="34" a="1"/>
  <c r="GT280" i="34" s="1"/>
  <c r="GT278" i="34" a="1"/>
  <c r="GT278" i="34" s="1"/>
  <c r="GT259" i="34" a="1"/>
  <c r="GT259" i="34" s="1"/>
  <c r="GT288" i="34" a="1"/>
  <c r="GT288" i="34" s="1"/>
  <c r="GT285" i="34" a="1"/>
  <c r="GT285" i="34" s="1"/>
  <c r="GT265" i="34" a="1"/>
  <c r="GT265" i="34" s="1"/>
  <c r="GT286" i="34" a="1"/>
  <c r="GT286" i="34" s="1"/>
  <c r="GT264" i="34" a="1"/>
  <c r="GT264" i="34" s="1"/>
  <c r="GT258" i="34" a="1"/>
  <c r="GT258" i="34" s="1"/>
  <c r="GT269" i="34" a="1"/>
  <c r="GT269" i="34" s="1"/>
  <c r="GT275" i="34" a="1"/>
  <c r="GT275" i="34" s="1"/>
  <c r="GT268" i="34" a="1"/>
  <c r="GT268" i="34" s="1"/>
  <c r="GT260" i="34" a="1"/>
  <c r="GT260" i="34" s="1"/>
  <c r="GT272" i="34" a="1"/>
  <c r="GT272" i="34" s="1"/>
  <c r="GT267" i="34" a="1"/>
  <c r="GT267" i="34" s="1"/>
  <c r="GT256" i="34" a="1"/>
  <c r="GT256" i="34" s="1"/>
  <c r="GT273" i="34" a="1"/>
  <c r="GT273" i="34" s="1"/>
  <c r="GT283" i="34" a="1"/>
  <c r="GT283" i="34" s="1"/>
  <c r="GT276" i="34" a="1"/>
  <c r="GT276" i="34" s="1"/>
  <c r="GT274" i="34" a="1"/>
  <c r="GT274" i="34" s="1"/>
  <c r="GT277" i="34" a="1"/>
  <c r="GT277" i="34" s="1"/>
  <c r="GT279" i="34" a="1"/>
  <c r="GT279" i="34" s="1"/>
  <c r="GT266" i="34" a="1"/>
  <c r="GT266" i="34" s="1"/>
  <c r="GT257" i="34" a="1"/>
  <c r="GT257" i="34" s="1"/>
  <c r="GT262" i="34" a="1"/>
  <c r="GT262" i="34" s="1"/>
  <c r="IC275" i="34"/>
  <c r="HQ275" i="34"/>
  <c r="IC287" i="34"/>
  <c r="HQ287" i="34"/>
  <c r="IC277" i="34"/>
  <c r="HQ277" i="34"/>
  <c r="IB263" i="34"/>
  <c r="HP263" i="34"/>
  <c r="IC283" i="34"/>
  <c r="HQ283" i="34"/>
  <c r="IB273" i="34"/>
  <c r="HP273" i="34"/>
  <c r="IA270" i="34"/>
  <c r="HO270" i="34"/>
  <c r="IA286" i="34"/>
  <c r="HO286" i="34"/>
  <c r="HZ288" i="34"/>
  <c r="HN288" i="34"/>
  <c r="IB264" i="34"/>
  <c r="HP264" i="34"/>
  <c r="HX275" i="34"/>
  <c r="HL275" i="34"/>
  <c r="IC265" i="34"/>
  <c r="HQ265" i="34"/>
  <c r="IB265" i="34"/>
  <c r="HP265" i="34"/>
  <c r="HX265" i="34"/>
  <c r="HL265" i="34"/>
  <c r="IB280" i="34"/>
  <c r="HP280" i="34"/>
  <c r="HZ278" i="34"/>
  <c r="HN278" i="34"/>
  <c r="HY262" i="34"/>
  <c r="HM262" i="34"/>
  <c r="HY263" i="34"/>
  <c r="HM263" i="34"/>
  <c r="IB275" i="34"/>
  <c r="HP275" i="34"/>
  <c r="IC272" i="34"/>
  <c r="HQ272" i="34"/>
  <c r="HX288" i="34"/>
  <c r="HL288" i="34"/>
  <c r="IA279" i="34"/>
  <c r="HO279" i="34"/>
  <c r="IA260" i="34"/>
  <c r="HO260" i="34"/>
  <c r="HZ257" i="34"/>
  <c r="HN257" i="34"/>
  <c r="IA280" i="34"/>
  <c r="HO280" i="34"/>
  <c r="FZ7" i="41"/>
  <c r="FZ7" i="42"/>
  <c r="HZ263" i="34"/>
  <c r="HN263" i="34"/>
  <c r="HZ287" i="34"/>
  <c r="HN287" i="34"/>
  <c r="HZ261" i="34"/>
  <c r="HN261" i="34"/>
  <c r="IA256" i="34"/>
  <c r="HO256" i="34"/>
  <c r="HX280" i="34"/>
  <c r="HL280" i="34"/>
  <c r="IC259" i="34"/>
  <c r="HQ259" i="34"/>
  <c r="IA276" i="34"/>
  <c r="HO276" i="34"/>
  <c r="HX282" i="34"/>
  <c r="HL282" i="34"/>
  <c r="HX286" i="34"/>
  <c r="HL286" i="34"/>
  <c r="IB283" i="34"/>
  <c r="HP283" i="34"/>
  <c r="HY285" i="34"/>
  <c r="HM285" i="34"/>
  <c r="IA267" i="34"/>
  <c r="HO267" i="34"/>
  <c r="IC268" i="34"/>
  <c r="HQ268" i="34"/>
  <c r="HY276" i="34"/>
  <c r="HM276" i="34"/>
  <c r="HY288" i="34"/>
  <c r="HM288" i="34"/>
  <c r="IA285" i="34"/>
  <c r="HO285" i="34"/>
  <c r="IC260" i="34"/>
  <c r="HQ260" i="34"/>
  <c r="HZ282" i="34"/>
  <c r="HN282" i="34"/>
  <c r="IB278" i="34"/>
  <c r="HP278" i="34"/>
  <c r="HY287" i="34"/>
  <c r="HM287" i="34"/>
  <c r="HZ264" i="34"/>
  <c r="HN264" i="34"/>
  <c r="HY270" i="34"/>
  <c r="HM270" i="34"/>
  <c r="IB257" i="34"/>
  <c r="HP257" i="34"/>
  <c r="HZ276" i="34"/>
  <c r="HN276" i="34"/>
  <c r="IC285" i="34"/>
  <c r="HQ285" i="34"/>
  <c r="IA288" i="34"/>
  <c r="HO288" i="34"/>
  <c r="HY271" i="34"/>
  <c r="HM271" i="34"/>
  <c r="HA275" i="34" l="1"/>
  <c r="HW275" i="34"/>
  <c r="ID275" i="34" s="1"/>
  <c r="HK275" i="34"/>
  <c r="HR275" i="34" s="1"/>
  <c r="HA259" i="34"/>
  <c r="HW259" i="34"/>
  <c r="ID259" i="34" s="1"/>
  <c r="HK259" i="34"/>
  <c r="HR259" i="34" s="1"/>
  <c r="HA282" i="34"/>
  <c r="HW282" i="34"/>
  <c r="ID282" i="34" s="1"/>
  <c r="HK282" i="34"/>
  <c r="HR282" i="34" s="1"/>
  <c r="HA262" i="34"/>
  <c r="HW262" i="34"/>
  <c r="ID262" i="34" s="1"/>
  <c r="HK262" i="34"/>
  <c r="HR262" i="34" s="1"/>
  <c r="HA273" i="34"/>
  <c r="HW273" i="34"/>
  <c r="ID273" i="34" s="1"/>
  <c r="HK273" i="34"/>
  <c r="HR273" i="34" s="1"/>
  <c r="HA269" i="34"/>
  <c r="HW269" i="34"/>
  <c r="ID269" i="34" s="1"/>
  <c r="HK269" i="34"/>
  <c r="HR269" i="34" s="1"/>
  <c r="HA278" i="34"/>
  <c r="HW278" i="34"/>
  <c r="ID278" i="34" s="1"/>
  <c r="HK278" i="34"/>
  <c r="HR278" i="34" s="1"/>
  <c r="HA281" i="34"/>
  <c r="HW281" i="34"/>
  <c r="ID281" i="34" s="1"/>
  <c r="HK281" i="34"/>
  <c r="HR281" i="34" s="1"/>
  <c r="HA257" i="34"/>
  <c r="HW257" i="34"/>
  <c r="ID257" i="34" s="1"/>
  <c r="HK257" i="34"/>
  <c r="HR257" i="34" s="1"/>
  <c r="HA276" i="34"/>
  <c r="HW276" i="34"/>
  <c r="ID276" i="34" s="1"/>
  <c r="HK276" i="34"/>
  <c r="HR276" i="34" s="1"/>
  <c r="HA258" i="34"/>
  <c r="HW258" i="34"/>
  <c r="ID258" i="34" s="1"/>
  <c r="HK258" i="34"/>
  <c r="HR258" i="34" s="1"/>
  <c r="HA280" i="34"/>
  <c r="HW280" i="34"/>
  <c r="ID280" i="34" s="1"/>
  <c r="HK280" i="34"/>
  <c r="HR280" i="34" s="1"/>
  <c r="HA270" i="34"/>
  <c r="HW270" i="34"/>
  <c r="ID270" i="34" s="1"/>
  <c r="HK270" i="34"/>
  <c r="HR270" i="34" s="1"/>
  <c r="HA266" i="34"/>
  <c r="HW266" i="34"/>
  <c r="ID266" i="34" s="1"/>
  <c r="HK266" i="34"/>
  <c r="HR266" i="34" s="1"/>
  <c r="HA274" i="34"/>
  <c r="HW274" i="34"/>
  <c r="ID274" i="34" s="1"/>
  <c r="HK274" i="34"/>
  <c r="HR274" i="34" s="1"/>
  <c r="HA256" i="34"/>
  <c r="HW256" i="34"/>
  <c r="ID256" i="34" s="1"/>
  <c r="HK256" i="34"/>
  <c r="HR256" i="34" s="1"/>
  <c r="HA264" i="34"/>
  <c r="HW264" i="34"/>
  <c r="ID264" i="34" s="1"/>
  <c r="HK264" i="34"/>
  <c r="HR264" i="34" s="1"/>
  <c r="HA261" i="34"/>
  <c r="HW261" i="34"/>
  <c r="ID261" i="34" s="1"/>
  <c r="HK261" i="34"/>
  <c r="HR261" i="34" s="1"/>
  <c r="HA279" i="34"/>
  <c r="HW279" i="34"/>
  <c r="ID279" i="34" s="1"/>
  <c r="HK279" i="34"/>
  <c r="HR279" i="34" s="1"/>
  <c r="HA267" i="34"/>
  <c r="HW267" i="34"/>
  <c r="ID267" i="34" s="1"/>
  <c r="HK267" i="34"/>
  <c r="HR267" i="34" s="1"/>
  <c r="HA286" i="34"/>
  <c r="HW286" i="34"/>
  <c r="ID286" i="34" s="1"/>
  <c r="HK286" i="34"/>
  <c r="HR286" i="34" s="1"/>
  <c r="HA287" i="34"/>
  <c r="HW287" i="34"/>
  <c r="ID287" i="34" s="1"/>
  <c r="HK287" i="34"/>
  <c r="HR287" i="34" s="1"/>
  <c r="HA272" i="34"/>
  <c r="HW272" i="34"/>
  <c r="ID272" i="34" s="1"/>
  <c r="HK272" i="34"/>
  <c r="HR272" i="34" s="1"/>
  <c r="HA265" i="34"/>
  <c r="HW265" i="34"/>
  <c r="ID265" i="34" s="1"/>
  <c r="HK265" i="34"/>
  <c r="HR265" i="34" s="1"/>
  <c r="HA284" i="34"/>
  <c r="HW284" i="34"/>
  <c r="ID284" i="34" s="1"/>
  <c r="HK284" i="34"/>
  <c r="HR284" i="34" s="1"/>
  <c r="HA283" i="34"/>
  <c r="HW283" i="34"/>
  <c r="ID283" i="34" s="1"/>
  <c r="HK283" i="34"/>
  <c r="HR283" i="34" s="1"/>
  <c r="HA260" i="34"/>
  <c r="HW260" i="34"/>
  <c r="ID260" i="34" s="1"/>
  <c r="HK260" i="34"/>
  <c r="HR260" i="34" s="1"/>
  <c r="HA285" i="34"/>
  <c r="HW285" i="34"/>
  <c r="ID285" i="34" s="1"/>
  <c r="HK285" i="34"/>
  <c r="HR285" i="34" s="1"/>
  <c r="HA271" i="34"/>
  <c r="HW271" i="34"/>
  <c r="ID271" i="34" s="1"/>
  <c r="HK271" i="34"/>
  <c r="HR271" i="34" s="1"/>
  <c r="HA277" i="34"/>
  <c r="HW277" i="34"/>
  <c r="ID277" i="34" s="1"/>
  <c r="HK277" i="34"/>
  <c r="HR277" i="34" s="1"/>
  <c r="HA268" i="34"/>
  <c r="HW268" i="34"/>
  <c r="ID268" i="34" s="1"/>
  <c r="HK268" i="34"/>
  <c r="HR268" i="34" s="1"/>
  <c r="HA288" i="34"/>
  <c r="HW288" i="34"/>
  <c r="ID288" i="34" s="1"/>
  <c r="HK288" i="34"/>
  <c r="HR288" i="34" s="1"/>
  <c r="HA263" i="34"/>
  <c r="HW263" i="34"/>
  <c r="ID263" i="34" s="1"/>
  <c r="HK263" i="34"/>
  <c r="HR263" i="34" s="1"/>
  <c r="FZ15" i="41" l="1" a="1"/>
  <c r="FZ15" i="41" s="1"/>
  <c r="GH15" i="41" s="1" a="1"/>
  <c r="GH15" i="41" s="1"/>
  <c r="FZ14" i="41" a="1"/>
  <c r="FZ14" i="41" s="1"/>
  <c r="GH14" i="41" s="1" a="1"/>
  <c r="GH14" i="41" s="1"/>
  <c r="GA14" i="41" l="1" a="1"/>
  <c r="GA14" i="41" s="1"/>
  <c r="GI14" i="41" s="1" a="1"/>
  <c r="GI14" i="41" s="1"/>
  <c r="GA15" i="41" a="1"/>
  <c r="GA15" i="41" s="1"/>
  <c r="GI15" i="41" s="1" a="1"/>
  <c r="GI15" i="41" s="1"/>
  <c r="GB14" i="41" l="1" a="1"/>
  <c r="GB14" i="41" s="1"/>
  <c r="GJ14" i="41" s="1" a="1"/>
  <c r="GJ14" i="41" s="1"/>
  <c r="GB15" i="41" a="1"/>
  <c r="GB15" i="41" s="1"/>
  <c r="GJ15" i="41" s="1" a="1"/>
  <c r="GJ15" i="41" s="1"/>
  <c r="GC15" i="41" l="1" a="1"/>
  <c r="GC15" i="41" s="1"/>
  <c r="GK15" i="41" s="1" a="1"/>
  <c r="GK15" i="41" s="1"/>
  <c r="GC14" i="41" a="1"/>
  <c r="GC14" i="41" s="1"/>
  <c r="GK14" i="41" s="1" a="1"/>
  <c r="GK14" i="41" s="1"/>
  <c r="GD14" i="41" l="1" a="1"/>
  <c r="GD14" i="41" s="1"/>
  <c r="GL14" i="41" s="1" a="1"/>
  <c r="GL14" i="41" s="1"/>
  <c r="GD15" i="41" a="1"/>
  <c r="GD15" i="41" s="1"/>
  <c r="GL15" i="41" s="1" a="1"/>
  <c r="GL15" i="41" s="1"/>
  <c r="GE14" i="41" l="1" a="1"/>
  <c r="GE14" i="41" s="1"/>
  <c r="GM14" i="41" s="1" a="1"/>
  <c r="GM14" i="41" s="1"/>
  <c r="GE15" i="41" a="1"/>
  <c r="GE15" i="41" s="1"/>
  <c r="GM15" i="41" s="1" a="1"/>
  <c r="GM15" i="41" s="1"/>
  <c r="GF15" i="41" a="1"/>
  <c r="GF15" i="41" s="1"/>
  <c r="GN15" i="41" s="1" a="1"/>
  <c r="GN15" i="41" s="1"/>
  <c r="GF14" i="41" a="1"/>
  <c r="GF14" i="41" s="1"/>
  <c r="GN14" i="41" s="1" a="1"/>
  <c r="GN14" i="41" s="1"/>
  <c r="GO14" i="41" l="1"/>
  <c r="GO15" i="41"/>
  <c r="D66" i="65" l="1"/>
  <c r="D40" i="65"/>
  <c r="E70" i="65"/>
  <c r="F65" i="65"/>
  <c r="D68" i="65"/>
  <c r="E69" i="65"/>
  <c r="E65" i="65"/>
  <c r="D69" i="65"/>
  <c r="D76" i="65"/>
  <c r="D65" i="65"/>
  <c r="G8" i="65"/>
  <c r="D70" i="65"/>
  <c r="D21" i="65"/>
  <c r="D59" i="65"/>
  <c r="F77" i="65"/>
  <c r="E77" i="65"/>
  <c r="F76" i="65"/>
  <c r="E76" i="65"/>
  <c r="G65" i="65" l="1"/>
  <c r="G76" i="65"/>
  <c r="D67" i="65"/>
  <c r="E67" i="65"/>
  <c r="F68" i="65"/>
  <c r="F40" i="65"/>
  <c r="F69" i="65"/>
  <c r="G69" i="65" s="1"/>
  <c r="F66" i="65"/>
  <c r="F67" i="65"/>
  <c r="D77" i="65"/>
  <c r="G77" i="65" s="1"/>
  <c r="E59" i="65"/>
  <c r="F59" i="65"/>
  <c r="E40" i="65"/>
  <c r="F70" i="65"/>
  <c r="G70" i="65" s="1"/>
  <c r="E68" i="65"/>
  <c r="E21" i="65"/>
  <c r="F21" i="65"/>
  <c r="E66" i="65"/>
  <c r="G66" i="65" l="1"/>
  <c r="G68" i="65"/>
  <c r="G67" i="65"/>
  <c r="D78" i="65"/>
  <c r="E78" i="65"/>
  <c r="F78" i="65"/>
  <c r="G40" i="65"/>
  <c r="G21" i="65"/>
  <c r="G59" i="65"/>
  <c r="G78" i="65" l="1"/>
  <c r="G80" i="65" s="1"/>
  <c r="I6" i="49" l="1"/>
  <c r="B45" i="5" l="1" a="1"/>
  <c r="B45" i="5" s="1"/>
  <c r="B12" i="40" l="1" a="1"/>
  <c r="B12" i="40" s="1"/>
  <c r="B8" i="41" a="1"/>
  <c r="B8" i="34" a="1"/>
  <c r="B8" i="42" a="1"/>
  <c r="B62" i="5" a="1"/>
  <c r="B62" i="5" s="1"/>
  <c r="B8" i="65" a="1"/>
  <c r="B8" i="65" s="1"/>
  <c r="B46" i="65" a="1"/>
  <c r="B46" i="65" s="1"/>
  <c r="B27" i="65" a="1"/>
  <c r="B27" i="65" s="1"/>
  <c r="B11" i="46" a="1"/>
  <c r="B11" i="43" a="1"/>
  <c r="B11" i="44" a="1"/>
  <c r="B11" i="16" a="1"/>
  <c r="B65" i="65" a="1"/>
  <c r="B65" i="65" s="1"/>
  <c r="B11" i="55" a="1"/>
  <c r="GR33" i="42" l="1" a="1"/>
  <c r="GR33" i="42" s="1"/>
  <c r="GR22" i="42" a="1"/>
  <c r="GR22" i="42" s="1"/>
  <c r="GR10" i="42" a="1"/>
  <c r="GR10" i="42" s="1"/>
  <c r="GR20" i="42" a="1"/>
  <c r="GR20" i="42" s="1"/>
  <c r="GR19" i="42" a="1"/>
  <c r="GR19" i="42" s="1"/>
  <c r="GR13" i="42" a="1"/>
  <c r="GR13" i="42" s="1"/>
  <c r="GR23" i="42" a="1"/>
  <c r="GR23" i="42" s="1"/>
  <c r="GR8" i="42" a="1"/>
  <c r="GR8" i="42" s="1"/>
  <c r="GR9" i="42" a="1"/>
  <c r="GR9" i="42" s="1"/>
  <c r="GR28" i="42" a="1"/>
  <c r="GR28" i="42" s="1"/>
  <c r="GR34" i="42" a="1"/>
  <c r="GR34" i="42" s="1"/>
  <c r="GR18" i="42" a="1"/>
  <c r="GR18" i="42" s="1"/>
  <c r="GR25" i="42" a="1"/>
  <c r="GR25" i="42" s="1"/>
  <c r="GR27" i="42" a="1"/>
  <c r="GR27" i="42" s="1"/>
  <c r="GR14" i="42" a="1"/>
  <c r="GR14" i="42" s="1"/>
  <c r="GR15" i="42" a="1"/>
  <c r="GR15" i="42" s="1"/>
  <c r="GR24" i="42" a="1"/>
  <c r="GR24" i="42" s="1"/>
  <c r="GR26" i="42" a="1"/>
  <c r="GR26" i="42" s="1"/>
  <c r="GR16" i="42" a="1"/>
  <c r="GR16" i="42" s="1"/>
  <c r="GR17" i="42" a="1"/>
  <c r="GR17" i="42" s="1"/>
  <c r="GR29" i="42" a="1"/>
  <c r="GR29" i="42" s="1"/>
  <c r="GR11" i="42" a="1"/>
  <c r="GR11" i="42" s="1"/>
  <c r="GR12" i="42" a="1"/>
  <c r="GR12" i="42" s="1"/>
  <c r="GR31" i="42" a="1"/>
  <c r="GR31" i="42" s="1"/>
  <c r="GR32" i="42" a="1"/>
  <c r="GR32" i="42" s="1"/>
  <c r="GR21" i="42" a="1"/>
  <c r="GR21" i="42" s="1"/>
  <c r="GR30" i="42" a="1"/>
  <c r="GR30" i="42" s="1"/>
  <c r="GR178" i="34" a="1"/>
  <c r="GR178" i="34" s="1"/>
  <c r="GR34" i="34" a="1"/>
  <c r="GR34" i="34" s="1"/>
  <c r="GR23" i="34" a="1"/>
  <c r="GR23" i="34" s="1"/>
  <c r="GR157" i="34" a="1"/>
  <c r="GR157" i="34" s="1"/>
  <c r="GR10" i="34" a="1"/>
  <c r="GR10" i="34" s="1"/>
  <c r="GR218" i="34" a="1"/>
  <c r="GR218" i="34" s="1"/>
  <c r="GR74" i="34" a="1"/>
  <c r="GR74" i="34" s="1"/>
  <c r="GR118" i="34" a="1"/>
  <c r="GR118" i="34" s="1"/>
  <c r="GR155" i="34" a="1"/>
  <c r="GR155" i="34" s="1"/>
  <c r="GR8" i="34" a="1"/>
  <c r="GR8" i="34" s="1"/>
  <c r="GR68" i="34" a="1"/>
  <c r="GR68" i="34" s="1"/>
  <c r="GR216" i="34" a="1"/>
  <c r="GR216" i="34" s="1"/>
  <c r="GR72" i="34" a="1"/>
  <c r="GR72" i="34" s="1"/>
  <c r="GR89" i="34" a="1"/>
  <c r="GR89" i="34" s="1"/>
  <c r="GR133" i="34" a="1"/>
  <c r="GR133" i="34" s="1"/>
  <c r="GR150" i="34" a="1"/>
  <c r="GR150" i="34" s="1"/>
  <c r="GR122" i="34" a="1"/>
  <c r="GR122" i="34" s="1"/>
  <c r="GR203" i="34" a="1"/>
  <c r="GR203" i="34" s="1"/>
  <c r="GR59" i="34" a="1"/>
  <c r="GR59" i="34" s="1"/>
  <c r="GR220" i="34" a="1"/>
  <c r="GR220" i="34" s="1"/>
  <c r="GR15" i="34" a="1"/>
  <c r="GR15" i="34" s="1"/>
  <c r="GR179" i="34" a="1"/>
  <c r="GR179" i="34" s="1"/>
  <c r="GR240" i="34" a="1"/>
  <c r="GR240" i="34" s="1"/>
  <c r="GR77" i="34" a="1"/>
  <c r="GR77" i="34" s="1"/>
  <c r="GR210" i="34" a="1"/>
  <c r="GR210" i="34" s="1"/>
  <c r="GR56" i="34" a="1"/>
  <c r="GR56" i="34" s="1"/>
  <c r="GR168" i="34" a="1"/>
  <c r="GR168" i="34" s="1"/>
  <c r="GR22" i="34" a="1"/>
  <c r="GR22" i="34" s="1"/>
  <c r="GR136" i="34" a="1"/>
  <c r="GR136" i="34" s="1"/>
  <c r="GR232" i="34" a="1"/>
  <c r="GR232" i="34" s="1"/>
  <c r="GR207" i="34" a="1"/>
  <c r="GR207" i="34" s="1"/>
  <c r="GR63" i="34" a="1"/>
  <c r="GR63" i="34" s="1"/>
  <c r="GR145" i="34" a="1"/>
  <c r="GR145" i="34" s="1"/>
  <c r="GR51" i="34" a="1"/>
  <c r="GR51" i="34" s="1"/>
  <c r="GR206" i="34" a="1"/>
  <c r="GR206" i="34" s="1"/>
  <c r="GR62" i="34" a="1"/>
  <c r="GR62" i="34" s="1"/>
  <c r="GR112" i="34" a="1"/>
  <c r="GR112" i="34" s="1"/>
  <c r="GR140" i="34" a="1"/>
  <c r="GR140" i="34" s="1"/>
  <c r="GR255" i="34" a="1"/>
  <c r="GR255" i="34" s="1"/>
  <c r="GR111" i="34" a="1"/>
  <c r="GR111" i="34" s="1"/>
  <c r="GR159" i="34" a="1"/>
  <c r="GR159" i="34" s="1"/>
  <c r="GR193" i="34" a="1"/>
  <c r="GR193" i="34" s="1"/>
  <c r="GR223" i="34" a="1"/>
  <c r="GR223" i="34" s="1"/>
  <c r="GR66" i="34" a="1"/>
  <c r="GR66" i="34" s="1"/>
  <c r="GR192" i="34" a="1"/>
  <c r="GR192" i="34" s="1"/>
  <c r="GR95" i="34" a="1"/>
  <c r="GR95" i="34" s="1"/>
  <c r="GR27" i="34" a="1"/>
  <c r="GR27" i="34" s="1"/>
  <c r="GR154" i="34" a="1"/>
  <c r="GR154" i="34" s="1"/>
  <c r="GR215" i="34" a="1"/>
  <c r="GR215" i="34" s="1"/>
  <c r="GR98" i="34" a="1"/>
  <c r="GR98" i="34" s="1"/>
  <c r="GR204" i="34" a="1"/>
  <c r="GR204" i="34" s="1"/>
  <c r="GR222" i="34" a="1"/>
  <c r="GR222" i="34" s="1"/>
  <c r="GR211" i="34" a="1"/>
  <c r="GR211" i="34" s="1"/>
  <c r="GR85" i="34" a="1"/>
  <c r="GR85" i="34" s="1"/>
  <c r="GR149" i="34" a="1"/>
  <c r="GR149" i="34" s="1"/>
  <c r="GR24" i="34" a="1"/>
  <c r="GR24" i="34" s="1"/>
  <c r="GR160" i="34" a="1"/>
  <c r="GR160" i="34" s="1"/>
  <c r="GR64" i="34" a="1"/>
  <c r="GR64" i="34" s="1"/>
  <c r="GR217" i="34" a="1"/>
  <c r="GR217" i="34" s="1"/>
  <c r="GR184" i="34" a="1"/>
  <c r="GR184" i="34" s="1"/>
  <c r="GR121" i="34" a="1"/>
  <c r="GR121" i="34" s="1"/>
  <c r="GR158" i="34" a="1"/>
  <c r="GR158" i="34" s="1"/>
  <c r="GR58" i="34" a="1"/>
  <c r="GR58" i="34" s="1"/>
  <c r="GR126" i="34" a="1"/>
  <c r="GR126" i="34" s="1"/>
  <c r="GR181" i="34" a="1"/>
  <c r="GR181" i="34" s="1"/>
  <c r="GR197" i="34" a="1"/>
  <c r="GR197" i="34" s="1"/>
  <c r="GR53" i="34" a="1"/>
  <c r="GR53" i="34" s="1"/>
  <c r="GR124" i="34" a="1"/>
  <c r="GR124" i="34" s="1"/>
  <c r="GR18" i="34" a="1"/>
  <c r="GR18" i="34" s="1"/>
  <c r="GR190" i="34" a="1"/>
  <c r="GR190" i="34" s="1"/>
  <c r="GR195" i="34" a="1"/>
  <c r="GR195" i="34" s="1"/>
  <c r="GR41" i="34" a="1"/>
  <c r="GR41" i="34" s="1"/>
  <c r="GR191" i="34" a="1"/>
  <c r="GR191" i="34" s="1"/>
  <c r="GR246" i="34" a="1"/>
  <c r="GR246" i="34" s="1"/>
  <c r="GR81" i="34" a="1"/>
  <c r="GR81" i="34" s="1"/>
  <c r="GR57" i="34" a="1"/>
  <c r="GR57" i="34" s="1"/>
  <c r="GR245" i="34" a="1"/>
  <c r="GR245" i="34" s="1"/>
  <c r="GR101" i="34" a="1"/>
  <c r="GR101" i="34" s="1"/>
  <c r="GR172" i="34" a="1"/>
  <c r="GR172" i="34" s="1"/>
  <c r="GR251" i="34" a="1"/>
  <c r="GR251" i="34" s="1"/>
  <c r="GR231" i="34" a="1"/>
  <c r="GR231" i="34" s="1"/>
  <c r="GR237" i="34" a="1"/>
  <c r="GR237" i="34" s="1"/>
  <c r="GR71" i="34" a="1"/>
  <c r="GR71" i="34" s="1"/>
  <c r="GR141" i="34" a="1"/>
  <c r="GR141" i="34" s="1"/>
  <c r="GR229" i="34" a="1"/>
  <c r="GR229" i="34" s="1"/>
  <c r="GR146" i="34" a="1"/>
  <c r="GR146" i="34" s="1"/>
  <c r="GR227" i="34" a="1"/>
  <c r="GR227" i="34" s="1"/>
  <c r="GR40" i="34" a="1"/>
  <c r="GR40" i="34" s="1"/>
  <c r="GR131" i="34" a="1"/>
  <c r="GR131" i="34" s="1"/>
  <c r="GR96" i="34" a="1"/>
  <c r="GR96" i="34" s="1"/>
  <c r="GR38" i="34" a="1"/>
  <c r="GR38" i="34" s="1"/>
  <c r="GR134" i="34" a="1"/>
  <c r="GR134" i="34" s="1"/>
  <c r="GR183" i="34" a="1"/>
  <c r="GR183" i="34" s="1"/>
  <c r="GR147" i="34" a="1"/>
  <c r="GR147" i="34" s="1"/>
  <c r="GR253" i="34" a="1"/>
  <c r="GR253" i="34" s="1"/>
  <c r="GR116" i="34" a="1"/>
  <c r="GR116" i="34" s="1"/>
  <c r="GR109" i="34" a="1"/>
  <c r="GR109" i="34" s="1"/>
  <c r="GR187" i="34" a="1"/>
  <c r="GR187" i="34" s="1"/>
  <c r="GR43" i="34" a="1"/>
  <c r="GR43" i="34" s="1"/>
  <c r="GR114" i="34" a="1"/>
  <c r="GR114" i="34" s="1"/>
  <c r="GR102" i="34" a="1"/>
  <c r="GR102" i="34" s="1"/>
  <c r="GR87" i="34" a="1"/>
  <c r="GR87" i="34" s="1"/>
  <c r="GR185" i="34" a="1"/>
  <c r="GR185" i="34" s="1"/>
  <c r="GR30" i="34" a="1"/>
  <c r="GR30" i="34" s="1"/>
  <c r="GR78" i="34" a="1"/>
  <c r="GR78" i="34" s="1"/>
  <c r="GR236" i="34" a="1"/>
  <c r="GR236" i="34" s="1"/>
  <c r="GR61" i="34" a="1"/>
  <c r="GR61" i="34" s="1"/>
  <c r="GR235" i="34" a="1"/>
  <c r="GR235" i="34" s="1"/>
  <c r="GR91" i="34" a="1"/>
  <c r="GR91" i="34" s="1"/>
  <c r="GR200" i="34" a="1"/>
  <c r="GR200" i="34" s="1"/>
  <c r="GR162" i="34" a="1"/>
  <c r="GR162" i="34" s="1"/>
  <c r="GR110" i="34" a="1"/>
  <c r="GR110" i="34" s="1"/>
  <c r="GR128" i="34" a="1"/>
  <c r="GR128" i="34" s="1"/>
  <c r="GR48" i="34" a="1"/>
  <c r="GR48" i="34" s="1"/>
  <c r="GR127" i="34" a="1"/>
  <c r="GR127" i="34" s="1"/>
  <c r="GR156" i="34" a="1"/>
  <c r="GR156" i="34" s="1"/>
  <c r="GR93" i="34" a="1"/>
  <c r="GR93" i="34" s="1"/>
  <c r="GR221" i="34" a="1"/>
  <c r="GR221" i="34" s="1"/>
  <c r="GR16" i="34" a="1"/>
  <c r="GR16" i="34" s="1"/>
  <c r="GR60" i="34" a="1"/>
  <c r="GR60" i="34" s="1"/>
  <c r="GR106" i="34" a="1"/>
  <c r="GR106" i="34" s="1"/>
  <c r="GR9" i="34" a="1"/>
  <c r="GR9" i="34" s="1"/>
  <c r="GR83" i="34" a="1"/>
  <c r="GR83" i="34" s="1"/>
  <c r="GR50" i="34" a="1"/>
  <c r="GR50" i="34" s="1"/>
  <c r="GR139" i="34" a="1"/>
  <c r="GR139" i="34" s="1"/>
  <c r="GR73" i="34" a="1"/>
  <c r="GR73" i="34" s="1"/>
  <c r="GR28" i="34" a="1"/>
  <c r="GR28" i="34" s="1"/>
  <c r="GR39" i="34" a="1"/>
  <c r="GR39" i="34" s="1"/>
  <c r="GR88" i="34" a="1"/>
  <c r="GR88" i="34" s="1"/>
  <c r="GR137" i="34" a="1"/>
  <c r="GR137" i="34" s="1"/>
  <c r="GR129" i="34" a="1"/>
  <c r="GR129" i="34" s="1"/>
  <c r="GR249" i="34" a="1"/>
  <c r="GR249" i="34" s="1"/>
  <c r="GR105" i="34" a="1"/>
  <c r="GR105" i="34" s="1"/>
  <c r="GR25" i="34" a="1"/>
  <c r="GR25" i="34" s="1"/>
  <c r="GR166" i="34" a="1"/>
  <c r="GR166" i="34" s="1"/>
  <c r="GR32" i="34" a="1"/>
  <c r="GR32" i="34" s="1"/>
  <c r="GR248" i="34" a="1"/>
  <c r="GR248" i="34" s="1"/>
  <c r="GR104" i="34" a="1"/>
  <c r="GR104" i="34" s="1"/>
  <c r="GR29" i="34" a="1"/>
  <c r="GR29" i="34" s="1"/>
  <c r="GR148" i="34" a="1"/>
  <c r="GR148" i="34" s="1"/>
  <c r="GR175" i="34" a="1"/>
  <c r="GR175" i="34" s="1"/>
  <c r="GR92" i="34" a="1"/>
  <c r="GR92" i="34" s="1"/>
  <c r="GR13" i="34" a="1"/>
  <c r="GR13" i="34" s="1"/>
  <c r="GR225" i="34" a="1"/>
  <c r="GR225" i="34" s="1"/>
  <c r="GR17" i="34" a="1"/>
  <c r="GR17" i="34" s="1"/>
  <c r="GR170" i="34" a="1"/>
  <c r="GR170" i="34" s="1"/>
  <c r="GR214" i="34" a="1"/>
  <c r="GR214" i="34" s="1"/>
  <c r="GR70" i="34" a="1"/>
  <c r="GR70" i="34" s="1"/>
  <c r="GR117" i="34" a="1"/>
  <c r="GR117" i="34" s="1"/>
  <c r="GR152" i="34" a="1"/>
  <c r="GR152" i="34" s="1"/>
  <c r="GR11" i="34" a="1"/>
  <c r="GR11" i="34" s="1"/>
  <c r="GR37" i="34" a="1"/>
  <c r="GR37" i="34" s="1"/>
  <c r="GR239" i="34" a="1"/>
  <c r="GR239" i="34" s="1"/>
  <c r="GR20" i="34" a="1"/>
  <c r="GR20" i="34" s="1"/>
  <c r="GR76" i="34" a="1"/>
  <c r="GR76" i="34" s="1"/>
  <c r="GR241" i="34" a="1"/>
  <c r="GR241" i="34" s="1"/>
  <c r="GR250" i="34" a="1"/>
  <c r="GR250" i="34" s="1"/>
  <c r="GR12" i="34" a="1"/>
  <c r="GR12" i="34" s="1"/>
  <c r="GR144" i="34" a="1"/>
  <c r="GR144" i="34" s="1"/>
  <c r="GR205" i="34" a="1"/>
  <c r="GR205" i="34" s="1"/>
  <c r="GR194" i="34" a="1"/>
  <c r="GR194" i="34" s="1"/>
  <c r="GR208" i="34" a="1"/>
  <c r="GR208" i="34" s="1"/>
  <c r="GR135" i="34" a="1"/>
  <c r="GR135" i="34" s="1"/>
  <c r="GR243" i="34" a="1"/>
  <c r="GR243" i="34" s="1"/>
  <c r="GR202" i="34" a="1"/>
  <c r="GR202" i="34" s="1"/>
  <c r="GR230" i="34" a="1"/>
  <c r="GR230" i="34" s="1"/>
  <c r="GR86" i="34" a="1"/>
  <c r="GR86" i="34" s="1"/>
  <c r="GR67" i="34" a="1"/>
  <c r="GR67" i="34" s="1"/>
  <c r="GR198" i="34" a="1"/>
  <c r="GR198" i="34" s="1"/>
  <c r="GR54" i="34" a="1"/>
  <c r="GR54" i="34" s="1"/>
  <c r="GR125" i="34" a="1"/>
  <c r="GR125" i="34" s="1"/>
  <c r="GR201" i="34" a="1"/>
  <c r="GR201" i="34" s="1"/>
  <c r="GR196" i="34" a="1"/>
  <c r="GR196" i="34" s="1"/>
  <c r="GR52" i="34" a="1"/>
  <c r="GR52" i="34" s="1"/>
  <c r="GR182" i="34" a="1"/>
  <c r="GR182" i="34" s="1"/>
  <c r="GR123" i="34" a="1"/>
  <c r="GR123" i="34" s="1"/>
  <c r="GR46" i="34" a="1"/>
  <c r="GR46" i="34" s="1"/>
  <c r="GR174" i="34" a="1"/>
  <c r="GR174" i="34" s="1"/>
  <c r="GR151" i="34" a="1"/>
  <c r="GR151" i="34" s="1"/>
  <c r="GR138" i="34" a="1"/>
  <c r="GR138" i="34" s="1"/>
  <c r="GR173" i="34" a="1"/>
  <c r="GR173" i="34" s="1"/>
  <c r="GR49" i="34" a="1"/>
  <c r="GR49" i="34" s="1"/>
  <c r="GR244" i="34" a="1"/>
  <c r="GR244" i="34" s="1"/>
  <c r="GR100" i="34" a="1"/>
  <c r="GR100" i="34" s="1"/>
  <c r="GR47" i="34" a="1"/>
  <c r="GR47" i="34" s="1"/>
  <c r="GR35" i="34" a="1"/>
  <c r="GR35" i="34" s="1"/>
  <c r="GR94" i="34" a="1"/>
  <c r="GR94" i="34" s="1"/>
  <c r="GR176" i="34" a="1"/>
  <c r="GR176" i="34" s="1"/>
  <c r="GR14" i="34" a="1"/>
  <c r="GR14" i="34" s="1"/>
  <c r="GR161" i="34" a="1"/>
  <c r="GR161" i="34" s="1"/>
  <c r="GR153" i="34" a="1"/>
  <c r="GR153" i="34" s="1"/>
  <c r="GR26" i="34" a="1"/>
  <c r="GR26" i="34" s="1"/>
  <c r="GR171" i="34" a="1"/>
  <c r="GR171" i="34" s="1"/>
  <c r="GR224" i="34" a="1"/>
  <c r="GR224" i="34" s="1"/>
  <c r="GR80" i="34" a="1"/>
  <c r="GR80" i="34" s="1"/>
  <c r="GR108" i="34" a="1"/>
  <c r="GR108" i="34" s="1"/>
  <c r="GR219" i="34" a="1"/>
  <c r="GR219" i="34" s="1"/>
  <c r="GR75" i="34" a="1"/>
  <c r="GR75" i="34" s="1"/>
  <c r="GR188" i="34" a="1"/>
  <c r="GR188" i="34" s="1"/>
  <c r="GR44" i="34" a="1"/>
  <c r="GR44" i="34" s="1"/>
  <c r="GR115" i="34" a="1"/>
  <c r="GR115" i="34" s="1"/>
  <c r="GR119" i="34" a="1"/>
  <c r="GR119" i="34" s="1"/>
  <c r="GR186" i="34" a="1"/>
  <c r="GR186" i="34" s="1"/>
  <c r="GR42" i="34" a="1"/>
  <c r="GR42" i="34" s="1"/>
  <c r="GR120" i="34" a="1"/>
  <c r="GR120" i="34" s="1"/>
  <c r="GR113" i="34" a="1"/>
  <c r="GR113" i="34" s="1"/>
  <c r="GR233" i="34" a="1"/>
  <c r="GR233" i="34" s="1"/>
  <c r="GR169" i="34" a="1"/>
  <c r="GR169" i="34" s="1"/>
  <c r="GR164" i="34" a="1"/>
  <c r="GR164" i="34" s="1"/>
  <c r="GR99" i="34" a="1"/>
  <c r="GR99" i="34" s="1"/>
  <c r="GR45" i="34" a="1"/>
  <c r="GR45" i="34" s="1"/>
  <c r="GR163" i="34" a="1"/>
  <c r="GR163" i="34" s="1"/>
  <c r="GR254" i="34" a="1"/>
  <c r="GR254" i="34" s="1"/>
  <c r="GR234" i="34" a="1"/>
  <c r="GR234" i="34" s="1"/>
  <c r="GR90" i="34" a="1"/>
  <c r="GR90" i="34" s="1"/>
  <c r="GR242" i="34" a="1"/>
  <c r="GR242" i="34" s="1"/>
  <c r="GR177" i="34" a="1"/>
  <c r="GR177" i="34" s="1"/>
  <c r="GR33" i="34" a="1"/>
  <c r="GR33" i="34" s="1"/>
  <c r="GR238" i="34" a="1"/>
  <c r="GR238" i="34" s="1"/>
  <c r="GR252" i="34" a="1"/>
  <c r="GR252" i="34" s="1"/>
  <c r="GR31" i="34" a="1"/>
  <c r="GR31" i="34" s="1"/>
  <c r="GR247" i="34" a="1"/>
  <c r="GR247" i="34" s="1"/>
  <c r="GR103" i="34" a="1"/>
  <c r="GR103" i="34" s="1"/>
  <c r="GR97" i="34" a="1"/>
  <c r="GR97" i="34" s="1"/>
  <c r="GR142" i="34" a="1"/>
  <c r="GR142" i="34" s="1"/>
  <c r="GR209" i="34" a="1"/>
  <c r="GR209" i="34" s="1"/>
  <c r="GR65" i="34" a="1"/>
  <c r="GR65" i="34" s="1"/>
  <c r="GR189" i="34" a="1"/>
  <c r="GR189" i="34" s="1"/>
  <c r="GR199" i="34" a="1"/>
  <c r="GR199" i="34" s="1"/>
  <c r="GR55" i="34" a="1"/>
  <c r="GR55" i="34" s="1"/>
  <c r="GR107" i="34" a="1"/>
  <c r="GR107" i="34" s="1"/>
  <c r="GR167" i="34" a="1"/>
  <c r="GR167" i="34" s="1"/>
  <c r="GR21" i="34" a="1"/>
  <c r="GR21" i="34" s="1"/>
  <c r="GR228" i="34" a="1"/>
  <c r="GR228" i="34" s="1"/>
  <c r="GR84" i="34" a="1"/>
  <c r="GR84" i="34" s="1"/>
  <c r="GR180" i="34" a="1"/>
  <c r="GR180" i="34" s="1"/>
  <c r="GR165" i="34" a="1"/>
  <c r="GR165" i="34" s="1"/>
  <c r="GR19" i="34" a="1"/>
  <c r="GR19" i="34" s="1"/>
  <c r="GR226" i="34" a="1"/>
  <c r="GR226" i="34" s="1"/>
  <c r="GR82" i="34" a="1"/>
  <c r="GR82" i="34" s="1"/>
  <c r="GR130" i="34" a="1"/>
  <c r="GR130" i="34" s="1"/>
  <c r="GR143" i="34" a="1"/>
  <c r="GR143" i="34" s="1"/>
  <c r="GR212" i="34" a="1"/>
  <c r="GR212" i="34" s="1"/>
  <c r="GR132" i="34" a="1"/>
  <c r="GR132" i="34" s="1"/>
  <c r="GR79" i="34" a="1"/>
  <c r="GR79" i="34" s="1"/>
  <c r="GR213" i="34" a="1"/>
  <c r="GR213" i="34" s="1"/>
  <c r="GR69" i="34" a="1"/>
  <c r="GR69" i="34" s="1"/>
  <c r="GR36" i="34" a="1"/>
  <c r="GR36" i="34" s="1"/>
  <c r="GR10" i="41" a="1"/>
  <c r="GR10" i="41" s="1"/>
  <c r="GR9" i="41" a="1"/>
  <c r="GR9" i="41" s="1"/>
  <c r="GR11" i="41" a="1"/>
  <c r="GR11" i="41" s="1"/>
  <c r="GR12" i="41" a="1"/>
  <c r="GR12" i="41" s="1"/>
  <c r="GR13" i="41" a="1"/>
  <c r="GR13" i="41" s="1"/>
  <c r="HC249" i="34" a="1"/>
  <c r="HC249" i="34" s="1"/>
  <c r="HC237" i="34" a="1"/>
  <c r="HC237" i="34" s="1"/>
  <c r="HC225" i="34" a="1"/>
  <c r="HC225" i="34" s="1"/>
  <c r="HC248" i="34" a="1"/>
  <c r="HC248" i="34" s="1"/>
  <c r="HC236" i="34" a="1"/>
  <c r="HC236" i="34" s="1"/>
  <c r="HC224" i="34" a="1"/>
  <c r="HC224" i="34" s="1"/>
  <c r="HC212" i="34" a="1"/>
  <c r="HC212" i="34" s="1"/>
  <c r="HC200" i="34" a="1"/>
  <c r="HC200" i="34" s="1"/>
  <c r="HC188" i="34" a="1"/>
  <c r="HC188" i="34" s="1"/>
  <c r="HC176" i="34" a="1"/>
  <c r="HC176" i="34" s="1"/>
  <c r="HC164" i="34" a="1"/>
  <c r="HC164" i="34" s="1"/>
  <c r="HC152" i="34" a="1"/>
  <c r="HC152" i="34" s="1"/>
  <c r="HC140" i="34" a="1"/>
  <c r="HC140" i="34" s="1"/>
  <c r="HC128" i="34" a="1"/>
  <c r="HC128" i="34" s="1"/>
  <c r="HC116" i="34" a="1"/>
  <c r="HC116" i="34" s="1"/>
  <c r="HC104" i="34" a="1"/>
  <c r="HC104" i="34" s="1"/>
  <c r="HC92" i="34" a="1"/>
  <c r="HC92" i="34" s="1"/>
  <c r="HC80" i="34" a="1"/>
  <c r="HC80" i="34" s="1"/>
  <c r="HC68" i="34" a="1"/>
  <c r="HC68" i="34" s="1"/>
  <c r="HC56" i="34" a="1"/>
  <c r="HC56" i="34" s="1"/>
  <c r="HC44" i="34" a="1"/>
  <c r="HC44" i="34" s="1"/>
  <c r="HC32" i="34" a="1"/>
  <c r="HC32" i="34" s="1"/>
  <c r="HC20" i="34" a="1"/>
  <c r="HC20" i="34" s="1"/>
  <c r="HC8" i="34" a="1"/>
  <c r="HC8" i="34" s="1"/>
  <c r="HC151" i="34" a="1"/>
  <c r="HC151" i="34" s="1"/>
  <c r="HC139" i="34" a="1"/>
  <c r="HC139" i="34" s="1"/>
  <c r="HC127" i="34" a="1"/>
  <c r="HC127" i="34" s="1"/>
  <c r="HC115" i="34" a="1"/>
  <c r="HC115" i="34" s="1"/>
  <c r="HC103" i="34" a="1"/>
  <c r="HC103" i="34" s="1"/>
  <c r="HC91" i="34" a="1"/>
  <c r="HC91" i="34" s="1"/>
  <c r="HC79" i="34" a="1"/>
  <c r="HC79" i="34" s="1"/>
  <c r="HC67" i="34" a="1"/>
  <c r="HC67" i="34" s="1"/>
  <c r="HC55" i="34" a="1"/>
  <c r="HC55" i="34" s="1"/>
  <c r="HC43" i="34" a="1"/>
  <c r="HC43" i="34" s="1"/>
  <c r="HC31" i="34" a="1"/>
  <c r="HC31" i="34" s="1"/>
  <c r="HC19" i="34" a="1"/>
  <c r="HC19" i="34" s="1"/>
  <c r="HC247" i="34" a="1"/>
  <c r="HC247" i="34" s="1"/>
  <c r="HC235" i="34" a="1"/>
  <c r="HC235" i="34" s="1"/>
  <c r="HC223" i="34" a="1"/>
  <c r="HC223" i="34" s="1"/>
  <c r="HC211" i="34" a="1"/>
  <c r="HC211" i="34" s="1"/>
  <c r="HC199" i="34" a="1"/>
  <c r="HC199" i="34" s="1"/>
  <c r="HC187" i="34" a="1"/>
  <c r="HC187" i="34" s="1"/>
  <c r="HC175" i="34" a="1"/>
  <c r="HC175" i="34" s="1"/>
  <c r="HC163" i="34" a="1"/>
  <c r="HC163" i="34" s="1"/>
  <c r="HC246" i="34" a="1"/>
  <c r="HC246" i="34" s="1"/>
  <c r="HC234" i="34" a="1"/>
  <c r="HC234" i="34" s="1"/>
  <c r="HC222" i="34" a="1"/>
  <c r="HC222" i="34" s="1"/>
  <c r="HC210" i="34" a="1"/>
  <c r="HC210" i="34" s="1"/>
  <c r="HC198" i="34" a="1"/>
  <c r="HC198" i="34" s="1"/>
  <c r="HC186" i="34" a="1"/>
  <c r="HC186" i="34" s="1"/>
  <c r="HC174" i="34" a="1"/>
  <c r="HC174" i="34" s="1"/>
  <c r="HC162" i="34" a="1"/>
  <c r="HC162" i="34" s="1"/>
  <c r="HC150" i="34" a="1"/>
  <c r="HC150" i="34" s="1"/>
  <c r="HC138" i="34" a="1"/>
  <c r="HC138" i="34" s="1"/>
  <c r="HC126" i="34" a="1"/>
  <c r="HC126" i="34" s="1"/>
  <c r="HC114" i="34" a="1"/>
  <c r="HC114" i="34" s="1"/>
  <c r="HC102" i="34" a="1"/>
  <c r="HC102" i="34" s="1"/>
  <c r="HC90" i="34" a="1"/>
  <c r="HC90" i="34" s="1"/>
  <c r="HC78" i="34" a="1"/>
  <c r="HC78" i="34" s="1"/>
  <c r="HC66" i="34" a="1"/>
  <c r="HC66" i="34" s="1"/>
  <c r="HC54" i="34" a="1"/>
  <c r="HC54" i="34" s="1"/>
  <c r="HC42" i="34" a="1"/>
  <c r="HC42" i="34" s="1"/>
  <c r="HC30" i="34" a="1"/>
  <c r="HC30" i="34" s="1"/>
  <c r="HC18" i="34" a="1"/>
  <c r="HC18" i="34" s="1"/>
  <c r="HC29" i="34" a="1"/>
  <c r="HC29" i="34" s="1"/>
  <c r="HC17" i="34" a="1"/>
  <c r="HC17" i="34" s="1"/>
  <c r="HC245" i="34" a="1"/>
  <c r="HC245" i="34" s="1"/>
  <c r="HC233" i="34" a="1"/>
  <c r="HC233" i="34" s="1"/>
  <c r="HC221" i="34" a="1"/>
  <c r="HC221" i="34" s="1"/>
  <c r="HC209" i="34" a="1"/>
  <c r="HC209" i="34" s="1"/>
  <c r="HC197" i="34" a="1"/>
  <c r="HC197" i="34" s="1"/>
  <c r="HC185" i="34" a="1"/>
  <c r="HC185" i="34" s="1"/>
  <c r="HC173" i="34" a="1"/>
  <c r="HC173" i="34" s="1"/>
  <c r="HC161" i="34" a="1"/>
  <c r="HC161" i="34" s="1"/>
  <c r="HC149" i="34" a="1"/>
  <c r="HC149" i="34" s="1"/>
  <c r="HC137" i="34" a="1"/>
  <c r="HC137" i="34" s="1"/>
  <c r="HC125" i="34" a="1"/>
  <c r="HC125" i="34" s="1"/>
  <c r="HC113" i="34" a="1"/>
  <c r="HC113" i="34" s="1"/>
  <c r="HC101" i="34" a="1"/>
  <c r="HC101" i="34" s="1"/>
  <c r="HC89" i="34" a="1"/>
  <c r="HC89" i="34" s="1"/>
  <c r="HC77" i="34" a="1"/>
  <c r="HC77" i="34" s="1"/>
  <c r="HC65" i="34" a="1"/>
  <c r="HC65" i="34" s="1"/>
  <c r="HC53" i="34" a="1"/>
  <c r="HC53" i="34" s="1"/>
  <c r="HC41" i="34" a="1"/>
  <c r="HC41" i="34" s="1"/>
  <c r="HC52" i="34" a="1"/>
  <c r="HC52" i="34" s="1"/>
  <c r="HC244" i="34" a="1"/>
  <c r="HC244" i="34" s="1"/>
  <c r="HC232" i="34" a="1"/>
  <c r="HC232" i="34" s="1"/>
  <c r="HC220" i="34" a="1"/>
  <c r="HC220" i="34" s="1"/>
  <c r="HC208" i="34" a="1"/>
  <c r="HC208" i="34" s="1"/>
  <c r="HC196" i="34" a="1"/>
  <c r="HC196" i="34" s="1"/>
  <c r="HC184" i="34" a="1"/>
  <c r="HC184" i="34" s="1"/>
  <c r="HC172" i="34" a="1"/>
  <c r="HC172" i="34" s="1"/>
  <c r="HC160" i="34" a="1"/>
  <c r="HC160" i="34" s="1"/>
  <c r="HC148" i="34" a="1"/>
  <c r="HC148" i="34" s="1"/>
  <c r="HC136" i="34" a="1"/>
  <c r="HC136" i="34" s="1"/>
  <c r="HC124" i="34" a="1"/>
  <c r="HC124" i="34" s="1"/>
  <c r="HC112" i="34" a="1"/>
  <c r="HC112" i="34" s="1"/>
  <c r="HC100" i="34" a="1"/>
  <c r="HC100" i="34" s="1"/>
  <c r="HC88" i="34" a="1"/>
  <c r="HC88" i="34" s="1"/>
  <c r="HC76" i="34" a="1"/>
  <c r="HC76" i="34" s="1"/>
  <c r="HC64" i="34" a="1"/>
  <c r="HC64" i="34" s="1"/>
  <c r="HC40" i="34" a="1"/>
  <c r="HC40" i="34" s="1"/>
  <c r="HC255" i="34" a="1"/>
  <c r="HC255" i="34" s="1"/>
  <c r="HC243" i="34" a="1"/>
  <c r="HC243" i="34" s="1"/>
  <c r="HC231" i="34" a="1"/>
  <c r="HC231" i="34" s="1"/>
  <c r="HC219" i="34" a="1"/>
  <c r="HC219" i="34" s="1"/>
  <c r="HC207" i="34" a="1"/>
  <c r="HC207" i="34" s="1"/>
  <c r="HC195" i="34" a="1"/>
  <c r="HC195" i="34" s="1"/>
  <c r="HC254" i="34" a="1"/>
  <c r="HC254" i="34" s="1"/>
  <c r="HC242" i="34" a="1"/>
  <c r="HC242" i="34" s="1"/>
  <c r="HC230" i="34" a="1"/>
  <c r="HC230" i="34" s="1"/>
  <c r="HC218" i="34" a="1"/>
  <c r="HC218" i="34" s="1"/>
  <c r="HC206" i="34" a="1"/>
  <c r="HC206" i="34" s="1"/>
  <c r="HC194" i="34" a="1"/>
  <c r="HC194" i="34" s="1"/>
  <c r="HC182" i="34" a="1"/>
  <c r="HC182" i="34" s="1"/>
  <c r="HC170" i="34" a="1"/>
  <c r="HC170" i="34" s="1"/>
  <c r="HC158" i="34" a="1"/>
  <c r="HC158" i="34" s="1"/>
  <c r="HC146" i="34" a="1"/>
  <c r="HC146" i="34" s="1"/>
  <c r="HC134" i="34" a="1"/>
  <c r="HC134" i="34" s="1"/>
  <c r="HC122" i="34" a="1"/>
  <c r="HC122" i="34" s="1"/>
  <c r="HC253" i="34" a="1"/>
  <c r="HC253" i="34" s="1"/>
  <c r="HC241" i="34" a="1"/>
  <c r="HC241" i="34" s="1"/>
  <c r="HC229" i="34" a="1"/>
  <c r="HC229" i="34" s="1"/>
  <c r="HC217" i="34" a="1"/>
  <c r="HC217" i="34" s="1"/>
  <c r="HC205" i="34" a="1"/>
  <c r="HC205" i="34" s="1"/>
  <c r="HC193" i="34" a="1"/>
  <c r="HC193" i="34" s="1"/>
  <c r="HC181" i="34" a="1"/>
  <c r="HC181" i="34" s="1"/>
  <c r="HC169" i="34" a="1"/>
  <c r="HC169" i="34" s="1"/>
  <c r="HC157" i="34" a="1"/>
  <c r="HC157" i="34" s="1"/>
  <c r="HC145" i="34" a="1"/>
  <c r="HC145" i="34" s="1"/>
  <c r="HC251" i="34" a="1"/>
  <c r="HC251" i="34" s="1"/>
  <c r="HC239" i="34" a="1"/>
  <c r="HC239" i="34" s="1"/>
  <c r="HC227" i="34" a="1"/>
  <c r="HC227" i="34" s="1"/>
  <c r="HC215" i="34" a="1"/>
  <c r="HC215" i="34" s="1"/>
  <c r="HC203" i="34" a="1"/>
  <c r="HC203" i="34" s="1"/>
  <c r="HC191" i="34" a="1"/>
  <c r="HC191" i="34" s="1"/>
  <c r="HC179" i="34" a="1"/>
  <c r="HC179" i="34" s="1"/>
  <c r="HC167" i="34" a="1"/>
  <c r="HC167" i="34" s="1"/>
  <c r="HC155" i="34" a="1"/>
  <c r="HC155" i="34" s="1"/>
  <c r="HC143" i="34" a="1"/>
  <c r="HC143" i="34" s="1"/>
  <c r="HC131" i="34" a="1"/>
  <c r="HC131" i="34" s="1"/>
  <c r="HC119" i="34" a="1"/>
  <c r="HC119" i="34" s="1"/>
  <c r="HC107" i="34" a="1"/>
  <c r="HC107" i="34" s="1"/>
  <c r="HC95" i="34" a="1"/>
  <c r="HC95" i="34" s="1"/>
  <c r="HC83" i="34" a="1"/>
  <c r="HC83" i="34" s="1"/>
  <c r="HC71" i="34" a="1"/>
  <c r="HC71" i="34" s="1"/>
  <c r="HC59" i="34" a="1"/>
  <c r="HC59" i="34" s="1"/>
  <c r="HC47" i="34" a="1"/>
  <c r="HC47" i="34" s="1"/>
  <c r="HC35" i="34" a="1"/>
  <c r="HC35" i="34" s="1"/>
  <c r="HC23" i="34" a="1"/>
  <c r="HC23" i="34" s="1"/>
  <c r="HC11" i="34" a="1"/>
  <c r="HC11" i="34" s="1"/>
  <c r="HC70" i="34" a="1"/>
  <c r="HC70" i="34" s="1"/>
  <c r="HC46" i="34" a="1"/>
  <c r="HC46" i="34" s="1"/>
  <c r="HC22" i="34" a="1"/>
  <c r="HC22" i="34" s="1"/>
  <c r="HC201" i="34" a="1"/>
  <c r="HC201" i="34" s="1"/>
  <c r="HC177" i="34" a="1"/>
  <c r="HC177" i="34" s="1"/>
  <c r="HC165" i="34" a="1"/>
  <c r="HC165" i="34" s="1"/>
  <c r="HC141" i="34" a="1"/>
  <c r="HC141" i="34" s="1"/>
  <c r="HC250" i="34" a="1"/>
  <c r="HC250" i="34" s="1"/>
  <c r="HC238" i="34" a="1"/>
  <c r="HC238" i="34" s="1"/>
  <c r="HC226" i="34" a="1"/>
  <c r="HC226" i="34" s="1"/>
  <c r="HC214" i="34" a="1"/>
  <c r="HC214" i="34" s="1"/>
  <c r="HC202" i="34" a="1"/>
  <c r="HC202" i="34" s="1"/>
  <c r="HC190" i="34" a="1"/>
  <c r="HC190" i="34" s="1"/>
  <c r="HC178" i="34" a="1"/>
  <c r="HC178" i="34" s="1"/>
  <c r="HC166" i="34" a="1"/>
  <c r="HC166" i="34" s="1"/>
  <c r="HC154" i="34" a="1"/>
  <c r="HC154" i="34" s="1"/>
  <c r="HC142" i="34" a="1"/>
  <c r="HC142" i="34" s="1"/>
  <c r="HC130" i="34" a="1"/>
  <c r="HC130" i="34" s="1"/>
  <c r="HC118" i="34" a="1"/>
  <c r="HC118" i="34" s="1"/>
  <c r="HC106" i="34" a="1"/>
  <c r="HC106" i="34" s="1"/>
  <c r="HC94" i="34" a="1"/>
  <c r="HC94" i="34" s="1"/>
  <c r="HC82" i="34" a="1"/>
  <c r="HC82" i="34" s="1"/>
  <c r="HC58" i="34" a="1"/>
  <c r="HC58" i="34" s="1"/>
  <c r="HC34" i="34" a="1"/>
  <c r="HC34" i="34" s="1"/>
  <c r="HC10" i="34" a="1"/>
  <c r="HC10" i="34" s="1"/>
  <c r="HC213" i="34" a="1"/>
  <c r="HC213" i="34" s="1"/>
  <c r="HC189" i="34" a="1"/>
  <c r="HC189" i="34" s="1"/>
  <c r="HC153" i="34" a="1"/>
  <c r="HC153" i="34" s="1"/>
  <c r="HC129" i="34" a="1"/>
  <c r="HC129" i="34" s="1"/>
  <c r="HC216" i="34" a="1"/>
  <c r="HC216" i="34" s="1"/>
  <c r="HC133" i="34" a="1"/>
  <c r="HC133" i="34" s="1"/>
  <c r="HC98" i="34" a="1"/>
  <c r="HC98" i="34" s="1"/>
  <c r="HC72" i="34" a="1"/>
  <c r="HC72" i="34" s="1"/>
  <c r="HC39" i="34" a="1"/>
  <c r="HC39" i="34" s="1"/>
  <c r="HC15" i="34" a="1"/>
  <c r="HC15" i="34" s="1"/>
  <c r="HC14" i="34" a="1"/>
  <c r="HC14" i="34" s="1"/>
  <c r="HC62" i="34" a="1"/>
  <c r="HC62" i="34" s="1"/>
  <c r="HC180" i="34" a="1"/>
  <c r="HC180" i="34" s="1"/>
  <c r="HC33" i="34" a="1"/>
  <c r="HC33" i="34" s="1"/>
  <c r="HC117" i="34" a="1"/>
  <c r="HC117" i="34" s="1"/>
  <c r="HC28" i="34" a="1"/>
  <c r="HC28" i="34" s="1"/>
  <c r="HC75" i="34" a="1"/>
  <c r="HC75" i="34" s="1"/>
  <c r="HC204" i="34" a="1"/>
  <c r="HC204" i="34" s="1"/>
  <c r="HC132" i="34" a="1"/>
  <c r="HC132" i="34" s="1"/>
  <c r="HC97" i="34" a="1"/>
  <c r="HC97" i="34" s="1"/>
  <c r="HC69" i="34" a="1"/>
  <c r="HC69" i="34" s="1"/>
  <c r="HC38" i="34" a="1"/>
  <c r="HC38" i="34" s="1"/>
  <c r="HC36" i="34" a="1"/>
  <c r="HC36" i="34" s="1"/>
  <c r="HC87" i="34" a="1"/>
  <c r="HC87" i="34" s="1"/>
  <c r="HC9" i="34" a="1"/>
  <c r="HC9" i="34" s="1"/>
  <c r="HC86" i="34" a="1"/>
  <c r="HC86" i="34" s="1"/>
  <c r="HC49" i="34" a="1"/>
  <c r="HC49" i="34" s="1"/>
  <c r="HC192" i="34" a="1"/>
  <c r="HC192" i="34" s="1"/>
  <c r="HC123" i="34" a="1"/>
  <c r="HC123" i="34" s="1"/>
  <c r="HC96" i="34" a="1"/>
  <c r="HC96" i="34" s="1"/>
  <c r="HC63" i="34" a="1"/>
  <c r="HC63" i="34" s="1"/>
  <c r="HC37" i="34" a="1"/>
  <c r="HC37" i="34" s="1"/>
  <c r="HC13" i="34" a="1"/>
  <c r="HC13" i="34" s="1"/>
  <c r="HC120" i="34" a="1"/>
  <c r="HC120" i="34" s="1"/>
  <c r="HC60" i="34" a="1"/>
  <c r="HC60" i="34" s="1"/>
  <c r="HC147" i="34" a="1"/>
  <c r="HC147" i="34" s="1"/>
  <c r="HC183" i="34" a="1"/>
  <c r="HC183" i="34" s="1"/>
  <c r="HC121" i="34" a="1"/>
  <c r="HC121" i="34" s="1"/>
  <c r="HC93" i="34" a="1"/>
  <c r="HC93" i="34" s="1"/>
  <c r="HC12" i="34" a="1"/>
  <c r="HC12" i="34" s="1"/>
  <c r="HC61" i="34" a="1"/>
  <c r="HC61" i="34" s="1"/>
  <c r="HC171" i="34" a="1"/>
  <c r="HC171" i="34" s="1"/>
  <c r="HC252" i="34" a="1"/>
  <c r="HC252" i="34" s="1"/>
  <c r="HC168" i="34" a="1"/>
  <c r="HC168" i="34" s="1"/>
  <c r="HC111" i="34" a="1"/>
  <c r="HC111" i="34" s="1"/>
  <c r="HC85" i="34" a="1"/>
  <c r="HC85" i="34" s="1"/>
  <c r="HC57" i="34" a="1"/>
  <c r="HC57" i="34" s="1"/>
  <c r="HC27" i="34" a="1"/>
  <c r="HC27" i="34" s="1"/>
  <c r="HC81" i="34" a="1"/>
  <c r="HC81" i="34" s="1"/>
  <c r="HC25" i="34" a="1"/>
  <c r="HC25" i="34" s="1"/>
  <c r="HC159" i="34" a="1"/>
  <c r="HC159" i="34" s="1"/>
  <c r="HC110" i="34" a="1"/>
  <c r="HC110" i="34" s="1"/>
  <c r="HC84" i="34" a="1"/>
  <c r="HC84" i="34" s="1"/>
  <c r="HC51" i="34" a="1"/>
  <c r="HC51" i="34" s="1"/>
  <c r="HC26" i="34" a="1"/>
  <c r="HC26" i="34" s="1"/>
  <c r="HC156" i="34" a="1"/>
  <c r="HC156" i="34" s="1"/>
  <c r="HC109" i="34" a="1"/>
  <c r="HC109" i="34" s="1"/>
  <c r="HC50" i="34" a="1"/>
  <c r="HC50" i="34" s="1"/>
  <c r="HC24" i="34" a="1"/>
  <c r="HC24" i="34" s="1"/>
  <c r="HC240" i="34" a="1"/>
  <c r="HC240" i="34" s="1"/>
  <c r="HC144" i="34" a="1"/>
  <c r="HC144" i="34" s="1"/>
  <c r="HC105" i="34" a="1"/>
  <c r="HC105" i="34" s="1"/>
  <c r="HC74" i="34" a="1"/>
  <c r="HC74" i="34" s="1"/>
  <c r="HC48" i="34" a="1"/>
  <c r="HC48" i="34" s="1"/>
  <c r="HC21" i="34" a="1"/>
  <c r="HC21" i="34" s="1"/>
  <c r="HC45" i="34" a="1"/>
  <c r="HC45" i="34" s="1"/>
  <c r="HC16" i="34" a="1"/>
  <c r="HC16" i="34" s="1"/>
  <c r="HC108" i="34" a="1"/>
  <c r="HC108" i="34" s="1"/>
  <c r="HC228" i="34" a="1"/>
  <c r="HC228" i="34" s="1"/>
  <c r="HC135" i="34" a="1"/>
  <c r="HC135" i="34" s="1"/>
  <c r="HC99" i="34" a="1"/>
  <c r="HC99" i="34" s="1"/>
  <c r="HC73" i="34" a="1"/>
  <c r="HC73" i="34" s="1"/>
  <c r="FY178" i="34"/>
  <c r="HF255" i="34"/>
  <c r="HF251" i="34"/>
  <c r="HF254" i="34"/>
  <c r="HF253" i="34"/>
  <c r="HF252" i="34"/>
  <c r="FY251" i="34"/>
  <c r="FY254" i="34"/>
  <c r="HE254" i="34"/>
  <c r="HH254" i="34" s="1"/>
  <c r="HE255" i="34"/>
  <c r="HH255" i="34" s="1"/>
  <c r="FY253" i="34"/>
  <c r="HE251" i="34"/>
  <c r="HH251" i="34" s="1"/>
  <c r="FY255" i="34"/>
  <c r="HE253" i="34"/>
  <c r="HH253" i="34" s="1"/>
  <c r="HE252" i="34"/>
  <c r="HH252" i="34" s="1"/>
  <c r="FY252" i="34"/>
  <c r="HI254" i="34"/>
  <c r="HI253" i="34"/>
  <c r="HI251" i="34"/>
  <c r="HI252" i="34"/>
  <c r="HI255" i="34"/>
  <c r="GV252" i="34" a="1"/>
  <c r="GV252" i="34" s="1"/>
  <c r="GU253" i="34" a="1"/>
  <c r="GU253" i="34" s="1"/>
  <c r="GV251" i="34" a="1"/>
  <c r="GV251" i="34" s="1"/>
  <c r="GU252" i="34" a="1"/>
  <c r="GU252" i="34" s="1"/>
  <c r="GU254" i="34" a="1"/>
  <c r="GU254" i="34" s="1"/>
  <c r="GZ255" i="34" a="1"/>
  <c r="GZ255" i="34" s="1"/>
  <c r="GY255" i="34" a="1"/>
  <c r="GY255" i="34" s="1"/>
  <c r="GX252" i="34" a="1"/>
  <c r="GX252" i="34" s="1"/>
  <c r="GX253" i="34" a="1"/>
  <c r="GX253" i="34" s="1"/>
  <c r="GU251" i="34" a="1"/>
  <c r="GU251" i="34" s="1"/>
  <c r="GX251" i="34" a="1"/>
  <c r="GX251" i="34" s="1"/>
  <c r="GY253" i="34" a="1"/>
  <c r="GY253" i="34" s="1"/>
  <c r="GW254" i="34" a="1"/>
  <c r="GW254" i="34" s="1"/>
  <c r="GX255" i="34" a="1"/>
  <c r="GX255" i="34" s="1"/>
  <c r="GZ252" i="34" a="1"/>
  <c r="GZ252" i="34" s="1"/>
  <c r="GX254" i="34" a="1"/>
  <c r="GX254" i="34" s="1"/>
  <c r="GZ254" i="34" a="1"/>
  <c r="GZ254" i="34" s="1"/>
  <c r="GZ251" i="34" a="1"/>
  <c r="GZ251" i="34" s="1"/>
  <c r="GU255" i="34" a="1"/>
  <c r="GU255" i="34" s="1"/>
  <c r="GW255" i="34" a="1"/>
  <c r="GW255" i="34" s="1"/>
  <c r="GW252" i="34" a="1"/>
  <c r="GW252" i="34" s="1"/>
  <c r="GW251" i="34" a="1"/>
  <c r="GW251" i="34" s="1"/>
  <c r="GV255" i="34" a="1"/>
  <c r="GV255" i="34" s="1"/>
  <c r="GV253" i="34" a="1"/>
  <c r="GV253" i="34" s="1"/>
  <c r="GV254" i="34" a="1"/>
  <c r="GV254" i="34" s="1"/>
  <c r="GZ253" i="34" a="1"/>
  <c r="GZ253" i="34" s="1"/>
  <c r="GY251" i="34" a="1"/>
  <c r="GY251" i="34" s="1"/>
  <c r="GY254" i="34" a="1"/>
  <c r="GY254" i="34" s="1"/>
  <c r="GW253" i="34" a="1"/>
  <c r="GW253" i="34" s="1"/>
  <c r="GY252" i="34" a="1"/>
  <c r="GY252" i="34" s="1"/>
  <c r="GT252" i="34" a="1"/>
  <c r="GT252" i="34" s="1"/>
  <c r="GT254" i="34" a="1"/>
  <c r="GT254" i="34" s="1"/>
  <c r="GT255" i="34" a="1"/>
  <c r="GT255" i="34" s="1"/>
  <c r="GT253" i="34" a="1"/>
  <c r="GT253" i="34" s="1"/>
  <c r="GT251" i="34" a="1"/>
  <c r="GT251" i="34" s="1"/>
  <c r="FY25" i="42"/>
  <c r="FY34" i="42"/>
  <c r="FY8" i="41"/>
  <c r="FY13" i="41"/>
  <c r="FY27" i="42"/>
  <c r="FY21" i="42"/>
  <c r="FY33" i="42"/>
  <c r="FY14" i="42"/>
  <c r="FY8" i="42"/>
  <c r="FY12" i="42"/>
  <c r="FY31" i="42"/>
  <c r="FY17" i="42"/>
  <c r="GT139" i="34" a="1"/>
  <c r="GT139" i="34" s="1"/>
  <c r="GU180" i="34" a="1"/>
  <c r="GU180" i="34" s="1"/>
  <c r="GU63" i="34" a="1"/>
  <c r="GU63" i="34" s="1"/>
  <c r="GT109" i="34" a="1"/>
  <c r="GT109" i="34" s="1"/>
  <c r="GY24" i="34" a="1"/>
  <c r="GY24" i="34" s="1"/>
  <c r="HI57" i="34"/>
  <c r="HE240" i="34"/>
  <c r="HH240" i="34" s="1"/>
  <c r="GT169" i="34" a="1"/>
  <c r="GT169" i="34" s="1"/>
  <c r="GT131" i="34" a="1"/>
  <c r="GT131" i="34" s="1"/>
  <c r="GX234" i="34" a="1"/>
  <c r="GX234" i="34" s="1"/>
  <c r="GY65" i="34" a="1"/>
  <c r="GY65" i="34" s="1"/>
  <c r="GU34" i="34" a="1"/>
  <c r="GU34" i="34" s="1"/>
  <c r="GX136" i="34" a="1"/>
  <c r="GX136" i="34" s="1"/>
  <c r="GW247" i="34" a="1"/>
  <c r="GW247" i="34" s="1"/>
  <c r="GV138" i="34" a="1"/>
  <c r="GV138" i="34" s="1"/>
  <c r="GY237" i="34" a="1"/>
  <c r="GY237" i="34" s="1"/>
  <c r="GV86" i="34" a="1"/>
  <c r="GV86" i="34" s="1"/>
  <c r="GU204" i="34" a="1"/>
  <c r="GU204" i="34" s="1"/>
  <c r="GV66" i="34" a="1"/>
  <c r="GV66" i="34" s="1"/>
  <c r="HI221" i="34"/>
  <c r="HI179" i="34"/>
  <c r="GT226" i="34" a="1"/>
  <c r="GT226" i="34" s="1"/>
  <c r="GW115" i="34" a="1"/>
  <c r="GW115" i="34" s="1"/>
  <c r="GY136" i="34" a="1"/>
  <c r="GY136" i="34" s="1"/>
  <c r="GV205" i="34" a="1"/>
  <c r="GV205" i="34" s="1"/>
  <c r="GT243" i="34" a="1"/>
  <c r="GT243" i="34" s="1"/>
  <c r="HI152" i="34"/>
  <c r="GY73" i="34" a="1"/>
  <c r="GY73" i="34" s="1"/>
  <c r="GW230" i="34" a="1"/>
  <c r="GW230" i="34" s="1"/>
  <c r="HF189" i="34"/>
  <c r="GU225" i="34" a="1"/>
  <c r="GU225" i="34" s="1"/>
  <c r="GV16" i="34" a="1"/>
  <c r="GV16" i="34" s="1"/>
  <c r="GT12" i="34" a="1"/>
  <c r="GT12" i="34" s="1"/>
  <c r="GV62" i="34" a="1"/>
  <c r="GV62" i="34" s="1"/>
  <c r="GY31" i="34" a="1"/>
  <c r="GY31" i="34" s="1"/>
  <c r="GZ39" i="34" a="1"/>
  <c r="GZ39" i="34" s="1"/>
  <c r="GZ22" i="34" a="1"/>
  <c r="GZ22" i="34" s="1"/>
  <c r="GV214" i="34" a="1"/>
  <c r="GV214" i="34" s="1"/>
  <c r="GU214" i="34" a="1"/>
  <c r="GU214" i="34" s="1"/>
  <c r="HF98" i="34"/>
  <c r="HE36" i="34"/>
  <c r="GT195" i="34" a="1"/>
  <c r="GT195" i="34" s="1"/>
  <c r="GU121" i="34" a="1"/>
  <c r="GU121" i="34" s="1"/>
  <c r="GY225" i="34" a="1"/>
  <c r="GY225" i="34" s="1"/>
  <c r="GU112" i="34" a="1"/>
  <c r="GU112" i="34" s="1"/>
  <c r="GZ195" i="34" a="1"/>
  <c r="GZ195" i="34" s="1"/>
  <c r="GY125" i="34" a="1"/>
  <c r="GY125" i="34" s="1"/>
  <c r="GZ230" i="34" a="1"/>
  <c r="GZ230" i="34" s="1"/>
  <c r="HI65" i="34"/>
  <c r="GT51" i="34" a="1"/>
  <c r="GT51" i="34" s="1"/>
  <c r="GZ145" i="34" a="1"/>
  <c r="GZ145" i="34" s="1"/>
  <c r="GY80" i="34" a="1"/>
  <c r="GY80" i="34" s="1"/>
  <c r="GU47" i="34" a="1"/>
  <c r="GU47" i="34" s="1"/>
  <c r="GX17" i="34" a="1"/>
  <c r="GX17" i="34" s="1"/>
  <c r="GY171" i="34" a="1"/>
  <c r="GY171" i="34" s="1"/>
  <c r="HE23" i="34"/>
  <c r="GW164" i="34" a="1"/>
  <c r="GW164" i="34" s="1"/>
  <c r="GZ225" i="34" a="1"/>
  <c r="GZ225" i="34" s="1"/>
  <c r="GT124" i="34" a="1"/>
  <c r="GT124" i="34" s="1"/>
  <c r="HE47" i="34"/>
  <c r="HH47" i="34" s="1"/>
  <c r="GZ227" i="34" a="1"/>
  <c r="GZ227" i="34" s="1"/>
  <c r="GY153" i="34" a="1"/>
  <c r="GY153" i="34" s="1"/>
  <c r="GU222" i="34" a="1"/>
  <c r="GU222" i="34" s="1"/>
  <c r="HI247" i="34"/>
  <c r="HE27" i="34"/>
  <c r="HH27" i="34" s="1"/>
  <c r="FY30" i="34"/>
  <c r="GT182" i="34" a="1"/>
  <c r="GT182" i="34" s="1"/>
  <c r="GX62" i="34" a="1"/>
  <c r="GX62" i="34" s="1"/>
  <c r="GX24" i="34" a="1"/>
  <c r="GX24" i="34" s="1"/>
  <c r="GY27" i="34" a="1"/>
  <c r="GY27" i="34" s="1"/>
  <c r="GY243" i="34" a="1"/>
  <c r="GY243" i="34" s="1"/>
  <c r="GY199" i="34" a="1"/>
  <c r="GY199" i="34" s="1"/>
  <c r="GZ44" i="34" a="1"/>
  <c r="GZ44" i="34" s="1"/>
  <c r="HF59" i="34"/>
  <c r="GT164" i="34" a="1"/>
  <c r="GT164" i="34" s="1"/>
  <c r="GY218" i="34" a="1"/>
  <c r="GY218" i="34" s="1"/>
  <c r="HI122" i="34"/>
  <c r="GX20" i="34" a="1"/>
  <c r="GX20" i="34" s="1"/>
  <c r="GZ19" i="34" a="1"/>
  <c r="GZ19" i="34" s="1"/>
  <c r="GT69" i="34" a="1"/>
  <c r="GT69" i="34" s="1"/>
  <c r="GX41" i="34" a="1"/>
  <c r="GX41" i="34" s="1"/>
  <c r="FY47" i="34"/>
  <c r="HF212" i="34"/>
  <c r="B8" i="42"/>
  <c r="H19" i="43" s="1"/>
  <c r="H39" i="43" s="1"/>
  <c r="H59" i="43" s="1"/>
  <c r="GU51" i="34" a="1"/>
  <c r="GU51" i="34" s="1"/>
  <c r="HI237" i="34"/>
  <c r="HF21" i="34"/>
  <c r="HF48" i="34"/>
  <c r="GT49" i="34" a="1"/>
  <c r="GT49" i="34" s="1"/>
  <c r="GX217" i="34" a="1"/>
  <c r="GX217" i="34" s="1"/>
  <c r="GU49" i="34" a="1"/>
  <c r="GU49" i="34" s="1"/>
  <c r="GW36" i="34" a="1"/>
  <c r="GW36" i="34" s="1"/>
  <c r="GU181" i="34" a="1"/>
  <c r="GU181" i="34" s="1"/>
  <c r="GZ164" i="34" a="1"/>
  <c r="GZ164" i="34" s="1"/>
  <c r="GY40" i="34" a="1"/>
  <c r="GY40" i="34" s="1"/>
  <c r="HE70" i="34"/>
  <c r="HH70" i="34" s="1"/>
  <c r="GX205" i="34" a="1"/>
  <c r="GX205" i="34" s="1"/>
  <c r="GX103" i="34" a="1"/>
  <c r="GX103" i="34" s="1"/>
  <c r="HI105" i="34"/>
  <c r="GY8" i="34" a="1"/>
  <c r="GY8" i="34" s="1"/>
  <c r="HF187" i="34"/>
  <c r="GU141" i="34" a="1"/>
  <c r="GU141" i="34" s="1"/>
  <c r="GU240" i="34" a="1"/>
  <c r="GU240" i="34" s="1"/>
  <c r="HI239" i="34"/>
  <c r="IF239" i="34" s="1"/>
  <c r="HE159" i="34"/>
  <c r="HH159" i="34" s="1"/>
  <c r="GT200" i="34" a="1"/>
  <c r="GT200" i="34" s="1"/>
  <c r="GT178" i="34" a="1"/>
  <c r="GT178" i="34" s="1"/>
  <c r="GX196" i="34" a="1"/>
  <c r="GX196" i="34" s="1"/>
  <c r="GZ163" i="34" a="1"/>
  <c r="GZ163" i="34" s="1"/>
  <c r="GZ48" i="34" a="1"/>
  <c r="GZ48" i="34" s="1"/>
  <c r="GU236" i="34" a="1"/>
  <c r="GU236" i="34" s="1"/>
  <c r="GX122" i="34" a="1"/>
  <c r="GX122" i="34" s="1"/>
  <c r="GU17" i="34" a="1"/>
  <c r="GU17" i="34" s="1"/>
  <c r="FY249" i="34"/>
  <c r="GY194" i="34" a="1"/>
  <c r="GY194" i="34" s="1"/>
  <c r="GZ17" i="34" a="1"/>
  <c r="GZ17" i="34" s="1"/>
  <c r="HF111" i="34"/>
  <c r="GX102" i="34" a="1"/>
  <c r="GX102" i="34" s="1"/>
  <c r="GT246" i="34" a="1"/>
  <c r="GT246" i="34" s="1"/>
  <c r="GX68" i="34" a="1"/>
  <c r="GX68" i="34" s="1"/>
  <c r="HI36" i="34"/>
  <c r="HF159" i="34"/>
  <c r="GT233" i="34" a="1"/>
  <c r="GT233" i="34" s="1"/>
  <c r="GT240" i="34" a="1"/>
  <c r="GT240" i="34" s="1"/>
  <c r="GY12" i="34" a="1"/>
  <c r="GY12" i="34" s="1"/>
  <c r="GY94" i="34" a="1"/>
  <c r="GY94" i="34" s="1"/>
  <c r="GU224" i="34" a="1"/>
  <c r="GU224" i="34" s="1"/>
  <c r="GZ113" i="34" a="1"/>
  <c r="GZ113" i="34" s="1"/>
  <c r="GZ93" i="34" a="1"/>
  <c r="GZ93" i="34" s="1"/>
  <c r="GY110" i="34" a="1"/>
  <c r="GY110" i="34" s="1"/>
  <c r="GX64" i="34" a="1"/>
  <c r="GX64" i="34" s="1"/>
  <c r="GU40" i="34" a="1"/>
  <c r="GU40" i="34" s="1"/>
  <c r="GY168" i="34" a="1"/>
  <c r="GY168" i="34" s="1"/>
  <c r="GZ18" i="34" a="1"/>
  <c r="GZ18" i="34" s="1"/>
  <c r="GV199" i="34" a="1"/>
  <c r="GV199" i="34" s="1"/>
  <c r="HI34" i="34"/>
  <c r="GZ226" i="34" a="1"/>
  <c r="GZ226" i="34" s="1"/>
  <c r="GX63" i="34" a="1"/>
  <c r="GX63" i="34" s="1"/>
  <c r="GY173" i="34" a="1"/>
  <c r="GY173" i="34" s="1"/>
  <c r="HI21" i="34"/>
  <c r="HE172" i="34"/>
  <c r="HH172" i="34" s="1"/>
  <c r="FY126" i="34"/>
  <c r="GZ235" i="34" a="1"/>
  <c r="GZ235" i="34" s="1"/>
  <c r="GV10" i="34" a="1"/>
  <c r="GV10" i="34" s="1"/>
  <c r="GX140" i="34" a="1"/>
  <c r="GX140" i="34" s="1"/>
  <c r="GX26" i="34" a="1"/>
  <c r="GX26" i="34" s="1"/>
  <c r="GV26" i="34" a="1"/>
  <c r="GV26" i="34" s="1"/>
  <c r="GV36" i="34" a="1"/>
  <c r="GV36" i="34" s="1"/>
  <c r="GZ42" i="34" a="1"/>
  <c r="GZ42" i="34" s="1"/>
  <c r="GY191" i="34" a="1"/>
  <c r="GY191" i="34" s="1"/>
  <c r="GT58" i="34" a="1"/>
  <c r="GT58" i="34" s="1"/>
  <c r="GU120" i="34" a="1"/>
  <c r="GU120" i="34" s="1"/>
  <c r="GU75" i="34" a="1"/>
  <c r="GU75" i="34" s="1"/>
  <c r="GY81" i="34" a="1"/>
  <c r="GY81" i="34" s="1"/>
  <c r="HF22" i="34"/>
  <c r="HF37" i="34"/>
  <c r="HE214" i="34"/>
  <c r="HH214" i="34" s="1"/>
  <c r="GU187" i="34" a="1"/>
  <c r="GU187" i="34" s="1"/>
  <c r="GY135" i="34" a="1"/>
  <c r="GY135" i="34" s="1"/>
  <c r="GX245" i="34" a="1"/>
  <c r="GX245" i="34" s="1"/>
  <c r="GW49" i="34" a="1"/>
  <c r="GW49" i="34" s="1"/>
  <c r="GX117" i="34" a="1"/>
  <c r="GX117" i="34" s="1"/>
  <c r="GZ41" i="34" a="1"/>
  <c r="GZ41" i="34" s="1"/>
  <c r="GX113" i="34" a="1"/>
  <c r="GX113" i="34" s="1"/>
  <c r="GW215" i="34" a="1"/>
  <c r="GW215" i="34" s="1"/>
  <c r="GZ233" i="34" a="1"/>
  <c r="GZ233" i="34" s="1"/>
  <c r="GU182" i="34" a="1"/>
  <c r="GU182" i="34" s="1"/>
  <c r="GX58" i="34" a="1"/>
  <c r="GX58" i="34" s="1"/>
  <c r="GY44" i="34" a="1"/>
  <c r="GY44" i="34" s="1"/>
  <c r="GZ35" i="34" a="1"/>
  <c r="GZ35" i="34" s="1"/>
  <c r="GZ173" i="34" a="1"/>
  <c r="GZ173" i="34" s="1"/>
  <c r="HI217" i="34"/>
  <c r="HI229" i="34"/>
  <c r="HE211" i="34"/>
  <c r="HH211" i="34" s="1"/>
  <c r="GW197" i="34" a="1"/>
  <c r="GW197" i="34" s="1"/>
  <c r="GW12" i="34" a="1"/>
  <c r="GW12" i="34" s="1"/>
  <c r="GT99" i="34" a="1"/>
  <c r="GT99" i="34" s="1"/>
  <c r="GV233" i="34" a="1"/>
  <c r="GV233" i="34" s="1"/>
  <c r="GW32" i="34" a="1"/>
  <c r="GW32" i="34" s="1"/>
  <c r="GX214" i="34" a="1"/>
  <c r="GX214" i="34" s="1"/>
  <c r="GX85" i="34" a="1"/>
  <c r="GX85" i="34" s="1"/>
  <c r="GW11" i="34" a="1"/>
  <c r="GW11" i="34" s="1"/>
  <c r="GV227" i="34" a="1"/>
  <c r="GV227" i="34" s="1"/>
  <c r="GZ33" i="34" a="1"/>
  <c r="GZ33" i="34" s="1"/>
  <c r="GX93" i="34" a="1"/>
  <c r="GX93" i="34" s="1"/>
  <c r="HI112" i="34"/>
  <c r="FY121" i="34"/>
  <c r="GT192" i="34" a="1"/>
  <c r="GT192" i="34" s="1"/>
  <c r="GW209" i="34" a="1"/>
  <c r="GW209" i="34" s="1"/>
  <c r="GW124" i="34" a="1"/>
  <c r="GW124" i="34" s="1"/>
  <c r="GU78" i="34" a="1"/>
  <c r="GU78" i="34" s="1"/>
  <c r="HF245" i="34"/>
  <c r="GW19" i="34" a="1"/>
  <c r="GW19" i="34" s="1"/>
  <c r="GX236" i="34" a="1"/>
  <c r="GX236" i="34" s="1"/>
  <c r="GZ109" i="34" a="1"/>
  <c r="GZ109" i="34" s="1"/>
  <c r="HI27" i="34"/>
  <c r="IF27" i="34" s="1"/>
  <c r="HF219" i="34"/>
  <c r="GT43" i="34" a="1"/>
  <c r="GT43" i="34" s="1"/>
  <c r="GV167" i="34" a="1"/>
  <c r="GV167" i="34" s="1"/>
  <c r="GZ89" i="34" a="1"/>
  <c r="GZ89" i="34" s="1"/>
  <c r="GZ54" i="34" a="1"/>
  <c r="GZ54" i="34" s="1"/>
  <c r="GX173" i="34" a="1"/>
  <c r="GX173" i="34" s="1"/>
  <c r="GX231" i="34" a="1"/>
  <c r="GX231" i="34" s="1"/>
  <c r="GT64" i="34" a="1"/>
  <c r="GT64" i="34" s="1"/>
  <c r="GX199" i="34" a="1"/>
  <c r="GX199" i="34" s="1"/>
  <c r="GY212" i="34" a="1"/>
  <c r="GY212" i="34" s="1"/>
  <c r="GV41" i="34" a="1"/>
  <c r="GV41" i="34" s="1"/>
  <c r="FY13" i="42"/>
  <c r="GV204" i="34" a="1"/>
  <c r="GV204" i="34" s="1"/>
  <c r="HI54" i="34"/>
  <c r="GT185" i="34" a="1"/>
  <c r="GT185" i="34" s="1"/>
  <c r="GT44" i="34" a="1"/>
  <c r="GT44" i="34" s="1"/>
  <c r="GW239" i="34" a="1"/>
  <c r="GW239" i="34" s="1"/>
  <c r="GY223" i="34" a="1"/>
  <c r="GY223" i="34" s="1"/>
  <c r="FY22" i="42"/>
  <c r="FY16" i="42"/>
  <c r="FY9" i="42"/>
  <c r="FY29" i="42"/>
  <c r="GV76" i="34" a="1"/>
  <c r="GV76" i="34" s="1"/>
  <c r="GY230" i="34" a="1"/>
  <c r="GY230" i="34" s="1"/>
  <c r="GZ14" i="34" a="1"/>
  <c r="GZ14" i="34" s="1"/>
  <c r="GU189" i="34" a="1"/>
  <c r="GU189" i="34" s="1"/>
  <c r="HI102" i="34"/>
  <c r="HI76" i="34"/>
  <c r="HE179" i="34"/>
  <c r="HH179" i="34" s="1"/>
  <c r="HE237" i="34"/>
  <c r="HE104" i="34"/>
  <c r="HH104" i="34" s="1"/>
  <c r="GT117" i="34" a="1"/>
  <c r="GT117" i="34" s="1"/>
  <c r="GT147" i="34" a="1"/>
  <c r="GT147" i="34" s="1"/>
  <c r="GT70" i="34" a="1"/>
  <c r="GT70" i="34" s="1"/>
  <c r="GT242" i="34" a="1"/>
  <c r="GT242" i="34" s="1"/>
  <c r="GY120" i="34" a="1"/>
  <c r="GY120" i="34" s="1"/>
  <c r="GU41" i="34" a="1"/>
  <c r="GU41" i="34" s="1"/>
  <c r="GX32" i="34" a="1"/>
  <c r="GX32" i="34" s="1"/>
  <c r="GV219" i="34" a="1"/>
  <c r="GV219" i="34" s="1"/>
  <c r="GZ98" i="34" a="1"/>
  <c r="GZ98" i="34" s="1"/>
  <c r="GZ245" i="34" a="1"/>
  <c r="GZ245" i="34" s="1"/>
  <c r="GY23" i="34" a="1"/>
  <c r="GY23" i="34" s="1"/>
  <c r="GV131" i="34" a="1"/>
  <c r="GV131" i="34" s="1"/>
  <c r="GV79" i="34" a="1"/>
  <c r="GV79" i="34" s="1"/>
  <c r="GY239" i="34" a="1"/>
  <c r="GY239" i="34" s="1"/>
  <c r="GW55" i="34" a="1"/>
  <c r="GW55" i="34" s="1"/>
  <c r="GY10" i="34" a="1"/>
  <c r="GY10" i="34" s="1"/>
  <c r="GV226" i="34" a="1"/>
  <c r="GV226" i="34" s="1"/>
  <c r="GU133" i="34" a="1"/>
  <c r="GU133" i="34" s="1"/>
  <c r="GW34" i="34" a="1"/>
  <c r="GW34" i="34" s="1"/>
  <c r="GZ161" i="34" a="1"/>
  <c r="GZ161" i="34" s="1"/>
  <c r="GU44" i="34" a="1"/>
  <c r="GU44" i="34" s="1"/>
  <c r="GY118" i="34" a="1"/>
  <c r="GY118" i="34" s="1"/>
  <c r="GX247" i="34" a="1"/>
  <c r="GX247" i="34" s="1"/>
  <c r="HI135" i="34"/>
  <c r="HI77" i="34"/>
  <c r="FY84" i="34"/>
  <c r="GZ60" i="34" a="1"/>
  <c r="GZ60" i="34" s="1"/>
  <c r="GU18" i="34" a="1"/>
  <c r="GU18" i="34" s="1"/>
  <c r="GT137" i="34" a="1"/>
  <c r="GT137" i="34" s="1"/>
  <c r="GU216" i="34" a="1"/>
  <c r="GU216" i="34" s="1"/>
  <c r="GX155" i="34" a="1"/>
  <c r="GX155" i="34" s="1"/>
  <c r="GY102" i="34" a="1"/>
  <c r="GY102" i="34" s="1"/>
  <c r="GU82" i="34" a="1"/>
  <c r="GU82" i="34" s="1"/>
  <c r="GW101" i="34" a="1"/>
  <c r="GW101" i="34" s="1"/>
  <c r="GZ191" i="34" a="1"/>
  <c r="GZ191" i="34" s="1"/>
  <c r="GU156" i="34" a="1"/>
  <c r="GU156" i="34" s="1"/>
  <c r="HI50" i="34"/>
  <c r="FY180" i="34"/>
  <c r="GT171" i="34" a="1"/>
  <c r="GT171" i="34" s="1"/>
  <c r="GT107" i="34" a="1"/>
  <c r="GT107" i="34" s="1"/>
  <c r="GU125" i="34" a="1"/>
  <c r="GU125" i="34" s="1"/>
  <c r="GU22" i="34" a="1"/>
  <c r="GU22" i="34" s="1"/>
  <c r="GU103" i="34" a="1"/>
  <c r="GU103" i="34" s="1"/>
  <c r="GT151" i="34" a="1"/>
  <c r="GT151" i="34" s="1"/>
  <c r="GV195" i="34" a="1"/>
  <c r="GV195" i="34" s="1"/>
  <c r="GX176" i="34" a="1"/>
  <c r="GX176" i="34" s="1"/>
  <c r="FY11" i="42"/>
  <c r="FY19" i="42"/>
  <c r="FY15" i="42"/>
  <c r="GU243" i="34" a="1"/>
  <c r="GU243" i="34" s="1"/>
  <c r="HF89" i="34"/>
  <c r="GT92" i="34" a="1"/>
  <c r="GT92" i="34" s="1"/>
  <c r="GZ40" i="34" a="1"/>
  <c r="GZ40" i="34" s="1"/>
  <c r="GW138" i="34" a="1"/>
  <c r="GW138" i="34" s="1"/>
  <c r="GX15" i="34" a="1"/>
  <c r="GX15" i="34" s="1"/>
  <c r="GZ90" i="34" a="1"/>
  <c r="GZ90" i="34" s="1"/>
  <c r="GZ200" i="34" a="1"/>
  <c r="GZ200" i="34" s="1"/>
  <c r="HI201" i="34"/>
  <c r="GT31" i="34" a="1"/>
  <c r="GT31" i="34" s="1"/>
  <c r="GX202" i="34" a="1"/>
  <c r="GX202" i="34" s="1"/>
  <c r="GV122" i="34" a="1"/>
  <c r="GV122" i="34" s="1"/>
  <c r="HE49" i="34"/>
  <c r="HH49" i="34" s="1"/>
  <c r="GX232" i="34" a="1"/>
  <c r="GX232" i="34" s="1"/>
  <c r="FY28" i="42"/>
  <c r="FY18" i="42"/>
  <c r="GU117" i="34" a="1"/>
  <c r="GU117" i="34" s="1"/>
  <c r="HI124" i="34"/>
  <c r="HF248" i="34"/>
  <c r="GT39" i="34" a="1"/>
  <c r="GT39" i="34" s="1"/>
  <c r="GU162" i="34" a="1"/>
  <c r="GU162" i="34" s="1"/>
  <c r="GU209" i="34" a="1"/>
  <c r="GU209" i="34" s="1"/>
  <c r="GZ241" i="34" a="1"/>
  <c r="GZ241" i="34" s="1"/>
  <c r="FY20" i="42"/>
  <c r="FY23" i="42"/>
  <c r="FY26" i="42"/>
  <c r="FY24" i="42"/>
  <c r="GY143" i="34" a="1"/>
  <c r="GY143" i="34" s="1"/>
  <c r="GZ217" i="34" a="1"/>
  <c r="GZ217" i="34" s="1"/>
  <c r="GX115" i="34" a="1"/>
  <c r="GX115" i="34" s="1"/>
  <c r="HI156" i="34"/>
  <c r="HI232" i="34"/>
  <c r="HI45" i="34"/>
  <c r="FY129" i="34"/>
  <c r="HE219" i="34"/>
  <c r="HH219" i="34" s="1"/>
  <c r="HE201" i="34"/>
  <c r="GT162" i="34" a="1"/>
  <c r="GT162" i="34" s="1"/>
  <c r="GT112" i="34" a="1"/>
  <c r="GT112" i="34" s="1"/>
  <c r="GT138" i="34" a="1"/>
  <c r="GT138" i="34" s="1"/>
  <c r="GT55" i="34" a="1"/>
  <c r="GT55" i="34" s="1"/>
  <c r="GZ92" i="34" a="1"/>
  <c r="GZ92" i="34" s="1"/>
  <c r="GU196" i="34" a="1"/>
  <c r="GU196" i="34" s="1"/>
  <c r="GY217" i="34" a="1"/>
  <c r="GY217" i="34" s="1"/>
  <c r="GU37" i="34" a="1"/>
  <c r="GU37" i="34" s="1"/>
  <c r="GV239" i="34" a="1"/>
  <c r="GV239" i="34" s="1"/>
  <c r="GY161" i="34" a="1"/>
  <c r="GY161" i="34" s="1"/>
  <c r="GX45" i="34" a="1"/>
  <c r="GX45" i="34" s="1"/>
  <c r="GY204" i="34" a="1"/>
  <c r="GY204" i="34" s="1"/>
  <c r="GZ125" i="34" a="1"/>
  <c r="GZ125" i="34" s="1"/>
  <c r="GX90" i="34" a="1"/>
  <c r="GX90" i="34" s="1"/>
  <c r="GU95" i="34" a="1"/>
  <c r="GU95" i="34" s="1"/>
  <c r="GW156" i="34" a="1"/>
  <c r="GW156" i="34" s="1"/>
  <c r="GV44" i="34" a="1"/>
  <c r="GV44" i="34" s="1"/>
  <c r="GX208" i="34" a="1"/>
  <c r="GX208" i="34" s="1"/>
  <c r="GZ131" i="34" a="1"/>
  <c r="GZ131" i="34" s="1"/>
  <c r="GY158" i="34" a="1"/>
  <c r="GY158" i="34" s="1"/>
  <c r="GZ29" i="34" a="1"/>
  <c r="GZ29" i="34" s="1"/>
  <c r="GV234" i="34" a="1"/>
  <c r="GV234" i="34" s="1"/>
  <c r="GZ224" i="34" a="1"/>
  <c r="GZ224" i="34" s="1"/>
  <c r="HI240" i="34"/>
  <c r="FY155" i="34"/>
  <c r="HF205" i="34"/>
  <c r="GY52" i="34" a="1"/>
  <c r="GY52" i="34" s="1"/>
  <c r="GT231" i="34" a="1"/>
  <c r="GT231" i="34" s="1"/>
  <c r="GT203" i="34" a="1"/>
  <c r="GT203" i="34" s="1"/>
  <c r="GX12" i="34" a="1"/>
  <c r="GX12" i="34" s="1"/>
  <c r="GZ223" i="34" a="1"/>
  <c r="GZ223" i="34" s="1"/>
  <c r="GX184" i="34" a="1"/>
  <c r="GX184" i="34" s="1"/>
  <c r="GV156" i="34" a="1"/>
  <c r="GV156" i="34" s="1"/>
  <c r="GZ190" i="34" a="1"/>
  <c r="GZ190" i="34" s="1"/>
  <c r="GZ49" i="34" a="1"/>
  <c r="GZ49" i="34" s="1"/>
  <c r="GY176" i="34" a="1"/>
  <c r="GY176" i="34" s="1"/>
  <c r="HI88" i="34"/>
  <c r="HE170" i="34"/>
  <c r="HH170" i="34" s="1"/>
  <c r="GX118" i="34" a="1"/>
  <c r="GX118" i="34" s="1"/>
  <c r="GT27" i="34" a="1"/>
  <c r="GT27" i="34" s="1"/>
  <c r="GV177" i="34" a="1"/>
  <c r="GV177" i="34" s="1"/>
  <c r="GV200" i="34" a="1"/>
  <c r="GV200" i="34" s="1"/>
  <c r="GV232" i="34" a="1"/>
  <c r="GV232" i="34" s="1"/>
  <c r="GZ63" i="34" a="1"/>
  <c r="GZ63" i="34" s="1"/>
  <c r="GW243" i="34" a="1"/>
  <c r="GW243" i="34" s="1"/>
  <c r="GV221" i="34" a="1"/>
  <c r="GV221" i="34" s="1"/>
  <c r="GZ147" i="34" a="1"/>
  <c r="GZ147" i="34" s="1"/>
  <c r="GT144" i="34" a="1"/>
  <c r="GT144" i="34" s="1"/>
  <c r="GV101" i="34" a="1"/>
  <c r="GV101" i="34" s="1"/>
  <c r="GX195" i="34" a="1"/>
  <c r="GX195" i="34" s="1"/>
  <c r="GY215" i="34" a="1"/>
  <c r="GY215" i="34" s="1"/>
  <c r="GU86" i="34" a="1"/>
  <c r="GU86" i="34" s="1"/>
  <c r="HI44" i="34"/>
  <c r="FY234" i="34"/>
  <c r="GY104" i="34" a="1"/>
  <c r="GY104" i="34" s="1"/>
  <c r="GX80" i="34" a="1"/>
  <c r="GX80" i="34" s="1"/>
  <c r="HE157" i="34"/>
  <c r="HH157" i="34" s="1"/>
  <c r="FY32" i="42"/>
  <c r="FY10" i="42"/>
  <c r="FY30" i="42"/>
  <c r="GT228" i="34" a="1"/>
  <c r="GT228" i="34" s="1"/>
  <c r="GU215" i="34" a="1"/>
  <c r="GU215" i="34" s="1"/>
  <c r="GU116" i="34" a="1"/>
  <c r="GU116" i="34" s="1"/>
  <c r="GY177" i="34" a="1"/>
  <c r="GY177" i="34" s="1"/>
  <c r="HI176" i="34"/>
  <c r="HI68" i="34"/>
  <c r="HI168" i="34"/>
  <c r="FY112" i="34"/>
  <c r="HE115" i="34"/>
  <c r="HH115" i="34" s="1"/>
  <c r="HE92" i="34"/>
  <c r="HH92" i="34" s="1"/>
  <c r="GT153" i="34" a="1"/>
  <c r="GT153" i="34" s="1"/>
  <c r="GT30" i="34" a="1"/>
  <c r="GT30" i="34" s="1"/>
  <c r="GT66" i="34" a="1"/>
  <c r="GT66" i="34" s="1"/>
  <c r="GT208" i="34" a="1"/>
  <c r="GT208" i="34" s="1"/>
  <c r="GY91" i="34" a="1"/>
  <c r="GY91" i="34" s="1"/>
  <c r="GV190" i="34" a="1"/>
  <c r="GV190" i="34" s="1"/>
  <c r="GW148" i="34" a="1"/>
  <c r="GW148" i="34" s="1"/>
  <c r="GU228" i="34" a="1"/>
  <c r="GU228" i="34" s="1"/>
  <c r="GY76" i="34" a="1"/>
  <c r="GY76" i="34" s="1"/>
  <c r="GZ158" i="34" a="1"/>
  <c r="GZ158" i="34" s="1"/>
  <c r="GY185" i="34" a="1"/>
  <c r="GY185" i="34" s="1"/>
  <c r="GV128" i="34" a="1"/>
  <c r="GV128" i="34" s="1"/>
  <c r="GU239" i="34" a="1"/>
  <c r="GU239" i="34" s="1"/>
  <c r="GU160" i="34" a="1"/>
  <c r="GU160" i="34" s="1"/>
  <c r="GV119" i="34" a="1"/>
  <c r="GV119" i="34" s="1"/>
  <c r="GU57" i="34" a="1"/>
  <c r="GU57" i="34" s="1"/>
  <c r="GU250" i="34" a="1"/>
  <c r="GU250" i="34" s="1"/>
  <c r="GZ228" i="34" a="1"/>
  <c r="GZ228" i="34" s="1"/>
  <c r="GU88" i="34" a="1"/>
  <c r="GU88" i="34" s="1"/>
  <c r="GU178" i="34" a="1"/>
  <c r="GU178" i="34" s="1"/>
  <c r="GU26" i="34" a="1"/>
  <c r="GU26" i="34" s="1"/>
  <c r="GX69" i="34" a="1"/>
  <c r="GX69" i="34" s="1"/>
  <c r="GV136" i="34" a="1"/>
  <c r="GV136" i="34" s="1"/>
  <c r="HI9" i="34"/>
  <c r="FY149" i="34"/>
  <c r="HE110" i="34"/>
  <c r="HH110" i="34" s="1"/>
  <c r="GU35" i="34" a="1"/>
  <c r="GU35" i="34" s="1"/>
  <c r="GT232" i="34" a="1"/>
  <c r="GT232" i="34" s="1"/>
  <c r="GT96" i="34" a="1"/>
  <c r="GT96" i="34" s="1"/>
  <c r="GX225" i="34" a="1"/>
  <c r="GX225" i="34" s="1"/>
  <c r="GW178" i="34" a="1"/>
  <c r="GW178" i="34" s="1"/>
  <c r="GW246" i="34" a="1"/>
  <c r="GW246" i="34" s="1"/>
  <c r="GY245" i="34" a="1"/>
  <c r="GY245" i="34" s="1"/>
  <c r="GY67" i="34" a="1"/>
  <c r="GY67" i="34" s="1"/>
  <c r="GW206" i="34" a="1"/>
  <c r="GW206" i="34" s="1"/>
  <c r="GX241" i="34" a="1"/>
  <c r="GX241" i="34" s="1"/>
  <c r="HI196" i="34"/>
  <c r="FY50" i="34"/>
  <c r="GV209" i="34" a="1"/>
  <c r="GV209" i="34" s="1"/>
  <c r="GT230" i="34" a="1"/>
  <c r="GT230" i="34" s="1"/>
  <c r="GW143" i="34" a="1"/>
  <c r="GW143" i="34" s="1"/>
  <c r="GY71" i="34" a="1"/>
  <c r="GY71" i="34" s="1"/>
  <c r="GU115" i="34" a="1"/>
  <c r="GU115" i="34" s="1"/>
  <c r="GT113" i="34" a="1"/>
  <c r="GT113" i="34" s="1"/>
  <c r="GV218" i="34" a="1"/>
  <c r="GV218" i="34" s="1"/>
  <c r="HI109" i="34"/>
  <c r="GV172" i="34" a="1"/>
  <c r="GV172" i="34" s="1"/>
  <c r="GW165" i="34" a="1"/>
  <c r="GW165" i="34" s="1"/>
  <c r="GY85" i="34" a="1"/>
  <c r="GY85" i="34" s="1"/>
  <c r="GU148" i="34" a="1"/>
  <c r="GU148" i="34" s="1"/>
  <c r="GW8" i="34" a="1"/>
  <c r="GW8" i="34" s="1"/>
  <c r="GU248" i="34" a="1"/>
  <c r="GU248" i="34" s="1"/>
  <c r="GY144" i="34" a="1"/>
  <c r="GY144" i="34" s="1"/>
  <c r="GY131" i="34" a="1"/>
  <c r="GY131" i="34" s="1"/>
  <c r="HI180" i="34"/>
  <c r="HI94" i="34"/>
  <c r="HF100" i="34"/>
  <c r="GT123" i="34" a="1"/>
  <c r="GT123" i="34" s="1"/>
  <c r="GV206" i="34" a="1"/>
  <c r="GV206" i="34" s="1"/>
  <c r="GT87" i="34" a="1"/>
  <c r="GT87" i="34" s="1"/>
  <c r="GW109" i="34" a="1"/>
  <c r="GW109" i="34" s="1"/>
  <c r="GX158" i="34" a="1"/>
  <c r="GX158" i="34" s="1"/>
  <c r="GZ23" i="34" a="1"/>
  <c r="GZ23" i="34" s="1"/>
  <c r="GY163" i="34" a="1"/>
  <c r="GY163" i="34" s="1"/>
  <c r="GZ107" i="34" a="1"/>
  <c r="GZ107" i="34" s="1"/>
  <c r="GW184" i="34" a="1"/>
  <c r="GW184" i="34" s="1"/>
  <c r="GZ159" i="34" a="1"/>
  <c r="GZ159" i="34" s="1"/>
  <c r="GX101" i="34" a="1"/>
  <c r="GX101" i="34" s="1"/>
  <c r="HI121" i="34"/>
  <c r="HF241" i="34"/>
  <c r="GV132" i="34" a="1"/>
  <c r="GV132" i="34" s="1"/>
  <c r="GZ166" i="34" a="1"/>
  <c r="GZ166" i="34" s="1"/>
  <c r="GW195" i="34" a="1"/>
  <c r="GW195" i="34" s="1"/>
  <c r="GW60" i="34" a="1"/>
  <c r="GW60" i="34" s="1"/>
  <c r="HI163" i="34"/>
  <c r="GW96" i="34" a="1"/>
  <c r="GW96" i="34" s="1"/>
  <c r="GX132" i="34" a="1"/>
  <c r="GX132" i="34" s="1"/>
  <c r="GW141" i="34" a="1"/>
  <c r="GW141" i="34" s="1"/>
  <c r="GY226" i="34" a="1"/>
  <c r="GY226" i="34" s="1"/>
  <c r="GW98" i="34" a="1"/>
  <c r="GW98" i="34" s="1"/>
  <c r="GU208" i="34" a="1"/>
  <c r="GU208" i="34" s="1"/>
  <c r="GU211" i="34" a="1"/>
  <c r="GU211" i="34" s="1"/>
  <c r="GU70" i="34" a="1"/>
  <c r="GU70" i="34" s="1"/>
  <c r="GZ67" i="34" a="1"/>
  <c r="GZ67" i="34" s="1"/>
  <c r="GU90" i="34" a="1"/>
  <c r="GU90" i="34" s="1"/>
  <c r="GU247" i="34" a="1"/>
  <c r="GU247" i="34" s="1"/>
  <c r="HI245" i="34"/>
  <c r="IC245" i="34" s="1"/>
  <c r="HI225" i="34"/>
  <c r="HI59" i="34"/>
  <c r="HI52" i="34"/>
  <c r="HF224" i="34"/>
  <c r="HF71" i="34"/>
  <c r="HE203" i="34"/>
  <c r="HE41" i="34"/>
  <c r="HH41" i="34" s="1"/>
  <c r="GT166" i="34" a="1"/>
  <c r="GT166" i="34" s="1"/>
  <c r="GW104" i="34" a="1"/>
  <c r="GW104" i="34" s="1"/>
  <c r="GV25" i="34" a="1"/>
  <c r="GV25" i="34" s="1"/>
  <c r="GU64" i="34" a="1"/>
  <c r="GU64" i="34" s="1"/>
  <c r="GT204" i="34" a="1"/>
  <c r="GT204" i="34" s="1"/>
  <c r="GT234" i="34" a="1"/>
  <c r="GT234" i="34" s="1"/>
  <c r="GT21" i="34" a="1"/>
  <c r="GT21" i="34" s="1"/>
  <c r="GV230" i="34" a="1"/>
  <c r="GV230" i="34" s="1"/>
  <c r="GU174" i="34" a="1"/>
  <c r="GU174" i="34" s="1"/>
  <c r="GV238" i="34" a="1"/>
  <c r="GV238" i="34" s="1"/>
  <c r="GY242" i="34" a="1"/>
  <c r="GY242" i="34" s="1"/>
  <c r="GW223" i="34" a="1"/>
  <c r="GW223" i="34" s="1"/>
  <c r="GW151" i="34" a="1"/>
  <c r="GW151" i="34" s="1"/>
  <c r="GZ126" i="34" a="1"/>
  <c r="GZ126" i="34" s="1"/>
  <c r="GV147" i="34" a="1"/>
  <c r="GV147" i="34" s="1"/>
  <c r="GX97" i="34" a="1"/>
  <c r="GX97" i="34" s="1"/>
  <c r="GW236" i="34" a="1"/>
  <c r="GW236" i="34" s="1"/>
  <c r="GZ218" i="34" a="1"/>
  <c r="GZ218" i="34" s="1"/>
  <c r="GW83" i="34" a="1"/>
  <c r="GW83" i="34" s="1"/>
  <c r="GU111" i="34" a="1"/>
  <c r="GU111" i="34" s="1"/>
  <c r="GY11" i="34" a="1"/>
  <c r="GY11" i="34" s="1"/>
  <c r="GZ70" i="34" a="1"/>
  <c r="GZ70" i="34" s="1"/>
  <c r="GW176" i="34" a="1"/>
  <c r="GW176" i="34" s="1"/>
  <c r="GX52" i="34" a="1"/>
  <c r="GX52" i="34" s="1"/>
  <c r="GZ132" i="34" a="1"/>
  <c r="GZ132" i="34" s="1"/>
  <c r="GW199" i="34" a="1"/>
  <c r="GW199" i="34" s="1"/>
  <c r="GW174" i="34" a="1"/>
  <c r="GW174" i="34" s="1"/>
  <c r="GY30" i="34" a="1"/>
  <c r="GY30" i="34" s="1"/>
  <c r="GY39" i="34" a="1"/>
  <c r="GY39" i="34" s="1"/>
  <c r="GY68" i="34" a="1"/>
  <c r="GY68" i="34" s="1"/>
  <c r="HI90" i="34"/>
  <c r="HI202" i="34"/>
  <c r="IF202" i="34" s="1"/>
  <c r="HI60" i="34"/>
  <c r="HI218" i="34"/>
  <c r="FY226" i="34"/>
  <c r="HE102" i="34"/>
  <c r="HH102" i="34" s="1"/>
  <c r="HE124" i="34"/>
  <c r="HH124" i="34" s="1"/>
  <c r="HE79" i="34"/>
  <c r="HH79" i="34" s="1"/>
  <c r="GT74" i="34" a="1"/>
  <c r="GT74" i="34" s="1"/>
  <c r="GW22" i="34" a="1"/>
  <c r="GW22" i="34" s="1"/>
  <c r="GY114" i="34" a="1"/>
  <c r="GY114" i="34" s="1"/>
  <c r="GT114" i="34" a="1"/>
  <c r="GT114" i="34" s="1"/>
  <c r="GT238" i="34" a="1"/>
  <c r="GT238" i="34" s="1"/>
  <c r="GT190" i="34" a="1"/>
  <c r="GT190" i="34" s="1"/>
  <c r="GW105" i="34" a="1"/>
  <c r="GW105" i="34" s="1"/>
  <c r="GZ196" i="34" a="1"/>
  <c r="GZ196" i="34" s="1"/>
  <c r="GV121" i="34" a="1"/>
  <c r="GV121" i="34" s="1"/>
  <c r="GY196" i="34" a="1"/>
  <c r="GY196" i="34" s="1"/>
  <c r="GV137" i="34" a="1"/>
  <c r="GV137" i="34" s="1"/>
  <c r="GZ250" i="34" a="1"/>
  <c r="GZ250" i="34" s="1"/>
  <c r="GV81" i="34" a="1"/>
  <c r="GV81" i="34" s="1"/>
  <c r="GZ239" i="34" a="1"/>
  <c r="GZ239" i="34" s="1"/>
  <c r="GZ31" i="34" a="1"/>
  <c r="GZ31" i="34" s="1"/>
  <c r="GX123" i="34" a="1"/>
  <c r="GX123" i="34" s="1"/>
  <c r="GY93" i="34" a="1"/>
  <c r="GY93" i="34" s="1"/>
  <c r="GX250" i="34" a="1"/>
  <c r="GX250" i="34" s="1"/>
  <c r="HI139" i="34"/>
  <c r="HF233" i="34"/>
  <c r="GW99" i="34" a="1"/>
  <c r="GW99" i="34" s="1"/>
  <c r="GT168" i="34" a="1"/>
  <c r="GT168" i="34" s="1"/>
  <c r="GU143" i="34" a="1"/>
  <c r="GU143" i="34" s="1"/>
  <c r="GZ56" i="34" a="1"/>
  <c r="GZ56" i="34" s="1"/>
  <c r="GX143" i="34" a="1"/>
  <c r="GX143" i="34" s="1"/>
  <c r="GX127" i="34" a="1"/>
  <c r="GX127" i="34" s="1"/>
  <c r="GZ155" i="34" a="1"/>
  <c r="GZ155" i="34" s="1"/>
  <c r="GZ135" i="34" a="1"/>
  <c r="GZ135" i="34" s="1"/>
  <c r="GV170" i="34" a="1"/>
  <c r="GV170" i="34" s="1"/>
  <c r="GU201" i="34" a="1"/>
  <c r="GU201" i="34" s="1"/>
  <c r="GW114" i="34" a="1"/>
  <c r="GW114" i="34" s="1"/>
  <c r="GY75" i="34" a="1"/>
  <c r="GY75" i="34" s="1"/>
  <c r="GZ52" i="34" a="1"/>
  <c r="GZ52" i="34" s="1"/>
  <c r="GV102" i="34" a="1"/>
  <c r="GV102" i="34" s="1"/>
  <c r="GX210" i="34" a="1"/>
  <c r="GX210" i="34" s="1"/>
  <c r="GV37" i="34" a="1"/>
  <c r="GV37" i="34" s="1"/>
  <c r="GW132" i="34" a="1"/>
  <c r="GW132" i="34" s="1"/>
  <c r="GU176" i="34" a="1"/>
  <c r="GU176" i="34" s="1"/>
  <c r="HI92" i="34"/>
  <c r="IF92" i="34" s="1"/>
  <c r="HI128" i="34"/>
  <c r="IF128" i="34" s="1"/>
  <c r="HI84" i="34"/>
  <c r="HI71" i="34"/>
  <c r="HF156" i="34"/>
  <c r="HF73" i="34"/>
  <c r="HF162" i="34"/>
  <c r="FY169" i="34"/>
  <c r="GZ116" i="34" a="1"/>
  <c r="GZ116" i="34" s="1"/>
  <c r="GU244" i="34" a="1"/>
  <c r="GU244" i="34" s="1"/>
  <c r="GY37" i="34" a="1"/>
  <c r="GY37" i="34" s="1"/>
  <c r="GZ136" i="34" a="1"/>
  <c r="GZ136" i="34" s="1"/>
  <c r="GT73" i="34" a="1"/>
  <c r="GT73" i="34" s="1"/>
  <c r="GT201" i="34" a="1"/>
  <c r="GT201" i="34" s="1"/>
  <c r="GT193" i="34" a="1"/>
  <c r="GT193" i="34" s="1"/>
  <c r="GX212" i="34" a="1"/>
  <c r="GX212" i="34" s="1"/>
  <c r="GX79" i="34" a="1"/>
  <c r="GX79" i="34" s="1"/>
  <c r="GZ152" i="34" a="1"/>
  <c r="GZ152" i="34" s="1"/>
  <c r="GX82" i="34" a="1"/>
  <c r="GX82" i="34" s="1"/>
  <c r="GV139" i="34" a="1"/>
  <c r="GV139" i="34" s="1"/>
  <c r="GZ205" i="34" a="1"/>
  <c r="GZ205" i="34" s="1"/>
  <c r="GX133" i="34" a="1"/>
  <c r="GX133" i="34" s="1"/>
  <c r="GX91" i="34" a="1"/>
  <c r="GX91" i="34" s="1"/>
  <c r="GX149" i="34" a="1"/>
  <c r="GX149" i="34" s="1"/>
  <c r="GV211" i="34" a="1"/>
  <c r="GV211" i="34" s="1"/>
  <c r="GW170" i="34" a="1"/>
  <c r="GW170" i="34" s="1"/>
  <c r="GX23" i="34" a="1"/>
  <c r="GX23" i="34" s="1"/>
  <c r="GY240" i="34" a="1"/>
  <c r="GY240" i="34" s="1"/>
  <c r="GV141" i="34" a="1"/>
  <c r="GV141" i="34" s="1"/>
  <c r="GY128" i="34" a="1"/>
  <c r="GY128" i="34" s="1"/>
  <c r="GY148" i="34" a="1"/>
  <c r="GY148" i="34" s="1"/>
  <c r="GU134" i="34" a="1"/>
  <c r="GU134" i="34" s="1"/>
  <c r="GZ103" i="34" a="1"/>
  <c r="GZ103" i="34" s="1"/>
  <c r="GY34" i="34" a="1"/>
  <c r="GY34" i="34" s="1"/>
  <c r="GW59" i="34" a="1"/>
  <c r="GW59" i="34" s="1"/>
  <c r="GY224" i="34" a="1"/>
  <c r="GY224" i="34" s="1"/>
  <c r="GZ188" i="34" a="1"/>
  <c r="GZ188" i="34" s="1"/>
  <c r="GU194" i="34" a="1"/>
  <c r="GU194" i="34" s="1"/>
  <c r="HI20" i="34"/>
  <c r="HI63" i="34"/>
  <c r="HI29" i="34"/>
  <c r="HI153" i="34"/>
  <c r="HF109" i="34"/>
  <c r="HE75" i="34"/>
  <c r="HH75" i="34" s="1"/>
  <c r="HF151" i="34"/>
  <c r="HE199" i="34"/>
  <c r="HH199" i="34" s="1"/>
  <c r="GZ181" i="34" a="1"/>
  <c r="GZ181" i="34" s="1"/>
  <c r="GV89" i="34" a="1"/>
  <c r="GV89" i="34" s="1"/>
  <c r="GY154" i="34" a="1"/>
  <c r="GY154" i="34" s="1"/>
  <c r="GT140" i="34" a="1"/>
  <c r="GT140" i="34" s="1"/>
  <c r="GT161" i="34" a="1"/>
  <c r="GT161" i="34" s="1"/>
  <c r="GZ231" i="34" a="1"/>
  <c r="GZ231" i="34" s="1"/>
  <c r="GZ120" i="34" a="1"/>
  <c r="GZ120" i="34" s="1"/>
  <c r="GU195" i="34" a="1"/>
  <c r="GU195" i="34" s="1"/>
  <c r="GU61" i="34" a="1"/>
  <c r="GU61" i="34" s="1"/>
  <c r="GZ219" i="34" a="1"/>
  <c r="GZ219" i="34" s="1"/>
  <c r="GV176" i="34" a="1"/>
  <c r="GV176" i="34" s="1"/>
  <c r="GZ64" i="34" a="1"/>
  <c r="GZ64" i="34" s="1"/>
  <c r="GZ139" i="34" a="1"/>
  <c r="GZ139" i="34" s="1"/>
  <c r="GV125" i="34" a="1"/>
  <c r="GV125" i="34" s="1"/>
  <c r="GZ11" i="34" a="1"/>
  <c r="GZ11" i="34" s="1"/>
  <c r="GW88" i="34" a="1"/>
  <c r="GW88" i="34" s="1"/>
  <c r="GZ20" i="34" a="1"/>
  <c r="GZ20" i="34" s="1"/>
  <c r="GW231" i="34" a="1"/>
  <c r="GW231" i="34" s="1"/>
  <c r="HI110" i="34"/>
  <c r="HE38" i="34"/>
  <c r="HH38" i="34" s="1"/>
  <c r="GU33" i="34" a="1"/>
  <c r="GU33" i="34" s="1"/>
  <c r="GT24" i="34" a="1"/>
  <c r="GT24" i="34" s="1"/>
  <c r="GV163" i="34" a="1"/>
  <c r="GV163" i="34" s="1"/>
  <c r="GW41" i="34" a="1"/>
  <c r="GW41" i="34" s="1"/>
  <c r="GZ122" i="34" a="1"/>
  <c r="GZ122" i="34" s="1"/>
  <c r="HI103" i="34"/>
  <c r="GX207" i="34" a="1"/>
  <c r="GX207" i="34" s="1"/>
  <c r="GX135" i="34" a="1"/>
  <c r="GX135" i="34" s="1"/>
  <c r="GW191" i="34" a="1"/>
  <c r="GW191" i="34" s="1"/>
  <c r="GV59" i="34" a="1"/>
  <c r="GV59" i="34" s="1"/>
  <c r="GW131" i="34" a="1"/>
  <c r="GW131" i="34" s="1"/>
  <c r="GW18" i="34" a="1"/>
  <c r="GW18" i="34" s="1"/>
  <c r="GW48" i="34" a="1"/>
  <c r="GW48" i="34" s="1"/>
  <c r="GY235" i="34" a="1"/>
  <c r="GY235" i="34" s="1"/>
  <c r="GV196" i="34" a="1"/>
  <c r="GV196" i="34" s="1"/>
  <c r="GW44" i="34" a="1"/>
  <c r="GW44" i="34" s="1"/>
  <c r="GV50" i="34" a="1"/>
  <c r="GV50" i="34" s="1"/>
  <c r="HI18" i="34"/>
  <c r="IF18" i="34" s="1"/>
  <c r="HI209" i="34"/>
  <c r="HI134" i="34"/>
  <c r="HE80" i="34"/>
  <c r="HH80" i="34" s="1"/>
  <c r="FY151" i="34"/>
  <c r="HF12" i="34"/>
  <c r="HF55" i="34"/>
  <c r="HE131" i="34"/>
  <c r="GU199" i="34" a="1"/>
  <c r="GU199" i="34" s="1"/>
  <c r="GZ209" i="34" a="1"/>
  <c r="GZ209" i="34" s="1"/>
  <c r="GU104" i="34" a="1"/>
  <c r="GU104" i="34" s="1"/>
  <c r="HI46" i="34"/>
  <c r="GT199" i="34" a="1"/>
  <c r="GT199" i="34" s="1"/>
  <c r="GT15" i="34" a="1"/>
  <c r="GT15" i="34" s="1"/>
  <c r="GT247" i="34" a="1"/>
  <c r="GT247" i="34" s="1"/>
  <c r="GV198" i="34" a="1"/>
  <c r="GV198" i="34" s="1"/>
  <c r="GW38" i="34" a="1"/>
  <c r="GW38" i="34" s="1"/>
  <c r="GY166" i="34" a="1"/>
  <c r="GY166" i="34" s="1"/>
  <c r="GW39" i="34" a="1"/>
  <c r="GW39" i="34" s="1"/>
  <c r="GV243" i="34" a="1"/>
  <c r="GV243" i="34" s="1"/>
  <c r="GU123" i="34" a="1"/>
  <c r="GU123" i="34" s="1"/>
  <c r="GX99" i="34" a="1"/>
  <c r="GX99" i="34" s="1"/>
  <c r="GW201" i="34" a="1"/>
  <c r="GW201" i="34" s="1"/>
  <c r="GV31" i="34" a="1"/>
  <c r="GV31" i="34" s="1"/>
  <c r="GZ106" i="34" a="1"/>
  <c r="GZ106" i="34" s="1"/>
  <c r="GW31" i="34" a="1"/>
  <c r="GW31" i="34" s="1"/>
  <c r="GV120" i="34" a="1"/>
  <c r="GV120" i="34" s="1"/>
  <c r="GZ248" i="34" a="1"/>
  <c r="GZ248" i="34" s="1"/>
  <c r="GY36" i="34" a="1"/>
  <c r="GY36" i="34" s="1"/>
  <c r="GY115" i="34" a="1"/>
  <c r="GY115" i="34" s="1"/>
  <c r="GX43" i="34" a="1"/>
  <c r="GX43" i="34" s="1"/>
  <c r="GX51" i="34" a="1"/>
  <c r="GX51" i="34" s="1"/>
  <c r="GX98" i="34" a="1"/>
  <c r="GX98" i="34" s="1"/>
  <c r="GZ216" i="34" a="1"/>
  <c r="GZ216" i="34" s="1"/>
  <c r="GW15" i="34" a="1"/>
  <c r="GW15" i="34" s="1"/>
  <c r="GX200" i="34" a="1"/>
  <c r="GX200" i="34" s="1"/>
  <c r="GY116" i="34" a="1"/>
  <c r="GY116" i="34" s="1"/>
  <c r="GV210" i="34" a="1"/>
  <c r="GV210" i="34" s="1"/>
  <c r="HI96" i="34"/>
  <c r="HI53" i="34"/>
  <c r="HI93" i="34"/>
  <c r="HI78" i="34"/>
  <c r="HE40" i="34"/>
  <c r="HF143" i="34"/>
  <c r="HE85" i="34"/>
  <c r="HH85" i="34" s="1"/>
  <c r="HE196" i="34"/>
  <c r="HH196" i="34" s="1"/>
  <c r="GY87" i="34" a="1"/>
  <c r="GY87" i="34" s="1"/>
  <c r="GV146" i="34" a="1"/>
  <c r="GV146" i="34" s="1"/>
  <c r="GX125" i="34" a="1"/>
  <c r="GX125" i="34" s="1"/>
  <c r="GT145" i="34" a="1"/>
  <c r="GT145" i="34" s="1"/>
  <c r="GT19" i="34" a="1"/>
  <c r="GT19" i="34" s="1"/>
  <c r="GX107" i="34" a="1"/>
  <c r="GX107" i="34" s="1"/>
  <c r="GX137" i="34" a="1"/>
  <c r="GX137" i="34" s="1"/>
  <c r="GW27" i="34" a="1"/>
  <c r="GW27" i="34" s="1"/>
  <c r="GW77" i="34" a="1"/>
  <c r="GW77" i="34" s="1"/>
  <c r="GW46" i="34" a="1"/>
  <c r="GW46" i="34" s="1"/>
  <c r="GW13" i="34" a="1"/>
  <c r="GW13" i="34" s="1"/>
  <c r="GZ81" i="34" a="1"/>
  <c r="GZ81" i="34" s="1"/>
  <c r="GY123" i="34" a="1"/>
  <c r="GY123" i="34" s="1"/>
  <c r="GU38" i="34" a="1"/>
  <c r="GU38" i="34" s="1"/>
  <c r="GW228" i="34" a="1"/>
  <c r="GW228" i="34" s="1"/>
  <c r="GX239" i="34" a="1"/>
  <c r="GX239" i="34" s="1"/>
  <c r="GU139" i="34" a="1"/>
  <c r="GU139" i="34" s="1"/>
  <c r="GW217" i="34" a="1"/>
  <c r="GW217" i="34" s="1"/>
  <c r="HI182" i="34"/>
  <c r="IF182" i="34" s="1"/>
  <c r="FY136" i="34"/>
  <c r="GV73" i="34" a="1"/>
  <c r="GV73" i="34" s="1"/>
  <c r="GT72" i="34" a="1"/>
  <c r="GT72" i="34" s="1"/>
  <c r="GV108" i="34" a="1"/>
  <c r="GV108" i="34" s="1"/>
  <c r="GV247" i="34" a="1"/>
  <c r="GV247" i="34" s="1"/>
  <c r="GZ57" i="34" a="1"/>
  <c r="GZ57" i="34" s="1"/>
  <c r="HI140" i="34"/>
  <c r="HE167" i="34"/>
  <c r="HH167" i="34" s="1"/>
  <c r="GW157" i="34" a="1"/>
  <c r="GW157" i="34" s="1"/>
  <c r="GU237" i="34" a="1"/>
  <c r="GU237" i="34" s="1"/>
  <c r="GY46" i="34" a="1"/>
  <c r="GY46" i="34" s="1"/>
  <c r="GW10" i="34" a="1"/>
  <c r="GW10" i="34" s="1"/>
  <c r="GY41" i="34" a="1"/>
  <c r="GY41" i="34" s="1"/>
  <c r="GZ26" i="34" a="1"/>
  <c r="GZ26" i="34" s="1"/>
  <c r="GY28" i="34" a="1"/>
  <c r="GY28" i="34" s="1"/>
  <c r="GV30" i="34" a="1"/>
  <c r="GV30" i="34" s="1"/>
  <c r="GW66" i="34" a="1"/>
  <c r="GW66" i="34" s="1"/>
  <c r="HI86" i="34"/>
  <c r="HI67" i="34"/>
  <c r="HI100" i="34"/>
  <c r="HI242" i="34"/>
  <c r="HF11" i="34"/>
  <c r="HE193" i="34"/>
  <c r="HH193" i="34" s="1"/>
  <c r="HE227" i="34"/>
  <c r="HH227" i="34" s="1"/>
  <c r="HE33" i="34"/>
  <c r="HF18" i="34"/>
  <c r="GZ55" i="34" a="1"/>
  <c r="GZ55" i="34" s="1"/>
  <c r="GV24" i="34" a="1"/>
  <c r="GV24" i="34" s="1"/>
  <c r="GU231" i="34" a="1"/>
  <c r="GU231" i="34" s="1"/>
  <c r="HF238" i="34"/>
  <c r="GT126" i="34" a="1"/>
  <c r="GT126" i="34" s="1"/>
  <c r="GT127" i="34" a="1"/>
  <c r="GT127" i="34" s="1"/>
  <c r="GT136" i="34" a="1"/>
  <c r="GT136" i="34" s="1"/>
  <c r="GW73" i="34" a="1"/>
  <c r="GW73" i="34" s="1"/>
  <c r="GV14" i="34" a="1"/>
  <c r="GV14" i="34" s="1"/>
  <c r="GX221" i="34" a="1"/>
  <c r="GX221" i="34" s="1"/>
  <c r="GZ183" i="34" a="1"/>
  <c r="GZ183" i="34" s="1"/>
  <c r="GW68" i="34" a="1"/>
  <c r="GW68" i="34" s="1"/>
  <c r="GZ185" i="34" a="1"/>
  <c r="GZ185" i="34" s="1"/>
  <c r="GX53" i="34" a="1"/>
  <c r="GX53" i="34" s="1"/>
  <c r="GW185" i="34" a="1"/>
  <c r="GW185" i="34" s="1"/>
  <c r="GY234" i="34" a="1"/>
  <c r="GY234" i="34" s="1"/>
  <c r="GY59" i="34" a="1"/>
  <c r="GY59" i="34" s="1"/>
  <c r="GW142" i="34" a="1"/>
  <c r="GW142" i="34" s="1"/>
  <c r="GX108" i="34" a="1"/>
  <c r="GX108" i="34" s="1"/>
  <c r="GY210" i="34" a="1"/>
  <c r="GY210" i="34" s="1"/>
  <c r="GY51" i="34" a="1"/>
  <c r="GY51" i="34" s="1"/>
  <c r="GW79" i="34" a="1"/>
  <c r="GW79" i="34" s="1"/>
  <c r="GZ137" i="34" a="1"/>
  <c r="GZ137" i="34" s="1"/>
  <c r="GU48" i="34" a="1"/>
  <c r="GU48" i="34" s="1"/>
  <c r="GU85" i="34" a="1"/>
  <c r="GU85" i="34" s="1"/>
  <c r="GU119" i="34" a="1"/>
  <c r="GU119" i="34" s="1"/>
  <c r="GY78" i="34" a="1"/>
  <c r="GY78" i="34" s="1"/>
  <c r="GW21" i="34" a="1"/>
  <c r="GW21" i="34" s="1"/>
  <c r="GY43" i="34" a="1"/>
  <c r="GY43" i="34" s="1"/>
  <c r="GX209" i="34" a="1"/>
  <c r="GX209" i="34" s="1"/>
  <c r="HI234" i="34"/>
  <c r="HI210" i="34"/>
  <c r="HI113" i="34"/>
  <c r="HE138" i="34"/>
  <c r="HH138" i="34" s="1"/>
  <c r="HF125" i="34"/>
  <c r="HE112" i="34"/>
  <c r="HH112" i="34" s="1"/>
  <c r="HJ112" i="34" s="1"/>
  <c r="HE241" i="34"/>
  <c r="HH241" i="34" s="1"/>
  <c r="HF116" i="34"/>
  <c r="GW207" i="34" a="1"/>
  <c r="GW207" i="34" s="1"/>
  <c r="GZ193" i="34" a="1"/>
  <c r="GZ193" i="34" s="1"/>
  <c r="HI161" i="34"/>
  <c r="GT13" i="34" a="1"/>
  <c r="GT13" i="34" s="1"/>
  <c r="GT36" i="34" a="1"/>
  <c r="GT36" i="34" s="1"/>
  <c r="GV180" i="34" a="1"/>
  <c r="GV180" i="34" s="1"/>
  <c r="GV169" i="34" a="1"/>
  <c r="GV169" i="34" s="1"/>
  <c r="GY178" i="34" a="1"/>
  <c r="GY178" i="34" s="1"/>
  <c r="GZ119" i="34" a="1"/>
  <c r="GZ119" i="34" s="1"/>
  <c r="GU164" i="34" a="1"/>
  <c r="GU164" i="34" s="1"/>
  <c r="GU32" i="34" a="1"/>
  <c r="GU32" i="34" s="1"/>
  <c r="GX54" i="34" a="1"/>
  <c r="GX54" i="34" s="1"/>
  <c r="GX16" i="34" a="1"/>
  <c r="GX16" i="34" s="1"/>
  <c r="GW56" i="34" a="1"/>
  <c r="GW56" i="34" s="1"/>
  <c r="GZ213" i="34" a="1"/>
  <c r="GZ213" i="34" s="1"/>
  <c r="GX177" i="34" a="1"/>
  <c r="GX177" i="34" s="1"/>
  <c r="GU91" i="34" a="1"/>
  <c r="GU91" i="34" s="1"/>
  <c r="GW85" i="34" a="1"/>
  <c r="GW85" i="34" s="1"/>
  <c r="HI212" i="34"/>
  <c r="HF242" i="34"/>
  <c r="GX183" i="34" a="1"/>
  <c r="GX183" i="34" s="1"/>
  <c r="GY122" i="34" a="1"/>
  <c r="GY122" i="34" s="1"/>
  <c r="GV193" i="34" a="1"/>
  <c r="GV193" i="34" s="1"/>
  <c r="GZ104" i="34" a="1"/>
  <c r="GZ104" i="34" s="1"/>
  <c r="GX60" i="34" a="1"/>
  <c r="GX60" i="34" s="1"/>
  <c r="HI104" i="34"/>
  <c r="GT86" i="34" a="1"/>
  <c r="GT86" i="34" s="1"/>
  <c r="GY208" i="34" a="1"/>
  <c r="GY208" i="34" s="1"/>
  <c r="HI169" i="34"/>
  <c r="GY227" i="34" a="1"/>
  <c r="GY227" i="34" s="1"/>
  <c r="GU36" i="34" a="1"/>
  <c r="GU36" i="34" s="1"/>
  <c r="GW120" i="34" a="1"/>
  <c r="GW120" i="34" s="1"/>
  <c r="GX179" i="34" a="1"/>
  <c r="GX179" i="34" s="1"/>
  <c r="GU230" i="34" a="1"/>
  <c r="GU230" i="34" s="1"/>
  <c r="GY187" i="34" a="1"/>
  <c r="GY187" i="34" s="1"/>
  <c r="GZ102" i="34" a="1"/>
  <c r="GZ102" i="34" s="1"/>
  <c r="GW139" i="34" a="1"/>
  <c r="GW139" i="34" s="1"/>
  <c r="GZ114" i="34" a="1"/>
  <c r="GZ114" i="34" s="1"/>
  <c r="HI62" i="34"/>
  <c r="HI136" i="34"/>
  <c r="HI61" i="34"/>
  <c r="IF61" i="34" s="1"/>
  <c r="FY215" i="34"/>
  <c r="HF32" i="34"/>
  <c r="FY230" i="34"/>
  <c r="HF182" i="34"/>
  <c r="GT38" i="34" a="1"/>
  <c r="GT38" i="34" s="1"/>
  <c r="GY72" i="34" a="1"/>
  <c r="GY72" i="34" s="1"/>
  <c r="GW205" i="34" a="1"/>
  <c r="GW205" i="34" s="1"/>
  <c r="GT125" i="34" a="1"/>
  <c r="GT125" i="34" s="1"/>
  <c r="GT90" i="34" a="1"/>
  <c r="GT90" i="34" s="1"/>
  <c r="GT159" i="34" a="1"/>
  <c r="GT159" i="34" s="1"/>
  <c r="GZ65" i="34" a="1"/>
  <c r="GZ65" i="34" s="1"/>
  <c r="GZ240" i="34" a="1"/>
  <c r="GZ240" i="34" s="1"/>
  <c r="GX8" i="34" a="1"/>
  <c r="GX8" i="34" s="1"/>
  <c r="GY150" i="34" a="1"/>
  <c r="GY150" i="34" s="1"/>
  <c r="GZ244" i="34" a="1"/>
  <c r="GZ244" i="34" s="1"/>
  <c r="GV159" i="34" a="1"/>
  <c r="GV159" i="34" s="1"/>
  <c r="GZ162" i="34" a="1"/>
  <c r="GZ162" i="34" s="1"/>
  <c r="GY79" i="34" a="1"/>
  <c r="GY79" i="34" s="1"/>
  <c r="GV34" i="34" a="1"/>
  <c r="GV34" i="34" s="1"/>
  <c r="GV27" i="34" a="1"/>
  <c r="GV27" i="34" s="1"/>
  <c r="GX84" i="34" a="1"/>
  <c r="GX84" i="34" s="1"/>
  <c r="GZ243" i="34" a="1"/>
  <c r="GZ243" i="34" s="1"/>
  <c r="GZ170" i="34" a="1"/>
  <c r="GZ170" i="34" s="1"/>
  <c r="HI101" i="34"/>
  <c r="FY204" i="34"/>
  <c r="GY130" i="34" a="1"/>
  <c r="GY130" i="34" s="1"/>
  <c r="GV194" i="34" a="1"/>
  <c r="GV194" i="34" s="1"/>
  <c r="GU55" i="34" a="1"/>
  <c r="GU55" i="34" s="1"/>
  <c r="GW40" i="34" a="1"/>
  <c r="GW40" i="34" s="1"/>
  <c r="GZ91" i="34" a="1"/>
  <c r="GZ91" i="34" s="1"/>
  <c r="FY231" i="34"/>
  <c r="GT103" i="34" a="1"/>
  <c r="GT103" i="34" s="1"/>
  <c r="GV181" i="34" a="1"/>
  <c r="GV181" i="34" s="1"/>
  <c r="HE207" i="34"/>
  <c r="HH207" i="34" s="1"/>
  <c r="GY69" i="34" a="1"/>
  <c r="GY69" i="34" s="1"/>
  <c r="GX42" i="34" a="1"/>
  <c r="GX42" i="34" s="1"/>
  <c r="HI164" i="34"/>
  <c r="HI129" i="34"/>
  <c r="HI147" i="34"/>
  <c r="HI213" i="34"/>
  <c r="IF213" i="34" s="1"/>
  <c r="HE216" i="34"/>
  <c r="HH216" i="34" s="1"/>
  <c r="HF64" i="34"/>
  <c r="HE105" i="34"/>
  <c r="HH105" i="34" s="1"/>
  <c r="HE77" i="34"/>
  <c r="HH77" i="34" s="1"/>
  <c r="GT42" i="34" a="1"/>
  <c r="GT42" i="34" s="1"/>
  <c r="GU20" i="34" a="1"/>
  <c r="GU20" i="34" s="1"/>
  <c r="GZ25" i="34" a="1"/>
  <c r="GZ25" i="34" s="1"/>
  <c r="GW173" i="34" a="1"/>
  <c r="GW173" i="34" s="1"/>
  <c r="GT229" i="34" a="1"/>
  <c r="GT229" i="34" s="1"/>
  <c r="GT60" i="34" a="1"/>
  <c r="GT60" i="34" s="1"/>
  <c r="GT104" i="34" a="1"/>
  <c r="GT104" i="34" s="1"/>
  <c r="GT95" i="34" a="1"/>
  <c r="GT95" i="34" s="1"/>
  <c r="GZ141" i="34" a="1"/>
  <c r="GZ141" i="34" s="1"/>
  <c r="GU245" i="34" a="1"/>
  <c r="GU245" i="34" s="1"/>
  <c r="GU161" i="34" a="1"/>
  <c r="GU161" i="34" s="1"/>
  <c r="GX78" i="34" a="1"/>
  <c r="GX78" i="34" s="1"/>
  <c r="GW110" i="34" a="1"/>
  <c r="GW110" i="34" s="1"/>
  <c r="GW118" i="34" a="1"/>
  <c r="GW118" i="34" s="1"/>
  <c r="GZ221" i="34" a="1"/>
  <c r="GZ221" i="34" s="1"/>
  <c r="GW76" i="34" a="1"/>
  <c r="GW76" i="34" s="1"/>
  <c r="GX235" i="34" a="1"/>
  <c r="GX235" i="34" s="1"/>
  <c r="GV133" i="34" a="1"/>
  <c r="GV133" i="34" s="1"/>
  <c r="GU21" i="34" a="1"/>
  <c r="GU21" i="34" s="1"/>
  <c r="GW213" i="34" a="1"/>
  <c r="GW213" i="34" s="1"/>
  <c r="GX94" i="34" a="1"/>
  <c r="GX94" i="34" s="1"/>
  <c r="GV213" i="34" a="1"/>
  <c r="GV213" i="34" s="1"/>
  <c r="GX171" i="34" a="1"/>
  <c r="GX171" i="34" s="1"/>
  <c r="GY20" i="34" a="1"/>
  <c r="GY20" i="34" s="1"/>
  <c r="GZ112" i="34" a="1"/>
  <c r="GZ112" i="34" s="1"/>
  <c r="GW43" i="34" a="1"/>
  <c r="GW43" i="34" s="1"/>
  <c r="GU131" i="34" a="1"/>
  <c r="GU131" i="34" s="1"/>
  <c r="GV217" i="34" a="1"/>
  <c r="GV217" i="34" s="1"/>
  <c r="GZ150" i="34" a="1"/>
  <c r="GZ150" i="34" s="1"/>
  <c r="GX124" i="34" a="1"/>
  <c r="GX124" i="34" s="1"/>
  <c r="HI25" i="34"/>
  <c r="HI120" i="34"/>
  <c r="HI197" i="34"/>
  <c r="HI166" i="34"/>
  <c r="HF33" i="34"/>
  <c r="FY122" i="34"/>
  <c r="FY75" i="34"/>
  <c r="FY109" i="34"/>
  <c r="GT181" i="34" a="1"/>
  <c r="GT181" i="34" s="1"/>
  <c r="GW30" i="34" a="1"/>
  <c r="GW30" i="34" s="1"/>
  <c r="GY106" i="34" a="1"/>
  <c r="GY106" i="34" s="1"/>
  <c r="GT63" i="34" a="1"/>
  <c r="GT63" i="34" s="1"/>
  <c r="GT93" i="34" a="1"/>
  <c r="GT93" i="34" s="1"/>
  <c r="GT75" i="34" a="1"/>
  <c r="GT75" i="34" s="1"/>
  <c r="GY98" i="34" a="1"/>
  <c r="GY98" i="34" s="1"/>
  <c r="GU27" i="34" a="1"/>
  <c r="GU27" i="34" s="1"/>
  <c r="GV244" i="34" a="1"/>
  <c r="GV244" i="34" s="1"/>
  <c r="GY138" i="34" a="1"/>
  <c r="GY138" i="34" s="1"/>
  <c r="GZ30" i="34" a="1"/>
  <c r="GZ30" i="34" s="1"/>
  <c r="GV235" i="34" a="1"/>
  <c r="GV235" i="34" s="1"/>
  <c r="GU110" i="34" a="1"/>
  <c r="GU110" i="34" s="1"/>
  <c r="GU87" i="34" a="1"/>
  <c r="GU87" i="34" s="1"/>
  <c r="GZ115" i="34" a="1"/>
  <c r="GZ115" i="34" s="1"/>
  <c r="GV249" i="34" a="1"/>
  <c r="GV249" i="34" s="1"/>
  <c r="GW146" i="34" a="1"/>
  <c r="GW146" i="34" s="1"/>
  <c r="GZ134" i="34" a="1"/>
  <c r="GZ134" i="34" s="1"/>
  <c r="HI230" i="34"/>
  <c r="FY213" i="34"/>
  <c r="GZ246" i="34" a="1"/>
  <c r="GZ246" i="34" s="1"/>
  <c r="GT152" i="34" a="1"/>
  <c r="GT152" i="34" s="1"/>
  <c r="GZ97" i="34" a="1"/>
  <c r="GZ97" i="34" s="1"/>
  <c r="GX89" i="34" a="1"/>
  <c r="GX89" i="34" s="1"/>
  <c r="GV106" i="34" a="1"/>
  <c r="GV106" i="34" s="1"/>
  <c r="GY107" i="34" a="1"/>
  <c r="GY107" i="34" s="1"/>
  <c r="HE134" i="34"/>
  <c r="HH134" i="34" s="1"/>
  <c r="GW123" i="34" a="1"/>
  <c r="GW123" i="34" s="1"/>
  <c r="GY219" i="34" a="1"/>
  <c r="GY219" i="34" s="1"/>
  <c r="GT118" i="34" a="1"/>
  <c r="GT118" i="34" s="1"/>
  <c r="HF208" i="34"/>
  <c r="HF211" i="34"/>
  <c r="GU192" i="34" a="1"/>
  <c r="GU192" i="34" s="1"/>
  <c r="GW25" i="34" a="1"/>
  <c r="GW25" i="34" s="1"/>
  <c r="GY220" i="34" a="1"/>
  <c r="GY220" i="34" s="1"/>
  <c r="HF81" i="34"/>
  <c r="GT209" i="34" a="1"/>
  <c r="GT209" i="34" s="1"/>
  <c r="GT180" i="34" a="1"/>
  <c r="GT180" i="34" s="1"/>
  <c r="GT22" i="34" a="1"/>
  <c r="GT22" i="34" s="1"/>
  <c r="GU128" i="34" a="1"/>
  <c r="GU128" i="34" s="1"/>
  <c r="GZ157" i="34" a="1"/>
  <c r="GZ157" i="34" s="1"/>
  <c r="GY164" i="34" a="1"/>
  <c r="GY164" i="34" s="1"/>
  <c r="GV53" i="34" a="1"/>
  <c r="GV53" i="34" s="1"/>
  <c r="GY241" i="34" a="1"/>
  <c r="GY241" i="34" s="1"/>
  <c r="GV35" i="34" a="1"/>
  <c r="GV35" i="34" s="1"/>
  <c r="GU136" i="34" a="1"/>
  <c r="GU136" i="34" s="1"/>
  <c r="GX25" i="34" a="1"/>
  <c r="GX25" i="34" s="1"/>
  <c r="GU172" i="34" a="1"/>
  <c r="GU172" i="34" s="1"/>
  <c r="GU202" i="34" a="1"/>
  <c r="GU202" i="34" s="1"/>
  <c r="GZ204" i="34" a="1"/>
  <c r="GZ204" i="34" s="1"/>
  <c r="GV58" i="34" a="1"/>
  <c r="GV58" i="34" s="1"/>
  <c r="GW116" i="34" a="1"/>
  <c r="GW116" i="34" s="1"/>
  <c r="GU177" i="34" a="1"/>
  <c r="GU177" i="34" s="1"/>
  <c r="GW196" i="34" a="1"/>
  <c r="GW196" i="34" s="1"/>
  <c r="GX33" i="34" a="1"/>
  <c r="GX33" i="34" s="1"/>
  <c r="GU152" i="34" a="1"/>
  <c r="GU152" i="34" s="1"/>
  <c r="GX121" i="34" a="1"/>
  <c r="GX121" i="34" s="1"/>
  <c r="GV144" i="34" a="1"/>
  <c r="GV144" i="34" s="1"/>
  <c r="GV241" i="34" a="1"/>
  <c r="GV241" i="34" s="1"/>
  <c r="GV55" i="34" a="1"/>
  <c r="GV55" i="34" s="1"/>
  <c r="GX67" i="34" a="1"/>
  <c r="GX67" i="34" s="1"/>
  <c r="GX55" i="34" a="1"/>
  <c r="GX55" i="34" s="1"/>
  <c r="HI132" i="34"/>
  <c r="HI81" i="34"/>
  <c r="HI214" i="34"/>
  <c r="HF227" i="34"/>
  <c r="HF214" i="34"/>
  <c r="HF177" i="34"/>
  <c r="FY246" i="34"/>
  <c r="HF244" i="34"/>
  <c r="GW134" i="34" a="1"/>
  <c r="GW134" i="34" s="1"/>
  <c r="GV38" i="34" a="1"/>
  <c r="GV38" i="34" s="1"/>
  <c r="GW203" i="34" a="1"/>
  <c r="GW203" i="34" s="1"/>
  <c r="HE100" i="34"/>
  <c r="HH100" i="34" s="1"/>
  <c r="GT59" i="34" a="1"/>
  <c r="GT59" i="34" s="1"/>
  <c r="GT205" i="34" a="1"/>
  <c r="GT205" i="34" s="1"/>
  <c r="GT98" i="34" a="1"/>
  <c r="GT98" i="34" s="1"/>
  <c r="GZ167" i="34" a="1"/>
  <c r="GZ167" i="34" s="1"/>
  <c r="GY182" i="34" a="1"/>
  <c r="GY182" i="34" s="1"/>
  <c r="GX178" i="34" a="1"/>
  <c r="GX178" i="34" s="1"/>
  <c r="GX131" i="34" a="1"/>
  <c r="GX131" i="34" s="1"/>
  <c r="GY139" i="34" a="1"/>
  <c r="GY139" i="34" s="1"/>
  <c r="GY231" i="34" a="1"/>
  <c r="GY231" i="34" s="1"/>
  <c r="GV49" i="34" a="1"/>
  <c r="GV49" i="34" s="1"/>
  <c r="GY141" i="34" a="1"/>
  <c r="GY141" i="34" s="1"/>
  <c r="GY209" i="34" a="1"/>
  <c r="GY209" i="34" s="1"/>
  <c r="GV225" i="34" a="1"/>
  <c r="GV225" i="34" s="1"/>
  <c r="GY179" i="34" a="1"/>
  <c r="GY179" i="34" s="1"/>
  <c r="GZ234" i="34" a="1"/>
  <c r="GZ234" i="34" s="1"/>
  <c r="GY55" i="34" a="1"/>
  <c r="GY55" i="34" s="1"/>
  <c r="GZ80" i="34" a="1"/>
  <c r="GZ80" i="34" s="1"/>
  <c r="GW133" i="34" a="1"/>
  <c r="GW133" i="34" s="1"/>
  <c r="HI17" i="34"/>
  <c r="FY24" i="34"/>
  <c r="HF199" i="34"/>
  <c r="GU154" i="34" a="1"/>
  <c r="GU154" i="34" s="1"/>
  <c r="GT214" i="34" a="1"/>
  <c r="GT214" i="34" s="1"/>
  <c r="GV111" i="34" a="1"/>
  <c r="GV111" i="34" s="1"/>
  <c r="GX188" i="34" a="1"/>
  <c r="GX188" i="34" s="1"/>
  <c r="GY174" i="34" a="1"/>
  <c r="GY174" i="34" s="1"/>
  <c r="GW193" i="34" a="1"/>
  <c r="GW193" i="34" s="1"/>
  <c r="GZ197" i="34" a="1"/>
  <c r="GZ197" i="34" s="1"/>
  <c r="GX154" i="34" a="1"/>
  <c r="GX154" i="34" s="1"/>
  <c r="GU246" i="34" a="1"/>
  <c r="GU246" i="34" s="1"/>
  <c r="GX153" i="34" a="1"/>
  <c r="GX153" i="34" s="1"/>
  <c r="GX14" i="34" a="1"/>
  <c r="GX14" i="34" s="1"/>
  <c r="FY27" i="34"/>
  <c r="GZ189" i="34" a="1"/>
  <c r="GZ189" i="34" s="1"/>
  <c r="GT62" i="34" a="1"/>
  <c r="GT62" i="34" s="1"/>
  <c r="GY162" i="34" a="1"/>
  <c r="GY162" i="34" s="1"/>
  <c r="GU142" i="34" a="1"/>
  <c r="GU142" i="34" s="1"/>
  <c r="GZ69" i="34" a="1"/>
  <c r="GZ69" i="34" s="1"/>
  <c r="HI47" i="34"/>
  <c r="GT82" i="34" a="1"/>
  <c r="GT82" i="34" s="1"/>
  <c r="GV237" i="34" a="1"/>
  <c r="GV237" i="34" s="1"/>
  <c r="GV70" i="34" a="1"/>
  <c r="GV70" i="34" s="1"/>
  <c r="GY54" i="34" a="1"/>
  <c r="GY54" i="34" s="1"/>
  <c r="GW28" i="34" a="1"/>
  <c r="GW28" i="34" s="1"/>
  <c r="GX96" i="34" a="1"/>
  <c r="GX96" i="34" s="1"/>
  <c r="GV54" i="34" a="1"/>
  <c r="GV54" i="34" s="1"/>
  <c r="GX37" i="34" a="1"/>
  <c r="GX37" i="34" s="1"/>
  <c r="GX175" i="34" a="1"/>
  <c r="GX175" i="34" s="1"/>
  <c r="GW93" i="34" a="1"/>
  <c r="GW93" i="34" s="1"/>
  <c r="GY157" i="34" a="1"/>
  <c r="GY157" i="34" s="1"/>
  <c r="GZ10" i="34" a="1"/>
  <c r="GZ10" i="34" s="1"/>
  <c r="GW233" i="34" a="1"/>
  <c r="GW233" i="34" s="1"/>
  <c r="HI115" i="34"/>
  <c r="HI150" i="34"/>
  <c r="HI33" i="34"/>
  <c r="HI107" i="34"/>
  <c r="HF154" i="34"/>
  <c r="HE126" i="34"/>
  <c r="HH126" i="34" s="1"/>
  <c r="HF28" i="34"/>
  <c r="HE31" i="34"/>
  <c r="HH31" i="34" s="1"/>
  <c r="HE210" i="34"/>
  <c r="HH210" i="34" s="1"/>
  <c r="HJ210" i="34" s="1"/>
  <c r="GY97" i="34" a="1"/>
  <c r="GY97" i="34" s="1"/>
  <c r="GV126" i="34" a="1"/>
  <c r="GV126" i="34" s="1"/>
  <c r="GZ53" i="34" a="1"/>
  <c r="GZ53" i="34" s="1"/>
  <c r="GT88" i="34" a="1"/>
  <c r="GT88" i="34" s="1"/>
  <c r="GT244" i="34" a="1"/>
  <c r="GT244" i="34" s="1"/>
  <c r="GT77" i="34" a="1"/>
  <c r="GT77" i="34" s="1"/>
  <c r="GT85" i="34" a="1"/>
  <c r="GT85" i="34" s="1"/>
  <c r="GX57" i="34" a="1"/>
  <c r="GX57" i="34" s="1"/>
  <c r="GV47" i="34" a="1"/>
  <c r="GV47" i="34" s="1"/>
  <c r="GU62" i="34" a="1"/>
  <c r="GU62" i="34" s="1"/>
  <c r="GW58" i="34" a="1"/>
  <c r="GW58" i="34" s="1"/>
  <c r="GY183" i="34" a="1"/>
  <c r="GY183" i="34" s="1"/>
  <c r="GY35" i="34" a="1"/>
  <c r="GY35" i="34" s="1"/>
  <c r="GY221" i="34" a="1"/>
  <c r="GY221" i="34" s="1"/>
  <c r="GZ9" i="34" a="1"/>
  <c r="GZ9" i="34" s="1"/>
  <c r="GV162" i="34" a="1"/>
  <c r="GV162" i="34" s="1"/>
  <c r="GW119" i="34" a="1"/>
  <c r="GW119" i="34" s="1"/>
  <c r="GU24" i="34" a="1"/>
  <c r="GU24" i="34" s="1"/>
  <c r="GV220" i="34" a="1"/>
  <c r="GV220" i="34" s="1"/>
  <c r="GY74" i="34" a="1"/>
  <c r="GY74" i="34" s="1"/>
  <c r="GZ68" i="34" a="1"/>
  <c r="GZ68" i="34" s="1"/>
  <c r="GU30" i="34" a="1"/>
  <c r="GU30" i="34" s="1"/>
  <c r="HI83" i="34"/>
  <c r="IF83" i="34" s="1"/>
  <c r="FY243" i="34"/>
  <c r="FY107" i="34"/>
  <c r="GV152" i="34" a="1"/>
  <c r="GV152" i="34" s="1"/>
  <c r="GT187" i="34" a="1"/>
  <c r="GT187" i="34" s="1"/>
  <c r="GW62" i="34" a="1"/>
  <c r="GW62" i="34" s="1"/>
  <c r="GV8" i="34" a="1"/>
  <c r="GV8" i="34" s="1"/>
  <c r="GU212" i="34" a="1"/>
  <c r="GU212" i="34" s="1"/>
  <c r="GY202" i="34" a="1"/>
  <c r="GY202" i="34" s="1"/>
  <c r="GU155" i="34" a="1"/>
  <c r="GU155" i="34" s="1"/>
  <c r="GY156" i="34" a="1"/>
  <c r="GY156" i="34" s="1"/>
  <c r="GW126" i="34" a="1"/>
  <c r="GW126" i="34" s="1"/>
  <c r="GX150" i="34" a="1"/>
  <c r="GX150" i="34" s="1"/>
  <c r="HI69" i="34"/>
  <c r="IF69" i="34" s="1"/>
  <c r="HF76" i="34"/>
  <c r="GU79" i="34" a="1"/>
  <c r="GU79" i="34" s="1"/>
  <c r="GT207" i="34" a="1"/>
  <c r="GT207" i="34" s="1"/>
  <c r="GX230" i="34" a="1"/>
  <c r="GX230" i="34" s="1"/>
  <c r="GU114" i="34" a="1"/>
  <c r="GU114" i="34" s="1"/>
  <c r="GZ124" i="34" a="1"/>
  <c r="GZ124" i="34" s="1"/>
  <c r="HI35" i="34"/>
  <c r="GT80" i="34" a="1"/>
  <c r="GT80" i="34" s="1"/>
  <c r="HE89" i="34"/>
  <c r="HH89" i="34" s="1"/>
  <c r="GU173" i="34" a="1"/>
  <c r="GU173" i="34" s="1"/>
  <c r="GZ203" i="34" a="1"/>
  <c r="GZ203" i="34" s="1"/>
  <c r="GV74" i="34" a="1"/>
  <c r="GV74" i="34" s="1"/>
  <c r="GV40" i="34" a="1"/>
  <c r="GV40" i="34" s="1"/>
  <c r="GY29" i="34" a="1"/>
  <c r="GY29" i="34" s="1"/>
  <c r="GW198" i="34" a="1"/>
  <c r="GW198" i="34" s="1"/>
  <c r="GW183" i="34" a="1"/>
  <c r="GW183" i="34" s="1"/>
  <c r="GV51" i="34" a="1"/>
  <c r="GV51" i="34" s="1"/>
  <c r="GW65" i="34" a="1"/>
  <c r="GW65" i="34" s="1"/>
  <c r="GZ21" i="34" a="1"/>
  <c r="GZ21" i="34" s="1"/>
  <c r="GV197" i="34" a="1"/>
  <c r="GV197" i="34" s="1"/>
  <c r="HI184" i="34"/>
  <c r="IF184" i="34" s="1"/>
  <c r="HI248" i="34"/>
  <c r="IF248" i="34" s="1"/>
  <c r="HI75" i="34"/>
  <c r="IF75" i="34" s="1"/>
  <c r="HI22" i="34"/>
  <c r="FY72" i="34"/>
  <c r="HF38" i="34"/>
  <c r="HF149" i="34"/>
  <c r="FY49" i="34"/>
  <c r="GT165" i="34" a="1"/>
  <c r="GT165" i="34" s="1"/>
  <c r="GU229" i="34" a="1"/>
  <c r="GU229" i="34" s="1"/>
  <c r="GW186" i="34" a="1"/>
  <c r="GW186" i="34" s="1"/>
  <c r="GZ82" i="34" a="1"/>
  <c r="GZ82" i="34" s="1"/>
  <c r="GT14" i="34" a="1"/>
  <c r="GT14" i="34" s="1"/>
  <c r="GT220" i="34" a="1"/>
  <c r="GT220" i="34" s="1"/>
  <c r="GT53" i="34" a="1"/>
  <c r="GT53" i="34" s="1"/>
  <c r="GT249" i="34" a="1"/>
  <c r="GT249" i="34" s="1"/>
  <c r="GU12" i="34" a="1"/>
  <c r="GU12" i="34" s="1"/>
  <c r="GX46" i="34" a="1"/>
  <c r="GX46" i="34" s="1"/>
  <c r="GY57" i="34" a="1"/>
  <c r="GY57" i="34" s="1"/>
  <c r="GZ110" i="34" a="1"/>
  <c r="GZ110" i="34" s="1"/>
  <c r="GX120" i="34" a="1"/>
  <c r="GX120" i="34" s="1"/>
  <c r="GX88" i="34" a="1"/>
  <c r="GX88" i="34" s="1"/>
  <c r="GW224" i="34" a="1"/>
  <c r="GW224" i="34" s="1"/>
  <c r="GY70" i="34" a="1"/>
  <c r="GY70" i="34" s="1"/>
  <c r="GZ99" i="34" a="1"/>
  <c r="GZ99" i="34" s="1"/>
  <c r="GY200" i="34" a="1"/>
  <c r="GY200" i="34" s="1"/>
  <c r="GZ37" i="34" a="1"/>
  <c r="GZ37" i="34" s="1"/>
  <c r="GW91" i="34" a="1"/>
  <c r="GW91" i="34" s="1"/>
  <c r="GW23" i="34" a="1"/>
  <c r="GW23" i="34" s="1"/>
  <c r="GW158" i="34" a="1"/>
  <c r="GW158" i="34" s="1"/>
  <c r="HI51" i="34"/>
  <c r="HI37" i="34"/>
  <c r="HF222" i="34"/>
  <c r="FY66" i="34"/>
  <c r="GZ208" i="34" a="1"/>
  <c r="GZ208" i="34" s="1"/>
  <c r="GT130" i="34" a="1"/>
  <c r="GT130" i="34" s="1"/>
  <c r="GX206" i="34" a="1"/>
  <c r="GX206" i="34" s="1"/>
  <c r="GV109" i="34" a="1"/>
  <c r="GV109" i="34" s="1"/>
  <c r="GV164" i="34" a="1"/>
  <c r="GV164" i="34" s="1"/>
  <c r="GZ58" i="34" a="1"/>
  <c r="GZ58" i="34" s="1"/>
  <c r="GV229" i="34" a="1"/>
  <c r="GV229" i="34" s="1"/>
  <c r="GY58" i="34" a="1"/>
  <c r="GY58" i="34" s="1"/>
  <c r="GW147" i="34" a="1"/>
  <c r="GW147" i="34" s="1"/>
  <c r="GZ50" i="34" a="1"/>
  <c r="GZ50" i="34" s="1"/>
  <c r="HI191" i="34"/>
  <c r="HF148" i="34"/>
  <c r="GY195" i="34" a="1"/>
  <c r="GY195" i="34" s="1"/>
  <c r="GT32" i="34" a="1"/>
  <c r="GT32" i="34" s="1"/>
  <c r="GY186" i="34" a="1"/>
  <c r="GY186" i="34" s="1"/>
  <c r="GU73" i="34" a="1"/>
  <c r="GU73" i="34" s="1"/>
  <c r="GV179" i="34" a="1"/>
  <c r="GV179" i="34" s="1"/>
  <c r="HY179" i="34" s="1"/>
  <c r="HI246" i="34"/>
  <c r="GT197" i="34" a="1"/>
  <c r="GT197" i="34" s="1"/>
  <c r="HE161" i="34"/>
  <c r="HH161" i="34" s="1"/>
  <c r="GU65" i="34" a="1"/>
  <c r="GU65" i="34" s="1"/>
  <c r="GV184" i="34" a="1"/>
  <c r="GV184" i="34" s="1"/>
  <c r="GY62" i="34" a="1"/>
  <c r="GY62" i="34" s="1"/>
  <c r="GU198" i="34" a="1"/>
  <c r="GU198" i="34" s="1"/>
  <c r="GU206" i="34" a="1"/>
  <c r="GU206" i="34" s="1"/>
  <c r="GX75" i="34" a="1"/>
  <c r="GX75" i="34" s="1"/>
  <c r="GV123" i="34" a="1"/>
  <c r="GV123" i="34" s="1"/>
  <c r="GU118" i="34" a="1"/>
  <c r="GU118" i="34" s="1"/>
  <c r="GV166" i="34" a="1"/>
  <c r="GV166" i="34" s="1"/>
  <c r="GU80" i="34" a="1"/>
  <c r="GU80" i="34" s="1"/>
  <c r="GZ94" i="34" a="1"/>
  <c r="GZ94" i="34" s="1"/>
  <c r="HI159" i="34"/>
  <c r="HI142" i="34"/>
  <c r="HI130" i="34"/>
  <c r="HI143" i="34"/>
  <c r="HE242" i="34"/>
  <c r="HH242" i="34" s="1"/>
  <c r="HE139" i="34"/>
  <c r="HH139" i="34" s="1"/>
  <c r="FY172" i="34"/>
  <c r="FY99" i="34"/>
  <c r="GT141" i="34" a="1"/>
  <c r="GT141" i="34" s="1"/>
  <c r="GW78" i="34" a="1"/>
  <c r="GW78" i="34" s="1"/>
  <c r="GW75" i="34" a="1"/>
  <c r="GW75" i="34" s="1"/>
  <c r="GX10" i="34" a="1"/>
  <c r="GX10" i="34" s="1"/>
  <c r="GT115" i="34" a="1"/>
  <c r="GT115" i="34" s="1"/>
  <c r="GT150" i="34" a="1"/>
  <c r="GT150" i="34" s="1"/>
  <c r="GT78" i="34" a="1"/>
  <c r="GT78" i="34" s="1"/>
  <c r="GT219" i="34" a="1"/>
  <c r="GT219" i="34" s="1"/>
  <c r="GU58" i="34" a="1"/>
  <c r="GU58" i="34" s="1"/>
  <c r="GU153" i="34" a="1"/>
  <c r="GU153" i="34" s="1"/>
  <c r="GX130" i="34" a="1"/>
  <c r="GX130" i="34" s="1"/>
  <c r="GU16" i="34" a="1"/>
  <c r="GU16" i="34" s="1"/>
  <c r="GX145" i="34" a="1"/>
  <c r="GX145" i="34" s="1"/>
  <c r="GV246" i="34" a="1"/>
  <c r="GV246" i="34" s="1"/>
  <c r="GW216" i="34" a="1"/>
  <c r="GW216" i="34" s="1"/>
  <c r="GU163" i="34" a="1"/>
  <c r="GU163" i="34" s="1"/>
  <c r="GX233" i="34" a="1"/>
  <c r="GX233" i="34" s="1"/>
  <c r="GY246" i="34" a="1"/>
  <c r="GY246" i="34" s="1"/>
  <c r="GX48" i="34" a="1"/>
  <c r="GX48" i="34" s="1"/>
  <c r="GY42" i="34" a="1"/>
  <c r="GY42" i="34" s="1"/>
  <c r="GU99" i="34" a="1"/>
  <c r="GU99" i="34" s="1"/>
  <c r="GY86" i="34" a="1"/>
  <c r="GY86" i="34" s="1"/>
  <c r="HI228" i="34"/>
  <c r="HI148" i="34"/>
  <c r="FY22" i="34"/>
  <c r="GT156" i="34" a="1"/>
  <c r="GT156" i="34" s="1"/>
  <c r="GX213" i="34" a="1"/>
  <c r="GX213" i="34" s="1"/>
  <c r="GT222" i="34" a="1"/>
  <c r="GT222" i="34" s="1"/>
  <c r="GW163" i="34" a="1"/>
  <c r="GW163" i="34" s="1"/>
  <c r="GW211" i="34" a="1"/>
  <c r="GW211" i="34" s="1"/>
  <c r="GU242" i="34" a="1"/>
  <c r="GU242" i="34" s="1"/>
  <c r="GX180" i="34" a="1"/>
  <c r="GX180" i="34" s="1"/>
  <c r="GX104" i="34" a="1"/>
  <c r="GX104" i="34" s="1"/>
  <c r="GZ210" i="34" a="1"/>
  <c r="GZ210" i="34" s="1"/>
  <c r="GV203" i="34" a="1"/>
  <c r="GV203" i="34" s="1"/>
  <c r="GV236" i="34" a="1"/>
  <c r="GV236" i="34" s="1"/>
  <c r="HI146" i="34"/>
  <c r="FY177" i="34"/>
  <c r="GW159" i="34" a="1"/>
  <c r="GW159" i="34" s="1"/>
  <c r="GT134" i="34" a="1"/>
  <c r="GT134" i="34" s="1"/>
  <c r="GX144" i="34" a="1"/>
  <c r="GX144" i="34" s="1"/>
  <c r="GX18" i="34" a="1"/>
  <c r="GX18" i="34" s="1"/>
  <c r="GW189" i="34" a="1"/>
  <c r="GW189" i="34" s="1"/>
  <c r="HE26" i="34"/>
  <c r="HH26" i="34" s="1"/>
  <c r="GZ187" i="34" a="1"/>
  <c r="GZ187" i="34" s="1"/>
  <c r="FY70" i="34"/>
  <c r="GT111" i="34" a="1"/>
  <c r="GT111" i="34" s="1"/>
  <c r="GX223" i="34" a="1"/>
  <c r="GX223" i="34" s="1"/>
  <c r="GZ214" i="34" a="1"/>
  <c r="GZ214" i="34" s="1"/>
  <c r="GX74" i="34" a="1"/>
  <c r="GX74" i="34" s="1"/>
  <c r="GT213" i="34" a="1"/>
  <c r="GT213" i="34" s="1"/>
  <c r="GT47" i="34" a="1"/>
  <c r="GT47" i="34" s="1"/>
  <c r="GT25" i="34" a="1"/>
  <c r="GT25" i="34" s="1"/>
  <c r="GY25" i="34" a="1"/>
  <c r="GY25" i="34" s="1"/>
  <c r="GZ59" i="34" a="1"/>
  <c r="GZ59" i="34" s="1"/>
  <c r="GZ156" i="34" a="1"/>
  <c r="GZ156" i="34" s="1"/>
  <c r="GW16" i="34" a="1"/>
  <c r="GW16" i="34" s="1"/>
  <c r="GW112" i="34" a="1"/>
  <c r="GW112" i="34" s="1"/>
  <c r="GW250" i="34" a="1"/>
  <c r="GW250" i="34" s="1"/>
  <c r="GV142" i="34" a="1"/>
  <c r="GV142" i="34" s="1"/>
  <c r="GV80" i="34" a="1"/>
  <c r="GV80" i="34" s="1"/>
  <c r="GY211" i="34" a="1"/>
  <c r="GY211" i="34" s="1"/>
  <c r="GV42" i="34" a="1"/>
  <c r="GV42" i="34" s="1"/>
  <c r="GX40" i="34" a="1"/>
  <c r="GX40" i="34" s="1"/>
  <c r="GZ74" i="34" a="1"/>
  <c r="GZ74" i="34" s="1"/>
  <c r="GU238" i="34" a="1"/>
  <c r="GU238" i="34" s="1"/>
  <c r="GW241" i="34" a="1"/>
  <c r="GW241" i="34" s="1"/>
  <c r="GW127" i="34" a="1"/>
  <c r="GW127" i="34" s="1"/>
  <c r="GW175" i="34" a="1"/>
  <c r="GW175" i="34" s="1"/>
  <c r="GW135" i="34" a="1"/>
  <c r="GW135" i="34" s="1"/>
  <c r="GU29" i="34" a="1"/>
  <c r="GU29" i="34" s="1"/>
  <c r="GV60" i="34" a="1"/>
  <c r="GV60" i="34" s="1"/>
  <c r="GU223" i="34" a="1"/>
  <c r="GU223" i="34" s="1"/>
  <c r="GZ77" i="34" a="1"/>
  <c r="GZ77" i="34" s="1"/>
  <c r="GX139" i="34" a="1"/>
  <c r="GX139" i="34" s="1"/>
  <c r="GW74" i="34" a="1"/>
  <c r="GW74" i="34" s="1"/>
  <c r="HI160" i="34"/>
  <c r="HI16" i="34"/>
  <c r="HI200" i="34"/>
  <c r="HI162" i="34"/>
  <c r="FY83" i="34"/>
  <c r="HF102" i="34"/>
  <c r="HE231" i="34"/>
  <c r="HH231" i="34" s="1"/>
  <c r="HF41" i="34"/>
  <c r="GT76" i="34" a="1"/>
  <c r="GT76" i="34" s="1"/>
  <c r="GZ105" i="34" a="1"/>
  <c r="GZ105" i="34" s="1"/>
  <c r="GW194" i="34" a="1"/>
  <c r="GW194" i="34" s="1"/>
  <c r="GY146" i="34" a="1"/>
  <c r="GY146" i="34" s="1"/>
  <c r="GT170" i="34" a="1"/>
  <c r="GT170" i="34" s="1"/>
  <c r="GT110" i="34" a="1"/>
  <c r="GT110" i="34" s="1"/>
  <c r="GT225" i="34" a="1"/>
  <c r="GT225" i="34" s="1"/>
  <c r="GY108" i="34" a="1"/>
  <c r="GY108" i="34" s="1"/>
  <c r="GU210" i="34" a="1"/>
  <c r="GU210" i="34" s="1"/>
  <c r="GY89" i="34" a="1"/>
  <c r="GY89" i="34" s="1"/>
  <c r="GV185" i="34" a="1"/>
  <c r="GV185" i="34" s="1"/>
  <c r="GV12" i="34" a="1"/>
  <c r="GV12" i="34" s="1"/>
  <c r="GW226" i="34" a="1"/>
  <c r="GW226" i="34" s="1"/>
  <c r="GY113" i="34" a="1"/>
  <c r="GY113" i="34" s="1"/>
  <c r="GW35" i="34" a="1"/>
  <c r="GW35" i="34" s="1"/>
  <c r="GY155" i="34" a="1"/>
  <c r="GY155" i="34" s="1"/>
  <c r="GX148" i="34" a="1"/>
  <c r="GX148" i="34" s="1"/>
  <c r="GV83" i="34" a="1"/>
  <c r="GV83" i="34" s="1"/>
  <c r="GW220" i="34" a="1"/>
  <c r="GW220" i="34" s="1"/>
  <c r="GY19" i="34" a="1"/>
  <c r="GY19" i="34" s="1"/>
  <c r="GZ47" i="34" a="1"/>
  <c r="GZ47" i="34" s="1"/>
  <c r="GV85" i="34" a="1"/>
  <c r="GV85" i="34" s="1"/>
  <c r="HI216" i="34"/>
  <c r="HI141" i="34"/>
  <c r="HF103" i="34"/>
  <c r="GT183" i="34" a="1"/>
  <c r="GT183" i="34" s="1"/>
  <c r="GX168" i="34" a="1"/>
  <c r="GX168" i="34" s="1"/>
  <c r="GT84" i="34" a="1"/>
  <c r="GT84" i="34" s="1"/>
  <c r="GY213" i="34" a="1"/>
  <c r="GY213" i="34" s="1"/>
  <c r="GZ249" i="34" a="1"/>
  <c r="GZ249" i="34" s="1"/>
  <c r="GV118" i="34" a="1"/>
  <c r="GV118" i="34" s="1"/>
  <c r="GZ171" i="34" a="1"/>
  <c r="GZ171" i="34" s="1"/>
  <c r="GZ43" i="34" a="1"/>
  <c r="GZ43" i="34" s="1"/>
  <c r="GU76" i="34" a="1"/>
  <c r="GU76" i="34" s="1"/>
  <c r="GU126" i="34" a="1"/>
  <c r="GU126" i="34" s="1"/>
  <c r="GU165" i="34" a="1"/>
  <c r="GU165" i="34" s="1"/>
  <c r="HI167" i="34"/>
  <c r="HF163" i="34"/>
  <c r="GX27" i="34" a="1"/>
  <c r="GX27" i="34" s="1"/>
  <c r="GT11" i="34" a="1"/>
  <c r="GT11" i="34" s="1"/>
  <c r="GU13" i="34" a="1"/>
  <c r="GU13" i="34" s="1"/>
  <c r="GW190" i="34" a="1"/>
  <c r="GW190" i="34" s="1"/>
  <c r="GW64" i="34" a="1"/>
  <c r="GW64" i="34" s="1"/>
  <c r="FY96" i="34"/>
  <c r="GW45" i="34" a="1"/>
  <c r="GW45" i="34" s="1"/>
  <c r="HE244" i="34"/>
  <c r="HH244" i="34" s="1"/>
  <c r="GV208" i="34" a="1"/>
  <c r="GV208" i="34" s="1"/>
  <c r="GY61" i="34" a="1"/>
  <c r="GY61" i="34" s="1"/>
  <c r="HI222" i="34"/>
  <c r="FY59" i="34"/>
  <c r="GY151" i="34" a="1"/>
  <c r="GY151" i="34" s="1"/>
  <c r="GT236" i="34" a="1"/>
  <c r="GT236" i="34" s="1"/>
  <c r="GU25" i="34" a="1"/>
  <c r="GU25" i="34" s="1"/>
  <c r="GV68" i="34" a="1"/>
  <c r="GV68" i="34" s="1"/>
  <c r="GX152" i="34" a="1"/>
  <c r="GX152" i="34" s="1"/>
  <c r="GT163" i="34" a="1"/>
  <c r="GT163" i="34" s="1"/>
  <c r="GV148" i="34" a="1"/>
  <c r="GV148" i="34" s="1"/>
  <c r="GX203" i="34" a="1"/>
  <c r="GX203" i="34" s="1"/>
  <c r="GX95" i="34" a="1"/>
  <c r="GX95" i="34" s="1"/>
  <c r="HI154" i="34"/>
  <c r="HI226" i="34"/>
  <c r="HI127" i="34"/>
  <c r="HF14" i="34"/>
  <c r="HE42" i="34"/>
  <c r="HH42" i="34" s="1"/>
  <c r="HE53" i="34"/>
  <c r="HH53" i="34" s="1"/>
  <c r="HF136" i="34"/>
  <c r="HE97" i="34"/>
  <c r="HH97" i="34" s="1"/>
  <c r="GY236" i="34" a="1"/>
  <c r="GY236" i="34" s="1"/>
  <c r="GU191" i="34" a="1"/>
  <c r="GU191" i="34" s="1"/>
  <c r="GV20" i="34" a="1"/>
  <c r="GV20" i="34" s="1"/>
  <c r="HI41" i="34"/>
  <c r="GT128" i="34" a="1"/>
  <c r="GT128" i="34" s="1"/>
  <c r="GT158" i="34" a="1"/>
  <c r="GT158" i="34" s="1"/>
  <c r="GT9" i="34" a="1"/>
  <c r="GT9" i="34" s="1"/>
  <c r="GU10" i="34" a="1"/>
  <c r="GU10" i="34" s="1"/>
  <c r="GX116" i="34" a="1"/>
  <c r="GX116" i="34" s="1"/>
  <c r="GV98" i="34" a="1"/>
  <c r="GV98" i="34" s="1"/>
  <c r="GY214" i="34" a="1"/>
  <c r="GY214" i="34" s="1"/>
  <c r="GZ118" i="34" a="1"/>
  <c r="GZ118" i="34" s="1"/>
  <c r="GU188" i="34" a="1"/>
  <c r="GU188" i="34" s="1"/>
  <c r="GW182" i="34" a="1"/>
  <c r="GW182" i="34" s="1"/>
  <c r="GU98" i="34" a="1"/>
  <c r="GU98" i="34" s="1"/>
  <c r="GV93" i="34" a="1"/>
  <c r="GV93" i="34" s="1"/>
  <c r="GW222" i="34" a="1"/>
  <c r="GW222" i="34" s="1"/>
  <c r="GZ96" i="34" a="1"/>
  <c r="GZ96" i="34" s="1"/>
  <c r="GZ151" i="34" a="1"/>
  <c r="GZ151" i="34" s="1"/>
  <c r="GU113" i="34" a="1"/>
  <c r="GU113" i="34" s="1"/>
  <c r="GU227" i="34" a="1"/>
  <c r="GU227" i="34" s="1"/>
  <c r="GV231" i="34" a="1"/>
  <c r="GV231" i="34" s="1"/>
  <c r="HI117" i="34"/>
  <c r="FY186" i="34"/>
  <c r="HF68" i="34"/>
  <c r="GY95" i="34" a="1"/>
  <c r="GY95" i="34" s="1"/>
  <c r="GT102" i="34" a="1"/>
  <c r="GT102" i="34" s="1"/>
  <c r="GX190" i="34" a="1"/>
  <c r="GX190" i="34" s="1"/>
  <c r="GU81" i="34" a="1"/>
  <c r="GU81" i="34" s="1"/>
  <c r="GV155" i="34" a="1"/>
  <c r="GV155" i="34" s="1"/>
  <c r="GU175" i="34" a="1"/>
  <c r="GU175" i="34" s="1"/>
  <c r="GX13" i="34" a="1"/>
  <c r="GX13" i="34" s="1"/>
  <c r="GU249" i="34" a="1"/>
  <c r="GU249" i="34" s="1"/>
  <c r="GV45" i="34" a="1"/>
  <c r="GV45" i="34" s="1"/>
  <c r="GU140" i="34" a="1"/>
  <c r="GU140" i="34" s="1"/>
  <c r="GX9" i="34" a="1"/>
  <c r="GX9" i="34" s="1"/>
  <c r="HF145" i="34"/>
  <c r="HF122" i="34"/>
  <c r="GT176" i="34" a="1"/>
  <c r="GT176" i="34" s="1"/>
  <c r="GV96" i="34" a="1"/>
  <c r="GV96" i="34" s="1"/>
  <c r="GW29" i="34" a="1"/>
  <c r="GW29" i="34" s="1"/>
  <c r="GU197" i="34" a="1"/>
  <c r="GU197" i="34" s="1"/>
  <c r="GU232" i="34" a="1"/>
  <c r="GU232" i="34" s="1"/>
  <c r="HI145" i="34"/>
  <c r="GX50" i="34" a="1"/>
  <c r="GX50" i="34" s="1"/>
  <c r="GV165" i="34" a="1"/>
  <c r="GV165" i="34" s="1"/>
  <c r="GW180" i="34" a="1"/>
  <c r="GW180" i="34" s="1"/>
  <c r="GX59" i="34" a="1"/>
  <c r="GX59" i="34" s="1"/>
  <c r="GV242" i="34" a="1"/>
  <c r="GV242" i="34" s="1"/>
  <c r="GV182" i="34" a="1"/>
  <c r="GV182" i="34" s="1"/>
  <c r="GV32" i="34" a="1"/>
  <c r="GV32" i="34" s="1"/>
  <c r="GW42" i="34" a="1"/>
  <c r="GW42" i="34" s="1"/>
  <c r="GZ12" i="34" a="1"/>
  <c r="GZ12" i="34" s="1"/>
  <c r="GZ146" i="34" a="1"/>
  <c r="GZ146" i="34" s="1"/>
  <c r="GU234" i="34" a="1"/>
  <c r="GU234" i="34" s="1"/>
  <c r="GZ178" i="34" a="1"/>
  <c r="GZ178" i="34" s="1"/>
  <c r="GZ247" i="34" a="1"/>
  <c r="GZ247" i="34" s="1"/>
  <c r="GV57" i="34" a="1"/>
  <c r="GV57" i="34" s="1"/>
  <c r="GU200" i="34" a="1"/>
  <c r="GU200" i="34" s="1"/>
  <c r="GW171" i="34" a="1"/>
  <c r="GW171" i="34" s="1"/>
  <c r="GU129" i="34" a="1"/>
  <c r="GU129" i="34" s="1"/>
  <c r="GY47" i="34" a="1"/>
  <c r="GY47" i="34" s="1"/>
  <c r="GZ88" i="34" a="1"/>
  <c r="GZ88" i="34" s="1"/>
  <c r="GX220" i="34" a="1"/>
  <c r="GX220" i="34" s="1"/>
  <c r="HI91" i="34"/>
  <c r="HI79" i="34"/>
  <c r="HI158" i="34"/>
  <c r="HI24" i="34"/>
  <c r="HF157" i="34"/>
  <c r="HF67" i="34"/>
  <c r="FY228" i="34"/>
  <c r="FY120" i="34"/>
  <c r="GT148" i="34" a="1"/>
  <c r="GT148" i="34" s="1"/>
  <c r="GX100" i="34" a="1"/>
  <c r="GX100" i="34" s="1"/>
  <c r="GU127" i="34" a="1"/>
  <c r="GU127" i="34" s="1"/>
  <c r="GW103" i="34" a="1"/>
  <c r="GW103" i="34" s="1"/>
  <c r="GT235" i="34" a="1"/>
  <c r="GT235" i="34" s="1"/>
  <c r="GT97" i="34" a="1"/>
  <c r="GT97" i="34" s="1"/>
  <c r="GT20" i="34" a="1"/>
  <c r="GT20" i="34" s="1"/>
  <c r="GV228" i="34" a="1"/>
  <c r="GV228" i="34" s="1"/>
  <c r="GZ133" i="34" a="1"/>
  <c r="GZ133" i="34" s="1"/>
  <c r="GY244" i="34" a="1"/>
  <c r="GY244" i="34" s="1"/>
  <c r="GW249" i="34" a="1"/>
  <c r="GW249" i="34" s="1"/>
  <c r="GY33" i="34" a="1"/>
  <c r="GY33" i="34" s="1"/>
  <c r="GZ8" i="34" a="1"/>
  <c r="GZ8" i="34" s="1"/>
  <c r="GU69" i="34" a="1"/>
  <c r="GU69" i="34" s="1"/>
  <c r="GV202" i="34" a="1"/>
  <c r="GV202" i="34" s="1"/>
  <c r="GU19" i="34" a="1"/>
  <c r="GU19" i="34" s="1"/>
  <c r="GY83" i="34" a="1"/>
  <c r="GY83" i="34" s="1"/>
  <c r="GX164" i="34" a="1"/>
  <c r="GX164" i="34" s="1"/>
  <c r="GV207" i="34" a="1"/>
  <c r="GV207" i="34" s="1"/>
  <c r="GY152" i="34" a="1"/>
  <c r="GY152" i="34" s="1"/>
  <c r="GZ212" i="34" a="1"/>
  <c r="GZ212" i="34" s="1"/>
  <c r="GV46" i="34" a="1"/>
  <c r="GV46" i="34" s="1"/>
  <c r="GV171" i="34" a="1"/>
  <c r="GV171" i="34" s="1"/>
  <c r="GX134" i="34" a="1"/>
  <c r="GX134" i="34" s="1"/>
  <c r="GU170" i="34" a="1"/>
  <c r="GU170" i="34" s="1"/>
  <c r="GU241" i="34" a="1"/>
  <c r="GU241" i="34" s="1"/>
  <c r="GU130" i="34" a="1"/>
  <c r="GU130" i="34" s="1"/>
  <c r="GX201" i="34" a="1"/>
  <c r="GX201" i="34" s="1"/>
  <c r="HI203" i="34"/>
  <c r="IF203" i="34" s="1"/>
  <c r="HI194" i="34"/>
  <c r="HI183" i="34"/>
  <c r="HE217" i="34"/>
  <c r="HH217" i="34" s="1"/>
  <c r="HF95" i="34"/>
  <c r="HF161" i="34"/>
  <c r="GU72" i="34" a="1"/>
  <c r="GU72" i="34" s="1"/>
  <c r="GW100" i="34" a="1"/>
  <c r="GW100" i="34" s="1"/>
  <c r="GT101" i="34" a="1"/>
  <c r="GT101" i="34" s="1"/>
  <c r="GT142" i="34" a="1"/>
  <c r="GT142" i="34" s="1"/>
  <c r="GT184" i="34" a="1"/>
  <c r="GT184" i="34" s="1"/>
  <c r="GV92" i="34" a="1"/>
  <c r="GV92" i="34" s="1"/>
  <c r="GX77" i="34" a="1"/>
  <c r="GX77" i="34" s="1"/>
  <c r="GY99" i="34" a="1"/>
  <c r="GY99" i="34" s="1"/>
  <c r="GY184" i="34" a="1"/>
  <c r="GY184" i="34" s="1"/>
  <c r="GV39" i="34" a="1"/>
  <c r="GV39" i="34" s="1"/>
  <c r="GV140" i="34" a="1"/>
  <c r="GV140" i="34" s="1"/>
  <c r="GX240" i="34" a="1"/>
  <c r="GX240" i="34" s="1"/>
  <c r="GW238" i="34" a="1"/>
  <c r="GW238" i="34" s="1"/>
  <c r="HI72" i="34"/>
  <c r="HI64" i="34"/>
  <c r="HF35" i="34"/>
  <c r="GW200" i="34" a="1"/>
  <c r="GW200" i="34" s="1"/>
  <c r="GT68" i="34" a="1"/>
  <c r="GT68" i="34" s="1"/>
  <c r="GT211" i="34" a="1"/>
  <c r="GT211" i="34" s="1"/>
  <c r="GY147" i="34" a="1"/>
  <c r="GY147" i="34" s="1"/>
  <c r="GZ24" i="34" a="1"/>
  <c r="GZ24" i="34" s="1"/>
  <c r="GX222" i="34" a="1"/>
  <c r="GX222" i="34" s="1"/>
  <c r="HF232" i="34"/>
  <c r="FY23" i="34"/>
  <c r="GW218" i="34" a="1"/>
  <c r="GW218" i="34" s="1"/>
  <c r="GX147" i="34" a="1"/>
  <c r="GX147" i="34" s="1"/>
  <c r="GY248" i="34" a="1"/>
  <c r="GY248" i="34" s="1"/>
  <c r="GU71" i="34" a="1"/>
  <c r="GU71" i="34" s="1"/>
  <c r="GY201" i="34" a="1"/>
  <c r="GY201" i="34" s="1"/>
  <c r="IB201" i="34" s="1"/>
  <c r="GZ199" i="34" a="1"/>
  <c r="GZ199" i="34" s="1"/>
  <c r="GZ215" i="34" a="1"/>
  <c r="GZ215" i="34" s="1"/>
  <c r="GW212" i="34" a="1"/>
  <c r="GW212" i="34" s="1"/>
  <c r="GZ144" i="34" a="1"/>
  <c r="GZ144" i="34" s="1"/>
  <c r="GY22" i="34" a="1"/>
  <c r="GY22" i="34" s="1"/>
  <c r="GU193" i="34" a="1"/>
  <c r="GU193" i="34" s="1"/>
  <c r="GW71" i="34" a="1"/>
  <c r="GW71" i="34" s="1"/>
  <c r="GZ75" i="34" a="1"/>
  <c r="GZ75" i="34" s="1"/>
  <c r="GZ73" i="34" a="1"/>
  <c r="GZ73" i="34" s="1"/>
  <c r="GW20" i="34" a="1"/>
  <c r="GW20" i="34" s="1"/>
  <c r="HI205" i="34"/>
  <c r="HI116" i="34"/>
  <c r="HI231" i="34"/>
  <c r="HI178" i="34"/>
  <c r="HE87" i="34"/>
  <c r="HH87" i="34" s="1"/>
  <c r="FY209" i="34"/>
  <c r="HF101" i="34"/>
  <c r="HF142" i="34"/>
  <c r="GT212" i="34" a="1"/>
  <c r="GT212" i="34" s="1"/>
  <c r="GU138" i="34" a="1"/>
  <c r="GU138" i="34" s="1"/>
  <c r="GX61" i="34" a="1"/>
  <c r="GX61" i="34" s="1"/>
  <c r="GX106" i="34" a="1"/>
  <c r="GX106" i="34" s="1"/>
  <c r="GT172" i="34" a="1"/>
  <c r="GT172" i="34" s="1"/>
  <c r="GT81" i="34" a="1"/>
  <c r="GT81" i="34" s="1"/>
  <c r="GT177" i="34" a="1"/>
  <c r="GT177" i="34" s="1"/>
  <c r="GV15" i="34" a="1"/>
  <c r="GV15" i="34" s="1"/>
  <c r="GZ207" i="34" a="1"/>
  <c r="GZ207" i="34" s="1"/>
  <c r="GX218" i="34" a="1"/>
  <c r="GX218" i="34" s="1"/>
  <c r="GV99" i="34" a="1"/>
  <c r="GV99" i="34" s="1"/>
  <c r="GX197" i="34" a="1"/>
  <c r="GX197" i="34" s="1"/>
  <c r="GX166" i="34" a="1"/>
  <c r="GX166" i="34" s="1"/>
  <c r="GX76" i="34" a="1"/>
  <c r="GX76" i="34" s="1"/>
  <c r="GX128" i="34" a="1"/>
  <c r="GX128" i="34" s="1"/>
  <c r="GY188" i="34" a="1"/>
  <c r="GY188" i="34" s="1"/>
  <c r="GX21" i="34" a="1"/>
  <c r="GX21" i="34" s="1"/>
  <c r="GZ45" i="34" a="1"/>
  <c r="GZ45" i="34" s="1"/>
  <c r="IC45" i="34" s="1"/>
  <c r="GU108" i="34" a="1"/>
  <c r="GU108" i="34" s="1"/>
  <c r="GX228" i="34" a="1"/>
  <c r="GX228" i="34" s="1"/>
  <c r="GU233" i="34" a="1"/>
  <c r="GU233" i="34" s="1"/>
  <c r="GY134" i="34" a="1"/>
  <c r="GY134" i="34" s="1"/>
  <c r="GV192" i="34" a="1"/>
  <c r="GV192" i="34" s="1"/>
  <c r="GX110" i="34" a="1"/>
  <c r="GX110" i="34" s="1"/>
  <c r="GZ175" i="34" a="1"/>
  <c r="GZ175" i="34" s="1"/>
  <c r="GV116" i="34" a="1"/>
  <c r="GV116" i="34" s="1"/>
  <c r="GV65" i="34" a="1"/>
  <c r="GV65" i="34" s="1"/>
  <c r="GY82" i="34" a="1"/>
  <c r="GY82" i="34" s="1"/>
  <c r="HI137" i="34"/>
  <c r="HI10" i="34"/>
  <c r="HI220" i="34"/>
  <c r="FY176" i="34"/>
  <c r="FY97" i="34"/>
  <c r="GT23" i="34" a="1"/>
  <c r="GT23" i="34" s="1"/>
  <c r="GZ222" i="34" a="1"/>
  <c r="GZ222" i="34" s="1"/>
  <c r="GX19" i="34" a="1"/>
  <c r="GX19" i="34" s="1"/>
  <c r="GT56" i="34" a="1"/>
  <c r="GT56" i="34" s="1"/>
  <c r="GT45" i="34" a="1"/>
  <c r="GT45" i="34" s="1"/>
  <c r="GZ79" i="34" a="1"/>
  <c r="GZ79" i="34" s="1"/>
  <c r="GV9" i="34" a="1"/>
  <c r="GV9" i="34" s="1"/>
  <c r="GZ206" i="34" a="1"/>
  <c r="GZ206" i="34" s="1"/>
  <c r="GY207" i="34" a="1"/>
  <c r="GY207" i="34" s="1"/>
  <c r="GV151" i="34" a="1"/>
  <c r="GV151" i="34" s="1"/>
  <c r="GX39" i="34" a="1"/>
  <c r="GX39" i="34" s="1"/>
  <c r="GV43" i="34" a="1"/>
  <c r="GV43" i="34" s="1"/>
  <c r="GW245" i="34" a="1"/>
  <c r="GW245" i="34" s="1"/>
  <c r="HZ245" i="34" s="1"/>
  <c r="GU217" i="34" a="1"/>
  <c r="GU217" i="34" s="1"/>
  <c r="HI98" i="34"/>
  <c r="HI131" i="34"/>
  <c r="FY91" i="34"/>
  <c r="GZ66" i="34" a="1"/>
  <c r="GZ66" i="34" s="1"/>
  <c r="GT227" i="34" a="1"/>
  <c r="GT227" i="34" s="1"/>
  <c r="GT52" i="34" a="1"/>
  <c r="GT52" i="34" s="1"/>
  <c r="GW17" i="34" a="1"/>
  <c r="GW17" i="34" s="1"/>
  <c r="GY124" i="34" a="1"/>
  <c r="GY124" i="34" s="1"/>
  <c r="GZ229" i="34" a="1"/>
  <c r="GZ229" i="34" s="1"/>
  <c r="B8" i="34"/>
  <c r="L12" i="16" s="1"/>
  <c r="FY222" i="34"/>
  <c r="GX92" i="34" a="1"/>
  <c r="GX92" i="34" s="1"/>
  <c r="GU59" i="34" a="1"/>
  <c r="GU59" i="34" s="1"/>
  <c r="GV56" i="34" a="1"/>
  <c r="GV56" i="34" s="1"/>
  <c r="GX157" i="34" a="1"/>
  <c r="GX157" i="34" s="1"/>
  <c r="GY121" i="34" a="1"/>
  <c r="GY121" i="34" s="1"/>
  <c r="GU150" i="34" a="1"/>
  <c r="GU150" i="34" s="1"/>
  <c r="HX150" i="34" s="1"/>
  <c r="GV105" i="34" a="1"/>
  <c r="GV105" i="34" s="1"/>
  <c r="GY167" i="34" a="1"/>
  <c r="GY167" i="34" s="1"/>
  <c r="GX170" i="34" a="1"/>
  <c r="GX170" i="34" s="1"/>
  <c r="GY111" i="34" a="1"/>
  <c r="GY111" i="34" s="1"/>
  <c r="GX181" i="34" a="1"/>
  <c r="GX181" i="34" s="1"/>
  <c r="GV135" i="34" a="1"/>
  <c r="GV135" i="34" s="1"/>
  <c r="GZ61" i="34" a="1"/>
  <c r="GZ61" i="34" s="1"/>
  <c r="GW225" i="34" a="1"/>
  <c r="GW225" i="34" s="1"/>
  <c r="GV127" i="34" a="1"/>
  <c r="GV127" i="34" s="1"/>
  <c r="HI133" i="34"/>
  <c r="HI12" i="34"/>
  <c r="HI151" i="34"/>
  <c r="FY48" i="34"/>
  <c r="FY105" i="34"/>
  <c r="HF23" i="34"/>
  <c r="FY163" i="34"/>
  <c r="FY237" i="34"/>
  <c r="GY222" i="34" a="1"/>
  <c r="GY222" i="34" s="1"/>
  <c r="GW121" i="34" a="1"/>
  <c r="GW121" i="34" s="1"/>
  <c r="GW92" i="34" a="1"/>
  <c r="GW92" i="34" s="1"/>
  <c r="GW235" i="34" a="1"/>
  <c r="GW235" i="34" s="1"/>
  <c r="GT191" i="34" a="1"/>
  <c r="GT191" i="34" s="1"/>
  <c r="GT65" i="34" a="1"/>
  <c r="GT65" i="34" s="1"/>
  <c r="GT100" i="34" a="1"/>
  <c r="GT100" i="34" s="1"/>
  <c r="GX192" i="34" a="1"/>
  <c r="GX192" i="34" s="1"/>
  <c r="GV178" i="34" a="1"/>
  <c r="GV178" i="34" s="1"/>
  <c r="GV175" i="34" a="1"/>
  <c r="GV175" i="34" s="1"/>
  <c r="GV103" i="34" a="1"/>
  <c r="GV103" i="34" s="1"/>
  <c r="GV245" i="34" a="1"/>
  <c r="GV245" i="34" s="1"/>
  <c r="GW221" i="34" a="1"/>
  <c r="GW221" i="34" s="1"/>
  <c r="GY190" i="34" a="1"/>
  <c r="GY190" i="34" s="1"/>
  <c r="GX229" i="34" a="1"/>
  <c r="GX229" i="34" s="1"/>
  <c r="GU137" i="34" a="1"/>
  <c r="GU137" i="34" s="1"/>
  <c r="GZ121" i="34" a="1"/>
  <c r="GZ121" i="34" s="1"/>
  <c r="GW122" i="34" a="1"/>
  <c r="GW122" i="34" s="1"/>
  <c r="GW154" i="34" a="1"/>
  <c r="GW154" i="34" s="1"/>
  <c r="GZ201" i="34" a="1"/>
  <c r="GZ201" i="34" s="1"/>
  <c r="GY160" i="34" a="1"/>
  <c r="GY160" i="34" s="1"/>
  <c r="GZ87" i="34" a="1"/>
  <c r="GZ87" i="34" s="1"/>
  <c r="GX237" i="34" a="1"/>
  <c r="GX237" i="34" s="1"/>
  <c r="GX187" i="34" a="1"/>
  <c r="GX187" i="34" s="1"/>
  <c r="GY109" i="34" a="1"/>
  <c r="GY109" i="34" s="1"/>
  <c r="GX191" i="34" a="1"/>
  <c r="GX191" i="34" s="1"/>
  <c r="GU179" i="34" a="1"/>
  <c r="GU179" i="34" s="1"/>
  <c r="GZ34" i="34" a="1"/>
  <c r="GZ34" i="34" s="1"/>
  <c r="HI185" i="34"/>
  <c r="HI249" i="34"/>
  <c r="FY188" i="34"/>
  <c r="HF29" i="34"/>
  <c r="HE59" i="34"/>
  <c r="GY96" i="34" a="1"/>
  <c r="GY96" i="34" s="1"/>
  <c r="GV191" i="34" a="1"/>
  <c r="GV191" i="34" s="1"/>
  <c r="GX11" i="34" a="1"/>
  <c r="GX11" i="34" s="1"/>
  <c r="GT189" i="34" a="1"/>
  <c r="GT189" i="34" s="1"/>
  <c r="GT71" i="34" a="1"/>
  <c r="GT71" i="34" s="1"/>
  <c r="GU93" i="34" a="1"/>
  <c r="GU93" i="34" s="1"/>
  <c r="GX141" i="34" a="1"/>
  <c r="GX141" i="34" s="1"/>
  <c r="GV72" i="34" a="1"/>
  <c r="GV72" i="34" s="1"/>
  <c r="GW150" i="34" a="1"/>
  <c r="GW150" i="34" s="1"/>
  <c r="GU159" i="34" a="1"/>
  <c r="GU159" i="34" s="1"/>
  <c r="GV11" i="34" a="1"/>
  <c r="GV11" i="34" s="1"/>
  <c r="GW80" i="34" a="1"/>
  <c r="GW80" i="34" s="1"/>
  <c r="GU52" i="34" a="1"/>
  <c r="GU52" i="34" s="1"/>
  <c r="GX243" i="34" a="1"/>
  <c r="GX243" i="34" s="1"/>
  <c r="HI208" i="34"/>
  <c r="HF90" i="34"/>
  <c r="HF94" i="34"/>
  <c r="GZ168" i="34" a="1"/>
  <c r="GZ168" i="34" s="1"/>
  <c r="GT223" i="34" a="1"/>
  <c r="GT223" i="34" s="1"/>
  <c r="GT57" i="34" a="1"/>
  <c r="GT57" i="34" s="1"/>
  <c r="GZ165" i="34" a="1"/>
  <c r="GZ165" i="34" s="1"/>
  <c r="GW152" i="34" a="1"/>
  <c r="GW152" i="34" s="1"/>
  <c r="HI118" i="34"/>
  <c r="HF52" i="34"/>
  <c r="FY224" i="34"/>
  <c r="GW89" i="34" a="1"/>
  <c r="GW89" i="34" s="1"/>
  <c r="GW70" i="34" a="1"/>
  <c r="GW70" i="34" s="1"/>
  <c r="GY88" i="34" a="1"/>
  <c r="GY88" i="34" s="1"/>
  <c r="IB88" i="34" s="1"/>
  <c r="GY172" i="34" a="1"/>
  <c r="GY172" i="34" s="1"/>
  <c r="GW202" i="34" a="1"/>
  <c r="GW202" i="34" s="1"/>
  <c r="GV186" i="34" a="1"/>
  <c r="GV186" i="34" s="1"/>
  <c r="GX169" i="34" a="1"/>
  <c r="GX169" i="34" s="1"/>
  <c r="GU157" i="34" a="1"/>
  <c r="GU157" i="34" s="1"/>
  <c r="GZ13" i="34" a="1"/>
  <c r="GZ13" i="34" s="1"/>
  <c r="GV201" i="34" a="1"/>
  <c r="GV201" i="34" s="1"/>
  <c r="GZ51" i="34" a="1"/>
  <c r="GZ51" i="34" s="1"/>
  <c r="GZ149" i="34" a="1"/>
  <c r="GZ149" i="34" s="1"/>
  <c r="GU144" i="34" a="1"/>
  <c r="GU144" i="34" s="1"/>
  <c r="GW54" i="34" a="1"/>
  <c r="GW54" i="34" s="1"/>
  <c r="GV134" i="34" a="1"/>
  <c r="GV134" i="34" s="1"/>
  <c r="HI193" i="34"/>
  <c r="IF193" i="34" s="1"/>
  <c r="HI219" i="34"/>
  <c r="HI66" i="34"/>
  <c r="HF63" i="34"/>
  <c r="HE174" i="34"/>
  <c r="HH174" i="34" s="1"/>
  <c r="FY217" i="34"/>
  <c r="HF200" i="34"/>
  <c r="HE62" i="34"/>
  <c r="HH62" i="34" s="1"/>
  <c r="GU74" i="34" a="1"/>
  <c r="GU74" i="34" s="1"/>
  <c r="GW47" i="34" a="1"/>
  <c r="GW47" i="34" s="1"/>
  <c r="GW63" i="34" a="1"/>
  <c r="GW63" i="34" s="1"/>
  <c r="HI223" i="34"/>
  <c r="GT157" i="34" a="1"/>
  <c r="GT157" i="34" s="1"/>
  <c r="GT33" i="34" a="1"/>
  <c r="GT33" i="34" s="1"/>
  <c r="GT217" i="34" a="1"/>
  <c r="GT217" i="34" s="1"/>
  <c r="GW130" i="34" a="1"/>
  <c r="GW130" i="34" s="1"/>
  <c r="GY49" i="34" a="1"/>
  <c r="GY49" i="34" s="1"/>
  <c r="GV145" i="34" a="1"/>
  <c r="GV145" i="34" s="1"/>
  <c r="GU23" i="34" a="1"/>
  <c r="GU23" i="34" s="1"/>
  <c r="GX28" i="34" a="1"/>
  <c r="GX28" i="34" s="1"/>
  <c r="GY129" i="34" a="1"/>
  <c r="GY129" i="34" s="1"/>
  <c r="GZ111" i="34" a="1"/>
  <c r="GZ111" i="34" s="1"/>
  <c r="GW37" i="34" a="1"/>
  <c r="GW37" i="34" s="1"/>
  <c r="GW129" i="34" a="1"/>
  <c r="GW129" i="34" s="1"/>
  <c r="GV240" i="34" a="1"/>
  <c r="GV240" i="34" s="1"/>
  <c r="GY193" i="34" a="1"/>
  <c r="GY193" i="34" s="1"/>
  <c r="GZ128" i="34" a="1"/>
  <c r="GZ128" i="34" s="1"/>
  <c r="GW106" i="34" a="1"/>
  <c r="GW106" i="34" s="1"/>
  <c r="GZ38" i="34" a="1"/>
  <c r="GZ38" i="34" s="1"/>
  <c r="GZ179" i="34" a="1"/>
  <c r="GZ179" i="34" s="1"/>
  <c r="GV158" i="34" a="1"/>
  <c r="GV158" i="34" s="1"/>
  <c r="GZ84" i="34" a="1"/>
  <c r="GZ84" i="34" s="1"/>
  <c r="GY26" i="34" a="1"/>
  <c r="GY26" i="34" s="1"/>
  <c r="GU15" i="34" a="1"/>
  <c r="GU15" i="34" s="1"/>
  <c r="GX227" i="34" a="1"/>
  <c r="GX227" i="34" s="1"/>
  <c r="GU54" i="34" a="1"/>
  <c r="GU54" i="34" s="1"/>
  <c r="HI82" i="34"/>
  <c r="IF82" i="34" s="1"/>
  <c r="HI241" i="34"/>
  <c r="HF58" i="34"/>
  <c r="HE156" i="34"/>
  <c r="HH156" i="34" s="1"/>
  <c r="FY153" i="34"/>
  <c r="GW26" i="34" a="1"/>
  <c r="GW26" i="34" s="1"/>
  <c r="GV222" i="34" a="1"/>
  <c r="GV222" i="34" s="1"/>
  <c r="GZ108" i="34" a="1"/>
  <c r="GZ108" i="34" s="1"/>
  <c r="GT34" i="34" a="1"/>
  <c r="GT34" i="34" s="1"/>
  <c r="GT16" i="34" a="1"/>
  <c r="GT16" i="34" s="1"/>
  <c r="GW232" i="34" a="1"/>
  <c r="GW232" i="34" s="1"/>
  <c r="GW9" i="34" a="1"/>
  <c r="GW9" i="34" s="1"/>
  <c r="GV77" i="34" a="1"/>
  <c r="GV77" i="34" s="1"/>
  <c r="GU50" i="34" a="1"/>
  <c r="GU50" i="34" s="1"/>
  <c r="GX87" i="34" a="1"/>
  <c r="GX87" i="34" s="1"/>
  <c r="GW208" i="34" a="1"/>
  <c r="GW208" i="34" s="1"/>
  <c r="GX185" i="34" a="1"/>
  <c r="GX185" i="34" s="1"/>
  <c r="GY56" i="34" a="1"/>
  <c r="GY56" i="34" s="1"/>
  <c r="GU102" i="34" a="1"/>
  <c r="GU102" i="34" s="1"/>
  <c r="HI236" i="34"/>
  <c r="HF62" i="34"/>
  <c r="HF27" i="34"/>
  <c r="GZ85" i="34" a="1"/>
  <c r="GZ85" i="34" s="1"/>
  <c r="GT250" i="34" a="1"/>
  <c r="GT250" i="34" s="1"/>
  <c r="GX119" i="34" a="1"/>
  <c r="GX119" i="34" s="1"/>
  <c r="GV107" i="34" a="1"/>
  <c r="GV107" i="34" s="1"/>
  <c r="GZ232" i="34" a="1"/>
  <c r="GZ232" i="34" s="1"/>
  <c r="HI215" i="34"/>
  <c r="HE173" i="34"/>
  <c r="HH173" i="34" s="1"/>
  <c r="FY67" i="34"/>
  <c r="GX172" i="34" a="1"/>
  <c r="GX172" i="34" s="1"/>
  <c r="HI49" i="34"/>
  <c r="FY54" i="34"/>
  <c r="HF175" i="34"/>
  <c r="GV87" i="34" a="1"/>
  <c r="GV87" i="34" s="1"/>
  <c r="GT248" i="34" a="1"/>
  <c r="GT248" i="34" s="1"/>
  <c r="GW168" i="34" a="1"/>
  <c r="GW168" i="34" s="1"/>
  <c r="GW219" i="34" a="1"/>
  <c r="GW219" i="34" s="1"/>
  <c r="GY16" i="34" a="1"/>
  <c r="GY16" i="34" s="1"/>
  <c r="HF114" i="34"/>
  <c r="FY114" i="34"/>
  <c r="HI19" i="34"/>
  <c r="HI243" i="34"/>
  <c r="HI39" i="34"/>
  <c r="HI224" i="34"/>
  <c r="HE160" i="34"/>
  <c r="HH160" i="34" s="1"/>
  <c r="HF180" i="34"/>
  <c r="HF135" i="34"/>
  <c r="FY104" i="34"/>
  <c r="GT174" i="34" a="1"/>
  <c r="GT174" i="34" s="1"/>
  <c r="GU46" i="34" a="1"/>
  <c r="GU46" i="34" s="1"/>
  <c r="GZ138" i="34" a="1"/>
  <c r="GZ138" i="34" s="1"/>
  <c r="GW86" i="34" a="1"/>
  <c r="GW86" i="34" s="1"/>
  <c r="GT202" i="34" a="1"/>
  <c r="GT202" i="34" s="1"/>
  <c r="GT194" i="34" a="1"/>
  <c r="GT194" i="34" s="1"/>
  <c r="GT26" i="34" a="1"/>
  <c r="GT26" i="34" s="1"/>
  <c r="GX56" i="34" a="1"/>
  <c r="GX56" i="34" s="1"/>
  <c r="GX219" i="34" a="1"/>
  <c r="GX219" i="34" s="1"/>
  <c r="GW95" i="34" a="1"/>
  <c r="GW95" i="34" s="1"/>
  <c r="GW67" i="34" a="1"/>
  <c r="GW67" i="34" s="1"/>
  <c r="GZ184" i="34" a="1"/>
  <c r="GZ184" i="34" s="1"/>
  <c r="GX174" i="34" a="1"/>
  <c r="GX174" i="34" s="1"/>
  <c r="GU11" i="34" a="1"/>
  <c r="GU11" i="34" s="1"/>
  <c r="GY18" i="34" a="1"/>
  <c r="GY18" i="34" s="1"/>
  <c r="GV63" i="34" a="1"/>
  <c r="GV63" i="34" s="1"/>
  <c r="GW234" i="34" a="1"/>
  <c r="GW234" i="34" s="1"/>
  <c r="GY50" i="34" a="1"/>
  <c r="GY50" i="34" s="1"/>
  <c r="GY232" i="34" a="1"/>
  <c r="GY232" i="34" s="1"/>
  <c r="GY66" i="34" a="1"/>
  <c r="GY66" i="34" s="1"/>
  <c r="GZ154" i="34" a="1"/>
  <c r="GZ154" i="34" s="1"/>
  <c r="GU167" i="34" a="1"/>
  <c r="GU167" i="34" s="1"/>
  <c r="GV29" i="34" a="1"/>
  <c r="GV29" i="34" s="1"/>
  <c r="GW14" i="34" a="1"/>
  <c r="GW14" i="34" s="1"/>
  <c r="GX194" i="34" a="1"/>
  <c r="GX194" i="34" s="1"/>
  <c r="GU235" i="34" a="1"/>
  <c r="GU235" i="34" s="1"/>
  <c r="GU226" i="34" a="1"/>
  <c r="GU226" i="34" s="1"/>
  <c r="GX224" i="34" a="1"/>
  <c r="GX224" i="34" s="1"/>
  <c r="GZ83" i="34" a="1"/>
  <c r="GZ83" i="34" s="1"/>
  <c r="HI28" i="34"/>
  <c r="IF28" i="34" s="1"/>
  <c r="HI70" i="34"/>
  <c r="HF137" i="34"/>
  <c r="HF202" i="34"/>
  <c r="FY137" i="34"/>
  <c r="GW145" i="34" a="1"/>
  <c r="GW145" i="34" s="1"/>
  <c r="GZ194" i="34" a="1"/>
  <c r="GZ194" i="34" s="1"/>
  <c r="GT46" i="34" a="1"/>
  <c r="GT46" i="34" s="1"/>
  <c r="GT8" i="34" a="1"/>
  <c r="GT8" i="34" s="1"/>
  <c r="GT17" i="34" a="1"/>
  <c r="GT17" i="34" s="1"/>
  <c r="GY53" i="34" a="1"/>
  <c r="GY53" i="34" s="1"/>
  <c r="GW51" i="34" a="1"/>
  <c r="GW51" i="34" s="1"/>
  <c r="GX36" i="34" a="1"/>
  <c r="GX36" i="34" s="1"/>
  <c r="GV78" i="34" a="1"/>
  <c r="GV78" i="34" s="1"/>
  <c r="GX186" i="34" a="1"/>
  <c r="GX186" i="34" s="1"/>
  <c r="GZ236" i="34" a="1"/>
  <c r="GZ236" i="34" s="1"/>
  <c r="GX159" i="34" a="1"/>
  <c r="GX159" i="34" s="1"/>
  <c r="GY228" i="34" a="1"/>
  <c r="GY228" i="34" s="1"/>
  <c r="HI23" i="34"/>
  <c r="HI155" i="34"/>
  <c r="IF155" i="34" s="1"/>
  <c r="HF80" i="34"/>
  <c r="GV224" i="34" a="1"/>
  <c r="GV224" i="34" s="1"/>
  <c r="HI235" i="34"/>
  <c r="GT50" i="34" a="1"/>
  <c r="GT50" i="34" s="1"/>
  <c r="GU124" i="34" a="1"/>
  <c r="GU124" i="34" s="1"/>
  <c r="GY137" i="34" a="1"/>
  <c r="GY137" i="34" s="1"/>
  <c r="GX105" i="34" a="1"/>
  <c r="GX105" i="34" s="1"/>
  <c r="HF152" i="34"/>
  <c r="FY145" i="34"/>
  <c r="HF93" i="34"/>
  <c r="HF240" i="34"/>
  <c r="HE188" i="34"/>
  <c r="FY144" i="34"/>
  <c r="HE190" i="34"/>
  <c r="HE245" i="34"/>
  <c r="HH245" i="34" s="1"/>
  <c r="HF124" i="34"/>
  <c r="HE57" i="34"/>
  <c r="HH57" i="34" s="1"/>
  <c r="HE186" i="34"/>
  <c r="HH186" i="34" s="1"/>
  <c r="FY127" i="34"/>
  <c r="HF223" i="34"/>
  <c r="HF239" i="34"/>
  <c r="HF99" i="34"/>
  <c r="HF141" i="34"/>
  <c r="FY133" i="34"/>
  <c r="HF166" i="34"/>
  <c r="GU221" i="34" a="1"/>
  <c r="GU221" i="34" s="1"/>
  <c r="GX182" i="34" a="1"/>
  <c r="GX182" i="34" s="1"/>
  <c r="GX114" i="34" a="1"/>
  <c r="GX114" i="34" s="1"/>
  <c r="GU171" i="34" a="1"/>
  <c r="GU171" i="34" s="1"/>
  <c r="GW87" i="34" a="1"/>
  <c r="GW87" i="34" s="1"/>
  <c r="GU207" i="34" a="1"/>
  <c r="GU207" i="34" s="1"/>
  <c r="GU205" i="34" a="1"/>
  <c r="GU205" i="34" s="1"/>
  <c r="GV33" i="34" a="1"/>
  <c r="GV33" i="34" s="1"/>
  <c r="GZ95" i="34" a="1"/>
  <c r="GZ95" i="34" s="1"/>
  <c r="GU147" i="34" a="1"/>
  <c r="GU147" i="34" s="1"/>
  <c r="GY64" i="34" a="1"/>
  <c r="GY64" i="34" s="1"/>
  <c r="GU203" i="34" a="1"/>
  <c r="GU203" i="34" s="1"/>
  <c r="GW187" i="34" a="1"/>
  <c r="GW187" i="34" s="1"/>
  <c r="GV52" i="34" a="1"/>
  <c r="GV52" i="34" s="1"/>
  <c r="GY84" i="34" a="1"/>
  <c r="GY84" i="34" s="1"/>
  <c r="GW229" i="34" a="1"/>
  <c r="GW229" i="34" s="1"/>
  <c r="GU96" i="34" a="1"/>
  <c r="GU96" i="34" s="1"/>
  <c r="GY140" i="34" a="1"/>
  <c r="GY140" i="34" s="1"/>
  <c r="GZ46" i="34" a="1"/>
  <c r="GZ46" i="34" s="1"/>
  <c r="GY133" i="34" a="1"/>
  <c r="GY133" i="34" s="1"/>
  <c r="GW204" i="34" a="1"/>
  <c r="GW204" i="34" s="1"/>
  <c r="GX81" i="34" a="1"/>
  <c r="GX81" i="34" s="1"/>
  <c r="HI170" i="34"/>
  <c r="HI56" i="34"/>
  <c r="HI14" i="34"/>
  <c r="IF14" i="34" s="1"/>
  <c r="HI32" i="34"/>
  <c r="IF32" i="34" s="1"/>
  <c r="HE107" i="34"/>
  <c r="HH107" i="34" s="1"/>
  <c r="HF92" i="34"/>
  <c r="HF144" i="34"/>
  <c r="GT221" i="34" a="1"/>
  <c r="GT221" i="34" s="1"/>
  <c r="GY126" i="34" a="1"/>
  <c r="GY126" i="34" s="1"/>
  <c r="GV67" i="34" a="1"/>
  <c r="GV67" i="34" s="1"/>
  <c r="HI55" i="34"/>
  <c r="GT198" i="34" a="1"/>
  <c r="GT198" i="34" s="1"/>
  <c r="GT146" i="34" a="1"/>
  <c r="GT146" i="34" s="1"/>
  <c r="GT133" i="34" a="1"/>
  <c r="GT133" i="34" s="1"/>
  <c r="GT132" i="34" a="1"/>
  <c r="GT132" i="34" s="1"/>
  <c r="GU67" i="34" a="1"/>
  <c r="GU67" i="34" s="1"/>
  <c r="GX167" i="34" a="1"/>
  <c r="GX167" i="34" s="1"/>
  <c r="GV160" i="34" a="1"/>
  <c r="GV160" i="34" s="1"/>
  <c r="GX49" i="34" a="1"/>
  <c r="GX49" i="34" s="1"/>
  <c r="GV189" i="34" a="1"/>
  <c r="GV189" i="34" s="1"/>
  <c r="GY197" i="34" a="1"/>
  <c r="GY197" i="34" s="1"/>
  <c r="GZ143" i="34" a="1"/>
  <c r="GZ143" i="34" s="1"/>
  <c r="HI175" i="34"/>
  <c r="HI238" i="34"/>
  <c r="HF147" i="34"/>
  <c r="HF9" i="34"/>
  <c r="HE15" i="34"/>
  <c r="HH15" i="34" s="1"/>
  <c r="HF130" i="34"/>
  <c r="HF213" i="34"/>
  <c r="HE177" i="34"/>
  <c r="HH177" i="34" s="1"/>
  <c r="FY175" i="34"/>
  <c r="HF60" i="34"/>
  <c r="FY33" i="34"/>
  <c r="HE220" i="34"/>
  <c r="HH220" i="34" s="1"/>
  <c r="HE163" i="34"/>
  <c r="HH163" i="34" s="1"/>
  <c r="HJ163" i="34" s="1"/>
  <c r="HF43" i="34"/>
  <c r="HE137" i="34"/>
  <c r="HH137" i="34" s="1"/>
  <c r="HE32" i="34"/>
  <c r="HH32" i="34" s="1"/>
  <c r="FY210" i="34"/>
  <c r="FY247" i="34"/>
  <c r="GY103" i="34" a="1"/>
  <c r="GY103" i="34" s="1"/>
  <c r="GU42" i="34" a="1"/>
  <c r="GU42" i="34" s="1"/>
  <c r="GU158" i="34" a="1"/>
  <c r="GU158" i="34" s="1"/>
  <c r="HI198" i="34"/>
  <c r="HI195" i="34"/>
  <c r="HI206" i="34"/>
  <c r="HI13" i="34"/>
  <c r="IF13" i="34" s="1"/>
  <c r="FY82" i="34"/>
  <c r="HE153" i="34"/>
  <c r="HF10" i="34"/>
  <c r="HE184" i="34"/>
  <c r="HH184" i="34" s="1"/>
  <c r="GT28" i="34" a="1"/>
  <c r="GT28" i="34" s="1"/>
  <c r="GV174" i="34" a="1"/>
  <c r="GV174" i="34" s="1"/>
  <c r="GV157" i="34" a="1"/>
  <c r="GV157" i="34" s="1"/>
  <c r="GV84" i="34" a="1"/>
  <c r="GV84" i="34" s="1"/>
  <c r="GT143" i="34" a="1"/>
  <c r="GT143" i="34" s="1"/>
  <c r="GT18" i="34" a="1"/>
  <c r="GT18" i="34" s="1"/>
  <c r="GT237" i="34" a="1"/>
  <c r="GT237" i="34" s="1"/>
  <c r="GT119" i="34" a="1"/>
  <c r="GT119" i="34" s="1"/>
  <c r="GT196" i="34" a="1"/>
  <c r="GT196" i="34" s="1"/>
  <c r="GX138" i="34" a="1"/>
  <c r="GX138" i="34" s="1"/>
  <c r="GX242" i="34" a="1"/>
  <c r="GX242" i="34" s="1"/>
  <c r="GW61" i="34" a="1"/>
  <c r="GW61" i="34" s="1"/>
  <c r="GY9" i="34" a="1"/>
  <c r="GY9" i="34" s="1"/>
  <c r="GZ127" i="34" a="1"/>
  <c r="GZ127" i="34" s="1"/>
  <c r="GW57" i="34" a="1"/>
  <c r="GW57" i="34" s="1"/>
  <c r="GZ76" i="34" a="1"/>
  <c r="GZ76" i="34" s="1"/>
  <c r="GU8" i="34" a="1"/>
  <c r="GU8" i="34" s="1"/>
  <c r="GV212" i="34" a="1"/>
  <c r="GV212" i="34" s="1"/>
  <c r="GU219" i="34" a="1"/>
  <c r="GU219" i="34" s="1"/>
  <c r="GX249" i="34" a="1"/>
  <c r="GX249" i="34" s="1"/>
  <c r="GY229" i="34" a="1"/>
  <c r="GY229" i="34" s="1"/>
  <c r="GV100" i="34" a="1"/>
  <c r="GV100" i="34" s="1"/>
  <c r="GX216" i="34" a="1"/>
  <c r="GX216" i="34" s="1"/>
  <c r="GZ71" i="34" a="1"/>
  <c r="GZ71" i="34" s="1"/>
  <c r="GZ36" i="34" a="1"/>
  <c r="GZ36" i="34" s="1"/>
  <c r="GX193" i="34" a="1"/>
  <c r="GX193" i="34" s="1"/>
  <c r="GU53" i="34" a="1"/>
  <c r="GU53" i="34" s="1"/>
  <c r="GV161" i="34" a="1"/>
  <c r="GV161" i="34" s="1"/>
  <c r="GU220" i="34" a="1"/>
  <c r="GU220" i="34" s="1"/>
  <c r="HX220" i="34" s="1"/>
  <c r="GX34" i="34" a="1"/>
  <c r="GX34" i="34" s="1"/>
  <c r="GZ129" i="34" a="1"/>
  <c r="GZ129" i="34" s="1"/>
  <c r="GU56" i="34" a="1"/>
  <c r="GU56" i="34" s="1"/>
  <c r="HI31" i="34"/>
  <c r="HI165" i="34"/>
  <c r="HI95" i="34"/>
  <c r="HI181" i="34"/>
  <c r="HE147" i="34"/>
  <c r="HH147" i="34" s="1"/>
  <c r="HF88" i="34"/>
  <c r="HE129" i="34"/>
  <c r="HH129" i="34" s="1"/>
  <c r="GT186" i="34" a="1"/>
  <c r="GT186" i="34" s="1"/>
  <c r="GV114" i="34" a="1"/>
  <c r="GV114" i="34" s="1"/>
  <c r="GX204" i="34" a="1"/>
  <c r="GX204" i="34" s="1"/>
  <c r="HI199" i="34"/>
  <c r="GT224" i="34" a="1"/>
  <c r="GT224" i="34" s="1"/>
  <c r="GT94" i="34" a="1"/>
  <c r="GT94" i="34" s="1"/>
  <c r="GT155" i="34" a="1"/>
  <c r="GT155" i="34" s="1"/>
  <c r="GT108" i="34" a="1"/>
  <c r="GT108" i="34" s="1"/>
  <c r="GY250" i="34" a="1"/>
  <c r="GY250" i="34" s="1"/>
  <c r="GX65" i="34" a="1"/>
  <c r="GX65" i="34" s="1"/>
  <c r="GV22" i="34" a="1"/>
  <c r="GV22" i="34" s="1"/>
  <c r="GW179" i="34" a="1"/>
  <c r="GW179" i="34" s="1"/>
  <c r="GU183" i="34" a="1"/>
  <c r="GU183" i="34" s="1"/>
  <c r="GV95" i="34" a="1"/>
  <c r="GV95" i="34" s="1"/>
  <c r="GW210" i="34" a="1"/>
  <c r="GW210" i="34" s="1"/>
  <c r="HI173" i="34"/>
  <c r="IF173" i="34" s="1"/>
  <c r="HI87" i="34"/>
  <c r="HF49" i="34"/>
  <c r="FY131" i="34"/>
  <c r="HE169" i="34"/>
  <c r="HH169" i="34" s="1"/>
  <c r="FY42" i="34"/>
  <c r="HF167" i="34"/>
  <c r="FY117" i="34"/>
  <c r="HF249" i="34"/>
  <c r="FY134" i="34"/>
  <c r="HF198" i="34"/>
  <c r="HE25" i="34"/>
  <c r="HH25" i="34" s="1"/>
  <c r="HF50" i="34"/>
  <c r="HE108" i="34"/>
  <c r="HH108" i="34" s="1"/>
  <c r="HF128" i="34"/>
  <c r="FY61" i="34"/>
  <c r="HE140" i="34"/>
  <c r="HH140" i="34" s="1"/>
  <c r="FY46" i="34"/>
  <c r="GU28" i="34" a="1"/>
  <c r="GU28" i="34" s="1"/>
  <c r="GX30" i="34" a="1"/>
  <c r="GX30" i="34" s="1"/>
  <c r="GX129" i="34" a="1"/>
  <c r="GX129" i="34" s="1"/>
  <c r="HI43" i="34"/>
  <c r="HI8" i="34"/>
  <c r="HI40" i="34"/>
  <c r="HI26" i="34"/>
  <c r="FY86" i="34"/>
  <c r="HF206" i="34"/>
  <c r="HF84" i="34"/>
  <c r="FY62" i="34"/>
  <c r="GT91" i="34" a="1"/>
  <c r="GT91" i="34" s="1"/>
  <c r="GW248" i="34" a="1"/>
  <c r="GW248" i="34" s="1"/>
  <c r="GZ28" i="34" a="1"/>
  <c r="GZ28" i="34" s="1"/>
  <c r="GV124" i="34" a="1"/>
  <c r="GV124" i="34" s="1"/>
  <c r="GT67" i="34" a="1"/>
  <c r="GT67" i="34" s="1"/>
  <c r="GT10" i="34" a="1"/>
  <c r="GT10" i="34" s="1"/>
  <c r="GT175" i="34" a="1"/>
  <c r="GT175" i="34" s="1"/>
  <c r="GT105" i="34" a="1"/>
  <c r="GT105" i="34" s="1"/>
  <c r="GT89" i="34" a="1"/>
  <c r="GT89" i="34" s="1"/>
  <c r="GW97" i="34" a="1"/>
  <c r="GW97" i="34" s="1"/>
  <c r="GW128" i="34" a="1"/>
  <c r="GW128" i="34" s="1"/>
  <c r="GW237" i="34" a="1"/>
  <c r="GW237" i="34" s="1"/>
  <c r="GY203" i="34" a="1"/>
  <c r="GY203" i="34" s="1"/>
  <c r="GU101" i="34" a="1"/>
  <c r="GU101" i="34" s="1"/>
  <c r="GV173" i="34" a="1"/>
  <c r="GV173" i="34" s="1"/>
  <c r="GU77" i="34" a="1"/>
  <c r="GU77" i="34" s="1"/>
  <c r="GW84" i="34" a="1"/>
  <c r="GW84" i="34" s="1"/>
  <c r="GY14" i="34" a="1"/>
  <c r="GY14" i="34" s="1"/>
  <c r="GW177" i="34" a="1"/>
  <c r="GW177" i="34" s="1"/>
  <c r="GY48" i="34" a="1"/>
  <c r="GY48" i="34" s="1"/>
  <c r="GW102" i="34" a="1"/>
  <c r="GW102" i="34" s="1"/>
  <c r="GX226" i="34" a="1"/>
  <c r="GX226" i="34" s="1"/>
  <c r="GW144" i="34" a="1"/>
  <c r="GW144" i="34" s="1"/>
  <c r="GY247" i="34" a="1"/>
  <c r="GY247" i="34" s="1"/>
  <c r="GX189" i="34" a="1"/>
  <c r="GX189" i="34" s="1"/>
  <c r="GV88" i="34" a="1"/>
  <c r="GV88" i="34" s="1"/>
  <c r="GW125" i="34" a="1"/>
  <c r="GW125" i="34" s="1"/>
  <c r="GY132" i="34" a="1"/>
  <c r="GY132" i="34" s="1"/>
  <c r="GZ101" i="34" a="1"/>
  <c r="GZ101" i="34" s="1"/>
  <c r="GZ62" i="34" a="1"/>
  <c r="GZ62" i="34" s="1"/>
  <c r="GW162" i="34" a="1"/>
  <c r="GW162" i="34" s="1"/>
  <c r="GV94" i="34" a="1"/>
  <c r="GV94" i="34" s="1"/>
  <c r="HI149" i="34"/>
  <c r="HI106" i="34"/>
  <c r="HI108" i="34"/>
  <c r="HE119" i="34"/>
  <c r="HH119" i="34" s="1"/>
  <c r="FY160" i="34"/>
  <c r="FY191" i="34"/>
  <c r="FY181" i="34"/>
  <c r="GW166" i="34" a="1"/>
  <c r="GW166" i="34" s="1"/>
  <c r="GU213" i="34" a="1"/>
  <c r="GU213" i="34" s="1"/>
  <c r="GU107" i="34" a="1"/>
  <c r="GU107" i="34" s="1"/>
  <c r="HI244" i="34"/>
  <c r="GT40" i="34" a="1"/>
  <c r="GT40" i="34" s="1"/>
  <c r="GT206" i="34" a="1"/>
  <c r="GT206" i="34" s="1"/>
  <c r="GT167" i="34" a="1"/>
  <c r="GT167" i="34" s="1"/>
  <c r="GT245" i="34" a="1"/>
  <c r="GT245" i="34" s="1"/>
  <c r="GW192" i="34" a="1"/>
  <c r="GW192" i="34" s="1"/>
  <c r="GV117" i="34" a="1"/>
  <c r="GV117" i="34" s="1"/>
  <c r="HY117" i="34" s="1"/>
  <c r="GY175" i="34" a="1"/>
  <c r="GY175" i="34" s="1"/>
  <c r="GZ160" i="34" a="1"/>
  <c r="GZ160" i="34" s="1"/>
  <c r="GV188" i="34" a="1"/>
  <c r="GV188" i="34" s="1"/>
  <c r="GU184" i="34" a="1"/>
  <c r="GU184" i="34" s="1"/>
  <c r="GU89" i="34" a="1"/>
  <c r="GU89" i="34" s="1"/>
  <c r="HI58" i="34"/>
  <c r="HI114" i="34"/>
  <c r="FY179" i="34"/>
  <c r="FY229" i="34"/>
  <c r="FY196" i="34"/>
  <c r="FY113" i="34"/>
  <c r="FY198" i="34"/>
  <c r="HE28" i="34"/>
  <c r="HH28" i="34" s="1"/>
  <c r="HE209" i="34"/>
  <c r="HH209" i="34" s="1"/>
  <c r="HE150" i="34"/>
  <c r="HH150" i="34" s="1"/>
  <c r="FY168" i="34"/>
  <c r="HE82" i="34"/>
  <c r="HH82" i="34" s="1"/>
  <c r="HF120" i="34"/>
  <c r="FY242" i="34"/>
  <c r="HF140" i="34"/>
  <c r="FY208" i="34"/>
  <c r="HE35" i="34"/>
  <c r="HH35" i="34" s="1"/>
  <c r="FY146" i="34"/>
  <c r="GU109" i="34" a="1"/>
  <c r="GU109" i="34" s="1"/>
  <c r="GX86" i="34" a="1"/>
  <c r="GX86" i="34" s="1"/>
  <c r="GV130" i="34" a="1"/>
  <c r="GV130" i="34" s="1"/>
  <c r="GZ117" i="34" a="1"/>
  <c r="GZ117" i="34" s="1"/>
  <c r="GW69" i="34" a="1"/>
  <c r="GW69" i="34" s="1"/>
  <c r="HI233" i="34"/>
  <c r="HI74" i="34"/>
  <c r="HI42" i="34"/>
  <c r="IF42" i="34" s="1"/>
  <c r="HI171" i="34"/>
  <c r="FY118" i="34"/>
  <c r="HF26" i="34"/>
  <c r="HE247" i="34"/>
  <c r="HH247" i="34" s="1"/>
  <c r="HJ247" i="34" s="1"/>
  <c r="HE21" i="34"/>
  <c r="GT135" i="34" a="1"/>
  <c r="GT135" i="34" s="1"/>
  <c r="GY189" i="34" a="1"/>
  <c r="GY189" i="34" s="1"/>
  <c r="GW52" i="34" a="1"/>
  <c r="GW52" i="34" s="1"/>
  <c r="GY165" i="34" a="1"/>
  <c r="GY165" i="34" s="1"/>
  <c r="GT54" i="34" a="1"/>
  <c r="GT54" i="34" s="1"/>
  <c r="GT154" i="34" a="1"/>
  <c r="GT154" i="34" s="1"/>
  <c r="GT120" i="34" a="1"/>
  <c r="GT120" i="34" s="1"/>
  <c r="GT241" i="34" a="1"/>
  <c r="GT241" i="34" s="1"/>
  <c r="GT188" i="34" a="1"/>
  <c r="GT188" i="34" s="1"/>
  <c r="GZ186" i="34" a="1"/>
  <c r="GZ186" i="34" s="1"/>
  <c r="GZ177" i="34" a="1"/>
  <c r="GZ177" i="34" s="1"/>
  <c r="GX211" i="34" a="1"/>
  <c r="GX211" i="34" s="1"/>
  <c r="GX162" i="34" a="1"/>
  <c r="GX162" i="34" s="1"/>
  <c r="GW140" i="34" a="1"/>
  <c r="GW140" i="34" s="1"/>
  <c r="GZ180" i="34" a="1"/>
  <c r="GZ180" i="34" s="1"/>
  <c r="GU146" i="34" a="1"/>
  <c r="GU146" i="34" s="1"/>
  <c r="GX66" i="34" a="1"/>
  <c r="GX66" i="34" s="1"/>
  <c r="GV112" i="34" a="1"/>
  <c r="GV112" i="34" s="1"/>
  <c r="GU39" i="34" a="1"/>
  <c r="GU39" i="34" s="1"/>
  <c r="GV250" i="34" a="1"/>
  <c r="GV250" i="34" s="1"/>
  <c r="GV129" i="34" a="1"/>
  <c r="GV129" i="34" s="1"/>
  <c r="GX151" i="34" a="1"/>
  <c r="GX151" i="34" s="1"/>
  <c r="GU31" i="34" a="1"/>
  <c r="GU31" i="34" s="1"/>
  <c r="GX156" i="34" a="1"/>
  <c r="GX156" i="34" s="1"/>
  <c r="GY17" i="34" a="1"/>
  <c r="GY17" i="34" s="1"/>
  <c r="GX72" i="34" a="1"/>
  <c r="GX72" i="34" s="1"/>
  <c r="GY105" i="34" a="1"/>
  <c r="GY105" i="34" s="1"/>
  <c r="GY149" i="34" a="1"/>
  <c r="GY149" i="34" s="1"/>
  <c r="GZ130" i="34" a="1"/>
  <c r="GZ130" i="34" s="1"/>
  <c r="GX71" i="34" a="1"/>
  <c r="GX71" i="34" s="1"/>
  <c r="GY238" i="34" a="1"/>
  <c r="GY238" i="34" s="1"/>
  <c r="GX83" i="34" a="1"/>
  <c r="GX83" i="34" s="1"/>
  <c r="HI48" i="34"/>
  <c r="HI97" i="34"/>
  <c r="HI189" i="34"/>
  <c r="HE205" i="34"/>
  <c r="HH205" i="34" s="1"/>
  <c r="FY207" i="34"/>
  <c r="HE213" i="34"/>
  <c r="HH213" i="34" s="1"/>
  <c r="HE11" i="34"/>
  <c r="HH11" i="34" s="1"/>
  <c r="GW167" i="34" a="1"/>
  <c r="GW167" i="34" s="1"/>
  <c r="GV153" i="34" a="1"/>
  <c r="GV153" i="34" s="1"/>
  <c r="GV64" i="34" a="1"/>
  <c r="GV64" i="34" s="1"/>
  <c r="HE135" i="34"/>
  <c r="HH135" i="34" s="1"/>
  <c r="GT83" i="34" a="1"/>
  <c r="GT83" i="34" s="1"/>
  <c r="HW83" i="34" s="1"/>
  <c r="GT122" i="34" a="1"/>
  <c r="GT122" i="34" s="1"/>
  <c r="GT79" i="34" a="1"/>
  <c r="GT79" i="34" s="1"/>
  <c r="GT160" i="34" a="1"/>
  <c r="GT160" i="34" s="1"/>
  <c r="GZ182" i="34" a="1"/>
  <c r="GZ182" i="34" s="1"/>
  <c r="GY170" i="34" a="1"/>
  <c r="GY170" i="34" s="1"/>
  <c r="GZ172" i="34" a="1"/>
  <c r="GZ172" i="34" s="1"/>
  <c r="GX44" i="34" a="1"/>
  <c r="GX44" i="34" s="1"/>
  <c r="GW81" i="34" a="1"/>
  <c r="GW81" i="34" s="1"/>
  <c r="GU166" i="34" a="1"/>
  <c r="GU166" i="34" s="1"/>
  <c r="GX126" i="34" a="1"/>
  <c r="GX126" i="34" s="1"/>
  <c r="HI204" i="34"/>
  <c r="FY233" i="34"/>
  <c r="HF42" i="34"/>
  <c r="HE155" i="34"/>
  <c r="FY190" i="34"/>
  <c r="HE185" i="34"/>
  <c r="HH185" i="34" s="1"/>
  <c r="HJ185" i="34" s="1"/>
  <c r="FY218" i="34"/>
  <c r="HF172" i="34"/>
  <c r="HF85" i="34"/>
  <c r="FY211" i="34"/>
  <c r="HE55" i="34"/>
  <c r="HH55" i="34" s="1"/>
  <c r="HE218" i="34"/>
  <c r="HH218" i="34" s="1"/>
  <c r="HE91" i="34"/>
  <c r="HH91" i="34" s="1"/>
  <c r="FY174" i="34"/>
  <c r="HE117" i="34"/>
  <c r="HH117" i="34" s="1"/>
  <c r="HE48" i="34"/>
  <c r="HH48" i="34" s="1"/>
  <c r="FY69" i="34"/>
  <c r="FY111" i="34"/>
  <c r="GZ176" i="34" a="1"/>
  <c r="GZ176" i="34" s="1"/>
  <c r="HI186" i="34"/>
  <c r="FY157" i="34"/>
  <c r="HF53" i="34"/>
  <c r="HF82" i="34"/>
  <c r="HF250" i="34"/>
  <c r="HF196" i="34"/>
  <c r="HF105" i="34"/>
  <c r="HF66" i="34"/>
  <c r="FY135" i="34"/>
  <c r="FY125" i="34"/>
  <c r="HF118" i="34"/>
  <c r="FY11" i="34"/>
  <c r="HF79" i="34"/>
  <c r="HE14" i="34"/>
  <c r="FY239" i="34"/>
  <c r="HE101" i="34"/>
  <c r="HH101" i="34" s="1"/>
  <c r="HF231" i="34"/>
  <c r="GT116" i="34" a="1"/>
  <c r="GT116" i="34" s="1"/>
  <c r="GT149" i="34" a="1"/>
  <c r="GT149" i="34" s="1"/>
  <c r="GY77" i="34" a="1"/>
  <c r="GY77" i="34" s="1"/>
  <c r="GY249" i="34" a="1"/>
  <c r="GY249" i="34" s="1"/>
  <c r="GW72" i="34" a="1"/>
  <c r="GW72" i="34" s="1"/>
  <c r="GU60" i="34" a="1"/>
  <c r="GU60" i="34" s="1"/>
  <c r="HX60" i="34" s="1"/>
  <c r="GV187" i="34" a="1"/>
  <c r="GV187" i="34" s="1"/>
  <c r="GX35" i="34" a="1"/>
  <c r="GX35" i="34" s="1"/>
  <c r="GY145" i="34" a="1"/>
  <c r="GY145" i="34" s="1"/>
  <c r="GU149" i="34" a="1"/>
  <c r="GU149" i="34" s="1"/>
  <c r="GV48" i="34" a="1"/>
  <c r="GV48" i="34" s="1"/>
  <c r="GX112" i="34" a="1"/>
  <c r="GX112" i="34" s="1"/>
  <c r="GU14" i="34" a="1"/>
  <c r="GU14" i="34" s="1"/>
  <c r="GZ192" i="34" a="1"/>
  <c r="GZ192" i="34" s="1"/>
  <c r="GX22" i="34" a="1"/>
  <c r="GX22" i="34" s="1"/>
  <c r="GX38" i="34" a="1"/>
  <c r="GX38" i="34" s="1"/>
  <c r="GZ169" i="34" a="1"/>
  <c r="GZ169" i="34" s="1"/>
  <c r="GU100" i="34" a="1"/>
  <c r="GU100" i="34" s="1"/>
  <c r="GZ198" i="34" a="1"/>
  <c r="GZ198" i="34" s="1"/>
  <c r="GW169" i="34" a="1"/>
  <c r="GW169" i="34" s="1"/>
  <c r="GU106" i="34" a="1"/>
  <c r="GU106" i="34" s="1"/>
  <c r="GY117" i="34" a="1"/>
  <c r="GY117" i="34" s="1"/>
  <c r="GW82" i="34" a="1"/>
  <c r="GW82" i="34" s="1"/>
  <c r="GZ123" i="34" a="1"/>
  <c r="GZ123" i="34" s="1"/>
  <c r="GV91" i="34" a="1"/>
  <c r="GV91" i="34" s="1"/>
  <c r="HI111" i="34"/>
  <c r="HI80" i="34"/>
  <c r="HI177" i="34"/>
  <c r="HI123" i="34"/>
  <c r="FY110" i="34"/>
  <c r="FY68" i="34"/>
  <c r="HF236" i="34"/>
  <c r="GT173" i="34" a="1"/>
  <c r="GT173" i="34" s="1"/>
  <c r="GY101" i="34" a="1"/>
  <c r="GY101" i="34" s="1"/>
  <c r="GY15" i="34" a="1"/>
  <c r="GY15" i="34" s="1"/>
  <c r="HI15" i="34"/>
  <c r="GT239" i="34" a="1"/>
  <c r="GT239" i="34" s="1"/>
  <c r="GT48" i="34" a="1"/>
  <c r="GT48" i="34" s="1"/>
  <c r="GT37" i="34" a="1"/>
  <c r="GT37" i="34" s="1"/>
  <c r="GT129" i="34" a="1"/>
  <c r="GT129" i="34" s="1"/>
  <c r="GV82" i="34" a="1"/>
  <c r="GV82" i="34" s="1"/>
  <c r="GW240" i="34" a="1"/>
  <c r="GW240" i="34" s="1"/>
  <c r="GW244" i="34" a="1"/>
  <c r="GW244" i="34" s="1"/>
  <c r="GZ100" i="34" a="1"/>
  <c r="GZ100" i="34" s="1"/>
  <c r="GW50" i="34" a="1"/>
  <c r="GW50" i="34" s="1"/>
  <c r="GV71" i="34" a="1"/>
  <c r="GV71" i="34" s="1"/>
  <c r="GY216" i="34" a="1"/>
  <c r="GY216" i="34" s="1"/>
  <c r="GU83" i="34" a="1"/>
  <c r="GU83" i="34" s="1"/>
  <c r="HI157" i="34"/>
  <c r="FY28" i="34"/>
  <c r="FY159" i="34"/>
  <c r="FY80" i="34"/>
  <c r="FY124" i="34"/>
  <c r="HF174" i="34"/>
  <c r="FY74" i="34"/>
  <c r="HE84" i="34"/>
  <c r="HH84" i="34" s="1"/>
  <c r="FY199" i="34"/>
  <c r="HE68" i="34"/>
  <c r="HH68" i="34" s="1"/>
  <c r="HF133" i="34"/>
  <c r="FY223" i="34"/>
  <c r="FY143" i="34"/>
  <c r="HF54" i="34"/>
  <c r="HF229" i="34"/>
  <c r="HF210" i="34"/>
  <c r="FY189" i="34"/>
  <c r="GT106" i="34" a="1"/>
  <c r="GT106" i="34" s="1"/>
  <c r="GX70" i="34" a="1"/>
  <c r="GX70" i="34" s="1"/>
  <c r="GW113" i="34" a="1"/>
  <c r="GW113" i="34" s="1"/>
  <c r="GV183" i="34" a="1"/>
  <c r="GV183" i="34" s="1"/>
  <c r="GY45" i="34" a="1"/>
  <c r="GY45" i="34" s="1"/>
  <c r="IB45" i="34" s="1"/>
  <c r="GY60" i="34" a="1"/>
  <c r="GY60" i="34" s="1"/>
  <c r="GY159" i="34" a="1"/>
  <c r="GY159" i="34" s="1"/>
  <c r="GX73" i="34" a="1"/>
  <c r="GX73" i="34" s="1"/>
  <c r="GY90" i="34" a="1"/>
  <c r="GY90" i="34" s="1"/>
  <c r="GX31" i="34" a="1"/>
  <c r="GX31" i="34" s="1"/>
  <c r="GV149" i="34" a="1"/>
  <c r="GV149" i="34" s="1"/>
  <c r="GX165" i="34" a="1"/>
  <c r="GX165" i="34" s="1"/>
  <c r="GU190" i="34" a="1"/>
  <c r="GU190" i="34" s="1"/>
  <c r="GV21" i="34" a="1"/>
  <c r="GV21" i="34" s="1"/>
  <c r="GU186" i="34" a="1"/>
  <c r="GU186" i="34" s="1"/>
  <c r="GV90" i="34" a="1"/>
  <c r="GV90" i="34" s="1"/>
  <c r="GX111" i="34" a="1"/>
  <c r="GX111" i="34" s="1"/>
  <c r="GY38" i="34" a="1"/>
  <c r="GY38" i="34" s="1"/>
  <c r="GU45" i="34" a="1"/>
  <c r="GU45" i="34" s="1"/>
  <c r="GV61" i="34" a="1"/>
  <c r="GV61" i="34" s="1"/>
  <c r="GY233" i="34" a="1"/>
  <c r="GY233" i="34" s="1"/>
  <c r="HI30" i="34"/>
  <c r="HI99" i="34"/>
  <c r="IF99" i="34" s="1"/>
  <c r="HI125" i="34"/>
  <c r="FY31" i="34"/>
  <c r="HE50" i="34"/>
  <c r="HH50" i="34" s="1"/>
  <c r="HE239" i="34"/>
  <c r="HH239" i="34" s="1"/>
  <c r="HE113" i="34"/>
  <c r="HH113" i="34" s="1"/>
  <c r="FY116" i="34"/>
  <c r="HE143" i="34"/>
  <c r="HH143" i="34" s="1"/>
  <c r="HF19" i="34"/>
  <c r="HF75" i="34"/>
  <c r="HF186" i="34"/>
  <c r="HE223" i="34"/>
  <c r="HF201" i="34"/>
  <c r="HE183" i="34"/>
  <c r="HH183" i="34" s="1"/>
  <c r="HE72" i="34"/>
  <c r="HH72" i="34" s="1"/>
  <c r="FY44" i="34"/>
  <c r="HE235" i="34"/>
  <c r="HH235" i="34" s="1"/>
  <c r="HF203" i="34"/>
  <c r="HE164" i="34"/>
  <c r="HH164" i="34" s="1"/>
  <c r="FY171" i="34"/>
  <c r="FY103" i="34"/>
  <c r="HF230" i="34"/>
  <c r="FY106" i="34"/>
  <c r="FY38" i="34"/>
  <c r="HF138" i="34"/>
  <c r="HE230" i="34"/>
  <c r="HH230" i="34" s="1"/>
  <c r="HF121" i="34"/>
  <c r="FY154" i="34"/>
  <c r="HF51" i="34"/>
  <c r="HF216" i="34"/>
  <c r="HF150" i="34"/>
  <c r="HE229" i="34"/>
  <c r="HH229" i="34" s="1"/>
  <c r="FY182" i="34"/>
  <c r="FY16" i="34"/>
  <c r="HF197" i="34"/>
  <c r="FY205" i="34"/>
  <c r="HF146" i="34"/>
  <c r="HE44" i="34"/>
  <c r="HH44" i="34" s="1"/>
  <c r="FY85" i="34"/>
  <c r="HF226" i="34"/>
  <c r="HF158" i="34"/>
  <c r="HF168" i="34"/>
  <c r="HF69" i="34"/>
  <c r="FY152" i="34"/>
  <c r="HE65" i="34"/>
  <c r="HF47" i="34"/>
  <c r="HF15" i="34"/>
  <c r="HF46" i="34"/>
  <c r="HF104" i="34"/>
  <c r="B8" i="41"/>
  <c r="F14" i="44" s="1"/>
  <c r="F34" i="44" s="1"/>
  <c r="F54" i="44" s="1"/>
  <c r="GV150" i="34" a="1"/>
  <c r="GV150" i="34" s="1"/>
  <c r="GU97" i="34" a="1"/>
  <c r="GU97" i="34" s="1"/>
  <c r="GX244" i="34" a="1"/>
  <c r="GX244" i="34" s="1"/>
  <c r="GV75" i="34" a="1"/>
  <c r="GV75" i="34" s="1"/>
  <c r="GW149" i="34" a="1"/>
  <c r="GW149" i="34" s="1"/>
  <c r="GW161" i="34" a="1"/>
  <c r="GW161" i="34" s="1"/>
  <c r="GZ72" i="34" a="1"/>
  <c r="GZ72" i="34" s="1"/>
  <c r="GU92" i="34" a="1"/>
  <c r="GU92" i="34" s="1"/>
  <c r="GZ238" i="34" a="1"/>
  <c r="GZ238" i="34" s="1"/>
  <c r="GV216" i="34" a="1"/>
  <c r="GV216" i="34" s="1"/>
  <c r="GY206" i="34" a="1"/>
  <c r="GY206" i="34" s="1"/>
  <c r="GZ202" i="34" a="1"/>
  <c r="GZ202" i="34" s="1"/>
  <c r="GY127" i="34" a="1"/>
  <c r="GY127" i="34" s="1"/>
  <c r="GW172" i="34" a="1"/>
  <c r="GW172" i="34" s="1"/>
  <c r="GY32" i="34" a="1"/>
  <c r="GY32" i="34" s="1"/>
  <c r="GX47" i="34" a="1"/>
  <c r="GX47" i="34" s="1"/>
  <c r="GY63" i="34" a="1"/>
  <c r="GY63" i="34" s="1"/>
  <c r="GU132" i="34" a="1"/>
  <c r="GU132" i="34" s="1"/>
  <c r="GY112" i="34" a="1"/>
  <c r="GY112" i="34" s="1"/>
  <c r="GW24" i="34" a="1"/>
  <c r="GW24" i="34" s="1"/>
  <c r="GV143" i="34" a="1"/>
  <c r="GV143" i="34" s="1"/>
  <c r="HI174" i="34"/>
  <c r="HI187" i="34"/>
  <c r="HI89" i="34"/>
  <c r="IF89" i="34" s="1"/>
  <c r="HE37" i="34"/>
  <c r="HE187" i="34"/>
  <c r="FY241" i="34"/>
  <c r="FY167" i="34"/>
  <c r="HE103" i="34"/>
  <c r="HH103" i="34" s="1"/>
  <c r="FY39" i="34"/>
  <c r="FY238" i="34"/>
  <c r="FY147" i="34"/>
  <c r="HE141" i="34"/>
  <c r="HH141" i="34" s="1"/>
  <c r="HE176" i="34"/>
  <c r="HH176" i="34" s="1"/>
  <c r="HE74" i="34"/>
  <c r="HH74" i="34" s="1"/>
  <c r="HE54" i="34"/>
  <c r="HH54" i="34" s="1"/>
  <c r="HE61" i="34"/>
  <c r="HH61" i="34" s="1"/>
  <c r="FY170" i="34"/>
  <c r="FY119" i="34"/>
  <c r="FY161" i="34"/>
  <c r="FY235" i="34"/>
  <c r="FY244" i="34"/>
  <c r="HE123" i="34"/>
  <c r="HH123" i="34" s="1"/>
  <c r="HF171" i="34"/>
  <c r="HF97" i="34"/>
  <c r="HE144" i="34"/>
  <c r="HH144" i="34" s="1"/>
  <c r="HE63" i="34"/>
  <c r="HH63" i="34" s="1"/>
  <c r="HE132" i="34"/>
  <c r="HF176" i="34"/>
  <c r="FY165" i="34"/>
  <c r="HF119" i="34"/>
  <c r="HF16" i="34"/>
  <c r="HF207" i="34"/>
  <c r="HE200" i="34"/>
  <c r="HF131" i="34"/>
  <c r="HF237" i="34"/>
  <c r="HE19" i="34"/>
  <c r="FY71" i="34"/>
  <c r="HF246" i="34"/>
  <c r="HE189" i="34"/>
  <c r="HF185" i="34"/>
  <c r="HE98" i="34"/>
  <c r="HF195" i="34"/>
  <c r="HE152" i="34"/>
  <c r="HE64" i="34"/>
  <c r="HF127" i="34"/>
  <c r="FY57" i="34"/>
  <c r="FY158" i="34"/>
  <c r="FY102" i="34"/>
  <c r="HE249" i="34"/>
  <c r="HH249" i="34" s="1"/>
  <c r="HE202" i="34"/>
  <c r="FY12" i="41"/>
  <c r="GW33" i="34" a="1"/>
  <c r="GW33" i="34" s="1"/>
  <c r="GV113" i="34" a="1"/>
  <c r="GV113" i="34" s="1"/>
  <c r="GX215" i="34" a="1"/>
  <c r="GX215" i="34" s="1"/>
  <c r="GX161" i="34" a="1"/>
  <c r="GX161" i="34" s="1"/>
  <c r="GV23" i="34" a="1"/>
  <c r="GV23" i="34" s="1"/>
  <c r="GV97" i="34" a="1"/>
  <c r="GV97" i="34" s="1"/>
  <c r="GX163" i="34" a="1"/>
  <c r="GX163" i="34" s="1"/>
  <c r="GZ142" i="34" a="1"/>
  <c r="GZ142" i="34" s="1"/>
  <c r="GU185" i="34" a="1"/>
  <c r="GU185" i="34" s="1"/>
  <c r="GW160" i="34" a="1"/>
  <c r="GW160" i="34" s="1"/>
  <c r="GU105" i="34" a="1"/>
  <c r="GU105" i="34" s="1"/>
  <c r="GZ140" i="34" a="1"/>
  <c r="GZ140" i="34" s="1"/>
  <c r="GV69" i="34" a="1"/>
  <c r="GV69" i="34" s="1"/>
  <c r="GZ153" i="34" a="1"/>
  <c r="GZ153" i="34" s="1"/>
  <c r="GW155" i="34" a="1"/>
  <c r="GW155" i="34" s="1"/>
  <c r="GX246" i="34" a="1"/>
  <c r="GX246" i="34" s="1"/>
  <c r="GX238" i="34" a="1"/>
  <c r="GX238" i="34" s="1"/>
  <c r="GY198" i="34" a="1"/>
  <c r="GY198" i="34" s="1"/>
  <c r="GY205" i="34" a="1"/>
  <c r="GY205" i="34" s="1"/>
  <c r="GV19" i="34" a="1"/>
  <c r="GV19" i="34" s="1"/>
  <c r="GU66" i="34" a="1"/>
  <c r="GU66" i="34" s="1"/>
  <c r="HI144" i="34"/>
  <c r="HI119" i="34"/>
  <c r="HI73" i="34"/>
  <c r="IF73" i="34" s="1"/>
  <c r="FY139" i="34"/>
  <c r="HF234" i="34"/>
  <c r="HE128" i="34"/>
  <c r="HH128" i="34" s="1"/>
  <c r="FY9" i="34"/>
  <c r="HE133" i="34"/>
  <c r="FY43" i="34"/>
  <c r="HF164" i="34"/>
  <c r="FY19" i="34"/>
  <c r="HF243" i="34"/>
  <c r="HF83" i="34"/>
  <c r="HE76" i="34"/>
  <c r="HH76" i="34" s="1"/>
  <c r="HE69" i="34"/>
  <c r="HH69" i="34" s="1"/>
  <c r="FY60" i="34"/>
  <c r="HE24" i="34"/>
  <c r="HH24" i="34" s="1"/>
  <c r="HF78" i="34"/>
  <c r="HF57" i="34"/>
  <c r="HE166" i="34"/>
  <c r="HE225" i="34"/>
  <c r="HF25" i="34"/>
  <c r="FY166" i="34"/>
  <c r="HE125" i="34"/>
  <c r="HH125" i="34" s="1"/>
  <c r="HF132" i="34"/>
  <c r="FY183" i="34"/>
  <c r="HE22" i="34"/>
  <c r="HE66" i="34"/>
  <c r="HH66" i="34" s="1"/>
  <c r="HE90" i="34"/>
  <c r="HH90" i="34" s="1"/>
  <c r="HE116" i="34"/>
  <c r="HH116" i="34" s="1"/>
  <c r="HF209" i="34"/>
  <c r="FY37" i="34"/>
  <c r="HF8" i="34"/>
  <c r="FY197" i="34"/>
  <c r="HE43" i="34"/>
  <c r="HH43" i="34" s="1"/>
  <c r="FY88" i="34"/>
  <c r="HF193" i="34"/>
  <c r="HF153" i="34"/>
  <c r="HE236" i="34"/>
  <c r="HE197" i="34"/>
  <c r="HH197" i="34" s="1"/>
  <c r="HE96" i="34"/>
  <c r="HH96" i="34" s="1"/>
  <c r="HE122" i="34"/>
  <c r="HH122" i="34" s="1"/>
  <c r="FY123" i="34"/>
  <c r="HF107" i="34"/>
  <c r="FY164" i="34"/>
  <c r="FY21" i="34"/>
  <c r="HF17" i="34"/>
  <c r="FY128" i="34"/>
  <c r="HE60" i="34"/>
  <c r="HE171" i="34"/>
  <c r="HH171" i="34" s="1"/>
  <c r="FY9" i="41"/>
  <c r="FY227" i="34"/>
  <c r="FY77" i="34"/>
  <c r="FY90" i="34"/>
  <c r="GZ16" i="34" a="1"/>
  <c r="GZ16" i="34" s="1"/>
  <c r="GU122" i="34" a="1"/>
  <c r="GU122" i="34" s="1"/>
  <c r="GU68" i="34" a="1"/>
  <c r="GU68" i="34" s="1"/>
  <c r="GW94" i="34" a="1"/>
  <c r="GW94" i="34" s="1"/>
  <c r="HI172" i="34"/>
  <c r="GT61" i="34" a="1"/>
  <c r="GT61" i="34" s="1"/>
  <c r="HW61" i="34" s="1"/>
  <c r="GT179" i="34" a="1"/>
  <c r="GT179" i="34" s="1"/>
  <c r="HW179" i="34" s="1"/>
  <c r="GT210" i="34" a="1"/>
  <c r="GT210" i="34" s="1"/>
  <c r="GT121" i="34" a="1"/>
  <c r="GT121" i="34" s="1"/>
  <c r="GT41" i="34" a="1"/>
  <c r="GT41" i="34" s="1"/>
  <c r="GY119" i="34" a="1"/>
  <c r="GY119" i="34" s="1"/>
  <c r="GZ86" i="34" a="1"/>
  <c r="GZ86" i="34" s="1"/>
  <c r="GY180" i="34" a="1"/>
  <c r="GY180" i="34" s="1"/>
  <c r="GY13" i="34" a="1"/>
  <c r="GY13" i="34" s="1"/>
  <c r="GZ242" i="34" a="1"/>
  <c r="GZ242" i="34" s="1"/>
  <c r="GW188" i="34" a="1"/>
  <c r="GW188" i="34" s="1"/>
  <c r="GW137" i="34" a="1"/>
  <c r="GW137" i="34" s="1"/>
  <c r="GW214" i="34" a="1"/>
  <c r="GW214" i="34" s="1"/>
  <c r="GU145" i="34" a="1"/>
  <c r="GU145" i="34" s="1"/>
  <c r="GV168" i="34" a="1"/>
  <c r="GV168" i="34" s="1"/>
  <c r="GX109" i="34" a="1"/>
  <c r="GX109" i="34" s="1"/>
  <c r="GX146" i="34" a="1"/>
  <c r="GX146" i="34" s="1"/>
  <c r="GV110" i="34" a="1"/>
  <c r="GV110" i="34" s="1"/>
  <c r="GV13" i="34" a="1"/>
  <c r="GV13" i="34" s="1"/>
  <c r="GU169" i="34" a="1"/>
  <c r="GU169" i="34" s="1"/>
  <c r="GY192" i="34" a="1"/>
  <c r="GY192" i="34" s="1"/>
  <c r="GW117" i="34" a="1"/>
  <c r="GW117" i="34" s="1"/>
  <c r="GY100" i="34" a="1"/>
  <c r="GY100" i="34" s="1"/>
  <c r="GV17" i="34" a="1"/>
  <c r="GV17" i="34" s="1"/>
  <c r="GU168" i="34" a="1"/>
  <c r="GU168" i="34" s="1"/>
  <c r="GZ27" i="34" a="1"/>
  <c r="GZ27" i="34" s="1"/>
  <c r="HI138" i="34"/>
  <c r="HI211" i="34"/>
  <c r="HI207" i="34"/>
  <c r="HE88" i="34"/>
  <c r="HH88" i="34" s="1"/>
  <c r="HF108" i="34"/>
  <c r="HE221" i="34"/>
  <c r="HF183" i="34"/>
  <c r="HF36" i="34"/>
  <c r="HE130" i="34"/>
  <c r="HE95" i="34"/>
  <c r="HH95" i="34" s="1"/>
  <c r="FY55" i="34"/>
  <c r="HE29" i="34"/>
  <c r="HH29" i="34" s="1"/>
  <c r="HF235" i="34"/>
  <c r="FY214" i="34"/>
  <c r="HE136" i="34"/>
  <c r="HH136" i="34" s="1"/>
  <c r="FY53" i="34"/>
  <c r="HE20" i="34"/>
  <c r="HH20" i="34" s="1"/>
  <c r="FY32" i="34"/>
  <c r="HE175" i="34"/>
  <c r="HH175" i="34" s="1"/>
  <c r="HF70" i="34"/>
  <c r="HF30" i="34"/>
  <c r="FY240" i="34"/>
  <c r="HE149" i="34"/>
  <c r="HH149" i="34" s="1"/>
  <c r="HJ149" i="34" s="1"/>
  <c r="FY108" i="34"/>
  <c r="HE248" i="34"/>
  <c r="HH248" i="34" s="1"/>
  <c r="FY56" i="34"/>
  <c r="HF194" i="34"/>
  <c r="FY35" i="34"/>
  <c r="FY87" i="34"/>
  <c r="FY12" i="34"/>
  <c r="HF112" i="34"/>
  <c r="FY63" i="34"/>
  <c r="HE195" i="34"/>
  <c r="HH195" i="34" s="1"/>
  <c r="HF220" i="34"/>
  <c r="FY142" i="34"/>
  <c r="HE99" i="34"/>
  <c r="FY89" i="34"/>
  <c r="FY14" i="34"/>
  <c r="HF188" i="34"/>
  <c r="HF190" i="34"/>
  <c r="HE73" i="34"/>
  <c r="HH73" i="34" s="1"/>
  <c r="HE109" i="34"/>
  <c r="HH109" i="34" s="1"/>
  <c r="HF34" i="34"/>
  <c r="HF178" i="34"/>
  <c r="HF225" i="34"/>
  <c r="HE71" i="34"/>
  <c r="HH71" i="34" s="1"/>
  <c r="FY250" i="34"/>
  <c r="HF31" i="34"/>
  <c r="FY195" i="34"/>
  <c r="FY20" i="34"/>
  <c r="FY10" i="41"/>
  <c r="HE238" i="34"/>
  <c r="HH238" i="34" s="1"/>
  <c r="HE192" i="34"/>
  <c r="HH192" i="34" s="1"/>
  <c r="FY73" i="34"/>
  <c r="GW108" i="34" a="1"/>
  <c r="GW108" i="34" s="1"/>
  <c r="GW90" i="34" a="1"/>
  <c r="GW90" i="34" s="1"/>
  <c r="GX248" i="34" a="1"/>
  <c r="GX248" i="34" s="1"/>
  <c r="GY181" i="34" a="1"/>
  <c r="GY181" i="34" s="1"/>
  <c r="HI192" i="34"/>
  <c r="GT216" i="34" a="1"/>
  <c r="GT216" i="34" s="1"/>
  <c r="GT215" i="34" a="1"/>
  <c r="GT215" i="34" s="1"/>
  <c r="GT35" i="34" a="1"/>
  <c r="GT35" i="34" s="1"/>
  <c r="GT29" i="34" a="1"/>
  <c r="GT29" i="34" s="1"/>
  <c r="GT218" i="34" a="1"/>
  <c r="GT218" i="34" s="1"/>
  <c r="HW218" i="34" s="1"/>
  <c r="GZ211" i="34" a="1"/>
  <c r="GZ211" i="34" s="1"/>
  <c r="GU84" i="34" a="1"/>
  <c r="GU84" i="34" s="1"/>
  <c r="GZ174" i="34" a="1"/>
  <c r="GZ174" i="34" s="1"/>
  <c r="GV215" i="34" a="1"/>
  <c r="GV215" i="34" s="1"/>
  <c r="GY142" i="34" a="1"/>
  <c r="GY142" i="34" s="1"/>
  <c r="GW136" i="34" a="1"/>
  <c r="GW136" i="34" s="1"/>
  <c r="GV154" i="34" a="1"/>
  <c r="GV154" i="34" s="1"/>
  <c r="GU218" i="34" a="1"/>
  <c r="GU218" i="34" s="1"/>
  <c r="GX142" i="34" a="1"/>
  <c r="GX142" i="34" s="1"/>
  <c r="GV248" i="34" a="1"/>
  <c r="GV248" i="34" s="1"/>
  <c r="GZ78" i="34" a="1"/>
  <c r="GZ78" i="34" s="1"/>
  <c r="GV223" i="34" a="1"/>
  <c r="GV223" i="34" s="1"/>
  <c r="GW53" i="34" a="1"/>
  <c r="GW53" i="34" s="1"/>
  <c r="GU9" i="34" a="1"/>
  <c r="GU9" i="34" s="1"/>
  <c r="GZ32" i="34" a="1"/>
  <c r="GZ32" i="34" s="1"/>
  <c r="GZ15" i="34" a="1"/>
  <c r="GZ15" i="34" s="1"/>
  <c r="GW153" i="34" a="1"/>
  <c r="GW153" i="34" s="1"/>
  <c r="GU135" i="34" a="1"/>
  <c r="GU135" i="34" s="1"/>
  <c r="GW111" i="34" a="1"/>
  <c r="GW111" i="34" s="1"/>
  <c r="GV104" i="34" a="1"/>
  <c r="GV104" i="34" s="1"/>
  <c r="HI190" i="34"/>
  <c r="HI188" i="34"/>
  <c r="HI11" i="34"/>
  <c r="HI85" i="34"/>
  <c r="HF204" i="34"/>
  <c r="HE208" i="34"/>
  <c r="HH208" i="34" s="1"/>
  <c r="FY200" i="34"/>
  <c r="HE232" i="34"/>
  <c r="HH232" i="34" s="1"/>
  <c r="FY219" i="34"/>
  <c r="HF24" i="34"/>
  <c r="HE18" i="34"/>
  <c r="FY93" i="34"/>
  <c r="HF96" i="34"/>
  <c r="FY94" i="34"/>
  <c r="FY65" i="34"/>
  <c r="FY100" i="34"/>
  <c r="FY216" i="34"/>
  <c r="HE142" i="34"/>
  <c r="HH142" i="34" s="1"/>
  <c r="FY78" i="34"/>
  <c r="HE182" i="34"/>
  <c r="HH182" i="34" s="1"/>
  <c r="HF45" i="34"/>
  <c r="HF44" i="34"/>
  <c r="FY140" i="34"/>
  <c r="FY58" i="34"/>
  <c r="FY132" i="34"/>
  <c r="HE233" i="34"/>
  <c r="HH233" i="34" s="1"/>
  <c r="HE228" i="34"/>
  <c r="HH228" i="34" s="1"/>
  <c r="HF87" i="34"/>
  <c r="HE181" i="34"/>
  <c r="HH181" i="34" s="1"/>
  <c r="FY206" i="34"/>
  <c r="HF160" i="34"/>
  <c r="FY10" i="34"/>
  <c r="HE46" i="34"/>
  <c r="HH46" i="34" s="1"/>
  <c r="HF184" i="34"/>
  <c r="FY193" i="34"/>
  <c r="HE162" i="34"/>
  <c r="HH162" i="34" s="1"/>
  <c r="HE83" i="34"/>
  <c r="HH83" i="34" s="1"/>
  <c r="FY17" i="34"/>
  <c r="HF139" i="34"/>
  <c r="HF77" i="34"/>
  <c r="FY221" i="34"/>
  <c r="HF72" i="34"/>
  <c r="HE212" i="34"/>
  <c r="HH212" i="34" s="1"/>
  <c r="HF218" i="34"/>
  <c r="FY92" i="34"/>
  <c r="HF217" i="34"/>
  <c r="HF129" i="34"/>
  <c r="HE9" i="34"/>
  <c r="HH9" i="34" s="1"/>
  <c r="HF113" i="34"/>
  <c r="FY25" i="34"/>
  <c r="FY185" i="34"/>
  <c r="FY11" i="41"/>
  <c r="FY220" i="34"/>
  <c r="FY101" i="34"/>
  <c r="HE16" i="34"/>
  <c r="FY236" i="34"/>
  <c r="FY245" i="34"/>
  <c r="FY192" i="34"/>
  <c r="FY115" i="34"/>
  <c r="HF110" i="34"/>
  <c r="HE243" i="34"/>
  <c r="HH243" i="34" s="1"/>
  <c r="HE165" i="34"/>
  <c r="HE93" i="34"/>
  <c r="HH93" i="34" s="1"/>
  <c r="FY138" i="34"/>
  <c r="FY184" i="34"/>
  <c r="HE148" i="34"/>
  <c r="HH148" i="34" s="1"/>
  <c r="FY52" i="34"/>
  <c r="HF215" i="34"/>
  <c r="HF86" i="34"/>
  <c r="HE178" i="34"/>
  <c r="HH178" i="34" s="1"/>
  <c r="FY8" i="34"/>
  <c r="HE158" i="34"/>
  <c r="HH158" i="34" s="1"/>
  <c r="HF155" i="34"/>
  <c r="HE58" i="34"/>
  <c r="HH58" i="34" s="1"/>
  <c r="HF247" i="34"/>
  <c r="HE191" i="34"/>
  <c r="HH191" i="34" s="1"/>
  <c r="HF165" i="34"/>
  <c r="FY15" i="34"/>
  <c r="HE127" i="34"/>
  <c r="HH127" i="34" s="1"/>
  <c r="HE204" i="34"/>
  <c r="HH204" i="34" s="1"/>
  <c r="HE111" i="34"/>
  <c r="HH111" i="34" s="1"/>
  <c r="FY187" i="34"/>
  <c r="HE151" i="34"/>
  <c r="HH151" i="34" s="1"/>
  <c r="FY248" i="34"/>
  <c r="FY202" i="34"/>
  <c r="HE180" i="34"/>
  <c r="HH180" i="34" s="1"/>
  <c r="HF169" i="34"/>
  <c r="HE224" i="34"/>
  <c r="FY98" i="34"/>
  <c r="HE12" i="34"/>
  <c r="HH12" i="34" s="1"/>
  <c r="GZ148" i="34" a="1"/>
  <c r="GZ148" i="34" s="1"/>
  <c r="GW242" i="34" a="1"/>
  <c r="GW242" i="34" s="1"/>
  <c r="GY169" i="34" a="1"/>
  <c r="GY169" i="34" s="1"/>
  <c r="GU43" i="34" a="1"/>
  <c r="GU43" i="34" s="1"/>
  <c r="GV18" i="34" a="1"/>
  <c r="GV18" i="34" s="1"/>
  <c r="GU151" i="34" a="1"/>
  <c r="GU151" i="34" s="1"/>
  <c r="GW227" i="34" a="1"/>
  <c r="GW227" i="34" s="1"/>
  <c r="GU94" i="34" a="1"/>
  <c r="GU94" i="34" s="1"/>
  <c r="GY92" i="34" a="1"/>
  <c r="GY92" i="34" s="1"/>
  <c r="GZ237" i="34" a="1"/>
  <c r="GZ237" i="34" s="1"/>
  <c r="GX29" i="34" a="1"/>
  <c r="GX29" i="34" s="1"/>
  <c r="GV28" i="34" a="1"/>
  <c r="GV28" i="34" s="1"/>
  <c r="GV115" i="34" a="1"/>
  <c r="GV115" i="34" s="1"/>
  <c r="GX160" i="34" a="1"/>
  <c r="GX160" i="34" s="1"/>
  <c r="GY21" i="34" a="1"/>
  <c r="GY21" i="34" s="1"/>
  <c r="GW181" i="34" a="1"/>
  <c r="GW181" i="34" s="1"/>
  <c r="GW107" i="34" a="1"/>
  <c r="GW107" i="34" s="1"/>
  <c r="GX198" i="34" a="1"/>
  <c r="GX198" i="34" s="1"/>
  <c r="GZ220" i="34" a="1"/>
  <c r="GZ220" i="34" s="1"/>
  <c r="HI227" i="34"/>
  <c r="HI126" i="34"/>
  <c r="HI38" i="34"/>
  <c r="HI250" i="34"/>
  <c r="HE17" i="34"/>
  <c r="HH17" i="34" s="1"/>
  <c r="HE121" i="34"/>
  <c r="HH121" i="34" s="1"/>
  <c r="FY150" i="34"/>
  <c r="HE222" i="34"/>
  <c r="HE51" i="34"/>
  <c r="HH51" i="34" s="1"/>
  <c r="FY212" i="34"/>
  <c r="FY34" i="34"/>
  <c r="FY76" i="34"/>
  <c r="HF179" i="34"/>
  <c r="HE10" i="34"/>
  <c r="HH10" i="34" s="1"/>
  <c r="HF74" i="34"/>
  <c r="HF65" i="34"/>
  <c r="FY201" i="34"/>
  <c r="HE145" i="34"/>
  <c r="HH145" i="34" s="1"/>
  <c r="HF192" i="34"/>
  <c r="HE215" i="34"/>
  <c r="HH215" i="34" s="1"/>
  <c r="FY64" i="34"/>
  <c r="HF123" i="34"/>
  <c r="HE114" i="34"/>
  <c r="HH114" i="34" s="1"/>
  <c r="HF61" i="34"/>
  <c r="HE13" i="34"/>
  <c r="HH13" i="34" s="1"/>
  <c r="HF191" i="34"/>
  <c r="HE78" i="34"/>
  <c r="HH78" i="34" s="1"/>
  <c r="HE67" i="34"/>
  <c r="HH67" i="34" s="1"/>
  <c r="FY26" i="34"/>
  <c r="HF13" i="34"/>
  <c r="HE120" i="34"/>
  <c r="HH120" i="34" s="1"/>
  <c r="HE30" i="34"/>
  <c r="HH30" i="34" s="1"/>
  <c r="HE234" i="34"/>
  <c r="HH234" i="34" s="1"/>
  <c r="FY194" i="34"/>
  <c r="HF106" i="34"/>
  <c r="FY41" i="34"/>
  <c r="HE168" i="34"/>
  <c r="HH168" i="34" s="1"/>
  <c r="FY36" i="34"/>
  <c r="HE94" i="34"/>
  <c r="HH94" i="34" s="1"/>
  <c r="HJ94" i="34" s="1"/>
  <c r="HF181" i="34"/>
  <c r="FY232" i="34"/>
  <c r="HF40" i="34"/>
  <c r="FY141" i="34"/>
  <c r="HE45" i="34"/>
  <c r="HH45" i="34" s="1"/>
  <c r="FY81" i="34"/>
  <c r="HF91" i="34"/>
  <c r="FY40" i="34"/>
  <c r="HE52" i="34"/>
  <c r="HH52" i="34" s="1"/>
  <c r="HF39" i="34"/>
  <c r="FY95" i="34"/>
  <c r="HE118" i="34"/>
  <c r="HH118" i="34" s="1"/>
  <c r="FY148" i="34"/>
  <c r="HF173" i="34"/>
  <c r="FY51" i="34"/>
  <c r="FY162" i="34"/>
  <c r="HE226" i="34"/>
  <c r="FY156" i="34"/>
  <c r="FY29" i="34"/>
  <c r="HE146" i="34"/>
  <c r="HH146" i="34" s="1"/>
  <c r="FY225" i="34"/>
  <c r="FY203" i="34"/>
  <c r="HF221" i="34"/>
  <c r="HE81" i="34"/>
  <c r="HH81" i="34" s="1"/>
  <c r="HF20" i="34"/>
  <c r="HE39" i="34"/>
  <c r="HE246" i="34"/>
  <c r="HH246" i="34" s="1"/>
  <c r="HF126" i="34"/>
  <c r="HE154" i="34"/>
  <c r="HE106" i="34"/>
  <c r="HH106" i="34" s="1"/>
  <c r="HE56" i="34"/>
  <c r="HH56" i="34" s="1"/>
  <c r="HF117" i="34"/>
  <c r="HE250" i="34"/>
  <c r="HH250" i="34" s="1"/>
  <c r="HF134" i="34"/>
  <c r="FY45" i="34"/>
  <c r="HE206" i="34"/>
  <c r="HH206" i="34" s="1"/>
  <c r="FY173" i="34"/>
  <c r="HE34" i="34"/>
  <c r="HE86" i="34"/>
  <c r="HH86" i="34" s="1"/>
  <c r="HF228" i="34"/>
  <c r="FY79" i="34"/>
  <c r="HE194" i="34"/>
  <c r="HH194" i="34" s="1"/>
  <c r="HE8" i="34"/>
  <c r="HH8" i="34" s="1"/>
  <c r="HF115" i="34"/>
  <c r="FY13" i="34"/>
  <c r="FY18" i="34"/>
  <c r="HF56" i="34"/>
  <c r="FY130" i="34"/>
  <c r="HE198" i="34"/>
  <c r="HH198" i="34" s="1"/>
  <c r="HF170" i="34"/>
  <c r="B83" i="46"/>
  <c r="B52" i="46"/>
  <c r="B101" i="46"/>
  <c r="B73" i="46"/>
  <c r="B81" i="46"/>
  <c r="B39" i="46"/>
  <c r="B76" i="46"/>
  <c r="B78" i="46"/>
  <c r="B11" i="46"/>
  <c r="B59" i="46"/>
  <c r="B75" i="46"/>
  <c r="B34" i="46"/>
  <c r="B98" i="46"/>
  <c r="B62" i="46"/>
  <c r="B90" i="46"/>
  <c r="B40" i="46"/>
  <c r="B57" i="46"/>
  <c r="B100" i="46"/>
  <c r="B94" i="46"/>
  <c r="B53" i="46"/>
  <c r="B77" i="46"/>
  <c r="B58" i="46"/>
  <c r="B72" i="46"/>
  <c r="B41" i="46"/>
  <c r="B35" i="46"/>
  <c r="B74" i="46"/>
  <c r="B54" i="46"/>
  <c r="B99" i="46"/>
  <c r="B60" i="46"/>
  <c r="B37" i="46"/>
  <c r="B43" i="46"/>
  <c r="B97" i="46"/>
  <c r="B61" i="46"/>
  <c r="B93" i="46"/>
  <c r="B82" i="46"/>
  <c r="B42" i="46"/>
  <c r="B44" i="46"/>
  <c r="B92" i="46"/>
  <c r="B91" i="46"/>
  <c r="B56" i="46"/>
  <c r="B63" i="46"/>
  <c r="B38" i="46"/>
  <c r="B36" i="46"/>
  <c r="B80" i="46"/>
  <c r="B96" i="46"/>
  <c r="B55" i="46"/>
  <c r="B79" i="46"/>
  <c r="B95" i="46"/>
  <c r="B45" i="46"/>
  <c r="B122" i="55"/>
  <c r="B126" i="55"/>
  <c r="B123" i="55"/>
  <c r="B52" i="55"/>
  <c r="B87" i="55"/>
  <c r="B57" i="55"/>
  <c r="B32" i="55"/>
  <c r="B110" i="55"/>
  <c r="B112" i="55"/>
  <c r="B67" i="55"/>
  <c r="B71" i="55"/>
  <c r="B131" i="55"/>
  <c r="B36" i="55"/>
  <c r="B56" i="55"/>
  <c r="B41" i="55"/>
  <c r="B94" i="55"/>
  <c r="B59" i="55"/>
  <c r="B37" i="55"/>
  <c r="B54" i="55"/>
  <c r="B11" i="55"/>
  <c r="B75" i="55"/>
  <c r="B127" i="55"/>
  <c r="B124" i="55"/>
  <c r="B114" i="55"/>
  <c r="B31" i="55"/>
  <c r="B34" i="55"/>
  <c r="B50" i="55"/>
  <c r="B95" i="55"/>
  <c r="B84" i="55"/>
  <c r="B73" i="55"/>
  <c r="B68" i="55"/>
  <c r="B72" i="55"/>
  <c r="B133" i="55"/>
  <c r="B105" i="55"/>
  <c r="B33" i="55"/>
  <c r="B92" i="55"/>
  <c r="B35" i="55"/>
  <c r="B53" i="55"/>
  <c r="B125" i="55"/>
  <c r="B30" i="55"/>
  <c r="B129" i="55"/>
  <c r="B76" i="55"/>
  <c r="B128" i="55"/>
  <c r="B113" i="55"/>
  <c r="B86" i="55"/>
  <c r="B89" i="55"/>
  <c r="B48" i="55"/>
  <c r="B109" i="55"/>
  <c r="B51" i="55"/>
  <c r="B66" i="55"/>
  <c r="B69" i="55"/>
  <c r="B91" i="55"/>
  <c r="B104" i="55"/>
  <c r="B55" i="55"/>
  <c r="B90" i="55"/>
  <c r="B39" i="55"/>
  <c r="B108" i="55"/>
  <c r="B38" i="55"/>
  <c r="B70" i="55"/>
  <c r="B106" i="55"/>
  <c r="B88" i="55"/>
  <c r="B49" i="55"/>
  <c r="B40" i="55"/>
  <c r="B74" i="55"/>
  <c r="B77" i="55"/>
  <c r="B132" i="55"/>
  <c r="B85" i="55"/>
  <c r="B115" i="55"/>
  <c r="B107" i="55"/>
  <c r="B93" i="55"/>
  <c r="B58" i="55"/>
  <c r="B111" i="55"/>
  <c r="B130" i="55"/>
  <c r="B61" i="16"/>
  <c r="B36" i="16"/>
  <c r="B40" i="16"/>
  <c r="B57" i="16"/>
  <c r="B37" i="16"/>
  <c r="B42" i="16"/>
  <c r="B39" i="16"/>
  <c r="B62" i="16"/>
  <c r="B41" i="16"/>
  <c r="B32" i="16"/>
  <c r="B11" i="16"/>
  <c r="B54" i="16"/>
  <c r="B38" i="16"/>
  <c r="B43" i="16"/>
  <c r="B55" i="16"/>
  <c r="B53" i="16"/>
  <c r="B33" i="16"/>
  <c r="B63" i="16"/>
  <c r="B56" i="16"/>
  <c r="B59" i="16"/>
  <c r="B34" i="16"/>
  <c r="B60" i="16"/>
  <c r="B52" i="16"/>
  <c r="B58" i="16"/>
  <c r="B35" i="16"/>
  <c r="B30" i="40"/>
  <c r="B56" i="40"/>
  <c r="B55" i="40"/>
  <c r="B49" i="40"/>
  <c r="B38" i="40"/>
  <c r="B33" i="40"/>
  <c r="B28" i="40"/>
  <c r="B52" i="40"/>
  <c r="B34" i="40"/>
  <c r="B36" i="40"/>
  <c r="B31" i="40"/>
  <c r="B46" i="40"/>
  <c r="B50" i="40"/>
  <c r="B39" i="40"/>
  <c r="B35" i="40"/>
  <c r="B37" i="40"/>
  <c r="B53" i="40"/>
  <c r="B48" i="40"/>
  <c r="B54" i="40"/>
  <c r="B29" i="40"/>
  <c r="B45" i="40"/>
  <c r="B47" i="40"/>
  <c r="B32" i="40"/>
  <c r="B51" i="40"/>
  <c r="B59" i="44"/>
  <c r="B63" i="44"/>
  <c r="B33" i="44"/>
  <c r="B55" i="44"/>
  <c r="B32" i="44"/>
  <c r="B42" i="44"/>
  <c r="B43" i="44"/>
  <c r="B35" i="44"/>
  <c r="B39" i="44"/>
  <c r="B61" i="44"/>
  <c r="B54" i="44"/>
  <c r="B58" i="44"/>
  <c r="B62" i="44"/>
  <c r="B53" i="44"/>
  <c r="B57" i="44"/>
  <c r="B36" i="44"/>
  <c r="B11" i="44"/>
  <c r="B60" i="44"/>
  <c r="B41" i="44"/>
  <c r="B38" i="44"/>
  <c r="B52" i="44"/>
  <c r="B56" i="44"/>
  <c r="B37" i="44"/>
  <c r="B40" i="44"/>
  <c r="B34" i="44"/>
  <c r="B38" i="43"/>
  <c r="B37" i="43"/>
  <c r="B41" i="43"/>
  <c r="B63" i="43"/>
  <c r="B200" i="43" s="1"/>
  <c r="B56" i="43"/>
  <c r="B33" i="43"/>
  <c r="B55" i="43"/>
  <c r="B57" i="43"/>
  <c r="B62" i="43"/>
  <c r="B178" i="43" s="1"/>
  <c r="B34" i="43"/>
  <c r="B61" i="43"/>
  <c r="B156" i="43" s="1"/>
  <c r="B54" i="43"/>
  <c r="B35" i="43"/>
  <c r="B60" i="43"/>
  <c r="B134" i="43" s="1"/>
  <c r="B53" i="43"/>
  <c r="B36" i="43"/>
  <c r="B42" i="43"/>
  <c r="B11" i="43"/>
  <c r="B59" i="43"/>
  <c r="B112" i="43" s="1"/>
  <c r="B52" i="43"/>
  <c r="B32" i="43"/>
  <c r="B39" i="43"/>
  <c r="B40" i="43"/>
  <c r="B58" i="43"/>
  <c r="B90" i="43" s="1"/>
  <c r="B43" i="43"/>
  <c r="HX45" i="34" l="1"/>
  <c r="HJ45" i="34"/>
  <c r="HU45" i="34" s="1"/>
  <c r="IF141" i="34"/>
  <c r="IF140" i="34"/>
  <c r="IF198" i="34"/>
  <c r="IA201" i="34"/>
  <c r="IF216" i="34"/>
  <c r="IF165" i="34"/>
  <c r="HX179" i="34"/>
  <c r="HZ179" i="34"/>
  <c r="HY201" i="34"/>
  <c r="IC201" i="34"/>
  <c r="IC179" i="34"/>
  <c r="IF249" i="34"/>
  <c r="IF130" i="34"/>
  <c r="HU112" i="34"/>
  <c r="IF54" i="34"/>
  <c r="IF151" i="34"/>
  <c r="HW45" i="34"/>
  <c r="IA179" i="34"/>
  <c r="IB179" i="34"/>
  <c r="IF84" i="34"/>
  <c r="HZ45" i="34"/>
  <c r="IF235" i="34"/>
  <c r="IF112" i="34"/>
  <c r="IF47" i="34"/>
  <c r="IF71" i="34"/>
  <c r="HX77" i="34"/>
  <c r="IF76" i="34"/>
  <c r="IF250" i="34"/>
  <c r="IF186" i="34"/>
  <c r="IF147" i="34"/>
  <c r="IF217" i="34"/>
  <c r="IF97" i="34"/>
  <c r="IF24" i="34"/>
  <c r="IF137" i="34"/>
  <c r="IF108" i="34"/>
  <c r="HU149" i="34"/>
  <c r="IF175" i="34"/>
  <c r="IF60" i="34"/>
  <c r="IF58" i="34"/>
  <c r="IF187" i="34"/>
  <c r="IF199" i="34"/>
  <c r="IF206" i="34"/>
  <c r="IF208" i="34"/>
  <c r="IF194" i="34"/>
  <c r="IF226" i="34"/>
  <c r="IF224" i="34"/>
  <c r="IF228" i="34"/>
  <c r="IF253" i="34"/>
  <c r="IF196" i="34"/>
  <c r="IF39" i="34"/>
  <c r="IF236" i="34"/>
  <c r="IF35" i="34"/>
  <c r="IA88" i="34"/>
  <c r="IF17" i="34"/>
  <c r="IF109" i="34"/>
  <c r="IF38" i="34"/>
  <c r="HJ88" i="34"/>
  <c r="HK88" i="34" s="1"/>
  <c r="IF16" i="34"/>
  <c r="IF120" i="34"/>
  <c r="IF29" i="34"/>
  <c r="IF229" i="34"/>
  <c r="HW245" i="34"/>
  <c r="IF238" i="34"/>
  <c r="IF220" i="34"/>
  <c r="HY245" i="34"/>
  <c r="IF162" i="34"/>
  <c r="IF168" i="34"/>
  <c r="L11" i="43"/>
  <c r="L31" i="43" s="1"/>
  <c r="L51" i="43" s="1"/>
  <c r="HU94" i="34"/>
  <c r="HJ245" i="34"/>
  <c r="HU245" i="34" s="1"/>
  <c r="IF72" i="34"/>
  <c r="IF115" i="34"/>
  <c r="IF68" i="34"/>
  <c r="IF245" i="34"/>
  <c r="IF135" i="34"/>
  <c r="IF179" i="34"/>
  <c r="IF191" i="34"/>
  <c r="IF156" i="34"/>
  <c r="IF126" i="34"/>
  <c r="IF215" i="34"/>
  <c r="IF133" i="34"/>
  <c r="IF242" i="34"/>
  <c r="IF227" i="34"/>
  <c r="IF211" i="34"/>
  <c r="IF123" i="34"/>
  <c r="HU247" i="34"/>
  <c r="IF118" i="34"/>
  <c r="IF205" i="34"/>
  <c r="IF79" i="34"/>
  <c r="IF167" i="34"/>
  <c r="IF214" i="34"/>
  <c r="IF100" i="34"/>
  <c r="IF103" i="34"/>
  <c r="IF63" i="34"/>
  <c r="IF52" i="34"/>
  <c r="IF50" i="34"/>
  <c r="IF34" i="34"/>
  <c r="IF247" i="34"/>
  <c r="IF204" i="34"/>
  <c r="IF138" i="34"/>
  <c r="IF15" i="34"/>
  <c r="IF244" i="34"/>
  <c r="IF40" i="34"/>
  <c r="IF241" i="34"/>
  <c r="IF64" i="34"/>
  <c r="IF91" i="34"/>
  <c r="IF150" i="34"/>
  <c r="IF212" i="34"/>
  <c r="IF161" i="34"/>
  <c r="IF113" i="34"/>
  <c r="IF200" i="34"/>
  <c r="IF218" i="34"/>
  <c r="IF111" i="34"/>
  <c r="IF171" i="34"/>
  <c r="IF181" i="34"/>
  <c r="IF51" i="34"/>
  <c r="IF139" i="34"/>
  <c r="IF180" i="34"/>
  <c r="IF44" i="34"/>
  <c r="IF45" i="34"/>
  <c r="IF254" i="34"/>
  <c r="IF8" i="34"/>
  <c r="IF41" i="34"/>
  <c r="IA109" i="34"/>
  <c r="IF95" i="34"/>
  <c r="IF66" i="34"/>
  <c r="IF159" i="34"/>
  <c r="IF93" i="34"/>
  <c r="L15" i="43"/>
  <c r="L35" i="43" s="1"/>
  <c r="L55" i="43" s="1"/>
  <c r="IF12" i="34"/>
  <c r="L19" i="43"/>
  <c r="L39" i="43" s="1"/>
  <c r="L59" i="43" s="1"/>
  <c r="IF124" i="34"/>
  <c r="HU185" i="34"/>
  <c r="IF142" i="34"/>
  <c r="IF110" i="34"/>
  <c r="IF122" i="34"/>
  <c r="IF177" i="34"/>
  <c r="IF48" i="34"/>
  <c r="HU210" i="34"/>
  <c r="HW201" i="34"/>
  <c r="L21" i="43"/>
  <c r="L41" i="43" s="1"/>
  <c r="L61" i="43" s="1"/>
  <c r="IF185" i="34"/>
  <c r="L13" i="16"/>
  <c r="L14" i="16"/>
  <c r="IF207" i="34"/>
  <c r="IF78" i="34"/>
  <c r="IF195" i="34"/>
  <c r="IF251" i="34"/>
  <c r="L21" i="16"/>
  <c r="L15" i="44"/>
  <c r="L35" i="44" s="1"/>
  <c r="L55" i="44" s="1"/>
  <c r="L22" i="43"/>
  <c r="L42" i="43" s="1"/>
  <c r="L62" i="43" s="1"/>
  <c r="L16" i="16"/>
  <c r="L17" i="44"/>
  <c r="IF98" i="34"/>
  <c r="IF53" i="34"/>
  <c r="IF20" i="34"/>
  <c r="IF59" i="34"/>
  <c r="L23" i="43"/>
  <c r="L43" i="43" s="1"/>
  <c r="L63" i="43" s="1"/>
  <c r="L19" i="16"/>
  <c r="L18" i="44"/>
  <c r="L148" i="43"/>
  <c r="L147" i="43"/>
  <c r="L146" i="43"/>
  <c r="L145" i="43"/>
  <c r="L144" i="43"/>
  <c r="L143" i="43"/>
  <c r="L142" i="43"/>
  <c r="L141" i="43"/>
  <c r="L140" i="43"/>
  <c r="L151" i="43"/>
  <c r="L139" i="43"/>
  <c r="L150" i="43"/>
  <c r="L138" i="43"/>
  <c r="L149" i="43"/>
  <c r="IF174" i="34"/>
  <c r="IF30" i="34"/>
  <c r="IF106" i="34"/>
  <c r="IF31" i="34"/>
  <c r="IF164" i="34"/>
  <c r="IF134" i="34"/>
  <c r="IF225" i="34"/>
  <c r="IF237" i="34"/>
  <c r="L12" i="43"/>
  <c r="L32" i="43" s="1"/>
  <c r="L52" i="43" s="1"/>
  <c r="L15" i="16"/>
  <c r="L19" i="44"/>
  <c r="L39" i="44" s="1"/>
  <c r="L59" i="44" s="1"/>
  <c r="IF149" i="34"/>
  <c r="IF87" i="34"/>
  <c r="HU163" i="34"/>
  <c r="IF223" i="34"/>
  <c r="IF127" i="34"/>
  <c r="IF88" i="34"/>
  <c r="IF36" i="34"/>
  <c r="IF255" i="34"/>
  <c r="L13" i="43"/>
  <c r="L33" i="43" s="1"/>
  <c r="L53" i="43" s="1"/>
  <c r="L17" i="16"/>
  <c r="L20" i="44"/>
  <c r="L40" i="44" s="1"/>
  <c r="L60" i="44" s="1"/>
  <c r="IF56" i="34"/>
  <c r="L98" i="43"/>
  <c r="L97" i="43"/>
  <c r="L96" i="43"/>
  <c r="L107" i="43"/>
  <c r="L95" i="43"/>
  <c r="L106" i="43"/>
  <c r="L94" i="43"/>
  <c r="L105" i="43"/>
  <c r="L104" i="43"/>
  <c r="L103" i="43"/>
  <c r="L102" i="43"/>
  <c r="L101" i="43"/>
  <c r="L100" i="43"/>
  <c r="L99" i="43"/>
  <c r="IF26" i="34"/>
  <c r="IF222" i="34"/>
  <c r="IF136" i="34"/>
  <c r="IF252" i="34"/>
  <c r="L14" i="43"/>
  <c r="L34" i="43" s="1"/>
  <c r="L54" i="43" s="1"/>
  <c r="L20" i="16"/>
  <c r="L21" i="44"/>
  <c r="L41" i="44" s="1"/>
  <c r="L61" i="44" s="1"/>
  <c r="L217" i="43"/>
  <c r="L205" i="43"/>
  <c r="L216" i="43"/>
  <c r="L215" i="43"/>
  <c r="L214" i="43"/>
  <c r="L213" i="43"/>
  <c r="L212" i="43"/>
  <c r="L211" i="43"/>
  <c r="L210" i="43"/>
  <c r="L209" i="43"/>
  <c r="L208" i="43"/>
  <c r="L207" i="43"/>
  <c r="L206" i="43"/>
  <c r="L16" i="43"/>
  <c r="L18" i="16"/>
  <c r="L12" i="44"/>
  <c r="L32" i="44" s="1"/>
  <c r="L52" i="44" s="1"/>
  <c r="L22" i="44"/>
  <c r="IF49" i="34"/>
  <c r="IF116" i="34"/>
  <c r="IF107" i="34"/>
  <c r="IF201" i="34"/>
  <c r="L17" i="43"/>
  <c r="L22" i="16"/>
  <c r="L13" i="44"/>
  <c r="L33" i="44" s="1"/>
  <c r="L53" i="44" s="1"/>
  <c r="L129" i="43"/>
  <c r="L117" i="43"/>
  <c r="L128" i="43"/>
  <c r="L116" i="43"/>
  <c r="L127" i="43"/>
  <c r="L126" i="43"/>
  <c r="L125" i="43"/>
  <c r="L124" i="43"/>
  <c r="L123" i="43"/>
  <c r="L122" i="43"/>
  <c r="L121" i="43"/>
  <c r="L120" i="43"/>
  <c r="L119" i="43"/>
  <c r="L118" i="43"/>
  <c r="L167" i="43"/>
  <c r="L166" i="43"/>
  <c r="L165" i="43"/>
  <c r="L173" i="43"/>
  <c r="L172" i="43"/>
  <c r="L171" i="43"/>
  <c r="L170" i="43"/>
  <c r="L169" i="43"/>
  <c r="L168" i="43"/>
  <c r="L186" i="43"/>
  <c r="L185" i="43"/>
  <c r="L184" i="43"/>
  <c r="L195" i="43"/>
  <c r="L194" i="43"/>
  <c r="L193" i="43"/>
  <c r="L192" i="43"/>
  <c r="L191" i="43"/>
  <c r="L190" i="43"/>
  <c r="L189" i="43"/>
  <c r="L188" i="43"/>
  <c r="L187" i="43"/>
  <c r="L11" i="16"/>
  <c r="HJ208" i="34"/>
  <c r="HU208" i="34" s="1"/>
  <c r="HW194" i="34"/>
  <c r="HY222" i="34"/>
  <c r="IF232" i="34"/>
  <c r="IF21" i="34"/>
  <c r="L18" i="43"/>
  <c r="L38" i="43" s="1"/>
  <c r="L58" i="43" s="1"/>
  <c r="L23" i="16"/>
  <c r="L14" i="44"/>
  <c r="L34" i="44" s="1"/>
  <c r="L54" i="44" s="1"/>
  <c r="HZ122" i="34"/>
  <c r="IF230" i="34"/>
  <c r="IF197" i="34"/>
  <c r="IF153" i="34"/>
  <c r="IF57" i="34"/>
  <c r="L20" i="43"/>
  <c r="L40" i="43" s="1"/>
  <c r="L60" i="43" s="1"/>
  <c r="L16" i="44"/>
  <c r="L36" i="44" s="1"/>
  <c r="L56" i="44" s="1"/>
  <c r="IF221" i="34"/>
  <c r="HX117" i="34"/>
  <c r="IF117" i="34"/>
  <c r="IF189" i="34"/>
  <c r="IF243" i="34"/>
  <c r="IF33" i="34"/>
  <c r="IC19" i="34"/>
  <c r="IF19" i="34"/>
  <c r="IF143" i="34"/>
  <c r="IF166" i="34"/>
  <c r="IF121" i="34"/>
  <c r="IF102" i="34"/>
  <c r="IF176" i="34"/>
  <c r="IF188" i="34"/>
  <c r="IF131" i="34"/>
  <c r="IF190" i="34"/>
  <c r="IF119" i="34"/>
  <c r="HY170" i="34"/>
  <c r="IF170" i="34"/>
  <c r="IF219" i="34"/>
  <c r="IF81" i="34"/>
  <c r="IF129" i="34"/>
  <c r="IF90" i="34"/>
  <c r="IF105" i="34"/>
  <c r="IF152" i="34"/>
  <c r="HX125" i="34"/>
  <c r="IF125" i="34"/>
  <c r="IF144" i="34"/>
  <c r="HX80" i="34"/>
  <c r="IF80" i="34"/>
  <c r="IB23" i="34"/>
  <c r="IF23" i="34"/>
  <c r="IF145" i="34"/>
  <c r="IF246" i="34"/>
  <c r="IF22" i="34"/>
  <c r="HY132" i="34"/>
  <c r="IF132" i="34"/>
  <c r="IF210" i="34"/>
  <c r="HZ96" i="34"/>
  <c r="IF96" i="34"/>
  <c r="HY37" i="34"/>
  <c r="IF37" i="34"/>
  <c r="HZ101" i="34"/>
  <c r="IF101" i="34"/>
  <c r="IF169" i="34"/>
  <c r="IF234" i="34"/>
  <c r="IF209" i="34"/>
  <c r="IF163" i="34"/>
  <c r="IF65" i="34"/>
  <c r="IC192" i="34"/>
  <c r="IF192" i="34"/>
  <c r="IF55" i="34"/>
  <c r="IF183" i="34"/>
  <c r="IF172" i="34"/>
  <c r="IF157" i="34"/>
  <c r="IF114" i="34"/>
  <c r="L30" i="55"/>
  <c r="IF146" i="34"/>
  <c r="IF240" i="34"/>
  <c r="IF77" i="34"/>
  <c r="IA85" i="34"/>
  <c r="IF85" i="34"/>
  <c r="IF160" i="34"/>
  <c r="IF158" i="34"/>
  <c r="HW74" i="34"/>
  <c r="IF74" i="34"/>
  <c r="IF178" i="34"/>
  <c r="HX154" i="34"/>
  <c r="IF154" i="34"/>
  <c r="IF148" i="34"/>
  <c r="IF62" i="34"/>
  <c r="IF67" i="34"/>
  <c r="IF46" i="34"/>
  <c r="IB94" i="34"/>
  <c r="IF94" i="34"/>
  <c r="IF25" i="34"/>
  <c r="HY233" i="34"/>
  <c r="IF233" i="34"/>
  <c r="IB231" i="34"/>
  <c r="IF231" i="34"/>
  <c r="HZ104" i="34"/>
  <c r="IF104" i="34"/>
  <c r="IF86" i="34"/>
  <c r="IF9" i="34"/>
  <c r="IC11" i="34"/>
  <c r="IF11" i="34"/>
  <c r="IF43" i="34"/>
  <c r="IF70" i="34"/>
  <c r="IF10" i="34"/>
  <c r="HY34" i="34"/>
  <c r="HX218" i="34"/>
  <c r="IB229" i="34"/>
  <c r="IA48" i="34"/>
  <c r="IB24" i="34"/>
  <c r="HJ71" i="34"/>
  <c r="HU71" i="34" s="1"/>
  <c r="HY238" i="34"/>
  <c r="IB60" i="34"/>
  <c r="IB57" i="34"/>
  <c r="IA139" i="34"/>
  <c r="HX132" i="34"/>
  <c r="HJ229" i="34"/>
  <c r="HU229" i="34" s="1"/>
  <c r="HX122" i="34"/>
  <c r="IC88" i="34"/>
  <c r="HX188" i="34"/>
  <c r="IA229" i="34"/>
  <c r="HY229" i="34"/>
  <c r="HW229" i="34"/>
  <c r="HX57" i="34"/>
  <c r="IC229" i="34"/>
  <c r="HW203" i="34"/>
  <c r="HY60" i="34"/>
  <c r="IB148" i="34"/>
  <c r="IC161" i="34"/>
  <c r="IC122" i="34"/>
  <c r="HZ220" i="34"/>
  <c r="IA57" i="34"/>
  <c r="IC57" i="34"/>
  <c r="IB13" i="34"/>
  <c r="IB107" i="34"/>
  <c r="IC239" i="34"/>
  <c r="HW228" i="34"/>
  <c r="HX245" i="34"/>
  <c r="HW88" i="34"/>
  <c r="HJ96" i="34"/>
  <c r="HZ61" i="34"/>
  <c r="HX51" i="34"/>
  <c r="IA176" i="34"/>
  <c r="IC76" i="34"/>
  <c r="HZ102" i="34"/>
  <c r="HX102" i="34"/>
  <c r="IC60" i="34"/>
  <c r="HY94" i="34"/>
  <c r="HX124" i="34"/>
  <c r="HJ218" i="34"/>
  <c r="HY228" i="34"/>
  <c r="HZ94" i="34"/>
  <c r="IA218" i="34"/>
  <c r="HY9" i="34"/>
  <c r="HW134" i="34"/>
  <c r="HJ230" i="34"/>
  <c r="HX91" i="34"/>
  <c r="HZ166" i="34"/>
  <c r="IC143" i="34"/>
  <c r="IA90" i="34"/>
  <c r="HX230" i="34"/>
  <c r="HW102" i="34"/>
  <c r="IC102" i="34"/>
  <c r="HJ102" i="34"/>
  <c r="IC139" i="34"/>
  <c r="HZ183" i="34"/>
  <c r="HY180" i="34"/>
  <c r="HX139" i="34"/>
  <c r="HZ201" i="34"/>
  <c r="HZ44" i="34"/>
  <c r="HX88" i="34"/>
  <c r="HJ179" i="34"/>
  <c r="HN179" i="34" s="1"/>
  <c r="HX201" i="34"/>
  <c r="IB83" i="34"/>
  <c r="HW81" i="34"/>
  <c r="HW60" i="34"/>
  <c r="IA210" i="34"/>
  <c r="HZ88" i="34"/>
  <c r="HZ124" i="34"/>
  <c r="HZ180" i="34"/>
  <c r="IC20" i="34"/>
  <c r="HY81" i="34"/>
  <c r="HY14" i="34"/>
  <c r="HY227" i="34"/>
  <c r="HJ180" i="34"/>
  <c r="HP180" i="34" s="1"/>
  <c r="HJ44" i="34"/>
  <c r="HX203" i="34"/>
  <c r="IC128" i="34"/>
  <c r="HJ53" i="34"/>
  <c r="HW115" i="34"/>
  <c r="IA46" i="34"/>
  <c r="IA245" i="34"/>
  <c r="IA122" i="34"/>
  <c r="HZ247" i="34"/>
  <c r="IB237" i="34"/>
  <c r="HY171" i="34"/>
  <c r="HZ67" i="34"/>
  <c r="HW9" i="34"/>
  <c r="IB113" i="34"/>
  <c r="HW180" i="34"/>
  <c r="IB163" i="34"/>
  <c r="IC44" i="34"/>
  <c r="HW65" i="34"/>
  <c r="IC23" i="34"/>
  <c r="HJ135" i="34"/>
  <c r="HZ199" i="34"/>
  <c r="HZ212" i="34"/>
  <c r="IC248" i="34"/>
  <c r="HY122" i="34"/>
  <c r="HJ82" i="34"/>
  <c r="HX213" i="34"/>
  <c r="HW67" i="34"/>
  <c r="HY20" i="34"/>
  <c r="HJ139" i="34"/>
  <c r="IB139" i="34"/>
  <c r="HZ139" i="34"/>
  <c r="IA60" i="34"/>
  <c r="IB180" i="34"/>
  <c r="HJ113" i="34"/>
  <c r="IA44" i="34"/>
  <c r="IA129" i="34"/>
  <c r="HX53" i="34"/>
  <c r="HZ229" i="34"/>
  <c r="HX210" i="34"/>
  <c r="HX229" i="34"/>
  <c r="IA33" i="34"/>
  <c r="HX44" i="34"/>
  <c r="IB76" i="34"/>
  <c r="HZ239" i="34"/>
  <c r="IA161" i="34"/>
  <c r="HY90" i="34"/>
  <c r="IB145" i="34"/>
  <c r="IB105" i="34"/>
  <c r="HZ53" i="34"/>
  <c r="HJ20" i="34"/>
  <c r="IC86" i="34"/>
  <c r="HJ122" i="34"/>
  <c r="HZ113" i="34"/>
  <c r="HJ84" i="34"/>
  <c r="HZ64" i="34"/>
  <c r="IA180" i="34"/>
  <c r="IC191" i="34"/>
  <c r="IC150" i="34"/>
  <c r="HY213" i="34"/>
  <c r="IA86" i="34"/>
  <c r="HW249" i="34"/>
  <c r="IC197" i="34"/>
  <c r="IB122" i="34"/>
  <c r="IC218" i="34"/>
  <c r="HJ253" i="34"/>
  <c r="HJ233" i="34"/>
  <c r="HX95" i="34"/>
  <c r="HX69" i="34"/>
  <c r="IA91" i="34"/>
  <c r="HW20" i="34"/>
  <c r="HA253" i="34"/>
  <c r="HJ252" i="34"/>
  <c r="HZ161" i="34"/>
  <c r="IB120" i="34"/>
  <c r="IB20" i="34"/>
  <c r="HZ76" i="34"/>
  <c r="HW169" i="34"/>
  <c r="HW242" i="34"/>
  <c r="HY247" i="34"/>
  <c r="IA239" i="34"/>
  <c r="HY239" i="34"/>
  <c r="HW162" i="34"/>
  <c r="IB239" i="34"/>
  <c r="HZ132" i="34"/>
  <c r="IB245" i="34"/>
  <c r="HX67" i="34"/>
  <c r="IB46" i="34"/>
  <c r="HZ20" i="34"/>
  <c r="HA255" i="34"/>
  <c r="HZ148" i="34"/>
  <c r="HX249" i="34"/>
  <c r="HX255" i="34"/>
  <c r="IC255" i="34"/>
  <c r="IA255" i="34"/>
  <c r="IB255" i="34"/>
  <c r="HY255" i="34"/>
  <c r="HZ255" i="34"/>
  <c r="HW255" i="34"/>
  <c r="IC113" i="34"/>
  <c r="IB59" i="34"/>
  <c r="HA254" i="34"/>
  <c r="IC252" i="34"/>
  <c r="IA252" i="34"/>
  <c r="HZ252" i="34"/>
  <c r="HX252" i="34"/>
  <c r="HY252" i="34"/>
  <c r="IB252" i="34"/>
  <c r="HW252" i="34"/>
  <c r="HJ251" i="34"/>
  <c r="HU251" i="34" s="1"/>
  <c r="HX172" i="34"/>
  <c r="IC142" i="34"/>
  <c r="HX92" i="34"/>
  <c r="IA242" i="34"/>
  <c r="HY206" i="34"/>
  <c r="IC34" i="34"/>
  <c r="HW137" i="34"/>
  <c r="HY46" i="34"/>
  <c r="HX222" i="34"/>
  <c r="HW76" i="34"/>
  <c r="HJ242" i="34"/>
  <c r="HJ161" i="34"/>
  <c r="HK161" i="34" s="1"/>
  <c r="HX212" i="34"/>
  <c r="IA67" i="34"/>
  <c r="HX182" i="34"/>
  <c r="HY59" i="34"/>
  <c r="HY102" i="34"/>
  <c r="HX247" i="34"/>
  <c r="HY36" i="34"/>
  <c r="HA251" i="34"/>
  <c r="HA252" i="34"/>
  <c r="HX251" i="34"/>
  <c r="IC251" i="34"/>
  <c r="HZ251" i="34"/>
  <c r="IB251" i="34"/>
  <c r="HY251" i="34"/>
  <c r="IA251" i="34"/>
  <c r="HW251" i="34"/>
  <c r="HJ142" i="34"/>
  <c r="HW35" i="34"/>
  <c r="IC169" i="34"/>
  <c r="HJ150" i="34"/>
  <c r="IB247" i="34"/>
  <c r="HJ169" i="34"/>
  <c r="HJ67" i="34"/>
  <c r="IB250" i="34"/>
  <c r="HJ46" i="34"/>
  <c r="IB142" i="34"/>
  <c r="IB100" i="34"/>
  <c r="IB187" i="34"/>
  <c r="IB32" i="34"/>
  <c r="HZ186" i="34"/>
  <c r="HJ35" i="34"/>
  <c r="HY212" i="34"/>
  <c r="HY195" i="34"/>
  <c r="HJ107" i="34"/>
  <c r="IC46" i="34"/>
  <c r="HW50" i="34"/>
  <c r="HW46" i="34"/>
  <c r="HX50" i="34"/>
  <c r="HZ154" i="34"/>
  <c r="HZ92" i="34"/>
  <c r="HW151" i="34"/>
  <c r="HX59" i="34"/>
  <c r="IC212" i="34"/>
  <c r="HX81" i="34"/>
  <c r="HX20" i="34"/>
  <c r="HY50" i="34"/>
  <c r="HZ59" i="34"/>
  <c r="IC156" i="34"/>
  <c r="HZ253" i="34"/>
  <c r="HX253" i="34"/>
  <c r="IB253" i="34"/>
  <c r="IA253" i="34"/>
  <c r="HY253" i="34"/>
  <c r="IC253" i="34"/>
  <c r="HW253" i="34"/>
  <c r="HJ255" i="34"/>
  <c r="HU255" i="34" s="1"/>
  <c r="HJ29" i="34"/>
  <c r="HZ30" i="34"/>
  <c r="IC31" i="34"/>
  <c r="HZ150" i="34"/>
  <c r="HZ12" i="34"/>
  <c r="IA92" i="34"/>
  <c r="HX113" i="34"/>
  <c r="IA41" i="34"/>
  <c r="IB246" i="34"/>
  <c r="HW69" i="34"/>
  <c r="HW247" i="34"/>
  <c r="IB34" i="34"/>
  <c r="IC67" i="34"/>
  <c r="IA247" i="34"/>
  <c r="HZ254" i="34"/>
  <c r="IB254" i="34"/>
  <c r="HY254" i="34"/>
  <c r="HX254" i="34"/>
  <c r="IC254" i="34"/>
  <c r="IA254" i="34"/>
  <c r="HW254" i="34"/>
  <c r="HJ254" i="34"/>
  <c r="HU254" i="34" s="1"/>
  <c r="HJ81" i="34"/>
  <c r="HY113" i="34"/>
  <c r="IA81" i="34"/>
  <c r="HW34" i="34"/>
  <c r="HW72" i="34"/>
  <c r="IA59" i="34"/>
  <c r="IA200" i="34"/>
  <c r="IC59" i="34"/>
  <c r="IA34" i="34"/>
  <c r="IC247" i="34"/>
  <c r="HJ212" i="34"/>
  <c r="HY150" i="34"/>
  <c r="HY161" i="34"/>
  <c r="IC223" i="34"/>
  <c r="HY10" i="34"/>
  <c r="IA76" i="34"/>
  <c r="HX76" i="34"/>
  <c r="HZ83" i="34"/>
  <c r="HX129" i="34"/>
  <c r="HY242" i="34"/>
  <c r="IC183" i="34"/>
  <c r="IA16" i="34"/>
  <c r="IB21" i="34"/>
  <c r="HA227" i="34"/>
  <c r="HJ246" i="34"/>
  <c r="HJ145" i="34"/>
  <c r="IB184" i="34"/>
  <c r="IB75" i="34"/>
  <c r="IC35" i="34"/>
  <c r="IA220" i="34"/>
  <c r="HW149" i="34"/>
  <c r="HW91" i="34"/>
  <c r="HZ181" i="34"/>
  <c r="IA185" i="34"/>
  <c r="HZ238" i="34"/>
  <c r="HX98" i="34"/>
  <c r="HW150" i="34"/>
  <c r="IB162" i="34"/>
  <c r="HA55" i="34"/>
  <c r="HW152" i="34"/>
  <c r="HZ213" i="34"/>
  <c r="IC61" i="34"/>
  <c r="HX234" i="34"/>
  <c r="IC81" i="34"/>
  <c r="IA78" i="34"/>
  <c r="IC209" i="34"/>
  <c r="HA17" i="34"/>
  <c r="HZ66" i="34"/>
  <c r="HW209" i="34"/>
  <c r="HY83" i="34"/>
  <c r="HA136" i="34"/>
  <c r="HJ209" i="34"/>
  <c r="HW101" i="34"/>
  <c r="IB209" i="34"/>
  <c r="HX101" i="34"/>
  <c r="IA61" i="34"/>
  <c r="HX61" i="34"/>
  <c r="HJ78" i="34"/>
  <c r="IC83" i="34"/>
  <c r="IB61" i="34"/>
  <c r="HY51" i="34"/>
  <c r="HJ101" i="34"/>
  <c r="HW10" i="34"/>
  <c r="IC78" i="34"/>
  <c r="HY183" i="34"/>
  <c r="IC117" i="34"/>
  <c r="HZ131" i="34"/>
  <c r="IB213" i="34"/>
  <c r="HJ234" i="34"/>
  <c r="HJ51" i="34"/>
  <c r="HJ61" i="34"/>
  <c r="IB117" i="34"/>
  <c r="HZ78" i="34"/>
  <c r="IB78" i="34"/>
  <c r="IC16" i="34"/>
  <c r="HJ183" i="34"/>
  <c r="HY61" i="34"/>
  <c r="HX183" i="34"/>
  <c r="IC75" i="34"/>
  <c r="I17" i="43"/>
  <c r="I37" i="43" s="1"/>
  <c r="I57" i="43" s="1"/>
  <c r="HX78" i="34"/>
  <c r="HY209" i="34"/>
  <c r="HY16" i="34"/>
  <c r="HJ83" i="34"/>
  <c r="HJ181" i="34"/>
  <c r="HY149" i="34"/>
  <c r="HJ213" i="34"/>
  <c r="IC108" i="34"/>
  <c r="HZ234" i="34"/>
  <c r="HW16" i="34"/>
  <c r="IB16" i="34"/>
  <c r="IC51" i="34"/>
  <c r="HZ117" i="34"/>
  <c r="IC216" i="34"/>
  <c r="HW213" i="34"/>
  <c r="IA213" i="34"/>
  <c r="HZ209" i="34"/>
  <c r="IA83" i="34"/>
  <c r="IC101" i="34"/>
  <c r="HZ55" i="34"/>
  <c r="HY78" i="34"/>
  <c r="HW183" i="34"/>
  <c r="HZ211" i="34"/>
  <c r="HJ10" i="34"/>
  <c r="HJ117" i="34"/>
  <c r="HW78" i="34"/>
  <c r="IA14" i="34"/>
  <c r="IC55" i="34"/>
  <c r="HJ215" i="34"/>
  <c r="HW116" i="34"/>
  <c r="HX39" i="34"/>
  <c r="HW133" i="34"/>
  <c r="IB133" i="34"/>
  <c r="HA85" i="34"/>
  <c r="HX161" i="34"/>
  <c r="IC104" i="34"/>
  <c r="HZ18" i="34"/>
  <c r="IB82" i="34"/>
  <c r="HX16" i="34"/>
  <c r="IB150" i="34"/>
  <c r="IC213" i="34"/>
  <c r="HZ46" i="34"/>
  <c r="HW161" i="34"/>
  <c r="IB102" i="34"/>
  <c r="HJ127" i="34"/>
  <c r="HJ55" i="34"/>
  <c r="IA150" i="34"/>
  <c r="HY210" i="34"/>
  <c r="HW13" i="34"/>
  <c r="HA173" i="34"/>
  <c r="HX219" i="34"/>
  <c r="HZ70" i="34"/>
  <c r="HW223" i="34"/>
  <c r="IA181" i="34"/>
  <c r="HX13" i="34"/>
  <c r="HA118" i="34"/>
  <c r="HW220" i="34"/>
  <c r="IC10" i="34"/>
  <c r="IA209" i="34"/>
  <c r="IA98" i="34"/>
  <c r="HA139" i="34"/>
  <c r="HA230" i="34"/>
  <c r="IB109" i="34"/>
  <c r="IA225" i="34"/>
  <c r="IB176" i="34"/>
  <c r="IC200" i="34"/>
  <c r="HZ77" i="34"/>
  <c r="HW117" i="34"/>
  <c r="HW44" i="34"/>
  <c r="HW64" i="34"/>
  <c r="IC217" i="34"/>
  <c r="IA113" i="34"/>
  <c r="HZ36" i="34"/>
  <c r="IB218" i="34"/>
  <c r="IB225" i="34"/>
  <c r="HX34" i="34"/>
  <c r="IB111" i="34"/>
  <c r="IB248" i="34"/>
  <c r="HX227" i="34"/>
  <c r="IB155" i="34"/>
  <c r="HY236" i="34"/>
  <c r="IA10" i="34"/>
  <c r="HY143" i="34"/>
  <c r="HY70" i="34"/>
  <c r="HY49" i="34"/>
  <c r="HY166" i="34"/>
  <c r="HZ129" i="34"/>
  <c r="IB43" i="34"/>
  <c r="IB51" i="34"/>
  <c r="IC185" i="34"/>
  <c r="IA51" i="34"/>
  <c r="HZ196" i="34"/>
  <c r="HW96" i="34"/>
  <c r="HX239" i="34"/>
  <c r="IC49" i="34"/>
  <c r="IB52" i="34"/>
  <c r="IA45" i="34"/>
  <c r="HW156" i="34"/>
  <c r="HW107" i="34"/>
  <c r="HY135" i="34"/>
  <c r="IB10" i="34"/>
  <c r="HY76" i="34"/>
  <c r="HW185" i="34"/>
  <c r="IC41" i="34"/>
  <c r="HX49" i="34"/>
  <c r="IB65" i="34"/>
  <c r="HX63" i="34"/>
  <c r="IA226" i="34"/>
  <c r="IB22" i="34"/>
  <c r="HZ69" i="34"/>
  <c r="IB183" i="34"/>
  <c r="IC64" i="34"/>
  <c r="IC153" i="34"/>
  <c r="IC103" i="34"/>
  <c r="IC159" i="34"/>
  <c r="IB185" i="34"/>
  <c r="HY44" i="34"/>
  <c r="IB44" i="34"/>
  <c r="HW36" i="34"/>
  <c r="HX10" i="34"/>
  <c r="HY184" i="34"/>
  <c r="HX37" i="34"/>
  <c r="R23" i="46"/>
  <c r="E18" i="43"/>
  <c r="E38" i="43" s="1"/>
  <c r="E58" i="43" s="1"/>
  <c r="HX153" i="34"/>
  <c r="HA240" i="34"/>
  <c r="HX199" i="34"/>
  <c r="IB215" i="34"/>
  <c r="IC14" i="34"/>
  <c r="F16" i="43"/>
  <c r="F36" i="43" s="1"/>
  <c r="F56" i="43" s="1"/>
  <c r="IB31" i="34"/>
  <c r="I16" i="43"/>
  <c r="I36" i="43" s="1"/>
  <c r="I56" i="43" s="1"/>
  <c r="IA107" i="34"/>
  <c r="HW48" i="34"/>
  <c r="G17" i="43"/>
  <c r="G37" i="43" s="1"/>
  <c r="G57" i="43" s="1"/>
  <c r="HZ14" i="34"/>
  <c r="IC149" i="34"/>
  <c r="HZ216" i="34"/>
  <c r="IB70" i="34"/>
  <c r="HX155" i="34"/>
  <c r="IA96" i="34"/>
  <c r="HX142" i="34"/>
  <c r="IA154" i="34"/>
  <c r="HW22" i="34"/>
  <c r="IB98" i="34"/>
  <c r="IB234" i="34"/>
  <c r="HY120" i="34"/>
  <c r="IB134" i="34"/>
  <c r="HZ246" i="34"/>
  <c r="HX215" i="34"/>
  <c r="HY234" i="34"/>
  <c r="IB124" i="34"/>
  <c r="HZ34" i="34"/>
  <c r="IB223" i="34"/>
  <c r="IB212" i="34"/>
  <c r="IA102" i="34"/>
  <c r="IC48" i="34"/>
  <c r="IC164" i="34"/>
  <c r="IA20" i="34"/>
  <c r="HW57" i="34"/>
  <c r="C19" i="43"/>
  <c r="C39" i="43" s="1"/>
  <c r="HW198" i="34"/>
  <c r="G15" i="43"/>
  <c r="G35" i="43" s="1"/>
  <c r="G55" i="43" s="1"/>
  <c r="H16" i="43"/>
  <c r="H36" i="43" s="1"/>
  <c r="H56" i="43" s="1"/>
  <c r="G16" i="43"/>
  <c r="G36" i="43" s="1"/>
  <c r="G56" i="43" s="1"/>
  <c r="IC107" i="34"/>
  <c r="G20" i="44"/>
  <c r="G40" i="44" s="1"/>
  <c r="G60" i="44" s="1"/>
  <c r="D13" i="44"/>
  <c r="D33" i="44" s="1"/>
  <c r="D53" i="44" s="1"/>
  <c r="C21" i="44"/>
  <c r="C41" i="44" s="1"/>
  <c r="E21" i="44"/>
  <c r="E41" i="44" s="1"/>
  <c r="E61" i="44" s="1"/>
  <c r="HX82" i="34"/>
  <c r="D16" i="43"/>
  <c r="D36" i="43" s="1"/>
  <c r="D56" i="43" s="1"/>
  <c r="I18" i="43"/>
  <c r="I38" i="43" s="1"/>
  <c r="I58" i="43" s="1"/>
  <c r="F17" i="43"/>
  <c r="F19" i="43"/>
  <c r="F39" i="43" s="1"/>
  <c r="F59" i="43" s="1"/>
  <c r="H17" i="43"/>
  <c r="H37" i="43" s="1"/>
  <c r="H57" i="43" s="1"/>
  <c r="D17" i="43"/>
  <c r="D37" i="43" s="1"/>
  <c r="D57" i="43" s="1"/>
  <c r="H18" i="43"/>
  <c r="H38" i="43" s="1"/>
  <c r="H58" i="43" s="1"/>
  <c r="C15" i="43"/>
  <c r="C35" i="43" s="1"/>
  <c r="G19" i="43"/>
  <c r="G39" i="43" s="1"/>
  <c r="G59" i="43" s="1"/>
  <c r="F18" i="43"/>
  <c r="F38" i="43" s="1"/>
  <c r="F58" i="43" s="1"/>
  <c r="D13" i="43"/>
  <c r="D15" i="43"/>
  <c r="D35" i="43" s="1"/>
  <c r="D55" i="43" s="1"/>
  <c r="H13" i="43"/>
  <c r="H33" i="43" s="1"/>
  <c r="H53" i="43" s="1"/>
  <c r="C16" i="43"/>
  <c r="C36" i="43" s="1"/>
  <c r="I15" i="43"/>
  <c r="I35" i="43" s="1"/>
  <c r="I55" i="43" s="1"/>
  <c r="HA78" i="34"/>
  <c r="F15" i="43"/>
  <c r="F35" i="43" s="1"/>
  <c r="F55" i="43" s="1"/>
  <c r="E13" i="43"/>
  <c r="E33" i="43" s="1"/>
  <c r="E53" i="43" s="1"/>
  <c r="HZ249" i="34"/>
  <c r="HA209" i="34"/>
  <c r="HY190" i="34"/>
  <c r="IC72" i="34"/>
  <c r="IA72" i="34"/>
  <c r="HA22" i="34"/>
  <c r="IB114" i="34"/>
  <c r="IC114" i="34"/>
  <c r="HX17" i="34"/>
  <c r="HZ17" i="34"/>
  <c r="IC106" i="34"/>
  <c r="HW71" i="34"/>
  <c r="HW27" i="34"/>
  <c r="HZ27" i="34"/>
  <c r="G13" i="43"/>
  <c r="G33" i="43" s="1"/>
  <c r="G53" i="43" s="1"/>
  <c r="HA151" i="34"/>
  <c r="IA62" i="34"/>
  <c r="HJ62" i="34"/>
  <c r="D17" i="44"/>
  <c r="D37" i="44" s="1"/>
  <c r="D57" i="44" s="1"/>
  <c r="IA228" i="34"/>
  <c r="HZ178" i="34"/>
  <c r="IB178" i="34"/>
  <c r="IB72" i="34"/>
  <c r="IB37" i="34"/>
  <c r="HW90" i="34"/>
  <c r="HX90" i="34"/>
  <c r="HZ141" i="34"/>
  <c r="IA23" i="34"/>
  <c r="IA82" i="34"/>
  <c r="IA132" i="34"/>
  <c r="IB121" i="34"/>
  <c r="HA26" i="34"/>
  <c r="IC195" i="34"/>
  <c r="F13" i="43"/>
  <c r="F33" i="43" s="1"/>
  <c r="F53" i="43" s="1"/>
  <c r="E15" i="43"/>
  <c r="E35" i="43" s="1"/>
  <c r="E55" i="43" s="1"/>
  <c r="C13" i="43"/>
  <c r="C33" i="43" s="1"/>
  <c r="C53" i="43" s="1"/>
  <c r="HY129" i="34"/>
  <c r="HY249" i="34"/>
  <c r="E15" i="44"/>
  <c r="E35" i="44" s="1"/>
  <c r="E55" i="44" s="1"/>
  <c r="HZ134" i="34"/>
  <c r="HW31" i="34"/>
  <c r="I13" i="43"/>
  <c r="I33" i="43" s="1"/>
  <c r="I53" i="43" s="1"/>
  <c r="H15" i="43"/>
  <c r="H35" i="43" s="1"/>
  <c r="H55" i="43" s="1"/>
  <c r="D18" i="43"/>
  <c r="D38" i="43" s="1"/>
  <c r="D58" i="43" s="1"/>
  <c r="C18" i="43"/>
  <c r="C38" i="43" s="1"/>
  <c r="F17" i="44"/>
  <c r="F37" i="44" s="1"/>
  <c r="F57" i="44" s="1"/>
  <c r="IA134" i="34"/>
  <c r="IC186" i="34"/>
  <c r="I19" i="43"/>
  <c r="I39" i="43" s="1"/>
  <c r="I59" i="43" s="1"/>
  <c r="G18" i="43"/>
  <c r="G38" i="43" s="1"/>
  <c r="G58" i="43" s="1"/>
  <c r="E17" i="43"/>
  <c r="E37" i="43" s="1"/>
  <c r="E57" i="43" s="1"/>
  <c r="E16" i="43"/>
  <c r="I12" i="44"/>
  <c r="I32" i="44" s="1"/>
  <c r="I52" i="44" s="1"/>
  <c r="IB104" i="34"/>
  <c r="HX104" i="34"/>
  <c r="HW86" i="34"/>
  <c r="IB86" i="34"/>
  <c r="HZ225" i="34"/>
  <c r="HY225" i="34"/>
  <c r="HX225" i="34"/>
  <c r="HW94" i="34"/>
  <c r="IA94" i="34"/>
  <c r="HX94" i="34"/>
  <c r="IB9" i="34"/>
  <c r="IC124" i="34"/>
  <c r="IA124" i="34"/>
  <c r="HX237" i="34"/>
  <c r="H20" i="44"/>
  <c r="H40" i="44" s="1"/>
  <c r="H60" i="44" s="1"/>
  <c r="IC115" i="34"/>
  <c r="HZ115" i="34"/>
  <c r="HX115" i="34"/>
  <c r="HX228" i="34"/>
  <c r="IC9" i="34"/>
  <c r="D19" i="43"/>
  <c r="D39" i="43" s="1"/>
  <c r="D59" i="43" s="1"/>
  <c r="E19" i="43"/>
  <c r="E39" i="43" s="1"/>
  <c r="E59" i="43" s="1"/>
  <c r="C17" i="43"/>
  <c r="C37" i="43" s="1"/>
  <c r="I18" i="44"/>
  <c r="I38" i="44" s="1"/>
  <c r="I58" i="44" s="1"/>
  <c r="IC132" i="34"/>
  <c r="HW238" i="34"/>
  <c r="HX71" i="34"/>
  <c r="HJ228" i="34"/>
  <c r="IC238" i="34"/>
  <c r="IA111" i="34"/>
  <c r="HW124" i="34"/>
  <c r="HJ9" i="34"/>
  <c r="HW37" i="34"/>
  <c r="HA147" i="34"/>
  <c r="HZ86" i="34"/>
  <c r="IC193" i="34"/>
  <c r="HY175" i="34"/>
  <c r="IC231" i="34"/>
  <c r="HZ171" i="34"/>
  <c r="IA145" i="34"/>
  <c r="IA9" i="34"/>
  <c r="HW225" i="34"/>
  <c r="HZ241" i="34"/>
  <c r="HX130" i="34"/>
  <c r="IC82" i="34"/>
  <c r="HY237" i="34"/>
  <c r="IB220" i="34"/>
  <c r="IB230" i="34"/>
  <c r="IA8" i="34"/>
  <c r="IB210" i="34"/>
  <c r="HW234" i="34"/>
  <c r="IA101" i="34"/>
  <c r="HW113" i="34"/>
  <c r="HY200" i="34"/>
  <c r="IB161" i="34"/>
  <c r="IA115" i="34"/>
  <c r="HX209" i="34"/>
  <c r="HX54" i="34"/>
  <c r="IA117" i="34"/>
  <c r="IB81" i="34"/>
  <c r="HW200" i="34"/>
  <c r="IC225" i="34"/>
  <c r="HW51" i="34"/>
  <c r="IA234" i="34"/>
  <c r="HX180" i="34"/>
  <c r="HA49" i="34"/>
  <c r="HZ9" i="34"/>
  <c r="HY134" i="34"/>
  <c r="HY72" i="34"/>
  <c r="HZ218" i="34"/>
  <c r="HZ200" i="34"/>
  <c r="HX72" i="34"/>
  <c r="HX200" i="34"/>
  <c r="IC249" i="34"/>
  <c r="IC210" i="34"/>
  <c r="IC37" i="34"/>
  <c r="HY220" i="34"/>
  <c r="IC134" i="34"/>
  <c r="IA183" i="34"/>
  <c r="IB115" i="34"/>
  <c r="HX29" i="34"/>
  <c r="HJ124" i="34"/>
  <c r="HY176" i="34"/>
  <c r="HY101" i="34"/>
  <c r="HZ49" i="34"/>
  <c r="HX65" i="34"/>
  <c r="HY86" i="34"/>
  <c r="HW139" i="34"/>
  <c r="HY218" i="34"/>
  <c r="IA168" i="34"/>
  <c r="HY104" i="34"/>
  <c r="IC220" i="34"/>
  <c r="IB123" i="34"/>
  <c r="IB132" i="34"/>
  <c r="HZ237" i="34"/>
  <c r="HY124" i="34"/>
  <c r="HZ57" i="34"/>
  <c r="HW237" i="34"/>
  <c r="HJ57" i="34"/>
  <c r="HZ37" i="34"/>
  <c r="AS16" i="46"/>
  <c r="HY57" i="34"/>
  <c r="IA104" i="34"/>
  <c r="IC237" i="34"/>
  <c r="IB249" i="34"/>
  <c r="HZ210" i="34"/>
  <c r="IA237" i="34"/>
  <c r="IC94" i="34"/>
  <c r="HY181" i="34"/>
  <c r="HW132" i="34"/>
  <c r="IB228" i="34"/>
  <c r="HW70" i="34"/>
  <c r="HX9" i="34"/>
  <c r="HA9" i="34"/>
  <c r="HZ42" i="34"/>
  <c r="IA42" i="34"/>
  <c r="IB160" i="34"/>
  <c r="HX160" i="34"/>
  <c r="HZ147" i="34"/>
  <c r="IC147" i="34"/>
  <c r="IA147" i="34"/>
  <c r="IC93" i="34"/>
  <c r="IB93" i="34"/>
  <c r="HZ93" i="34"/>
  <c r="IA93" i="34"/>
  <c r="HY202" i="34"/>
  <c r="IB202" i="34"/>
  <c r="IA202" i="34"/>
  <c r="HX86" i="34"/>
  <c r="HA86" i="34"/>
  <c r="HW232" i="34"/>
  <c r="HX232" i="34"/>
  <c r="IA232" i="34"/>
  <c r="HY232" i="34"/>
  <c r="IA160" i="34"/>
  <c r="IC58" i="34"/>
  <c r="IA58" i="34"/>
  <c r="HY58" i="34"/>
  <c r="HW135" i="34"/>
  <c r="HY18" i="34"/>
  <c r="HA18" i="34"/>
  <c r="HJ232" i="34"/>
  <c r="HA68" i="34"/>
  <c r="HX216" i="34"/>
  <c r="IB216" i="34"/>
  <c r="HA59" i="34"/>
  <c r="IB197" i="34"/>
  <c r="HZ197" i="34"/>
  <c r="HY197" i="34"/>
  <c r="IB96" i="34"/>
  <c r="HY96" i="34"/>
  <c r="HX96" i="34"/>
  <c r="IB153" i="34"/>
  <c r="HW153" i="34"/>
  <c r="HZ68" i="34"/>
  <c r="HY68" i="34"/>
  <c r="HW68" i="34"/>
  <c r="IA68" i="34"/>
  <c r="IB190" i="34"/>
  <c r="IA231" i="34"/>
  <c r="HW216" i="34"/>
  <c r="HY153" i="34"/>
  <c r="HZ207" i="34"/>
  <c r="IA207" i="34"/>
  <c r="HJ197" i="34"/>
  <c r="HX87" i="34"/>
  <c r="IC87" i="34"/>
  <c r="IB87" i="34"/>
  <c r="HZ87" i="34"/>
  <c r="HW87" i="34"/>
  <c r="HW215" i="34"/>
  <c r="HZ215" i="34"/>
  <c r="HY215" i="34"/>
  <c r="HZ142" i="34"/>
  <c r="HY142" i="34"/>
  <c r="HW142" i="34"/>
  <c r="HW75" i="34"/>
  <c r="HX75" i="34"/>
  <c r="HZ75" i="34"/>
  <c r="IB232" i="34"/>
  <c r="HW147" i="34"/>
  <c r="HY207" i="34"/>
  <c r="IB166" i="34"/>
  <c r="IC54" i="34"/>
  <c r="IA196" i="34"/>
  <c r="HX231" i="34"/>
  <c r="HY62" i="34"/>
  <c r="IA24" i="34"/>
  <c r="HY145" i="34"/>
  <c r="HY168" i="34"/>
  <c r="IB68" i="34"/>
  <c r="IC73" i="34"/>
  <c r="HZ73" i="34"/>
  <c r="HY73" i="34"/>
  <c r="HZ89" i="34"/>
  <c r="HX89" i="34"/>
  <c r="IB189" i="34"/>
  <c r="HY189" i="34"/>
  <c r="HW222" i="34"/>
  <c r="IB222" i="34"/>
  <c r="HW146" i="34"/>
  <c r="HX146" i="34"/>
  <c r="HY146" i="34"/>
  <c r="IC146" i="34"/>
  <c r="HX136" i="34"/>
  <c r="IA136" i="34"/>
  <c r="IB136" i="34"/>
  <c r="IC136" i="34"/>
  <c r="HY136" i="34"/>
  <c r="HW136" i="34"/>
  <c r="HY217" i="34"/>
  <c r="HX217" i="34"/>
  <c r="IB217" i="34"/>
  <c r="IC38" i="34"/>
  <c r="HW38" i="34"/>
  <c r="IA38" i="34"/>
  <c r="HY38" i="34"/>
  <c r="HW190" i="34"/>
  <c r="HX190" i="34"/>
  <c r="HY187" i="34"/>
  <c r="HW187" i="34"/>
  <c r="HZ187" i="34"/>
  <c r="HX195" i="34"/>
  <c r="HW195" i="34"/>
  <c r="IA195" i="34"/>
  <c r="IB195" i="34"/>
  <c r="IC178" i="34"/>
  <c r="HX178" i="34"/>
  <c r="HY178" i="34"/>
  <c r="IA178" i="34"/>
  <c r="IC203" i="34"/>
  <c r="HY203" i="34"/>
  <c r="HA11" i="34"/>
  <c r="HW11" i="34"/>
  <c r="IB140" i="34"/>
  <c r="IA140" i="34"/>
  <c r="HY53" i="34"/>
  <c r="HW53" i="34"/>
  <c r="IC53" i="34"/>
  <c r="HA178" i="34"/>
  <c r="IC152" i="34"/>
  <c r="IA152" i="34"/>
  <c r="IB152" i="34"/>
  <c r="HX152" i="34"/>
  <c r="HW191" i="34"/>
  <c r="HA115" i="34"/>
  <c r="HY115" i="34"/>
  <c r="HY97" i="34"/>
  <c r="HX30" i="34"/>
  <c r="IC30" i="34"/>
  <c r="IA30" i="34"/>
  <c r="HZ48" i="34"/>
  <c r="HX48" i="34"/>
  <c r="HY31" i="34"/>
  <c r="HZ224" i="34"/>
  <c r="HX224" i="34"/>
  <c r="HY224" i="34"/>
  <c r="IA224" i="34"/>
  <c r="IB224" i="34"/>
  <c r="IC224" i="34"/>
  <c r="HW224" i="34"/>
  <c r="IB193" i="34"/>
  <c r="HZ193" i="34"/>
  <c r="IA193" i="34"/>
  <c r="HW12" i="34"/>
  <c r="IC12" i="34"/>
  <c r="IB41" i="34"/>
  <c r="HY41" i="34"/>
  <c r="HZ41" i="34"/>
  <c r="HY246" i="34"/>
  <c r="HX246" i="34"/>
  <c r="HW246" i="34"/>
  <c r="IA246" i="34"/>
  <c r="HX164" i="34"/>
  <c r="IB164" i="34"/>
  <c r="HZ164" i="34"/>
  <c r="HW164" i="34"/>
  <c r="HA41" i="34"/>
  <c r="IA55" i="34"/>
  <c r="HY55" i="34"/>
  <c r="HX55" i="34"/>
  <c r="HX236" i="34"/>
  <c r="IA236" i="34"/>
  <c r="HZ236" i="34"/>
  <c r="IC236" i="34"/>
  <c r="IA116" i="34"/>
  <c r="IC116" i="34"/>
  <c r="HX116" i="34"/>
  <c r="HZ116" i="34"/>
  <c r="HY116" i="34"/>
  <c r="HZ127" i="34"/>
  <c r="IA127" i="34"/>
  <c r="HW127" i="34"/>
  <c r="HX127" i="34"/>
  <c r="IB127" i="34"/>
  <c r="IA169" i="34"/>
  <c r="HW110" i="34"/>
  <c r="HY140" i="34"/>
  <c r="HY121" i="34"/>
  <c r="HW186" i="34"/>
  <c r="HW14" i="34"/>
  <c r="IC137" i="34"/>
  <c r="IA75" i="34"/>
  <c r="HZ250" i="34"/>
  <c r="HX140" i="34"/>
  <c r="IB130" i="34"/>
  <c r="HX121" i="34"/>
  <c r="IA156" i="34"/>
  <c r="HW58" i="34"/>
  <c r="HY137" i="34"/>
  <c r="HW59" i="34"/>
  <c r="IB147" i="34"/>
  <c r="HW207" i="34"/>
  <c r="IB203" i="34"/>
  <c r="HW193" i="34"/>
  <c r="HW166" i="34"/>
  <c r="IB54" i="34"/>
  <c r="HY12" i="34"/>
  <c r="IA190" i="34"/>
  <c r="IC222" i="34"/>
  <c r="IC187" i="34"/>
  <c r="HZ233" i="34"/>
  <c r="HY139" i="34"/>
  <c r="HY93" i="34"/>
  <c r="IC68" i="34"/>
  <c r="IB157" i="34"/>
  <c r="HZ157" i="34"/>
  <c r="HY157" i="34"/>
  <c r="IB194" i="34"/>
  <c r="IC194" i="34"/>
  <c r="HX194" i="34"/>
  <c r="IB182" i="34"/>
  <c r="HW182" i="34"/>
  <c r="HZ182" i="34"/>
  <c r="HX18" i="34"/>
  <c r="IB18" i="34"/>
  <c r="IC18" i="34"/>
  <c r="IA18" i="34"/>
  <c r="HZ109" i="34"/>
  <c r="HW109" i="34"/>
  <c r="IA77" i="34"/>
  <c r="HY77" i="34"/>
  <c r="IA27" i="34"/>
  <c r="HY27" i="34"/>
  <c r="HX221" i="34"/>
  <c r="HY221" i="34"/>
  <c r="IB221" i="34"/>
  <c r="HX27" i="34"/>
  <c r="HJ146" i="34"/>
  <c r="HW119" i="34"/>
  <c r="HZ119" i="34"/>
  <c r="HA83" i="34"/>
  <c r="HX83" i="34"/>
  <c r="IC97" i="34"/>
  <c r="IA97" i="34"/>
  <c r="HW97" i="34"/>
  <c r="IB97" i="34"/>
  <c r="HZ165" i="34"/>
  <c r="HY165" i="34"/>
  <c r="IC165" i="34"/>
  <c r="HX151" i="34"/>
  <c r="IB151" i="34"/>
  <c r="HY151" i="34"/>
  <c r="HZ151" i="34"/>
  <c r="IC151" i="34"/>
  <c r="HY141" i="34"/>
  <c r="IC141" i="34"/>
  <c r="IC62" i="34"/>
  <c r="HW62" i="34"/>
  <c r="IC84" i="34"/>
  <c r="IA84" i="34"/>
  <c r="HX196" i="34"/>
  <c r="IC196" i="34"/>
  <c r="HY196" i="34"/>
  <c r="HA138" i="34"/>
  <c r="IC105" i="34"/>
  <c r="HZ105" i="34"/>
  <c r="IB27" i="34"/>
  <c r="IC119" i="34"/>
  <c r="IA182" i="34"/>
  <c r="HA76" i="34"/>
  <c r="HJ143" i="34"/>
  <c r="HY198" i="34"/>
  <c r="HZ32" i="34"/>
  <c r="HW32" i="34"/>
  <c r="HY32" i="34"/>
  <c r="IA32" i="34"/>
  <c r="IC235" i="34"/>
  <c r="IA235" i="34"/>
  <c r="HZ235" i="34"/>
  <c r="HJ235" i="34"/>
  <c r="HW235" i="34"/>
  <c r="IC145" i="34"/>
  <c r="HX145" i="34"/>
  <c r="HW145" i="34"/>
  <c r="HZ22" i="34"/>
  <c r="IA22" i="34"/>
  <c r="HX22" i="34"/>
  <c r="IC22" i="34"/>
  <c r="IB128" i="34"/>
  <c r="HY128" i="34"/>
  <c r="HX128" i="34"/>
  <c r="IA128" i="34"/>
  <c r="HW128" i="34"/>
  <c r="HX112" i="34"/>
  <c r="HY112" i="34"/>
  <c r="IC112" i="34"/>
  <c r="HZ112" i="34"/>
  <c r="IA172" i="34"/>
  <c r="HZ198" i="34"/>
  <c r="HW112" i="34"/>
  <c r="IC77" i="34"/>
  <c r="HX186" i="34"/>
  <c r="HY147" i="34"/>
  <c r="HY164" i="34"/>
  <c r="HY109" i="34"/>
  <c r="HX66" i="34"/>
  <c r="IC166" i="34"/>
  <c r="HY54" i="34"/>
  <c r="HZ62" i="34"/>
  <c r="HA43" i="34"/>
  <c r="HJ178" i="34"/>
  <c r="HJ93" i="34"/>
  <c r="IB192" i="34"/>
  <c r="HW192" i="34"/>
  <c r="HY192" i="34"/>
  <c r="HJ156" i="34"/>
  <c r="HX158" i="34"/>
  <c r="HW158" i="34"/>
  <c r="IB158" i="34"/>
  <c r="HZ158" i="34"/>
  <c r="HJ158" i="34"/>
  <c r="IA158" i="34"/>
  <c r="HX36" i="34"/>
  <c r="HX147" i="34"/>
  <c r="IB207" i="34"/>
  <c r="IA203" i="34"/>
  <c r="HX193" i="34"/>
  <c r="IA197" i="34"/>
  <c r="HW55" i="34"/>
  <c r="IB12" i="34"/>
  <c r="HW196" i="34"/>
  <c r="HY235" i="34"/>
  <c r="HX41" i="34"/>
  <c r="HX187" i="34"/>
  <c r="HZ145" i="34"/>
  <c r="HW93" i="34"/>
  <c r="IA28" i="34"/>
  <c r="IB28" i="34"/>
  <c r="HX28" i="34"/>
  <c r="HW17" i="34"/>
  <c r="IA17" i="34"/>
  <c r="IC17" i="34"/>
  <c r="IC71" i="34"/>
  <c r="HY71" i="34"/>
  <c r="HZ71" i="34"/>
  <c r="IC21" i="34"/>
  <c r="HW21" i="34"/>
  <c r="HY21" i="34"/>
  <c r="HZ21" i="34"/>
  <c r="HX21" i="34"/>
  <c r="HZ227" i="34"/>
  <c r="HY99" i="34"/>
  <c r="IC99" i="34"/>
  <c r="IA99" i="34"/>
  <c r="HW99" i="34"/>
  <c r="HZ99" i="34"/>
  <c r="HZ74" i="34"/>
  <c r="HY74" i="34"/>
  <c r="IB74" i="34"/>
  <c r="HX74" i="34"/>
  <c r="IA74" i="34"/>
  <c r="HZ219" i="34"/>
  <c r="HY219" i="34"/>
  <c r="HW219" i="34"/>
  <c r="IB219" i="34"/>
  <c r="IB143" i="34"/>
  <c r="HX143" i="34"/>
  <c r="IA143" i="34"/>
  <c r="HZ143" i="34"/>
  <c r="IA191" i="34"/>
  <c r="HZ191" i="34"/>
  <c r="HY191" i="34"/>
  <c r="IB191" i="34"/>
  <c r="IC168" i="34"/>
  <c r="HZ168" i="34"/>
  <c r="IB168" i="34"/>
  <c r="IA135" i="34"/>
  <c r="IC135" i="34"/>
  <c r="HZ135" i="34"/>
  <c r="IB135" i="34"/>
  <c r="HZ195" i="34"/>
  <c r="HW77" i="34"/>
  <c r="IA186" i="34"/>
  <c r="IB17" i="34"/>
  <c r="IC90" i="34"/>
  <c r="IC109" i="34"/>
  <c r="IA166" i="34"/>
  <c r="HW126" i="34"/>
  <c r="HZ126" i="34"/>
  <c r="IB144" i="34"/>
  <c r="HZ144" i="34"/>
  <c r="HX174" i="34"/>
  <c r="HY174" i="34"/>
  <c r="IB174" i="34"/>
  <c r="IC174" i="34"/>
  <c r="IB233" i="34"/>
  <c r="IC233" i="34"/>
  <c r="HA114" i="34"/>
  <c r="HA196" i="34"/>
  <c r="HJ231" i="34"/>
  <c r="HY231" i="34"/>
  <c r="HW231" i="34"/>
  <c r="HW24" i="34"/>
  <c r="IC24" i="34"/>
  <c r="HJ24" i="34"/>
  <c r="IA130" i="34"/>
  <c r="HY69" i="34"/>
  <c r="IA69" i="34"/>
  <c r="IC69" i="34"/>
  <c r="HY230" i="34"/>
  <c r="HZ230" i="34"/>
  <c r="IC230" i="34"/>
  <c r="IA230" i="34"/>
  <c r="IA222" i="34"/>
  <c r="IC182" i="34"/>
  <c r="IA227" i="34"/>
  <c r="HW227" i="34"/>
  <c r="IB227" i="34"/>
  <c r="HZ39" i="34"/>
  <c r="IB39" i="34"/>
  <c r="IC39" i="34"/>
  <c r="HY39" i="34"/>
  <c r="IA39" i="34"/>
  <c r="IA133" i="34"/>
  <c r="HZ133" i="34"/>
  <c r="HX133" i="34"/>
  <c r="HY133" i="34"/>
  <c r="HZ35" i="34"/>
  <c r="IB35" i="34"/>
  <c r="IA35" i="34"/>
  <c r="HY35" i="34"/>
  <c r="HX35" i="34"/>
  <c r="HA82" i="34"/>
  <c r="HZ120" i="34"/>
  <c r="IC120" i="34"/>
  <c r="IA120" i="34"/>
  <c r="HX120" i="34"/>
  <c r="IA163" i="34"/>
  <c r="HW130" i="34"/>
  <c r="HX38" i="34"/>
  <c r="IC95" i="34"/>
  <c r="IA206" i="34"/>
  <c r="HX141" i="34"/>
  <c r="HW140" i="34"/>
  <c r="IC121" i="34"/>
  <c r="HZ217" i="34"/>
  <c r="HX156" i="34"/>
  <c r="HZ58" i="34"/>
  <c r="IC227" i="34"/>
  <c r="HZ31" i="34"/>
  <c r="IB141" i="34"/>
  <c r="HZ130" i="34"/>
  <c r="HZ121" i="34"/>
  <c r="IA217" i="34"/>
  <c r="HY156" i="34"/>
  <c r="HX32" i="34"/>
  <c r="HY22" i="34"/>
  <c r="HW202" i="34"/>
  <c r="HW129" i="34"/>
  <c r="HY193" i="34"/>
  <c r="HW197" i="34"/>
  <c r="IB55" i="34"/>
  <c r="IA12" i="34"/>
  <c r="IB196" i="34"/>
  <c r="HW178" i="34"/>
  <c r="HW41" i="34"/>
  <c r="IC246" i="34"/>
  <c r="HW230" i="34"/>
  <c r="HX189" i="34"/>
  <c r="HW233" i="34"/>
  <c r="IA53" i="34"/>
  <c r="HX43" i="34"/>
  <c r="HJ77" i="34"/>
  <c r="HU77" i="34" s="1"/>
  <c r="HY92" i="34"/>
  <c r="IC92" i="34"/>
  <c r="HW92" i="34"/>
  <c r="HJ27" i="34"/>
  <c r="HY169" i="34"/>
  <c r="HZ65" i="34"/>
  <c r="HX163" i="34"/>
  <c r="HX242" i="34"/>
  <c r="IB242" i="34"/>
  <c r="HJ196" i="34"/>
  <c r="IC110" i="34"/>
  <c r="HY29" i="34"/>
  <c r="IC29" i="34"/>
  <c r="HW176" i="34"/>
  <c r="IC176" i="34"/>
  <c r="IA65" i="34"/>
  <c r="HY163" i="34"/>
  <c r="IB110" i="34"/>
  <c r="HZ176" i="34"/>
  <c r="HY65" i="34"/>
  <c r="HX110" i="34"/>
  <c r="HZ163" i="34"/>
  <c r="IC163" i="34"/>
  <c r="HW163" i="34"/>
  <c r="IC36" i="34"/>
  <c r="HZ110" i="34"/>
  <c r="HJ198" i="34"/>
  <c r="HJ30" i="34"/>
  <c r="IA29" i="34"/>
  <c r="IB169" i="34"/>
  <c r="HX135" i="34"/>
  <c r="HX84" i="34"/>
  <c r="HJ109" i="34"/>
  <c r="HX169" i="34"/>
  <c r="HZ137" i="34"/>
  <c r="HA121" i="34"/>
  <c r="HJ69" i="34"/>
  <c r="HJ54" i="34"/>
  <c r="HZ24" i="34"/>
  <c r="IC202" i="34"/>
  <c r="HY75" i="34"/>
  <c r="HA50" i="34"/>
  <c r="HA239" i="34"/>
  <c r="HX14" i="34"/>
  <c r="HY204" i="34"/>
  <c r="HX31" i="34"/>
  <c r="HA120" i="34"/>
  <c r="HZ26" i="34"/>
  <c r="HJ140" i="34"/>
  <c r="IB173" i="34"/>
  <c r="HJ129" i="34"/>
  <c r="HA42" i="34"/>
  <c r="HY160" i="34"/>
  <c r="IC56" i="34"/>
  <c r="IA36" i="34"/>
  <c r="IC243" i="34"/>
  <c r="IC232" i="34"/>
  <c r="HY158" i="34"/>
  <c r="HZ54" i="34"/>
  <c r="HW208" i="34"/>
  <c r="IA141" i="34"/>
  <c r="HY105" i="34"/>
  <c r="IA21" i="34"/>
  <c r="HY182" i="34"/>
  <c r="HA214" i="34"/>
  <c r="HA233" i="34"/>
  <c r="HW141" i="34"/>
  <c r="IA153" i="34"/>
  <c r="IA121" i="34"/>
  <c r="HX202" i="34"/>
  <c r="IC221" i="34"/>
  <c r="HJ105" i="34"/>
  <c r="HU105" i="34" s="1"/>
  <c r="IA54" i="34"/>
  <c r="IB36" i="34"/>
  <c r="HX176" i="34"/>
  <c r="HJ120" i="34"/>
  <c r="HJ114" i="34"/>
  <c r="IA198" i="34"/>
  <c r="HZ242" i="34"/>
  <c r="HJ191" i="34"/>
  <c r="HZ153" i="34"/>
  <c r="IA142" i="34"/>
  <c r="HJ195" i="34"/>
  <c r="HZ138" i="34"/>
  <c r="HA210" i="34"/>
  <c r="HJ116" i="34"/>
  <c r="HJ128" i="34"/>
  <c r="HX105" i="34"/>
  <c r="IB112" i="34"/>
  <c r="HZ169" i="34"/>
  <c r="IA112" i="34"/>
  <c r="IA71" i="34"/>
  <c r="IA151" i="34"/>
  <c r="HZ140" i="34"/>
  <c r="HY130" i="34"/>
  <c r="IC160" i="34"/>
  <c r="HX244" i="34"/>
  <c r="HA125" i="34"/>
  <c r="IC127" i="34"/>
  <c r="HW18" i="34"/>
  <c r="HA103" i="34"/>
  <c r="IC170" i="34"/>
  <c r="IB84" i="34"/>
  <c r="IA155" i="34"/>
  <c r="HA51" i="34"/>
  <c r="IA219" i="34"/>
  <c r="HY107" i="34"/>
  <c r="IA241" i="34"/>
  <c r="HZ202" i="34"/>
  <c r="HZ152" i="34"/>
  <c r="HA243" i="34"/>
  <c r="HX93" i="34"/>
  <c r="HA225" i="34"/>
  <c r="IC98" i="34"/>
  <c r="IA110" i="34"/>
  <c r="HA20" i="34"/>
  <c r="IB91" i="34"/>
  <c r="HZ29" i="34"/>
  <c r="HZ222" i="34"/>
  <c r="IB154" i="34"/>
  <c r="HW84" i="34"/>
  <c r="IB146" i="34"/>
  <c r="HX162" i="34"/>
  <c r="IB62" i="34"/>
  <c r="IB156" i="34"/>
  <c r="HJ121" i="34"/>
  <c r="HJ151" i="34"/>
  <c r="HJ182" i="34"/>
  <c r="HU182" i="34" s="1"/>
  <c r="HZ90" i="34"/>
  <c r="IC242" i="34"/>
  <c r="HJ90" i="34"/>
  <c r="IB198" i="34"/>
  <c r="HZ160" i="34"/>
  <c r="HJ176" i="34"/>
  <c r="HY216" i="34"/>
  <c r="IA31" i="34"/>
  <c r="IC198" i="34"/>
  <c r="IC130" i="34"/>
  <c r="HW54" i="34"/>
  <c r="HX107" i="34"/>
  <c r="HA88" i="34"/>
  <c r="IB14" i="34"/>
  <c r="HJ147" i="34"/>
  <c r="HW143" i="34"/>
  <c r="HX238" i="34"/>
  <c r="HW221" i="34"/>
  <c r="IA105" i="34"/>
  <c r="IB53" i="34"/>
  <c r="IB129" i="34"/>
  <c r="HJ217" i="34"/>
  <c r="HJ168" i="34"/>
  <c r="HJ17" i="34"/>
  <c r="HU17" i="34" s="1"/>
  <c r="HJ12" i="34"/>
  <c r="HJ58" i="34"/>
  <c r="IC32" i="34"/>
  <c r="HW29" i="34"/>
  <c r="HJ136" i="34"/>
  <c r="HX168" i="34"/>
  <c r="IA146" i="34"/>
  <c r="HA185" i="34"/>
  <c r="HJ141" i="34"/>
  <c r="HJ164" i="34"/>
  <c r="IB90" i="34"/>
  <c r="HJ68" i="34"/>
  <c r="HX109" i="34"/>
  <c r="HZ84" i="34"/>
  <c r="HY84" i="34"/>
  <c r="HZ13" i="34"/>
  <c r="HZ221" i="34"/>
  <c r="HJ41" i="34"/>
  <c r="HJ75" i="34"/>
  <c r="HJ177" i="34"/>
  <c r="IB204" i="34"/>
  <c r="IC144" i="34"/>
  <c r="BV17" i="46"/>
  <c r="HA73" i="34"/>
  <c r="HY114" i="34"/>
  <c r="HW206" i="34"/>
  <c r="HJ32" i="34"/>
  <c r="HU32" i="34" s="1"/>
  <c r="HA167" i="34"/>
  <c r="HX11" i="34"/>
  <c r="IA87" i="34"/>
  <c r="HA23" i="34"/>
  <c r="IC66" i="34"/>
  <c r="HA245" i="34"/>
  <c r="HX233" i="34"/>
  <c r="IA194" i="34"/>
  <c r="HW56" i="34"/>
  <c r="HW173" i="34"/>
  <c r="HY144" i="34"/>
  <c r="HY30" i="34"/>
  <c r="IB119" i="34"/>
  <c r="AB15" i="46"/>
  <c r="IC126" i="34"/>
  <c r="HX131" i="34"/>
  <c r="HA75" i="34"/>
  <c r="IA174" i="34"/>
  <c r="HA66" i="34"/>
  <c r="HA174" i="34"/>
  <c r="HX144" i="34"/>
  <c r="IC215" i="34"/>
  <c r="HY64" i="34"/>
  <c r="IC133" i="34"/>
  <c r="IB236" i="34"/>
  <c r="HA236" i="34"/>
  <c r="HX165" i="34"/>
  <c r="IA223" i="34"/>
  <c r="HY148" i="34"/>
  <c r="HA163" i="34"/>
  <c r="IB186" i="34"/>
  <c r="HX12" i="34"/>
  <c r="HW165" i="34"/>
  <c r="HW184" i="34"/>
  <c r="HX126" i="34"/>
  <c r="HA158" i="34"/>
  <c r="HZ174" i="34"/>
  <c r="HX68" i="34"/>
  <c r="HY48" i="34"/>
  <c r="HA224" i="34"/>
  <c r="HZ125" i="34"/>
  <c r="HJ91" i="34"/>
  <c r="HU91" i="34" s="1"/>
  <c r="HY17" i="34"/>
  <c r="IC199" i="34"/>
  <c r="H13" i="44"/>
  <c r="H33" i="44" s="1"/>
  <c r="H53" i="44" s="1"/>
  <c r="IB64" i="34"/>
  <c r="HZ98" i="34"/>
  <c r="HA93" i="34"/>
  <c r="HA222" i="34"/>
  <c r="IC162" i="34"/>
  <c r="HY91" i="34"/>
  <c r="IB170" i="34"/>
  <c r="IB241" i="34"/>
  <c r="IA148" i="34"/>
  <c r="I15" i="44"/>
  <c r="I35" i="44" s="1"/>
  <c r="I55" i="44" s="1"/>
  <c r="HA133" i="34"/>
  <c r="AR21" i="46"/>
  <c r="HZ38" i="34"/>
  <c r="HW172" i="34"/>
  <c r="IA157" i="34"/>
  <c r="HZ244" i="34"/>
  <c r="IA170" i="34"/>
  <c r="HZ28" i="34"/>
  <c r="HW148" i="34"/>
  <c r="IC184" i="34"/>
  <c r="HW236" i="34"/>
  <c r="D12" i="44"/>
  <c r="D32" i="44" s="1"/>
  <c r="D52" i="44" s="1"/>
  <c r="E13" i="44"/>
  <c r="E33" i="44" s="1"/>
  <c r="E53" i="44" s="1"/>
  <c r="C17" i="44"/>
  <c r="C37" i="44" s="1"/>
  <c r="I21" i="44"/>
  <c r="I41" i="44" s="1"/>
  <c r="I61" i="44" s="1"/>
  <c r="HJ89" i="34"/>
  <c r="HY119" i="34"/>
  <c r="HZ190" i="34"/>
  <c r="HZ194" i="34"/>
  <c r="IC125" i="34"/>
  <c r="HX23" i="34"/>
  <c r="HZ91" i="34"/>
  <c r="HW114" i="34"/>
  <c r="HX99" i="34"/>
  <c r="IC42" i="34"/>
  <c r="IA19" i="34"/>
  <c r="HY162" i="34"/>
  <c r="CH23" i="46"/>
  <c r="HW95" i="34"/>
  <c r="F18" i="44"/>
  <c r="F38" i="44" s="1"/>
  <c r="F58" i="44" s="1"/>
  <c r="HY125" i="34"/>
  <c r="IC91" i="34"/>
  <c r="IC172" i="34"/>
  <c r="HX157" i="34"/>
  <c r="HX170" i="34"/>
  <c r="HX184" i="34"/>
  <c r="HZ155" i="34"/>
  <c r="HY66" i="34"/>
  <c r="H12" i="44"/>
  <c r="H32" i="44" s="1"/>
  <c r="H52" i="44" s="1"/>
  <c r="G14" i="44"/>
  <c r="G34" i="44" s="1"/>
  <c r="G54" i="44" s="1"/>
  <c r="D15" i="44"/>
  <c r="D35" i="44" s="1"/>
  <c r="D55" i="44" s="1"/>
  <c r="G16" i="44"/>
  <c r="G36" i="44" s="1"/>
  <c r="G56" i="44" s="1"/>
  <c r="IB73" i="34"/>
  <c r="HA32" i="34"/>
  <c r="IC190" i="34"/>
  <c r="IB125" i="34"/>
  <c r="IA114" i="34"/>
  <c r="HW42" i="34"/>
  <c r="HX19" i="34"/>
  <c r="C19" i="46"/>
  <c r="HJ194" i="34"/>
  <c r="HA40" i="34"/>
  <c r="IA199" i="34"/>
  <c r="IB66" i="34"/>
  <c r="HA145" i="34"/>
  <c r="H15" i="44"/>
  <c r="H35" i="44" s="1"/>
  <c r="H55" i="44" s="1"/>
  <c r="I17" i="44"/>
  <c r="I37" i="44" s="1"/>
  <c r="I57" i="44" s="1"/>
  <c r="E12" i="44"/>
  <c r="E32" i="44" s="1"/>
  <c r="E52" i="44" s="1"/>
  <c r="F20" i="44"/>
  <c r="F40" i="44" s="1"/>
  <c r="F60" i="44" s="1"/>
  <c r="HW188" i="34"/>
  <c r="IB89" i="34"/>
  <c r="IA64" i="34"/>
  <c r="IC154" i="34"/>
  <c r="HW98" i="34"/>
  <c r="HZ162" i="34"/>
  <c r="S12" i="46"/>
  <c r="HA92" i="34"/>
  <c r="IC148" i="34"/>
  <c r="HJ162" i="34"/>
  <c r="HA15" i="34"/>
  <c r="HX97" i="34"/>
  <c r="HA38" i="34"/>
  <c r="HA70" i="34"/>
  <c r="HA77" i="34"/>
  <c r="IA162" i="34"/>
  <c r="HW8" i="34"/>
  <c r="HY95" i="34"/>
  <c r="HW250" i="34"/>
  <c r="HA143" i="34"/>
  <c r="HW241" i="34"/>
  <c r="IA184" i="34"/>
  <c r="IA250" i="34"/>
  <c r="IA95" i="34"/>
  <c r="HJ184" i="34"/>
  <c r="IC241" i="34"/>
  <c r="H16" i="44"/>
  <c r="H36" i="44" s="1"/>
  <c r="H56" i="44" s="1"/>
  <c r="H14" i="44"/>
  <c r="H34" i="44" s="1"/>
  <c r="H54" i="44" s="1"/>
  <c r="I16" i="44"/>
  <c r="I36" i="44" s="1"/>
  <c r="I56" i="44" s="1"/>
  <c r="C15" i="44"/>
  <c r="C35" i="44" s="1"/>
  <c r="C55" i="44" s="1"/>
  <c r="IA188" i="34"/>
  <c r="IC89" i="34"/>
  <c r="HA35" i="34"/>
  <c r="BT21" i="46"/>
  <c r="HJ148" i="34"/>
  <c r="HY154" i="34"/>
  <c r="HJ66" i="34"/>
  <c r="IB165" i="34"/>
  <c r="IB137" i="34"/>
  <c r="HZ192" i="34"/>
  <c r="HA53" i="34"/>
  <c r="HA8" i="34"/>
  <c r="HW28" i="34"/>
  <c r="HA172" i="34"/>
  <c r="HJ250" i="34"/>
  <c r="HA215" i="34"/>
  <c r="IA126" i="34"/>
  <c r="HA155" i="34"/>
  <c r="IB126" i="34"/>
  <c r="HW174" i="34"/>
  <c r="HA122" i="34"/>
  <c r="HZ97" i="34"/>
  <c r="HA94" i="34"/>
  <c r="HA52" i="34"/>
  <c r="HX207" i="34"/>
  <c r="HA56" i="34"/>
  <c r="IA119" i="34"/>
  <c r="HY82" i="34"/>
  <c r="HA189" i="34"/>
  <c r="HA91" i="34"/>
  <c r="IB175" i="34"/>
  <c r="HA204" i="34"/>
  <c r="IA49" i="34"/>
  <c r="HY223" i="34"/>
  <c r="HJ199" i="34"/>
  <c r="HA130" i="34"/>
  <c r="IB77" i="34"/>
  <c r="IB11" i="34"/>
  <c r="HY11" i="34"/>
  <c r="HZ11" i="34"/>
  <c r="IA11" i="34"/>
  <c r="HA101" i="34"/>
  <c r="IB101" i="34"/>
  <c r="HA81" i="34"/>
  <c r="HZ81" i="34"/>
  <c r="HW171" i="34"/>
  <c r="HX171" i="34"/>
  <c r="IC171" i="34"/>
  <c r="IB149" i="34"/>
  <c r="HX149" i="34"/>
  <c r="HZ149" i="34"/>
  <c r="HY43" i="34"/>
  <c r="HZ43" i="34"/>
  <c r="IC43" i="34"/>
  <c r="IA43" i="34"/>
  <c r="HW43" i="34"/>
  <c r="HA249" i="34"/>
  <c r="HA237" i="34"/>
  <c r="HW122" i="34"/>
  <c r="IA249" i="34"/>
  <c r="IC85" i="34"/>
  <c r="IB38" i="34"/>
  <c r="HA132" i="34"/>
  <c r="IB171" i="34"/>
  <c r="HA113" i="34"/>
  <c r="IA15" i="34"/>
  <c r="HY15" i="34"/>
  <c r="HW15" i="34"/>
  <c r="HJ15" i="34"/>
  <c r="IB15" i="34"/>
  <c r="IA177" i="34"/>
  <c r="IC177" i="34"/>
  <c r="HA154" i="34"/>
  <c r="HW154" i="34"/>
  <c r="IA244" i="34"/>
  <c r="IB244" i="34"/>
  <c r="HW244" i="34"/>
  <c r="IC244" i="34"/>
  <c r="HX108" i="34"/>
  <c r="IA108" i="34"/>
  <c r="HZ128" i="34"/>
  <c r="HA128" i="34"/>
  <c r="HX40" i="34"/>
  <c r="HY40" i="34"/>
  <c r="HA205" i="34"/>
  <c r="IA138" i="34"/>
  <c r="HY138" i="34"/>
  <c r="HX138" i="34"/>
  <c r="IC138" i="34"/>
  <c r="IB138" i="34"/>
  <c r="HX166" i="34"/>
  <c r="HA166" i="34"/>
  <c r="HZ106" i="34"/>
  <c r="HW106" i="34"/>
  <c r="IB106" i="34"/>
  <c r="IA106" i="34"/>
  <c r="IC8" i="34"/>
  <c r="IB8" i="34"/>
  <c r="HJ8" i="34"/>
  <c r="HY8" i="34"/>
  <c r="HX8" i="34"/>
  <c r="HA63" i="34"/>
  <c r="IC27" i="34"/>
  <c r="HW111" i="34"/>
  <c r="IC111" i="34"/>
  <c r="HY111" i="34"/>
  <c r="HZ111" i="34"/>
  <c r="IC13" i="34"/>
  <c r="HY13" i="34"/>
  <c r="IA13" i="34"/>
  <c r="HJ13" i="34"/>
  <c r="IC175" i="34"/>
  <c r="IA175" i="34"/>
  <c r="HZ175" i="34"/>
  <c r="HX175" i="34"/>
  <c r="HA250" i="34"/>
  <c r="HA28" i="34"/>
  <c r="HX185" i="34"/>
  <c r="IA215" i="34"/>
  <c r="HY85" i="34"/>
  <c r="HW85" i="34"/>
  <c r="IB85" i="34"/>
  <c r="HZ85" i="34"/>
  <c r="HA90" i="34"/>
  <c r="IA189" i="34"/>
  <c r="HA105" i="34"/>
  <c r="IB206" i="34"/>
  <c r="HX177" i="34"/>
  <c r="HZ80" i="34"/>
  <c r="HY80" i="34"/>
  <c r="IC80" i="34"/>
  <c r="HZ15" i="34"/>
  <c r="HA150" i="34"/>
  <c r="HW177" i="34"/>
  <c r="IB40" i="34"/>
  <c r="HY177" i="34"/>
  <c r="HZ40" i="34"/>
  <c r="HZ177" i="34"/>
  <c r="HA97" i="34"/>
  <c r="HW181" i="34"/>
  <c r="HX181" i="34"/>
  <c r="IC181" i="34"/>
  <c r="HA179" i="34"/>
  <c r="HY88" i="34"/>
  <c r="HX85" i="34"/>
  <c r="HA220" i="34"/>
  <c r="HW155" i="34"/>
  <c r="HW80" i="34"/>
  <c r="HW210" i="34"/>
  <c r="IA40" i="34"/>
  <c r="HX15" i="34"/>
  <c r="HW175" i="34"/>
  <c r="IB80" i="34"/>
  <c r="HW138" i="34"/>
  <c r="IB108" i="34"/>
  <c r="HZ8" i="34"/>
  <c r="HJ111" i="34"/>
  <c r="HJ43" i="34"/>
  <c r="HY250" i="34"/>
  <c r="HZ172" i="34"/>
  <c r="HX206" i="34"/>
  <c r="HY28" i="34"/>
  <c r="IC155" i="34"/>
  <c r="D16" i="44"/>
  <c r="D36" i="44" s="1"/>
  <c r="D56" i="44" s="1"/>
  <c r="C12" i="44"/>
  <c r="C32" i="44" s="1"/>
  <c r="E20" i="44"/>
  <c r="E40" i="44" s="1"/>
  <c r="E60" i="44" s="1"/>
  <c r="F21" i="44"/>
  <c r="F41" i="44" s="1"/>
  <c r="F61" i="44" s="1"/>
  <c r="G12" i="44"/>
  <c r="G32" i="44" s="1"/>
  <c r="G52" i="44" s="1"/>
  <c r="E14" i="44"/>
  <c r="E34" i="44" s="1"/>
  <c r="E54" i="44" s="1"/>
  <c r="G13" i="44"/>
  <c r="G33" i="44" s="1"/>
  <c r="G53" i="44" s="1"/>
  <c r="D18" i="44"/>
  <c r="D38" i="44" s="1"/>
  <c r="D58" i="44" s="1"/>
  <c r="IA73" i="34"/>
  <c r="HZ188" i="34"/>
  <c r="HX70" i="34"/>
  <c r="HW105" i="34"/>
  <c r="HW89" i="34"/>
  <c r="HZ82" i="34"/>
  <c r="HZ136" i="34"/>
  <c r="HJ206" i="34"/>
  <c r="IA125" i="34"/>
  <c r="HW49" i="34"/>
  <c r="HZ23" i="34"/>
  <c r="IA238" i="34"/>
  <c r="IC189" i="34"/>
  <c r="HY42" i="34"/>
  <c r="IB19" i="34"/>
  <c r="V15" i="46"/>
  <c r="BO17" i="46"/>
  <c r="IB181" i="34"/>
  <c r="HJ95" i="34"/>
  <c r="HY19" i="34"/>
  <c r="HA140" i="34"/>
  <c r="HA165" i="34"/>
  <c r="HA183" i="34"/>
  <c r="HX106" i="34"/>
  <c r="HA72" i="34"/>
  <c r="HA160" i="34"/>
  <c r="IB48" i="34"/>
  <c r="HA129" i="34"/>
  <c r="HA216" i="34"/>
  <c r="HX250" i="34"/>
  <c r="HY172" i="34"/>
  <c r="HW157" i="34"/>
  <c r="HZ170" i="34"/>
  <c r="HY241" i="34"/>
  <c r="IC28" i="34"/>
  <c r="HZ51" i="34"/>
  <c r="IB199" i="34"/>
  <c r="HY155" i="34"/>
  <c r="IA66" i="34"/>
  <c r="H17" i="44"/>
  <c r="H37" i="44" s="1"/>
  <c r="H57" i="44" s="1"/>
  <c r="H21" i="44"/>
  <c r="H41" i="44" s="1"/>
  <c r="H61" i="44" s="1"/>
  <c r="C16" i="44"/>
  <c r="C36" i="44" s="1"/>
  <c r="G18" i="44"/>
  <c r="G38" i="44" s="1"/>
  <c r="G58" i="44" s="1"/>
  <c r="F16" i="44"/>
  <c r="F36" i="44" s="1"/>
  <c r="F56" i="44" s="1"/>
  <c r="C18" i="44"/>
  <c r="C38" i="44" s="1"/>
  <c r="H18" i="44"/>
  <c r="H38" i="44" s="1"/>
  <c r="H58" i="44" s="1"/>
  <c r="E16" i="44"/>
  <c r="E36" i="44" s="1"/>
  <c r="E56" i="44" s="1"/>
  <c r="D21" i="44"/>
  <c r="D41" i="44" s="1"/>
  <c r="D61" i="44" s="1"/>
  <c r="IC188" i="34"/>
  <c r="IA70" i="34"/>
  <c r="IB49" i="34"/>
  <c r="HW23" i="34"/>
  <c r="HZ185" i="34"/>
  <c r="HZ114" i="34"/>
  <c r="HW189" i="34"/>
  <c r="HA247" i="34"/>
  <c r="HZ19" i="34"/>
  <c r="BK21" i="46"/>
  <c r="BW23" i="46"/>
  <c r="IC250" i="34"/>
  <c r="IB172" i="34"/>
  <c r="HZ206" i="34"/>
  <c r="HY199" i="34"/>
  <c r="HW66" i="34"/>
  <c r="G21" i="44"/>
  <c r="G41" i="44" s="1"/>
  <c r="G61" i="44" s="1"/>
  <c r="C20" i="44"/>
  <c r="C40" i="44" s="1"/>
  <c r="E18" i="44"/>
  <c r="E38" i="44" s="1"/>
  <c r="E58" i="44" s="1"/>
  <c r="D14" i="44"/>
  <c r="D34" i="44" s="1"/>
  <c r="D54" i="44" s="1"/>
  <c r="I14" i="44"/>
  <c r="I34" i="44" s="1"/>
  <c r="I54" i="44" s="1"/>
  <c r="E17" i="44"/>
  <c r="E37" i="44" s="1"/>
  <c r="E57" i="44" s="1"/>
  <c r="G15" i="44"/>
  <c r="G35" i="44" s="1"/>
  <c r="G55" i="44" s="1"/>
  <c r="F12" i="44"/>
  <c r="F32" i="44" s="1"/>
  <c r="F52" i="44" s="1"/>
  <c r="HW73" i="34"/>
  <c r="IB188" i="34"/>
  <c r="IC70" i="34"/>
  <c r="IA89" i="34"/>
  <c r="HW82" i="34"/>
  <c r="HW125" i="34"/>
  <c r="HY23" i="34"/>
  <c r="HY185" i="34"/>
  <c r="HX114" i="34"/>
  <c r="HZ189" i="34"/>
  <c r="IB42" i="34"/>
  <c r="HW19" i="34"/>
  <c r="BI19" i="46"/>
  <c r="BL12" i="46"/>
  <c r="G17" i="44"/>
  <c r="G37" i="44" s="1"/>
  <c r="G57" i="44" s="1"/>
  <c r="D20" i="44"/>
  <c r="D40" i="44" s="1"/>
  <c r="D60" i="44" s="1"/>
  <c r="I13" i="44"/>
  <c r="I33" i="44" s="1"/>
  <c r="I53" i="44" s="1"/>
  <c r="I20" i="44"/>
  <c r="I40" i="44" s="1"/>
  <c r="I60" i="44" s="1"/>
  <c r="F13" i="44"/>
  <c r="F33" i="44" s="1"/>
  <c r="F53" i="44" s="1"/>
  <c r="C13" i="44"/>
  <c r="C33" i="44" s="1"/>
  <c r="F15" i="44"/>
  <c r="C14" i="44"/>
  <c r="C34" i="44" s="1"/>
  <c r="AH23" i="46"/>
  <c r="HJ175" i="34"/>
  <c r="HJ125" i="34"/>
  <c r="HJ72" i="34"/>
  <c r="HJ220" i="34"/>
  <c r="HA33" i="34"/>
  <c r="HA235" i="34"/>
  <c r="HA95" i="34"/>
  <c r="HA46" i="34"/>
  <c r="HA217" i="34"/>
  <c r="HA186" i="34"/>
  <c r="IA187" i="34"/>
  <c r="HX137" i="34"/>
  <c r="IA192" i="34"/>
  <c r="CC17" i="46"/>
  <c r="HA206" i="34"/>
  <c r="HA175" i="34"/>
  <c r="HA207" i="34"/>
  <c r="HJ205" i="34"/>
  <c r="HA241" i="34"/>
  <c r="HA164" i="34"/>
  <c r="HA100" i="34"/>
  <c r="HA197" i="34"/>
  <c r="HA45" i="34"/>
  <c r="IB95" i="34"/>
  <c r="HA191" i="34"/>
  <c r="HA25" i="34"/>
  <c r="HA226" i="34"/>
  <c r="HA170" i="34"/>
  <c r="HZ16" i="34"/>
  <c r="IA144" i="34"/>
  <c r="IA233" i="34"/>
  <c r="HX58" i="34"/>
  <c r="HA141" i="34"/>
  <c r="HX159" i="34"/>
  <c r="HA198" i="34"/>
  <c r="HX73" i="34"/>
  <c r="IB58" i="34"/>
  <c r="HA62" i="34"/>
  <c r="IA37" i="34"/>
  <c r="IC234" i="34"/>
  <c r="HA131" i="34"/>
  <c r="HA157" i="34"/>
  <c r="HX192" i="34"/>
  <c r="HY106" i="34"/>
  <c r="HZ146" i="34"/>
  <c r="HA181" i="34"/>
  <c r="HX25" i="34"/>
  <c r="HA171" i="34"/>
  <c r="IB69" i="34"/>
  <c r="HA34" i="34"/>
  <c r="HA13" i="34"/>
  <c r="HX119" i="34"/>
  <c r="HA142" i="34"/>
  <c r="HY24" i="34"/>
  <c r="HZ100" i="34"/>
  <c r="HY108" i="34"/>
  <c r="HZ228" i="34"/>
  <c r="IA137" i="34"/>
  <c r="IB235" i="34"/>
  <c r="HY103" i="34"/>
  <c r="IC219" i="34"/>
  <c r="HX134" i="34"/>
  <c r="IA212" i="34"/>
  <c r="HA190" i="34"/>
  <c r="IB30" i="34"/>
  <c r="HX111" i="34"/>
  <c r="HZ223" i="34"/>
  <c r="HA64" i="34"/>
  <c r="HZ52" i="34"/>
  <c r="HA211" i="34"/>
  <c r="HZ60" i="34"/>
  <c r="HZ184" i="34"/>
  <c r="HA148" i="34"/>
  <c r="IB67" i="34"/>
  <c r="IC228" i="34"/>
  <c r="IC158" i="34"/>
  <c r="HW30" i="34"/>
  <c r="HA80" i="34"/>
  <c r="HA156" i="34"/>
  <c r="HA37" i="34"/>
  <c r="HW39" i="34"/>
  <c r="IC40" i="34"/>
  <c r="HA195" i="34"/>
  <c r="HA44" i="34"/>
  <c r="HA79" i="34"/>
  <c r="HJ137" i="34"/>
  <c r="HJ160" i="34"/>
  <c r="HW243" i="34"/>
  <c r="HX243" i="34"/>
  <c r="HZ243" i="34"/>
  <c r="HX79" i="34"/>
  <c r="IB79" i="34"/>
  <c r="HW79" i="34"/>
  <c r="IA79" i="34"/>
  <c r="HY79" i="34"/>
  <c r="HA96" i="34"/>
  <c r="IC96" i="34"/>
  <c r="HA24" i="34"/>
  <c r="HJ47" i="34"/>
  <c r="HU47" i="34" s="1"/>
  <c r="IB47" i="34"/>
  <c r="HZ47" i="34"/>
  <c r="HW47" i="34"/>
  <c r="HX47" i="34"/>
  <c r="HY194" i="34"/>
  <c r="HA194" i="34"/>
  <c r="IB63" i="34"/>
  <c r="IC63" i="34"/>
  <c r="HZ63" i="34"/>
  <c r="IA63" i="34"/>
  <c r="HW63" i="34"/>
  <c r="HZ50" i="34"/>
  <c r="IC206" i="34"/>
  <c r="IC173" i="34"/>
  <c r="IC25" i="34"/>
  <c r="HY47" i="34"/>
  <c r="HY243" i="34"/>
  <c r="AG13" i="46"/>
  <c r="O15" i="46"/>
  <c r="HZ173" i="34"/>
  <c r="IA211" i="34"/>
  <c r="IC47" i="34"/>
  <c r="IC79" i="34"/>
  <c r="HA54" i="34"/>
  <c r="IA171" i="34"/>
  <c r="IB243" i="34"/>
  <c r="BE16" i="46"/>
  <c r="AR17" i="46"/>
  <c r="AV17" i="46"/>
  <c r="BD15" i="46"/>
  <c r="AX17" i="46"/>
  <c r="Z19" i="46"/>
  <c r="AH16" i="46"/>
  <c r="K12" i="46"/>
  <c r="AA21" i="46"/>
  <c r="BZ17" i="46"/>
  <c r="AK17" i="46"/>
  <c r="CG20" i="46"/>
  <c r="P17" i="46"/>
  <c r="AV21" i="46"/>
  <c r="BJ22" i="46"/>
  <c r="HJ56" i="34"/>
  <c r="HU56" i="34" s="1"/>
  <c r="HZ107" i="34"/>
  <c r="HA107" i="34"/>
  <c r="HA218" i="34"/>
  <c r="HY110" i="34"/>
  <c r="HA110" i="34"/>
  <c r="HY67" i="34"/>
  <c r="HA67" i="34"/>
  <c r="HA232" i="34"/>
  <c r="HX118" i="34"/>
  <c r="IC118" i="34"/>
  <c r="HW118" i="34"/>
  <c r="HY118" i="34"/>
  <c r="IB118" i="34"/>
  <c r="HZ118" i="34"/>
  <c r="IA118" i="34"/>
  <c r="BY14" i="46"/>
  <c r="BK13" i="46"/>
  <c r="M18" i="46"/>
  <c r="BU19" i="46"/>
  <c r="BW18" i="46"/>
  <c r="AG16" i="46"/>
  <c r="AA15" i="46"/>
  <c r="AA16" i="46"/>
  <c r="AS21" i="46"/>
  <c r="K14" i="46"/>
  <c r="BJ15" i="46"/>
  <c r="BX21" i="46"/>
  <c r="Q19" i="46"/>
  <c r="AN14" i="46"/>
  <c r="AL21" i="46"/>
  <c r="AI15" i="46"/>
  <c r="AZ17" i="46"/>
  <c r="CH20" i="46"/>
  <c r="M22" i="46"/>
  <c r="AM20" i="46"/>
  <c r="BU14" i="46"/>
  <c r="AS12" i="46"/>
  <c r="CF17" i="46"/>
  <c r="AN13" i="46"/>
  <c r="O20" i="46"/>
  <c r="CE17" i="46"/>
  <c r="AM21" i="46"/>
  <c r="BY15" i="46"/>
  <c r="BH22" i="46"/>
  <c r="BP12" i="46"/>
  <c r="O22" i="46"/>
  <c r="AL18" i="46"/>
  <c r="AV15" i="46"/>
  <c r="BI15" i="46"/>
  <c r="AD13" i="46"/>
  <c r="AD18" i="46"/>
  <c r="CE19" i="46"/>
  <c r="CE23" i="46"/>
  <c r="I19" i="46"/>
  <c r="BZ20" i="46"/>
  <c r="G20" i="46"/>
  <c r="BU18" i="46"/>
  <c r="BS12" i="46"/>
  <c r="D18" i="46"/>
  <c r="O23" i="46"/>
  <c r="AM18" i="46"/>
  <c r="H13" i="46"/>
  <c r="AQ13" i="46"/>
  <c r="AG22" i="46"/>
  <c r="E21" i="46"/>
  <c r="BW17" i="46"/>
  <c r="BG23" i="46"/>
  <c r="BS21" i="46"/>
  <c r="AJ16" i="46"/>
  <c r="AP23" i="46"/>
  <c r="Z21" i="46"/>
  <c r="BP14" i="46"/>
  <c r="BF19" i="46"/>
  <c r="V16" i="46"/>
  <c r="W23" i="46"/>
  <c r="BX15" i="46"/>
  <c r="AS23" i="46"/>
  <c r="V13" i="46"/>
  <c r="AN15" i="46"/>
  <c r="BQ16" i="46"/>
  <c r="X23" i="46"/>
  <c r="AT20" i="46"/>
  <c r="BZ23" i="46"/>
  <c r="AY14" i="46"/>
  <c r="N21" i="46"/>
  <c r="CA23" i="46"/>
  <c r="O21" i="46"/>
  <c r="K20" i="46"/>
  <c r="AB12" i="46"/>
  <c r="BF15" i="46"/>
  <c r="BY13" i="46"/>
  <c r="Z17" i="46"/>
  <c r="V14" i="46"/>
  <c r="N19" i="46"/>
  <c r="V17" i="46"/>
  <c r="L20" i="46"/>
  <c r="M21" i="46"/>
  <c r="BD21" i="46"/>
  <c r="D22" i="46"/>
  <c r="AB19" i="46"/>
  <c r="BD13" i="46"/>
  <c r="BE20" i="46"/>
  <c r="CA17" i="46"/>
  <c r="CG14" i="46"/>
  <c r="AL23" i="46"/>
  <c r="V18" i="46"/>
  <c r="AN21" i="46"/>
  <c r="AC21" i="46"/>
  <c r="AV23" i="46"/>
  <c r="BT22" i="46"/>
  <c r="T20" i="46"/>
  <c r="P19" i="46"/>
  <c r="X19" i="46"/>
  <c r="S17" i="46"/>
  <c r="BW12" i="46"/>
  <c r="BG13" i="46"/>
  <c r="U16" i="46"/>
  <c r="BR23" i="46"/>
  <c r="BS15" i="46"/>
  <c r="AI22" i="46"/>
  <c r="CG23" i="46"/>
  <c r="Q13" i="46"/>
  <c r="CC23" i="46"/>
  <c r="BY22" i="46"/>
  <c r="AA18" i="46"/>
  <c r="BL23" i="46"/>
  <c r="BL19" i="46"/>
  <c r="C20" i="46"/>
  <c r="BV18" i="46"/>
  <c r="BM22" i="46"/>
  <c r="AV18" i="46"/>
  <c r="BJ17" i="46"/>
  <c r="BW14" i="46"/>
  <c r="AP18" i="46"/>
  <c r="AF19" i="46"/>
  <c r="U17" i="46"/>
  <c r="BL20" i="46"/>
  <c r="AG18" i="46"/>
  <c r="T15" i="46"/>
  <c r="AI17" i="46"/>
  <c r="Z14" i="46"/>
  <c r="BC18" i="46"/>
  <c r="AQ12" i="46"/>
  <c r="BN21" i="46"/>
  <c r="BO13" i="46"/>
  <c r="BK19" i="46"/>
  <c r="AL14" i="46"/>
  <c r="C17" i="46"/>
  <c r="BO21" i="46"/>
  <c r="BD23" i="46"/>
  <c r="G19" i="46"/>
  <c r="CF20" i="46"/>
  <c r="C18" i="46"/>
  <c r="BP21" i="46"/>
  <c r="C22" i="46"/>
  <c r="W16" i="46"/>
  <c r="BH23" i="46"/>
  <c r="BP13" i="46"/>
  <c r="AD12" i="46"/>
  <c r="AJ18" i="46"/>
  <c r="F23" i="46"/>
  <c r="X13" i="46"/>
  <c r="P18" i="46"/>
  <c r="CD15" i="46"/>
  <c r="K21" i="46"/>
  <c r="BT19" i="46"/>
  <c r="AD14" i="46"/>
  <c r="BU17" i="46"/>
  <c r="AE13" i="46"/>
  <c r="AT23" i="46"/>
  <c r="CC19" i="46"/>
  <c r="R19" i="46"/>
  <c r="AE18" i="46"/>
  <c r="BO12" i="46"/>
  <c r="CD17" i="46"/>
  <c r="AE14" i="46"/>
  <c r="S21" i="46"/>
  <c r="R13" i="46"/>
  <c r="D17" i="46"/>
  <c r="J20" i="46"/>
  <c r="BS17" i="46"/>
  <c r="Q23" i="46"/>
  <c r="J21" i="46"/>
  <c r="E17" i="46"/>
  <c r="BG17" i="46"/>
  <c r="BH19" i="46"/>
  <c r="BR13" i="46"/>
  <c r="AN20" i="46"/>
  <c r="T16" i="46"/>
  <c r="N22" i="46"/>
  <c r="AN12" i="46"/>
  <c r="CA19" i="46"/>
  <c r="BW16" i="46"/>
  <c r="BN16" i="46"/>
  <c r="BQ21" i="46"/>
  <c r="W15" i="46"/>
  <c r="U20" i="46"/>
  <c r="AW16" i="46"/>
  <c r="BH21" i="46"/>
  <c r="BZ13" i="46"/>
  <c r="S18" i="46"/>
  <c r="BS13" i="46"/>
  <c r="CA22" i="46"/>
  <c r="E19" i="46"/>
  <c r="H16" i="46"/>
  <c r="W13" i="46"/>
  <c r="BB21" i="46"/>
  <c r="Y17" i="46"/>
  <c r="BV13" i="46"/>
  <c r="AZ15" i="46"/>
  <c r="AQ15" i="46"/>
  <c r="AC14" i="46"/>
  <c r="CC14" i="46"/>
  <c r="CH19" i="46"/>
  <c r="AR22" i="46"/>
  <c r="AM12" i="46"/>
  <c r="AE12" i="46"/>
  <c r="CD14" i="46"/>
  <c r="AW18" i="46"/>
  <c r="AH21" i="46"/>
  <c r="CH14" i="46"/>
  <c r="BM14" i="46"/>
  <c r="BT15" i="46"/>
  <c r="U12" i="46"/>
  <c r="AC17" i="46"/>
  <c r="Z22" i="46"/>
  <c r="CB22" i="46"/>
  <c r="P12" i="46"/>
  <c r="AM23" i="46"/>
  <c r="CF13" i="46"/>
  <c r="AV12" i="46"/>
  <c r="AU16" i="46"/>
  <c r="AP21" i="46"/>
  <c r="BE23" i="46"/>
  <c r="V20" i="46"/>
  <c r="CE18" i="46"/>
  <c r="Z15" i="46"/>
  <c r="AF14" i="46"/>
  <c r="BJ21" i="46"/>
  <c r="BJ16" i="46"/>
  <c r="T17" i="46"/>
  <c r="CF22" i="46"/>
  <c r="BV15" i="46"/>
  <c r="CF21" i="46"/>
  <c r="V22" i="46"/>
  <c r="AB21" i="46"/>
  <c r="BJ14" i="46"/>
  <c r="AE17" i="46"/>
  <c r="AA17" i="46"/>
  <c r="I12" i="46"/>
  <c r="BN20" i="46"/>
  <c r="CC22" i="46"/>
  <c r="AA19" i="46"/>
  <c r="BG12" i="46"/>
  <c r="AQ14" i="46"/>
  <c r="F21" i="46"/>
  <c r="AU23" i="46"/>
  <c r="AQ19" i="46"/>
  <c r="W22" i="46"/>
  <c r="CD23" i="46"/>
  <c r="W18" i="46"/>
  <c r="BB14" i="46"/>
  <c r="BQ14" i="46"/>
  <c r="BX23" i="46"/>
  <c r="AH22" i="46"/>
  <c r="BA19" i="46"/>
  <c r="BZ12" i="46"/>
  <c r="D14" i="46"/>
  <c r="CG15" i="46"/>
  <c r="L15" i="46"/>
  <c r="BZ16" i="46"/>
  <c r="CC15" i="46"/>
  <c r="G14" i="46"/>
  <c r="AC20" i="46"/>
  <c r="P20" i="46"/>
  <c r="BH15" i="46"/>
  <c r="AX18" i="46"/>
  <c r="CG21" i="46"/>
  <c r="H15" i="46"/>
  <c r="AB18" i="46"/>
  <c r="K18" i="46"/>
  <c r="BJ19" i="46"/>
  <c r="BX19" i="46"/>
  <c r="BV20" i="46"/>
  <c r="BY21" i="46"/>
  <c r="BQ13" i="46"/>
  <c r="AJ12" i="46"/>
  <c r="C14" i="46"/>
  <c r="BR18" i="46"/>
  <c r="Y12" i="46"/>
  <c r="AT15" i="46"/>
  <c r="R20" i="46"/>
  <c r="AE22" i="46"/>
  <c r="BC14" i="46"/>
  <c r="AY12" i="46"/>
  <c r="BB20" i="46"/>
  <c r="K15" i="46"/>
  <c r="AP19" i="46"/>
  <c r="O16" i="46"/>
  <c r="AB20" i="46"/>
  <c r="I18" i="46"/>
  <c r="AL20" i="46"/>
  <c r="BW21" i="46"/>
  <c r="AQ21" i="46"/>
  <c r="BL18" i="46"/>
  <c r="X18" i="46"/>
  <c r="CA20" i="46"/>
  <c r="BT18" i="46"/>
  <c r="M14" i="46"/>
  <c r="AC13" i="46"/>
  <c r="L14" i="46"/>
  <c r="BH16" i="46"/>
  <c r="U22" i="46"/>
  <c r="AV16" i="46"/>
  <c r="K13" i="46"/>
  <c r="CB19" i="46"/>
  <c r="H12" i="46"/>
  <c r="BO18" i="46"/>
  <c r="P13" i="46"/>
  <c r="BB17" i="46"/>
  <c r="BA15" i="46"/>
  <c r="AD21" i="46"/>
  <c r="BF13" i="46"/>
  <c r="C23" i="46"/>
  <c r="BN17" i="46"/>
  <c r="S16" i="46"/>
  <c r="BI14" i="46"/>
  <c r="AO21" i="46"/>
  <c r="AO15" i="46"/>
  <c r="O12" i="46"/>
  <c r="AL15" i="46"/>
  <c r="AI21" i="46"/>
  <c r="AO20" i="46"/>
  <c r="AW19" i="46"/>
  <c r="E23" i="46"/>
  <c r="AH17" i="46"/>
  <c r="BQ17" i="46"/>
  <c r="BG18" i="46"/>
  <c r="W14" i="46"/>
  <c r="D15" i="46"/>
  <c r="AJ13" i="46"/>
  <c r="AK14" i="46"/>
  <c r="J13" i="46"/>
  <c r="AM19" i="46"/>
  <c r="AU20" i="46"/>
  <c r="U15" i="46"/>
  <c r="CF12" i="46"/>
  <c r="L18" i="46"/>
  <c r="Q20" i="46"/>
  <c r="AR20" i="46"/>
  <c r="D20" i="46"/>
  <c r="BU13" i="46"/>
  <c r="AO18" i="46"/>
  <c r="BG19" i="46"/>
  <c r="CG13" i="46"/>
  <c r="AX20" i="46"/>
  <c r="BW22" i="46"/>
  <c r="AY22" i="46"/>
  <c r="I16" i="46"/>
  <c r="BI22" i="46"/>
  <c r="AO23" i="46"/>
  <c r="BF23" i="46"/>
  <c r="O14" i="46"/>
  <c r="AR18" i="46"/>
  <c r="F20" i="46"/>
  <c r="AH20" i="46"/>
  <c r="BE17" i="46"/>
  <c r="E12" i="46"/>
  <c r="BZ21" i="46"/>
  <c r="BB18" i="46"/>
  <c r="BF18" i="46"/>
  <c r="X16" i="46"/>
  <c r="AZ23" i="46"/>
  <c r="J14" i="46"/>
  <c r="BF16" i="46"/>
  <c r="J22" i="46"/>
  <c r="AS19" i="46"/>
  <c r="AY15" i="46"/>
  <c r="AF15" i="46"/>
  <c r="AT18" i="46"/>
  <c r="BR22" i="46"/>
  <c r="AL19" i="46"/>
  <c r="AW15" i="46"/>
  <c r="CF23" i="46"/>
  <c r="CH15" i="46"/>
  <c r="R22" i="46"/>
  <c r="BU15" i="46"/>
  <c r="AX16" i="46"/>
  <c r="BA20" i="46"/>
  <c r="BD16" i="46"/>
  <c r="AN19" i="46"/>
  <c r="AY21" i="46"/>
  <c r="AJ14" i="46"/>
  <c r="AY17" i="46"/>
  <c r="W20" i="46"/>
  <c r="H17" i="46"/>
  <c r="AO12" i="46"/>
  <c r="BO14" i="46"/>
  <c r="CB21" i="46"/>
  <c r="CE16" i="46"/>
  <c r="S20" i="46"/>
  <c r="M15" i="46"/>
  <c r="CG18" i="46"/>
  <c r="BI20" i="46"/>
  <c r="BX14" i="46"/>
  <c r="AN17" i="46"/>
  <c r="AE23" i="46"/>
  <c r="BF22" i="46"/>
  <c r="N16" i="46"/>
  <c r="AL16" i="46"/>
  <c r="P22" i="46"/>
  <c r="BE13" i="46"/>
  <c r="CG12" i="46"/>
  <c r="BD20" i="46"/>
  <c r="CD20" i="46"/>
  <c r="N17" i="46"/>
  <c r="AM16" i="46"/>
  <c r="BT12" i="46"/>
  <c r="AO17" i="46"/>
  <c r="C16" i="46"/>
  <c r="AP16" i="46"/>
  <c r="U21" i="46"/>
  <c r="BL16" i="46"/>
  <c r="AD19" i="46"/>
  <c r="CB15" i="46"/>
  <c r="K22" i="46"/>
  <c r="BQ20" i="46"/>
  <c r="Y18" i="46"/>
  <c r="U18" i="46"/>
  <c r="AH19" i="46"/>
  <c r="CH21" i="46"/>
  <c r="CE14" i="46"/>
  <c r="X14" i="46"/>
  <c r="V12" i="46"/>
  <c r="I20" i="46"/>
  <c r="AP20" i="46"/>
  <c r="AB23" i="46"/>
  <c r="Y20" i="46"/>
  <c r="W21" i="46"/>
  <c r="L17" i="46"/>
  <c r="S19" i="46"/>
  <c r="AV19" i="46"/>
  <c r="AK19" i="46"/>
  <c r="AA13" i="46"/>
  <c r="AX19" i="46"/>
  <c r="BK22" i="46"/>
  <c r="R17" i="46"/>
  <c r="BB23" i="46"/>
  <c r="BM23" i="46"/>
  <c r="BW15" i="46"/>
  <c r="AO13" i="46"/>
  <c r="AD17" i="46"/>
  <c r="AA20" i="46"/>
  <c r="BT16" i="46"/>
  <c r="V21" i="46"/>
  <c r="BE19" i="46"/>
  <c r="AR19" i="46"/>
  <c r="AZ22" i="46"/>
  <c r="BQ19" i="46"/>
  <c r="BO22" i="46"/>
  <c r="G22" i="46"/>
  <c r="N15" i="46"/>
  <c r="R18" i="46"/>
  <c r="BK23" i="46"/>
  <c r="BT23" i="46"/>
  <c r="BP16" i="46"/>
  <c r="E14" i="46"/>
  <c r="BV14" i="46"/>
  <c r="AY18" i="46"/>
  <c r="I22" i="46"/>
  <c r="F13" i="46"/>
  <c r="AD20" i="46"/>
  <c r="BB19" i="46"/>
  <c r="CF16" i="46"/>
  <c r="BR19" i="46"/>
  <c r="S14" i="46"/>
  <c r="AF22" i="46"/>
  <c r="G23" i="46"/>
  <c r="BH14" i="46"/>
  <c r="AG19" i="46"/>
  <c r="BU22" i="46"/>
  <c r="BK18" i="46"/>
  <c r="AK20" i="46"/>
  <c r="AY20" i="46"/>
  <c r="BM21" i="46"/>
  <c r="AU18" i="46"/>
  <c r="AS17" i="46"/>
  <c r="H23" i="46"/>
  <c r="E22" i="46"/>
  <c r="AQ23" i="46"/>
  <c r="AP17" i="46"/>
  <c r="CD18" i="46"/>
  <c r="W12" i="46"/>
  <c r="BZ18" i="46"/>
  <c r="AT16" i="46"/>
  <c r="AO19" i="46"/>
  <c r="P16" i="46"/>
  <c r="CE22" i="46"/>
  <c r="BN22" i="46"/>
  <c r="AC19" i="46"/>
  <c r="BG15" i="46"/>
  <c r="AU19" i="46"/>
  <c r="BJ18" i="46"/>
  <c r="Y23" i="46"/>
  <c r="C12" i="46"/>
  <c r="BO19" i="46"/>
  <c r="BD17" i="46"/>
  <c r="BN13" i="46"/>
  <c r="Z20" i="46"/>
  <c r="BO15" i="46"/>
  <c r="Y19" i="46"/>
  <c r="AS14" i="46"/>
  <c r="G18" i="46"/>
  <c r="AX15" i="46"/>
  <c r="CD22" i="46"/>
  <c r="X15" i="46"/>
  <c r="AY19" i="46"/>
  <c r="D23" i="46"/>
  <c r="BI21" i="46"/>
  <c r="K16" i="46"/>
  <c r="BJ23" i="46"/>
  <c r="D21" i="46"/>
  <c r="BQ15" i="46"/>
  <c r="U19" i="46"/>
  <c r="AC12" i="46"/>
  <c r="AJ20" i="46"/>
  <c r="AV20" i="46"/>
  <c r="BY23" i="46"/>
  <c r="F22" i="46"/>
  <c r="X12" i="46"/>
  <c r="BN19" i="46"/>
  <c r="R15" i="46"/>
  <c r="BA14" i="46"/>
  <c r="AI18" i="46"/>
  <c r="AG23" i="46"/>
  <c r="AN22" i="46"/>
  <c r="G13" i="46"/>
  <c r="AL13" i="46"/>
  <c r="F15" i="46"/>
  <c r="AL22" i="46"/>
  <c r="AQ18" i="46"/>
  <c r="BE12" i="46"/>
  <c r="T21" i="46"/>
  <c r="BZ15" i="46"/>
  <c r="BA18" i="46"/>
  <c r="CC12" i="46"/>
  <c r="BX20" i="46"/>
  <c r="AW22" i="46"/>
  <c r="BP23" i="46"/>
  <c r="AO16" i="46"/>
  <c r="F17" i="46"/>
  <c r="T23" i="46"/>
  <c r="AF21" i="46"/>
  <c r="J18" i="46"/>
  <c r="AT12" i="46"/>
  <c r="BA16" i="46"/>
  <c r="CA16" i="46"/>
  <c r="G21" i="46"/>
  <c r="AT21" i="46"/>
  <c r="BZ19" i="46"/>
  <c r="BG20" i="46"/>
  <c r="BQ23" i="46"/>
  <c r="N20" i="46"/>
  <c r="BS22" i="46"/>
  <c r="BU16" i="46"/>
  <c r="AM14" i="46"/>
  <c r="AK18" i="46"/>
  <c r="BA23" i="46"/>
  <c r="CB14" i="46"/>
  <c r="BN12" i="46"/>
  <c r="G15" i="46"/>
  <c r="AA22" i="46"/>
  <c r="K17" i="46"/>
  <c r="BJ20" i="46"/>
  <c r="AS18" i="46"/>
  <c r="CC18" i="46"/>
  <c r="Q14" i="46"/>
  <c r="CF15" i="46"/>
  <c r="Q12" i="46"/>
  <c r="BJ13" i="46"/>
  <c r="F16" i="46"/>
  <c r="AR14" i="46"/>
  <c r="Q22" i="46"/>
  <c r="CA15" i="46"/>
  <c r="AF23" i="46"/>
  <c r="P15" i="46"/>
  <c r="AG12" i="46"/>
  <c r="D19" i="46"/>
  <c r="CH13" i="46"/>
  <c r="BI13" i="46"/>
  <c r="BM20" i="46"/>
  <c r="AN18" i="46"/>
  <c r="BK12" i="46"/>
  <c r="CA14" i="46"/>
  <c r="AI13" i="46"/>
  <c r="AZ16" i="46"/>
  <c r="BN23" i="46"/>
  <c r="AB16" i="46"/>
  <c r="AR12" i="46"/>
  <c r="BJ12" i="46"/>
  <c r="AU13" i="46"/>
  <c r="W19" i="46"/>
  <c r="CF14" i="46"/>
  <c r="AI19" i="46"/>
  <c r="BS16" i="46"/>
  <c r="BC12" i="46"/>
  <c r="W17" i="46"/>
  <c r="BI17" i="46"/>
  <c r="AR15" i="46"/>
  <c r="AD22" i="46"/>
  <c r="BD18" i="46"/>
  <c r="I15" i="46"/>
  <c r="CF19" i="46"/>
  <c r="AU14" i="46"/>
  <c r="BA17" i="46"/>
  <c r="BM13" i="46"/>
  <c r="BP18" i="46"/>
  <c r="Y13" i="46"/>
  <c r="BF21" i="46"/>
  <c r="AK15" i="46"/>
  <c r="BW13" i="46"/>
  <c r="BP22" i="46"/>
  <c r="M16" i="46"/>
  <c r="BC13" i="46"/>
  <c r="AL12" i="46"/>
  <c r="S22" i="46"/>
  <c r="BL22" i="46"/>
  <c r="CE13" i="46"/>
  <c r="BY18" i="46"/>
  <c r="D12" i="46"/>
  <c r="X21" i="46"/>
  <c r="AW20" i="46"/>
  <c r="AZ12" i="46"/>
  <c r="AK13" i="46"/>
  <c r="AH12" i="46"/>
  <c r="N14" i="46"/>
  <c r="BD14" i="46"/>
  <c r="BR21" i="46"/>
  <c r="AT19" i="46"/>
  <c r="E13" i="46"/>
  <c r="BS14" i="46"/>
  <c r="BA21" i="46"/>
  <c r="X20" i="46"/>
  <c r="AZ20" i="46"/>
  <c r="AW23" i="46"/>
  <c r="C15" i="46"/>
  <c r="Z12" i="46"/>
  <c r="CA13" i="46"/>
  <c r="BN14" i="46"/>
  <c r="AR13" i="46"/>
  <c r="BF20" i="46"/>
  <c r="BU21" i="46"/>
  <c r="E20" i="46"/>
  <c r="L21" i="46"/>
  <c r="O17" i="46"/>
  <c r="Y14" i="46"/>
  <c r="BC15" i="46"/>
  <c r="H14" i="46"/>
  <c r="BC17" i="46"/>
  <c r="BC19" i="46"/>
  <c r="Y16" i="46"/>
  <c r="BW20" i="46"/>
  <c r="AM13" i="46"/>
  <c r="BR16" i="46"/>
  <c r="BT13" i="46"/>
  <c r="M19" i="46"/>
  <c r="G12" i="16"/>
  <c r="G32" i="16" s="1"/>
  <c r="G52" i="16" s="1"/>
  <c r="AD16" i="46"/>
  <c r="BH17" i="46"/>
  <c r="I13" i="46"/>
  <c r="CB12" i="46"/>
  <c r="AF13" i="46"/>
  <c r="T14" i="46"/>
  <c r="U23" i="46"/>
  <c r="AW21" i="46"/>
  <c r="BG16" i="46"/>
  <c r="AO22" i="46"/>
  <c r="M17" i="46"/>
  <c r="E16" i="46"/>
  <c r="CB17" i="46"/>
  <c r="AG21" i="46"/>
  <c r="BG22" i="46"/>
  <c r="CA18" i="46"/>
  <c r="AV22" i="46"/>
  <c r="BA22" i="46"/>
  <c r="F19" i="46"/>
  <c r="BC21" i="46"/>
  <c r="BD12" i="46"/>
  <c r="BR15" i="46"/>
  <c r="Y15" i="46"/>
  <c r="AZ13" i="46"/>
  <c r="AY13" i="46"/>
  <c r="T22" i="46"/>
  <c r="BM12" i="46"/>
  <c r="M12" i="46"/>
  <c r="BV19" i="46"/>
  <c r="F18" i="46"/>
  <c r="BX18" i="46"/>
  <c r="BS20" i="46"/>
  <c r="CD13" i="46"/>
  <c r="CB18" i="46"/>
  <c r="BB16" i="46"/>
  <c r="M13" i="46"/>
  <c r="BP20" i="46"/>
  <c r="Y21" i="46"/>
  <c r="AC23" i="46"/>
  <c r="CC13" i="46"/>
  <c r="J12" i="46"/>
  <c r="AA12" i="46"/>
  <c r="AS20" i="46"/>
  <c r="N18" i="46"/>
  <c r="F12" i="16"/>
  <c r="F32" i="16" s="1"/>
  <c r="F52" i="16" s="1"/>
  <c r="AP12" i="46"/>
  <c r="AU12" i="46"/>
  <c r="BR20" i="46"/>
  <c r="CB20" i="46"/>
  <c r="E15" i="46"/>
  <c r="AW14" i="46"/>
  <c r="Q17" i="46"/>
  <c r="BS18" i="46"/>
  <c r="H19" i="46"/>
  <c r="BY20" i="46"/>
  <c r="AF12" i="46"/>
  <c r="AW12" i="46"/>
  <c r="CD21" i="46"/>
  <c r="I14" i="46"/>
  <c r="H22" i="46"/>
  <c r="BE21" i="46"/>
  <c r="J15" i="46"/>
  <c r="AM15" i="46"/>
  <c r="AC15" i="46"/>
  <c r="BU23" i="46"/>
  <c r="V19" i="46"/>
  <c r="BL13" i="46"/>
  <c r="R16" i="46"/>
  <c r="K23" i="46"/>
  <c r="BF14" i="46"/>
  <c r="AT17" i="46"/>
  <c r="CG16" i="46"/>
  <c r="AC18" i="46"/>
  <c r="AS22" i="46"/>
  <c r="X17" i="46"/>
  <c r="AZ21" i="46"/>
  <c r="BS19" i="46"/>
  <c r="CG17" i="46"/>
  <c r="AQ17" i="46"/>
  <c r="AI23" i="46"/>
  <c r="CE21" i="46"/>
  <c r="P23" i="46"/>
  <c r="CD16" i="46"/>
  <c r="T18" i="46"/>
  <c r="CA21" i="46"/>
  <c r="AA23" i="46"/>
  <c r="BC23" i="46"/>
  <c r="AF18" i="46"/>
  <c r="J19" i="46"/>
  <c r="C12" i="16"/>
  <c r="C32" i="16" s="1"/>
  <c r="R21" i="46"/>
  <c r="CB16" i="46"/>
  <c r="AI20" i="46"/>
  <c r="BH12" i="46"/>
  <c r="BI23" i="46"/>
  <c r="AE16" i="46"/>
  <c r="CD19" i="46"/>
  <c r="AJ15" i="46"/>
  <c r="BK14" i="46"/>
  <c r="AX21" i="46"/>
  <c r="T13" i="46"/>
  <c r="CC16" i="46"/>
  <c r="L19" i="46"/>
  <c r="BL14" i="46"/>
  <c r="BT20" i="46"/>
  <c r="BY12" i="46"/>
  <c r="CH12" i="46"/>
  <c r="X22" i="46"/>
  <c r="M23" i="46"/>
  <c r="BS23" i="46"/>
  <c r="BF17" i="46"/>
  <c r="BV23" i="46"/>
  <c r="Z18" i="46"/>
  <c r="CE12" i="46"/>
  <c r="BZ14" i="46"/>
  <c r="BR17" i="46"/>
  <c r="AY16" i="46"/>
  <c r="T19" i="46"/>
  <c r="BO16" i="46"/>
  <c r="AM22" i="46"/>
  <c r="L16" i="46"/>
  <c r="CG19" i="46"/>
  <c r="L22" i="46"/>
  <c r="T12" i="46"/>
  <c r="BH13" i="46"/>
  <c r="BN18" i="46"/>
  <c r="L23" i="46"/>
  <c r="AZ19" i="46"/>
  <c r="BF12" i="46"/>
  <c r="J16" i="46"/>
  <c r="Q18" i="46"/>
  <c r="AG15" i="46"/>
  <c r="AQ20" i="46"/>
  <c r="AK23" i="46"/>
  <c r="AT22" i="46"/>
  <c r="S13" i="46"/>
  <c r="BC20" i="46"/>
  <c r="J23" i="46"/>
  <c r="U14" i="46"/>
  <c r="F12" i="46"/>
  <c r="BX17" i="46"/>
  <c r="AZ14" i="46"/>
  <c r="AO14" i="46"/>
  <c r="AG20" i="46"/>
  <c r="BL17" i="46"/>
  <c r="AK12" i="46"/>
  <c r="BV16" i="46"/>
  <c r="BD19" i="46"/>
  <c r="G17" i="46"/>
  <c r="AH13" i="46"/>
  <c r="BK16" i="46"/>
  <c r="AW17" i="46"/>
  <c r="AA14" i="46"/>
  <c r="Q21" i="46"/>
  <c r="P21" i="46"/>
  <c r="BK15" i="46"/>
  <c r="J17" i="46"/>
  <c r="CH18" i="46"/>
  <c r="I17" i="46"/>
  <c r="CB23" i="46"/>
  <c r="AE19" i="46"/>
  <c r="AS15" i="46"/>
  <c r="BH20" i="46"/>
  <c r="BM19" i="46"/>
  <c r="AF17" i="46"/>
  <c r="BW19" i="46"/>
  <c r="BH18" i="46"/>
  <c r="AK16" i="46"/>
  <c r="S23" i="46"/>
  <c r="CD12" i="46"/>
  <c r="C21" i="46"/>
  <c r="BP19" i="46"/>
  <c r="Z16" i="46"/>
  <c r="BX13" i="46"/>
  <c r="BQ12" i="46"/>
  <c r="H21" i="46"/>
  <c r="L12" i="46"/>
  <c r="H12" i="16"/>
  <c r="H32" i="16" s="1"/>
  <c r="H52" i="16" s="1"/>
  <c r="HW212" i="34"/>
  <c r="HA212" i="34"/>
  <c r="HA74" i="34"/>
  <c r="IC74" i="34"/>
  <c r="HY152" i="34"/>
  <c r="HA152" i="34"/>
  <c r="IB116" i="34"/>
  <c r="HA116" i="34"/>
  <c r="HA89" i="34"/>
  <c r="HY89" i="34"/>
  <c r="HW168" i="34"/>
  <c r="HA168" i="34"/>
  <c r="HJ240" i="34"/>
  <c r="HZ240" i="34"/>
  <c r="HW240" i="34"/>
  <c r="HY240" i="34"/>
  <c r="IB240" i="34"/>
  <c r="HA137" i="34"/>
  <c r="HA61" i="34"/>
  <c r="HY45" i="34"/>
  <c r="HZ103" i="34"/>
  <c r="HZ79" i="34"/>
  <c r="HA202" i="34"/>
  <c r="BY17" i="46"/>
  <c r="D16" i="46"/>
  <c r="F14" i="46"/>
  <c r="Z23" i="46"/>
  <c r="HX198" i="34"/>
  <c r="HA102" i="34"/>
  <c r="HW217" i="34"/>
  <c r="HZ232" i="34"/>
  <c r="HZ156" i="34"/>
  <c r="HA48" i="34"/>
  <c r="IB56" i="34"/>
  <c r="HA134" i="34"/>
  <c r="HA84" i="34"/>
  <c r="HX103" i="34"/>
  <c r="HA161" i="34"/>
  <c r="HX52" i="34"/>
  <c r="IA204" i="34"/>
  <c r="HY173" i="34"/>
  <c r="E12" i="16"/>
  <c r="E32" i="16" s="1"/>
  <c r="E52" i="16" s="1"/>
  <c r="IA47" i="34"/>
  <c r="HX62" i="34"/>
  <c r="HA184" i="34"/>
  <c r="HA135" i="34"/>
  <c r="HX42" i="34"/>
  <c r="HA36" i="34"/>
  <c r="HW26" i="34"/>
  <c r="AX23" i="46"/>
  <c r="AN16" i="46"/>
  <c r="AI14" i="46"/>
  <c r="BY16" i="46"/>
  <c r="AR23" i="46"/>
  <c r="BA13" i="46"/>
  <c r="AP13" i="46"/>
  <c r="BX12" i="46"/>
  <c r="AE21" i="46"/>
  <c r="AH18" i="46"/>
  <c r="AI12" i="46"/>
  <c r="BX22" i="46"/>
  <c r="N13" i="46"/>
  <c r="AP15" i="46"/>
  <c r="O13" i="46"/>
  <c r="O19" i="46"/>
  <c r="BV21" i="46"/>
  <c r="IC211" i="34"/>
  <c r="HW211" i="34"/>
  <c r="HY211" i="34"/>
  <c r="IB211" i="34"/>
  <c r="HZ123" i="34"/>
  <c r="HX123" i="34"/>
  <c r="IC123" i="34"/>
  <c r="HW123" i="34"/>
  <c r="HA99" i="34"/>
  <c r="IB99" i="34"/>
  <c r="IB200" i="34"/>
  <c r="HA200" i="34"/>
  <c r="HA126" i="34"/>
  <c r="HY214" i="34"/>
  <c r="HX214" i="34"/>
  <c r="HW214" i="34"/>
  <c r="IA214" i="34"/>
  <c r="HA65" i="34"/>
  <c r="IC65" i="34"/>
  <c r="HY100" i="34"/>
  <c r="HX100" i="34"/>
  <c r="HW100" i="34"/>
  <c r="IA100" i="34"/>
  <c r="HA123" i="34"/>
  <c r="HW144" i="34"/>
  <c r="HA144" i="34"/>
  <c r="HA219" i="34"/>
  <c r="BY19" i="46"/>
  <c r="IA165" i="34"/>
  <c r="HA31" i="34"/>
  <c r="HA16" i="34"/>
  <c r="HW159" i="34"/>
  <c r="HY56" i="34"/>
  <c r="HX241" i="34"/>
  <c r="HA187" i="34"/>
  <c r="IA103" i="34"/>
  <c r="HA14" i="34"/>
  <c r="HZ248" i="34"/>
  <c r="HA21" i="34"/>
  <c r="HY52" i="34"/>
  <c r="HZ204" i="34"/>
  <c r="HA57" i="34"/>
  <c r="HX191" i="34"/>
  <c r="HX211" i="34"/>
  <c r="IA123" i="34"/>
  <c r="IA240" i="34"/>
  <c r="I12" i="16"/>
  <c r="I32" i="16" s="1"/>
  <c r="I52" i="16" s="1"/>
  <c r="IC15" i="34"/>
  <c r="HA182" i="34"/>
  <c r="HY26" i="34"/>
  <c r="HW160" i="34"/>
  <c r="AJ21" i="46"/>
  <c r="AB22" i="46"/>
  <c r="AX22" i="46"/>
  <c r="BI16" i="46"/>
  <c r="BI12" i="46"/>
  <c r="BK20" i="46"/>
  <c r="AF16" i="46"/>
  <c r="AG14" i="46"/>
  <c r="CH16" i="46"/>
  <c r="BP15" i="46"/>
  <c r="AT13" i="46"/>
  <c r="BB12" i="46"/>
  <c r="AL17" i="46"/>
  <c r="Q15" i="46"/>
  <c r="AP22" i="46"/>
  <c r="H20" i="46"/>
  <c r="G12" i="46"/>
  <c r="HJ159" i="34"/>
  <c r="HU159" i="34" s="1"/>
  <c r="HA180" i="34"/>
  <c r="IC180" i="34"/>
  <c r="HW108" i="34"/>
  <c r="HA108" i="34"/>
  <c r="HY208" i="34"/>
  <c r="IC208" i="34"/>
  <c r="HX208" i="34"/>
  <c r="IB208" i="34"/>
  <c r="HZ208" i="34"/>
  <c r="IA208" i="34"/>
  <c r="HA127" i="34"/>
  <c r="HY127" i="34"/>
  <c r="HZ205" i="34"/>
  <c r="IB205" i="34"/>
  <c r="HX205" i="34"/>
  <c r="HY205" i="34"/>
  <c r="IA205" i="34"/>
  <c r="IC205" i="34"/>
  <c r="IB167" i="34"/>
  <c r="IA167" i="34"/>
  <c r="HY167" i="34"/>
  <c r="HX167" i="34"/>
  <c r="HA223" i="34"/>
  <c r="HX223" i="34"/>
  <c r="IB29" i="34"/>
  <c r="HA29" i="34"/>
  <c r="HA244" i="34"/>
  <c r="HW104" i="34"/>
  <c r="HA104" i="34"/>
  <c r="HW199" i="34"/>
  <c r="HA199" i="34"/>
  <c r="IA149" i="34"/>
  <c r="HA149" i="34"/>
  <c r="IB71" i="34"/>
  <c r="HA71" i="34"/>
  <c r="IB177" i="34"/>
  <c r="HA177" i="34"/>
  <c r="HA27" i="34"/>
  <c r="HJ173" i="34"/>
  <c r="HY248" i="34"/>
  <c r="HX24" i="34"/>
  <c r="AI16" i="46"/>
  <c r="R12" i="46"/>
  <c r="AV13" i="46"/>
  <c r="IB159" i="34"/>
  <c r="HZ95" i="34"/>
  <c r="IC140" i="34"/>
  <c r="IA159" i="34"/>
  <c r="HW121" i="34"/>
  <c r="HY186" i="34"/>
  <c r="IA56" i="34"/>
  <c r="HA176" i="34"/>
  <c r="HX148" i="34"/>
  <c r="HW103" i="34"/>
  <c r="IA248" i="34"/>
  <c r="HA58" i="34"/>
  <c r="HA234" i="34"/>
  <c r="IA52" i="34"/>
  <c r="HA117" i="34"/>
  <c r="IC207" i="34"/>
  <c r="HX173" i="34"/>
  <c r="HZ72" i="34"/>
  <c r="HY123" i="34"/>
  <c r="IB214" i="34"/>
  <c r="IC240" i="34"/>
  <c r="D12" i="16"/>
  <c r="D32" i="16" s="1"/>
  <c r="D52" i="16" s="1"/>
  <c r="IC167" i="34"/>
  <c r="IA216" i="34"/>
  <c r="HX46" i="34"/>
  <c r="HW239" i="34"/>
  <c r="BB15" i="46"/>
  <c r="G16" i="46"/>
  <c r="AV14" i="46"/>
  <c r="AD15" i="46"/>
  <c r="BT14" i="46"/>
  <c r="CB13" i="46"/>
  <c r="M20" i="46"/>
  <c r="H18" i="46"/>
  <c r="BX16" i="46"/>
  <c r="AZ18" i="46"/>
  <c r="AH14" i="46"/>
  <c r="N12" i="46"/>
  <c r="CC20" i="46"/>
  <c r="V23" i="46"/>
  <c r="AQ16" i="46"/>
  <c r="AH15" i="46"/>
  <c r="HA188" i="34"/>
  <c r="HY188" i="34"/>
  <c r="IA26" i="34"/>
  <c r="IC26" i="34"/>
  <c r="IB26" i="34"/>
  <c r="HX26" i="34"/>
  <c r="HA87" i="34"/>
  <c r="HY87" i="34"/>
  <c r="HY226" i="34"/>
  <c r="IB226" i="34"/>
  <c r="HX226" i="34"/>
  <c r="IC226" i="34"/>
  <c r="HZ226" i="34"/>
  <c r="HZ33" i="34"/>
  <c r="HX33" i="34"/>
  <c r="IB33" i="34"/>
  <c r="IC33" i="34"/>
  <c r="IA25" i="34"/>
  <c r="HZ25" i="34"/>
  <c r="IB25" i="34"/>
  <c r="HY25" i="34"/>
  <c r="HA221" i="34"/>
  <c r="IA221" i="34"/>
  <c r="HZ231" i="34"/>
  <c r="HA231" i="34"/>
  <c r="HZ159" i="34"/>
  <c r="IC204" i="34"/>
  <c r="HW226" i="34"/>
  <c r="N23" i="46"/>
  <c r="BM16" i="46"/>
  <c r="HY126" i="34"/>
  <c r="HW248" i="34"/>
  <c r="HW52" i="34"/>
  <c r="IC129" i="34"/>
  <c r="HX204" i="34"/>
  <c r="HW25" i="34"/>
  <c r="HA106" i="34"/>
  <c r="BL21" i="46"/>
  <c r="HY159" i="34"/>
  <c r="HZ56" i="34"/>
  <c r="IB103" i="34"/>
  <c r="HX248" i="34"/>
  <c r="IC52" i="34"/>
  <c r="HW204" i="34"/>
  <c r="IA173" i="34"/>
  <c r="HX197" i="34"/>
  <c r="IA80" i="34"/>
  <c r="HZ214" i="34"/>
  <c r="HX240" i="34"/>
  <c r="HX64" i="34"/>
  <c r="HW205" i="34"/>
  <c r="HA146" i="34"/>
  <c r="HZ167" i="34"/>
  <c r="IB92" i="34"/>
  <c r="AS13" i="46"/>
  <c r="AJ23" i="46"/>
  <c r="AT14" i="46"/>
  <c r="BE18" i="46"/>
  <c r="CE20" i="46"/>
  <c r="BP17" i="46"/>
  <c r="AU22" i="46"/>
  <c r="S15" i="46"/>
  <c r="BV22" i="46"/>
  <c r="AB14" i="46"/>
  <c r="BD22" i="46"/>
  <c r="K19" i="46"/>
  <c r="AJ17" i="46"/>
  <c r="I23" i="46"/>
  <c r="BZ22" i="46"/>
  <c r="BG21" i="46"/>
  <c r="HA238" i="34"/>
  <c r="IB238" i="34"/>
  <c r="HY131" i="34"/>
  <c r="IA131" i="34"/>
  <c r="IB131" i="34"/>
  <c r="HW131" i="34"/>
  <c r="HY98" i="34"/>
  <c r="HA98" i="34"/>
  <c r="HZ203" i="34"/>
  <c r="HA203" i="34"/>
  <c r="HZ10" i="34"/>
  <c r="HA10" i="34"/>
  <c r="IC157" i="34"/>
  <c r="HX56" i="34"/>
  <c r="IA164" i="34"/>
  <c r="HW33" i="34"/>
  <c r="BO23" i="46"/>
  <c r="CG22" i="46"/>
  <c r="P14" i="46"/>
  <c r="AE20" i="46"/>
  <c r="HA119" i="34"/>
  <c r="HY244" i="34"/>
  <c r="HW170" i="34"/>
  <c r="IC131" i="34"/>
  <c r="HY33" i="34"/>
  <c r="HW120" i="34"/>
  <c r="IC214" i="34"/>
  <c r="HX235" i="34"/>
  <c r="HA69" i="34"/>
  <c r="IC100" i="34"/>
  <c r="HW167" i="34"/>
  <c r="HY63" i="34"/>
  <c r="BC16" i="46"/>
  <c r="BU20" i="46"/>
  <c r="Z13" i="46"/>
  <c r="AX13" i="46"/>
  <c r="BM17" i="46"/>
  <c r="AU21" i="46"/>
  <c r="AG17" i="46"/>
  <c r="O18" i="46"/>
  <c r="CH17" i="46"/>
  <c r="AY23" i="46"/>
  <c r="BM18" i="46"/>
  <c r="C13" i="46"/>
  <c r="CC21" i="46"/>
  <c r="Y22" i="46"/>
  <c r="I21" i="46"/>
  <c r="BB13" i="46"/>
  <c r="IA50" i="34"/>
  <c r="IC50" i="34"/>
  <c r="IB50" i="34"/>
  <c r="HJ50" i="34"/>
  <c r="HU50" i="34" s="1"/>
  <c r="HJ52" i="34"/>
  <c r="HU52" i="34" s="1"/>
  <c r="HJ106" i="34"/>
  <c r="HJ243" i="34"/>
  <c r="HA153" i="34"/>
  <c r="HA248" i="34"/>
  <c r="HJ73" i="34"/>
  <c r="HJ248" i="34"/>
  <c r="HJ138" i="34"/>
  <c r="HJ76" i="34"/>
  <c r="HU76" i="34" s="1"/>
  <c r="HJ123" i="34"/>
  <c r="HJ74" i="34"/>
  <c r="HJ239" i="34"/>
  <c r="HA112" i="34"/>
  <c r="HJ48" i="34"/>
  <c r="HU48" i="34" s="1"/>
  <c r="HZ108" i="34"/>
  <c r="HW40" i="34"/>
  <c r="IA243" i="34"/>
  <c r="HA12" i="34"/>
  <c r="HA60" i="34"/>
  <c r="HJ207" i="34"/>
  <c r="HA159" i="34"/>
  <c r="HA193" i="34"/>
  <c r="HA208" i="34"/>
  <c r="HJ219" i="34"/>
  <c r="HA192" i="34"/>
  <c r="HA162" i="34"/>
  <c r="HA201" i="34"/>
  <c r="HJ118" i="34"/>
  <c r="HJ204" i="34"/>
  <c r="HA109" i="34"/>
  <c r="HA213" i="34"/>
  <c r="HJ108" i="34"/>
  <c r="HJ70" i="34"/>
  <c r="HJ115" i="34"/>
  <c r="HJ214" i="34"/>
  <c r="AU15" i="46"/>
  <c r="HA39" i="34"/>
  <c r="HJ167" i="34"/>
  <c r="HJ63" i="34"/>
  <c r="HA30" i="34"/>
  <c r="HJ25" i="34"/>
  <c r="HJ103" i="34"/>
  <c r="HJ186" i="34"/>
  <c r="HJ244" i="34"/>
  <c r="HJ100" i="34"/>
  <c r="HJ170" i="34"/>
  <c r="HU170" i="34" s="1"/>
  <c r="HJ211" i="34"/>
  <c r="HL179" i="34"/>
  <c r="HJ172" i="34"/>
  <c r="HJ157" i="34"/>
  <c r="HJ85" i="34"/>
  <c r="HJ104" i="34"/>
  <c r="HJ110" i="34"/>
  <c r="HJ31" i="34"/>
  <c r="HJ49" i="34"/>
  <c r="HU49" i="34" s="1"/>
  <c r="HJ227" i="34"/>
  <c r="HJ80" i="34"/>
  <c r="HJ87" i="34"/>
  <c r="HA246" i="34"/>
  <c r="HA47" i="34"/>
  <c r="HJ171" i="34"/>
  <c r="HJ97" i="34"/>
  <c r="HU97" i="34" s="1"/>
  <c r="HJ26" i="34"/>
  <c r="HJ193" i="34"/>
  <c r="HU193" i="34" s="1"/>
  <c r="HJ86" i="34"/>
  <c r="HJ238" i="34"/>
  <c r="HJ249" i="34"/>
  <c r="HJ144" i="34"/>
  <c r="HJ174" i="34"/>
  <c r="HJ28" i="34"/>
  <c r="HJ216" i="34"/>
  <c r="HU216" i="34" s="1"/>
  <c r="HJ134" i="34"/>
  <c r="AN23" i="46"/>
  <c r="AX14" i="46"/>
  <c r="AX12" i="46"/>
  <c r="BN15" i="46"/>
  <c r="BQ22" i="46"/>
  <c r="AR16" i="46"/>
  <c r="AM17" i="46"/>
  <c r="BE15" i="46"/>
  <c r="CF18" i="46"/>
  <c r="BL15" i="46"/>
  <c r="AW13" i="46"/>
  <c r="AK21" i="46"/>
  <c r="HA111" i="34"/>
  <c r="HJ92" i="34"/>
  <c r="BT17" i="46"/>
  <c r="AE15" i="46"/>
  <c r="AC16" i="46"/>
  <c r="BK17" i="46"/>
  <c r="BA12" i="46"/>
  <c r="U13" i="46"/>
  <c r="Q16" i="46"/>
  <c r="BU12" i="46"/>
  <c r="BB22" i="46"/>
  <c r="AC22" i="46"/>
  <c r="AU17" i="46"/>
  <c r="HA19" i="34"/>
  <c r="HJ11" i="34"/>
  <c r="HA124" i="34"/>
  <c r="HQ112" i="34"/>
  <c r="HN112" i="34"/>
  <c r="HM112" i="34"/>
  <c r="HP112" i="34"/>
  <c r="HL112" i="34"/>
  <c r="HK112" i="34"/>
  <c r="HO112" i="34"/>
  <c r="HJ79" i="34"/>
  <c r="HJ38" i="34"/>
  <c r="HJ241" i="34"/>
  <c r="HJ126" i="34"/>
  <c r="HJ42" i="34"/>
  <c r="HU42" i="34" s="1"/>
  <c r="HA242" i="34"/>
  <c r="L13" i="46"/>
  <c r="BI18" i="46"/>
  <c r="HA228" i="34"/>
  <c r="BR14" i="46"/>
  <c r="BO20" i="46"/>
  <c r="AD23" i="46"/>
  <c r="AK22" i="46"/>
  <c r="AJ19" i="46"/>
  <c r="AF20" i="46"/>
  <c r="HA169" i="34"/>
  <c r="BC22" i="46"/>
  <c r="AB17" i="46"/>
  <c r="BM15" i="46"/>
  <c r="BG14" i="46"/>
  <c r="BE22" i="46"/>
  <c r="BQ18" i="46"/>
  <c r="CA12" i="46"/>
  <c r="BE14" i="46"/>
  <c r="AB13" i="46"/>
  <c r="HJ119" i="34"/>
  <c r="AQ22" i="46"/>
  <c r="E18" i="46"/>
  <c r="BR12" i="46"/>
  <c r="BV12" i="46"/>
  <c r="AP14" i="46"/>
  <c r="D13" i="46"/>
  <c r="R14" i="46"/>
  <c r="CH22" i="46"/>
  <c r="AJ22" i="46"/>
  <c r="CE15" i="46"/>
  <c r="HA229" i="34"/>
  <c r="HJ192" i="34"/>
  <c r="HU192" i="34" s="1"/>
  <c r="HL163" i="34"/>
  <c r="HO163" i="34"/>
  <c r="HP163" i="34"/>
  <c r="HM163" i="34"/>
  <c r="HQ163" i="34"/>
  <c r="HN163" i="34"/>
  <c r="HK163" i="34"/>
  <c r="B114" i="46"/>
  <c r="B132" i="46"/>
  <c r="L132" i="46" s="1"/>
  <c r="BV94" i="46"/>
  <c r="BZ56" i="46"/>
  <c r="BL56" i="46"/>
  <c r="C94" i="46"/>
  <c r="AX56" i="46"/>
  <c r="CB56" i="46"/>
  <c r="AX94" i="46"/>
  <c r="Z94" i="46"/>
  <c r="BV56" i="46"/>
  <c r="BF56" i="46"/>
  <c r="CG94" i="46"/>
  <c r="U56" i="46"/>
  <c r="CE56" i="46"/>
  <c r="AN94" i="46"/>
  <c r="BY56" i="46"/>
  <c r="BW56" i="46"/>
  <c r="BC94" i="46"/>
  <c r="AZ94" i="46"/>
  <c r="BX56" i="46"/>
  <c r="BD94" i="46"/>
  <c r="L56" i="46"/>
  <c r="AI56" i="46"/>
  <c r="BF94" i="46"/>
  <c r="BN56" i="46"/>
  <c r="BM94" i="46"/>
  <c r="CG56" i="46"/>
  <c r="BP56" i="46"/>
  <c r="AP56" i="46"/>
  <c r="U94" i="46"/>
  <c r="AV56" i="46"/>
  <c r="T56" i="46"/>
  <c r="V94" i="46"/>
  <c r="AE94" i="46"/>
  <c r="AL56" i="46"/>
  <c r="N56" i="46"/>
  <c r="BH56" i="46"/>
  <c r="AG56" i="46"/>
  <c r="AU94" i="46"/>
  <c r="AB56" i="46"/>
  <c r="E56" i="46"/>
  <c r="AG94" i="46"/>
  <c r="AQ94" i="46"/>
  <c r="AR94" i="46"/>
  <c r="CH56" i="46"/>
  <c r="H94" i="46"/>
  <c r="AK56" i="46"/>
  <c r="P56" i="46"/>
  <c r="AO56" i="46"/>
  <c r="BJ56" i="46"/>
  <c r="BW94" i="46"/>
  <c r="O56" i="46"/>
  <c r="R94" i="46"/>
  <c r="Y56" i="46"/>
  <c r="BE94" i="46"/>
  <c r="AC94" i="46"/>
  <c r="I56" i="46"/>
  <c r="BK56" i="46"/>
  <c r="J94" i="46"/>
  <c r="BP94" i="46"/>
  <c r="AT56" i="46"/>
  <c r="E94" i="46"/>
  <c r="AW56" i="46"/>
  <c r="AJ56" i="46"/>
  <c r="BJ94" i="46"/>
  <c r="V56" i="46"/>
  <c r="CB94" i="46"/>
  <c r="G56" i="46"/>
  <c r="X94" i="46"/>
  <c r="BB56" i="46"/>
  <c r="BA56" i="46"/>
  <c r="S56" i="46"/>
  <c r="D94" i="46"/>
  <c r="BG94" i="46"/>
  <c r="CF56" i="46"/>
  <c r="BR94" i="46"/>
  <c r="AZ56" i="46"/>
  <c r="BQ94" i="46"/>
  <c r="R56" i="46"/>
  <c r="K94" i="46"/>
  <c r="H56" i="46"/>
  <c r="AV94" i="46"/>
  <c r="M56" i="46"/>
  <c r="BO56" i="46"/>
  <c r="AI94" i="46"/>
  <c r="D56" i="46"/>
  <c r="BT56" i="46"/>
  <c r="AH56" i="46"/>
  <c r="BI56" i="46"/>
  <c r="BT94" i="46"/>
  <c r="CH94" i="46"/>
  <c r="N94" i="46"/>
  <c r="AY56" i="46"/>
  <c r="AS94" i="46"/>
  <c r="AC56" i="46"/>
  <c r="J56" i="46"/>
  <c r="S94" i="46"/>
  <c r="BL94" i="46"/>
  <c r="AM56" i="46"/>
  <c r="Z56" i="46"/>
  <c r="BD56" i="46"/>
  <c r="BN94" i="46"/>
  <c r="AF56" i="46"/>
  <c r="AA94" i="46"/>
  <c r="CE94" i="46"/>
  <c r="AQ56" i="46"/>
  <c r="CC56" i="46"/>
  <c r="O94" i="46"/>
  <c r="AD56" i="46"/>
  <c r="G94" i="46"/>
  <c r="BB94" i="46"/>
  <c r="K56" i="46"/>
  <c r="BU94" i="46"/>
  <c r="BZ94" i="46"/>
  <c r="AH94" i="46"/>
  <c r="W94" i="46"/>
  <c r="AP94" i="46"/>
  <c r="BK94" i="46"/>
  <c r="Q94" i="46"/>
  <c r="AD94" i="46"/>
  <c r="CD56" i="46"/>
  <c r="T94" i="46"/>
  <c r="M94" i="46"/>
  <c r="BU56" i="46"/>
  <c r="BA94" i="46"/>
  <c r="CF94" i="46"/>
  <c r="CD94" i="46"/>
  <c r="CC94" i="46"/>
  <c r="BS94" i="46"/>
  <c r="AE56" i="46"/>
  <c r="P94" i="46"/>
  <c r="C56" i="46"/>
  <c r="CA94" i="46"/>
  <c r="AY94" i="46"/>
  <c r="BE56" i="46"/>
  <c r="AB94" i="46"/>
  <c r="AM94" i="46"/>
  <c r="BO94" i="46"/>
  <c r="AK94" i="46"/>
  <c r="AF94" i="46"/>
  <c r="AR56" i="46"/>
  <c r="BR56" i="46"/>
  <c r="BY94" i="46"/>
  <c r="CA56" i="46"/>
  <c r="BH94" i="46"/>
  <c r="F56" i="46"/>
  <c r="AO94" i="46"/>
  <c r="Y94" i="46"/>
  <c r="BX94" i="46"/>
  <c r="X56" i="46"/>
  <c r="AW94" i="46"/>
  <c r="BM56" i="46"/>
  <c r="BQ56" i="46"/>
  <c r="AT94" i="46"/>
  <c r="AJ94" i="46"/>
  <c r="F94" i="46"/>
  <c r="Q56" i="46"/>
  <c r="BS56" i="46"/>
  <c r="BC56" i="46"/>
  <c r="I94" i="46"/>
  <c r="AL94" i="46"/>
  <c r="BI94" i="46"/>
  <c r="AN56" i="46"/>
  <c r="AS56" i="46"/>
  <c r="AU56" i="46"/>
  <c r="L94" i="46"/>
  <c r="AA56" i="46"/>
  <c r="BG56" i="46"/>
  <c r="W56" i="46"/>
  <c r="B137" i="43" a="1"/>
  <c r="B137" i="43" s="1"/>
  <c r="L137" i="43" s="1"/>
  <c r="F213" i="43"/>
  <c r="I206" i="43"/>
  <c r="C215" i="43"/>
  <c r="G210" i="43"/>
  <c r="G208" i="43"/>
  <c r="G216" i="43"/>
  <c r="D209" i="43"/>
  <c r="E214" i="43"/>
  <c r="D216" i="43"/>
  <c r="H217" i="43"/>
  <c r="H207" i="43"/>
  <c r="G214" i="43"/>
  <c r="F205" i="43"/>
  <c r="D210" i="43"/>
  <c r="I205" i="43"/>
  <c r="C213" i="43"/>
  <c r="H209" i="43"/>
  <c r="C211" i="43"/>
  <c r="F215" i="43"/>
  <c r="F212" i="43"/>
  <c r="H216" i="43"/>
  <c r="F217" i="43"/>
  <c r="I209" i="43"/>
  <c r="F210" i="43"/>
  <c r="E212" i="43"/>
  <c r="E205" i="43"/>
  <c r="F208" i="43"/>
  <c r="F216" i="43"/>
  <c r="G217" i="43"/>
  <c r="E209" i="43"/>
  <c r="G211" i="43"/>
  <c r="C212" i="43"/>
  <c r="H214" i="43"/>
  <c r="I217" i="43"/>
  <c r="E206" i="43"/>
  <c r="D215" i="43"/>
  <c r="C209" i="43"/>
  <c r="H205" i="43"/>
  <c r="D206" i="43"/>
  <c r="D211" i="43"/>
  <c r="F211" i="43"/>
  <c r="E211" i="43"/>
  <c r="H210" i="43"/>
  <c r="E217" i="43"/>
  <c r="I210" i="43"/>
  <c r="E213" i="43"/>
  <c r="E216" i="43"/>
  <c r="I215" i="43"/>
  <c r="C214" i="43"/>
  <c r="I213" i="43"/>
  <c r="H208" i="43"/>
  <c r="D217" i="43"/>
  <c r="D207" i="43"/>
  <c r="I208" i="43"/>
  <c r="G213" i="43"/>
  <c r="C208" i="43"/>
  <c r="D212" i="43"/>
  <c r="E210" i="43"/>
  <c r="G207" i="43"/>
  <c r="F214" i="43"/>
  <c r="H211" i="43"/>
  <c r="I207" i="43"/>
  <c r="H206" i="43"/>
  <c r="C206" i="43"/>
  <c r="C216" i="43"/>
  <c r="E215" i="43"/>
  <c r="D208" i="43"/>
  <c r="I211" i="43"/>
  <c r="D205" i="43"/>
  <c r="G209" i="43"/>
  <c r="H213" i="43"/>
  <c r="C210" i="43"/>
  <c r="D214" i="43"/>
  <c r="G205" i="43"/>
  <c r="G215" i="43"/>
  <c r="I212" i="43"/>
  <c r="C205" i="43"/>
  <c r="G212" i="43"/>
  <c r="E207" i="43"/>
  <c r="D213" i="43"/>
  <c r="I216" i="43"/>
  <c r="F207" i="43"/>
  <c r="F206" i="43"/>
  <c r="H212" i="43"/>
  <c r="E208" i="43"/>
  <c r="G206" i="43"/>
  <c r="C207" i="43"/>
  <c r="H215" i="43"/>
  <c r="C217" i="43"/>
  <c r="F209" i="43"/>
  <c r="I214" i="43"/>
  <c r="B203" i="43" a="1"/>
  <c r="HO149" i="34"/>
  <c r="HP149" i="34"/>
  <c r="HL149" i="34"/>
  <c r="HQ149" i="34"/>
  <c r="HN149" i="34"/>
  <c r="HM149" i="34"/>
  <c r="HK149" i="34"/>
  <c r="F30" i="55"/>
  <c r="D30" i="55"/>
  <c r="I30" i="55"/>
  <c r="G30" i="55"/>
  <c r="H30" i="55"/>
  <c r="E30" i="55"/>
  <c r="C30" i="55"/>
  <c r="HP247" i="34"/>
  <c r="HN247" i="34"/>
  <c r="HM247" i="34"/>
  <c r="HQ247" i="34"/>
  <c r="HO247" i="34"/>
  <c r="HL247" i="34"/>
  <c r="HK247" i="34"/>
  <c r="B113" i="46"/>
  <c r="B131" i="46"/>
  <c r="CG93" i="46"/>
  <c r="AX93" i="46"/>
  <c r="BR55" i="46"/>
  <c r="E93" i="46"/>
  <c r="AD93" i="46"/>
  <c r="CG55" i="46"/>
  <c r="K93" i="46"/>
  <c r="K55" i="46"/>
  <c r="AE55" i="46"/>
  <c r="AS55" i="46"/>
  <c r="AM55" i="46"/>
  <c r="BS93" i="46"/>
  <c r="X93" i="46"/>
  <c r="BH55" i="46"/>
  <c r="M93" i="46"/>
  <c r="BM55" i="46"/>
  <c r="AR93" i="46"/>
  <c r="Q55" i="46"/>
  <c r="AV93" i="46"/>
  <c r="AL55" i="46"/>
  <c r="CE55" i="46"/>
  <c r="CC93" i="46"/>
  <c r="AN55" i="46"/>
  <c r="BG55" i="46"/>
  <c r="CF93" i="46"/>
  <c r="BI93" i="46"/>
  <c r="D55" i="46"/>
  <c r="AR55" i="46"/>
  <c r="BM93" i="46"/>
  <c r="BI55" i="46"/>
  <c r="AC93" i="46"/>
  <c r="R55" i="46"/>
  <c r="AJ55" i="46"/>
  <c r="BA55" i="46"/>
  <c r="AH55" i="46"/>
  <c r="AE93" i="46"/>
  <c r="BF93" i="46"/>
  <c r="BK55" i="46"/>
  <c r="CH93" i="46"/>
  <c r="BV55" i="46"/>
  <c r="L55" i="46"/>
  <c r="P55" i="46"/>
  <c r="C93" i="46"/>
  <c r="AJ93" i="46"/>
  <c r="AP55" i="46"/>
  <c r="BU55" i="46"/>
  <c r="AS93" i="46"/>
  <c r="AU55" i="46"/>
  <c r="S93" i="46"/>
  <c r="CH55" i="46"/>
  <c r="X55" i="46"/>
  <c r="V55" i="46"/>
  <c r="AL93" i="46"/>
  <c r="CA55" i="46"/>
  <c r="BD93" i="46"/>
  <c r="N93" i="46"/>
  <c r="AY55" i="46"/>
  <c r="BA93" i="46"/>
  <c r="BT55" i="46"/>
  <c r="AW55" i="46"/>
  <c r="AP93" i="46"/>
  <c r="Z93" i="46"/>
  <c r="S55" i="46"/>
  <c r="CC55" i="46"/>
  <c r="V93" i="46"/>
  <c r="E55" i="46"/>
  <c r="BC93" i="46"/>
  <c r="J93" i="46"/>
  <c r="Y55" i="46"/>
  <c r="M55" i="46"/>
  <c r="R93" i="46"/>
  <c r="BZ55" i="46"/>
  <c r="AK93" i="46"/>
  <c r="AF55" i="46"/>
  <c r="AI55" i="46"/>
  <c r="T55" i="46"/>
  <c r="Y93" i="46"/>
  <c r="AW93" i="46"/>
  <c r="D93" i="46"/>
  <c r="AU93" i="46"/>
  <c r="BV93" i="46"/>
  <c r="BU93" i="46"/>
  <c r="AQ55" i="46"/>
  <c r="BW93" i="46"/>
  <c r="AV55" i="46"/>
  <c r="BD55" i="46"/>
  <c r="U55" i="46"/>
  <c r="U93" i="46"/>
  <c r="G93" i="46"/>
  <c r="AC55" i="46"/>
  <c r="BY55" i="46"/>
  <c r="BJ55" i="46"/>
  <c r="AZ93" i="46"/>
  <c r="AQ93" i="46"/>
  <c r="AK55" i="46"/>
  <c r="BE93" i="46"/>
  <c r="BP93" i="46"/>
  <c r="BW55" i="46"/>
  <c r="I55" i="46"/>
  <c r="BK93" i="46"/>
  <c r="AT93" i="46"/>
  <c r="AA55" i="46"/>
  <c r="BL55" i="46"/>
  <c r="AH93" i="46"/>
  <c r="BP55" i="46"/>
  <c r="W93" i="46"/>
  <c r="BE55" i="46"/>
  <c r="AX55" i="46"/>
  <c r="BX55" i="46"/>
  <c r="F93" i="46"/>
  <c r="P93" i="46"/>
  <c r="BY93" i="46"/>
  <c r="BN55" i="46"/>
  <c r="J55" i="46"/>
  <c r="T93" i="46"/>
  <c r="AB55" i="46"/>
  <c r="BH93" i="46"/>
  <c r="BN93" i="46"/>
  <c r="BB93" i="46"/>
  <c r="BO93" i="46"/>
  <c r="AT55" i="46"/>
  <c r="Q93" i="46"/>
  <c r="AO55" i="46"/>
  <c r="BB55" i="46"/>
  <c r="BZ93" i="46"/>
  <c r="F55" i="46"/>
  <c r="N55" i="46"/>
  <c r="C55" i="46"/>
  <c r="BR93" i="46"/>
  <c r="AI93" i="46"/>
  <c r="H93" i="46"/>
  <c r="AY93" i="46"/>
  <c r="G55" i="46"/>
  <c r="I93" i="46"/>
  <c r="BF55" i="46"/>
  <c r="AD55" i="46"/>
  <c r="BO55" i="46"/>
  <c r="AZ55" i="46"/>
  <c r="CB55" i="46"/>
  <c r="O93" i="46"/>
  <c r="CD93" i="46"/>
  <c r="CD55" i="46"/>
  <c r="CF55" i="46"/>
  <c r="AN93" i="46"/>
  <c r="BJ93" i="46"/>
  <c r="BQ93" i="46"/>
  <c r="AF93" i="46"/>
  <c r="CE93" i="46"/>
  <c r="O55" i="46"/>
  <c r="BC55" i="46"/>
  <c r="W55" i="46"/>
  <c r="AO93" i="46"/>
  <c r="L93" i="46"/>
  <c r="BT93" i="46"/>
  <c r="Z55" i="46"/>
  <c r="AM93" i="46"/>
  <c r="BX93" i="46"/>
  <c r="BQ55" i="46"/>
  <c r="AG93" i="46"/>
  <c r="CA93" i="46"/>
  <c r="H55" i="46"/>
  <c r="BG93" i="46"/>
  <c r="BL93" i="46"/>
  <c r="BS55" i="46"/>
  <c r="AB93" i="46"/>
  <c r="AA93" i="46"/>
  <c r="CB93" i="46"/>
  <c r="AG55" i="46"/>
  <c r="B116" i="46"/>
  <c r="B134" i="46"/>
  <c r="V96" i="46"/>
  <c r="AV96" i="46"/>
  <c r="P58" i="46"/>
  <c r="X96" i="46"/>
  <c r="BX96" i="46"/>
  <c r="AG96" i="46"/>
  <c r="BY96" i="46"/>
  <c r="AN58" i="46"/>
  <c r="BE96" i="46"/>
  <c r="T58" i="46"/>
  <c r="AJ96" i="46"/>
  <c r="AL96" i="46"/>
  <c r="BT96" i="46"/>
  <c r="L96" i="46"/>
  <c r="AS58" i="46"/>
  <c r="AF96" i="46"/>
  <c r="BM96" i="46"/>
  <c r="BL58" i="46"/>
  <c r="BJ58" i="46"/>
  <c r="AQ58" i="46"/>
  <c r="BT58" i="46"/>
  <c r="F96" i="46"/>
  <c r="CE96" i="46"/>
  <c r="BR96" i="46"/>
  <c r="BH58" i="46"/>
  <c r="C58" i="46"/>
  <c r="BU96" i="46"/>
  <c r="CH58" i="46"/>
  <c r="X58" i="46"/>
  <c r="CA58" i="46"/>
  <c r="K58" i="46"/>
  <c r="CF96" i="46"/>
  <c r="BE58" i="46"/>
  <c r="C96" i="46"/>
  <c r="AB58" i="46"/>
  <c r="G58" i="46"/>
  <c r="AZ58" i="46"/>
  <c r="AR96" i="46"/>
  <c r="AT58" i="46"/>
  <c r="AY58" i="46"/>
  <c r="AC96" i="46"/>
  <c r="AP96" i="46"/>
  <c r="H58" i="46"/>
  <c r="BO96" i="46"/>
  <c r="CB58" i="46"/>
  <c r="J96" i="46"/>
  <c r="BV58" i="46"/>
  <c r="AF58" i="46"/>
  <c r="Z58" i="46"/>
  <c r="S96" i="46"/>
  <c r="AN96" i="46"/>
  <c r="BQ96" i="46"/>
  <c r="BW58" i="46"/>
  <c r="BF96" i="46"/>
  <c r="CA96" i="46"/>
  <c r="BU58" i="46"/>
  <c r="G96" i="46"/>
  <c r="BI58" i="46"/>
  <c r="AX58" i="46"/>
  <c r="AM58" i="46"/>
  <c r="AH58" i="46"/>
  <c r="AJ58" i="46"/>
  <c r="K96" i="46"/>
  <c r="BK58" i="46"/>
  <c r="U58" i="46"/>
  <c r="CH96" i="46"/>
  <c r="BY58" i="46"/>
  <c r="AW58" i="46"/>
  <c r="Y96" i="46"/>
  <c r="E58" i="46"/>
  <c r="AA58" i="46"/>
  <c r="F58" i="46"/>
  <c r="BP58" i="46"/>
  <c r="AD96" i="46"/>
  <c r="AO58" i="46"/>
  <c r="BD58" i="46"/>
  <c r="BA58" i="46"/>
  <c r="BN96" i="46"/>
  <c r="J58" i="46"/>
  <c r="BO58" i="46"/>
  <c r="BB96" i="46"/>
  <c r="CC58" i="46"/>
  <c r="BP96" i="46"/>
  <c r="BI96" i="46"/>
  <c r="O96" i="46"/>
  <c r="O58" i="46"/>
  <c r="BN58" i="46"/>
  <c r="AP58" i="46"/>
  <c r="Q96" i="46"/>
  <c r="N96" i="46"/>
  <c r="CF58" i="46"/>
  <c r="N58" i="46"/>
  <c r="CE58" i="46"/>
  <c r="Q58" i="46"/>
  <c r="AT96" i="46"/>
  <c r="AI58" i="46"/>
  <c r="BC96" i="46"/>
  <c r="BM58" i="46"/>
  <c r="CG96" i="46"/>
  <c r="BG96" i="46"/>
  <c r="BS96" i="46"/>
  <c r="BR58" i="46"/>
  <c r="Y58" i="46"/>
  <c r="BS58" i="46"/>
  <c r="CD96" i="46"/>
  <c r="AB96" i="46"/>
  <c r="M58" i="46"/>
  <c r="AQ96" i="46"/>
  <c r="AO96" i="46"/>
  <c r="V58" i="46"/>
  <c r="AG58" i="46"/>
  <c r="AM96" i="46"/>
  <c r="AL58" i="46"/>
  <c r="S58" i="46"/>
  <c r="P96" i="46"/>
  <c r="BF58" i="46"/>
  <c r="BW96" i="46"/>
  <c r="AW96" i="46"/>
  <c r="W96" i="46"/>
  <c r="CC96" i="46"/>
  <c r="AA96" i="46"/>
  <c r="AK96" i="46"/>
  <c r="H96" i="46"/>
  <c r="AZ96" i="46"/>
  <c r="R58" i="46"/>
  <c r="BD96" i="46"/>
  <c r="AS96" i="46"/>
  <c r="BV96" i="46"/>
  <c r="CD58" i="46"/>
  <c r="AD58" i="46"/>
  <c r="BK96" i="46"/>
  <c r="AC58" i="46"/>
  <c r="I58" i="46"/>
  <c r="AI96" i="46"/>
  <c r="CG58" i="46"/>
  <c r="BH96" i="46"/>
  <c r="AU96" i="46"/>
  <c r="AV58" i="46"/>
  <c r="AE96" i="46"/>
  <c r="BB58" i="46"/>
  <c r="CB96" i="46"/>
  <c r="BC58" i="46"/>
  <c r="R96" i="46"/>
  <c r="BG58" i="46"/>
  <c r="AU58" i="46"/>
  <c r="AR58" i="46"/>
  <c r="D96" i="46"/>
  <c r="E96" i="46"/>
  <c r="BQ58" i="46"/>
  <c r="AY96" i="46"/>
  <c r="BJ96" i="46"/>
  <c r="BZ58" i="46"/>
  <c r="W58" i="46"/>
  <c r="L58" i="46"/>
  <c r="AE58" i="46"/>
  <c r="BZ96" i="46"/>
  <c r="M96" i="46"/>
  <c r="D58" i="46"/>
  <c r="BL96" i="46"/>
  <c r="BA96" i="46"/>
  <c r="BX58" i="46"/>
  <c r="AK58" i="46"/>
  <c r="U96" i="46"/>
  <c r="Z96" i="46"/>
  <c r="T96" i="46"/>
  <c r="AH96" i="46"/>
  <c r="AX96" i="46"/>
  <c r="I96" i="46"/>
  <c r="B120" i="46"/>
  <c r="B138" i="46"/>
  <c r="L138" i="46" s="1"/>
  <c r="BV62" i="46"/>
  <c r="AY62" i="46"/>
  <c r="AF100" i="46"/>
  <c r="CC62" i="46"/>
  <c r="L100" i="46"/>
  <c r="CG62" i="46"/>
  <c r="AN100" i="46"/>
  <c r="BP62" i="46"/>
  <c r="BT100" i="46"/>
  <c r="AE62" i="46"/>
  <c r="BA62" i="46"/>
  <c r="AJ100" i="46"/>
  <c r="AW62" i="46"/>
  <c r="BV100" i="46"/>
  <c r="BM100" i="46"/>
  <c r="AX100" i="46"/>
  <c r="AB100" i="46"/>
  <c r="CA100" i="46"/>
  <c r="O100" i="46"/>
  <c r="AT100" i="46"/>
  <c r="BG100" i="46"/>
  <c r="CE100" i="46"/>
  <c r="R62" i="46"/>
  <c r="AG100" i="46"/>
  <c r="CE62" i="46"/>
  <c r="AO62" i="46"/>
  <c r="BI62" i="46"/>
  <c r="BU100" i="46"/>
  <c r="BU62" i="46"/>
  <c r="M100" i="46"/>
  <c r="BX62" i="46"/>
  <c r="AH100" i="46"/>
  <c r="Q100" i="46"/>
  <c r="BY62" i="46"/>
  <c r="Z62" i="46"/>
  <c r="AD62" i="46"/>
  <c r="AB62" i="46"/>
  <c r="AA62" i="46"/>
  <c r="BE62" i="46"/>
  <c r="BO62" i="46"/>
  <c r="AV100" i="46"/>
  <c r="AM100" i="46"/>
  <c r="AO100" i="46"/>
  <c r="BF100" i="46"/>
  <c r="BN100" i="46"/>
  <c r="H100" i="46"/>
  <c r="AJ62" i="46"/>
  <c r="CB62" i="46"/>
  <c r="S100" i="46"/>
  <c r="Y100" i="46"/>
  <c r="BQ100" i="46"/>
  <c r="CF100" i="46"/>
  <c r="CA62" i="46"/>
  <c r="AM62" i="46"/>
  <c r="AT62" i="46"/>
  <c r="BO100" i="46"/>
  <c r="M62" i="46"/>
  <c r="V62" i="46"/>
  <c r="AI62" i="46"/>
  <c r="BC100" i="46"/>
  <c r="AQ100" i="46"/>
  <c r="H62" i="46"/>
  <c r="BB62" i="46"/>
  <c r="AG62" i="46"/>
  <c r="BT62" i="46"/>
  <c r="K100" i="46"/>
  <c r="AL62" i="46"/>
  <c r="BS62" i="46"/>
  <c r="D100" i="46"/>
  <c r="X62" i="46"/>
  <c r="BC62" i="46"/>
  <c r="AN62" i="46"/>
  <c r="P100" i="46"/>
  <c r="BE100" i="46"/>
  <c r="AS100" i="46"/>
  <c r="BG62" i="46"/>
  <c r="U100" i="46"/>
  <c r="CH62" i="46"/>
  <c r="W100" i="46"/>
  <c r="AC62" i="46"/>
  <c r="BK100" i="46"/>
  <c r="X100" i="46"/>
  <c r="CF62" i="46"/>
  <c r="V100" i="46"/>
  <c r="BL100" i="46"/>
  <c r="BJ62" i="46"/>
  <c r="T62" i="46"/>
  <c r="Z100" i="46"/>
  <c r="N62" i="46"/>
  <c r="BJ100" i="46"/>
  <c r="AF62" i="46"/>
  <c r="BL62" i="46"/>
  <c r="AK100" i="46"/>
  <c r="S62" i="46"/>
  <c r="AP100" i="46"/>
  <c r="AL100" i="46"/>
  <c r="F62" i="46"/>
  <c r="BW100" i="46"/>
  <c r="AY100" i="46"/>
  <c r="BZ62" i="46"/>
  <c r="AA100" i="46"/>
  <c r="BA100" i="46"/>
  <c r="AW100" i="46"/>
  <c r="T100" i="46"/>
  <c r="BQ62" i="46"/>
  <c r="BK62" i="46"/>
  <c r="BH62" i="46"/>
  <c r="J100" i="46"/>
  <c r="CB100" i="46"/>
  <c r="AP62" i="46"/>
  <c r="AV62" i="46"/>
  <c r="BP100" i="46"/>
  <c r="U62" i="46"/>
  <c r="G100" i="46"/>
  <c r="Q62" i="46"/>
  <c r="AU62" i="46"/>
  <c r="BS100" i="46"/>
  <c r="BZ100" i="46"/>
  <c r="BN62" i="46"/>
  <c r="W62" i="46"/>
  <c r="BR100" i="46"/>
  <c r="AD100" i="46"/>
  <c r="O62" i="46"/>
  <c r="AE100" i="46"/>
  <c r="BF62" i="46"/>
  <c r="C100" i="46"/>
  <c r="L62" i="46"/>
  <c r="BI100" i="46"/>
  <c r="BX100" i="46"/>
  <c r="CD62" i="46"/>
  <c r="AZ62" i="46"/>
  <c r="BW62" i="46"/>
  <c r="K62" i="46"/>
  <c r="AU100" i="46"/>
  <c r="I100" i="46"/>
  <c r="BY100" i="46"/>
  <c r="C62" i="46"/>
  <c r="AC100" i="46"/>
  <c r="P62" i="46"/>
  <c r="F100" i="46"/>
  <c r="AX62" i="46"/>
  <c r="CG100" i="46"/>
  <c r="AR62" i="46"/>
  <c r="CH100" i="46"/>
  <c r="I62" i="46"/>
  <c r="BH100" i="46"/>
  <c r="AZ100" i="46"/>
  <c r="Y62" i="46"/>
  <c r="AR100" i="46"/>
  <c r="BD62" i="46"/>
  <c r="AS62" i="46"/>
  <c r="BB100" i="46"/>
  <c r="E62" i="46"/>
  <c r="R100" i="46"/>
  <c r="J62" i="46"/>
  <c r="AK62" i="46"/>
  <c r="AI100" i="46"/>
  <c r="AH62" i="46"/>
  <c r="BM62" i="46"/>
  <c r="CD100" i="46"/>
  <c r="AQ62" i="46"/>
  <c r="G62" i="46"/>
  <c r="N100" i="46"/>
  <c r="E100" i="46"/>
  <c r="D62" i="46"/>
  <c r="BR62" i="46"/>
  <c r="CC100" i="46"/>
  <c r="BD100" i="46"/>
  <c r="B115" i="43" a="1"/>
  <c r="B115" i="43" s="1"/>
  <c r="L115" i="43" s="1"/>
  <c r="G125" i="43"/>
  <c r="C124" i="43"/>
  <c r="C120" i="43"/>
  <c r="D123" i="43"/>
  <c r="C123" i="43"/>
  <c r="C128" i="43"/>
  <c r="H118" i="43"/>
  <c r="E125" i="43"/>
  <c r="E116" i="43"/>
  <c r="F121" i="43"/>
  <c r="I119" i="43"/>
  <c r="D128" i="43"/>
  <c r="F128" i="43"/>
  <c r="F120" i="43"/>
  <c r="E123" i="43"/>
  <c r="H128" i="43"/>
  <c r="I127" i="43"/>
  <c r="G123" i="43"/>
  <c r="C127" i="43"/>
  <c r="F116" i="43"/>
  <c r="H122" i="43"/>
  <c r="F117" i="43"/>
  <c r="E121" i="43"/>
  <c r="E119" i="43"/>
  <c r="E117" i="43"/>
  <c r="D127" i="43"/>
  <c r="E122" i="43"/>
  <c r="F125" i="43"/>
  <c r="G116" i="43"/>
  <c r="C122" i="43"/>
  <c r="H124" i="43"/>
  <c r="D119" i="43"/>
  <c r="G124" i="43"/>
  <c r="E124" i="43"/>
  <c r="F126" i="43"/>
  <c r="E118" i="43"/>
  <c r="E128" i="43"/>
  <c r="I116" i="43"/>
  <c r="G126" i="43"/>
  <c r="I122" i="43"/>
  <c r="C117" i="43"/>
  <c r="I126" i="43"/>
  <c r="I124" i="43"/>
  <c r="D118" i="43"/>
  <c r="D126" i="43"/>
  <c r="D116" i="43"/>
  <c r="F118" i="43"/>
  <c r="I129" i="43"/>
  <c r="F122" i="43"/>
  <c r="D120" i="43"/>
  <c r="D125" i="43"/>
  <c r="H121" i="43"/>
  <c r="H119" i="43"/>
  <c r="C121" i="43"/>
  <c r="C119" i="43"/>
  <c r="F119" i="43"/>
  <c r="G118" i="43"/>
  <c r="C129" i="43"/>
  <c r="D124" i="43"/>
  <c r="I117" i="43"/>
  <c r="H123" i="43"/>
  <c r="F129" i="43"/>
  <c r="I120" i="43"/>
  <c r="I125" i="43"/>
  <c r="H127" i="43"/>
  <c r="G119" i="43"/>
  <c r="C125" i="43"/>
  <c r="F124" i="43"/>
  <c r="I123" i="43"/>
  <c r="G128" i="43"/>
  <c r="C126" i="43"/>
  <c r="H129" i="43"/>
  <c r="G122" i="43"/>
  <c r="G117" i="43"/>
  <c r="F123" i="43"/>
  <c r="I118" i="43"/>
  <c r="H125" i="43"/>
  <c r="D122" i="43"/>
  <c r="E127" i="43"/>
  <c r="D121" i="43"/>
  <c r="D117" i="43"/>
  <c r="C116" i="43"/>
  <c r="G120" i="43"/>
  <c r="H126" i="43"/>
  <c r="G129" i="43"/>
  <c r="H117" i="43"/>
  <c r="H120" i="43"/>
  <c r="F127" i="43"/>
  <c r="D129" i="43"/>
  <c r="C118" i="43"/>
  <c r="E120" i="43"/>
  <c r="E126" i="43"/>
  <c r="H116" i="43"/>
  <c r="E129" i="43"/>
  <c r="G121" i="43"/>
  <c r="I128" i="43"/>
  <c r="G127" i="43"/>
  <c r="I121" i="43"/>
  <c r="B159" i="43" a="1"/>
  <c r="F167" i="43"/>
  <c r="D166" i="43"/>
  <c r="E166" i="43"/>
  <c r="G172" i="43"/>
  <c r="D172" i="43"/>
  <c r="H172" i="43"/>
  <c r="G167" i="43"/>
  <c r="G168" i="43"/>
  <c r="D167" i="43"/>
  <c r="G169" i="43"/>
  <c r="I170" i="43"/>
  <c r="H170" i="43"/>
  <c r="D170" i="43"/>
  <c r="H171" i="43"/>
  <c r="I169" i="43"/>
  <c r="F168" i="43"/>
  <c r="C168" i="43"/>
  <c r="F165" i="43"/>
  <c r="H173" i="43"/>
  <c r="C167" i="43"/>
  <c r="C173" i="43"/>
  <c r="G165" i="43"/>
  <c r="G166" i="43"/>
  <c r="D173" i="43"/>
  <c r="F171" i="43"/>
  <c r="E167" i="43"/>
  <c r="I168" i="43"/>
  <c r="H167" i="43"/>
  <c r="G173" i="43"/>
  <c r="D168" i="43"/>
  <c r="I172" i="43"/>
  <c r="D169" i="43"/>
  <c r="C165" i="43"/>
  <c r="H168" i="43"/>
  <c r="D171" i="43"/>
  <c r="H165" i="43"/>
  <c r="F173" i="43"/>
  <c r="E170" i="43"/>
  <c r="F170" i="43"/>
  <c r="F172" i="43"/>
  <c r="G170" i="43"/>
  <c r="E173" i="43"/>
  <c r="I171" i="43"/>
  <c r="I167" i="43"/>
  <c r="I166" i="43"/>
  <c r="I173" i="43"/>
  <c r="C170" i="43"/>
  <c r="D165" i="43"/>
  <c r="E169" i="43"/>
  <c r="G171" i="43"/>
  <c r="H169" i="43"/>
  <c r="E168" i="43"/>
  <c r="C171" i="43"/>
  <c r="H166" i="43"/>
  <c r="F169" i="43"/>
  <c r="E172" i="43"/>
  <c r="E165" i="43"/>
  <c r="C166" i="43"/>
  <c r="E171" i="43"/>
  <c r="I165" i="43"/>
  <c r="F166" i="43"/>
  <c r="C172" i="43"/>
  <c r="C169" i="43"/>
  <c r="B31" i="16"/>
  <c r="B51" i="16"/>
  <c r="B118" i="46"/>
  <c r="B136" i="46"/>
  <c r="AS60" i="46"/>
  <c r="BS60" i="46"/>
  <c r="BO60" i="46"/>
  <c r="BQ60" i="46"/>
  <c r="CB98" i="46"/>
  <c r="BI60" i="46"/>
  <c r="X98" i="46"/>
  <c r="AI60" i="46"/>
  <c r="G98" i="46"/>
  <c r="BG60" i="46"/>
  <c r="E98" i="46"/>
  <c r="BW60" i="46"/>
  <c r="AY60" i="46"/>
  <c r="T60" i="46"/>
  <c r="AR98" i="46"/>
  <c r="CG60" i="46"/>
  <c r="BI98" i="46"/>
  <c r="BJ60" i="46"/>
  <c r="CF98" i="46"/>
  <c r="AG60" i="46"/>
  <c r="W98" i="46"/>
  <c r="BR98" i="46"/>
  <c r="AQ98" i="46"/>
  <c r="BL60" i="46"/>
  <c r="AH98" i="46"/>
  <c r="BM60" i="46"/>
  <c r="AF60" i="46"/>
  <c r="BD98" i="46"/>
  <c r="AK60" i="46"/>
  <c r="CE98" i="46"/>
  <c r="AT98" i="46"/>
  <c r="CD98" i="46"/>
  <c r="AA60" i="46"/>
  <c r="BP60" i="46"/>
  <c r="BG98" i="46"/>
  <c r="R60" i="46"/>
  <c r="AA98" i="46"/>
  <c r="O60" i="46"/>
  <c r="AZ98" i="46"/>
  <c r="BZ60" i="46"/>
  <c r="K98" i="46"/>
  <c r="AD98" i="46"/>
  <c r="AH60" i="46"/>
  <c r="BB60" i="46"/>
  <c r="AK98" i="46"/>
  <c r="BH60" i="46"/>
  <c r="C98" i="46"/>
  <c r="S60" i="46"/>
  <c r="U98" i="46"/>
  <c r="I60" i="46"/>
  <c r="BL98" i="46"/>
  <c r="AP60" i="46"/>
  <c r="BY60" i="46"/>
  <c r="CG98" i="46"/>
  <c r="Y60" i="46"/>
  <c r="BX98" i="46"/>
  <c r="AD60" i="46"/>
  <c r="AX98" i="46"/>
  <c r="Q60" i="46"/>
  <c r="I98" i="46"/>
  <c r="AW60" i="46"/>
  <c r="CA98" i="46"/>
  <c r="BU60" i="46"/>
  <c r="AE60" i="46"/>
  <c r="BD60" i="46"/>
  <c r="N98" i="46"/>
  <c r="J60" i="46"/>
  <c r="BC60" i="46"/>
  <c r="H98" i="46"/>
  <c r="BY98" i="46"/>
  <c r="J98" i="46"/>
  <c r="CH98" i="46"/>
  <c r="AV60" i="46"/>
  <c r="AY98" i="46"/>
  <c r="AX60" i="46"/>
  <c r="AN60" i="46"/>
  <c r="AF98" i="46"/>
  <c r="BA60" i="46"/>
  <c r="AU60" i="46"/>
  <c r="D98" i="46"/>
  <c r="K60" i="46"/>
  <c r="R98" i="46"/>
  <c r="C60" i="46"/>
  <c r="S98" i="46"/>
  <c r="BH98" i="46"/>
  <c r="AJ60" i="46"/>
  <c r="AM60" i="46"/>
  <c r="BZ98" i="46"/>
  <c r="CB60" i="46"/>
  <c r="AE98" i="46"/>
  <c r="BK98" i="46"/>
  <c r="CF60" i="46"/>
  <c r="BM98" i="46"/>
  <c r="BB98" i="46"/>
  <c r="T98" i="46"/>
  <c r="AT60" i="46"/>
  <c r="BV60" i="46"/>
  <c r="D60" i="46"/>
  <c r="Y98" i="46"/>
  <c r="CC60" i="46"/>
  <c r="X60" i="46"/>
  <c r="BN98" i="46"/>
  <c r="V60" i="46"/>
  <c r="BX60" i="46"/>
  <c r="BC98" i="46"/>
  <c r="CA60" i="46"/>
  <c r="BA98" i="46"/>
  <c r="U60" i="46"/>
  <c r="AW98" i="46"/>
  <c r="BE60" i="46"/>
  <c r="CD60" i="46"/>
  <c r="AR60" i="46"/>
  <c r="BU98" i="46"/>
  <c r="AC98" i="46"/>
  <c r="BF60" i="46"/>
  <c r="P98" i="46"/>
  <c r="V98" i="46"/>
  <c r="AO98" i="46"/>
  <c r="N60" i="46"/>
  <c r="AZ60" i="46"/>
  <c r="BE98" i="46"/>
  <c r="AS98" i="46"/>
  <c r="BT60" i="46"/>
  <c r="AL98" i="46"/>
  <c r="F98" i="46"/>
  <c r="BN60" i="46"/>
  <c r="AU98" i="46"/>
  <c r="BJ98" i="46"/>
  <c r="AP98" i="46"/>
  <c r="BK60" i="46"/>
  <c r="Z98" i="46"/>
  <c r="L98" i="46"/>
  <c r="BQ98" i="46"/>
  <c r="Z60" i="46"/>
  <c r="CE60" i="46"/>
  <c r="P60" i="46"/>
  <c r="BP98" i="46"/>
  <c r="BS98" i="46"/>
  <c r="AG98" i="46"/>
  <c r="AC60" i="46"/>
  <c r="W60" i="46"/>
  <c r="AN98" i="46"/>
  <c r="BT98" i="46"/>
  <c r="M60" i="46"/>
  <c r="CH60" i="46"/>
  <c r="O98" i="46"/>
  <c r="H60" i="46"/>
  <c r="BO98" i="46"/>
  <c r="F60" i="46"/>
  <c r="L60" i="46"/>
  <c r="M98" i="46"/>
  <c r="E60" i="46"/>
  <c r="BW98" i="46"/>
  <c r="BV98" i="46"/>
  <c r="BF98" i="46"/>
  <c r="AO60" i="46"/>
  <c r="G60" i="46"/>
  <c r="AB60" i="46"/>
  <c r="AV98" i="46"/>
  <c r="AL60" i="46"/>
  <c r="Q98" i="46"/>
  <c r="AQ60" i="46"/>
  <c r="BR60" i="46"/>
  <c r="CC98" i="46"/>
  <c r="AB98" i="46"/>
  <c r="AI98" i="46"/>
  <c r="AM98" i="46"/>
  <c r="AJ98" i="46"/>
  <c r="HO94" i="34"/>
  <c r="HL94" i="34"/>
  <c r="HQ94" i="34"/>
  <c r="HM94" i="34"/>
  <c r="HP94" i="34"/>
  <c r="HK94" i="34"/>
  <c r="HN94" i="34"/>
  <c r="B51" i="43"/>
  <c r="B68" i="43" s="1"/>
  <c r="B31" i="43"/>
  <c r="HN185" i="34"/>
  <c r="HM185" i="34"/>
  <c r="HQ185" i="34"/>
  <c r="HO185" i="34"/>
  <c r="HK185" i="34"/>
  <c r="HP185" i="34"/>
  <c r="HL185" i="34"/>
  <c r="B44" i="40"/>
  <c r="B27" i="40"/>
  <c r="B111" i="46"/>
  <c r="B129" i="46"/>
  <c r="AO91" i="46"/>
  <c r="F53" i="46"/>
  <c r="CC53" i="46"/>
  <c r="Y53" i="46"/>
  <c r="BA91" i="46"/>
  <c r="AH91" i="46"/>
  <c r="Z53" i="46"/>
  <c r="BR53" i="46"/>
  <c r="AE53" i="46"/>
  <c r="BR91" i="46"/>
  <c r="BS53" i="46"/>
  <c r="AB91" i="46"/>
  <c r="BZ91" i="46"/>
  <c r="CC91" i="46"/>
  <c r="CB91" i="46"/>
  <c r="BZ53" i="46"/>
  <c r="W91" i="46"/>
  <c r="BC91" i="46"/>
  <c r="BQ91" i="46"/>
  <c r="BG91" i="46"/>
  <c r="S91" i="46"/>
  <c r="M91" i="46"/>
  <c r="AO53" i="46"/>
  <c r="CA53" i="46"/>
  <c r="AW53" i="46"/>
  <c r="BL53" i="46"/>
  <c r="AG53" i="46"/>
  <c r="BK91" i="46"/>
  <c r="X91" i="46"/>
  <c r="AM53" i="46"/>
  <c r="BX53" i="46"/>
  <c r="AC91" i="46"/>
  <c r="CH53" i="46"/>
  <c r="CF91" i="46"/>
  <c r="H53" i="46"/>
  <c r="BW53" i="46"/>
  <c r="R91" i="46"/>
  <c r="AM91" i="46"/>
  <c r="G53" i="46"/>
  <c r="J53" i="46"/>
  <c r="AF53" i="46"/>
  <c r="E91" i="46"/>
  <c r="AC53" i="46"/>
  <c r="BJ53" i="46"/>
  <c r="BX91" i="46"/>
  <c r="M53" i="46"/>
  <c r="AX91" i="46"/>
  <c r="CA91" i="46"/>
  <c r="N53" i="46"/>
  <c r="AS53" i="46"/>
  <c r="BK53" i="46"/>
  <c r="AW91" i="46"/>
  <c r="AS91" i="46"/>
  <c r="AV91" i="46"/>
  <c r="AL91" i="46"/>
  <c r="BN53" i="46"/>
  <c r="BB53" i="46"/>
  <c r="K91" i="46"/>
  <c r="AN91" i="46"/>
  <c r="Z91" i="46"/>
  <c r="I53" i="46"/>
  <c r="AD91" i="46"/>
  <c r="J91" i="46"/>
  <c r="AZ53" i="46"/>
  <c r="AT91" i="46"/>
  <c r="BY53" i="46"/>
  <c r="AI91" i="46"/>
  <c r="AN53" i="46"/>
  <c r="BD91" i="46"/>
  <c r="BO53" i="46"/>
  <c r="CG53" i="46"/>
  <c r="Y91" i="46"/>
  <c r="BJ91" i="46"/>
  <c r="AU91" i="46"/>
  <c r="D53" i="46"/>
  <c r="BB91" i="46"/>
  <c r="AT53" i="46"/>
  <c r="AU53" i="46"/>
  <c r="AY91" i="46"/>
  <c r="V53" i="46"/>
  <c r="AA53" i="46"/>
  <c r="BE53" i="46"/>
  <c r="CE53" i="46"/>
  <c r="T53" i="46"/>
  <c r="CD53" i="46"/>
  <c r="AL53" i="46"/>
  <c r="L53" i="46"/>
  <c r="AE91" i="46"/>
  <c r="AK91" i="46"/>
  <c r="AJ53" i="46"/>
  <c r="BQ53" i="46"/>
  <c r="AJ91" i="46"/>
  <c r="F91" i="46"/>
  <c r="O91" i="46"/>
  <c r="L91" i="46"/>
  <c r="AP91" i="46"/>
  <c r="AR53" i="46"/>
  <c r="BH91" i="46"/>
  <c r="CH91" i="46"/>
  <c r="C53" i="46"/>
  <c r="P91" i="46"/>
  <c r="BC53" i="46"/>
  <c r="AK53" i="46"/>
  <c r="Q91" i="46"/>
  <c r="BV53" i="46"/>
  <c r="D91" i="46"/>
  <c r="AZ91" i="46"/>
  <c r="AG91" i="46"/>
  <c r="AD53" i="46"/>
  <c r="BI53" i="46"/>
  <c r="CD91" i="46"/>
  <c r="O53" i="46"/>
  <c r="K53" i="46"/>
  <c r="BF91" i="46"/>
  <c r="BI91" i="46"/>
  <c r="U53" i="46"/>
  <c r="C91" i="46"/>
  <c r="AQ53" i="46"/>
  <c r="AV53" i="46"/>
  <c r="BP91" i="46"/>
  <c r="N91" i="46"/>
  <c r="CG91" i="46"/>
  <c r="CE91" i="46"/>
  <c r="BU53" i="46"/>
  <c r="S53" i="46"/>
  <c r="CF53" i="46"/>
  <c r="BG53" i="46"/>
  <c r="BW91" i="46"/>
  <c r="AX53" i="46"/>
  <c r="AY53" i="46"/>
  <c r="BY91" i="46"/>
  <c r="BF53" i="46"/>
  <c r="I91" i="46"/>
  <c r="AQ91" i="46"/>
  <c r="P53" i="46"/>
  <c r="AR91" i="46"/>
  <c r="V91" i="46"/>
  <c r="BP53" i="46"/>
  <c r="BA53" i="46"/>
  <c r="BN91" i="46"/>
  <c r="AP53" i="46"/>
  <c r="BT53" i="46"/>
  <c r="H91" i="46"/>
  <c r="BH53" i="46"/>
  <c r="T91" i="46"/>
  <c r="R53" i="46"/>
  <c r="AA91" i="46"/>
  <c r="AF91" i="46"/>
  <c r="BV91" i="46"/>
  <c r="AI53" i="46"/>
  <c r="AH53" i="46"/>
  <c r="BM53" i="46"/>
  <c r="CB53" i="46"/>
  <c r="BO91" i="46"/>
  <c r="BD53" i="46"/>
  <c r="BU91" i="46"/>
  <c r="BT91" i="46"/>
  <c r="E53" i="46"/>
  <c r="X53" i="46"/>
  <c r="BS91" i="46"/>
  <c r="G91" i="46"/>
  <c r="Q53" i="46"/>
  <c r="BM91" i="46"/>
  <c r="BL91" i="46"/>
  <c r="U91" i="46"/>
  <c r="BE91" i="46"/>
  <c r="AB53" i="46"/>
  <c r="W53" i="46"/>
  <c r="HN45" i="34"/>
  <c r="HK45" i="34"/>
  <c r="HO45" i="34"/>
  <c r="HM45" i="34"/>
  <c r="HP45" i="34"/>
  <c r="HQ45" i="34"/>
  <c r="HL45" i="34"/>
  <c r="B181" i="43" a="1"/>
  <c r="D192" i="43"/>
  <c r="E190" i="43"/>
  <c r="H189" i="43"/>
  <c r="H186" i="43"/>
  <c r="G193" i="43"/>
  <c r="I189" i="43"/>
  <c r="H195" i="43"/>
  <c r="H190" i="43"/>
  <c r="C194" i="43"/>
  <c r="G192" i="43"/>
  <c r="D190" i="43"/>
  <c r="H185" i="43"/>
  <c r="G184" i="43"/>
  <c r="I192" i="43"/>
  <c r="C186" i="43"/>
  <c r="E195" i="43"/>
  <c r="I188" i="43"/>
  <c r="C189" i="43"/>
  <c r="I187" i="43"/>
  <c r="G190" i="43"/>
  <c r="D188" i="43"/>
  <c r="H192" i="43"/>
  <c r="F185" i="43"/>
  <c r="C193" i="43"/>
  <c r="E187" i="43"/>
  <c r="H188" i="43"/>
  <c r="I190" i="43"/>
  <c r="H184" i="43"/>
  <c r="G185" i="43"/>
  <c r="F190" i="43"/>
  <c r="E191" i="43"/>
  <c r="C185" i="43"/>
  <c r="G188" i="43"/>
  <c r="C188" i="43"/>
  <c r="C190" i="43"/>
  <c r="H187" i="43"/>
  <c r="E193" i="43"/>
  <c r="G189" i="43"/>
  <c r="I193" i="43"/>
  <c r="D187" i="43"/>
  <c r="I186" i="43"/>
  <c r="E189" i="43"/>
  <c r="F186" i="43"/>
  <c r="G186" i="43"/>
  <c r="E188" i="43"/>
  <c r="C192" i="43"/>
  <c r="I185" i="43"/>
  <c r="D194" i="43"/>
  <c r="D195" i="43"/>
  <c r="F195" i="43"/>
  <c r="I184" i="43"/>
  <c r="F188" i="43"/>
  <c r="G195" i="43"/>
  <c r="D189" i="43"/>
  <c r="F189" i="43"/>
  <c r="F194" i="43"/>
  <c r="D185" i="43"/>
  <c r="H191" i="43"/>
  <c r="F184" i="43"/>
  <c r="E186" i="43"/>
  <c r="H193" i="43"/>
  <c r="E184" i="43"/>
  <c r="F193" i="43"/>
  <c r="D186" i="43"/>
  <c r="H194" i="43"/>
  <c r="E194" i="43"/>
  <c r="D193" i="43"/>
  <c r="F191" i="43"/>
  <c r="D184" i="43"/>
  <c r="E192" i="43"/>
  <c r="G191" i="43"/>
  <c r="E185" i="43"/>
  <c r="C187" i="43"/>
  <c r="I195" i="43"/>
  <c r="D191" i="43"/>
  <c r="I191" i="43"/>
  <c r="G194" i="43"/>
  <c r="I194" i="43"/>
  <c r="C191" i="43"/>
  <c r="C184" i="43"/>
  <c r="C195" i="43"/>
  <c r="G187" i="43"/>
  <c r="F187" i="43"/>
  <c r="F192" i="43"/>
  <c r="B112" i="46"/>
  <c r="B130" i="46"/>
  <c r="L130" i="46" s="1"/>
  <c r="AM92" i="46"/>
  <c r="BC54" i="46"/>
  <c r="BS92" i="46"/>
  <c r="I54" i="46"/>
  <c r="BO54" i="46"/>
  <c r="BZ54" i="46"/>
  <c r="CA92" i="46"/>
  <c r="AA54" i="46"/>
  <c r="BJ54" i="46"/>
  <c r="AF92" i="46"/>
  <c r="V92" i="46"/>
  <c r="AU54" i="46"/>
  <c r="AI92" i="46"/>
  <c r="AG92" i="46"/>
  <c r="BL54" i="46"/>
  <c r="CG92" i="46"/>
  <c r="AL54" i="46"/>
  <c r="AF54" i="46"/>
  <c r="BM92" i="46"/>
  <c r="AM54" i="46"/>
  <c r="BW92" i="46"/>
  <c r="CC92" i="46"/>
  <c r="R54" i="46"/>
  <c r="J54" i="46"/>
  <c r="BU54" i="46"/>
  <c r="BT54" i="46"/>
  <c r="CH54" i="46"/>
  <c r="BD92" i="46"/>
  <c r="BS54" i="46"/>
  <c r="BQ54" i="46"/>
  <c r="BX54" i="46"/>
  <c r="BG92" i="46"/>
  <c r="AC54" i="46"/>
  <c r="AW92" i="46"/>
  <c r="CD92" i="46"/>
  <c r="AR92" i="46"/>
  <c r="AU92" i="46"/>
  <c r="CE54" i="46"/>
  <c r="BB54" i="46"/>
  <c r="AL92" i="46"/>
  <c r="BA54" i="46"/>
  <c r="BE54" i="46"/>
  <c r="BV92" i="46"/>
  <c r="Z54" i="46"/>
  <c r="AY54" i="46"/>
  <c r="C92" i="46"/>
  <c r="CC54" i="46"/>
  <c r="AO92" i="46"/>
  <c r="BR92" i="46"/>
  <c r="AC92" i="46"/>
  <c r="AA92" i="46"/>
  <c r="AN54" i="46"/>
  <c r="BR54" i="46"/>
  <c r="F92" i="46"/>
  <c r="AZ92" i="46"/>
  <c r="N54" i="46"/>
  <c r="BK54" i="46"/>
  <c r="BU92" i="46"/>
  <c r="CE92" i="46"/>
  <c r="N92" i="46"/>
  <c r="E54" i="46"/>
  <c r="AI54" i="46"/>
  <c r="BX92" i="46"/>
  <c r="V54" i="46"/>
  <c r="U54" i="46"/>
  <c r="CF92" i="46"/>
  <c r="BH54" i="46"/>
  <c r="H92" i="46"/>
  <c r="CD54" i="46"/>
  <c r="D54" i="46"/>
  <c r="D92" i="46"/>
  <c r="BG54" i="46"/>
  <c r="BP54" i="46"/>
  <c r="AQ92" i="46"/>
  <c r="Q92" i="46"/>
  <c r="BH92" i="46"/>
  <c r="O54" i="46"/>
  <c r="U92" i="46"/>
  <c r="BQ92" i="46"/>
  <c r="I92" i="46"/>
  <c r="BC92" i="46"/>
  <c r="F54" i="46"/>
  <c r="AN92" i="46"/>
  <c r="BL92" i="46"/>
  <c r="K54" i="46"/>
  <c r="P92" i="46"/>
  <c r="CB92" i="46"/>
  <c r="BW54" i="46"/>
  <c r="AR54" i="46"/>
  <c r="AJ92" i="46"/>
  <c r="AD54" i="46"/>
  <c r="O92" i="46"/>
  <c r="BI92" i="46"/>
  <c r="BF92" i="46"/>
  <c r="L92" i="46"/>
  <c r="AB92" i="46"/>
  <c r="BE92" i="46"/>
  <c r="H54" i="46"/>
  <c r="S92" i="46"/>
  <c r="BY54" i="46"/>
  <c r="BF54" i="46"/>
  <c r="AH54" i="46"/>
  <c r="CH92" i="46"/>
  <c r="AV92" i="46"/>
  <c r="AX54" i="46"/>
  <c r="AK92" i="46"/>
  <c r="AX92" i="46"/>
  <c r="AJ54" i="46"/>
  <c r="Y54" i="46"/>
  <c r="T54" i="46"/>
  <c r="R92" i="46"/>
  <c r="AO54" i="46"/>
  <c r="AT54" i="46"/>
  <c r="G92" i="46"/>
  <c r="AT92" i="46"/>
  <c r="BV54" i="46"/>
  <c r="BJ92" i="46"/>
  <c r="AS54" i="46"/>
  <c r="AP92" i="46"/>
  <c r="AS92" i="46"/>
  <c r="BY92" i="46"/>
  <c r="BN92" i="46"/>
  <c r="AP54" i="46"/>
  <c r="AH92" i="46"/>
  <c r="BT92" i="46"/>
  <c r="AE54" i="46"/>
  <c r="BK92" i="46"/>
  <c r="Q54" i="46"/>
  <c r="AQ54" i="46"/>
  <c r="BP92" i="46"/>
  <c r="W54" i="46"/>
  <c r="E92" i="46"/>
  <c r="CA54" i="46"/>
  <c r="BO92" i="46"/>
  <c r="L54" i="46"/>
  <c r="AV54" i="46"/>
  <c r="AD92" i="46"/>
  <c r="BZ92" i="46"/>
  <c r="BA92" i="46"/>
  <c r="AE92" i="46"/>
  <c r="BD54" i="46"/>
  <c r="CG54" i="46"/>
  <c r="CF54" i="46"/>
  <c r="AW54" i="46"/>
  <c r="AY92" i="46"/>
  <c r="K92" i="46"/>
  <c r="CB54" i="46"/>
  <c r="X92" i="46"/>
  <c r="S54" i="46"/>
  <c r="C54" i="46"/>
  <c r="P54" i="46"/>
  <c r="AG54" i="46"/>
  <c r="T92" i="46"/>
  <c r="M54" i="46"/>
  <c r="BN54" i="46"/>
  <c r="G54" i="46"/>
  <c r="AB54" i="46"/>
  <c r="BI54" i="46"/>
  <c r="AZ54" i="46"/>
  <c r="J92" i="46"/>
  <c r="BB92" i="46"/>
  <c r="X54" i="46"/>
  <c r="W92" i="46"/>
  <c r="M92" i="46"/>
  <c r="Z92" i="46"/>
  <c r="Y92" i="46"/>
  <c r="BM54" i="46"/>
  <c r="AK54" i="46"/>
  <c r="B93" i="43" a="1"/>
  <c r="B93" i="43" s="1"/>
  <c r="L93" i="43" s="1"/>
  <c r="C104" i="43"/>
  <c r="D98" i="43"/>
  <c r="D101" i="43"/>
  <c r="I107" i="43"/>
  <c r="D94" i="43"/>
  <c r="F96" i="43"/>
  <c r="F98" i="43"/>
  <c r="I98" i="43"/>
  <c r="D105" i="43"/>
  <c r="F106" i="43"/>
  <c r="I96" i="43"/>
  <c r="I103" i="43"/>
  <c r="I97" i="43"/>
  <c r="E103" i="43"/>
  <c r="F107" i="43"/>
  <c r="D102" i="43"/>
  <c r="C98" i="43"/>
  <c r="G106" i="43"/>
  <c r="E101" i="43"/>
  <c r="I94" i="43"/>
  <c r="C100" i="43"/>
  <c r="I100" i="43"/>
  <c r="D104" i="43"/>
  <c r="E96" i="43"/>
  <c r="C96" i="43"/>
  <c r="H104" i="43"/>
  <c r="I105" i="43"/>
  <c r="E104" i="43"/>
  <c r="H98" i="43"/>
  <c r="G101" i="43"/>
  <c r="E94" i="43"/>
  <c r="C102" i="43"/>
  <c r="C103" i="43"/>
  <c r="G102" i="43"/>
  <c r="D100" i="43"/>
  <c r="E97" i="43"/>
  <c r="G107" i="43"/>
  <c r="E106" i="43"/>
  <c r="C101" i="43"/>
  <c r="F99" i="43"/>
  <c r="D97" i="43"/>
  <c r="I95" i="43"/>
  <c r="F104" i="43"/>
  <c r="G96" i="43"/>
  <c r="H102" i="43"/>
  <c r="F103" i="43"/>
  <c r="C106" i="43"/>
  <c r="G100" i="43"/>
  <c r="H96" i="43"/>
  <c r="G104" i="43"/>
  <c r="E105" i="43"/>
  <c r="I102" i="43"/>
  <c r="D103" i="43"/>
  <c r="C107" i="43"/>
  <c r="G103" i="43"/>
  <c r="G95" i="43"/>
  <c r="H105" i="43"/>
  <c r="C105" i="43"/>
  <c r="G99" i="43"/>
  <c r="E100" i="43"/>
  <c r="H95" i="43"/>
  <c r="I99" i="43"/>
  <c r="I101" i="43"/>
  <c r="D99" i="43"/>
  <c r="C99" i="43"/>
  <c r="F100" i="43"/>
  <c r="G94" i="43"/>
  <c r="E102" i="43"/>
  <c r="E95" i="43"/>
  <c r="D107" i="43"/>
  <c r="F102" i="43"/>
  <c r="G98" i="43"/>
  <c r="F94" i="43"/>
  <c r="G105" i="43"/>
  <c r="D106" i="43"/>
  <c r="F105" i="43"/>
  <c r="H103" i="43"/>
  <c r="C95" i="43"/>
  <c r="C97" i="43"/>
  <c r="D96" i="43"/>
  <c r="G97" i="43"/>
  <c r="F101" i="43"/>
  <c r="H101" i="43"/>
  <c r="I104" i="43"/>
  <c r="H100" i="43"/>
  <c r="H99" i="43"/>
  <c r="H97" i="43"/>
  <c r="H106" i="43"/>
  <c r="H107" i="43"/>
  <c r="F95" i="43"/>
  <c r="D95" i="43"/>
  <c r="E99" i="43"/>
  <c r="E107" i="43"/>
  <c r="F97" i="43"/>
  <c r="H94" i="43"/>
  <c r="C94" i="43"/>
  <c r="I106" i="43"/>
  <c r="E98" i="43"/>
  <c r="HK210" i="34"/>
  <c r="HL210" i="34"/>
  <c r="HP210" i="34"/>
  <c r="HQ210" i="34"/>
  <c r="HO210" i="34"/>
  <c r="HM210" i="34"/>
  <c r="HN210" i="34"/>
  <c r="B83" i="55"/>
  <c r="B47" i="55"/>
  <c r="B65" i="55"/>
  <c r="B103" i="55"/>
  <c r="B121" i="55"/>
  <c r="B29" i="55"/>
  <c r="B117" i="46"/>
  <c r="B135" i="46"/>
  <c r="L135" i="46" s="1"/>
  <c r="M59" i="46"/>
  <c r="BS59" i="46"/>
  <c r="AD59" i="46"/>
  <c r="AB97" i="46"/>
  <c r="BY59" i="46"/>
  <c r="BU97" i="46"/>
  <c r="X59" i="46"/>
  <c r="Z97" i="46"/>
  <c r="CA59" i="46"/>
  <c r="AA97" i="46"/>
  <c r="AE97" i="46"/>
  <c r="AN59" i="46"/>
  <c r="CD59" i="46"/>
  <c r="AS97" i="46"/>
  <c r="F59" i="46"/>
  <c r="BC59" i="46"/>
  <c r="CG59" i="46"/>
  <c r="AP97" i="46"/>
  <c r="CD97" i="46"/>
  <c r="CH59" i="46"/>
  <c r="AC59" i="46"/>
  <c r="AN97" i="46"/>
  <c r="AT59" i="46"/>
  <c r="BE59" i="46"/>
  <c r="AY59" i="46"/>
  <c r="AP59" i="46"/>
  <c r="BN97" i="46"/>
  <c r="BH97" i="46"/>
  <c r="W97" i="46"/>
  <c r="AV97" i="46"/>
  <c r="BA97" i="46"/>
  <c r="Q59" i="46"/>
  <c r="I59" i="46"/>
  <c r="M97" i="46"/>
  <c r="BD59" i="46"/>
  <c r="BQ97" i="46"/>
  <c r="BH59" i="46"/>
  <c r="AF59" i="46"/>
  <c r="BW97" i="46"/>
  <c r="H59" i="46"/>
  <c r="C97" i="46"/>
  <c r="BY97" i="46"/>
  <c r="BR97" i="46"/>
  <c r="CF97" i="46"/>
  <c r="K59" i="46"/>
  <c r="W59" i="46"/>
  <c r="I97" i="46"/>
  <c r="BZ59" i="46"/>
  <c r="BF97" i="46"/>
  <c r="BJ97" i="46"/>
  <c r="D59" i="46"/>
  <c r="N97" i="46"/>
  <c r="AR59" i="46"/>
  <c r="AH59" i="46"/>
  <c r="AI97" i="46"/>
  <c r="BF59" i="46"/>
  <c r="BO97" i="46"/>
  <c r="BD97" i="46"/>
  <c r="O59" i="46"/>
  <c r="V59" i="46"/>
  <c r="AJ59" i="46"/>
  <c r="CE59" i="46"/>
  <c r="CB97" i="46"/>
  <c r="G97" i="46"/>
  <c r="CG97" i="46"/>
  <c r="BB59" i="46"/>
  <c r="BE97" i="46"/>
  <c r="AJ97" i="46"/>
  <c r="AU59" i="46"/>
  <c r="Z59" i="46"/>
  <c r="AX97" i="46"/>
  <c r="R59" i="46"/>
  <c r="T59" i="46"/>
  <c r="E97" i="46"/>
  <c r="AQ59" i="46"/>
  <c r="S97" i="46"/>
  <c r="P59" i="46"/>
  <c r="X97" i="46"/>
  <c r="P97" i="46"/>
  <c r="BK59" i="46"/>
  <c r="G59" i="46"/>
  <c r="AA59" i="46"/>
  <c r="BJ59" i="46"/>
  <c r="BM97" i="46"/>
  <c r="D97" i="46"/>
  <c r="BQ59" i="46"/>
  <c r="CB59" i="46"/>
  <c r="AH97" i="46"/>
  <c r="CF59" i="46"/>
  <c r="BU59" i="46"/>
  <c r="BO59" i="46"/>
  <c r="AM59" i="46"/>
  <c r="Y59" i="46"/>
  <c r="S59" i="46"/>
  <c r="R97" i="46"/>
  <c r="CC59" i="46"/>
  <c r="F97" i="46"/>
  <c r="BX97" i="46"/>
  <c r="L59" i="46"/>
  <c r="BL59" i="46"/>
  <c r="AI59" i="46"/>
  <c r="C59" i="46"/>
  <c r="AZ59" i="46"/>
  <c r="BV97" i="46"/>
  <c r="L97" i="46"/>
  <c r="CH97" i="46"/>
  <c r="AQ97" i="46"/>
  <c r="AD97" i="46"/>
  <c r="BI97" i="46"/>
  <c r="BT97" i="46"/>
  <c r="BP97" i="46"/>
  <c r="CC97" i="46"/>
  <c r="AO59" i="46"/>
  <c r="Q97" i="46"/>
  <c r="J97" i="46"/>
  <c r="V97" i="46"/>
  <c r="BC97" i="46"/>
  <c r="AL97" i="46"/>
  <c r="AY97" i="46"/>
  <c r="AU97" i="46"/>
  <c r="AZ97" i="46"/>
  <c r="BG59" i="46"/>
  <c r="BB97" i="46"/>
  <c r="BM59" i="46"/>
  <c r="BN59" i="46"/>
  <c r="AW97" i="46"/>
  <c r="AK59" i="46"/>
  <c r="H97" i="46"/>
  <c r="AL59" i="46"/>
  <c r="AS59" i="46"/>
  <c r="BV59" i="46"/>
  <c r="E59" i="46"/>
  <c r="BK97" i="46"/>
  <c r="CE97" i="46"/>
  <c r="AO97" i="46"/>
  <c r="AW59" i="46"/>
  <c r="BG97" i="46"/>
  <c r="O97" i="46"/>
  <c r="AM97" i="46"/>
  <c r="AB59" i="46"/>
  <c r="BW59" i="46"/>
  <c r="AT97" i="46"/>
  <c r="J59" i="46"/>
  <c r="N59" i="46"/>
  <c r="AF97" i="46"/>
  <c r="AV59" i="46"/>
  <c r="Y97" i="46"/>
  <c r="AX59" i="46"/>
  <c r="BA59" i="46"/>
  <c r="AR97" i="46"/>
  <c r="BP59" i="46"/>
  <c r="AK97" i="46"/>
  <c r="AC97" i="46"/>
  <c r="BR59" i="46"/>
  <c r="K97" i="46"/>
  <c r="BS97" i="46"/>
  <c r="BX59" i="46"/>
  <c r="T97" i="46"/>
  <c r="BT59" i="46"/>
  <c r="BL97" i="46"/>
  <c r="BI59" i="46"/>
  <c r="AE59" i="46"/>
  <c r="CA97" i="46"/>
  <c r="U97" i="46"/>
  <c r="U59" i="46"/>
  <c r="AG59" i="46"/>
  <c r="BZ97" i="46"/>
  <c r="AG97" i="46"/>
  <c r="B110" i="46"/>
  <c r="B128" i="46"/>
  <c r="L128" i="46" s="1"/>
  <c r="BC90" i="46"/>
  <c r="E90" i="46"/>
  <c r="BK52" i="46"/>
  <c r="BU90" i="46"/>
  <c r="AZ90" i="46"/>
  <c r="K52" i="46"/>
  <c r="BQ90" i="46"/>
  <c r="W52" i="46"/>
  <c r="BG90" i="46"/>
  <c r="CG90" i="46"/>
  <c r="AH52" i="46"/>
  <c r="AV90" i="46"/>
  <c r="M90" i="46"/>
  <c r="CB52" i="46"/>
  <c r="BF90" i="46"/>
  <c r="AT90" i="46"/>
  <c r="AX52" i="46"/>
  <c r="C90" i="46"/>
  <c r="BO90" i="46"/>
  <c r="BW90" i="46"/>
  <c r="AL52" i="46"/>
  <c r="BL52" i="46"/>
  <c r="Z52" i="46"/>
  <c r="T52" i="46"/>
  <c r="AS52" i="46"/>
  <c r="AI90" i="46"/>
  <c r="I90" i="46"/>
  <c r="L52" i="46"/>
  <c r="N52" i="46"/>
  <c r="AW52" i="46"/>
  <c r="T90" i="46"/>
  <c r="P52" i="46"/>
  <c r="AV52" i="46"/>
  <c r="L90" i="46"/>
  <c r="BW52" i="46"/>
  <c r="AQ52" i="46"/>
  <c r="CF52" i="46"/>
  <c r="Q90" i="46"/>
  <c r="BY52" i="46"/>
  <c r="BY90" i="46"/>
  <c r="AT52" i="46"/>
  <c r="AW90" i="46"/>
  <c r="F90" i="46"/>
  <c r="AR52" i="46"/>
  <c r="K90" i="46"/>
  <c r="AN90" i="46"/>
  <c r="AM52" i="46"/>
  <c r="AA52" i="46"/>
  <c r="E52" i="46"/>
  <c r="BH52" i="46"/>
  <c r="J90" i="46"/>
  <c r="AP90" i="46"/>
  <c r="I52" i="46"/>
  <c r="U52" i="46"/>
  <c r="AH90" i="46"/>
  <c r="CC52" i="46"/>
  <c r="AX90" i="46"/>
  <c r="CD90" i="46"/>
  <c r="H52" i="46"/>
  <c r="BO52" i="46"/>
  <c r="D90" i="46"/>
  <c r="R52" i="46"/>
  <c r="AN52" i="46"/>
  <c r="BI52" i="46"/>
  <c r="AB52" i="46"/>
  <c r="AO52" i="46"/>
  <c r="AF52" i="46"/>
  <c r="D52" i="46"/>
  <c r="X90" i="46"/>
  <c r="U90" i="46"/>
  <c r="CF90" i="46"/>
  <c r="AC52" i="46"/>
  <c r="AU90" i="46"/>
  <c r="BX90" i="46"/>
  <c r="AY90" i="46"/>
  <c r="AS90" i="46"/>
  <c r="BC52" i="46"/>
  <c r="CH52" i="46"/>
  <c r="AK90" i="46"/>
  <c r="W90" i="46"/>
  <c r="CE90" i="46"/>
  <c r="F52" i="46"/>
  <c r="BJ52" i="46"/>
  <c r="BU52" i="46"/>
  <c r="AE52" i="46"/>
  <c r="BD90" i="46"/>
  <c r="BB90" i="46"/>
  <c r="O52" i="46"/>
  <c r="BN90" i="46"/>
  <c r="AD52" i="46"/>
  <c r="BI90" i="46"/>
  <c r="AP52" i="46"/>
  <c r="G90" i="46"/>
  <c r="V52" i="46"/>
  <c r="AF90" i="46"/>
  <c r="AQ90" i="46"/>
  <c r="J52" i="46"/>
  <c r="BT90" i="46"/>
  <c r="BD52" i="46"/>
  <c r="BS90" i="46"/>
  <c r="BM52" i="46"/>
  <c r="S52" i="46"/>
  <c r="BZ52" i="46"/>
  <c r="AE90" i="46"/>
  <c r="AU52" i="46"/>
  <c r="BB52" i="46"/>
  <c r="BG52" i="46"/>
  <c r="AL90" i="46"/>
  <c r="BE52" i="46"/>
  <c r="BL90" i="46"/>
  <c r="S90" i="46"/>
  <c r="BV90" i="46"/>
  <c r="BR90" i="46"/>
  <c r="BA90" i="46"/>
  <c r="C52" i="46"/>
  <c r="V90" i="46"/>
  <c r="AK52" i="46"/>
  <c r="M52" i="46"/>
  <c r="N90" i="46"/>
  <c r="CD52" i="46"/>
  <c r="AZ52" i="46"/>
  <c r="Q52" i="46"/>
  <c r="BX52" i="46"/>
  <c r="P90" i="46"/>
  <c r="X52" i="46"/>
  <c r="CA90" i="46"/>
  <c r="BM90" i="46"/>
  <c r="CC90" i="46"/>
  <c r="Z90" i="46"/>
  <c r="AB90" i="46"/>
  <c r="AD90" i="46"/>
  <c r="BF52" i="46"/>
  <c r="H90" i="46"/>
  <c r="BE90" i="46"/>
  <c r="AJ52" i="46"/>
  <c r="AA90" i="46"/>
  <c r="AR90" i="46"/>
  <c r="CA52" i="46"/>
  <c r="BN52" i="46"/>
  <c r="AY52" i="46"/>
  <c r="AG90" i="46"/>
  <c r="BK90" i="46"/>
  <c r="Y90" i="46"/>
  <c r="AG52" i="46"/>
  <c r="AM90" i="46"/>
  <c r="BS52" i="46"/>
  <c r="R90" i="46"/>
  <c r="BP90" i="46"/>
  <c r="CB90" i="46"/>
  <c r="BT52" i="46"/>
  <c r="BQ52" i="46"/>
  <c r="AO90" i="46"/>
  <c r="BV52" i="46"/>
  <c r="BA52" i="46"/>
  <c r="CH90" i="46"/>
  <c r="BH90" i="46"/>
  <c r="CE52" i="46"/>
  <c r="BP52" i="46"/>
  <c r="AI52" i="46"/>
  <c r="G52" i="46"/>
  <c r="BR52" i="46"/>
  <c r="BZ90" i="46"/>
  <c r="BJ90" i="46"/>
  <c r="AJ90" i="46"/>
  <c r="Y52" i="46"/>
  <c r="CG52" i="46"/>
  <c r="O90" i="46"/>
  <c r="AC90" i="46"/>
  <c r="B51" i="44"/>
  <c r="B31" i="44"/>
  <c r="B121" i="46"/>
  <c r="B139" i="46"/>
  <c r="L139" i="46" s="1"/>
  <c r="Q63" i="46"/>
  <c r="BT101" i="46"/>
  <c r="BI101" i="46"/>
  <c r="AK101" i="46"/>
  <c r="BR63" i="46"/>
  <c r="X63" i="46"/>
  <c r="AC63" i="46"/>
  <c r="AV101" i="46"/>
  <c r="O63" i="46"/>
  <c r="AZ101" i="46"/>
  <c r="CA101" i="46"/>
  <c r="BL101" i="46"/>
  <c r="AT101" i="46"/>
  <c r="BH63" i="46"/>
  <c r="P63" i="46"/>
  <c r="CH63" i="46"/>
  <c r="BG101" i="46"/>
  <c r="AM63" i="46"/>
  <c r="BD63" i="46"/>
  <c r="BS63" i="46"/>
  <c r="BC101" i="46"/>
  <c r="V63" i="46"/>
  <c r="BJ63" i="46"/>
  <c r="CH101" i="46"/>
  <c r="M101" i="46"/>
  <c r="H63" i="46"/>
  <c r="AO101" i="46"/>
  <c r="H101" i="46"/>
  <c r="CC63" i="46"/>
  <c r="BO101" i="46"/>
  <c r="AB63" i="46"/>
  <c r="BT63" i="46"/>
  <c r="S63" i="46"/>
  <c r="BV63" i="46"/>
  <c r="R63" i="46"/>
  <c r="CF101" i="46"/>
  <c r="BF101" i="46"/>
  <c r="BM101" i="46"/>
  <c r="L101" i="46"/>
  <c r="J101" i="46"/>
  <c r="AQ63" i="46"/>
  <c r="AH63" i="46"/>
  <c r="Y63" i="46"/>
  <c r="BV101" i="46"/>
  <c r="I101" i="46"/>
  <c r="I63" i="46"/>
  <c r="AG101" i="46"/>
  <c r="AW63" i="46"/>
  <c r="T101" i="46"/>
  <c r="AC101" i="46"/>
  <c r="AI101" i="46"/>
  <c r="E63" i="46"/>
  <c r="AD63" i="46"/>
  <c r="P101" i="46"/>
  <c r="L63" i="46"/>
  <c r="AE63" i="46"/>
  <c r="C63" i="46"/>
  <c r="BQ63" i="46"/>
  <c r="BH101" i="46"/>
  <c r="AH101" i="46"/>
  <c r="BY101" i="46"/>
  <c r="BA63" i="46"/>
  <c r="CF63" i="46"/>
  <c r="BU63" i="46"/>
  <c r="BI63" i="46"/>
  <c r="X101" i="46"/>
  <c r="BZ101" i="46"/>
  <c r="BC63" i="46"/>
  <c r="N63" i="46"/>
  <c r="AF101" i="46"/>
  <c r="BA101" i="46"/>
  <c r="D101" i="46"/>
  <c r="BZ63" i="46"/>
  <c r="BY63" i="46"/>
  <c r="AA63" i="46"/>
  <c r="BX101" i="46"/>
  <c r="AZ63" i="46"/>
  <c r="BB63" i="46"/>
  <c r="AM101" i="46"/>
  <c r="CD63" i="46"/>
  <c r="AR101" i="46"/>
  <c r="V101" i="46"/>
  <c r="AP63" i="46"/>
  <c r="AT63" i="46"/>
  <c r="Z101" i="46"/>
  <c r="O101" i="46"/>
  <c r="AQ101" i="46"/>
  <c r="BM63" i="46"/>
  <c r="U101" i="46"/>
  <c r="CA63" i="46"/>
  <c r="M63" i="46"/>
  <c r="E101" i="46"/>
  <c r="K63" i="46"/>
  <c r="AN101" i="46"/>
  <c r="BN101" i="46"/>
  <c r="AL101" i="46"/>
  <c r="Q101" i="46"/>
  <c r="AY63" i="46"/>
  <c r="BB101" i="46"/>
  <c r="D63" i="46"/>
  <c r="AR63" i="46"/>
  <c r="BE63" i="46"/>
  <c r="AW101" i="46"/>
  <c r="BR101" i="46"/>
  <c r="AD101" i="46"/>
  <c r="AL63" i="46"/>
  <c r="G101" i="46"/>
  <c r="AV63" i="46"/>
  <c r="CE101" i="46"/>
  <c r="AJ63" i="46"/>
  <c r="S101" i="46"/>
  <c r="AB101" i="46"/>
  <c r="AI63" i="46"/>
  <c r="BK101" i="46"/>
  <c r="BW63" i="46"/>
  <c r="K101" i="46"/>
  <c r="W63" i="46"/>
  <c r="AF63" i="46"/>
  <c r="AY101" i="46"/>
  <c r="AO63" i="46"/>
  <c r="CD101" i="46"/>
  <c r="AU63" i="46"/>
  <c r="AE101" i="46"/>
  <c r="AS63" i="46"/>
  <c r="AK63" i="46"/>
  <c r="BU101" i="46"/>
  <c r="J63" i="46"/>
  <c r="AS101" i="46"/>
  <c r="R101" i="46"/>
  <c r="BQ101" i="46"/>
  <c r="CB63" i="46"/>
  <c r="F63" i="46"/>
  <c r="F101" i="46"/>
  <c r="Z63" i="46"/>
  <c r="Y101" i="46"/>
  <c r="BK63" i="46"/>
  <c r="CG101" i="46"/>
  <c r="T63" i="46"/>
  <c r="CC101" i="46"/>
  <c r="CB101" i="46"/>
  <c r="W101" i="46"/>
  <c r="BO63" i="46"/>
  <c r="AG63" i="46"/>
  <c r="AA101" i="46"/>
  <c r="BF63" i="46"/>
  <c r="BX63" i="46"/>
  <c r="AP101" i="46"/>
  <c r="BP63" i="46"/>
  <c r="BL63" i="46"/>
  <c r="BE101" i="46"/>
  <c r="BJ101" i="46"/>
  <c r="BW101" i="46"/>
  <c r="AJ101" i="46"/>
  <c r="BS101" i="46"/>
  <c r="CG63" i="46"/>
  <c r="AX63" i="46"/>
  <c r="C101" i="46"/>
  <c r="U63" i="46"/>
  <c r="BP101" i="46"/>
  <c r="G63" i="46"/>
  <c r="BD101" i="46"/>
  <c r="AU101" i="46"/>
  <c r="AX101" i="46"/>
  <c r="N101" i="46"/>
  <c r="BN63" i="46"/>
  <c r="AN63" i="46"/>
  <c r="CE63" i="46"/>
  <c r="BG63" i="46"/>
  <c r="B119" i="46"/>
  <c r="B137" i="46"/>
  <c r="L137" i="46" s="1"/>
  <c r="Y61" i="46"/>
  <c r="BO61" i="46"/>
  <c r="AI61" i="46"/>
  <c r="BK99" i="46"/>
  <c r="BE61" i="46"/>
  <c r="CD61" i="46"/>
  <c r="X99" i="46"/>
  <c r="BW61" i="46"/>
  <c r="AU99" i="46"/>
  <c r="AX61" i="46"/>
  <c r="AT99" i="46"/>
  <c r="CF61" i="46"/>
  <c r="AO99" i="46"/>
  <c r="CF99" i="46"/>
  <c r="AE99" i="46"/>
  <c r="AM61" i="46"/>
  <c r="L61" i="46"/>
  <c r="AC61" i="46"/>
  <c r="BB99" i="46"/>
  <c r="AW99" i="46"/>
  <c r="C99" i="46"/>
  <c r="W61" i="46"/>
  <c r="AY61" i="46"/>
  <c r="C61" i="46"/>
  <c r="W99" i="46"/>
  <c r="BT61" i="46"/>
  <c r="BB61" i="46"/>
  <c r="G99" i="46"/>
  <c r="AJ61" i="46"/>
  <c r="CC99" i="46"/>
  <c r="E99" i="46"/>
  <c r="BR99" i="46"/>
  <c r="CA61" i="46"/>
  <c r="AH99" i="46"/>
  <c r="AN99" i="46"/>
  <c r="P99" i="46"/>
  <c r="BQ99" i="46"/>
  <c r="D61" i="46"/>
  <c r="AO61" i="46"/>
  <c r="BU99" i="46"/>
  <c r="BS99" i="46"/>
  <c r="Q61" i="46"/>
  <c r="BN99" i="46"/>
  <c r="BI61" i="46"/>
  <c r="P61" i="46"/>
  <c r="AK61" i="46"/>
  <c r="BX61" i="46"/>
  <c r="BX99" i="46"/>
  <c r="AB61" i="46"/>
  <c r="AH61" i="46"/>
  <c r="I61" i="46"/>
  <c r="BC99" i="46"/>
  <c r="J61" i="46"/>
  <c r="AM99" i="46"/>
  <c r="BJ99" i="46"/>
  <c r="CA99" i="46"/>
  <c r="AB99" i="46"/>
  <c r="CD99" i="46"/>
  <c r="AY99" i="46"/>
  <c r="Q99" i="46"/>
  <c r="AJ99" i="46"/>
  <c r="CB99" i="46"/>
  <c r="AP99" i="46"/>
  <c r="U61" i="46"/>
  <c r="BP61" i="46"/>
  <c r="CB61" i="46"/>
  <c r="K99" i="46"/>
  <c r="BC61" i="46"/>
  <c r="V61" i="46"/>
  <c r="AT61" i="46"/>
  <c r="K61" i="46"/>
  <c r="F99" i="46"/>
  <c r="G61" i="46"/>
  <c r="Y99" i="46"/>
  <c r="AA61" i="46"/>
  <c r="R99" i="46"/>
  <c r="Z61" i="46"/>
  <c r="BE99" i="46"/>
  <c r="BV99" i="46"/>
  <c r="Z99" i="46"/>
  <c r="AK99" i="46"/>
  <c r="BK61" i="46"/>
  <c r="BW99" i="46"/>
  <c r="J99" i="46"/>
  <c r="BO99" i="46"/>
  <c r="BR61" i="46"/>
  <c r="AA99" i="46"/>
  <c r="BN61" i="46"/>
  <c r="M61" i="46"/>
  <c r="BY99" i="46"/>
  <c r="BG99" i="46"/>
  <c r="I99" i="46"/>
  <c r="F61" i="46"/>
  <c r="AS99" i="46"/>
  <c r="O61" i="46"/>
  <c r="AV99" i="46"/>
  <c r="H61" i="46"/>
  <c r="D99" i="46"/>
  <c r="AZ99" i="46"/>
  <c r="X61" i="46"/>
  <c r="N99" i="46"/>
  <c r="BY61" i="46"/>
  <c r="AQ99" i="46"/>
  <c r="BM99" i="46"/>
  <c r="E61" i="46"/>
  <c r="BG61" i="46"/>
  <c r="BD99" i="46"/>
  <c r="AE61" i="46"/>
  <c r="AR61" i="46"/>
  <c r="BU61" i="46"/>
  <c r="S99" i="46"/>
  <c r="AF61" i="46"/>
  <c r="CE99" i="46"/>
  <c r="BL99" i="46"/>
  <c r="T99" i="46"/>
  <c r="AZ61" i="46"/>
  <c r="AF99" i="46"/>
  <c r="AQ61" i="46"/>
  <c r="BF99" i="46"/>
  <c r="CH61" i="46"/>
  <c r="CG99" i="46"/>
  <c r="BH61" i="46"/>
  <c r="O99" i="46"/>
  <c r="AN61" i="46"/>
  <c r="BA61" i="46"/>
  <c r="AL61" i="46"/>
  <c r="CC61" i="46"/>
  <c r="AG61" i="46"/>
  <c r="BM61" i="46"/>
  <c r="V99" i="46"/>
  <c r="S61" i="46"/>
  <c r="M99" i="46"/>
  <c r="AD61" i="46"/>
  <c r="CH99" i="46"/>
  <c r="AP61" i="46"/>
  <c r="AS61" i="46"/>
  <c r="AR99" i="46"/>
  <c r="BV61" i="46"/>
  <c r="BZ99" i="46"/>
  <c r="BQ61" i="46"/>
  <c r="AU61" i="46"/>
  <c r="BA99" i="46"/>
  <c r="BD61" i="46"/>
  <c r="T61" i="46"/>
  <c r="BI99" i="46"/>
  <c r="AG99" i="46"/>
  <c r="AC99" i="46"/>
  <c r="BP99" i="46"/>
  <c r="BJ61" i="46"/>
  <c r="BF61" i="46"/>
  <c r="BS61" i="46"/>
  <c r="AI99" i="46"/>
  <c r="BH99" i="46"/>
  <c r="N61" i="46"/>
  <c r="R61" i="46"/>
  <c r="AX99" i="46"/>
  <c r="BT99" i="46"/>
  <c r="L99" i="46"/>
  <c r="U99" i="46"/>
  <c r="BL61" i="46"/>
  <c r="H99" i="46"/>
  <c r="CG61" i="46"/>
  <c r="AV61" i="46"/>
  <c r="AW61" i="46"/>
  <c r="AD99" i="46"/>
  <c r="AL99" i="46"/>
  <c r="BZ61" i="46"/>
  <c r="CE61" i="46"/>
  <c r="B115" i="46"/>
  <c r="B133" i="46"/>
  <c r="L133" i="46" s="1"/>
  <c r="BT57" i="46"/>
  <c r="BC57" i="46"/>
  <c r="W95" i="46"/>
  <c r="BO57" i="46"/>
  <c r="J95" i="46"/>
  <c r="CF95" i="46"/>
  <c r="N57" i="46"/>
  <c r="F95" i="46"/>
  <c r="BR95" i="46"/>
  <c r="AF57" i="46"/>
  <c r="X57" i="46"/>
  <c r="V95" i="46"/>
  <c r="AB95" i="46"/>
  <c r="AJ57" i="46"/>
  <c r="BH95" i="46"/>
  <c r="E57" i="46"/>
  <c r="AH95" i="46"/>
  <c r="AX57" i="46"/>
  <c r="Y95" i="46"/>
  <c r="AK57" i="46"/>
  <c r="T57" i="46"/>
  <c r="BB95" i="46"/>
  <c r="W57" i="46"/>
  <c r="H95" i="46"/>
  <c r="BZ57" i="46"/>
  <c r="CE57" i="46"/>
  <c r="BS95" i="46"/>
  <c r="AS57" i="46"/>
  <c r="Y57" i="46"/>
  <c r="BZ95" i="46"/>
  <c r="AS95" i="46"/>
  <c r="AG95" i="46"/>
  <c r="BI95" i="46"/>
  <c r="T95" i="46"/>
  <c r="D95" i="46"/>
  <c r="CB95" i="46"/>
  <c r="G95" i="46"/>
  <c r="AV57" i="46"/>
  <c r="AB57" i="46"/>
  <c r="S57" i="46"/>
  <c r="P57" i="46"/>
  <c r="AR95" i="46"/>
  <c r="BN57" i="46"/>
  <c r="K95" i="46"/>
  <c r="BJ57" i="46"/>
  <c r="BL95" i="46"/>
  <c r="BB57" i="46"/>
  <c r="BP57" i="46"/>
  <c r="AT57" i="46"/>
  <c r="L95" i="46"/>
  <c r="CA57" i="46"/>
  <c r="AE95" i="46"/>
  <c r="BR57" i="46"/>
  <c r="AP95" i="46"/>
  <c r="CC95" i="46"/>
  <c r="AD95" i="46"/>
  <c r="AI95" i="46"/>
  <c r="BV57" i="46"/>
  <c r="AD57" i="46"/>
  <c r="AC95" i="46"/>
  <c r="N95" i="46"/>
  <c r="J57" i="46"/>
  <c r="BC95" i="46"/>
  <c r="AE57" i="46"/>
  <c r="BD57" i="46"/>
  <c r="CH57" i="46"/>
  <c r="O95" i="46"/>
  <c r="CC57" i="46"/>
  <c r="CH95" i="46"/>
  <c r="BQ95" i="46"/>
  <c r="BY95" i="46"/>
  <c r="AM57" i="46"/>
  <c r="AR57" i="46"/>
  <c r="CE95" i="46"/>
  <c r="BT95" i="46"/>
  <c r="BL57" i="46"/>
  <c r="BA95" i="46"/>
  <c r="AO57" i="46"/>
  <c r="CA95" i="46"/>
  <c r="U57" i="46"/>
  <c r="BE57" i="46"/>
  <c r="CD95" i="46"/>
  <c r="BF95" i="46"/>
  <c r="V57" i="46"/>
  <c r="BK95" i="46"/>
  <c r="Q57" i="46"/>
  <c r="BO95" i="46"/>
  <c r="D57" i="46"/>
  <c r="H57" i="46"/>
  <c r="BP95" i="46"/>
  <c r="BW95" i="46"/>
  <c r="CD57" i="46"/>
  <c r="AJ95" i="46"/>
  <c r="BU57" i="46"/>
  <c r="BM57" i="46"/>
  <c r="BX95" i="46"/>
  <c r="C95" i="46"/>
  <c r="M95" i="46"/>
  <c r="BW57" i="46"/>
  <c r="AW57" i="46"/>
  <c r="U95" i="46"/>
  <c r="CG95" i="46"/>
  <c r="AA57" i="46"/>
  <c r="BJ95" i="46"/>
  <c r="G57" i="46"/>
  <c r="AY95" i="46"/>
  <c r="BG95" i="46"/>
  <c r="AH57" i="46"/>
  <c r="BQ57" i="46"/>
  <c r="AO95" i="46"/>
  <c r="AW95" i="46"/>
  <c r="BH57" i="46"/>
  <c r="Z57" i="46"/>
  <c r="AP57" i="46"/>
  <c r="X95" i="46"/>
  <c r="Q95" i="46"/>
  <c r="BM95" i="46"/>
  <c r="BI57" i="46"/>
  <c r="BU95" i="46"/>
  <c r="BG57" i="46"/>
  <c r="BA57" i="46"/>
  <c r="Z95" i="46"/>
  <c r="BF57" i="46"/>
  <c r="E95" i="46"/>
  <c r="AL95" i="46"/>
  <c r="AU57" i="46"/>
  <c r="AA95" i="46"/>
  <c r="AT95" i="46"/>
  <c r="C57" i="46"/>
  <c r="S95" i="46"/>
  <c r="BD95" i="46"/>
  <c r="AG57" i="46"/>
  <c r="BY57" i="46"/>
  <c r="R95" i="46"/>
  <c r="AK95" i="46"/>
  <c r="R57" i="46"/>
  <c r="K57" i="46"/>
  <c r="CF57" i="46"/>
  <c r="AC57" i="46"/>
  <c r="AU95" i="46"/>
  <c r="CB57" i="46"/>
  <c r="AL57" i="46"/>
  <c r="AF95" i="46"/>
  <c r="I95" i="46"/>
  <c r="AZ57" i="46"/>
  <c r="O57" i="46"/>
  <c r="P95" i="46"/>
  <c r="I57" i="46"/>
  <c r="BK57" i="46"/>
  <c r="AX95" i="46"/>
  <c r="BV95" i="46"/>
  <c r="M57" i="46"/>
  <c r="F57" i="46"/>
  <c r="AN57" i="46"/>
  <c r="BS57" i="46"/>
  <c r="AZ95" i="46"/>
  <c r="AQ57" i="46"/>
  <c r="CG57" i="46"/>
  <c r="BE95" i="46"/>
  <c r="AQ95" i="46"/>
  <c r="L57" i="46"/>
  <c r="AV95" i="46"/>
  <c r="AI57" i="46"/>
  <c r="AN95" i="46"/>
  <c r="AY57" i="46"/>
  <c r="BN95" i="46"/>
  <c r="BX57" i="46"/>
  <c r="AM95" i="46"/>
  <c r="B33" i="46"/>
  <c r="B51" i="46"/>
  <c r="B89" i="46"/>
  <c r="B71" i="46"/>
  <c r="H11" i="46"/>
  <c r="AL11" i="46"/>
  <c r="CD11" i="46"/>
  <c r="O11" i="46"/>
  <c r="CF11" i="46"/>
  <c r="F11" i="46"/>
  <c r="AC11" i="46"/>
  <c r="BH11" i="46"/>
  <c r="AE11" i="46"/>
  <c r="BU11" i="46"/>
  <c r="BP11" i="46"/>
  <c r="BF11" i="46"/>
  <c r="AU11" i="46"/>
  <c r="T11" i="46"/>
  <c r="W11" i="46"/>
  <c r="U11" i="46"/>
  <c r="AK11" i="46"/>
  <c r="AH11" i="46"/>
  <c r="BQ11" i="46"/>
  <c r="BR11" i="46"/>
  <c r="BA11" i="46"/>
  <c r="R11" i="46"/>
  <c r="AM11" i="46"/>
  <c r="CA11" i="46"/>
  <c r="S11" i="46"/>
  <c r="BX11" i="46"/>
  <c r="AX11" i="46"/>
  <c r="BW11" i="46"/>
  <c r="X11" i="46"/>
  <c r="K11" i="46"/>
  <c r="BY11" i="46"/>
  <c r="CE11" i="46"/>
  <c r="AY11" i="46"/>
  <c r="BS11" i="46"/>
  <c r="AG11" i="46"/>
  <c r="L11" i="46"/>
  <c r="AA11" i="46"/>
  <c r="BI11" i="46"/>
  <c r="AS11" i="46"/>
  <c r="CC11" i="46"/>
  <c r="AJ11" i="46"/>
  <c r="BN11" i="46"/>
  <c r="J11" i="46"/>
  <c r="AV11" i="46"/>
  <c r="AW11" i="46"/>
  <c r="CG11" i="46"/>
  <c r="BM11" i="46"/>
  <c r="AF11" i="46"/>
  <c r="BL11" i="46"/>
  <c r="AD11" i="46"/>
  <c r="AN11" i="46"/>
  <c r="I11" i="46"/>
  <c r="Y11" i="46"/>
  <c r="BV11" i="46"/>
  <c r="CH11" i="46"/>
  <c r="AP11" i="46"/>
  <c r="M11" i="46"/>
  <c r="AO11" i="46"/>
  <c r="AB11" i="46"/>
  <c r="C11" i="46"/>
  <c r="AI11" i="46"/>
  <c r="D11" i="46"/>
  <c r="BC11" i="46"/>
  <c r="E11" i="46"/>
  <c r="V11" i="46"/>
  <c r="BE11" i="46"/>
  <c r="G11" i="46"/>
  <c r="CB11" i="46"/>
  <c r="BB11" i="46"/>
  <c r="BD11" i="46"/>
  <c r="AT11" i="46"/>
  <c r="BG11" i="46"/>
  <c r="Z11" i="46"/>
  <c r="P11" i="46"/>
  <c r="BO11" i="46"/>
  <c r="BJ11" i="46"/>
  <c r="BZ11" i="46"/>
  <c r="N11" i="46"/>
  <c r="AZ11" i="46"/>
  <c r="BK11" i="46"/>
  <c r="Q11" i="46"/>
  <c r="BT11" i="46"/>
  <c r="AR11" i="46"/>
  <c r="AQ11" i="46"/>
  <c r="ID179" i="34" l="1"/>
  <c r="HQ208" i="34"/>
  <c r="HO208" i="34"/>
  <c r="HU88" i="34"/>
  <c r="HQ88" i="34"/>
  <c r="HL88" i="34"/>
  <c r="HM88" i="34"/>
  <c r="HL245" i="34"/>
  <c r="HP245" i="34"/>
  <c r="HN88" i="34"/>
  <c r="HO88" i="34"/>
  <c r="HP88" i="34"/>
  <c r="HK245" i="34"/>
  <c r="HM245" i="34"/>
  <c r="HO245" i="34"/>
  <c r="HQ245" i="34"/>
  <c r="HN245" i="34"/>
  <c r="L131" i="46"/>
  <c r="L24" i="43"/>
  <c r="L26" i="43" s="1"/>
  <c r="S47" i="40"/>
  <c r="S52" i="40"/>
  <c r="HN208" i="34"/>
  <c r="S54" i="40"/>
  <c r="L130" i="43"/>
  <c r="L132" i="43" s="1"/>
  <c r="L42" i="44"/>
  <c r="L62" i="44" s="1"/>
  <c r="L38" i="44"/>
  <c r="L58" i="44" s="1"/>
  <c r="HL229" i="34"/>
  <c r="S46" i="40"/>
  <c r="L152" i="43"/>
  <c r="L154" i="43" s="1"/>
  <c r="L79" i="43"/>
  <c r="L78" i="43"/>
  <c r="L77" i="43"/>
  <c r="L76" i="43"/>
  <c r="L75" i="43"/>
  <c r="L74" i="43"/>
  <c r="L85" i="43"/>
  <c r="L73" i="43"/>
  <c r="L84" i="43"/>
  <c r="L72" i="43"/>
  <c r="L83" i="43"/>
  <c r="L82" i="43"/>
  <c r="L81" i="43"/>
  <c r="L80" i="43"/>
  <c r="HO229" i="34"/>
  <c r="L108" i="43"/>
  <c r="L110" i="43" s="1"/>
  <c r="B203" i="43"/>
  <c r="L203" i="43" s="1"/>
  <c r="L204" i="43"/>
  <c r="M80" i="46" a="1"/>
  <c r="M80" i="46" s="1"/>
  <c r="L37" i="43"/>
  <c r="L57" i="43" s="1"/>
  <c r="S50" i="40" s="1"/>
  <c r="S51" i="40"/>
  <c r="S56" i="40"/>
  <c r="B181" i="43"/>
  <c r="L181" i="43" s="1"/>
  <c r="L183" i="43"/>
  <c r="L182" i="43"/>
  <c r="HL208" i="34"/>
  <c r="HM229" i="34"/>
  <c r="S55" i="40"/>
  <c r="S53" i="40"/>
  <c r="L36" i="43"/>
  <c r="L56" i="43" s="1"/>
  <c r="B159" i="43"/>
  <c r="L159" i="43" s="1"/>
  <c r="L164" i="43"/>
  <c r="L163" i="43"/>
  <c r="L162" i="43"/>
  <c r="L161" i="43"/>
  <c r="L160" i="43"/>
  <c r="L136" i="46"/>
  <c r="L37" i="44"/>
  <c r="L57" i="44" s="1"/>
  <c r="HP208" i="34"/>
  <c r="HK208" i="34"/>
  <c r="S45" i="40"/>
  <c r="HM208" i="34"/>
  <c r="S44" i="40"/>
  <c r="L134" i="46"/>
  <c r="S48" i="40"/>
  <c r="HO71" i="34"/>
  <c r="HM71" i="34"/>
  <c r="HP71" i="34"/>
  <c r="HK71" i="34"/>
  <c r="HN71" i="34"/>
  <c r="HQ71" i="34"/>
  <c r="HL71" i="34"/>
  <c r="HO126" i="34"/>
  <c r="HU126" i="34"/>
  <c r="HM11" i="34"/>
  <c r="HN26" i="34"/>
  <c r="HU26" i="34"/>
  <c r="HM85" i="34"/>
  <c r="HU85" i="34"/>
  <c r="HL118" i="34"/>
  <c r="HU118" i="34"/>
  <c r="HN175" i="34"/>
  <c r="HU175" i="34"/>
  <c r="HP13" i="34"/>
  <c r="HU13" i="34"/>
  <c r="HM8" i="34"/>
  <c r="HM250" i="34"/>
  <c r="HU250" i="34"/>
  <c r="HK41" i="34"/>
  <c r="HU41" i="34"/>
  <c r="HO176" i="34"/>
  <c r="HU176" i="34"/>
  <c r="HL116" i="34"/>
  <c r="HU116" i="34"/>
  <c r="HP54" i="34"/>
  <c r="HU54" i="34"/>
  <c r="HN143" i="34"/>
  <c r="HU143" i="34"/>
  <c r="HL232" i="34"/>
  <c r="HU232" i="34"/>
  <c r="HN124" i="34"/>
  <c r="HU124" i="34"/>
  <c r="HO10" i="34"/>
  <c r="HK102" i="34"/>
  <c r="HU102" i="34"/>
  <c r="HP96" i="34"/>
  <c r="HU96" i="34"/>
  <c r="HK229" i="34"/>
  <c r="HP219" i="34"/>
  <c r="HU219" i="34"/>
  <c r="HO239" i="34"/>
  <c r="HU239" i="34"/>
  <c r="HM206" i="34"/>
  <c r="HU206" i="34"/>
  <c r="HQ199" i="34"/>
  <c r="HU199" i="34"/>
  <c r="HK89" i="34"/>
  <c r="HU89" i="34"/>
  <c r="HN58" i="34"/>
  <c r="HU58" i="34"/>
  <c r="HO196" i="34"/>
  <c r="HU196" i="34"/>
  <c r="HM183" i="34"/>
  <c r="HU183" i="34"/>
  <c r="HN209" i="34"/>
  <c r="HU209" i="34"/>
  <c r="HL107" i="34"/>
  <c r="HU107" i="34"/>
  <c r="HN169" i="34"/>
  <c r="HU169" i="34"/>
  <c r="HO179" i="34"/>
  <c r="HU179" i="34"/>
  <c r="HM197" i="34"/>
  <c r="HU197" i="34"/>
  <c r="HP111" i="34"/>
  <c r="HU111" i="34"/>
  <c r="HQ82" i="34"/>
  <c r="HU82" i="34"/>
  <c r="HN218" i="34"/>
  <c r="HU218" i="34"/>
  <c r="HN134" i="34"/>
  <c r="HU134" i="34"/>
  <c r="HQ147" i="34"/>
  <c r="HU147" i="34"/>
  <c r="HQ90" i="34"/>
  <c r="HU90" i="34"/>
  <c r="HK195" i="34"/>
  <c r="HU195" i="34"/>
  <c r="HL231" i="34"/>
  <c r="HU231" i="34"/>
  <c r="HN156" i="34"/>
  <c r="HU156" i="34"/>
  <c r="HO235" i="34"/>
  <c r="HU235" i="34"/>
  <c r="HP127" i="34"/>
  <c r="HU127" i="34"/>
  <c r="HL67" i="34"/>
  <c r="HU67" i="34"/>
  <c r="HP242" i="34"/>
  <c r="HU242" i="34"/>
  <c r="HN252" i="34"/>
  <c r="HU252" i="34"/>
  <c r="HL180" i="34"/>
  <c r="HU180" i="34"/>
  <c r="HQ229" i="34"/>
  <c r="HK28" i="34"/>
  <c r="HU28" i="34"/>
  <c r="HK87" i="34"/>
  <c r="HU87" i="34"/>
  <c r="HQ211" i="34"/>
  <c r="HU211" i="34"/>
  <c r="HP214" i="34"/>
  <c r="HU214" i="34"/>
  <c r="HK74" i="34"/>
  <c r="HU74" i="34"/>
  <c r="HM173" i="34"/>
  <c r="HU173" i="34"/>
  <c r="HO95" i="34"/>
  <c r="HU95" i="34"/>
  <c r="HL194" i="34"/>
  <c r="HU194" i="34"/>
  <c r="HK12" i="34"/>
  <c r="HU12" i="34"/>
  <c r="HQ109" i="34"/>
  <c r="HU109" i="34"/>
  <c r="HL213" i="34"/>
  <c r="HU213" i="34"/>
  <c r="HL29" i="34"/>
  <c r="HU29" i="34"/>
  <c r="HM113" i="34"/>
  <c r="HU113" i="34"/>
  <c r="HK117" i="34"/>
  <c r="HU117" i="34"/>
  <c r="HK234" i="34"/>
  <c r="HU234" i="34"/>
  <c r="HP122" i="34"/>
  <c r="HU122" i="34"/>
  <c r="HQ53" i="34"/>
  <c r="HU53" i="34"/>
  <c r="HO241" i="34"/>
  <c r="HU241" i="34"/>
  <c r="HL92" i="34"/>
  <c r="HU92" i="34"/>
  <c r="HQ243" i="34"/>
  <c r="HU243" i="34"/>
  <c r="HP140" i="34"/>
  <c r="HU140" i="34"/>
  <c r="HQ46" i="34"/>
  <c r="HU46" i="34"/>
  <c r="HK172" i="34"/>
  <c r="HU172" i="34"/>
  <c r="HL174" i="34"/>
  <c r="HU174" i="34"/>
  <c r="HP80" i="34"/>
  <c r="HU80" i="34"/>
  <c r="HO115" i="34"/>
  <c r="HU115" i="34"/>
  <c r="HK123" i="34"/>
  <c r="HU123" i="34"/>
  <c r="HO15" i="34"/>
  <c r="HU15" i="34"/>
  <c r="HL68" i="34"/>
  <c r="HU68" i="34"/>
  <c r="HM191" i="34"/>
  <c r="HU191" i="34"/>
  <c r="HQ228" i="34"/>
  <c r="HU228" i="34"/>
  <c r="HK101" i="34"/>
  <c r="HU101" i="34"/>
  <c r="HQ145" i="34"/>
  <c r="HU145" i="34"/>
  <c r="HO150" i="34"/>
  <c r="HU150" i="34"/>
  <c r="HM128" i="34"/>
  <c r="HU128" i="34"/>
  <c r="L129" i="46"/>
  <c r="HK38" i="34"/>
  <c r="HU38" i="34"/>
  <c r="HO106" i="34"/>
  <c r="HU106" i="34"/>
  <c r="HP229" i="34"/>
  <c r="HK144" i="34"/>
  <c r="HU144" i="34"/>
  <c r="HK227" i="34"/>
  <c r="HU227" i="34"/>
  <c r="HN100" i="34"/>
  <c r="HU100" i="34"/>
  <c r="HK70" i="34"/>
  <c r="HU70" i="34"/>
  <c r="HO205" i="34"/>
  <c r="HU205" i="34"/>
  <c r="HK168" i="34"/>
  <c r="HU168" i="34"/>
  <c r="HK151" i="34"/>
  <c r="HU151" i="34"/>
  <c r="HK93" i="34"/>
  <c r="HU93" i="34"/>
  <c r="HO57" i="34"/>
  <c r="HU57" i="34"/>
  <c r="HQ215" i="34"/>
  <c r="HU215" i="34"/>
  <c r="HL181" i="34"/>
  <c r="HU181" i="34"/>
  <c r="HM246" i="34"/>
  <c r="HU246" i="34"/>
  <c r="HN81" i="34"/>
  <c r="HU81" i="34"/>
  <c r="HM35" i="34"/>
  <c r="HU35" i="34"/>
  <c r="HO135" i="34"/>
  <c r="HU135" i="34"/>
  <c r="HK104" i="34"/>
  <c r="HU104" i="34"/>
  <c r="HK25" i="34"/>
  <c r="HU25" i="34"/>
  <c r="HQ204" i="34"/>
  <c r="HU204" i="34"/>
  <c r="HO137" i="34"/>
  <c r="HU137" i="34"/>
  <c r="HO43" i="34"/>
  <c r="HU43" i="34"/>
  <c r="HL69" i="34"/>
  <c r="HU69" i="34"/>
  <c r="HP20" i="34"/>
  <c r="HU20" i="34"/>
  <c r="HN229" i="34"/>
  <c r="HQ119" i="34"/>
  <c r="HU119" i="34"/>
  <c r="HL249" i="34"/>
  <c r="HU249" i="34"/>
  <c r="HQ244" i="34"/>
  <c r="HU244" i="34"/>
  <c r="HK108" i="34"/>
  <c r="HU108" i="34"/>
  <c r="HO207" i="34"/>
  <c r="HU207" i="34"/>
  <c r="HM138" i="34"/>
  <c r="HU138" i="34"/>
  <c r="HK66" i="34"/>
  <c r="HU66" i="34"/>
  <c r="HK184" i="34"/>
  <c r="HU184" i="34"/>
  <c r="HM164" i="34"/>
  <c r="HU164" i="34"/>
  <c r="HN217" i="34"/>
  <c r="HU217" i="34"/>
  <c r="HK121" i="34"/>
  <c r="HU121" i="34"/>
  <c r="HL178" i="34"/>
  <c r="HU178" i="34"/>
  <c r="HP83" i="34"/>
  <c r="HU83" i="34"/>
  <c r="HP230" i="34"/>
  <c r="HU230" i="34"/>
  <c r="HN125" i="34"/>
  <c r="HU125" i="34"/>
  <c r="HO198" i="34"/>
  <c r="HU198" i="34"/>
  <c r="HQ157" i="34"/>
  <c r="HU157" i="34"/>
  <c r="HO63" i="34"/>
  <c r="HU63" i="34"/>
  <c r="HO136" i="34"/>
  <c r="HU136" i="34"/>
  <c r="HK171" i="34"/>
  <c r="HU171" i="34"/>
  <c r="HM167" i="34"/>
  <c r="HU167" i="34"/>
  <c r="HN9" i="34"/>
  <c r="HU9" i="34"/>
  <c r="HN55" i="34"/>
  <c r="HU55" i="34"/>
  <c r="HQ161" i="34"/>
  <c r="HU161" i="34"/>
  <c r="HQ44" i="34"/>
  <c r="HU44" i="34"/>
  <c r="HP79" i="34"/>
  <c r="HU79" i="34"/>
  <c r="HM238" i="34"/>
  <c r="HU238" i="34"/>
  <c r="HN31" i="34"/>
  <c r="HU31" i="34"/>
  <c r="HL186" i="34"/>
  <c r="HU186" i="34"/>
  <c r="HM248" i="34"/>
  <c r="HU248" i="34"/>
  <c r="HM220" i="34"/>
  <c r="HU220" i="34"/>
  <c r="HK141" i="34"/>
  <c r="HU141" i="34"/>
  <c r="HK114" i="34"/>
  <c r="HU114" i="34"/>
  <c r="HK146" i="34"/>
  <c r="HU146" i="34"/>
  <c r="HM62" i="34"/>
  <c r="HU62" i="34"/>
  <c r="HP61" i="34"/>
  <c r="HU61" i="34"/>
  <c r="HM212" i="34"/>
  <c r="HU212" i="34"/>
  <c r="HO142" i="34"/>
  <c r="HU142" i="34"/>
  <c r="HL233" i="34"/>
  <c r="HU233" i="34"/>
  <c r="HL84" i="34"/>
  <c r="HU84" i="34"/>
  <c r="HK162" i="34"/>
  <c r="HU162" i="34"/>
  <c r="HN75" i="34"/>
  <c r="HU75" i="34"/>
  <c r="HO129" i="34"/>
  <c r="HU129" i="34"/>
  <c r="M72" i="46" a="1"/>
  <c r="M72" i="46" s="1"/>
  <c r="HP218" i="34"/>
  <c r="HN86" i="34"/>
  <c r="HU86" i="34"/>
  <c r="HN110" i="34"/>
  <c r="HU110" i="34"/>
  <c r="HM103" i="34"/>
  <c r="HU103" i="34"/>
  <c r="HM73" i="34"/>
  <c r="HU73" i="34"/>
  <c r="HO240" i="34"/>
  <c r="HU240" i="34"/>
  <c r="HQ160" i="34"/>
  <c r="HU160" i="34"/>
  <c r="HM72" i="34"/>
  <c r="HU72" i="34"/>
  <c r="HL148" i="34"/>
  <c r="HU148" i="34"/>
  <c r="HN177" i="34"/>
  <c r="HU177" i="34"/>
  <c r="HK120" i="34"/>
  <c r="HU120" i="34"/>
  <c r="HO30" i="34"/>
  <c r="HU30" i="34"/>
  <c r="HL27" i="34"/>
  <c r="HU27" i="34"/>
  <c r="HQ24" i="34"/>
  <c r="HU24" i="34"/>
  <c r="HM158" i="34"/>
  <c r="HU158" i="34"/>
  <c r="HN51" i="34"/>
  <c r="HU51" i="34"/>
  <c r="HQ78" i="34"/>
  <c r="HU78" i="34"/>
  <c r="HL253" i="34"/>
  <c r="HU253" i="34"/>
  <c r="HQ139" i="34"/>
  <c r="HU139" i="34"/>
  <c r="HO180" i="34"/>
  <c r="HK180" i="34"/>
  <c r="HN180" i="34"/>
  <c r="HM180" i="34"/>
  <c r="M83" i="46" a="1"/>
  <c r="M83" i="46" s="1"/>
  <c r="HQ180" i="34"/>
  <c r="M78" i="46" a="1"/>
  <c r="M78" i="46" s="1"/>
  <c r="L35" i="16"/>
  <c r="M73" i="46" a="1"/>
  <c r="M73" i="46" s="1"/>
  <c r="HP161" i="34"/>
  <c r="L36" i="16"/>
  <c r="HO218" i="34"/>
  <c r="M76" i="46" a="1"/>
  <c r="M76" i="46" s="1"/>
  <c r="L39" i="16"/>
  <c r="L38" i="16"/>
  <c r="L40" i="16"/>
  <c r="L42" i="16"/>
  <c r="M82" i="46" a="1"/>
  <c r="M82" i="46" s="1"/>
  <c r="L41" i="16"/>
  <c r="HL44" i="34"/>
  <c r="L31" i="16"/>
  <c r="L24" i="16"/>
  <c r="L26" i="16" s="1"/>
  <c r="M77" i="46" a="1"/>
  <c r="M77" i="46" s="1"/>
  <c r="HP44" i="34"/>
  <c r="HP82" i="34"/>
  <c r="M79" i="46" a="1"/>
  <c r="M79" i="46" s="1"/>
  <c r="ID201" i="34"/>
  <c r="L43" i="16"/>
  <c r="L37" i="16"/>
  <c r="M81" i="46" a="1"/>
  <c r="M81" i="46" s="1"/>
  <c r="M74" i="46" a="1"/>
  <c r="M74" i="46" s="1"/>
  <c r="L32" i="16"/>
  <c r="HN82" i="34"/>
  <c r="HN44" i="34"/>
  <c r="HO82" i="34"/>
  <c r="L33" i="16"/>
  <c r="HK44" i="34"/>
  <c r="M75" i="46" a="1"/>
  <c r="M75" i="46" s="1"/>
  <c r="L34" i="16"/>
  <c r="HQ135" i="34"/>
  <c r="HM230" i="34"/>
  <c r="HQ113" i="34"/>
  <c r="HK230" i="34"/>
  <c r="HN230" i="34"/>
  <c r="HL122" i="34"/>
  <c r="HO96" i="34"/>
  <c r="HQ230" i="34"/>
  <c r="HN96" i="34"/>
  <c r="HQ96" i="34"/>
  <c r="HL230" i="34"/>
  <c r="HO230" i="34"/>
  <c r="HK96" i="34"/>
  <c r="HL96" i="34"/>
  <c r="HM53" i="34"/>
  <c r="HM96" i="34"/>
  <c r="HQ122" i="34"/>
  <c r="HL113" i="34"/>
  <c r="HL135" i="34"/>
  <c r="HO113" i="34"/>
  <c r="HK135" i="34"/>
  <c r="HP135" i="34"/>
  <c r="HP113" i="34"/>
  <c r="HN135" i="34"/>
  <c r="HK113" i="34"/>
  <c r="HM135" i="34"/>
  <c r="HN113" i="34"/>
  <c r="HK53" i="34"/>
  <c r="HO122" i="34"/>
  <c r="HQ102" i="34"/>
  <c r="HO53" i="34"/>
  <c r="HP53" i="34"/>
  <c r="HN53" i="34"/>
  <c r="HK122" i="34"/>
  <c r="HN122" i="34"/>
  <c r="HM102" i="34"/>
  <c r="HO102" i="34"/>
  <c r="HO46" i="34"/>
  <c r="HN102" i="34"/>
  <c r="HM46" i="34"/>
  <c r="HM122" i="34"/>
  <c r="HL53" i="34"/>
  <c r="HL102" i="34"/>
  <c r="HP102" i="34"/>
  <c r="HP142" i="34"/>
  <c r="HQ20" i="34"/>
  <c r="HK218" i="34"/>
  <c r="HL218" i="34"/>
  <c r="HQ218" i="34"/>
  <c r="HN139" i="34"/>
  <c r="HM218" i="34"/>
  <c r="HO62" i="34"/>
  <c r="HO139" i="34"/>
  <c r="ID60" i="34"/>
  <c r="ID122" i="34"/>
  <c r="HQ179" i="34"/>
  <c r="HP179" i="34"/>
  <c r="HK179" i="34"/>
  <c r="HM179" i="34"/>
  <c r="ID88" i="34"/>
  <c r="ID180" i="34"/>
  <c r="ID83" i="34"/>
  <c r="ID229" i="34"/>
  <c r="HM253" i="34"/>
  <c r="ID245" i="34"/>
  <c r="HQ253" i="34"/>
  <c r="HP107" i="34"/>
  <c r="HL20" i="34"/>
  <c r="HO84" i="34"/>
  <c r="HO233" i="34"/>
  <c r="HP196" i="34"/>
  <c r="HN253" i="34"/>
  <c r="HO44" i="34"/>
  <c r="HK82" i="34"/>
  <c r="HM20" i="34"/>
  <c r="HQ84" i="34"/>
  <c r="HL139" i="34"/>
  <c r="HM44" i="34"/>
  <c r="HM82" i="34"/>
  <c r="HK20" i="34"/>
  <c r="HK84" i="34"/>
  <c r="HP139" i="34"/>
  <c r="HO107" i="34"/>
  <c r="HQ233" i="34"/>
  <c r="HL82" i="34"/>
  <c r="HK183" i="34"/>
  <c r="HN20" i="34"/>
  <c r="HM84" i="34"/>
  <c r="HK139" i="34"/>
  <c r="HK233" i="34"/>
  <c r="HP183" i="34"/>
  <c r="HO20" i="34"/>
  <c r="HP84" i="34"/>
  <c r="HK253" i="34"/>
  <c r="HM233" i="34"/>
  <c r="HM139" i="34"/>
  <c r="HN84" i="34"/>
  <c r="HO253" i="34"/>
  <c r="HP233" i="34"/>
  <c r="HN233" i="34"/>
  <c r="HP253" i="34"/>
  <c r="HL78" i="34"/>
  <c r="HM252" i="34"/>
  <c r="HL142" i="34"/>
  <c r="HQ124" i="34"/>
  <c r="HP212" i="34"/>
  <c r="HP145" i="34"/>
  <c r="HQ212" i="34"/>
  <c r="HN145" i="34"/>
  <c r="HN35" i="34"/>
  <c r="HK29" i="34"/>
  <c r="HK242" i="34"/>
  <c r="HL141" i="34"/>
  <c r="HO242" i="34"/>
  <c r="HN109" i="34"/>
  <c r="HP141" i="34"/>
  <c r="HN242" i="34"/>
  <c r="HN29" i="34"/>
  <c r="HP150" i="34"/>
  <c r="HL150" i="34"/>
  <c r="HL12" i="34"/>
  <c r="HQ29" i="34"/>
  <c r="HM150" i="34"/>
  <c r="HN150" i="34"/>
  <c r="HQ12" i="34"/>
  <c r="HK150" i="34"/>
  <c r="HQ117" i="34"/>
  <c r="HL252" i="34"/>
  <c r="HO81" i="34"/>
  <c r="HQ252" i="34"/>
  <c r="HP62" i="34"/>
  <c r="HK252" i="34"/>
  <c r="HQ150" i="34"/>
  <c r="HO252" i="34"/>
  <c r="HP252" i="34"/>
  <c r="HK67" i="34"/>
  <c r="HM117" i="34"/>
  <c r="HQ213" i="34"/>
  <c r="HP78" i="34"/>
  <c r="HP169" i="34"/>
  <c r="HK81" i="34"/>
  <c r="HP35" i="34"/>
  <c r="HP81" i="34"/>
  <c r="HQ35" i="34"/>
  <c r="HL160" i="34"/>
  <c r="HM61" i="34"/>
  <c r="HP67" i="34"/>
  <c r="HQ67" i="34"/>
  <c r="HO67" i="34"/>
  <c r="HM160" i="34"/>
  <c r="HQ61" i="34"/>
  <c r="HO246" i="34"/>
  <c r="ID247" i="34"/>
  <c r="HQ246" i="34"/>
  <c r="HL169" i="34"/>
  <c r="HL81" i="34"/>
  <c r="HO35" i="34"/>
  <c r="HP124" i="34"/>
  <c r="HL195" i="34"/>
  <c r="HQ181" i="34"/>
  <c r="HL46" i="34"/>
  <c r="HM234" i="34"/>
  <c r="HN161" i="34"/>
  <c r="HQ242" i="34"/>
  <c r="HM161" i="34"/>
  <c r="HM29" i="34"/>
  <c r="HN142" i="34"/>
  <c r="HN46" i="34"/>
  <c r="HO78" i="34"/>
  <c r="HM89" i="34"/>
  <c r="HL212" i="34"/>
  <c r="HN151" i="34"/>
  <c r="HN67" i="34"/>
  <c r="HL242" i="34"/>
  <c r="HK209" i="34"/>
  <c r="HK107" i="34"/>
  <c r="HM81" i="34"/>
  <c r="HL35" i="34"/>
  <c r="ID255" i="34"/>
  <c r="HO181" i="34"/>
  <c r="HM107" i="34"/>
  <c r="HO161" i="34"/>
  <c r="HN212" i="34"/>
  <c r="HM142" i="34"/>
  <c r="HM78" i="34"/>
  <c r="HK212" i="34"/>
  <c r="HO29" i="34"/>
  <c r="HN83" i="34"/>
  <c r="HK142" i="34"/>
  <c r="HP46" i="34"/>
  <c r="HO141" i="34"/>
  <c r="HO212" i="34"/>
  <c r="HN12" i="34"/>
  <c r="HM67" i="34"/>
  <c r="HM242" i="34"/>
  <c r="HN107" i="34"/>
  <c r="HQ81" i="34"/>
  <c r="HL161" i="34"/>
  <c r="HK35" i="34"/>
  <c r="ID20" i="34"/>
  <c r="ID254" i="34"/>
  <c r="ID252" i="34"/>
  <c r="HK164" i="34"/>
  <c r="HP29" i="34"/>
  <c r="HQ142" i="34"/>
  <c r="HN164" i="34"/>
  <c r="HM209" i="34"/>
  <c r="HQ107" i="34"/>
  <c r="HK46" i="34"/>
  <c r="HQ209" i="34"/>
  <c r="HM145" i="34"/>
  <c r="HM83" i="34"/>
  <c r="HQ141" i="34"/>
  <c r="HO12" i="34"/>
  <c r="HO254" i="34"/>
  <c r="HN254" i="34"/>
  <c r="HP254" i="34"/>
  <c r="HQ254" i="34"/>
  <c r="HM254" i="34"/>
  <c r="HL254" i="34"/>
  <c r="HK254" i="34"/>
  <c r="HO251" i="34"/>
  <c r="HL251" i="34"/>
  <c r="HQ251" i="34"/>
  <c r="HN251" i="34"/>
  <c r="HM251" i="34"/>
  <c r="HP251" i="34"/>
  <c r="HK251" i="34"/>
  <c r="HQ169" i="34"/>
  <c r="ID113" i="34"/>
  <c r="HK169" i="34"/>
  <c r="ID44" i="34"/>
  <c r="HM169" i="34"/>
  <c r="ID102" i="34"/>
  <c r="ID251" i="34"/>
  <c r="HO169" i="34"/>
  <c r="HN255" i="34"/>
  <c r="HL255" i="34"/>
  <c r="HO255" i="34"/>
  <c r="HQ255" i="34"/>
  <c r="HP255" i="34"/>
  <c r="HM255" i="34"/>
  <c r="HK255" i="34"/>
  <c r="ID253" i="34"/>
  <c r="HL217" i="34"/>
  <c r="HK62" i="34"/>
  <c r="ID76" i="34"/>
  <c r="HK160" i="34"/>
  <c r="HP213" i="34"/>
  <c r="HQ62" i="34"/>
  <c r="HN61" i="34"/>
  <c r="HQ58" i="34"/>
  <c r="HL61" i="34"/>
  <c r="HP164" i="34"/>
  <c r="HK177" i="34"/>
  <c r="HL10" i="34"/>
  <c r="HQ146" i="34"/>
  <c r="ID212" i="34"/>
  <c r="HK213" i="34"/>
  <c r="HP146" i="34"/>
  <c r="HN146" i="34"/>
  <c r="HO160" i="34"/>
  <c r="HO213" i="34"/>
  <c r="HN160" i="34"/>
  <c r="HM213" i="34"/>
  <c r="HN62" i="34"/>
  <c r="HM58" i="34"/>
  <c r="HK61" i="34"/>
  <c r="HM177" i="34"/>
  <c r="HN10" i="34"/>
  <c r="HL146" i="34"/>
  <c r="HQ114" i="34"/>
  <c r="HP160" i="34"/>
  <c r="HN213" i="34"/>
  <c r="HL62" i="34"/>
  <c r="HO61" i="34"/>
  <c r="HO121" i="34"/>
  <c r="HQ177" i="34"/>
  <c r="HK10" i="34"/>
  <c r="ID59" i="34"/>
  <c r="HK78" i="34"/>
  <c r="HN246" i="34"/>
  <c r="HN117" i="34"/>
  <c r="HM121" i="34"/>
  <c r="HP184" i="34"/>
  <c r="HQ10" i="34"/>
  <c r="HK145" i="34"/>
  <c r="HN78" i="34"/>
  <c r="HP246" i="34"/>
  <c r="HL117" i="34"/>
  <c r="HN121" i="34"/>
  <c r="HP63" i="34"/>
  <c r="HM184" i="34"/>
  <c r="HM10" i="34"/>
  <c r="HO145" i="34"/>
  <c r="ID46" i="34"/>
  <c r="ID45" i="34"/>
  <c r="I39" i="46" a="1"/>
  <c r="I39" i="46" s="1"/>
  <c r="ID239" i="34"/>
  <c r="HO117" i="34"/>
  <c r="ID16" i="34"/>
  <c r="ID117" i="34"/>
  <c r="ID78" i="34"/>
  <c r="ID61" i="34"/>
  <c r="HK217" i="34"/>
  <c r="HL246" i="34"/>
  <c r="HL145" i="34"/>
  <c r="ID34" i="34"/>
  <c r="ID213" i="34"/>
  <c r="HP117" i="34"/>
  <c r="HK246" i="34"/>
  <c r="HQ184" i="34"/>
  <c r="HP10" i="34"/>
  <c r="HM217" i="34"/>
  <c r="I44" i="46" a="1"/>
  <c r="I44" i="46" s="1"/>
  <c r="ID218" i="34"/>
  <c r="HK55" i="34"/>
  <c r="HL57" i="34"/>
  <c r="HN195" i="34"/>
  <c r="HP234" i="34"/>
  <c r="HP101" i="34"/>
  <c r="HK215" i="34"/>
  <c r="HM215" i="34"/>
  <c r="ID57" i="34"/>
  <c r="ID132" i="34"/>
  <c r="HQ127" i="34"/>
  <c r="ID150" i="34"/>
  <c r="HO51" i="34"/>
  <c r="HO89" i="34"/>
  <c r="HL234" i="34"/>
  <c r="HK181" i="34"/>
  <c r="HO101" i="34"/>
  <c r="HK58" i="34"/>
  <c r="HO215" i="34"/>
  <c r="HL196" i="34"/>
  <c r="HM127" i="34"/>
  <c r="HM51" i="34"/>
  <c r="HO209" i="34"/>
  <c r="HN234" i="34"/>
  <c r="HQ55" i="34"/>
  <c r="HM101" i="34"/>
  <c r="HN215" i="34"/>
  <c r="HP51" i="34"/>
  <c r="HQ51" i="34"/>
  <c r="HK127" i="34"/>
  <c r="HK51" i="34"/>
  <c r="HO66" i="34"/>
  <c r="HL183" i="34"/>
  <c r="HM239" i="34"/>
  <c r="HP181" i="34"/>
  <c r="HO55" i="34"/>
  <c r="HL83" i="34"/>
  <c r="HP66" i="34"/>
  <c r="HL58" i="34"/>
  <c r="HO83" i="34"/>
  <c r="HO127" i="34"/>
  <c r="HL51" i="34"/>
  <c r="HL66" i="34"/>
  <c r="HP58" i="34"/>
  <c r="HO183" i="34"/>
  <c r="HL95" i="34"/>
  <c r="HM12" i="34"/>
  <c r="HN15" i="34"/>
  <c r="HP209" i="34"/>
  <c r="HK220" i="34"/>
  <c r="HM181" i="34"/>
  <c r="HP55" i="34"/>
  <c r="HL101" i="34"/>
  <c r="HL215" i="34"/>
  <c r="ID183" i="34"/>
  <c r="ID161" i="34"/>
  <c r="HM55" i="34"/>
  <c r="HQ101" i="34"/>
  <c r="HL127" i="34"/>
  <c r="HQ57" i="34"/>
  <c r="HL89" i="34"/>
  <c r="HK83" i="34"/>
  <c r="HL209" i="34"/>
  <c r="ID209" i="34"/>
  <c r="HQ183" i="34"/>
  <c r="HQ83" i="34"/>
  <c r="HN127" i="34"/>
  <c r="HM156" i="34"/>
  <c r="HN90" i="34"/>
  <c r="HN183" i="34"/>
  <c r="HN141" i="34"/>
  <c r="HP12" i="34"/>
  <c r="HO234" i="34"/>
  <c r="HO220" i="34"/>
  <c r="HN181" i="34"/>
  <c r="HL55" i="34"/>
  <c r="HN101" i="34"/>
  <c r="HP215" i="34"/>
  <c r="ID10" i="34"/>
  <c r="ID210" i="34"/>
  <c r="HQ234" i="34"/>
  <c r="HN239" i="34"/>
  <c r="HM141" i="34"/>
  <c r="HQ164" i="34"/>
  <c r="HQ220" i="34"/>
  <c r="HO114" i="34"/>
  <c r="HP114" i="34"/>
  <c r="HQ231" i="34"/>
  <c r="HM231" i="34"/>
  <c r="HL93" i="34"/>
  <c r="HQ178" i="34"/>
  <c r="ID19" i="34"/>
  <c r="J38" i="43"/>
  <c r="HQ63" i="34"/>
  <c r="HN63" i="34"/>
  <c r="I40" i="46" a="1"/>
  <c r="I40" i="46" s="1"/>
  <c r="HK116" i="34"/>
  <c r="HQ116" i="34"/>
  <c r="HO178" i="34"/>
  <c r="G42" i="46" a="1"/>
  <c r="G42" i="46" s="1"/>
  <c r="D42" i="46" a="1"/>
  <c r="D42" i="46" s="1"/>
  <c r="HK109" i="34"/>
  <c r="H41" i="46" a="1"/>
  <c r="H41" i="46" s="1"/>
  <c r="I45" i="46" a="1"/>
  <c r="I45" i="46" s="1"/>
  <c r="ID200" i="34"/>
  <c r="HP109" i="34"/>
  <c r="E41" i="46" a="1"/>
  <c r="E41" i="46" s="1"/>
  <c r="ID50" i="34"/>
  <c r="AD24" i="46"/>
  <c r="HP72" i="34"/>
  <c r="HL140" i="34"/>
  <c r="HO109" i="34"/>
  <c r="HO148" i="34"/>
  <c r="HM109" i="34"/>
  <c r="HL109" i="34"/>
  <c r="ID159" i="34"/>
  <c r="G41" i="46" a="1"/>
  <c r="G41" i="46" s="1"/>
  <c r="H38" i="46" a="1"/>
  <c r="H38" i="46" s="1"/>
  <c r="C38" i="46" a="1"/>
  <c r="C38" i="46" s="1"/>
  <c r="ID25" i="34"/>
  <c r="H35" i="46" a="1"/>
  <c r="H35" i="46" s="1"/>
  <c r="E45" i="46" a="1"/>
  <c r="E45" i="46" s="1"/>
  <c r="I36" i="46" a="1"/>
  <c r="I36" i="46" s="1"/>
  <c r="ID143" i="34"/>
  <c r="J16" i="43"/>
  <c r="HQ9" i="34"/>
  <c r="HL173" i="34"/>
  <c r="HN197" i="34"/>
  <c r="HK176" i="34"/>
  <c r="HO124" i="34"/>
  <c r="HM140" i="34"/>
  <c r="HQ197" i="34"/>
  <c r="HQ69" i="34"/>
  <c r="HP232" i="34"/>
  <c r="HL9" i="34"/>
  <c r="HL124" i="34"/>
  <c r="HO58" i="34"/>
  <c r="HM95" i="34"/>
  <c r="HL176" i="34"/>
  <c r="HO140" i="34"/>
  <c r="HM196" i="34"/>
  <c r="HL137" i="34"/>
  <c r="HL197" i="34"/>
  <c r="HM13" i="34"/>
  <c r="HK9" i="34"/>
  <c r="HQ95" i="34"/>
  <c r="HK140" i="34"/>
  <c r="HO54" i="34"/>
  <c r="HM136" i="34"/>
  <c r="HP173" i="34"/>
  <c r="HP41" i="34"/>
  <c r="HK69" i="34"/>
  <c r="HO197" i="34"/>
  <c r="HL13" i="34"/>
  <c r="HN232" i="34"/>
  <c r="HK124" i="34"/>
  <c r="HQ176" i="34"/>
  <c r="HQ140" i="34"/>
  <c r="HQ54" i="34"/>
  <c r="HM41" i="34"/>
  <c r="HP137" i="34"/>
  <c r="HO143" i="34"/>
  <c r="HN140" i="34"/>
  <c r="HN198" i="34"/>
  <c r="HK136" i="34"/>
  <c r="HP116" i="34"/>
  <c r="E36" i="43"/>
  <c r="E56" i="43" s="1"/>
  <c r="HQ136" i="34"/>
  <c r="HQ43" i="34"/>
  <c r="HP118" i="34"/>
  <c r="HQ143" i="34"/>
  <c r="HP129" i="34"/>
  <c r="HM124" i="34"/>
  <c r="HP69" i="34"/>
  <c r="HL43" i="34"/>
  <c r="HO118" i="34"/>
  <c r="HO232" i="34"/>
  <c r="HK43" i="34"/>
  <c r="HN118" i="34"/>
  <c r="J18" i="43"/>
  <c r="G36" i="46" a="1"/>
  <c r="G36" i="46" s="1"/>
  <c r="H42" i="46" a="1"/>
  <c r="H42" i="46" s="1"/>
  <c r="CH24" i="46"/>
  <c r="W24" i="46"/>
  <c r="C41" i="46" a="1"/>
  <c r="C41" i="46" s="1"/>
  <c r="C40" i="46" a="1"/>
  <c r="C40" i="46" s="1"/>
  <c r="D39" i="46" a="1"/>
  <c r="D39" i="46" s="1"/>
  <c r="HQ106" i="34"/>
  <c r="AT24" i="46"/>
  <c r="AS24" i="46"/>
  <c r="AC24" i="46"/>
  <c r="HO9" i="34"/>
  <c r="HN205" i="34"/>
  <c r="HM106" i="34"/>
  <c r="BV24" i="46"/>
  <c r="R24" i="46"/>
  <c r="HL205" i="34"/>
  <c r="HL184" i="34"/>
  <c r="HL125" i="34"/>
  <c r="F34" i="46" a="1"/>
  <c r="F34" i="46" s="1"/>
  <c r="C43" i="46" a="1"/>
  <c r="C43" i="46" s="1"/>
  <c r="CI23" i="46"/>
  <c r="C44" i="46" a="1"/>
  <c r="C44" i="46" s="1"/>
  <c r="BC24" i="46"/>
  <c r="BY24" i="46"/>
  <c r="ID129" i="34"/>
  <c r="N24" i="46"/>
  <c r="D24" i="46"/>
  <c r="BI24" i="46"/>
  <c r="T24" i="46"/>
  <c r="HP9" i="34"/>
  <c r="HM123" i="34"/>
  <c r="HL147" i="34"/>
  <c r="HM9" i="34"/>
  <c r="HQ151" i="34"/>
  <c r="HP168" i="34"/>
  <c r="HN184" i="34"/>
  <c r="HQ125" i="34"/>
  <c r="ID160" i="34"/>
  <c r="AZ24" i="46"/>
  <c r="BM24" i="46"/>
  <c r="AM24" i="46"/>
  <c r="BD24" i="46"/>
  <c r="CG24" i="46"/>
  <c r="K24" i="46"/>
  <c r="F24" i="46"/>
  <c r="BF24" i="46"/>
  <c r="HP123" i="34"/>
  <c r="HQ8" i="34"/>
  <c r="HK147" i="34"/>
  <c r="HP128" i="34"/>
  <c r="HK235" i="34"/>
  <c r="HO184" i="34"/>
  <c r="HO162" i="34"/>
  <c r="ID12" i="34"/>
  <c r="ID29" i="34"/>
  <c r="ID107" i="34"/>
  <c r="ID138" i="34"/>
  <c r="ID217" i="34"/>
  <c r="ID94" i="34"/>
  <c r="ID37" i="34"/>
  <c r="ID220" i="34"/>
  <c r="ID101" i="34"/>
  <c r="ID134" i="34"/>
  <c r="ID130" i="34"/>
  <c r="ID124" i="34"/>
  <c r="ID249" i="34"/>
  <c r="HK8" i="34"/>
  <c r="J35" i="43"/>
  <c r="HO175" i="34"/>
  <c r="HQ128" i="34"/>
  <c r="ID48" i="34"/>
  <c r="ID110" i="34"/>
  <c r="ID139" i="34"/>
  <c r="ID234" i="34"/>
  <c r="ID244" i="34"/>
  <c r="ID190" i="34"/>
  <c r="ID237" i="34"/>
  <c r="ID225" i="34"/>
  <c r="ID104" i="34"/>
  <c r="ID72" i="34"/>
  <c r="I43" i="46" a="1"/>
  <c r="I43" i="46" s="1"/>
  <c r="D43" i="46" a="1"/>
  <c r="D43" i="46" s="1"/>
  <c r="H44" i="46" a="1"/>
  <c r="H44" i="46" s="1"/>
  <c r="ID118" i="34"/>
  <c r="ID67" i="34"/>
  <c r="ID228" i="34"/>
  <c r="ID13" i="34"/>
  <c r="ID66" i="34"/>
  <c r="ID153" i="34"/>
  <c r="HL30" i="34"/>
  <c r="G35" i="46" a="1"/>
  <c r="G35" i="46" s="1"/>
  <c r="HL47" i="34"/>
  <c r="HP47" i="34"/>
  <c r="HK72" i="34"/>
  <c r="HN72" i="34"/>
  <c r="ID81" i="34"/>
  <c r="HL120" i="34"/>
  <c r="ID114" i="34"/>
  <c r="E42" i="46" a="1"/>
  <c r="E42" i="46" s="1"/>
  <c r="HL25" i="34"/>
  <c r="HQ25" i="34"/>
  <c r="HO25" i="34"/>
  <c r="HK76" i="34"/>
  <c r="HO76" i="34"/>
  <c r="HL52" i="34"/>
  <c r="HQ52" i="34"/>
  <c r="HO52" i="34"/>
  <c r="ID100" i="34"/>
  <c r="ID156" i="34"/>
  <c r="G39" i="46" a="1"/>
  <c r="G39" i="46" s="1"/>
  <c r="H40" i="46" a="1"/>
  <c r="H40" i="46" s="1"/>
  <c r="CI22" i="46"/>
  <c r="E35" i="46" a="1"/>
  <c r="E35" i="46" s="1"/>
  <c r="G45" i="46" a="1"/>
  <c r="G45" i="46" s="1"/>
  <c r="H36" i="46" a="1"/>
  <c r="H36" i="46" s="1"/>
  <c r="E40" i="46" a="1"/>
  <c r="E40" i="46" s="1"/>
  <c r="ID181" i="34"/>
  <c r="ID43" i="34"/>
  <c r="HM24" i="34"/>
  <c r="ID230" i="34"/>
  <c r="ID193" i="34"/>
  <c r="ID9" i="34"/>
  <c r="ID86" i="34"/>
  <c r="HO50" i="34"/>
  <c r="HM50" i="34"/>
  <c r="HK50" i="34"/>
  <c r="HN50" i="34"/>
  <c r="ID64" i="34"/>
  <c r="ID188" i="34"/>
  <c r="ID42" i="34"/>
  <c r="H43" i="46" a="1"/>
  <c r="H43" i="46" s="1"/>
  <c r="D33" i="43"/>
  <c r="D53" i="43" s="1"/>
  <c r="J13" i="43"/>
  <c r="HQ32" i="34"/>
  <c r="HL32" i="34"/>
  <c r="HP32" i="34"/>
  <c r="HO32" i="34"/>
  <c r="HN32" i="34"/>
  <c r="HO75" i="34"/>
  <c r="HP75" i="34"/>
  <c r="HM75" i="34"/>
  <c r="HQ75" i="34"/>
  <c r="HK75" i="34"/>
  <c r="HQ68" i="34"/>
  <c r="HM68" i="34"/>
  <c r="HP68" i="34"/>
  <c r="HK68" i="34"/>
  <c r="HN68" i="34"/>
  <c r="HN120" i="34"/>
  <c r="HQ120" i="34"/>
  <c r="HP120" i="34"/>
  <c r="HO120" i="34"/>
  <c r="HM120" i="34"/>
  <c r="HK30" i="34"/>
  <c r="HQ30" i="34"/>
  <c r="HP30" i="34"/>
  <c r="HN30" i="34"/>
  <c r="HM30" i="34"/>
  <c r="HP27" i="34"/>
  <c r="HN27" i="34"/>
  <c r="HQ27" i="34"/>
  <c r="HO27" i="34"/>
  <c r="HK27" i="34"/>
  <c r="HM27" i="34"/>
  <c r="HP24" i="34"/>
  <c r="HN24" i="34"/>
  <c r="HO24" i="34"/>
  <c r="HK24" i="34"/>
  <c r="HL24" i="34"/>
  <c r="HN228" i="34"/>
  <c r="HM228" i="34"/>
  <c r="HK228" i="34"/>
  <c r="HP228" i="34"/>
  <c r="HL228" i="34"/>
  <c r="F37" i="43"/>
  <c r="F57" i="43" s="1"/>
  <c r="J17" i="43"/>
  <c r="ID233" i="34"/>
  <c r="HO228" i="34"/>
  <c r="HO68" i="34"/>
  <c r="J39" i="43"/>
  <c r="HL75" i="34"/>
  <c r="I41" i="46" a="1"/>
  <c r="I41" i="46" s="1"/>
  <c r="Y24" i="46"/>
  <c r="AU24" i="46"/>
  <c r="HQ156" i="34"/>
  <c r="HL90" i="34"/>
  <c r="HL198" i="34"/>
  <c r="HQ148" i="34"/>
  <c r="ID140" i="34"/>
  <c r="HP198" i="34"/>
  <c r="HK148" i="34"/>
  <c r="HO41" i="34"/>
  <c r="HK196" i="34"/>
  <c r="ID120" i="34"/>
  <c r="ID208" i="34"/>
  <c r="AW24" i="46"/>
  <c r="HK57" i="34"/>
  <c r="HL129" i="34"/>
  <c r="HM195" i="34"/>
  <c r="AQ24" i="46"/>
  <c r="HQ129" i="34"/>
  <c r="J15" i="43"/>
  <c r="HN57" i="34"/>
  <c r="HO156" i="34"/>
  <c r="HM90" i="34"/>
  <c r="HM129" i="34"/>
  <c r="HQ175" i="34"/>
  <c r="HL63" i="34"/>
  <c r="HM198" i="34"/>
  <c r="HM148" i="34"/>
  <c r="HL41" i="34"/>
  <c r="HQ196" i="34"/>
  <c r="ID80" i="34"/>
  <c r="ID221" i="34"/>
  <c r="ID199" i="34"/>
  <c r="ID73" i="34"/>
  <c r="ID170" i="34"/>
  <c r="ID194" i="34"/>
  <c r="ID236" i="34"/>
  <c r="ID223" i="34"/>
  <c r="ID154" i="34"/>
  <c r="ID155" i="34"/>
  <c r="ID105" i="34"/>
  <c r="ID182" i="34"/>
  <c r="ID84" i="34"/>
  <c r="ID163" i="34"/>
  <c r="ID242" i="34"/>
  <c r="ID178" i="34"/>
  <c r="ID133" i="34"/>
  <c r="ID231" i="34"/>
  <c r="ID174" i="34"/>
  <c r="ID90" i="34"/>
  <c r="ID55" i="34"/>
  <c r="ID109" i="34"/>
  <c r="ID235" i="34"/>
  <c r="ID62" i="34"/>
  <c r="ID165" i="34"/>
  <c r="ID27" i="34"/>
  <c r="ID18" i="34"/>
  <c r="ID116" i="34"/>
  <c r="ID246" i="34"/>
  <c r="ID224" i="34"/>
  <c r="ID97" i="34"/>
  <c r="ID203" i="34"/>
  <c r="ID195" i="34"/>
  <c r="ID222" i="34"/>
  <c r="ID54" i="34"/>
  <c r="ID142" i="34"/>
  <c r="ID96" i="34"/>
  <c r="AI24" i="46"/>
  <c r="BA24" i="46"/>
  <c r="BJ24" i="46"/>
  <c r="BO24" i="46"/>
  <c r="AB24" i="46"/>
  <c r="AN24" i="46"/>
  <c r="BE24" i="46"/>
  <c r="BN24" i="46"/>
  <c r="BS24" i="46"/>
  <c r="BX24" i="46"/>
  <c r="AH24" i="46"/>
  <c r="BU24" i="46"/>
  <c r="AL24" i="46"/>
  <c r="HP57" i="34"/>
  <c r="HP156" i="34"/>
  <c r="HP90" i="34"/>
  <c r="HN129" i="34"/>
  <c r="HP195" i="34"/>
  <c r="HO164" i="34"/>
  <c r="HM63" i="34"/>
  <c r="HQ198" i="34"/>
  <c r="HP125" i="34"/>
  <c r="HN148" i="34"/>
  <c r="HQ41" i="34"/>
  <c r="HN196" i="34"/>
  <c r="ID63" i="34"/>
  <c r="ID92" i="34"/>
  <c r="ID82" i="34"/>
  <c r="ID189" i="34"/>
  <c r="ID175" i="34"/>
  <c r="ID85" i="34"/>
  <c r="ID111" i="34"/>
  <c r="ID8" i="34"/>
  <c r="ID149" i="34"/>
  <c r="ID11" i="34"/>
  <c r="ID49" i="34"/>
  <c r="ID126" i="34"/>
  <c r="ID125" i="34"/>
  <c r="ID36" i="34"/>
  <c r="ID24" i="34"/>
  <c r="ID35" i="34"/>
  <c r="ID17" i="34"/>
  <c r="ID197" i="34"/>
  <c r="ID158" i="34"/>
  <c r="ID75" i="34"/>
  <c r="ID115" i="34"/>
  <c r="ID166" i="34"/>
  <c r="ID204" i="34"/>
  <c r="I35" i="46" a="1"/>
  <c r="I35" i="46" s="1"/>
  <c r="BZ24" i="46"/>
  <c r="AA24" i="46"/>
  <c r="I24" i="46"/>
  <c r="BW24" i="46"/>
  <c r="HL156" i="34"/>
  <c r="HK90" i="34"/>
  <c r="HQ195" i="34"/>
  <c r="HP205" i="34"/>
  <c r="G24" i="46"/>
  <c r="J24" i="46"/>
  <c r="AG24" i="46"/>
  <c r="AX24" i="46"/>
  <c r="BQ24" i="46"/>
  <c r="BP24" i="46"/>
  <c r="CD24" i="46"/>
  <c r="P24" i="46"/>
  <c r="AO24" i="46"/>
  <c r="Q24" i="46"/>
  <c r="Z24" i="46"/>
  <c r="V24" i="46"/>
  <c r="M24" i="46"/>
  <c r="BL24" i="46"/>
  <c r="AY24" i="46"/>
  <c r="S24" i="46"/>
  <c r="AK24" i="46"/>
  <c r="AE24" i="46"/>
  <c r="H24" i="46"/>
  <c r="HM57" i="34"/>
  <c r="HK156" i="34"/>
  <c r="HO90" i="34"/>
  <c r="HK129" i="34"/>
  <c r="HO195" i="34"/>
  <c r="HL164" i="34"/>
  <c r="HK63" i="34"/>
  <c r="HK198" i="34"/>
  <c r="HK125" i="34"/>
  <c r="HP148" i="34"/>
  <c r="HN41" i="34"/>
  <c r="ID168" i="34"/>
  <c r="ID30" i="34"/>
  <c r="ID219" i="34"/>
  <c r="ID146" i="34"/>
  <c r="ID23" i="34"/>
  <c r="ID51" i="34"/>
  <c r="ID238" i="34"/>
  <c r="ID206" i="34"/>
  <c r="ID215" i="34"/>
  <c r="ID106" i="34"/>
  <c r="ID184" i="34"/>
  <c r="ID173" i="34"/>
  <c r="ID176" i="34"/>
  <c r="ID145" i="34"/>
  <c r="ID196" i="34"/>
  <c r="ID141" i="34"/>
  <c r="ID119" i="34"/>
  <c r="ID53" i="34"/>
  <c r="ID68" i="34"/>
  <c r="BB24" i="46"/>
  <c r="HK205" i="34"/>
  <c r="CB24" i="46"/>
  <c r="L24" i="46"/>
  <c r="BK24" i="46"/>
  <c r="BG24" i="46"/>
  <c r="E24" i="46"/>
  <c r="AP24" i="46"/>
  <c r="AF24" i="46"/>
  <c r="CC24" i="46"/>
  <c r="CE24" i="46"/>
  <c r="CA24" i="46"/>
  <c r="U24" i="46"/>
  <c r="HQ205" i="34"/>
  <c r="HO125" i="34"/>
  <c r="J19" i="43"/>
  <c r="ID137" i="34"/>
  <c r="ID70" i="34"/>
  <c r="ID40" i="34"/>
  <c r="ID108" i="34"/>
  <c r="ID171" i="34"/>
  <c r="ID241" i="34"/>
  <c r="ID98" i="34"/>
  <c r="ID91" i="34"/>
  <c r="ID151" i="34"/>
  <c r="ID121" i="34"/>
  <c r="ID39" i="34"/>
  <c r="ID77" i="34"/>
  <c r="ID21" i="34"/>
  <c r="ID14" i="34"/>
  <c r="ID127" i="34"/>
  <c r="ID164" i="34"/>
  <c r="ID41" i="34"/>
  <c r="ID191" i="34"/>
  <c r="ID187" i="34"/>
  <c r="ID250" i="34"/>
  <c r="ID243" i="34"/>
  <c r="ID56" i="34"/>
  <c r="ID26" i="34"/>
  <c r="ID47" i="34"/>
  <c r="ID192" i="34"/>
  <c r="HP91" i="34"/>
  <c r="HO91" i="34"/>
  <c r="HM91" i="34"/>
  <c r="HN91" i="34"/>
  <c r="HQ91" i="34"/>
  <c r="HL91" i="34"/>
  <c r="HP17" i="34"/>
  <c r="HL17" i="34"/>
  <c r="HN17" i="34"/>
  <c r="HO17" i="34"/>
  <c r="HM17" i="34"/>
  <c r="HK17" i="34"/>
  <c r="HN77" i="34"/>
  <c r="HK77" i="34"/>
  <c r="HO77" i="34"/>
  <c r="HL77" i="34"/>
  <c r="HP77" i="34"/>
  <c r="ID128" i="34"/>
  <c r="ID177" i="34"/>
  <c r="ID112" i="34"/>
  <c r="HP105" i="34"/>
  <c r="HL105" i="34"/>
  <c r="HO105" i="34"/>
  <c r="HN105" i="34"/>
  <c r="HK105" i="34"/>
  <c r="HQ105" i="34"/>
  <c r="HM105" i="34"/>
  <c r="ID185" i="34"/>
  <c r="ID169" i="34"/>
  <c r="ID58" i="34"/>
  <c r="ID147" i="34"/>
  <c r="HQ17" i="34"/>
  <c r="ID162" i="34"/>
  <c r="HM182" i="34"/>
  <c r="HL182" i="34"/>
  <c r="HP182" i="34"/>
  <c r="HK182" i="34"/>
  <c r="HQ182" i="34"/>
  <c r="HO182" i="34"/>
  <c r="HQ191" i="34"/>
  <c r="HN191" i="34"/>
  <c r="HK191" i="34"/>
  <c r="HO191" i="34"/>
  <c r="HP191" i="34"/>
  <c r="ID227" i="34"/>
  <c r="HP158" i="34"/>
  <c r="HN158" i="34"/>
  <c r="HL158" i="34"/>
  <c r="HO158" i="34"/>
  <c r="HQ158" i="34"/>
  <c r="HK158" i="34"/>
  <c r="HN182" i="34"/>
  <c r="ID89" i="34"/>
  <c r="ID172" i="34"/>
  <c r="ID157" i="34"/>
  <c r="ID135" i="34"/>
  <c r="ID32" i="34"/>
  <c r="ID74" i="34"/>
  <c r="ID99" i="34"/>
  <c r="ID93" i="34"/>
  <c r="ID38" i="34"/>
  <c r="HK56" i="34"/>
  <c r="HQ56" i="34"/>
  <c r="ID202" i="34"/>
  <c r="ID31" i="34"/>
  <c r="ID65" i="34"/>
  <c r="ID69" i="34"/>
  <c r="ID22" i="34"/>
  <c r="ID87" i="34"/>
  <c r="HK91" i="34"/>
  <c r="ID28" i="34"/>
  <c r="ID136" i="34"/>
  <c r="HQ77" i="34"/>
  <c r="HM77" i="34"/>
  <c r="HL191" i="34"/>
  <c r="HQ170" i="34"/>
  <c r="HN170" i="34"/>
  <c r="HO48" i="34"/>
  <c r="HL48" i="34"/>
  <c r="HK48" i="34"/>
  <c r="HP48" i="34"/>
  <c r="HQ48" i="34"/>
  <c r="HN48" i="34"/>
  <c r="HM48" i="34"/>
  <c r="ID95" i="34"/>
  <c r="HK128" i="34"/>
  <c r="HP235" i="34"/>
  <c r="HK231" i="34"/>
  <c r="HN95" i="34"/>
  <c r="HK143" i="34"/>
  <c r="HN235" i="34"/>
  <c r="HM116" i="34"/>
  <c r="HK54" i="34"/>
  <c r="ID148" i="34"/>
  <c r="HN43" i="34"/>
  <c r="HK197" i="34"/>
  <c r="HO217" i="34"/>
  <c r="HL243" i="34"/>
  <c r="HN147" i="34"/>
  <c r="HN13" i="34"/>
  <c r="HN66" i="34"/>
  <c r="HN69" i="34"/>
  <c r="HM232" i="34"/>
  <c r="HQ89" i="34"/>
  <c r="HL239" i="34"/>
  <c r="HK95" i="34"/>
  <c r="HO151" i="34"/>
  <c r="HM176" i="34"/>
  <c r="HP100" i="34"/>
  <c r="HM168" i="34"/>
  <c r="HL128" i="34"/>
  <c r="HL143" i="34"/>
  <c r="HP220" i="34"/>
  <c r="HL235" i="34"/>
  <c r="HN116" i="34"/>
  <c r="HN244" i="34"/>
  <c r="HP93" i="34"/>
  <c r="HN54" i="34"/>
  <c r="HP136" i="34"/>
  <c r="HO177" i="34"/>
  <c r="HP178" i="34"/>
  <c r="HM146" i="34"/>
  <c r="HO72" i="34"/>
  <c r="HN114" i="34"/>
  <c r="HP231" i="34"/>
  <c r="HN173" i="34"/>
  <c r="ID207" i="34"/>
  <c r="HM43" i="34"/>
  <c r="HP217" i="34"/>
  <c r="HO147" i="34"/>
  <c r="HO13" i="34"/>
  <c r="HM66" i="34"/>
  <c r="HO69" i="34"/>
  <c r="HK232" i="34"/>
  <c r="HK118" i="34"/>
  <c r="HP89" i="34"/>
  <c r="HQ239" i="34"/>
  <c r="HP95" i="34"/>
  <c r="HL151" i="34"/>
  <c r="HP121" i="34"/>
  <c r="HQ100" i="34"/>
  <c r="HQ168" i="34"/>
  <c r="HO128" i="34"/>
  <c r="HM143" i="34"/>
  <c r="HL220" i="34"/>
  <c r="HM235" i="34"/>
  <c r="HO116" i="34"/>
  <c r="HQ93" i="34"/>
  <c r="HL54" i="34"/>
  <c r="HN136" i="34"/>
  <c r="HP177" i="34"/>
  <c r="HQ173" i="34"/>
  <c r="HN178" i="34"/>
  <c r="HO146" i="34"/>
  <c r="HQ72" i="34"/>
  <c r="HL114" i="34"/>
  <c r="HN231" i="34"/>
  <c r="HP147" i="34"/>
  <c r="HP151" i="34"/>
  <c r="HP43" i="34"/>
  <c r="HM118" i="34"/>
  <c r="HP239" i="34"/>
  <c r="HL121" i="34"/>
  <c r="HN93" i="34"/>
  <c r="ID216" i="34"/>
  <c r="ID232" i="34"/>
  <c r="HP197" i="34"/>
  <c r="HQ217" i="34"/>
  <c r="HM147" i="34"/>
  <c r="HK13" i="34"/>
  <c r="HQ66" i="34"/>
  <c r="HM69" i="34"/>
  <c r="HQ118" i="34"/>
  <c r="HN89" i="34"/>
  <c r="HK239" i="34"/>
  <c r="HM151" i="34"/>
  <c r="HN176" i="34"/>
  <c r="HQ121" i="34"/>
  <c r="HO100" i="34"/>
  <c r="HO168" i="34"/>
  <c r="HP143" i="34"/>
  <c r="HN220" i="34"/>
  <c r="HQ235" i="34"/>
  <c r="HM93" i="34"/>
  <c r="HM54" i="34"/>
  <c r="HL136" i="34"/>
  <c r="HL177" i="34"/>
  <c r="HK173" i="34"/>
  <c r="HM178" i="34"/>
  <c r="HL72" i="34"/>
  <c r="HM114" i="34"/>
  <c r="HO231" i="34"/>
  <c r="ID186" i="34"/>
  <c r="ID15" i="34"/>
  <c r="ID144" i="34"/>
  <c r="ID198" i="34"/>
  <c r="ID152" i="34"/>
  <c r="HN168" i="34"/>
  <c r="HO93" i="34"/>
  <c r="HO173" i="34"/>
  <c r="HQ13" i="34"/>
  <c r="HQ232" i="34"/>
  <c r="HP176" i="34"/>
  <c r="HL168" i="34"/>
  <c r="HN128" i="34"/>
  <c r="HK178" i="34"/>
  <c r="HL74" i="34"/>
  <c r="ID71" i="34"/>
  <c r="HN162" i="34"/>
  <c r="HP162" i="34"/>
  <c r="J15" i="44"/>
  <c r="HQ162" i="34"/>
  <c r="HO134" i="34"/>
  <c r="HL162" i="34"/>
  <c r="HM199" i="34"/>
  <c r="HM162" i="34"/>
  <c r="HO199" i="34"/>
  <c r="J34" i="44"/>
  <c r="HM100" i="34"/>
  <c r="HL100" i="34"/>
  <c r="HQ206" i="34"/>
  <c r="HO219" i="34"/>
  <c r="HK219" i="34"/>
  <c r="HO194" i="34"/>
  <c r="HK100" i="34"/>
  <c r="HO206" i="34"/>
  <c r="HM194" i="34"/>
  <c r="HK206" i="34"/>
  <c r="HK134" i="34"/>
  <c r="HM108" i="34"/>
  <c r="HQ73" i="34"/>
  <c r="HK73" i="34"/>
  <c r="F35" i="44"/>
  <c r="F55" i="44" s="1"/>
  <c r="J55" i="44" s="1"/>
  <c r="HM111" i="34"/>
  <c r="HN108" i="34"/>
  <c r="HL56" i="34"/>
  <c r="HM32" i="34"/>
  <c r="HM125" i="34"/>
  <c r="HK204" i="34"/>
  <c r="HO111" i="34"/>
  <c r="HP56" i="34"/>
  <c r="HO250" i="34"/>
  <c r="HO170" i="34"/>
  <c r="HN73" i="34"/>
  <c r="HL204" i="34"/>
  <c r="HQ111" i="34"/>
  <c r="HM56" i="34"/>
  <c r="HQ250" i="34"/>
  <c r="HN194" i="34"/>
  <c r="HQ219" i="34"/>
  <c r="HL73" i="34"/>
  <c r="HN56" i="34"/>
  <c r="HO73" i="34"/>
  <c r="HO204" i="34"/>
  <c r="HK111" i="34"/>
  <c r="HP103" i="34"/>
  <c r="HO56" i="34"/>
  <c r="HN250" i="34"/>
  <c r="HN167" i="34"/>
  <c r="HQ194" i="34"/>
  <c r="HQ108" i="34"/>
  <c r="J14" i="44"/>
  <c r="HN204" i="34"/>
  <c r="HL111" i="34"/>
  <c r="HK250" i="34"/>
  <c r="HP73" i="34"/>
  <c r="HM204" i="34"/>
  <c r="HM205" i="34"/>
  <c r="HN111" i="34"/>
  <c r="HP250" i="34"/>
  <c r="J41" i="44"/>
  <c r="HQ167" i="34"/>
  <c r="HN248" i="34"/>
  <c r="HP194" i="34"/>
  <c r="HN219" i="34"/>
  <c r="HP108" i="34"/>
  <c r="HP204" i="34"/>
  <c r="HK32" i="34"/>
  <c r="HK244" i="34"/>
  <c r="HL250" i="34"/>
  <c r="J17" i="44"/>
  <c r="HQ248" i="34"/>
  <c r="HK194" i="34"/>
  <c r="HL15" i="34"/>
  <c r="HN106" i="34"/>
  <c r="HL244" i="34"/>
  <c r="HL248" i="34"/>
  <c r="E44" i="46" a="1"/>
  <c r="E44" i="46" s="1"/>
  <c r="D38" i="46" a="1"/>
  <c r="D38" i="46" s="1"/>
  <c r="I37" i="46" a="1"/>
  <c r="I37" i="46" s="1"/>
  <c r="I34" i="46" a="1"/>
  <c r="I34" i="46" s="1"/>
  <c r="HM207" i="34"/>
  <c r="HK207" i="34"/>
  <c r="E43" i="46" a="1"/>
  <c r="E43" i="46" s="1"/>
  <c r="C37" i="46" a="1"/>
  <c r="C37" i="46" s="1"/>
  <c r="HN207" i="34"/>
  <c r="F35" i="46" a="1"/>
  <c r="F35" i="46" s="1"/>
  <c r="ID33" i="34"/>
  <c r="J32" i="16"/>
  <c r="HP170" i="34"/>
  <c r="HL170" i="34"/>
  <c r="G40" i="46" a="1"/>
  <c r="G40" i="46" s="1"/>
  <c r="ID248" i="34"/>
  <c r="HP25" i="34"/>
  <c r="HQ123" i="34"/>
  <c r="HO8" i="34"/>
  <c r="HO243" i="34"/>
  <c r="HN74" i="34"/>
  <c r="HQ50" i="34"/>
  <c r="HP52" i="34"/>
  <c r="J13" i="44"/>
  <c r="HN103" i="34"/>
  <c r="HL108" i="34"/>
  <c r="HP106" i="34"/>
  <c r="HQ186" i="34"/>
  <c r="HL206" i="34"/>
  <c r="HP167" i="34"/>
  <c r="HL138" i="34"/>
  <c r="HQ47" i="34"/>
  <c r="HL199" i="34"/>
  <c r="HN206" i="34"/>
  <c r="HN25" i="34"/>
  <c r="HL123" i="34"/>
  <c r="HM137" i="34"/>
  <c r="HN8" i="34"/>
  <c r="HM243" i="34"/>
  <c r="HO74" i="34"/>
  <c r="HL50" i="34"/>
  <c r="J12" i="44"/>
  <c r="HN52" i="34"/>
  <c r="HP175" i="34"/>
  <c r="HK15" i="34"/>
  <c r="J20" i="44"/>
  <c r="HO186" i="34"/>
  <c r="J16" i="44"/>
  <c r="HL76" i="34"/>
  <c r="HP206" i="34"/>
  <c r="HO138" i="34"/>
  <c r="HO70" i="34"/>
  <c r="HM47" i="34"/>
  <c r="HN123" i="34"/>
  <c r="HQ137" i="34"/>
  <c r="HL8" i="34"/>
  <c r="HP243" i="34"/>
  <c r="HP74" i="34"/>
  <c r="J12" i="16"/>
  <c r="HP50" i="34"/>
  <c r="HK52" i="34"/>
  <c r="HK175" i="34"/>
  <c r="HP15" i="34"/>
  <c r="J40" i="44"/>
  <c r="HO108" i="34"/>
  <c r="HL106" i="34"/>
  <c r="HM186" i="34"/>
  <c r="J36" i="44"/>
  <c r="HM76" i="34"/>
  <c r="HK138" i="34"/>
  <c r="HN47" i="34"/>
  <c r="HK199" i="34"/>
  <c r="HM52" i="34"/>
  <c r="HM175" i="34"/>
  <c r="J33" i="44"/>
  <c r="HK106" i="34"/>
  <c r="J18" i="44"/>
  <c r="J37" i="44"/>
  <c r="HO47" i="34"/>
  <c r="HM25" i="34"/>
  <c r="HO123" i="34"/>
  <c r="HN137" i="34"/>
  <c r="HP8" i="34"/>
  <c r="HN243" i="34"/>
  <c r="HQ74" i="34"/>
  <c r="HL175" i="34"/>
  <c r="HQ15" i="34"/>
  <c r="HK186" i="34"/>
  <c r="HQ76" i="34"/>
  <c r="HL167" i="34"/>
  <c r="HN138" i="34"/>
  <c r="HK47" i="34"/>
  <c r="HP199" i="34"/>
  <c r="HN199" i="34"/>
  <c r="HP186" i="34"/>
  <c r="J21" i="44"/>
  <c r="HQ214" i="34"/>
  <c r="HK137" i="34"/>
  <c r="HK243" i="34"/>
  <c r="HM74" i="34"/>
  <c r="HO214" i="34"/>
  <c r="HM15" i="34"/>
  <c r="HN186" i="34"/>
  <c r="HQ103" i="34"/>
  <c r="HP76" i="34"/>
  <c r="HO244" i="34"/>
  <c r="HO167" i="34"/>
  <c r="HK248" i="34"/>
  <c r="HQ138" i="34"/>
  <c r="HM170" i="34"/>
  <c r="HL219" i="34"/>
  <c r="ID211" i="34"/>
  <c r="CI15" i="46"/>
  <c r="CI18" i="46"/>
  <c r="HM244" i="34"/>
  <c r="HK167" i="34"/>
  <c r="HP248" i="34"/>
  <c r="HP138" i="34"/>
  <c r="HK214" i="34"/>
  <c r="CI13" i="46"/>
  <c r="CI14" i="46"/>
  <c r="ID131" i="34"/>
  <c r="ID226" i="34"/>
  <c r="F36" i="46" a="1"/>
  <c r="F36" i="46" s="1"/>
  <c r="ID240" i="34"/>
  <c r="ID52" i="34"/>
  <c r="ID167" i="34"/>
  <c r="E39" i="46" a="1"/>
  <c r="E39" i="46" s="1"/>
  <c r="ID103" i="34"/>
  <c r="CI17" i="46"/>
  <c r="F45" i="46" a="1"/>
  <c r="F45" i="46" s="1"/>
  <c r="E37" i="46" a="1"/>
  <c r="E37" i="46" s="1"/>
  <c r="D45" i="46" a="1"/>
  <c r="D45" i="46" s="1"/>
  <c r="D37" i="46" a="1"/>
  <c r="D37" i="46" s="1"/>
  <c r="C45" i="46" a="1"/>
  <c r="C45" i="46" s="1"/>
  <c r="F43" i="46" a="1"/>
  <c r="F43" i="46" s="1"/>
  <c r="D35" i="46" a="1"/>
  <c r="D35" i="46" s="1"/>
  <c r="D34" i="46" a="1"/>
  <c r="D34" i="46" s="1"/>
  <c r="CI21" i="46"/>
  <c r="F37" i="46" a="1"/>
  <c r="F37" i="46" s="1"/>
  <c r="I38" i="46" a="1"/>
  <c r="I38" i="46" s="1"/>
  <c r="F44" i="46" a="1"/>
  <c r="F44" i="46" s="1"/>
  <c r="F41" i="46" a="1"/>
  <c r="F41" i="46" s="1"/>
  <c r="F39" i="46" a="1"/>
  <c r="F39" i="46" s="1"/>
  <c r="C34" i="46" a="1"/>
  <c r="C34" i="46" s="1"/>
  <c r="F38" i="46" a="1"/>
  <c r="F38" i="46" s="1"/>
  <c r="D40" i="46" a="1"/>
  <c r="D40" i="46" s="1"/>
  <c r="D44" i="46" a="1"/>
  <c r="D44" i="46" s="1"/>
  <c r="G43" i="46" a="1"/>
  <c r="G43" i="46" s="1"/>
  <c r="C39" i="46" a="1"/>
  <c r="C39" i="46" s="1"/>
  <c r="H39" i="46" a="1"/>
  <c r="H39" i="46" s="1"/>
  <c r="G37" i="46" a="1"/>
  <c r="G37" i="46" s="1"/>
  <c r="ID79" i="34"/>
  <c r="HN76" i="34"/>
  <c r="HP244" i="34"/>
  <c r="HO248" i="34"/>
  <c r="HK170" i="34"/>
  <c r="HL214" i="34"/>
  <c r="F40" i="46" a="1"/>
  <c r="F40" i="46" s="1"/>
  <c r="ID205" i="34"/>
  <c r="G38" i="46" a="1"/>
  <c r="G38" i="46" s="1"/>
  <c r="ID214" i="34"/>
  <c r="ID123" i="34"/>
  <c r="E34" i="46" a="1"/>
  <c r="E34" i="46" s="1"/>
  <c r="F42" i="46" a="1"/>
  <c r="F42" i="46" s="1"/>
  <c r="H45" i="46" a="1"/>
  <c r="H45" i="46" s="1"/>
  <c r="D36" i="46" a="1"/>
  <c r="D36" i="46" s="1"/>
  <c r="C42" i="46" a="1"/>
  <c r="C42" i="46" s="1"/>
  <c r="E36" i="46" a="1"/>
  <c r="E36" i="46" s="1"/>
  <c r="D41" i="46" a="1"/>
  <c r="D41" i="46" s="1"/>
  <c r="I42" i="46" a="1"/>
  <c r="I42" i="46" s="1"/>
  <c r="HN70" i="34"/>
  <c r="HM219" i="34"/>
  <c r="HN214" i="34"/>
  <c r="C36" i="46" a="1"/>
  <c r="C36" i="46" s="1"/>
  <c r="HM172" i="34"/>
  <c r="HQ240" i="34"/>
  <c r="HL134" i="34"/>
  <c r="HN80" i="34"/>
  <c r="HL207" i="34"/>
  <c r="HP115" i="34"/>
  <c r="HQ115" i="34"/>
  <c r="HM214" i="34"/>
  <c r="HL103" i="34"/>
  <c r="HL70" i="34"/>
  <c r="HQ207" i="34"/>
  <c r="CI16" i="46"/>
  <c r="HL115" i="34"/>
  <c r="HM240" i="34"/>
  <c r="HO159" i="34"/>
  <c r="HN159" i="34"/>
  <c r="HP159" i="34"/>
  <c r="HQ159" i="34"/>
  <c r="HL159" i="34"/>
  <c r="HM159" i="34"/>
  <c r="HK159" i="34"/>
  <c r="HO103" i="34"/>
  <c r="HM70" i="34"/>
  <c r="G44" i="46" a="1"/>
  <c r="G44" i="46" s="1"/>
  <c r="HK115" i="34"/>
  <c r="HN115" i="34"/>
  <c r="HK240" i="34"/>
  <c r="HN240" i="34"/>
  <c r="HK103" i="34"/>
  <c r="HP70" i="34"/>
  <c r="H34" i="46" a="1"/>
  <c r="H34" i="46" s="1"/>
  <c r="CI20" i="46"/>
  <c r="HP207" i="34"/>
  <c r="C35" i="46" a="1"/>
  <c r="C35" i="46" s="1"/>
  <c r="HM115" i="34"/>
  <c r="HP240" i="34"/>
  <c r="HQ70" i="34"/>
  <c r="CI19" i="46"/>
  <c r="CI12" i="46"/>
  <c r="G34" i="46" a="1"/>
  <c r="G34" i="46" s="1"/>
  <c r="HL240" i="34"/>
  <c r="HM211" i="34"/>
  <c r="HK211" i="34"/>
  <c r="HL211" i="34"/>
  <c r="HN211" i="34"/>
  <c r="HP211" i="34"/>
  <c r="HN85" i="34"/>
  <c r="HQ110" i="34"/>
  <c r="HO28" i="34"/>
  <c r="HO227" i="34"/>
  <c r="HN172" i="34"/>
  <c r="HQ85" i="34"/>
  <c r="HO211" i="34"/>
  <c r="HK85" i="34"/>
  <c r="HL172" i="34"/>
  <c r="HM157" i="34"/>
  <c r="HQ172" i="34"/>
  <c r="HO86" i="34"/>
  <c r="HO172" i="34"/>
  <c r="HO157" i="34"/>
  <c r="HP172" i="34"/>
  <c r="HL86" i="34"/>
  <c r="HN157" i="34"/>
  <c r="HQ86" i="34"/>
  <c r="HK157" i="34"/>
  <c r="HP157" i="34"/>
  <c r="HL104" i="34"/>
  <c r="HL157" i="34"/>
  <c r="HQ104" i="34"/>
  <c r="HM104" i="34"/>
  <c r="HP104" i="34"/>
  <c r="HP11" i="34"/>
  <c r="HO85" i="34"/>
  <c r="HP85" i="34"/>
  <c r="HP241" i="34"/>
  <c r="HQ241" i="34"/>
  <c r="HP227" i="34"/>
  <c r="HL85" i="34"/>
  <c r="HN119" i="34"/>
  <c r="HM241" i="34"/>
  <c r="HN241" i="34"/>
  <c r="HO174" i="34"/>
  <c r="HQ227" i="34"/>
  <c r="HN171" i="34"/>
  <c r="HM227" i="34"/>
  <c r="HK31" i="34"/>
  <c r="HO104" i="34"/>
  <c r="HL227" i="34"/>
  <c r="HN227" i="34"/>
  <c r="HN104" i="34"/>
  <c r="HL238" i="34"/>
  <c r="HM144" i="34"/>
  <c r="HO238" i="34"/>
  <c r="HM110" i="34"/>
  <c r="HQ144" i="34"/>
  <c r="HL31" i="34"/>
  <c r="HO110" i="34"/>
  <c r="HO31" i="34"/>
  <c r="HL110" i="34"/>
  <c r="HN144" i="34"/>
  <c r="HP86" i="34"/>
  <c r="HM31" i="34"/>
  <c r="HK110" i="34"/>
  <c r="HK86" i="34"/>
  <c r="HP31" i="34"/>
  <c r="HL79" i="34"/>
  <c r="HP110" i="34"/>
  <c r="HP26" i="34"/>
  <c r="HM86" i="34"/>
  <c r="HQ31" i="34"/>
  <c r="HM49" i="34"/>
  <c r="HO49" i="34"/>
  <c r="HP49" i="34"/>
  <c r="HL49" i="34"/>
  <c r="HL38" i="34"/>
  <c r="HQ38" i="34"/>
  <c r="HN38" i="34"/>
  <c r="HQ49" i="34"/>
  <c r="HN49" i="34"/>
  <c r="HP38" i="34"/>
  <c r="HK49" i="34"/>
  <c r="HL42" i="34"/>
  <c r="HP42" i="34"/>
  <c r="HO87" i="34"/>
  <c r="HL87" i="34"/>
  <c r="HQ87" i="34"/>
  <c r="HP87" i="34"/>
  <c r="HM87" i="34"/>
  <c r="HN87" i="34"/>
  <c r="HP97" i="34"/>
  <c r="HQ97" i="34"/>
  <c r="HM97" i="34"/>
  <c r="HM193" i="34"/>
  <c r="HN193" i="34"/>
  <c r="HP193" i="34"/>
  <c r="HL193" i="34"/>
  <c r="HM171" i="34"/>
  <c r="HQ171" i="34"/>
  <c r="HP171" i="34"/>
  <c r="HO171" i="34"/>
  <c r="HL171" i="34"/>
  <c r="HP134" i="34"/>
  <c r="HQ134" i="34"/>
  <c r="HM134" i="34"/>
  <c r="HN216" i="34"/>
  <c r="HO216" i="34"/>
  <c r="HQ216" i="34"/>
  <c r="HK216" i="34"/>
  <c r="HL216" i="34"/>
  <c r="HK11" i="34"/>
  <c r="HO144" i="34"/>
  <c r="HL144" i="34"/>
  <c r="HP144" i="34"/>
  <c r="HM80" i="34"/>
  <c r="HN79" i="34"/>
  <c r="HK249" i="34"/>
  <c r="HP249" i="34"/>
  <c r="HM38" i="34"/>
  <c r="HL241" i="34"/>
  <c r="HP216" i="34"/>
  <c r="HQ193" i="34"/>
  <c r="HO80" i="34"/>
  <c r="HK193" i="34"/>
  <c r="HK80" i="34"/>
  <c r="HQ238" i="34"/>
  <c r="HO249" i="34"/>
  <c r="HQ249" i="34"/>
  <c r="HO38" i="34"/>
  <c r="HL80" i="34"/>
  <c r="HK241" i="34"/>
  <c r="HR112" i="34"/>
  <c r="HM249" i="34"/>
  <c r="HQ80" i="34"/>
  <c r="HM216" i="34"/>
  <c r="HO193" i="34"/>
  <c r="HN249" i="34"/>
  <c r="HO119" i="34"/>
  <c r="HK79" i="34"/>
  <c r="HP92" i="34"/>
  <c r="HP28" i="34"/>
  <c r="HO92" i="34"/>
  <c r="HQ26" i="34"/>
  <c r="HL28" i="34"/>
  <c r="HM174" i="34"/>
  <c r="HO11" i="34"/>
  <c r="HK92" i="34"/>
  <c r="HL26" i="34"/>
  <c r="E38" i="46" a="1"/>
  <c r="E38" i="46" s="1"/>
  <c r="HO26" i="34"/>
  <c r="HM28" i="34"/>
  <c r="HM126" i="34"/>
  <c r="HK174" i="34"/>
  <c r="HN97" i="34"/>
  <c r="HN42" i="34"/>
  <c r="HL11" i="34"/>
  <c r="HQ28" i="34"/>
  <c r="H37" i="46" a="1"/>
  <c r="H37" i="46" s="1"/>
  <c r="HP174" i="34"/>
  <c r="HL97" i="34"/>
  <c r="HQ92" i="34"/>
  <c r="HK238" i="34"/>
  <c r="HP238" i="34"/>
  <c r="HN238" i="34"/>
  <c r="BR24" i="46"/>
  <c r="HM26" i="34"/>
  <c r="HN28" i="34"/>
  <c r="HQ174" i="34"/>
  <c r="HO97" i="34"/>
  <c r="HN11" i="34"/>
  <c r="HM92" i="34"/>
  <c r="AR24" i="46"/>
  <c r="HK26" i="34"/>
  <c r="HN174" i="34"/>
  <c r="HK97" i="34"/>
  <c r="HQ11" i="34"/>
  <c r="HN92" i="34"/>
  <c r="HP126" i="34"/>
  <c r="HL126" i="34"/>
  <c r="HN126" i="34"/>
  <c r="HK42" i="34"/>
  <c r="HQ126" i="34"/>
  <c r="HP119" i="34"/>
  <c r="HQ42" i="34"/>
  <c r="HO79" i="34"/>
  <c r="HK119" i="34"/>
  <c r="HO42" i="34"/>
  <c r="HM79" i="34"/>
  <c r="HK126" i="34"/>
  <c r="HL119" i="34"/>
  <c r="HM42" i="34"/>
  <c r="HQ79" i="34"/>
  <c r="HM119" i="34"/>
  <c r="I112" i="46" a="1"/>
  <c r="I112" i="46" s="1"/>
  <c r="I76" i="46" a="1"/>
  <c r="I76" i="46" s="1"/>
  <c r="I75" i="46" a="1"/>
  <c r="I75" i="46" s="1"/>
  <c r="D74" i="46" a="1"/>
  <c r="D74" i="46" s="1"/>
  <c r="I82" i="46" a="1"/>
  <c r="I82" i="46" s="1"/>
  <c r="I78" i="46" a="1"/>
  <c r="I78" i="46" s="1"/>
  <c r="C81" i="46" a="1"/>
  <c r="C81" i="46" s="1"/>
  <c r="C54" i="44"/>
  <c r="J54" i="44" s="1"/>
  <c r="HK192" i="34"/>
  <c r="HQ192" i="34"/>
  <c r="HO192" i="34"/>
  <c r="HL192" i="34"/>
  <c r="HP192" i="34"/>
  <c r="HM192" i="34"/>
  <c r="HN192" i="34"/>
  <c r="J116" i="43"/>
  <c r="C75" i="46" a="1"/>
  <c r="C75" i="46" s="1"/>
  <c r="E110" i="46" a="1"/>
  <c r="E110" i="46" s="1"/>
  <c r="G110" i="46" a="1"/>
  <c r="G110" i="46" s="1"/>
  <c r="C118" i="46" a="1"/>
  <c r="C118" i="46" s="1"/>
  <c r="E80" i="46" a="1"/>
  <c r="E80" i="46" s="1"/>
  <c r="C80" i="46" a="1"/>
  <c r="C80" i="46" s="1"/>
  <c r="E76" i="46" a="1"/>
  <c r="E76" i="46" s="1"/>
  <c r="J118" i="43"/>
  <c r="G119" i="46" a="1"/>
  <c r="G119" i="46" s="1"/>
  <c r="G121" i="46" a="1"/>
  <c r="G121" i="46" s="1"/>
  <c r="D112" i="46" a="1"/>
  <c r="D112" i="46" s="1"/>
  <c r="E74" i="46" a="1"/>
  <c r="E74" i="46" s="1"/>
  <c r="C112" i="46" a="1"/>
  <c r="C112" i="46" s="1"/>
  <c r="I114" i="46" a="1"/>
  <c r="I114" i="46" s="1"/>
  <c r="E112" i="46" a="1"/>
  <c r="E112" i="46" s="1"/>
  <c r="F110" i="46" a="1"/>
  <c r="F110" i="46" s="1"/>
  <c r="D117" i="46" a="1"/>
  <c r="D117" i="46" s="1"/>
  <c r="F82" i="46" a="1"/>
  <c r="F82" i="46" s="1"/>
  <c r="I77" i="46" a="1"/>
  <c r="I77" i="46" s="1"/>
  <c r="I81" i="46" a="1"/>
  <c r="I81" i="46" s="1"/>
  <c r="I117" i="46" a="1"/>
  <c r="I117" i="46" s="1"/>
  <c r="C57" i="44"/>
  <c r="J57" i="44" s="1"/>
  <c r="J32" i="44"/>
  <c r="J94" i="43"/>
  <c r="C56" i="43"/>
  <c r="J207" i="43"/>
  <c r="C52" i="16"/>
  <c r="J52" i="16" s="1"/>
  <c r="J206" i="43"/>
  <c r="C52" i="44"/>
  <c r="J52" i="44" s="1"/>
  <c r="J170" i="43"/>
  <c r="E121" i="46" a="1"/>
  <c r="E121" i="46" s="1"/>
  <c r="CI63" i="46"/>
  <c r="G72" i="46" a="1"/>
  <c r="G72" i="46" s="1"/>
  <c r="C77" i="46" a="1"/>
  <c r="C77" i="46" s="1"/>
  <c r="C26" i="46" a="1"/>
  <c r="C26" i="46" s="1"/>
  <c r="C24" i="46"/>
  <c r="CI11" i="46"/>
  <c r="AV24" i="46"/>
  <c r="F33" i="46" a="1"/>
  <c r="F33" i="46" s="1"/>
  <c r="O24" i="46"/>
  <c r="C33" i="46" a="1"/>
  <c r="C33" i="46" s="1"/>
  <c r="G77" i="46" a="1"/>
  <c r="G77" i="46" s="1"/>
  <c r="I133" i="46"/>
  <c r="F133" i="46"/>
  <c r="G133" i="46"/>
  <c r="J133" i="46"/>
  <c r="D133" i="46"/>
  <c r="E133" i="46"/>
  <c r="H133" i="46"/>
  <c r="C133" i="46"/>
  <c r="G81" i="46" a="1"/>
  <c r="G81" i="46" s="1"/>
  <c r="H81" i="46" a="1"/>
  <c r="H81" i="46" s="1"/>
  <c r="F83" i="46" a="1"/>
  <c r="F83" i="46" s="1"/>
  <c r="I121" i="46" a="1"/>
  <c r="I121" i="46" s="1"/>
  <c r="D72" i="46" a="1"/>
  <c r="D72" i="46" s="1"/>
  <c r="D110" i="46" a="1"/>
  <c r="D110" i="46" s="1"/>
  <c r="I72" i="46" a="1"/>
  <c r="I72" i="46" s="1"/>
  <c r="H79" i="46" a="1"/>
  <c r="H79" i="46" s="1"/>
  <c r="D79" i="46" a="1"/>
  <c r="D79" i="46" s="1"/>
  <c r="H112" i="46" a="1"/>
  <c r="H112" i="46" s="1"/>
  <c r="C74" i="46" a="1"/>
  <c r="C74" i="46" s="1"/>
  <c r="J194" i="43"/>
  <c r="CI53" i="46"/>
  <c r="E111" i="46" a="1"/>
  <c r="E111" i="46" s="1"/>
  <c r="HR94" i="34"/>
  <c r="F80" i="46" a="1"/>
  <c r="F80" i="46" s="1"/>
  <c r="J166" i="43"/>
  <c r="J168" i="43"/>
  <c r="J125" i="43"/>
  <c r="J127" i="43"/>
  <c r="J120" i="43"/>
  <c r="G120" i="46" a="1"/>
  <c r="G120" i="46" s="1"/>
  <c r="D120" i="46" a="1"/>
  <c r="D120" i="46" s="1"/>
  <c r="D116" i="46" a="1"/>
  <c r="D116" i="46" s="1"/>
  <c r="G75" i="46" a="1"/>
  <c r="G75" i="46" s="1"/>
  <c r="J30" i="55"/>
  <c r="J210" i="43"/>
  <c r="J209" i="43"/>
  <c r="C61" i="44"/>
  <c r="J61" i="44" s="1"/>
  <c r="C59" i="43"/>
  <c r="G114" i="46" a="1"/>
  <c r="G114" i="46" s="1"/>
  <c r="E132" i="46"/>
  <c r="D132" i="46"/>
  <c r="G132" i="46"/>
  <c r="J132" i="46"/>
  <c r="C132" i="46"/>
  <c r="F132" i="46"/>
  <c r="H132" i="46"/>
  <c r="I132" i="46"/>
  <c r="G112" i="46" a="1"/>
  <c r="G112" i="46" s="1"/>
  <c r="E118" i="46" a="1"/>
  <c r="E118" i="46" s="1"/>
  <c r="G136" i="46"/>
  <c r="D136" i="46"/>
  <c r="H136" i="46"/>
  <c r="E136" i="46"/>
  <c r="F136" i="46"/>
  <c r="C136" i="46"/>
  <c r="I136" i="46"/>
  <c r="H13" i="40"/>
  <c r="G13" i="40"/>
  <c r="I13" i="40"/>
  <c r="J13" i="40"/>
  <c r="K13" i="40"/>
  <c r="L13" i="40"/>
  <c r="M13" i="40"/>
  <c r="J38" i="44"/>
  <c r="J172" i="43"/>
  <c r="J173" i="43"/>
  <c r="J129" i="43"/>
  <c r="J124" i="43"/>
  <c r="CI62" i="46"/>
  <c r="H82" i="46" a="1"/>
  <c r="H82" i="46" s="1"/>
  <c r="F120" i="46" a="1"/>
  <c r="F120" i="46" s="1"/>
  <c r="H120" i="46" a="1"/>
  <c r="H120" i="46" s="1"/>
  <c r="E116" i="46" a="1"/>
  <c r="E116" i="46" s="1"/>
  <c r="G113" i="46" a="1"/>
  <c r="G113" i="46" s="1"/>
  <c r="F75" i="46" a="1"/>
  <c r="F75" i="46" s="1"/>
  <c r="D113" i="46" a="1"/>
  <c r="D113" i="46" s="1"/>
  <c r="H117" i="46" a="1"/>
  <c r="H117" i="46" s="1"/>
  <c r="CI59" i="46"/>
  <c r="F117" i="46" a="1"/>
  <c r="F117" i="46" s="1"/>
  <c r="J105" i="43"/>
  <c r="J185" i="43"/>
  <c r="J193" i="43"/>
  <c r="BT24" i="46"/>
  <c r="H33" i="46" a="1"/>
  <c r="H33" i="46" s="1"/>
  <c r="F77" i="46" a="1"/>
  <c r="F77" i="46" s="1"/>
  <c r="E77" i="46" a="1"/>
  <c r="E77" i="46" s="1"/>
  <c r="I115" i="46" a="1"/>
  <c r="I115" i="46" s="1"/>
  <c r="F119" i="46" a="1"/>
  <c r="F119" i="46" s="1"/>
  <c r="CI61" i="46"/>
  <c r="F137" i="46"/>
  <c r="J137" i="46"/>
  <c r="I137" i="46"/>
  <c r="E137" i="46"/>
  <c r="H137" i="46"/>
  <c r="G137" i="46"/>
  <c r="D137" i="46"/>
  <c r="C137" i="46"/>
  <c r="D121" i="46" a="1"/>
  <c r="D121" i="46" s="1"/>
  <c r="H121" i="46" a="1"/>
  <c r="H121" i="46" s="1"/>
  <c r="CI52" i="46"/>
  <c r="E79" i="46" a="1"/>
  <c r="E79" i="46" s="1"/>
  <c r="G79" i="46" a="1"/>
  <c r="G79" i="46" s="1"/>
  <c r="J99" i="43"/>
  <c r="J103" i="43"/>
  <c r="J96" i="43"/>
  <c r="J98" i="43"/>
  <c r="J104" i="43"/>
  <c r="G74" i="46" a="1"/>
  <c r="G74" i="46" s="1"/>
  <c r="J186" i="43"/>
  <c r="G111" i="46" a="1"/>
  <c r="G111" i="46" s="1"/>
  <c r="E73" i="46" a="1"/>
  <c r="E73" i="46" s="1"/>
  <c r="I111" i="46" a="1"/>
  <c r="I111" i="46" s="1"/>
  <c r="F118" i="46" a="1"/>
  <c r="F118" i="46" s="1"/>
  <c r="H118" i="46" a="1"/>
  <c r="H118" i="46" s="1"/>
  <c r="CI98" i="46"/>
  <c r="D118" i="46" a="1"/>
  <c r="D118" i="46" s="1"/>
  <c r="C56" i="44"/>
  <c r="J56" i="44" s="1"/>
  <c r="J167" i="43"/>
  <c r="J117" i="43"/>
  <c r="H138" i="46"/>
  <c r="C138" i="46"/>
  <c r="D138" i="46"/>
  <c r="G138" i="46"/>
  <c r="I138" i="46"/>
  <c r="E138" i="46"/>
  <c r="F138" i="46"/>
  <c r="J138" i="46"/>
  <c r="F78" i="46" a="1"/>
  <c r="F78" i="46" s="1"/>
  <c r="CI96" i="46"/>
  <c r="CI58" i="46"/>
  <c r="F116" i="46" a="1"/>
  <c r="F116" i="46" s="1"/>
  <c r="C113" i="46" a="1"/>
  <c r="C113" i="46" s="1"/>
  <c r="E113" i="46" a="1"/>
  <c r="E113" i="46" s="1"/>
  <c r="J216" i="43"/>
  <c r="H76" i="46" a="1"/>
  <c r="H76" i="46" s="1"/>
  <c r="F76" i="46" a="1"/>
  <c r="F76" i="46" s="1"/>
  <c r="H110" i="46" a="1"/>
  <c r="H110" i="46" s="1"/>
  <c r="G80" i="46" a="1"/>
  <c r="G80" i="46" s="1"/>
  <c r="H115" i="43"/>
  <c r="H130" i="43" s="1"/>
  <c r="I115" i="43"/>
  <c r="I130" i="43" s="1"/>
  <c r="C115" i="43"/>
  <c r="D115" i="43"/>
  <c r="D130" i="43" s="1"/>
  <c r="E115" i="43"/>
  <c r="E130" i="43" s="1"/>
  <c r="F115" i="43"/>
  <c r="F130" i="43" s="1"/>
  <c r="G115" i="43"/>
  <c r="G130" i="43" s="1"/>
  <c r="E82" i="46" a="1"/>
  <c r="E82" i="46" s="1"/>
  <c r="G78" i="46" a="1"/>
  <c r="G78" i="46" s="1"/>
  <c r="H75" i="46" a="1"/>
  <c r="H75" i="46" s="1"/>
  <c r="D75" i="46" a="1"/>
  <c r="D75" i="46" s="1"/>
  <c r="CI93" i="46"/>
  <c r="F113" i="46" a="1"/>
  <c r="F113" i="46" s="1"/>
  <c r="J205" i="43"/>
  <c r="J214" i="43"/>
  <c r="D76" i="46" a="1"/>
  <c r="D76" i="46" s="1"/>
  <c r="G115" i="46" a="1"/>
  <c r="G115" i="46" s="1"/>
  <c r="E33" i="46" a="1"/>
  <c r="E33" i="46" s="1"/>
  <c r="AJ24" i="46"/>
  <c r="BH24" i="46"/>
  <c r="G33" i="46" a="1"/>
  <c r="G33" i="46" s="1"/>
  <c r="I119" i="46" a="1"/>
  <c r="I119" i="46" s="1"/>
  <c r="H83" i="46" a="1"/>
  <c r="H83" i="46" s="1"/>
  <c r="F121" i="46" a="1"/>
  <c r="F121" i="46" s="1"/>
  <c r="D139" i="46"/>
  <c r="C139" i="46"/>
  <c r="F139" i="46"/>
  <c r="I139" i="46"/>
  <c r="G139" i="46"/>
  <c r="H139" i="46"/>
  <c r="J139" i="46"/>
  <c r="E139" i="46"/>
  <c r="F72" i="46" a="1"/>
  <c r="F72" i="46" s="1"/>
  <c r="C79" i="46" a="1"/>
  <c r="C79" i="46" s="1"/>
  <c r="HR210" i="34"/>
  <c r="J97" i="43"/>
  <c r="J106" i="43"/>
  <c r="J101" i="43"/>
  <c r="J195" i="43"/>
  <c r="G73" i="46" a="1"/>
  <c r="G73" i="46" s="1"/>
  <c r="C73" i="46" a="1"/>
  <c r="C73" i="46" s="1"/>
  <c r="H129" i="46"/>
  <c r="C129" i="46"/>
  <c r="G129" i="46"/>
  <c r="I129" i="46"/>
  <c r="F129" i="46"/>
  <c r="D129" i="46"/>
  <c r="E129" i="46"/>
  <c r="D80" i="46" a="1"/>
  <c r="D80" i="46" s="1"/>
  <c r="G118" i="46" a="1"/>
  <c r="G118" i="46" s="1"/>
  <c r="J126" i="43"/>
  <c r="J119" i="43"/>
  <c r="CI100" i="46"/>
  <c r="D82" i="46" a="1"/>
  <c r="D82" i="46" s="1"/>
  <c r="G116" i="46" a="1"/>
  <c r="G116" i="46" s="1"/>
  <c r="I116" i="46" a="1"/>
  <c r="I116" i="46" s="1"/>
  <c r="H134" i="46"/>
  <c r="G134" i="46"/>
  <c r="F134" i="46"/>
  <c r="C134" i="46"/>
  <c r="I134" i="46"/>
  <c r="D134" i="46"/>
  <c r="E134" i="46"/>
  <c r="H113" i="46" a="1"/>
  <c r="H113" i="46" s="1"/>
  <c r="J208" i="43"/>
  <c r="J211" i="43"/>
  <c r="J215" i="43"/>
  <c r="D114" i="46" a="1"/>
  <c r="D114" i="46" s="1"/>
  <c r="G76" i="46" a="1"/>
  <c r="G76" i="46" s="1"/>
  <c r="CI94" i="46"/>
  <c r="D115" i="46" a="1"/>
  <c r="D115" i="46" s="1"/>
  <c r="H115" i="46" a="1"/>
  <c r="H115" i="46" s="1"/>
  <c r="C115" i="46" a="1"/>
  <c r="C115" i="46" s="1"/>
  <c r="D77" i="46" a="1"/>
  <c r="D77" i="46" s="1"/>
  <c r="H119" i="46" a="1"/>
  <c r="H119" i="46" s="1"/>
  <c r="E119" i="46" a="1"/>
  <c r="E119" i="46" s="1"/>
  <c r="E81" i="46" a="1"/>
  <c r="E81" i="46" s="1"/>
  <c r="CI99" i="46"/>
  <c r="I83" i="46" a="1"/>
  <c r="I83" i="46" s="1"/>
  <c r="C72" i="46" a="1"/>
  <c r="C72" i="46" s="1"/>
  <c r="D128" i="46"/>
  <c r="G128" i="46"/>
  <c r="H128" i="46"/>
  <c r="J128" i="46"/>
  <c r="E128" i="46"/>
  <c r="I128" i="46"/>
  <c r="C128" i="46"/>
  <c r="F128" i="46"/>
  <c r="F79" i="46" a="1"/>
  <c r="F79" i="46" s="1"/>
  <c r="C117" i="46" a="1"/>
  <c r="C117" i="46" s="1"/>
  <c r="J95" i="43"/>
  <c r="J107" i="43"/>
  <c r="F74" i="46" a="1"/>
  <c r="F74" i="46" s="1"/>
  <c r="F112" i="46" a="1"/>
  <c r="F112" i="46" s="1"/>
  <c r="F130" i="46"/>
  <c r="I130" i="46"/>
  <c r="H130" i="46"/>
  <c r="E130" i="46"/>
  <c r="D130" i="46"/>
  <c r="J130" i="46"/>
  <c r="C130" i="46"/>
  <c r="G130" i="46"/>
  <c r="C53" i="44"/>
  <c r="J53" i="44" s="1"/>
  <c r="J184" i="43"/>
  <c r="J190" i="43"/>
  <c r="HR45" i="34"/>
  <c r="D73" i="46" a="1"/>
  <c r="D73" i="46" s="1"/>
  <c r="F73" i="46" a="1"/>
  <c r="F73" i="46" s="1"/>
  <c r="C60" i="44"/>
  <c r="J60" i="44" s="1"/>
  <c r="I80" i="46" a="1"/>
  <c r="I80" i="46" s="1"/>
  <c r="J171" i="43"/>
  <c r="J121" i="43"/>
  <c r="J122" i="43"/>
  <c r="J128" i="43"/>
  <c r="E75" i="46" a="1"/>
  <c r="E75" i="46" s="1"/>
  <c r="I113" i="46" a="1"/>
  <c r="I113" i="46" s="1"/>
  <c r="HR247" i="34"/>
  <c r="CI56" i="46"/>
  <c r="C114" i="46" a="1"/>
  <c r="C114" i="46" s="1"/>
  <c r="C76" i="46" a="1"/>
  <c r="C76" i="46" s="1"/>
  <c r="E115" i="46" a="1"/>
  <c r="E115" i="46" s="1"/>
  <c r="C83" i="46" a="1"/>
  <c r="C83" i="46" s="1"/>
  <c r="G117" i="46" a="1"/>
  <c r="G117" i="46" s="1"/>
  <c r="J102" i="43"/>
  <c r="B127" i="46"/>
  <c r="B109" i="46"/>
  <c r="AW89" i="46"/>
  <c r="AW102" i="46" s="1"/>
  <c r="AD51" i="46"/>
  <c r="AD64" i="46" s="1"/>
  <c r="L89" i="46"/>
  <c r="L102" i="46" s="1"/>
  <c r="BG89" i="46"/>
  <c r="BG102" i="46" s="1"/>
  <c r="AI51" i="46"/>
  <c r="AI64" i="46" s="1"/>
  <c r="BW89" i="46"/>
  <c r="BW102" i="46" s="1"/>
  <c r="J51" i="46"/>
  <c r="J64" i="46" s="1"/>
  <c r="R89" i="46"/>
  <c r="R102" i="46" s="1"/>
  <c r="BA89" i="46"/>
  <c r="BA102" i="46" s="1"/>
  <c r="K51" i="46"/>
  <c r="K64" i="46" s="1"/>
  <c r="X89" i="46"/>
  <c r="AB89" i="46"/>
  <c r="AB102" i="46" s="1"/>
  <c r="BI51" i="46"/>
  <c r="BI64" i="46" s="1"/>
  <c r="V51" i="46"/>
  <c r="V64" i="46" s="1"/>
  <c r="AG89" i="46"/>
  <c r="AG102" i="46" s="1"/>
  <c r="AM89" i="46"/>
  <c r="AM102" i="46" s="1"/>
  <c r="H89" i="46"/>
  <c r="H102" i="46" s="1"/>
  <c r="CB51" i="46"/>
  <c r="CB64" i="46" s="1"/>
  <c r="AV51" i="46"/>
  <c r="AE89" i="46"/>
  <c r="AE102" i="46" s="1"/>
  <c r="AX51" i="46"/>
  <c r="AX64" i="46" s="1"/>
  <c r="AF89" i="46"/>
  <c r="AF102" i="46" s="1"/>
  <c r="AD89" i="46"/>
  <c r="AD102" i="46" s="1"/>
  <c r="E51" i="46"/>
  <c r="E64" i="46" s="1"/>
  <c r="G89" i="46"/>
  <c r="G102" i="46" s="1"/>
  <c r="AC89" i="46"/>
  <c r="AC102" i="46" s="1"/>
  <c r="AR89" i="46"/>
  <c r="AR102" i="46" s="1"/>
  <c r="AH51" i="46"/>
  <c r="AH64" i="46" s="1"/>
  <c r="BX89" i="46"/>
  <c r="BX102" i="46" s="1"/>
  <c r="K89" i="46"/>
  <c r="K102" i="46" s="1"/>
  <c r="BO89" i="46"/>
  <c r="BO102" i="46" s="1"/>
  <c r="AX89" i="46"/>
  <c r="AX102" i="46" s="1"/>
  <c r="CE89" i="46"/>
  <c r="CE102" i="46" s="1"/>
  <c r="X51" i="46"/>
  <c r="BU51" i="46"/>
  <c r="BU64" i="46" s="1"/>
  <c r="BV89" i="46"/>
  <c r="BV102" i="46" s="1"/>
  <c r="BY51" i="46"/>
  <c r="BY64" i="46" s="1"/>
  <c r="AP89" i="46"/>
  <c r="AP102" i="46" s="1"/>
  <c r="BC89" i="46"/>
  <c r="BC102" i="46" s="1"/>
  <c r="AG51" i="46"/>
  <c r="AG64" i="46" s="1"/>
  <c r="AW51" i="46"/>
  <c r="AW64" i="46" s="1"/>
  <c r="BO51" i="46"/>
  <c r="BO64" i="46" s="1"/>
  <c r="CA89" i="46"/>
  <c r="CA102" i="46" s="1"/>
  <c r="BK51" i="46"/>
  <c r="BK64" i="46" s="1"/>
  <c r="BZ89" i="46"/>
  <c r="BZ102" i="46" s="1"/>
  <c r="BY89" i="46"/>
  <c r="BY102" i="46" s="1"/>
  <c r="BK89" i="46"/>
  <c r="BK102" i="46" s="1"/>
  <c r="CE51" i="46"/>
  <c r="CE64" i="46" s="1"/>
  <c r="N89" i="46"/>
  <c r="N102" i="46" s="1"/>
  <c r="BR51" i="46"/>
  <c r="BR64" i="46" s="1"/>
  <c r="N51" i="46"/>
  <c r="N64" i="46" s="1"/>
  <c r="Q89" i="46"/>
  <c r="Q102" i="46" s="1"/>
  <c r="BN89" i="46"/>
  <c r="BN102" i="46" s="1"/>
  <c r="BQ89" i="46"/>
  <c r="BQ102" i="46" s="1"/>
  <c r="BS51" i="46"/>
  <c r="BS64" i="46" s="1"/>
  <c r="BF89" i="46"/>
  <c r="BF102" i="46" s="1"/>
  <c r="AA51" i="46"/>
  <c r="AA64" i="46" s="1"/>
  <c r="BS89" i="46"/>
  <c r="BS102" i="46" s="1"/>
  <c r="AF51" i="46"/>
  <c r="AF64" i="46" s="1"/>
  <c r="BT89" i="46"/>
  <c r="BG51" i="46"/>
  <c r="BG64" i="46" s="1"/>
  <c r="G51" i="46"/>
  <c r="G64" i="46" s="1"/>
  <c r="AC51" i="46"/>
  <c r="AC64" i="46" s="1"/>
  <c r="BJ89" i="46"/>
  <c r="BJ102" i="46" s="1"/>
  <c r="BB51" i="46"/>
  <c r="BB64" i="46" s="1"/>
  <c r="AH89" i="46"/>
  <c r="AH102" i="46" s="1"/>
  <c r="CG51" i="46"/>
  <c r="CG64" i="46" s="1"/>
  <c r="BJ51" i="46"/>
  <c r="BJ64" i="46" s="1"/>
  <c r="BZ51" i="46"/>
  <c r="BZ64" i="46" s="1"/>
  <c r="U51" i="46"/>
  <c r="U64" i="46" s="1"/>
  <c r="AO51" i="46"/>
  <c r="AO64" i="46" s="1"/>
  <c r="BR89" i="46"/>
  <c r="BR102" i="46" s="1"/>
  <c r="O89" i="46"/>
  <c r="CC51" i="46"/>
  <c r="CC64" i="46" s="1"/>
  <c r="I89" i="46"/>
  <c r="I102" i="46" s="1"/>
  <c r="S51" i="46"/>
  <c r="S64" i="46" s="1"/>
  <c r="CC89" i="46"/>
  <c r="CC102" i="46" s="1"/>
  <c r="AT51" i="46"/>
  <c r="AT64" i="46" s="1"/>
  <c r="W89" i="46"/>
  <c r="W102" i="46" s="1"/>
  <c r="L51" i="46"/>
  <c r="L64" i="46" s="1"/>
  <c r="AL89" i="46"/>
  <c r="AL102" i="46" s="1"/>
  <c r="BD51" i="46"/>
  <c r="BD64" i="46" s="1"/>
  <c r="AM51" i="46"/>
  <c r="AM64" i="46" s="1"/>
  <c r="CH89" i="46"/>
  <c r="CH102" i="46" s="1"/>
  <c r="AJ89" i="46"/>
  <c r="AQ51" i="46"/>
  <c r="AQ64" i="46" s="1"/>
  <c r="AN51" i="46"/>
  <c r="AN64" i="46" s="1"/>
  <c r="AP51" i="46"/>
  <c r="AP64" i="46" s="1"/>
  <c r="CF89" i="46"/>
  <c r="AY51" i="46"/>
  <c r="AY64" i="46" s="1"/>
  <c r="P51" i="46"/>
  <c r="BB89" i="46"/>
  <c r="BB102" i="46" s="1"/>
  <c r="AZ51" i="46"/>
  <c r="AZ64" i="46" s="1"/>
  <c r="CA51" i="46"/>
  <c r="CA64" i="46" s="1"/>
  <c r="BM89" i="46"/>
  <c r="BM102" i="46" s="1"/>
  <c r="AJ51" i="46"/>
  <c r="BC51" i="46"/>
  <c r="BC64" i="46" s="1"/>
  <c r="BU89" i="46"/>
  <c r="BU102" i="46" s="1"/>
  <c r="AU89" i="46"/>
  <c r="AU102" i="46" s="1"/>
  <c r="R51" i="46"/>
  <c r="R64" i="46" s="1"/>
  <c r="BE89" i="46"/>
  <c r="BE102" i="46" s="1"/>
  <c r="Y51" i="46"/>
  <c r="Y64" i="46" s="1"/>
  <c r="AK89" i="46"/>
  <c r="AK102" i="46" s="1"/>
  <c r="M51" i="46"/>
  <c r="M64" i="46" s="1"/>
  <c r="C89" i="46"/>
  <c r="CH51" i="46"/>
  <c r="CH64" i="46" s="1"/>
  <c r="T51" i="46"/>
  <c r="T64" i="46" s="1"/>
  <c r="CD89" i="46"/>
  <c r="CD102" i="46" s="1"/>
  <c r="CD51" i="46"/>
  <c r="CD64" i="46" s="1"/>
  <c r="P89" i="46"/>
  <c r="P102" i="46" s="1"/>
  <c r="BW51" i="46"/>
  <c r="BW64" i="46" s="1"/>
  <c r="O51" i="46"/>
  <c r="AY89" i="46"/>
  <c r="AY102" i="46" s="1"/>
  <c r="F89" i="46"/>
  <c r="F102" i="46" s="1"/>
  <c r="S89" i="46"/>
  <c r="S102" i="46" s="1"/>
  <c r="C51" i="46"/>
  <c r="BX51" i="46"/>
  <c r="BX64" i="46" s="1"/>
  <c r="AN89" i="46"/>
  <c r="AN102" i="46" s="1"/>
  <c r="BA51" i="46"/>
  <c r="BA64" i="46" s="1"/>
  <c r="D89" i="46"/>
  <c r="D102" i="46" s="1"/>
  <c r="AU51" i="46"/>
  <c r="AU64" i="46" s="1"/>
  <c r="E89" i="46"/>
  <c r="E102" i="46" s="1"/>
  <c r="D51" i="46"/>
  <c r="D64" i="46" s="1"/>
  <c r="BV51" i="46"/>
  <c r="BV64" i="46" s="1"/>
  <c r="AK51" i="46"/>
  <c r="AK64" i="46" s="1"/>
  <c r="AT89" i="46"/>
  <c r="AT102" i="46" s="1"/>
  <c r="H51" i="46"/>
  <c r="H64" i="46" s="1"/>
  <c r="CB89" i="46"/>
  <c r="CB102" i="46" s="1"/>
  <c r="M89" i="46"/>
  <c r="M102" i="46" s="1"/>
  <c r="BH51" i="46"/>
  <c r="BD89" i="46"/>
  <c r="BD102" i="46" s="1"/>
  <c r="T89" i="46"/>
  <c r="T102" i="46" s="1"/>
  <c r="AS89" i="46"/>
  <c r="AS102" i="46" s="1"/>
  <c r="CF51" i="46"/>
  <c r="I51" i="46"/>
  <c r="I64" i="46" s="1"/>
  <c r="AQ89" i="46"/>
  <c r="AQ102" i="46" s="1"/>
  <c r="BL89" i="46"/>
  <c r="BL102" i="46" s="1"/>
  <c r="J89" i="46"/>
  <c r="J102" i="46" s="1"/>
  <c r="BP51" i="46"/>
  <c r="BP64" i="46" s="1"/>
  <c r="AB51" i="46"/>
  <c r="AB64" i="46" s="1"/>
  <c r="AI89" i="46"/>
  <c r="AI102" i="46" s="1"/>
  <c r="BM51" i="46"/>
  <c r="BM64" i="46" s="1"/>
  <c r="AZ89" i="46"/>
  <c r="AZ102" i="46" s="1"/>
  <c r="AE51" i="46"/>
  <c r="AE64" i="46" s="1"/>
  <c r="BN51" i="46"/>
  <c r="BN64" i="46" s="1"/>
  <c r="Z51" i="46"/>
  <c r="Z64" i="46" s="1"/>
  <c r="AA89" i="46"/>
  <c r="AA102" i="46" s="1"/>
  <c r="AL51" i="46"/>
  <c r="AL64" i="46" s="1"/>
  <c r="AO89" i="46"/>
  <c r="AO102" i="46" s="1"/>
  <c r="BI89" i="46"/>
  <c r="BI102" i="46" s="1"/>
  <c r="Z89" i="46"/>
  <c r="Z102" i="46" s="1"/>
  <c r="F51" i="46"/>
  <c r="F64" i="46" s="1"/>
  <c r="V89" i="46"/>
  <c r="V102" i="46" s="1"/>
  <c r="U89" i="46"/>
  <c r="U102" i="46" s="1"/>
  <c r="AS51" i="46"/>
  <c r="AS64" i="46" s="1"/>
  <c r="BT51" i="46"/>
  <c r="BF51" i="46"/>
  <c r="BF64" i="46" s="1"/>
  <c r="BE51" i="46"/>
  <c r="BE64" i="46" s="1"/>
  <c r="BQ51" i="46"/>
  <c r="BQ64" i="46" s="1"/>
  <c r="AV89" i="46"/>
  <c r="BP89" i="46"/>
  <c r="BP102" i="46" s="1"/>
  <c r="BL51" i="46"/>
  <c r="BL64" i="46" s="1"/>
  <c r="AR51" i="46"/>
  <c r="AR64" i="46" s="1"/>
  <c r="Y89" i="46"/>
  <c r="Y102" i="46" s="1"/>
  <c r="W51" i="46"/>
  <c r="W64" i="46" s="1"/>
  <c r="CG89" i="46"/>
  <c r="CG102" i="46" s="1"/>
  <c r="BH89" i="46"/>
  <c r="Q51" i="46"/>
  <c r="Q64" i="46" s="1"/>
  <c r="D81" i="46" a="1"/>
  <c r="D81" i="46" s="1"/>
  <c r="E83" i="46" a="1"/>
  <c r="E83" i="46" s="1"/>
  <c r="C121" i="46" a="1"/>
  <c r="C121" i="46" s="1"/>
  <c r="G83" i="46" a="1"/>
  <c r="G83" i="46" s="1"/>
  <c r="D83" i="46" a="1"/>
  <c r="D83" i="46" s="1"/>
  <c r="C110" i="46" a="1"/>
  <c r="C110" i="46" s="1"/>
  <c r="E72" i="46" a="1"/>
  <c r="E72" i="46" s="1"/>
  <c r="I110" i="46" a="1"/>
  <c r="I110" i="46" s="1"/>
  <c r="I79" i="46" a="1"/>
  <c r="I79" i="46" s="1"/>
  <c r="CI97" i="46"/>
  <c r="J100" i="43"/>
  <c r="I74" i="46" a="1"/>
  <c r="I74" i="46" s="1"/>
  <c r="J191" i="43"/>
  <c r="J187" i="43"/>
  <c r="J192" i="43"/>
  <c r="H73" i="46" a="1"/>
  <c r="H73" i="46" s="1"/>
  <c r="I73" i="46" a="1"/>
  <c r="I73" i="46" s="1"/>
  <c r="C111" i="46" a="1"/>
  <c r="C111" i="46" s="1"/>
  <c r="F111" i="46" a="1"/>
  <c r="F111" i="46" s="1"/>
  <c r="HR185" i="34"/>
  <c r="B71" i="43" a="1"/>
  <c r="B71" i="43" s="1"/>
  <c r="L71" i="43" s="1"/>
  <c r="C82" i="43"/>
  <c r="C75" i="43"/>
  <c r="D85" i="43"/>
  <c r="D78" i="43"/>
  <c r="E76" i="43"/>
  <c r="E78" i="43"/>
  <c r="F80" i="43"/>
  <c r="G82" i="43"/>
  <c r="G76" i="43"/>
  <c r="H80" i="43"/>
  <c r="I84" i="43"/>
  <c r="I85" i="43"/>
  <c r="I82" i="43"/>
  <c r="C77" i="43"/>
  <c r="C83" i="43"/>
  <c r="D74" i="43"/>
  <c r="D73" i="43"/>
  <c r="E75" i="43"/>
  <c r="E81" i="43"/>
  <c r="F81" i="43"/>
  <c r="G72" i="43"/>
  <c r="G75" i="43"/>
  <c r="I73" i="43"/>
  <c r="H78" i="43"/>
  <c r="H84" i="43"/>
  <c r="H79" i="43"/>
  <c r="C80" i="43"/>
  <c r="C76" i="43"/>
  <c r="D75" i="43"/>
  <c r="D79" i="43"/>
  <c r="E85" i="43"/>
  <c r="F76" i="43"/>
  <c r="F75" i="43"/>
  <c r="G84" i="43"/>
  <c r="G85" i="43"/>
  <c r="I77" i="43"/>
  <c r="I72" i="43"/>
  <c r="H72" i="43"/>
  <c r="C73" i="43"/>
  <c r="C72" i="43"/>
  <c r="D76" i="43"/>
  <c r="D81" i="43"/>
  <c r="E77" i="43"/>
  <c r="F77" i="43"/>
  <c r="F83" i="43"/>
  <c r="G74" i="43"/>
  <c r="G77" i="43"/>
  <c r="I76" i="43"/>
  <c r="I78" i="43"/>
  <c r="I83" i="43"/>
  <c r="C84" i="43"/>
  <c r="C81" i="43"/>
  <c r="D83" i="43"/>
  <c r="E82" i="43"/>
  <c r="E72" i="43"/>
  <c r="F82" i="43"/>
  <c r="F74" i="43"/>
  <c r="G73" i="43"/>
  <c r="G83" i="43"/>
  <c r="H73" i="43"/>
  <c r="H81" i="43"/>
  <c r="H75" i="43"/>
  <c r="C85" i="43"/>
  <c r="C78" i="43"/>
  <c r="D77" i="43"/>
  <c r="E79" i="43"/>
  <c r="E74" i="43"/>
  <c r="F73" i="43"/>
  <c r="F78" i="43"/>
  <c r="G81" i="43"/>
  <c r="G78" i="43"/>
  <c r="H83" i="43"/>
  <c r="I81" i="43"/>
  <c r="I75" i="43"/>
  <c r="C74" i="43"/>
  <c r="D84" i="43"/>
  <c r="D80" i="43"/>
  <c r="E84" i="43"/>
  <c r="E73" i="43"/>
  <c r="F79" i="43"/>
  <c r="F85" i="43"/>
  <c r="G79" i="43"/>
  <c r="I80" i="43"/>
  <c r="I74" i="43"/>
  <c r="H85" i="43"/>
  <c r="H76" i="43"/>
  <c r="C79" i="43"/>
  <c r="D72" i="43"/>
  <c r="D82" i="43"/>
  <c r="E83" i="43"/>
  <c r="E80" i="43"/>
  <c r="F84" i="43"/>
  <c r="F72" i="43"/>
  <c r="G80" i="43"/>
  <c r="I79" i="43"/>
  <c r="H77" i="43"/>
  <c r="H82" i="43"/>
  <c r="H74" i="43"/>
  <c r="H80" i="46" a="1"/>
  <c r="H80" i="46" s="1"/>
  <c r="CI60" i="46"/>
  <c r="I118" i="46" a="1"/>
  <c r="I118" i="46" s="1"/>
  <c r="J169" i="43"/>
  <c r="J165" i="43"/>
  <c r="J123" i="43"/>
  <c r="C57" i="43"/>
  <c r="I120" i="46" a="1"/>
  <c r="I120" i="46" s="1"/>
  <c r="E120" i="46" a="1"/>
  <c r="E120" i="46" s="1"/>
  <c r="C78" i="46" a="1"/>
  <c r="C78" i="46" s="1"/>
  <c r="E78" i="46" a="1"/>
  <c r="E78" i="46" s="1"/>
  <c r="CI55" i="46"/>
  <c r="C131" i="46"/>
  <c r="D131" i="46"/>
  <c r="E131" i="46"/>
  <c r="H131" i="46"/>
  <c r="I131" i="46"/>
  <c r="F131" i="46"/>
  <c r="G131" i="46"/>
  <c r="HR149" i="34"/>
  <c r="J212" i="43"/>
  <c r="J213" i="43"/>
  <c r="E114" i="46" a="1"/>
  <c r="E114" i="46" s="1"/>
  <c r="D119" i="46" a="1"/>
  <c r="D119" i="46" s="1"/>
  <c r="CI90" i="46"/>
  <c r="E117" i="46" a="1"/>
  <c r="E117" i="46" s="1"/>
  <c r="D93" i="43"/>
  <c r="D108" i="43" s="1"/>
  <c r="E93" i="43"/>
  <c r="E108" i="43" s="1"/>
  <c r="F93" i="43"/>
  <c r="F108" i="43" s="1"/>
  <c r="G93" i="43"/>
  <c r="G108" i="43" s="1"/>
  <c r="I93" i="43"/>
  <c r="I108" i="43" s="1"/>
  <c r="H93" i="43"/>
  <c r="H108" i="43" s="1"/>
  <c r="C93" i="43"/>
  <c r="H74" i="46" a="1"/>
  <c r="H74" i="46" s="1"/>
  <c r="F115" i="46" a="1"/>
  <c r="F115" i="46" s="1"/>
  <c r="D33" i="46" a="1"/>
  <c r="D33" i="46" s="1"/>
  <c r="X24" i="46"/>
  <c r="I33" i="46" a="1"/>
  <c r="I33" i="46" s="1"/>
  <c r="CF24" i="46"/>
  <c r="CI57" i="46"/>
  <c r="CI95" i="46"/>
  <c r="H77" i="46" a="1"/>
  <c r="H77" i="46" s="1"/>
  <c r="F81" i="46" a="1"/>
  <c r="F81" i="46" s="1"/>
  <c r="C119" i="46" a="1"/>
  <c r="C119" i="46" s="1"/>
  <c r="CI101" i="46"/>
  <c r="C55" i="43"/>
  <c r="J55" i="43" s="1"/>
  <c r="H72" i="46" a="1"/>
  <c r="H72" i="46" s="1"/>
  <c r="D135" i="46"/>
  <c r="I135" i="46"/>
  <c r="E135" i="46"/>
  <c r="C135" i="46"/>
  <c r="H135" i="46"/>
  <c r="F135" i="46"/>
  <c r="G135" i="46"/>
  <c r="J135" i="46"/>
  <c r="CI54" i="46"/>
  <c r="CI92" i="46"/>
  <c r="J188" i="43"/>
  <c r="J189" i="43"/>
  <c r="H111" i="46" a="1"/>
  <c r="H111" i="46" s="1"/>
  <c r="CI91" i="46"/>
  <c r="D111" i="46" a="1"/>
  <c r="D111" i="46" s="1"/>
  <c r="C58" i="44"/>
  <c r="J58" i="44" s="1"/>
  <c r="C82" i="46" a="1"/>
  <c r="C82" i="46" s="1"/>
  <c r="G82" i="46" a="1"/>
  <c r="G82" i="46" s="1"/>
  <c r="C120" i="46" a="1"/>
  <c r="C120" i="46" s="1"/>
  <c r="C116" i="46" a="1"/>
  <c r="C116" i="46" s="1"/>
  <c r="D78" i="46" a="1"/>
  <c r="D78" i="46" s="1"/>
  <c r="H78" i="46" a="1"/>
  <c r="H78" i="46" s="1"/>
  <c r="H116" i="46" a="1"/>
  <c r="H116" i="46" s="1"/>
  <c r="J217" i="43"/>
  <c r="C58" i="43"/>
  <c r="H114" i="46" a="1"/>
  <c r="H114" i="46" s="1"/>
  <c r="F114" i="46" a="1"/>
  <c r="F114" i="46" s="1"/>
  <c r="HR163" i="34"/>
  <c r="HR245" i="34" l="1"/>
  <c r="HR88" i="34"/>
  <c r="S21" i="40"/>
  <c r="L60" i="16"/>
  <c r="L218" i="43"/>
  <c r="L220" i="43" s="1"/>
  <c r="HR208" i="34"/>
  <c r="L64" i="43"/>
  <c r="S49" i="40"/>
  <c r="L44" i="43"/>
  <c r="L46" i="43" s="1"/>
  <c r="L174" i="43"/>
  <c r="L176" i="43" s="1"/>
  <c r="L196" i="43"/>
  <c r="L198" i="43" s="1"/>
  <c r="J127" i="46"/>
  <c r="L127" i="46"/>
  <c r="L140" i="46" s="1"/>
  <c r="L86" i="43"/>
  <c r="L88" i="43" s="1"/>
  <c r="I41" i="55"/>
  <c r="HR71" i="34"/>
  <c r="C37" i="55"/>
  <c r="L40" i="55"/>
  <c r="HR229" i="34"/>
  <c r="L39" i="55"/>
  <c r="L51" i="16"/>
  <c r="L52" i="16"/>
  <c r="S13" i="40"/>
  <c r="F41" i="55"/>
  <c r="L54" i="16"/>
  <c r="S15" i="40"/>
  <c r="L62" i="16"/>
  <c r="S23" i="40"/>
  <c r="L56" i="16"/>
  <c r="S17" i="40"/>
  <c r="L57" i="16"/>
  <c r="S18" i="40"/>
  <c r="L63" i="16"/>
  <c r="L59" i="16"/>
  <c r="S20" i="40"/>
  <c r="HR180" i="34"/>
  <c r="L58" i="16"/>
  <c r="S19" i="40"/>
  <c r="L41" i="55"/>
  <c r="C41" i="55"/>
  <c r="L61" i="16"/>
  <c r="S22" i="40"/>
  <c r="L32" i="55"/>
  <c r="L53" i="16"/>
  <c r="S14" i="40"/>
  <c r="L37" i="55"/>
  <c r="L55" i="16"/>
  <c r="S16" i="40"/>
  <c r="H41" i="55"/>
  <c r="D41" i="55"/>
  <c r="P64" i="46"/>
  <c r="M71" i="46" a="1"/>
  <c r="M71" i="46" s="1"/>
  <c r="HR113" i="34"/>
  <c r="L44" i="16"/>
  <c r="L46" i="16" s="1"/>
  <c r="HR230" i="34"/>
  <c r="HR96" i="34"/>
  <c r="HR53" i="34"/>
  <c r="HR135" i="34"/>
  <c r="HR20" i="34"/>
  <c r="G41" i="55"/>
  <c r="HR102" i="34"/>
  <c r="HR218" i="34"/>
  <c r="HR122" i="34"/>
  <c r="E41" i="55"/>
  <c r="CK15" i="46"/>
  <c r="K37" i="46" s="1"/>
  <c r="CK23" i="46"/>
  <c r="K45" i="46" s="1"/>
  <c r="CK16" i="46"/>
  <c r="K38" i="46" s="1"/>
  <c r="CK11" i="46"/>
  <c r="K33" i="46" s="1"/>
  <c r="CK19" i="46"/>
  <c r="K41" i="46" s="1"/>
  <c r="CK20" i="46"/>
  <c r="K42" i="46" s="1"/>
  <c r="CK17" i="46"/>
  <c r="K39" i="46" s="1"/>
  <c r="CK18" i="46"/>
  <c r="K40" i="46" s="1"/>
  <c r="CK24" i="46"/>
  <c r="CK12" i="46"/>
  <c r="K34" i="46" s="1"/>
  <c r="CK13" i="46"/>
  <c r="K35" i="46" s="1"/>
  <c r="CK21" i="46"/>
  <c r="K43" i="46" s="1"/>
  <c r="CK14" i="46"/>
  <c r="K36" i="46" s="1"/>
  <c r="CK22" i="46"/>
  <c r="K44" i="46" s="1"/>
  <c r="HR179" i="34"/>
  <c r="HR82" i="34"/>
  <c r="HR139" i="34"/>
  <c r="HR84" i="34"/>
  <c r="HR253" i="34"/>
  <c r="HR233" i="34"/>
  <c r="HR44" i="34"/>
  <c r="HR150" i="34"/>
  <c r="HR29" i="34"/>
  <c r="HR252" i="34"/>
  <c r="H40" i="55"/>
  <c r="HR107" i="34"/>
  <c r="HR242" i="34"/>
  <c r="HR46" i="34"/>
  <c r="HR67" i="34"/>
  <c r="HR212" i="34"/>
  <c r="HR35" i="34"/>
  <c r="HR161" i="34"/>
  <c r="HR142" i="34"/>
  <c r="HR81" i="34"/>
  <c r="HR160" i="34"/>
  <c r="HR169" i="34"/>
  <c r="HR254" i="34"/>
  <c r="HR10" i="34"/>
  <c r="HR251" i="34"/>
  <c r="HR117" i="34"/>
  <c r="HR61" i="34"/>
  <c r="C40" i="55"/>
  <c r="HR62" i="34"/>
  <c r="HR213" i="34"/>
  <c r="HR246" i="34"/>
  <c r="HR255" i="34"/>
  <c r="HR78" i="34"/>
  <c r="HR55" i="34"/>
  <c r="HR145" i="34"/>
  <c r="J36" i="43"/>
  <c r="HR181" i="34"/>
  <c r="HR209" i="34"/>
  <c r="HR12" i="34"/>
  <c r="HR234" i="34"/>
  <c r="J37" i="43"/>
  <c r="HR109" i="34"/>
  <c r="HR183" i="34"/>
  <c r="HR83" i="34"/>
  <c r="HR215" i="34"/>
  <c r="HR127" i="34"/>
  <c r="HR51" i="34"/>
  <c r="HR101" i="34"/>
  <c r="J134" i="46"/>
  <c r="HR141" i="34"/>
  <c r="HR58" i="34"/>
  <c r="HR89" i="34"/>
  <c r="HR196" i="34"/>
  <c r="J131" i="46"/>
  <c r="HR124" i="34"/>
  <c r="HR54" i="34"/>
  <c r="J33" i="43"/>
  <c r="HR116" i="34"/>
  <c r="HR57" i="34"/>
  <c r="HR9" i="34"/>
  <c r="HR140" i="34"/>
  <c r="HR231" i="34"/>
  <c r="HR164" i="34"/>
  <c r="HR66" i="34"/>
  <c r="HR228" i="34"/>
  <c r="HR30" i="34"/>
  <c r="HR220" i="34"/>
  <c r="HR90" i="34"/>
  <c r="HR184" i="34"/>
  <c r="HR121" i="34"/>
  <c r="HR72" i="34"/>
  <c r="HR118" i="34"/>
  <c r="HR178" i="34"/>
  <c r="HR198" i="34"/>
  <c r="HR148" i="34"/>
  <c r="HR27" i="34"/>
  <c r="HR136" i="34"/>
  <c r="HR143" i="34"/>
  <c r="I40" i="55"/>
  <c r="J53" i="43"/>
  <c r="D37" i="55"/>
  <c r="HR129" i="34"/>
  <c r="HR205" i="34"/>
  <c r="HR168" i="34"/>
  <c r="HR69" i="34"/>
  <c r="HR114" i="34"/>
  <c r="J136" i="46"/>
  <c r="HR41" i="34"/>
  <c r="HR63" i="34"/>
  <c r="HR24" i="34"/>
  <c r="HR120" i="34"/>
  <c r="HR68" i="34"/>
  <c r="D40" i="55"/>
  <c r="HR156" i="34"/>
  <c r="HR195" i="34"/>
  <c r="HR75" i="34"/>
  <c r="HR32" i="34"/>
  <c r="HR100" i="34"/>
  <c r="HR176" i="34"/>
  <c r="HR147" i="34"/>
  <c r="HR239" i="34"/>
  <c r="HR217" i="34"/>
  <c r="HR105" i="34"/>
  <c r="HR235" i="34"/>
  <c r="HR50" i="34"/>
  <c r="HR173" i="34"/>
  <c r="HR93" i="34"/>
  <c r="HR151" i="34"/>
  <c r="HR43" i="34"/>
  <c r="HR177" i="34"/>
  <c r="HR197" i="34"/>
  <c r="HR48" i="34"/>
  <c r="HR77" i="34"/>
  <c r="HR17" i="34"/>
  <c r="J129" i="46"/>
  <c r="HR158" i="34"/>
  <c r="HR182" i="34"/>
  <c r="HR91" i="34"/>
  <c r="HR128" i="34"/>
  <c r="HR232" i="34"/>
  <c r="H32" i="55"/>
  <c r="HR146" i="34"/>
  <c r="HR95" i="34"/>
  <c r="HR191" i="34"/>
  <c r="HR125" i="34"/>
  <c r="I46" i="46"/>
  <c r="G37" i="55"/>
  <c r="HR13" i="34"/>
  <c r="I37" i="55"/>
  <c r="E40" i="55"/>
  <c r="HR73" i="34"/>
  <c r="HR162" i="34"/>
  <c r="G46" i="46"/>
  <c r="HR106" i="34"/>
  <c r="HR108" i="34"/>
  <c r="G40" i="55"/>
  <c r="HR250" i="34"/>
  <c r="HR56" i="34"/>
  <c r="J35" i="44"/>
  <c r="HR194" i="34"/>
  <c r="HR103" i="34"/>
  <c r="HR111" i="34"/>
  <c r="HR167" i="34"/>
  <c r="HR204" i="34"/>
  <c r="F37" i="55"/>
  <c r="HR206" i="34"/>
  <c r="E37" i="55"/>
  <c r="HR244" i="34"/>
  <c r="F32" i="55"/>
  <c r="HR170" i="34"/>
  <c r="C39" i="55"/>
  <c r="HR248" i="34"/>
  <c r="HR199" i="34"/>
  <c r="HR8" i="34"/>
  <c r="H37" i="55"/>
  <c r="HR219" i="34"/>
  <c r="HR186" i="34"/>
  <c r="HR25" i="34"/>
  <c r="HR243" i="34"/>
  <c r="HR138" i="34"/>
  <c r="HR207" i="34"/>
  <c r="HR175" i="34"/>
  <c r="HR123" i="34"/>
  <c r="HR74" i="34"/>
  <c r="HR76" i="34"/>
  <c r="HR52" i="34"/>
  <c r="HR47" i="34"/>
  <c r="HR15" i="34"/>
  <c r="HR137" i="34"/>
  <c r="HR240" i="34"/>
  <c r="D39" i="55"/>
  <c r="E39" i="55"/>
  <c r="G39" i="55"/>
  <c r="H39" i="55"/>
  <c r="HR214" i="34"/>
  <c r="F40" i="55"/>
  <c r="D46" i="46"/>
  <c r="H46" i="46"/>
  <c r="C46" i="46"/>
  <c r="HR70" i="34"/>
  <c r="HR115" i="34"/>
  <c r="E46" i="46"/>
  <c r="F46" i="46"/>
  <c r="F39" i="55"/>
  <c r="I39" i="55"/>
  <c r="HR159" i="34"/>
  <c r="HR211" i="34"/>
  <c r="G32" i="55"/>
  <c r="HR157" i="34"/>
  <c r="HR172" i="34"/>
  <c r="HR104" i="34"/>
  <c r="D32" i="55"/>
  <c r="J56" i="43"/>
  <c r="HR110" i="34"/>
  <c r="HR144" i="34"/>
  <c r="HR31" i="34"/>
  <c r="HR85" i="34"/>
  <c r="HR227" i="34"/>
  <c r="HR249" i="34"/>
  <c r="HR216" i="34"/>
  <c r="HR86" i="34"/>
  <c r="HR134" i="34"/>
  <c r="HR171" i="34"/>
  <c r="HR87" i="34"/>
  <c r="C32" i="55"/>
  <c r="HR28" i="34"/>
  <c r="HR97" i="34"/>
  <c r="E32" i="55"/>
  <c r="HR241" i="34"/>
  <c r="HR174" i="34"/>
  <c r="I32" i="55"/>
  <c r="HR49" i="34"/>
  <c r="HR26" i="34"/>
  <c r="HR11" i="34"/>
  <c r="HR38" i="34"/>
  <c r="HR193" i="34"/>
  <c r="HR42" i="34"/>
  <c r="HR80" i="34"/>
  <c r="HR119" i="34"/>
  <c r="HR238" i="34"/>
  <c r="HR92" i="34"/>
  <c r="HR126" i="34"/>
  <c r="HR79" i="34"/>
  <c r="HR192" i="34"/>
  <c r="J78" i="43"/>
  <c r="J79" i="43"/>
  <c r="J85" i="43"/>
  <c r="J73" i="43"/>
  <c r="J83" i="43"/>
  <c r="E109" i="46" a="1"/>
  <c r="E109" i="46" s="1"/>
  <c r="E122" i="46" s="1"/>
  <c r="AJ102" i="46"/>
  <c r="C130" i="43"/>
  <c r="J115" i="43"/>
  <c r="J130" i="43" s="1"/>
  <c r="J57" i="43"/>
  <c r="J77" i="43"/>
  <c r="H71" i="46" a="1"/>
  <c r="H71" i="46" s="1"/>
  <c r="BT64" i="46"/>
  <c r="C64" i="46"/>
  <c r="CI51" i="46"/>
  <c r="BT102" i="46"/>
  <c r="H109" i="46" a="1"/>
  <c r="H109" i="46" s="1"/>
  <c r="H122" i="46" s="1"/>
  <c r="AV64" i="46"/>
  <c r="F71" i="46" a="1"/>
  <c r="F71" i="46" s="1"/>
  <c r="X102" i="46"/>
  <c r="D109" i="46" a="1"/>
  <c r="D109" i="46" s="1"/>
  <c r="D122" i="46" s="1"/>
  <c r="J72" i="43"/>
  <c r="J81" i="43"/>
  <c r="J76" i="43"/>
  <c r="G71" i="46" a="1"/>
  <c r="G71" i="46" s="1"/>
  <c r="BH64" i="46"/>
  <c r="X64" i="46"/>
  <c r="D71" i="46" a="1"/>
  <c r="D71" i="46" s="1"/>
  <c r="O13" i="40"/>
  <c r="Q13" i="40" s="1"/>
  <c r="J74" i="43"/>
  <c r="J84" i="43"/>
  <c r="J80" i="43"/>
  <c r="CI89" i="46"/>
  <c r="C102" i="46"/>
  <c r="CF102" i="46"/>
  <c r="I109" i="46" a="1"/>
  <c r="I109" i="46" s="1"/>
  <c r="I122" i="46" s="1"/>
  <c r="O102" i="46"/>
  <c r="C109" i="46" a="1"/>
  <c r="C109" i="46" s="1"/>
  <c r="C122" i="46" s="1"/>
  <c r="I71" i="46" a="1"/>
  <c r="I71" i="46" s="1"/>
  <c r="CF64" i="46"/>
  <c r="J58" i="43"/>
  <c r="C108" i="43"/>
  <c r="J93" i="43"/>
  <c r="J108" i="43" s="1"/>
  <c r="J75" i="43"/>
  <c r="F109" i="46" a="1"/>
  <c r="F109" i="46" s="1"/>
  <c r="F122" i="46" s="1"/>
  <c r="AV102" i="46"/>
  <c r="C71" i="46" a="1"/>
  <c r="C71" i="46" s="1"/>
  <c r="O64" i="46"/>
  <c r="AJ64" i="46"/>
  <c r="E71" i="46" a="1"/>
  <c r="E71" i="46" s="1"/>
  <c r="J82" i="43"/>
  <c r="G109" i="46" a="1"/>
  <c r="G109" i="46" s="1"/>
  <c r="G122" i="46" s="1"/>
  <c r="BH102" i="46"/>
  <c r="F127" i="46"/>
  <c r="D127" i="46"/>
  <c r="C127" i="46"/>
  <c r="E127" i="46"/>
  <c r="H127" i="46"/>
  <c r="I127" i="46"/>
  <c r="G127" i="46"/>
  <c r="J59" i="43"/>
  <c r="CI24" i="46"/>
  <c r="CJ24" i="46"/>
  <c r="CJ15" i="46"/>
  <c r="J37" i="46" s="1"/>
  <c r="CJ20" i="46"/>
  <c r="J42" i="46" s="1"/>
  <c r="CJ16" i="46"/>
  <c r="J38" i="46" s="1"/>
  <c r="CJ17" i="46"/>
  <c r="J39" i="46" s="1"/>
  <c r="CJ13" i="46"/>
  <c r="J35" i="46" s="1"/>
  <c r="CJ21" i="46"/>
  <c r="J43" i="46" s="1"/>
  <c r="CJ12" i="46"/>
  <c r="J34" i="46" s="1"/>
  <c r="CJ22" i="46"/>
  <c r="J44" i="46" s="1"/>
  <c r="CJ19" i="46"/>
  <c r="J41" i="46" s="1"/>
  <c r="CJ11" i="46"/>
  <c r="J33" i="46" s="1"/>
  <c r="CJ18" i="46"/>
  <c r="J40" i="46" s="1"/>
  <c r="CJ14" i="46"/>
  <c r="J36" i="46" s="1"/>
  <c r="CJ23" i="46"/>
  <c r="J45" i="46" s="1"/>
  <c r="L66" i="43" l="1"/>
  <c r="S63" i="40"/>
  <c r="L64" i="16"/>
  <c r="L66" i="16" s="1"/>
  <c r="M84" i="46"/>
  <c r="J41" i="55"/>
  <c r="CK53" i="46"/>
  <c r="K73" i="46" s="1"/>
  <c r="CK61" i="46"/>
  <c r="K81" i="46" s="1"/>
  <c r="CK62" i="46"/>
  <c r="K82" i="46" s="1"/>
  <c r="CK54" i="46"/>
  <c r="K74" i="46" s="1"/>
  <c r="CK55" i="46"/>
  <c r="K75" i="46" s="1"/>
  <c r="CK63" i="46"/>
  <c r="K83" i="46" s="1"/>
  <c r="CK51" i="46"/>
  <c r="K71" i="46" s="1"/>
  <c r="CK56" i="46"/>
  <c r="K76" i="46" s="1"/>
  <c r="CK57" i="46"/>
  <c r="K77" i="46" s="1"/>
  <c r="CK58" i="46"/>
  <c r="K78" i="46" s="1"/>
  <c r="CK64" i="46"/>
  <c r="CK59" i="46"/>
  <c r="K79" i="46" s="1"/>
  <c r="CK52" i="46"/>
  <c r="K72" i="46" s="1"/>
  <c r="CK60" i="46"/>
  <c r="K80" i="46" s="1"/>
  <c r="K46" i="46"/>
  <c r="J140" i="46"/>
  <c r="J40" i="55"/>
  <c r="J37" i="55"/>
  <c r="J39" i="55"/>
  <c r="J32" i="55"/>
  <c r="E140" i="46"/>
  <c r="G84" i="46"/>
  <c r="H84" i="46"/>
  <c r="J46" i="46"/>
  <c r="D140" i="46"/>
  <c r="C140" i="46"/>
  <c r="F140" i="46"/>
  <c r="E84" i="46"/>
  <c r="G140" i="46"/>
  <c r="I84" i="46"/>
  <c r="D84" i="46"/>
  <c r="I140" i="46"/>
  <c r="C84" i="46"/>
  <c r="CJ91" i="46"/>
  <c r="J111" i="46" s="1"/>
  <c r="CJ97" i="46"/>
  <c r="J117" i="46" s="1"/>
  <c r="CJ92" i="46"/>
  <c r="J112" i="46" s="1"/>
  <c r="CI102" i="46"/>
  <c r="CJ94" i="46"/>
  <c r="J114" i="46" s="1"/>
  <c r="CJ102" i="46"/>
  <c r="CJ99" i="46"/>
  <c r="J119" i="46" s="1"/>
  <c r="CJ89" i="46"/>
  <c r="J109" i="46" s="1"/>
  <c r="CJ100" i="46"/>
  <c r="J120" i="46" s="1"/>
  <c r="CJ101" i="46"/>
  <c r="J121" i="46" s="1"/>
  <c r="CJ95" i="46"/>
  <c r="J115" i="46" s="1"/>
  <c r="CJ93" i="46"/>
  <c r="J113" i="46" s="1"/>
  <c r="CJ98" i="46"/>
  <c r="J118" i="46" s="1"/>
  <c r="CJ90" i="46"/>
  <c r="J110" i="46" s="1"/>
  <c r="CJ96" i="46"/>
  <c r="J116" i="46" s="1"/>
  <c r="H140" i="46"/>
  <c r="F84" i="46"/>
  <c r="CJ52" i="46"/>
  <c r="J72" i="46" s="1"/>
  <c r="CJ51" i="46"/>
  <c r="J71" i="46" s="1"/>
  <c r="CJ63" i="46"/>
  <c r="J83" i="46" s="1"/>
  <c r="CJ59" i="46"/>
  <c r="J79" i="46" s="1"/>
  <c r="CJ56" i="46"/>
  <c r="J76" i="46" s="1"/>
  <c r="CJ55" i="46"/>
  <c r="J75" i="46" s="1"/>
  <c r="CJ60" i="46"/>
  <c r="J80" i="46" s="1"/>
  <c r="CJ53" i="46"/>
  <c r="J73" i="46" s="1"/>
  <c r="CJ58" i="46"/>
  <c r="J78" i="46" s="1"/>
  <c r="CJ57" i="46"/>
  <c r="J77" i="46" s="1"/>
  <c r="CJ62" i="46"/>
  <c r="J82" i="46" s="1"/>
  <c r="CJ61" i="46"/>
  <c r="J81" i="46" s="1"/>
  <c r="CI64" i="46"/>
  <c r="CJ54" i="46"/>
  <c r="J74" i="46" s="1"/>
  <c r="CJ64" i="46"/>
  <c r="K84" i="46" l="1"/>
  <c r="J122" i="46"/>
  <c r="J84" i="46"/>
  <c r="HG175" i="34" l="1"/>
  <c r="HG246" i="34"/>
  <c r="HG109" i="34"/>
  <c r="HG103" i="34"/>
  <c r="HG232" i="34"/>
  <c r="HG219" i="34"/>
  <c r="HG212" i="34"/>
  <c r="HG94" i="34"/>
  <c r="HG163" i="34"/>
  <c r="HG90" i="34"/>
  <c r="HG177" i="34"/>
  <c r="HG128" i="34"/>
  <c r="HG142" i="34"/>
  <c r="HG185" i="34"/>
  <c r="HG111" i="34"/>
  <c r="HG198" i="34"/>
  <c r="HG167" i="34"/>
  <c r="HG165" i="34"/>
  <c r="HH165" i="34" s="1"/>
  <c r="HJ165" i="34" s="1"/>
  <c r="HU165" i="34" s="1"/>
  <c r="HG130" i="34"/>
  <c r="HH130" i="34" s="1"/>
  <c r="HJ130" i="34" s="1"/>
  <c r="HU130" i="34" s="1"/>
  <c r="HG124" i="34"/>
  <c r="HG208" i="34"/>
  <c r="HG204" i="34"/>
  <c r="HG169" i="34"/>
  <c r="HG200" i="34"/>
  <c r="HH200" i="34" s="1"/>
  <c r="HJ200" i="34" s="1"/>
  <c r="HU200" i="34" s="1"/>
  <c r="HG248" i="34"/>
  <c r="HG96" i="34"/>
  <c r="HG138" i="34"/>
  <c r="HG240" i="34"/>
  <c r="HG230" i="34"/>
  <c r="HG144" i="34"/>
  <c r="HG132" i="34"/>
  <c r="HH132" i="34" s="1"/>
  <c r="HJ132" i="34" s="1"/>
  <c r="HU132" i="34" s="1"/>
  <c r="HG242" i="34"/>
  <c r="HG126" i="34"/>
  <c r="HG149" i="34"/>
  <c r="HG206" i="34"/>
  <c r="HG159" i="34"/>
  <c r="HG234" i="34"/>
  <c r="HG181" i="34"/>
  <c r="HG196" i="34"/>
  <c r="HG238" i="34"/>
  <c r="HG105" i="34"/>
  <c r="HG192" i="34"/>
  <c r="HG100" i="34"/>
  <c r="HG228" i="34"/>
  <c r="HG92" i="34"/>
  <c r="HG214" i="34"/>
  <c r="HG194" i="34"/>
  <c r="HG236" i="34"/>
  <c r="HH236" i="34" s="1"/>
  <c r="HJ236" i="34" s="1"/>
  <c r="HU236" i="34" s="1"/>
  <c r="HG157" i="34"/>
  <c r="HG116" i="34"/>
  <c r="HG136" i="34"/>
  <c r="HG134" i="34"/>
  <c r="HG98" i="34"/>
  <c r="HH98" i="34" s="1"/>
  <c r="HJ98" i="34" s="1"/>
  <c r="HU98" i="34" s="1"/>
  <c r="HG161" i="34"/>
  <c r="HG171" i="34"/>
  <c r="HG202" i="34"/>
  <c r="HH202" i="34" s="1"/>
  <c r="HJ202" i="34" s="1"/>
  <c r="HU202" i="34" s="1"/>
  <c r="L35" i="55" l="1"/>
  <c r="HN132" i="34"/>
  <c r="HP132" i="34"/>
  <c r="HK132" i="34"/>
  <c r="HQ132" i="34"/>
  <c r="HM132" i="34"/>
  <c r="HO132" i="34"/>
  <c r="HL132" i="34"/>
  <c r="HN98" i="34"/>
  <c r="HO98" i="34"/>
  <c r="HM98" i="34"/>
  <c r="HP98" i="34"/>
  <c r="HQ98" i="34"/>
  <c r="HL98" i="34"/>
  <c r="HK98" i="34"/>
  <c r="HO200" i="34"/>
  <c r="HP200" i="34"/>
  <c r="HN200" i="34"/>
  <c r="HQ200" i="34"/>
  <c r="HK200" i="34"/>
  <c r="HM200" i="34"/>
  <c r="HL200" i="34"/>
  <c r="HK236" i="34"/>
  <c r="HN236" i="34"/>
  <c r="HP236" i="34"/>
  <c r="HL236" i="34"/>
  <c r="HM236" i="34"/>
  <c r="HQ236" i="34"/>
  <c r="HO236" i="34"/>
  <c r="HO130" i="34"/>
  <c r="HP130" i="34"/>
  <c r="HQ130" i="34"/>
  <c r="HM130" i="34"/>
  <c r="HK130" i="34"/>
  <c r="HL130" i="34"/>
  <c r="HN130" i="34"/>
  <c r="HM202" i="34"/>
  <c r="HO202" i="34"/>
  <c r="HL202" i="34"/>
  <c r="HP202" i="34"/>
  <c r="HQ202" i="34"/>
  <c r="HK202" i="34"/>
  <c r="HN202" i="34"/>
  <c r="HL165" i="34"/>
  <c r="HN165" i="34"/>
  <c r="HM165" i="34"/>
  <c r="HO165" i="34"/>
  <c r="HQ165" i="34"/>
  <c r="HP165" i="34"/>
  <c r="HK165" i="34"/>
  <c r="C35" i="55" l="1"/>
  <c r="E35" i="55"/>
  <c r="D35" i="55"/>
  <c r="G35" i="55"/>
  <c r="F35" i="55"/>
  <c r="I35" i="55"/>
  <c r="H35" i="55"/>
  <c r="HR132" i="34"/>
  <c r="HR202" i="34"/>
  <c r="HR200" i="34"/>
  <c r="HR236" i="34"/>
  <c r="HR165" i="34"/>
  <c r="HR130" i="34"/>
  <c r="HR98" i="34"/>
  <c r="J35" i="55" l="1"/>
  <c r="HG253" i="34" l="1"/>
  <c r="C147" i="43" l="1"/>
  <c r="C148" i="43"/>
  <c r="C146" i="43"/>
  <c r="C143" i="43"/>
  <c r="C145" i="43"/>
  <c r="C151" i="43"/>
  <c r="C144" i="43"/>
  <c r="C150" i="43"/>
  <c r="C141" i="43"/>
  <c r="C139" i="43"/>
  <c r="C149" i="43"/>
  <c r="C142" i="43"/>
  <c r="C140" i="43"/>
  <c r="C138" i="43"/>
  <c r="D146" i="43" l="1"/>
  <c r="D151" i="43"/>
  <c r="D143" i="43"/>
  <c r="D138" i="43"/>
  <c r="D148" i="43"/>
  <c r="D147" i="43"/>
  <c r="D141" i="43"/>
  <c r="D139" i="43"/>
  <c r="D145" i="43"/>
  <c r="D142" i="43"/>
  <c r="D149" i="43"/>
  <c r="D144" i="43"/>
  <c r="D150" i="43"/>
  <c r="D140" i="43"/>
  <c r="E149" i="43" l="1"/>
  <c r="E144" i="43"/>
  <c r="E146" i="43"/>
  <c r="E139" i="43"/>
  <c r="E145" i="43"/>
  <c r="E138" i="43"/>
  <c r="E143" i="43"/>
  <c r="E140" i="43"/>
  <c r="E147" i="43"/>
  <c r="E148" i="43"/>
  <c r="E141" i="43"/>
  <c r="E151" i="43"/>
  <c r="E142" i="43"/>
  <c r="E150" i="43"/>
  <c r="F138" i="43" l="1"/>
  <c r="F142" i="43"/>
  <c r="F150" i="43"/>
  <c r="F145" i="43"/>
  <c r="F148" i="43"/>
  <c r="F147" i="43"/>
  <c r="F143" i="43"/>
  <c r="F144" i="43"/>
  <c r="F141" i="43"/>
  <c r="F140" i="43"/>
  <c r="F139" i="43"/>
  <c r="F146" i="43"/>
  <c r="F149" i="43"/>
  <c r="F151" i="43"/>
  <c r="G151" i="43" l="1"/>
  <c r="G148" i="43"/>
  <c r="G139" i="43"/>
  <c r="G145" i="43"/>
  <c r="G144" i="43"/>
  <c r="G147" i="43"/>
  <c r="G138" i="43"/>
  <c r="G149" i="43"/>
  <c r="G141" i="43"/>
  <c r="G150" i="43"/>
  <c r="G143" i="43"/>
  <c r="G140" i="43"/>
  <c r="G142" i="43"/>
  <c r="G146" i="43"/>
  <c r="I150" i="43" l="1"/>
  <c r="I148" i="43"/>
  <c r="I144" i="43"/>
  <c r="I151" i="43"/>
  <c r="I139" i="43"/>
  <c r="I142" i="43"/>
  <c r="I138" i="43"/>
  <c r="I149" i="43"/>
  <c r="I145" i="43"/>
  <c r="I141" i="43"/>
  <c r="I146" i="43"/>
  <c r="I140" i="43"/>
  <c r="I147" i="43"/>
  <c r="I143" i="43"/>
  <c r="H144" i="43"/>
  <c r="H141" i="43"/>
  <c r="H147" i="43"/>
  <c r="H143" i="43"/>
  <c r="H150" i="43"/>
  <c r="H140" i="43"/>
  <c r="H149" i="43"/>
  <c r="H138" i="43"/>
  <c r="H146" i="43"/>
  <c r="H139" i="43"/>
  <c r="H145" i="43"/>
  <c r="H142" i="43"/>
  <c r="H151" i="43"/>
  <c r="H148" i="43"/>
  <c r="J143" i="43" l="1"/>
  <c r="J142" i="43"/>
  <c r="J147" i="43"/>
  <c r="J139" i="43"/>
  <c r="J151" i="43"/>
  <c r="J149" i="43"/>
  <c r="J138" i="43"/>
  <c r="J140" i="43"/>
  <c r="J146" i="43"/>
  <c r="J144" i="43"/>
  <c r="J141" i="43"/>
  <c r="J148" i="43"/>
  <c r="J145" i="43"/>
  <c r="J150" i="43"/>
  <c r="C11" i="43" l="1"/>
  <c r="C71" i="43"/>
  <c r="C110" i="43" l="1"/>
  <c r="C132" i="43"/>
  <c r="C86" i="43"/>
  <c r="C88" i="43" s="1"/>
  <c r="C31" i="43"/>
  <c r="C51" i="43" l="1"/>
  <c r="G46" i="40"/>
  <c r="G49" i="40"/>
  <c r="G51" i="40"/>
  <c r="G52" i="40"/>
  <c r="G48" i="40"/>
  <c r="G50" i="40"/>
  <c r="G44" i="40" l="1"/>
  <c r="D11" i="43" l="1"/>
  <c r="D71" i="43"/>
  <c r="D86" i="43" l="1"/>
  <c r="D88" i="43" s="1"/>
  <c r="D31" i="43"/>
  <c r="D132" i="43"/>
  <c r="D110" i="43"/>
  <c r="E11" i="43"/>
  <c r="E71" i="43"/>
  <c r="E86" i="43" s="1"/>
  <c r="E88" i="43" s="1"/>
  <c r="D51" i="43" l="1"/>
  <c r="E31" i="43"/>
  <c r="E51" i="43" s="1"/>
  <c r="I44" i="40" s="1"/>
  <c r="F11" i="43"/>
  <c r="F71" i="43"/>
  <c r="F86" i="43" s="1"/>
  <c r="F88" i="43" s="1"/>
  <c r="L11" i="44"/>
  <c r="L31" i="44" s="1"/>
  <c r="H50" i="40"/>
  <c r="H51" i="40"/>
  <c r="H49" i="40"/>
  <c r="H48" i="40"/>
  <c r="H52" i="40"/>
  <c r="H46" i="40"/>
  <c r="E110" i="43"/>
  <c r="E132" i="43"/>
  <c r="L51" i="44" l="1"/>
  <c r="S12" i="40"/>
  <c r="H44" i="40"/>
  <c r="F132" i="43"/>
  <c r="F110" i="43"/>
  <c r="F31" i="43"/>
  <c r="F51" i="43" s="1"/>
  <c r="J44" i="40" s="1"/>
  <c r="G11" i="43"/>
  <c r="G71" i="43"/>
  <c r="G86" i="43" s="1"/>
  <c r="G88" i="43" l="1"/>
  <c r="I50" i="40"/>
  <c r="I51" i="40"/>
  <c r="I48" i="40"/>
  <c r="I52" i="40"/>
  <c r="I46" i="40"/>
  <c r="I49" i="40"/>
  <c r="H11" i="43"/>
  <c r="H71" i="43"/>
  <c r="G132" i="43"/>
  <c r="G110" i="43"/>
  <c r="G31" i="43"/>
  <c r="G51" i="43" s="1"/>
  <c r="K44" i="40" s="1"/>
  <c r="I11" i="43"/>
  <c r="I71" i="43"/>
  <c r="I86" i="43" s="1"/>
  <c r="I88" i="43" l="1"/>
  <c r="J11" i="43"/>
  <c r="H86" i="43"/>
  <c r="H88" i="43" s="1"/>
  <c r="J71" i="43"/>
  <c r="J86" i="43" s="1"/>
  <c r="I110" i="43"/>
  <c r="I132" i="43"/>
  <c r="H110" i="43"/>
  <c r="H132" i="43"/>
  <c r="J52" i="40"/>
  <c r="J51" i="40"/>
  <c r="J49" i="40"/>
  <c r="J48" i="40"/>
  <c r="J46" i="40"/>
  <c r="J50" i="40"/>
  <c r="I31" i="43"/>
  <c r="H31" i="43"/>
  <c r="H51" i="43" s="1"/>
  <c r="L44" i="40" s="1"/>
  <c r="I51" i="43" l="1"/>
  <c r="M44" i="40" s="1"/>
  <c r="J31" i="43"/>
  <c r="K49" i="40"/>
  <c r="K48" i="40"/>
  <c r="K51" i="40"/>
  <c r="K50" i="40"/>
  <c r="K52" i="40"/>
  <c r="K46" i="40"/>
  <c r="J51" i="43" l="1"/>
  <c r="O44" i="40"/>
  <c r="L48" i="40"/>
  <c r="L52" i="40"/>
  <c r="L51" i="40"/>
  <c r="L49" i="40"/>
  <c r="L46" i="40"/>
  <c r="L50" i="40"/>
  <c r="M52" i="40"/>
  <c r="M51" i="40"/>
  <c r="M48" i="40"/>
  <c r="M50" i="40"/>
  <c r="M46" i="40"/>
  <c r="M49" i="40"/>
  <c r="Q44" i="40" l="1"/>
  <c r="O52" i="40"/>
  <c r="O48" i="40"/>
  <c r="Q48" i="40" s="1"/>
  <c r="O50" i="40"/>
  <c r="Q50" i="40" s="1"/>
  <c r="O46" i="40"/>
  <c r="Q46" i="40" s="1"/>
  <c r="O51" i="40"/>
  <c r="Q51" i="40" s="1"/>
  <c r="Q52" i="40"/>
  <c r="O49" i="40"/>
  <c r="Q49" i="40" s="1"/>
  <c r="D93" i="5" l="1"/>
  <c r="D94" i="5" s="1"/>
  <c r="L73" i="55"/>
  <c r="L74" i="55"/>
  <c r="L75" i="55"/>
  <c r="L72" i="55"/>
  <c r="L65" i="55"/>
  <c r="L71" i="55"/>
  <c r="L76" i="55"/>
  <c r="L68" i="55"/>
  <c r="HU8" i="34"/>
  <c r="L69" i="55"/>
  <c r="D100" i="5"/>
  <c r="L67" i="55"/>
  <c r="L66" i="55"/>
  <c r="G32" i="5"/>
  <c r="F31" i="5"/>
  <c r="L77" i="55"/>
  <c r="L70" i="55"/>
  <c r="F23" i="55" l="1"/>
  <c r="E21" i="55"/>
  <c r="I17" i="55"/>
  <c r="C13" i="55"/>
  <c r="F18" i="55"/>
  <c r="E16" i="55"/>
  <c r="L16" i="55"/>
  <c r="F15" i="55"/>
  <c r="I14" i="55"/>
  <c r="F17" i="55"/>
  <c r="C23" i="55"/>
  <c r="G11" i="55"/>
  <c r="D18" i="55"/>
  <c r="I19" i="55"/>
  <c r="C16" i="55"/>
  <c r="L12" i="55"/>
  <c r="L19" i="55"/>
  <c r="E22" i="55"/>
  <c r="F19" i="55"/>
  <c r="I22" i="55"/>
  <c r="C12" i="55"/>
  <c r="L21" i="55"/>
  <c r="H16" i="55"/>
  <c r="D19" i="55"/>
  <c r="G18" i="55"/>
  <c r="H18" i="55"/>
  <c r="D14" i="55"/>
  <c r="L20" i="55"/>
  <c r="D22" i="55"/>
  <c r="L11" i="55"/>
  <c r="H21" i="55"/>
  <c r="G13" i="55"/>
  <c r="G14" i="55"/>
  <c r="G22" i="55"/>
  <c r="D15" i="55"/>
  <c r="I16" i="55"/>
  <c r="F13" i="55"/>
  <c r="L22" i="55"/>
  <c r="F20" i="55"/>
  <c r="L17" i="55"/>
  <c r="C14" i="55"/>
  <c r="F16" i="55"/>
  <c r="L23" i="55"/>
  <c r="H14" i="55"/>
  <c r="C19" i="55"/>
  <c r="D21" i="55"/>
  <c r="F14" i="55"/>
  <c r="E12" i="55"/>
  <c r="G20" i="55"/>
  <c r="I13" i="55"/>
  <c r="G23" i="55"/>
  <c r="D16" i="55"/>
  <c r="H12" i="55"/>
  <c r="F21" i="55"/>
  <c r="E17" i="55"/>
  <c r="F11" i="55"/>
  <c r="D13" i="55"/>
  <c r="H22" i="55"/>
  <c r="H15" i="55"/>
  <c r="D17" i="55"/>
  <c r="L14" i="55"/>
  <c r="G17" i="55"/>
  <c r="G16" i="55"/>
  <c r="H13" i="55"/>
  <c r="I23" i="55"/>
  <c r="H11" i="55"/>
  <c r="C21" i="55"/>
  <c r="G19" i="55"/>
  <c r="E15" i="55"/>
  <c r="E11" i="55"/>
  <c r="L13" i="55"/>
  <c r="E14" i="55"/>
  <c r="E13" i="55"/>
  <c r="C18" i="55"/>
  <c r="F12" i="55"/>
  <c r="I11" i="55"/>
  <c r="H17" i="55"/>
  <c r="E20" i="55"/>
  <c r="E23" i="55"/>
  <c r="C20" i="55"/>
  <c r="D23" i="55"/>
  <c r="D12" i="55"/>
  <c r="I21" i="55"/>
  <c r="H19" i="55"/>
  <c r="H20" i="55"/>
  <c r="C11" i="55"/>
  <c r="D20" i="55"/>
  <c r="I15" i="55"/>
  <c r="F22" i="55"/>
  <c r="D11" i="55"/>
  <c r="I18" i="55"/>
  <c r="L15" i="55"/>
  <c r="G12" i="55"/>
  <c r="C22" i="55"/>
  <c r="G15" i="55"/>
  <c r="E19" i="55"/>
  <c r="H23" i="55"/>
  <c r="I12" i="55"/>
  <c r="C17" i="55"/>
  <c r="G21" i="55"/>
  <c r="C15" i="55"/>
  <c r="E18" i="55"/>
  <c r="L18" i="55"/>
  <c r="I20" i="55"/>
  <c r="L78" i="55"/>
  <c r="G33" i="5"/>
  <c r="HU10" i="34"/>
  <c r="D101" i="5"/>
  <c r="F32" i="5"/>
  <c r="F33" i="5" s="1"/>
  <c r="E31" i="5"/>
  <c r="E24" i="55" l="1"/>
  <c r="F24" i="55"/>
  <c r="J21" i="55"/>
  <c r="FZ31" i="42" a="1"/>
  <c r="FZ31" i="42" s="1"/>
  <c r="GH31" i="42" s="1" a="1"/>
  <c r="GH31" i="42" s="1"/>
  <c r="FZ173" i="34" a="1"/>
  <c r="FZ173" i="34" s="1"/>
  <c r="GH173" i="34" s="1" a="1"/>
  <c r="GH173" i="34" s="1"/>
  <c r="FZ241" i="34" a="1"/>
  <c r="FZ241" i="34" s="1"/>
  <c r="GH241" i="34" s="1" a="1"/>
  <c r="GH241" i="34" s="1"/>
  <c r="FZ37" i="34" a="1"/>
  <c r="FZ37" i="34" s="1"/>
  <c r="GH37" i="34" s="1" a="1"/>
  <c r="GH37" i="34" s="1"/>
  <c r="FZ86" i="34" a="1"/>
  <c r="FZ86" i="34" s="1"/>
  <c r="GH86" i="34" s="1" a="1"/>
  <c r="GH86" i="34" s="1"/>
  <c r="FZ38" i="34" a="1"/>
  <c r="FZ38" i="34" s="1"/>
  <c r="GH38" i="34" s="1" a="1"/>
  <c r="GH38" i="34" s="1"/>
  <c r="FZ209" i="34" a="1"/>
  <c r="FZ209" i="34" s="1"/>
  <c r="GH209" i="34" s="1" a="1"/>
  <c r="GH209" i="34" s="1"/>
  <c r="FZ208" i="34" a="1"/>
  <c r="FZ208" i="34" s="1"/>
  <c r="GH208" i="34" s="1" a="1"/>
  <c r="GH208" i="34" s="1"/>
  <c r="FZ180" i="34" a="1"/>
  <c r="FZ180" i="34" s="1"/>
  <c r="GH180" i="34" s="1" a="1"/>
  <c r="GH180" i="34" s="1"/>
  <c r="FZ50" i="34" a="1"/>
  <c r="FZ50" i="34" s="1"/>
  <c r="GH50" i="34" s="1" a="1"/>
  <c r="GH50" i="34" s="1"/>
  <c r="FZ174" i="34" a="1"/>
  <c r="FZ174" i="34" s="1"/>
  <c r="GH174" i="34" s="1" a="1"/>
  <c r="GH174" i="34" s="1"/>
  <c r="FZ8" i="34" a="1"/>
  <c r="FZ8" i="34" s="1"/>
  <c r="GH8" i="34" s="1" a="1"/>
  <c r="GH8" i="34" s="1"/>
  <c r="FZ116" i="34" a="1"/>
  <c r="FZ116" i="34" s="1"/>
  <c r="GH116" i="34" s="1" a="1"/>
  <c r="GH116" i="34" s="1"/>
  <c r="K31" i="65"/>
  <c r="F31" i="40" s="1"/>
  <c r="FZ57" i="34" a="1"/>
  <c r="FZ57" i="34" s="1"/>
  <c r="GH57" i="34" s="1" a="1"/>
  <c r="GH57" i="34" s="1"/>
  <c r="FZ79" i="34" a="1"/>
  <c r="FZ79" i="34" s="1"/>
  <c r="GH79" i="34" s="1" a="1"/>
  <c r="GH79" i="34" s="1"/>
  <c r="FZ247" i="34" a="1"/>
  <c r="FZ247" i="34" s="1"/>
  <c r="GH247" i="34" s="1" a="1"/>
  <c r="GH247" i="34" s="1"/>
  <c r="FZ36" i="34" a="1"/>
  <c r="FZ36" i="34" s="1"/>
  <c r="GH36" i="34" s="1" a="1"/>
  <c r="GH36" i="34" s="1"/>
  <c r="FZ75" i="34" a="1"/>
  <c r="FZ75" i="34" s="1"/>
  <c r="GH75" i="34" s="1" a="1"/>
  <c r="GH75" i="34" s="1"/>
  <c r="FZ219" i="34" a="1"/>
  <c r="FZ219" i="34" s="1"/>
  <c r="GH219" i="34" s="1" a="1"/>
  <c r="GH219" i="34" s="1"/>
  <c r="K16" i="65"/>
  <c r="FZ135" i="34" a="1"/>
  <c r="FZ135" i="34" s="1"/>
  <c r="GH135" i="34" s="1" a="1"/>
  <c r="GH135" i="34" s="1"/>
  <c r="K48" i="65"/>
  <c r="F46" i="40" s="1"/>
  <c r="FZ128" i="34" a="1"/>
  <c r="FZ128" i="34" s="1"/>
  <c r="GH128" i="34" s="1" a="1"/>
  <c r="GH128" i="34" s="1"/>
  <c r="FZ84" i="34" a="1"/>
  <c r="FZ84" i="34" s="1"/>
  <c r="GH84" i="34" s="1" a="1"/>
  <c r="GH84" i="34" s="1"/>
  <c r="FZ196" i="34" a="1"/>
  <c r="FZ196" i="34" s="1"/>
  <c r="GH196" i="34" s="1" a="1"/>
  <c r="GH196" i="34" s="1"/>
  <c r="FZ56" i="34" a="1"/>
  <c r="FZ56" i="34" s="1"/>
  <c r="GH56" i="34" s="1" a="1"/>
  <c r="GH56" i="34" s="1"/>
  <c r="FZ64" i="34" a="1"/>
  <c r="FZ64" i="34" s="1"/>
  <c r="GH64" i="34" s="1" a="1"/>
  <c r="GH64" i="34" s="1"/>
  <c r="K17" i="65"/>
  <c r="FZ166" i="34" a="1"/>
  <c r="FZ166" i="34" s="1"/>
  <c r="GH166" i="34" s="1" a="1"/>
  <c r="GH166" i="34" s="1"/>
  <c r="FZ154" i="34" a="1"/>
  <c r="FZ154" i="34" s="1"/>
  <c r="GH154" i="34" s="1" a="1"/>
  <c r="GH154" i="34" s="1"/>
  <c r="FZ137" i="34" a="1"/>
  <c r="FZ137" i="34" s="1"/>
  <c r="GH137" i="34" s="1" a="1"/>
  <c r="GH137" i="34" s="1"/>
  <c r="FZ26" i="34" a="1"/>
  <c r="FZ26" i="34" s="1"/>
  <c r="GH26" i="34" s="1" a="1"/>
  <c r="GH26" i="34" s="1"/>
  <c r="FZ11" i="41" a="1"/>
  <c r="FZ11" i="41" s="1"/>
  <c r="GH11" i="41" s="1" a="1"/>
  <c r="GH11" i="41" s="1"/>
  <c r="C19" i="44" s="1"/>
  <c r="C39" i="44" s="1"/>
  <c r="C59" i="44" s="1"/>
  <c r="FZ216" i="34" a="1"/>
  <c r="FZ216" i="34" s="1"/>
  <c r="GH216" i="34" s="1" a="1"/>
  <c r="GH216" i="34" s="1"/>
  <c r="FZ245" i="34" a="1"/>
  <c r="FZ245" i="34" s="1"/>
  <c r="GH245" i="34" s="1" a="1"/>
  <c r="GH245" i="34" s="1"/>
  <c r="FZ106" i="34" a="1"/>
  <c r="FZ106" i="34" s="1"/>
  <c r="GH106" i="34" s="1" a="1"/>
  <c r="GH106" i="34" s="1"/>
  <c r="FZ19" i="42" a="1"/>
  <c r="FZ19" i="42" s="1"/>
  <c r="GH19" i="42" s="1" a="1"/>
  <c r="GH19" i="42" s="1"/>
  <c r="FZ73" i="34" a="1"/>
  <c r="FZ73" i="34" s="1"/>
  <c r="GH73" i="34" s="1" a="1"/>
  <c r="GH73" i="34" s="1"/>
  <c r="FZ163" i="34" a="1"/>
  <c r="FZ163" i="34" s="1"/>
  <c r="GH163" i="34" s="1" a="1"/>
  <c r="GH163" i="34" s="1"/>
  <c r="FZ12" i="34" a="1"/>
  <c r="FZ12" i="34" s="1"/>
  <c r="GH12" i="34" s="1" a="1"/>
  <c r="GH12" i="34" s="1"/>
  <c r="FZ243" i="34" a="1"/>
  <c r="FZ243" i="34" s="1"/>
  <c r="GH243" i="34" s="1" a="1"/>
  <c r="GH243" i="34" s="1"/>
  <c r="FZ47" i="34" a="1"/>
  <c r="FZ47" i="34" s="1"/>
  <c r="GH47" i="34" s="1" a="1"/>
  <c r="GH47" i="34" s="1"/>
  <c r="FZ26" i="42" a="1"/>
  <c r="FZ26" i="42" s="1"/>
  <c r="GH26" i="42" s="1" a="1"/>
  <c r="GH26" i="42" s="1"/>
  <c r="FZ44" i="34" a="1"/>
  <c r="FZ44" i="34" s="1"/>
  <c r="GH44" i="34" s="1" a="1"/>
  <c r="GH44" i="34" s="1"/>
  <c r="FZ131" i="34" a="1"/>
  <c r="FZ131" i="34" s="1"/>
  <c r="GH131" i="34" s="1" a="1"/>
  <c r="GH131" i="34" s="1"/>
  <c r="FZ125" i="34" a="1"/>
  <c r="FZ125" i="34" s="1"/>
  <c r="GH125" i="34" s="1" a="1"/>
  <c r="GH125" i="34" s="1"/>
  <c r="FZ221" i="34" a="1"/>
  <c r="FZ221" i="34" s="1"/>
  <c r="GH221" i="34" s="1" a="1"/>
  <c r="GH221" i="34" s="1"/>
  <c r="FZ202" i="34" a="1"/>
  <c r="FZ202" i="34" s="1"/>
  <c r="GH202" i="34" s="1" a="1"/>
  <c r="GH202" i="34" s="1"/>
  <c r="FZ195" i="34" a="1"/>
  <c r="FZ195" i="34" s="1"/>
  <c r="GH195" i="34" s="1" a="1"/>
  <c r="GH195" i="34" s="1"/>
  <c r="FZ107" i="34" a="1"/>
  <c r="FZ107" i="34" s="1"/>
  <c r="GH107" i="34" s="1" a="1"/>
  <c r="GH107" i="34" s="1"/>
  <c r="FZ194" i="34" a="1"/>
  <c r="FZ194" i="34" s="1"/>
  <c r="GH194" i="34" s="1" a="1"/>
  <c r="GH194" i="34" s="1"/>
  <c r="FZ178" i="34" a="1"/>
  <c r="FZ178" i="34" s="1"/>
  <c r="GH178" i="34" s="1" a="1"/>
  <c r="GH178" i="34" s="1"/>
  <c r="K15" i="65"/>
  <c r="FZ162" i="34" a="1"/>
  <c r="FZ162" i="34" s="1"/>
  <c r="GH162" i="34" s="1" a="1"/>
  <c r="GH162" i="34" s="1"/>
  <c r="FZ48" i="34" a="1"/>
  <c r="FZ48" i="34" s="1"/>
  <c r="GH48" i="34" s="1" a="1"/>
  <c r="GH48" i="34" s="1"/>
  <c r="FZ232" i="34" a="1"/>
  <c r="FZ232" i="34" s="1"/>
  <c r="GH232" i="34" s="1" a="1"/>
  <c r="GH232" i="34" s="1"/>
  <c r="K14" i="65"/>
  <c r="FZ193" i="34" a="1"/>
  <c r="FZ193" i="34" s="1"/>
  <c r="GH193" i="34" s="1" a="1"/>
  <c r="GH193" i="34" s="1"/>
  <c r="FZ228" i="34" a="1"/>
  <c r="FZ228" i="34" s="1"/>
  <c r="GH228" i="34" s="1" a="1"/>
  <c r="GH228" i="34" s="1"/>
  <c r="FZ20" i="42" a="1"/>
  <c r="FZ20" i="42" s="1"/>
  <c r="GH20" i="42" s="1" a="1"/>
  <c r="GH20" i="42" s="1"/>
  <c r="FZ9" i="41" a="1"/>
  <c r="FZ9" i="41" s="1"/>
  <c r="GH9" i="41" s="1" a="1"/>
  <c r="GH9" i="41" s="1"/>
  <c r="FZ170" i="34" a="1"/>
  <c r="FZ170" i="34" s="1"/>
  <c r="GH170" i="34" s="1" a="1"/>
  <c r="GH170" i="34" s="1"/>
  <c r="FZ61" i="34" a="1"/>
  <c r="FZ61" i="34" s="1"/>
  <c r="GH61" i="34" s="1" a="1"/>
  <c r="GH61" i="34" s="1"/>
  <c r="FZ192" i="34" a="1"/>
  <c r="FZ192" i="34" s="1"/>
  <c r="GH192" i="34" s="1" a="1"/>
  <c r="GH192" i="34" s="1"/>
  <c r="FZ52" i="34" a="1"/>
  <c r="FZ52" i="34" s="1"/>
  <c r="GH52" i="34" s="1" a="1"/>
  <c r="GH52" i="34" s="1"/>
  <c r="K13" i="65"/>
  <c r="FZ185" i="34" a="1"/>
  <c r="FZ185" i="34" s="1"/>
  <c r="GH185" i="34" s="1" a="1"/>
  <c r="GH185" i="34" s="1"/>
  <c r="FZ33" i="34" a="1"/>
  <c r="FZ33" i="34" s="1"/>
  <c r="GH33" i="34" s="1" a="1"/>
  <c r="GH33" i="34" s="1"/>
  <c r="FZ9" i="42" a="1"/>
  <c r="FZ9" i="42" s="1"/>
  <c r="GH9" i="42" s="1" a="1"/>
  <c r="GH9" i="42" s="1"/>
  <c r="FZ240" i="34" a="1"/>
  <c r="FZ240" i="34" s="1"/>
  <c r="GH240" i="34" s="1" a="1"/>
  <c r="GH240" i="34" s="1"/>
  <c r="FZ76" i="34" a="1"/>
  <c r="FZ76" i="34" s="1"/>
  <c r="GH76" i="34" s="1" a="1"/>
  <c r="GH76" i="34" s="1"/>
  <c r="FZ105" i="34" a="1"/>
  <c r="FZ105" i="34" s="1"/>
  <c r="GH105" i="34" s="1" a="1"/>
  <c r="GH105" i="34" s="1"/>
  <c r="FZ91" i="34" a="1"/>
  <c r="FZ91" i="34" s="1"/>
  <c r="GH91" i="34" s="1" a="1"/>
  <c r="GH91" i="34" s="1"/>
  <c r="FZ58" i="34" a="1"/>
  <c r="FZ58" i="34" s="1"/>
  <c r="GH58" i="34" s="1" a="1"/>
  <c r="GH58" i="34" s="1"/>
  <c r="FZ123" i="34" a="1"/>
  <c r="FZ123" i="34" s="1"/>
  <c r="GH123" i="34" s="1" a="1"/>
  <c r="GH123" i="34" s="1"/>
  <c r="FZ252" i="34" a="1"/>
  <c r="FZ252" i="34" s="1"/>
  <c r="GH252" i="34" s="1" a="1"/>
  <c r="GH252" i="34" s="1"/>
  <c r="FZ46" i="34" a="1"/>
  <c r="FZ46" i="34" s="1"/>
  <c r="GH46" i="34" s="1" a="1"/>
  <c r="GH46" i="34" s="1"/>
  <c r="FZ82" i="34" a="1"/>
  <c r="FZ82" i="34" s="1"/>
  <c r="GH82" i="34" s="1" a="1"/>
  <c r="GH82" i="34" s="1"/>
  <c r="FZ11" i="34" a="1"/>
  <c r="FZ11" i="34" s="1"/>
  <c r="GH11" i="34" s="1" a="1"/>
  <c r="GH11" i="34" s="1"/>
  <c r="FZ97" i="34" a="1"/>
  <c r="FZ97" i="34" s="1"/>
  <c r="GH97" i="34" s="1" a="1"/>
  <c r="GH97" i="34" s="1"/>
  <c r="FZ14" i="42" a="1"/>
  <c r="FZ14" i="42" s="1"/>
  <c r="GH14" i="42" s="1" a="1"/>
  <c r="GH14" i="42" s="1"/>
  <c r="C161" i="43" s="1"/>
  <c r="FZ21" i="42" a="1"/>
  <c r="FZ21" i="42" s="1"/>
  <c r="GH21" i="42" s="1" a="1"/>
  <c r="GH21" i="42" s="1"/>
  <c r="FZ21" i="34" a="1"/>
  <c r="FZ21" i="34" s="1"/>
  <c r="GH21" i="34" s="1" a="1"/>
  <c r="GH21" i="34" s="1"/>
  <c r="FZ197" i="34" a="1"/>
  <c r="FZ197" i="34" s="1"/>
  <c r="GH197" i="34" s="1" a="1"/>
  <c r="GH197" i="34" s="1"/>
  <c r="FZ32" i="42" a="1"/>
  <c r="FZ32" i="42" s="1"/>
  <c r="GH32" i="42" s="1" a="1"/>
  <c r="GH32" i="42" s="1"/>
  <c r="FZ124" i="34" a="1"/>
  <c r="FZ124" i="34" s="1"/>
  <c r="GH124" i="34" s="1" a="1"/>
  <c r="GH124" i="34" s="1"/>
  <c r="FZ235" i="34" a="1"/>
  <c r="FZ235" i="34" s="1"/>
  <c r="GH235" i="34" s="1" a="1"/>
  <c r="GH235" i="34" s="1"/>
  <c r="FZ15" i="34" a="1"/>
  <c r="FZ15" i="34" s="1"/>
  <c r="GH15" i="34" s="1" a="1"/>
  <c r="GH15" i="34" s="1"/>
  <c r="FZ115" i="34" a="1"/>
  <c r="FZ115" i="34" s="1"/>
  <c r="GH115" i="34" s="1" a="1"/>
  <c r="GH115" i="34" s="1"/>
  <c r="K33" i="65"/>
  <c r="F33" i="40" s="1"/>
  <c r="FZ92" i="34" a="1"/>
  <c r="FZ92" i="34" s="1"/>
  <c r="GH92" i="34" s="1" a="1"/>
  <c r="GH92" i="34" s="1"/>
  <c r="FZ239" i="34" a="1"/>
  <c r="FZ239" i="34" s="1"/>
  <c r="GH239" i="34" s="1" a="1"/>
  <c r="GH239" i="34" s="1"/>
  <c r="FZ169" i="34" a="1"/>
  <c r="FZ169" i="34" s="1"/>
  <c r="GH169" i="34" s="1" a="1"/>
  <c r="GH169" i="34" s="1"/>
  <c r="FZ59" i="34" a="1"/>
  <c r="FZ59" i="34" s="1"/>
  <c r="GH59" i="34" s="1" a="1"/>
  <c r="GH59" i="34" s="1"/>
  <c r="FZ16" i="42" a="1"/>
  <c r="FZ16" i="42" s="1"/>
  <c r="GH16" i="42" s="1" a="1"/>
  <c r="GH16" i="42" s="1"/>
  <c r="C163" i="43" s="1"/>
  <c r="FZ101" i="34" a="1"/>
  <c r="FZ101" i="34" s="1"/>
  <c r="GH101" i="34" s="1" a="1"/>
  <c r="GH101" i="34" s="1"/>
  <c r="FZ139" i="34" a="1"/>
  <c r="FZ139" i="34" s="1"/>
  <c r="GH139" i="34" s="1" a="1"/>
  <c r="GH139" i="34" s="1"/>
  <c r="FZ12" i="42" a="1"/>
  <c r="FZ12" i="42" s="1"/>
  <c r="GH12" i="42" s="1" a="1"/>
  <c r="GH12" i="42" s="1"/>
  <c r="FZ89" i="34" a="1"/>
  <c r="FZ89" i="34" s="1"/>
  <c r="GH89" i="34" s="1" a="1"/>
  <c r="GH89" i="34" s="1"/>
  <c r="FZ8" i="42" a="1"/>
  <c r="FZ8" i="42" s="1"/>
  <c r="GH8" i="42" s="1" a="1"/>
  <c r="GH8" i="42" s="1"/>
  <c r="FZ181" i="34" a="1"/>
  <c r="FZ181" i="34" s="1"/>
  <c r="GH181" i="34" s="1" a="1"/>
  <c r="GH181" i="34" s="1"/>
  <c r="K37" i="65"/>
  <c r="F37" i="40" s="1"/>
  <c r="FZ16" i="34" a="1"/>
  <c r="FZ16" i="34" s="1"/>
  <c r="GH16" i="34" s="1" a="1"/>
  <c r="GH16" i="34" s="1"/>
  <c r="FZ24" i="42" a="1"/>
  <c r="FZ24" i="42" s="1"/>
  <c r="GH24" i="42" s="1" a="1"/>
  <c r="GH24" i="42" s="1"/>
  <c r="FZ13" i="42" a="1"/>
  <c r="FZ13" i="42" s="1"/>
  <c r="GH13" i="42" s="1" a="1"/>
  <c r="GH13" i="42" s="1"/>
  <c r="C160" i="43" s="1"/>
  <c r="K51" i="65"/>
  <c r="F49" i="40" s="1"/>
  <c r="FZ33" i="42" a="1"/>
  <c r="FZ33" i="42" s="1"/>
  <c r="GH33" i="42" s="1" a="1"/>
  <c r="GH33" i="42" s="1"/>
  <c r="K57" i="65"/>
  <c r="F55" i="40" s="1"/>
  <c r="FZ53" i="34" a="1"/>
  <c r="FZ53" i="34" s="1"/>
  <c r="GH53" i="34" s="1" a="1"/>
  <c r="GH53" i="34" s="1"/>
  <c r="FZ83" i="34" a="1"/>
  <c r="FZ83" i="34" s="1"/>
  <c r="GH83" i="34" s="1" a="1"/>
  <c r="GH83" i="34" s="1"/>
  <c r="FZ253" i="34" a="1"/>
  <c r="FZ253" i="34" s="1"/>
  <c r="GH253" i="34" s="1" a="1"/>
  <c r="GH253" i="34" s="1"/>
  <c r="FZ204" i="34" a="1"/>
  <c r="FZ204" i="34" s="1"/>
  <c r="GH204" i="34" s="1" a="1"/>
  <c r="GH204" i="34" s="1"/>
  <c r="FZ14" i="34" a="1"/>
  <c r="FZ14" i="34" s="1"/>
  <c r="GH14" i="34" s="1" a="1"/>
  <c r="GH14" i="34" s="1"/>
  <c r="FZ133" i="34" a="1"/>
  <c r="FZ133" i="34" s="1"/>
  <c r="GH133" i="34" s="1" a="1"/>
  <c r="GH133" i="34" s="1"/>
  <c r="FZ96" i="34" a="1"/>
  <c r="FZ96" i="34" s="1"/>
  <c r="GH96" i="34" s="1" a="1"/>
  <c r="GH96" i="34" s="1"/>
  <c r="FZ254" i="34" a="1"/>
  <c r="FZ254" i="34" s="1"/>
  <c r="GH254" i="34" s="1" a="1"/>
  <c r="GH254" i="34" s="1"/>
  <c r="FZ175" i="34" a="1"/>
  <c r="FZ175" i="34" s="1"/>
  <c r="GH175" i="34" s="1" a="1"/>
  <c r="GH175" i="34" s="1"/>
  <c r="FZ41" i="34" a="1"/>
  <c r="FZ41" i="34" s="1"/>
  <c r="GH41" i="34" s="1" a="1"/>
  <c r="GH41" i="34" s="1"/>
  <c r="FZ32" i="34" a="1"/>
  <c r="FZ32" i="34" s="1"/>
  <c r="GH32" i="34" s="1" a="1"/>
  <c r="GH32" i="34" s="1"/>
  <c r="FZ10" i="34" a="1"/>
  <c r="FZ10" i="34" s="1"/>
  <c r="GH10" i="34" s="1" a="1"/>
  <c r="GH10" i="34" s="1"/>
  <c r="FZ249" i="34" a="1"/>
  <c r="FZ249" i="34" s="1"/>
  <c r="GH249" i="34" s="1" a="1"/>
  <c r="GH249" i="34" s="1"/>
  <c r="K38" i="65"/>
  <c r="F38" i="40" s="1"/>
  <c r="K36" i="65"/>
  <c r="F36" i="40" s="1"/>
  <c r="K10" i="65"/>
  <c r="FZ85" i="34" a="1"/>
  <c r="FZ85" i="34" s="1"/>
  <c r="GH85" i="34" s="1" a="1"/>
  <c r="GH85" i="34" s="1"/>
  <c r="FZ231" i="34" a="1"/>
  <c r="FZ231" i="34" s="1"/>
  <c r="GH231" i="34" s="1" a="1"/>
  <c r="GH231" i="34" s="1"/>
  <c r="FZ98" i="34" a="1"/>
  <c r="FZ98" i="34" s="1"/>
  <c r="GH98" i="34" s="1" a="1"/>
  <c r="GH98" i="34" s="1"/>
  <c r="FZ152" i="34" a="1"/>
  <c r="FZ152" i="34" s="1"/>
  <c r="GH152" i="34" s="1" a="1"/>
  <c r="GH152" i="34" s="1"/>
  <c r="FZ112" i="34" a="1"/>
  <c r="FZ112" i="34" s="1"/>
  <c r="GH112" i="34" s="1" a="1"/>
  <c r="GH112" i="34" s="1"/>
  <c r="K30" i="65"/>
  <c r="F30" i="40" s="1"/>
  <c r="FZ155" i="34" a="1"/>
  <c r="FZ155" i="34" s="1"/>
  <c r="GH155" i="34" s="1" a="1"/>
  <c r="GH155" i="34" s="1"/>
  <c r="FZ142" i="34" a="1"/>
  <c r="FZ142" i="34" s="1"/>
  <c r="GH142" i="34" s="1" a="1"/>
  <c r="GH142" i="34" s="1"/>
  <c r="FZ244" i="34" a="1"/>
  <c r="FZ244" i="34" s="1"/>
  <c r="GH244" i="34" s="1" a="1"/>
  <c r="GH244" i="34" s="1"/>
  <c r="FZ212" i="34" a="1"/>
  <c r="FZ212" i="34" s="1"/>
  <c r="GH212" i="34" s="1" a="1"/>
  <c r="GH212" i="34" s="1"/>
  <c r="FZ60" i="34" a="1"/>
  <c r="FZ60" i="34" s="1"/>
  <c r="GH60" i="34" s="1" a="1"/>
  <c r="GH60" i="34" s="1"/>
  <c r="HU11" i="34"/>
  <c r="FZ54" i="34" a="1"/>
  <c r="FZ54" i="34" s="1"/>
  <c r="GH54" i="34" s="1" a="1"/>
  <c r="GH54" i="34" s="1"/>
  <c r="FZ198" i="34" a="1"/>
  <c r="FZ198" i="34" s="1"/>
  <c r="GH198" i="34" s="1" a="1"/>
  <c r="GH198" i="34" s="1"/>
  <c r="FZ110" i="34" a="1"/>
  <c r="FZ110" i="34" s="1"/>
  <c r="GH110" i="34" s="1" a="1"/>
  <c r="GH110" i="34" s="1"/>
  <c r="FZ18" i="34" a="1"/>
  <c r="FZ18" i="34" s="1"/>
  <c r="GH18" i="34" s="1" a="1"/>
  <c r="GH18" i="34" s="1"/>
  <c r="FZ51" i="34" a="1"/>
  <c r="FZ51" i="34" s="1"/>
  <c r="GH51" i="34" s="1" a="1"/>
  <c r="GH51" i="34" s="1"/>
  <c r="K34" i="65"/>
  <c r="F34" i="40" s="1"/>
  <c r="FZ156" i="34" a="1"/>
  <c r="FZ156" i="34" s="1"/>
  <c r="GH156" i="34" s="1" a="1"/>
  <c r="GH156" i="34" s="1"/>
  <c r="FZ23" i="34" a="1"/>
  <c r="FZ23" i="34" s="1"/>
  <c r="GH23" i="34" s="1" a="1"/>
  <c r="GH23" i="34" s="1"/>
  <c r="FZ190" i="34" a="1"/>
  <c r="FZ190" i="34" s="1"/>
  <c r="GH190" i="34" s="1" a="1"/>
  <c r="GH190" i="34" s="1"/>
  <c r="FZ226" i="34" a="1"/>
  <c r="FZ226" i="34" s="1"/>
  <c r="GH226" i="34" s="1" a="1"/>
  <c r="GH226" i="34" s="1"/>
  <c r="FZ113" i="34" a="1"/>
  <c r="FZ113" i="34" s="1"/>
  <c r="GH113" i="34" s="1" a="1"/>
  <c r="GH113" i="34" s="1"/>
  <c r="FZ9" i="34" a="1"/>
  <c r="FZ9" i="34" s="1"/>
  <c r="GH9" i="34" s="1" a="1"/>
  <c r="GH9" i="34" s="1"/>
  <c r="K12" i="65"/>
  <c r="FZ151" i="34" a="1"/>
  <c r="FZ151" i="34" s="1"/>
  <c r="GH151" i="34" s="1" a="1"/>
  <c r="GH151" i="34" s="1"/>
  <c r="FZ119" i="34" a="1"/>
  <c r="FZ119" i="34" s="1"/>
  <c r="GH119" i="34" s="1" a="1"/>
  <c r="GH119" i="34" s="1"/>
  <c r="FZ230" i="34" a="1"/>
  <c r="FZ230" i="34" s="1"/>
  <c r="GH230" i="34" s="1" a="1"/>
  <c r="GH230" i="34" s="1"/>
  <c r="FZ129" i="34" a="1"/>
  <c r="FZ129" i="34" s="1"/>
  <c r="GH129" i="34" s="1" a="1"/>
  <c r="GH129" i="34" s="1"/>
  <c r="K32" i="65"/>
  <c r="F32" i="40" s="1"/>
  <c r="FZ11" i="42" a="1"/>
  <c r="FZ11" i="42" s="1"/>
  <c r="GH11" i="42" s="1" a="1"/>
  <c r="GH11" i="42" s="1"/>
  <c r="C204" i="43" s="1"/>
  <c r="FZ90" i="34" a="1"/>
  <c r="FZ90" i="34" s="1"/>
  <c r="GH90" i="34" s="1" a="1"/>
  <c r="GH90" i="34" s="1"/>
  <c r="FZ201" i="34" a="1"/>
  <c r="FZ201" i="34" s="1"/>
  <c r="GH201" i="34" s="1" a="1"/>
  <c r="GH201" i="34" s="1"/>
  <c r="FZ74" i="34" a="1"/>
  <c r="FZ74" i="34" s="1"/>
  <c r="GH74" i="34" s="1" a="1"/>
  <c r="GH74" i="34" s="1"/>
  <c r="FZ66" i="34" a="1"/>
  <c r="FZ66" i="34" s="1"/>
  <c r="GH66" i="34" s="1" a="1"/>
  <c r="GH66" i="34" s="1"/>
  <c r="FZ255" i="34" a="1"/>
  <c r="FZ255" i="34" s="1"/>
  <c r="GH255" i="34" s="1" a="1"/>
  <c r="GH255" i="34" s="1"/>
  <c r="FZ145" i="34" a="1"/>
  <c r="FZ145" i="34" s="1"/>
  <c r="GH145" i="34" s="1" a="1"/>
  <c r="GH145" i="34" s="1"/>
  <c r="FZ30" i="34" a="1"/>
  <c r="FZ30" i="34" s="1"/>
  <c r="GH30" i="34" s="1" a="1"/>
  <c r="GH30" i="34" s="1"/>
  <c r="FZ223" i="34" a="1"/>
  <c r="FZ223" i="34" s="1"/>
  <c r="GH223" i="34" s="1" a="1"/>
  <c r="GH223" i="34" s="1"/>
  <c r="FZ72" i="34" a="1"/>
  <c r="FZ72" i="34" s="1"/>
  <c r="GH72" i="34" s="1" a="1"/>
  <c r="GH72" i="34" s="1"/>
  <c r="FZ95" i="34" a="1"/>
  <c r="FZ95" i="34" s="1"/>
  <c r="GH95" i="34" s="1" a="1"/>
  <c r="GH95" i="34" s="1"/>
  <c r="FZ164" i="34" a="1"/>
  <c r="FZ164" i="34" s="1"/>
  <c r="GH164" i="34" s="1" a="1"/>
  <c r="GH164" i="34" s="1"/>
  <c r="FZ31" i="34" a="1"/>
  <c r="FZ31" i="34" s="1"/>
  <c r="GH31" i="34" s="1" a="1"/>
  <c r="GH31" i="34" s="1"/>
  <c r="K46" i="65"/>
  <c r="FZ136" i="34" a="1"/>
  <c r="FZ136" i="34" s="1"/>
  <c r="GH136" i="34" s="1" a="1"/>
  <c r="GH136" i="34" s="1"/>
  <c r="FZ93" i="34" a="1"/>
  <c r="FZ93" i="34" s="1"/>
  <c r="GH93" i="34" s="1" a="1"/>
  <c r="GH93" i="34" s="1"/>
  <c r="FZ171" i="34" a="1"/>
  <c r="FZ171" i="34" s="1"/>
  <c r="GH171" i="34" s="1" a="1"/>
  <c r="GH171" i="34" s="1"/>
  <c r="FZ199" i="34" a="1"/>
  <c r="FZ199" i="34" s="1"/>
  <c r="GH199" i="34" s="1" a="1"/>
  <c r="GH199" i="34" s="1"/>
  <c r="FZ55" i="34" a="1"/>
  <c r="FZ55" i="34" s="1"/>
  <c r="GH55" i="34" s="1" a="1"/>
  <c r="GH55" i="34" s="1"/>
  <c r="K20" i="65"/>
  <c r="FZ18" i="42" a="1"/>
  <c r="FZ18" i="42" s="1"/>
  <c r="GH18" i="42" s="1" a="1"/>
  <c r="GH18" i="42" s="1"/>
  <c r="FZ177" i="34" a="1"/>
  <c r="FZ177" i="34" s="1"/>
  <c r="GH177" i="34" s="1" a="1"/>
  <c r="GH177" i="34" s="1"/>
  <c r="FZ68" i="34" a="1"/>
  <c r="FZ68" i="34" s="1"/>
  <c r="GH68" i="34" s="1" a="1"/>
  <c r="GH68" i="34" s="1"/>
  <c r="FZ153" i="34" a="1"/>
  <c r="FZ153" i="34" s="1"/>
  <c r="GH153" i="34" s="1" a="1"/>
  <c r="GH153" i="34" s="1"/>
  <c r="FZ24" i="34" a="1"/>
  <c r="FZ24" i="34" s="1"/>
  <c r="GH24" i="34" s="1" a="1"/>
  <c r="GH24" i="34" s="1"/>
  <c r="FZ167" i="34" a="1"/>
  <c r="FZ167" i="34" s="1"/>
  <c r="GH167" i="34" s="1" a="1"/>
  <c r="GH167" i="34" s="1"/>
  <c r="K56" i="65"/>
  <c r="F54" i="40" s="1"/>
  <c r="K47" i="65"/>
  <c r="F45" i="40" s="1"/>
  <c r="FZ122" i="34" a="1"/>
  <c r="FZ122" i="34" s="1"/>
  <c r="GH122" i="34" s="1" a="1"/>
  <c r="GH122" i="34" s="1"/>
  <c r="K11" i="65"/>
  <c r="FZ13" i="41" a="1"/>
  <c r="FZ13" i="41" s="1"/>
  <c r="GH13" i="41" s="1" a="1"/>
  <c r="GH13" i="41" s="1"/>
  <c r="FZ229" i="34" a="1"/>
  <c r="FZ229" i="34" s="1"/>
  <c r="GH229" i="34" s="1" a="1"/>
  <c r="GH229" i="34" s="1"/>
  <c r="FZ225" i="34" a="1"/>
  <c r="FZ225" i="34" s="1"/>
  <c r="GH225" i="34" s="1" a="1"/>
  <c r="GH225" i="34" s="1"/>
  <c r="FZ210" i="34" a="1"/>
  <c r="FZ210" i="34" s="1"/>
  <c r="GH210" i="34" s="1" a="1"/>
  <c r="GH210" i="34" s="1"/>
  <c r="FZ165" i="34" a="1"/>
  <c r="FZ165" i="34" s="1"/>
  <c r="GH165" i="34" s="1" a="1"/>
  <c r="GH165" i="34" s="1"/>
  <c r="K18" i="65"/>
  <c r="FZ248" i="34" a="1"/>
  <c r="FZ248" i="34" s="1"/>
  <c r="GH248" i="34" s="1" a="1"/>
  <c r="GH248" i="34" s="1"/>
  <c r="FZ65" i="34" a="1"/>
  <c r="FZ65" i="34" s="1"/>
  <c r="GH65" i="34" s="1" a="1"/>
  <c r="GH65" i="34" s="1"/>
  <c r="FZ94" i="34" a="1"/>
  <c r="FZ94" i="34" s="1"/>
  <c r="GH94" i="34" s="1" a="1"/>
  <c r="GH94" i="34" s="1"/>
  <c r="FZ45" i="34" a="1"/>
  <c r="FZ45" i="34" s="1"/>
  <c r="GH45" i="34" s="1" a="1"/>
  <c r="GH45" i="34" s="1"/>
  <c r="FZ10" i="42" a="1"/>
  <c r="FZ10" i="42" s="1"/>
  <c r="GH10" i="42" s="1" a="1"/>
  <c r="GH10" i="42" s="1"/>
  <c r="FZ104" i="34" a="1"/>
  <c r="FZ104" i="34" s="1"/>
  <c r="GH104" i="34" s="1" a="1"/>
  <c r="GH104" i="34" s="1"/>
  <c r="FZ160" i="34" a="1"/>
  <c r="FZ160" i="34" s="1"/>
  <c r="GH160" i="34" s="1" a="1"/>
  <c r="GH160" i="34" s="1"/>
  <c r="FZ39" i="34" a="1"/>
  <c r="FZ39" i="34" s="1"/>
  <c r="GH39" i="34" s="1" a="1"/>
  <c r="GH39" i="34" s="1"/>
  <c r="FZ35" i="34" a="1"/>
  <c r="FZ35" i="34" s="1"/>
  <c r="GH35" i="34" s="1" a="1"/>
  <c r="GH35" i="34" s="1"/>
  <c r="FZ27" i="42" a="1"/>
  <c r="FZ27" i="42" s="1"/>
  <c r="GH27" i="42" s="1" a="1"/>
  <c r="GH27" i="42" s="1"/>
  <c r="C183" i="43" s="1"/>
  <c r="FZ134" i="34" a="1"/>
  <c r="FZ134" i="34" s="1"/>
  <c r="GH134" i="34" s="1" a="1"/>
  <c r="GH134" i="34" s="1"/>
  <c r="FZ22" i="34" a="1"/>
  <c r="FZ22" i="34" s="1"/>
  <c r="GH22" i="34" s="1" a="1"/>
  <c r="GH22" i="34" s="1"/>
  <c r="FZ143" i="34" a="1"/>
  <c r="FZ143" i="34" s="1"/>
  <c r="GH143" i="34" s="1" a="1"/>
  <c r="GH143" i="34" s="1"/>
  <c r="FZ215" i="34" a="1"/>
  <c r="FZ215" i="34" s="1"/>
  <c r="GH215" i="34" s="1" a="1"/>
  <c r="GH215" i="34" s="1"/>
  <c r="FZ159" i="34" a="1"/>
  <c r="FZ159" i="34" s="1"/>
  <c r="GH159" i="34" s="1" a="1"/>
  <c r="GH159" i="34" s="1"/>
  <c r="FZ25" i="42" a="1"/>
  <c r="FZ25" i="42" s="1"/>
  <c r="GH25" i="42" s="1" a="1"/>
  <c r="GH25" i="42" s="1"/>
  <c r="FZ183" i="34" a="1"/>
  <c r="FZ183" i="34" s="1"/>
  <c r="GH183" i="34" s="1" a="1"/>
  <c r="GH183" i="34" s="1"/>
  <c r="FZ102" i="34" a="1"/>
  <c r="FZ102" i="34" s="1"/>
  <c r="GH102" i="34" s="1" a="1"/>
  <c r="GH102" i="34" s="1"/>
  <c r="FZ17" i="42" a="1"/>
  <c r="FZ17" i="42" s="1"/>
  <c r="GH17" i="42" s="1" a="1"/>
  <c r="GH17" i="42" s="1"/>
  <c r="C164" i="43" s="1"/>
  <c r="FZ238" i="34" a="1"/>
  <c r="FZ238" i="34" s="1"/>
  <c r="GH238" i="34" s="1" a="1"/>
  <c r="GH238" i="34" s="1"/>
  <c r="FZ20" i="34" a="1"/>
  <c r="FZ20" i="34" s="1"/>
  <c r="GH20" i="34" s="1" a="1"/>
  <c r="GH20" i="34" s="1"/>
  <c r="FZ184" i="34" a="1"/>
  <c r="FZ184" i="34" s="1"/>
  <c r="GH184" i="34" s="1" a="1"/>
  <c r="GH184" i="34" s="1"/>
  <c r="FZ189" i="34" a="1"/>
  <c r="FZ189" i="34" s="1"/>
  <c r="GH189" i="34" s="1" a="1"/>
  <c r="GH189" i="34" s="1"/>
  <c r="FZ8" i="41" a="1"/>
  <c r="FZ8" i="41" s="1"/>
  <c r="GH8" i="41" s="1" a="1"/>
  <c r="GH8" i="41" s="1"/>
  <c r="FZ28" i="34" a="1"/>
  <c r="FZ28" i="34" s="1"/>
  <c r="GH28" i="34" s="1" a="1"/>
  <c r="GH28" i="34" s="1"/>
  <c r="FZ81" i="34" a="1"/>
  <c r="FZ81" i="34" s="1"/>
  <c r="GH81" i="34" s="1" a="1"/>
  <c r="GH81" i="34" s="1"/>
  <c r="FZ207" i="34" a="1"/>
  <c r="FZ207" i="34" s="1"/>
  <c r="GH207" i="34" s="1" a="1"/>
  <c r="GH207" i="34" s="1"/>
  <c r="K8" i="65"/>
  <c r="FZ251" i="34" a="1"/>
  <c r="FZ251" i="34" s="1"/>
  <c r="GH251" i="34" s="1" a="1"/>
  <c r="GH251" i="34" s="1"/>
  <c r="FZ29" i="42" a="1"/>
  <c r="FZ29" i="42" s="1"/>
  <c r="GH29" i="42" s="1" a="1"/>
  <c r="GH29" i="42" s="1"/>
  <c r="FZ13" i="34" a="1"/>
  <c r="FZ13" i="34" s="1"/>
  <c r="GH13" i="34" s="1" a="1"/>
  <c r="GH13" i="34" s="1"/>
  <c r="K39" i="65"/>
  <c r="F39" i="40" s="1"/>
  <c r="FZ69" i="34" a="1"/>
  <c r="FZ69" i="34" s="1"/>
  <c r="GH69" i="34" s="1" a="1"/>
  <c r="GH69" i="34" s="1"/>
  <c r="FZ224" i="34" a="1"/>
  <c r="FZ224" i="34" s="1"/>
  <c r="GH224" i="34" s="1" a="1"/>
  <c r="GH224" i="34" s="1"/>
  <c r="FZ99" i="34" a="1"/>
  <c r="FZ99" i="34" s="1"/>
  <c r="GH99" i="34" s="1" a="1"/>
  <c r="GH99" i="34" s="1"/>
  <c r="FZ77" i="34" a="1"/>
  <c r="FZ77" i="34" s="1"/>
  <c r="GH77" i="34" s="1" a="1"/>
  <c r="GH77" i="34" s="1"/>
  <c r="FZ172" i="34" a="1"/>
  <c r="FZ172" i="34" s="1"/>
  <c r="GH172" i="34" s="1" a="1"/>
  <c r="GH172" i="34" s="1"/>
  <c r="FZ222" i="34" a="1"/>
  <c r="FZ222" i="34" s="1"/>
  <c r="GH222" i="34" s="1" a="1"/>
  <c r="GH222" i="34" s="1"/>
  <c r="FZ28" i="42" a="1"/>
  <c r="FZ28" i="42" s="1"/>
  <c r="GH28" i="42" s="1" a="1"/>
  <c r="GH28" i="42" s="1"/>
  <c r="FZ214" i="34" a="1"/>
  <c r="FZ214" i="34" s="1"/>
  <c r="GH214" i="34" s="1" a="1"/>
  <c r="GH214" i="34" s="1"/>
  <c r="FZ40" i="34" a="1"/>
  <c r="FZ40" i="34" s="1"/>
  <c r="GH40" i="34" s="1" a="1"/>
  <c r="GH40" i="34" s="1"/>
  <c r="K29" i="65"/>
  <c r="F29" i="40" s="1"/>
  <c r="FZ71" i="34" a="1"/>
  <c r="FZ71" i="34" s="1"/>
  <c r="GH71" i="34" s="1" a="1"/>
  <c r="GH71" i="34" s="1"/>
  <c r="FZ211" i="34" a="1"/>
  <c r="FZ211" i="34" s="1"/>
  <c r="GH211" i="34" s="1" a="1"/>
  <c r="GH211" i="34" s="1"/>
  <c r="K54" i="65"/>
  <c r="F52" i="40" s="1"/>
  <c r="FZ111" i="34" a="1"/>
  <c r="FZ111" i="34" s="1"/>
  <c r="GH111" i="34" s="1" a="1"/>
  <c r="GH111" i="34" s="1"/>
  <c r="FZ29" i="34" a="1"/>
  <c r="FZ29" i="34" s="1"/>
  <c r="GH29" i="34" s="1" a="1"/>
  <c r="GH29" i="34" s="1"/>
  <c r="FZ127" i="34" a="1"/>
  <c r="FZ127" i="34" s="1"/>
  <c r="GH127" i="34" s="1" a="1"/>
  <c r="GH127" i="34" s="1"/>
  <c r="FZ146" i="34" a="1"/>
  <c r="FZ146" i="34" s="1"/>
  <c r="GH146" i="34" s="1" a="1"/>
  <c r="GH146" i="34" s="1"/>
  <c r="FZ19" i="34" a="1"/>
  <c r="FZ19" i="34" s="1"/>
  <c r="GH19" i="34" s="1" a="1"/>
  <c r="GH19" i="34" s="1"/>
  <c r="FZ158" i="34" a="1"/>
  <c r="FZ158" i="34" s="1"/>
  <c r="GH158" i="34" s="1" a="1"/>
  <c r="GH158" i="34" s="1"/>
  <c r="FZ100" i="34" a="1"/>
  <c r="FZ100" i="34" s="1"/>
  <c r="GH100" i="34" s="1" a="1"/>
  <c r="GH100" i="34" s="1"/>
  <c r="FZ87" i="34" a="1"/>
  <c r="FZ87" i="34" s="1"/>
  <c r="GH87" i="34" s="1" a="1"/>
  <c r="GH87" i="34" s="1"/>
  <c r="FZ70" i="34" a="1"/>
  <c r="FZ70" i="34" s="1"/>
  <c r="GH70" i="34" s="1" a="1"/>
  <c r="GH70" i="34" s="1"/>
  <c r="FZ191" i="34" a="1"/>
  <c r="FZ191" i="34" s="1"/>
  <c r="GH191" i="34" s="1" a="1"/>
  <c r="GH191" i="34" s="1"/>
  <c r="FZ187" i="34" a="1"/>
  <c r="FZ187" i="34" s="1"/>
  <c r="GH187" i="34" s="1" a="1"/>
  <c r="GH187" i="34" s="1"/>
  <c r="FZ205" i="34" a="1"/>
  <c r="FZ205" i="34" s="1"/>
  <c r="GH205" i="34" s="1" a="1"/>
  <c r="GH205" i="34" s="1"/>
  <c r="FZ25" i="34" a="1"/>
  <c r="FZ25" i="34" s="1"/>
  <c r="GH25" i="34" s="1" a="1"/>
  <c r="GH25" i="34" s="1"/>
  <c r="FZ242" i="34" a="1"/>
  <c r="FZ242" i="34" s="1"/>
  <c r="GH242" i="34" s="1" a="1"/>
  <c r="GH242" i="34" s="1"/>
  <c r="K9" i="65"/>
  <c r="FZ144" i="34" a="1"/>
  <c r="FZ144" i="34" s="1"/>
  <c r="GH144" i="34" s="1" a="1"/>
  <c r="GH144" i="34" s="1"/>
  <c r="FZ63" i="34" a="1"/>
  <c r="FZ63" i="34" s="1"/>
  <c r="GH63" i="34" s="1" a="1"/>
  <c r="GH63" i="34" s="1"/>
  <c r="FZ27" i="34" a="1"/>
  <c r="FZ27" i="34" s="1"/>
  <c r="GH27" i="34" s="1" a="1"/>
  <c r="GH27" i="34" s="1"/>
  <c r="FZ227" i="34" a="1"/>
  <c r="FZ227" i="34" s="1"/>
  <c r="GH227" i="34" s="1" a="1"/>
  <c r="GH227" i="34" s="1"/>
  <c r="FZ161" i="34" a="1"/>
  <c r="FZ161" i="34" s="1"/>
  <c r="GH161" i="34" s="1" a="1"/>
  <c r="GH161" i="34" s="1"/>
  <c r="FZ138" i="34" a="1"/>
  <c r="FZ138" i="34" s="1"/>
  <c r="GH138" i="34" s="1" a="1"/>
  <c r="GH138" i="34" s="1"/>
  <c r="FZ15" i="42" a="1"/>
  <c r="FZ15" i="42" s="1"/>
  <c r="GH15" i="42" s="1" a="1"/>
  <c r="GH15" i="42" s="1"/>
  <c r="C162" i="43" s="1"/>
  <c r="K19" i="65"/>
  <c r="FZ150" i="34" a="1"/>
  <c r="FZ150" i="34" s="1"/>
  <c r="GH150" i="34" s="1" a="1"/>
  <c r="GH150" i="34" s="1"/>
  <c r="FZ88" i="34" a="1"/>
  <c r="FZ88" i="34" s="1"/>
  <c r="GH88" i="34" s="1" a="1"/>
  <c r="GH88" i="34" s="1"/>
  <c r="FZ108" i="34" a="1"/>
  <c r="FZ108" i="34" s="1"/>
  <c r="GH108" i="34" s="1" a="1"/>
  <c r="GH108" i="34" s="1"/>
  <c r="FZ34" i="34" a="1"/>
  <c r="FZ34" i="34" s="1"/>
  <c r="GH34" i="34" s="1" a="1"/>
  <c r="GH34" i="34" s="1"/>
  <c r="FZ22" i="42" a="1"/>
  <c r="FZ22" i="42" s="1"/>
  <c r="GH22" i="42" s="1" a="1"/>
  <c r="GH22" i="42" s="1"/>
  <c r="FZ147" i="34" a="1"/>
  <c r="FZ147" i="34" s="1"/>
  <c r="GH147" i="34" s="1" a="1"/>
  <c r="GH147" i="34" s="1"/>
  <c r="FZ78" i="34" a="1"/>
  <c r="FZ78" i="34" s="1"/>
  <c r="GH78" i="34" s="1" a="1"/>
  <c r="GH78" i="34" s="1"/>
  <c r="K28" i="65"/>
  <c r="F28" i="40" s="1"/>
  <c r="FZ234" i="34" a="1"/>
  <c r="FZ234" i="34" s="1"/>
  <c r="GH234" i="34" s="1" a="1"/>
  <c r="GH234" i="34" s="1"/>
  <c r="FZ130" i="34" a="1"/>
  <c r="FZ130" i="34" s="1"/>
  <c r="GH130" i="34" s="1" a="1"/>
  <c r="GH130" i="34" s="1"/>
  <c r="FZ23" i="42" a="1"/>
  <c r="FZ23" i="42" s="1"/>
  <c r="GH23" i="42" s="1" a="1"/>
  <c r="GH23" i="42" s="1"/>
  <c r="K49" i="65"/>
  <c r="F47" i="40" s="1"/>
  <c r="FZ62" i="34" a="1"/>
  <c r="FZ62" i="34" s="1"/>
  <c r="GH62" i="34" s="1" a="1"/>
  <c r="GH62" i="34" s="1"/>
  <c r="FZ213" i="34" a="1"/>
  <c r="FZ213" i="34" s="1"/>
  <c r="GH213" i="34" s="1" a="1"/>
  <c r="GH213" i="34" s="1"/>
  <c r="FZ67" i="34" a="1"/>
  <c r="FZ67" i="34" s="1"/>
  <c r="GH67" i="34" s="1" a="1"/>
  <c r="GH67" i="34" s="1"/>
  <c r="FZ220" i="34" a="1"/>
  <c r="FZ220" i="34" s="1"/>
  <c r="GH220" i="34" s="1" a="1"/>
  <c r="GH220" i="34" s="1"/>
  <c r="FZ141" i="34" a="1"/>
  <c r="FZ141" i="34" s="1"/>
  <c r="GH141" i="34" s="1" a="1"/>
  <c r="GH141" i="34" s="1"/>
  <c r="FZ121" i="34" a="1"/>
  <c r="FZ121" i="34" s="1"/>
  <c r="GH121" i="34" s="1" a="1"/>
  <c r="GH121" i="34" s="1"/>
  <c r="FZ246" i="34" a="1"/>
  <c r="FZ246" i="34" s="1"/>
  <c r="GH246" i="34" s="1" a="1"/>
  <c r="GH246" i="34" s="1"/>
  <c r="FZ43" i="34" a="1"/>
  <c r="FZ43" i="34" s="1"/>
  <c r="GH43" i="34" s="1" a="1"/>
  <c r="GH43" i="34" s="1"/>
  <c r="FZ182" i="34" a="1"/>
  <c r="FZ182" i="34" s="1"/>
  <c r="GH182" i="34" s="1" a="1"/>
  <c r="GH182" i="34" s="1"/>
  <c r="K52" i="65"/>
  <c r="F50" i="40" s="1"/>
  <c r="FZ206" i="34" a="1"/>
  <c r="FZ206" i="34" s="1"/>
  <c r="GH206" i="34" s="1" a="1"/>
  <c r="GH206" i="34" s="1"/>
  <c r="FZ179" i="34" a="1"/>
  <c r="FZ179" i="34" s="1"/>
  <c r="GH179" i="34" s="1" a="1"/>
  <c r="GH179" i="34" s="1"/>
  <c r="FZ186" i="34" a="1"/>
  <c r="FZ186" i="34" s="1"/>
  <c r="GH186" i="34" s="1" a="1"/>
  <c r="GH186" i="34" s="1"/>
  <c r="FZ126" i="34" a="1"/>
  <c r="FZ126" i="34" s="1"/>
  <c r="GH126" i="34" s="1" a="1"/>
  <c r="GH126" i="34" s="1"/>
  <c r="FZ236" i="34" a="1"/>
  <c r="FZ236" i="34" s="1"/>
  <c r="GH236" i="34" s="1" a="1"/>
  <c r="GH236" i="34" s="1"/>
  <c r="FZ140" i="34" a="1"/>
  <c r="FZ140" i="34" s="1"/>
  <c r="GH140" i="34" s="1" a="1"/>
  <c r="GH140" i="34" s="1"/>
  <c r="FZ157" i="34" a="1"/>
  <c r="FZ157" i="34" s="1"/>
  <c r="GH157" i="34" s="1" a="1"/>
  <c r="GH157" i="34" s="1"/>
  <c r="FZ149" i="34" a="1"/>
  <c r="FZ149" i="34" s="1"/>
  <c r="GH149" i="34" s="1" a="1"/>
  <c r="GH149" i="34" s="1"/>
  <c r="K50" i="65"/>
  <c r="F48" i="40" s="1"/>
  <c r="FZ49" i="34" a="1"/>
  <c r="FZ49" i="34" s="1"/>
  <c r="GH49" i="34" s="1" a="1"/>
  <c r="GH49" i="34" s="1"/>
  <c r="K27" i="65"/>
  <c r="FZ30" i="42" a="1"/>
  <c r="FZ30" i="42" s="1"/>
  <c r="GH30" i="42" s="1" a="1"/>
  <c r="GH30" i="42" s="1"/>
  <c r="FZ80" i="34" a="1"/>
  <c r="FZ80" i="34" s="1"/>
  <c r="GH80" i="34" s="1" a="1"/>
  <c r="GH80" i="34" s="1"/>
  <c r="FZ148" i="34" a="1"/>
  <c r="FZ148" i="34" s="1"/>
  <c r="GH148" i="34" s="1" a="1"/>
  <c r="GH148" i="34" s="1"/>
  <c r="FZ117" i="34" a="1"/>
  <c r="FZ117" i="34" s="1"/>
  <c r="GH117" i="34" s="1" a="1"/>
  <c r="GH117" i="34" s="1"/>
  <c r="K53" i="65"/>
  <c r="F51" i="40" s="1"/>
  <c r="K55" i="65"/>
  <c r="F53" i="40" s="1"/>
  <c r="FZ103" i="34" a="1"/>
  <c r="FZ103" i="34" s="1"/>
  <c r="GH103" i="34" s="1" a="1"/>
  <c r="GH103" i="34" s="1"/>
  <c r="FZ176" i="34" a="1"/>
  <c r="FZ176" i="34" s="1"/>
  <c r="GH176" i="34" s="1" a="1"/>
  <c r="GH176" i="34" s="1"/>
  <c r="FZ12" i="41" a="1"/>
  <c r="FZ12" i="41" s="1"/>
  <c r="GH12" i="41" s="1" a="1"/>
  <c r="GH12" i="41" s="1"/>
  <c r="FZ10" i="41" a="1"/>
  <c r="FZ10" i="41" s="1"/>
  <c r="GH10" i="41" s="1" a="1"/>
  <c r="GH10" i="41" s="1"/>
  <c r="FZ17" i="34" a="1"/>
  <c r="FZ17" i="34" s="1"/>
  <c r="GH17" i="34" s="1" a="1"/>
  <c r="GH17" i="34" s="1"/>
  <c r="FZ218" i="34" a="1"/>
  <c r="FZ218" i="34" s="1"/>
  <c r="GH218" i="34" s="1" a="1"/>
  <c r="GH218" i="34" s="1"/>
  <c r="K35" i="65"/>
  <c r="F35" i="40" s="1"/>
  <c r="FZ237" i="34" a="1"/>
  <c r="FZ237" i="34" s="1"/>
  <c r="GH237" i="34" s="1" a="1"/>
  <c r="GH237" i="34" s="1"/>
  <c r="FZ203" i="34" a="1"/>
  <c r="FZ203" i="34" s="1"/>
  <c r="GH203" i="34" s="1" a="1"/>
  <c r="GH203" i="34" s="1"/>
  <c r="FZ120" i="34" a="1"/>
  <c r="FZ120" i="34" s="1"/>
  <c r="GH120" i="34" s="1" a="1"/>
  <c r="GH120" i="34" s="1"/>
  <c r="FZ114" i="34" a="1"/>
  <c r="FZ114" i="34" s="1"/>
  <c r="GH114" i="34" s="1" a="1"/>
  <c r="GH114" i="34" s="1"/>
  <c r="FZ217" i="34" a="1"/>
  <c r="FZ217" i="34" s="1"/>
  <c r="GH217" i="34" s="1" a="1"/>
  <c r="GH217" i="34" s="1"/>
  <c r="FZ132" i="34" a="1"/>
  <c r="FZ132" i="34" s="1"/>
  <c r="GH132" i="34" s="1" a="1"/>
  <c r="GH132" i="34" s="1"/>
  <c r="FZ250" i="34" a="1"/>
  <c r="FZ250" i="34" s="1"/>
  <c r="GH250" i="34" s="1" a="1"/>
  <c r="GH250" i="34" s="1"/>
  <c r="FZ200" i="34" a="1"/>
  <c r="FZ200" i="34" s="1"/>
  <c r="GH200" i="34" s="1" a="1"/>
  <c r="GH200" i="34" s="1"/>
  <c r="FZ188" i="34" a="1"/>
  <c r="FZ188" i="34" s="1"/>
  <c r="GH188" i="34" s="1" a="1"/>
  <c r="GH188" i="34" s="1"/>
  <c r="FZ118" i="34" a="1"/>
  <c r="FZ118" i="34" s="1"/>
  <c r="GH118" i="34" s="1" a="1"/>
  <c r="GH118" i="34" s="1"/>
  <c r="FZ168" i="34" a="1"/>
  <c r="FZ168" i="34" s="1"/>
  <c r="GH168" i="34" s="1" a="1"/>
  <c r="GH168" i="34" s="1"/>
  <c r="FZ109" i="34" a="1"/>
  <c r="FZ109" i="34" s="1"/>
  <c r="GH109" i="34" s="1" a="1"/>
  <c r="GH109" i="34" s="1"/>
  <c r="FZ34" i="42" a="1"/>
  <c r="FZ34" i="42" s="1"/>
  <c r="GH34" i="42" s="1" a="1"/>
  <c r="GH34" i="42" s="1"/>
  <c r="K58" i="65"/>
  <c r="F56" i="40" s="1"/>
  <c r="FZ42" i="34" a="1"/>
  <c r="FZ42" i="34" s="1"/>
  <c r="GH42" i="34" s="1" a="1"/>
  <c r="GH42" i="34" s="1"/>
  <c r="FZ233" i="34" a="1"/>
  <c r="FZ233" i="34" s="1"/>
  <c r="GH233" i="34" s="1" a="1"/>
  <c r="GH233" i="34" s="1"/>
  <c r="L24" i="55"/>
  <c r="J23" i="55"/>
  <c r="J19" i="55"/>
  <c r="J13" i="55"/>
  <c r="J22" i="55"/>
  <c r="J12" i="55"/>
  <c r="J16" i="55"/>
  <c r="H24" i="55"/>
  <c r="J17" i="55"/>
  <c r="J20" i="65"/>
  <c r="J50" i="65"/>
  <c r="E48" i="40" s="1"/>
  <c r="J46" i="65"/>
  <c r="J8" i="65"/>
  <c r="J54" i="65"/>
  <c r="E52" i="40" s="1"/>
  <c r="J16" i="65"/>
  <c r="J58" i="65"/>
  <c r="E56" i="40" s="1"/>
  <c r="J47" i="65"/>
  <c r="E45" i="40" s="1"/>
  <c r="J56" i="65"/>
  <c r="E54" i="40" s="1"/>
  <c r="J33" i="65"/>
  <c r="E33" i="40" s="1"/>
  <c r="J34" i="65"/>
  <c r="E34" i="40" s="1"/>
  <c r="J37" i="65"/>
  <c r="E37" i="40" s="1"/>
  <c r="J31" i="65"/>
  <c r="E31" i="40" s="1"/>
  <c r="J10" i="65"/>
  <c r="J12" i="65"/>
  <c r="J17" i="65"/>
  <c r="J39" i="65"/>
  <c r="E39" i="40" s="1"/>
  <c r="J53" i="65"/>
  <c r="E51" i="40" s="1"/>
  <c r="J29" i="65"/>
  <c r="E29" i="40" s="1"/>
  <c r="J28" i="65"/>
  <c r="E28" i="40" s="1"/>
  <c r="J14" i="65"/>
  <c r="J51" i="65"/>
  <c r="E49" i="40" s="1"/>
  <c r="J38" i="65"/>
  <c r="E38" i="40" s="1"/>
  <c r="J49" i="65"/>
  <c r="E47" i="40" s="1"/>
  <c r="J11" i="65"/>
  <c r="J35" i="65"/>
  <c r="E35" i="40" s="1"/>
  <c r="J9" i="65"/>
  <c r="J55" i="65"/>
  <c r="E53" i="40" s="1"/>
  <c r="J48" i="65"/>
  <c r="E46" i="40" s="1"/>
  <c r="J52" i="65"/>
  <c r="E50" i="40" s="1"/>
  <c r="J13" i="65"/>
  <c r="J57" i="65"/>
  <c r="E55" i="40" s="1"/>
  <c r="J15" i="65"/>
  <c r="J36" i="65"/>
  <c r="E36" i="40" s="1"/>
  <c r="J27" i="65"/>
  <c r="J19" i="65"/>
  <c r="J30" i="65"/>
  <c r="E30" i="40" s="1"/>
  <c r="J32" i="65"/>
  <c r="E32" i="40" s="1"/>
  <c r="J18" i="65"/>
  <c r="J18" i="55"/>
  <c r="D24" i="55"/>
  <c r="I24" i="55"/>
  <c r="D31" i="5"/>
  <c r="D32" i="5" s="1"/>
  <c r="D33" i="5" s="1"/>
  <c r="E32" i="5"/>
  <c r="E33" i="5" s="1"/>
  <c r="C24" i="55"/>
  <c r="J11" i="55"/>
  <c r="G48" i="55"/>
  <c r="G84" i="55" s="1"/>
  <c r="I54" i="55"/>
  <c r="C58" i="55"/>
  <c r="C94" i="55" s="1"/>
  <c r="D47" i="55"/>
  <c r="D57" i="55"/>
  <c r="D93" i="55" s="1"/>
  <c r="E55" i="55"/>
  <c r="E91" i="55" s="1"/>
  <c r="L50" i="55"/>
  <c r="L86" i="55" s="1"/>
  <c r="F49" i="55"/>
  <c r="C52" i="55"/>
  <c r="D59" i="55"/>
  <c r="D95" i="55" s="1"/>
  <c r="H47" i="55"/>
  <c r="E48" i="55"/>
  <c r="E84" i="55" s="1"/>
  <c r="L48" i="55"/>
  <c r="L84" i="55" s="1"/>
  <c r="H50" i="55"/>
  <c r="H86" i="55" s="1"/>
  <c r="F55" i="55"/>
  <c r="F91" i="55" s="1"/>
  <c r="I57" i="55"/>
  <c r="I93" i="55" s="1"/>
  <c r="H56" i="55"/>
  <c r="G55" i="55"/>
  <c r="G91" i="55" s="1"/>
  <c r="G49" i="55"/>
  <c r="F50" i="55"/>
  <c r="F86" i="55" s="1"/>
  <c r="E53" i="55"/>
  <c r="E89" i="55" s="1"/>
  <c r="D49" i="55"/>
  <c r="E57" i="55"/>
  <c r="E93" i="55" s="1"/>
  <c r="I48" i="55"/>
  <c r="I84" i="55" s="1"/>
  <c r="D54" i="55"/>
  <c r="E54" i="55"/>
  <c r="I55" i="55"/>
  <c r="I91" i="55" s="1"/>
  <c r="D52" i="55"/>
  <c r="F47" i="55"/>
  <c r="G56" i="55"/>
  <c r="D55" i="55"/>
  <c r="D91" i="55" s="1"/>
  <c r="G50" i="55"/>
  <c r="G86" i="55" s="1"/>
  <c r="D50" i="55"/>
  <c r="D86" i="55" s="1"/>
  <c r="I59" i="55"/>
  <c r="I95" i="55" s="1"/>
  <c r="H55" i="55"/>
  <c r="H91" i="55" s="1"/>
  <c r="G51" i="55"/>
  <c r="F56" i="55"/>
  <c r="H48" i="55"/>
  <c r="H84" i="55" s="1"/>
  <c r="F59" i="55"/>
  <c r="F95" i="55" s="1"/>
  <c r="G47" i="55"/>
  <c r="E47" i="55"/>
  <c r="C57" i="55"/>
  <c r="E52" i="55"/>
  <c r="G58" i="55"/>
  <c r="G94" i="55" s="1"/>
  <c r="H51" i="55"/>
  <c r="H54" i="55"/>
  <c r="I53" i="55"/>
  <c r="I89" i="55" s="1"/>
  <c r="I56" i="55"/>
  <c r="F48" i="55"/>
  <c r="F84" i="55" s="1"/>
  <c r="E51" i="55"/>
  <c r="D58" i="55"/>
  <c r="D94" i="55" s="1"/>
  <c r="F57" i="55"/>
  <c r="F93" i="55" s="1"/>
  <c r="C50" i="55"/>
  <c r="H57" i="55"/>
  <c r="H93" i="55" s="1"/>
  <c r="G53" i="55"/>
  <c r="G89" i="55" s="1"/>
  <c r="F51" i="55"/>
  <c r="C47" i="55"/>
  <c r="C55" i="55"/>
  <c r="C91" i="55" s="1"/>
  <c r="L54" i="55"/>
  <c r="F52" i="55"/>
  <c r="C56" i="55"/>
  <c r="L56" i="55"/>
  <c r="H59" i="55"/>
  <c r="H95" i="55" s="1"/>
  <c r="H53" i="55"/>
  <c r="H89" i="55" s="1"/>
  <c r="L57" i="55"/>
  <c r="L93" i="55" s="1"/>
  <c r="L53" i="55"/>
  <c r="L89" i="55" s="1"/>
  <c r="G57" i="55"/>
  <c r="G93" i="55" s="1"/>
  <c r="L51" i="55"/>
  <c r="D51" i="55"/>
  <c r="H52" i="55"/>
  <c r="L52" i="55"/>
  <c r="H58" i="55"/>
  <c r="H94" i="55" s="1"/>
  <c r="G52" i="55"/>
  <c r="G59" i="55"/>
  <c r="G95" i="55" s="1"/>
  <c r="F53" i="55"/>
  <c r="F89" i="55" s="1"/>
  <c r="E56" i="55"/>
  <c r="I50" i="55"/>
  <c r="I86" i="55" s="1"/>
  <c r="D53" i="55"/>
  <c r="D89" i="55" s="1"/>
  <c r="E58" i="55"/>
  <c r="E94" i="55" s="1"/>
  <c r="D48" i="55"/>
  <c r="D84" i="55" s="1"/>
  <c r="C48" i="55"/>
  <c r="I58" i="55"/>
  <c r="I94" i="55" s="1"/>
  <c r="I52" i="55"/>
  <c r="E59" i="55"/>
  <c r="E95" i="55" s="1"/>
  <c r="C59" i="55"/>
  <c r="C95" i="55" s="1"/>
  <c r="L49" i="55"/>
  <c r="D56" i="55"/>
  <c r="I47" i="55"/>
  <c r="L59" i="55"/>
  <c r="L95" i="55" s="1"/>
  <c r="E50" i="55"/>
  <c r="E86" i="55" s="1"/>
  <c r="F54" i="55"/>
  <c r="H49" i="55"/>
  <c r="C53" i="55"/>
  <c r="C89" i="55" s="1"/>
  <c r="L47" i="55"/>
  <c r="F58" i="55"/>
  <c r="F94" i="55" s="1"/>
  <c r="L55" i="55"/>
  <c r="L91" i="55" s="1"/>
  <c r="I51" i="55"/>
  <c r="L58" i="55"/>
  <c r="L94" i="55" s="1"/>
  <c r="I49" i="55"/>
  <c r="C51" i="55"/>
  <c r="G54" i="55"/>
  <c r="C49" i="55"/>
  <c r="E49" i="55"/>
  <c r="C54" i="55"/>
  <c r="J20" i="55"/>
  <c r="J15" i="55"/>
  <c r="J14" i="55"/>
  <c r="G24" i="55"/>
  <c r="C182" i="43" l="1"/>
  <c r="J54" i="55"/>
  <c r="C19" i="16"/>
  <c r="C39" i="16" s="1"/>
  <c r="G20" i="40" s="1"/>
  <c r="C11" i="16"/>
  <c r="I60" i="55"/>
  <c r="F106" i="55"/>
  <c r="J30" i="40" s="1"/>
  <c r="F124" i="55"/>
  <c r="C16" i="16"/>
  <c r="C36" i="16" s="1"/>
  <c r="D60" i="55"/>
  <c r="E22" i="40"/>
  <c r="J75" i="65"/>
  <c r="E13" i="40"/>
  <c r="J66" i="65"/>
  <c r="E16" i="40"/>
  <c r="J69" i="65"/>
  <c r="J59" i="65"/>
  <c r="E44" i="40"/>
  <c r="C22" i="44"/>
  <c r="H122" i="55"/>
  <c r="H104" i="55"/>
  <c r="L28" i="40" s="1"/>
  <c r="L60" i="55"/>
  <c r="I132" i="55"/>
  <c r="I114" i="55"/>
  <c r="M38" i="40" s="1"/>
  <c r="D115" i="55"/>
  <c r="H39" i="40" s="1"/>
  <c r="D133" i="55"/>
  <c r="C15" i="16"/>
  <c r="I129" i="55"/>
  <c r="I111" i="55"/>
  <c r="M35" i="40" s="1"/>
  <c r="J56" i="55"/>
  <c r="K66" i="65"/>
  <c r="F13" i="40"/>
  <c r="J55" i="55"/>
  <c r="I115" i="55"/>
  <c r="M39" i="40" s="1"/>
  <c r="I133" i="55"/>
  <c r="J24" i="55"/>
  <c r="J72" i="65"/>
  <c r="E19" i="40"/>
  <c r="E18" i="40"/>
  <c r="J71" i="65"/>
  <c r="J53" i="55"/>
  <c r="J48" i="55"/>
  <c r="J47" i="55"/>
  <c r="C60" i="55"/>
  <c r="D106" i="55"/>
  <c r="H30" i="40" s="1"/>
  <c r="D124" i="55"/>
  <c r="E127" i="55"/>
  <c r="E109" i="55"/>
  <c r="I33" i="40" s="1"/>
  <c r="J52" i="55"/>
  <c r="I35" i="65"/>
  <c r="D35" i="40" s="1"/>
  <c r="I29" i="65"/>
  <c r="D29" i="40" s="1"/>
  <c r="I31" i="65"/>
  <c r="D31" i="40" s="1"/>
  <c r="I48" i="65"/>
  <c r="D46" i="40" s="1"/>
  <c r="I39" i="65"/>
  <c r="D39" i="40" s="1"/>
  <c r="I52" i="65"/>
  <c r="D50" i="40" s="1"/>
  <c r="I36" i="65"/>
  <c r="D36" i="40" s="1"/>
  <c r="I54" i="65"/>
  <c r="D52" i="40" s="1"/>
  <c r="I19" i="65"/>
  <c r="I17" i="65"/>
  <c r="I37" i="65"/>
  <c r="D37" i="40" s="1"/>
  <c r="I27" i="65"/>
  <c r="I11" i="65"/>
  <c r="I53" i="65"/>
  <c r="D51" i="40" s="1"/>
  <c r="I16" i="65"/>
  <c r="I9" i="65"/>
  <c r="I14" i="65"/>
  <c r="I57" i="65"/>
  <c r="D55" i="40" s="1"/>
  <c r="I10" i="65"/>
  <c r="I58" i="65"/>
  <c r="D56" i="40" s="1"/>
  <c r="I32" i="65"/>
  <c r="D32" i="40" s="1"/>
  <c r="I46" i="65"/>
  <c r="I33" i="65"/>
  <c r="D33" i="40" s="1"/>
  <c r="I12" i="65"/>
  <c r="I28" i="65"/>
  <c r="D28" i="40" s="1"/>
  <c r="I47" i="65"/>
  <c r="D45" i="40" s="1"/>
  <c r="I30" i="65"/>
  <c r="D30" i="40" s="1"/>
  <c r="I49" i="65"/>
  <c r="D47" i="40" s="1"/>
  <c r="I8" i="65"/>
  <c r="I51" i="65"/>
  <c r="D49" i="40" s="1"/>
  <c r="I18" i="65"/>
  <c r="I15" i="65"/>
  <c r="I50" i="65"/>
  <c r="D48" i="40" s="1"/>
  <c r="I20" i="65"/>
  <c r="I55" i="65"/>
  <c r="D53" i="40" s="1"/>
  <c r="I56" i="65"/>
  <c r="D54" i="40" s="1"/>
  <c r="I34" i="65"/>
  <c r="D34" i="40" s="1"/>
  <c r="I38" i="65"/>
  <c r="D38" i="40" s="1"/>
  <c r="I13" i="65"/>
  <c r="C84" i="55"/>
  <c r="K76" i="65"/>
  <c r="F23" i="40"/>
  <c r="F24" i="40"/>
  <c r="K77" i="65"/>
  <c r="K70" i="65"/>
  <c r="F17" i="40"/>
  <c r="C21" i="16"/>
  <c r="C41" i="16" s="1"/>
  <c r="D104" i="55"/>
  <c r="H28" i="40" s="1"/>
  <c r="D122" i="55"/>
  <c r="H35" i="65"/>
  <c r="H36" i="65"/>
  <c r="H52" i="65"/>
  <c r="H53" i="65"/>
  <c r="H50" i="65"/>
  <c r="H34" i="65"/>
  <c r="H16" i="65"/>
  <c r="H20" i="65"/>
  <c r="H55" i="65"/>
  <c r="H57" i="65"/>
  <c r="H56" i="65"/>
  <c r="H49" i="65"/>
  <c r="H11" i="65"/>
  <c r="H18" i="65"/>
  <c r="H54" i="65"/>
  <c r="H33" i="65"/>
  <c r="H19" i="65"/>
  <c r="H32" i="65"/>
  <c r="H29" i="65"/>
  <c r="H14" i="65"/>
  <c r="H13" i="65"/>
  <c r="H28" i="65"/>
  <c r="H27" i="65"/>
  <c r="H58" i="65"/>
  <c r="H9" i="65"/>
  <c r="H46" i="65"/>
  <c r="H38" i="65"/>
  <c r="H12" i="65"/>
  <c r="H39" i="65"/>
  <c r="H31" i="65"/>
  <c r="H17" i="65"/>
  <c r="H37" i="65"/>
  <c r="H10" i="65"/>
  <c r="H30" i="65"/>
  <c r="H51" i="65"/>
  <c r="H47" i="65"/>
  <c r="H8" i="65"/>
  <c r="H48" i="65"/>
  <c r="H15" i="65"/>
  <c r="K69" i="65"/>
  <c r="F16" i="40"/>
  <c r="G113" i="55"/>
  <c r="K37" i="40" s="1"/>
  <c r="G131" i="55"/>
  <c r="D111" i="55"/>
  <c r="H35" i="40" s="1"/>
  <c r="D129" i="55"/>
  <c r="L106" i="55"/>
  <c r="S30" i="40" s="1"/>
  <c r="L124" i="55"/>
  <c r="E20" i="40"/>
  <c r="J73" i="65"/>
  <c r="C132" i="55"/>
  <c r="C114" i="55"/>
  <c r="J94" i="55"/>
  <c r="K74" i="65"/>
  <c r="F21" i="40"/>
  <c r="J49" i="55"/>
  <c r="E124" i="55"/>
  <c r="E106" i="55"/>
  <c r="I30" i="40" s="1"/>
  <c r="D127" i="55"/>
  <c r="D109" i="55"/>
  <c r="H33" i="40" s="1"/>
  <c r="L127" i="55"/>
  <c r="L109" i="55"/>
  <c r="S33" i="40" s="1"/>
  <c r="J57" i="55"/>
  <c r="G129" i="55"/>
  <c r="G111" i="55"/>
  <c r="K35" i="40" s="1"/>
  <c r="E129" i="55"/>
  <c r="E111" i="55"/>
  <c r="I35" i="40" s="1"/>
  <c r="F27" i="40"/>
  <c r="F40" i="40" s="1"/>
  <c r="K40" i="65"/>
  <c r="F43" i="40" s="1"/>
  <c r="C203" i="43"/>
  <c r="C218" i="43" s="1"/>
  <c r="C23" i="43"/>
  <c r="C43" i="43" s="1"/>
  <c r="C63" i="43" s="1"/>
  <c r="G56" i="40" s="1"/>
  <c r="C17" i="16"/>
  <c r="C37" i="16" s="1"/>
  <c r="G127" i="55"/>
  <c r="G109" i="55"/>
  <c r="K33" i="40" s="1"/>
  <c r="H113" i="55"/>
  <c r="L37" i="40" s="1"/>
  <c r="H131" i="55"/>
  <c r="L115" i="55"/>
  <c r="S39" i="40" s="1"/>
  <c r="L133" i="55"/>
  <c r="I124" i="55"/>
  <c r="I106" i="55"/>
  <c r="M30" i="40" s="1"/>
  <c r="L131" i="55"/>
  <c r="L113" i="55"/>
  <c r="S37" i="40" s="1"/>
  <c r="J50" i="55"/>
  <c r="E60" i="55"/>
  <c r="F60" i="55"/>
  <c r="D113" i="55"/>
  <c r="H37" i="40" s="1"/>
  <c r="D131" i="55"/>
  <c r="J74" i="65"/>
  <c r="E21" i="40"/>
  <c r="J65" i="65"/>
  <c r="J21" i="65"/>
  <c r="E42" i="40" s="1"/>
  <c r="E12" i="40"/>
  <c r="C14" i="16"/>
  <c r="C34" i="16" s="1"/>
  <c r="F12" i="40"/>
  <c r="K65" i="65"/>
  <c r="K21" i="65"/>
  <c r="F42" i="40" s="1"/>
  <c r="C22" i="43"/>
  <c r="C42" i="43" s="1"/>
  <c r="C62" i="43" s="1"/>
  <c r="G55" i="40" s="1"/>
  <c r="C181" i="43"/>
  <c r="C196" i="43" s="1"/>
  <c r="C21" i="43"/>
  <c r="C41" i="43" s="1"/>
  <c r="C61" i="43" s="1"/>
  <c r="G54" i="40" s="1"/>
  <c r="C159" i="43"/>
  <c r="C174" i="43" s="1"/>
  <c r="C14" i="43"/>
  <c r="C34" i="43" s="1"/>
  <c r="C54" i="43" s="1"/>
  <c r="G47" i="40" s="1"/>
  <c r="J51" i="55"/>
  <c r="H127" i="55"/>
  <c r="H109" i="55"/>
  <c r="L33" i="40" s="1"/>
  <c r="F113" i="55"/>
  <c r="J37" i="40" s="1"/>
  <c r="F131" i="55"/>
  <c r="C129" i="55"/>
  <c r="C111" i="55"/>
  <c r="J91" i="55"/>
  <c r="C31" i="16"/>
  <c r="C51" i="16" s="1"/>
  <c r="F44" i="40"/>
  <c r="K59" i="65"/>
  <c r="F14" i="40"/>
  <c r="K67" i="65"/>
  <c r="H133" i="55"/>
  <c r="H115" i="55"/>
  <c r="L39" i="40" s="1"/>
  <c r="J58" i="55"/>
  <c r="E14" i="40"/>
  <c r="J67" i="65"/>
  <c r="C18" i="16"/>
  <c r="C38" i="16" s="1"/>
  <c r="C20" i="16"/>
  <c r="C40" i="16" s="1"/>
  <c r="C93" i="55"/>
  <c r="C13" i="16"/>
  <c r="C33" i="16" s="1"/>
  <c r="E132" i="55"/>
  <c r="E114" i="55"/>
  <c r="I38" i="40" s="1"/>
  <c r="I131" i="55"/>
  <c r="I113" i="55"/>
  <c r="M37" i="40" s="1"/>
  <c r="C12" i="43"/>
  <c r="D132" i="55"/>
  <c r="D114" i="55"/>
  <c r="H38" i="40" s="1"/>
  <c r="L114" i="55"/>
  <c r="S38" i="40" s="1"/>
  <c r="L132" i="55"/>
  <c r="G133" i="55"/>
  <c r="G115" i="55"/>
  <c r="K39" i="40" s="1"/>
  <c r="L122" i="55"/>
  <c r="L104" i="55"/>
  <c r="S28" i="40" s="1"/>
  <c r="C11" i="44"/>
  <c r="C23" i="44"/>
  <c r="C86" i="55"/>
  <c r="E115" i="55"/>
  <c r="I39" i="40" s="1"/>
  <c r="E133" i="55"/>
  <c r="H114" i="55"/>
  <c r="L38" i="40" s="1"/>
  <c r="H132" i="55"/>
  <c r="I104" i="55"/>
  <c r="M28" i="40" s="1"/>
  <c r="I122" i="55"/>
  <c r="E104" i="55"/>
  <c r="I28" i="40" s="1"/>
  <c r="E122" i="55"/>
  <c r="E27" i="40"/>
  <c r="E40" i="40" s="1"/>
  <c r="J40" i="65"/>
  <c r="E43" i="40" s="1"/>
  <c r="C20" i="43"/>
  <c r="C40" i="43" s="1"/>
  <c r="C60" i="43" s="1"/>
  <c r="G53" i="40" s="1"/>
  <c r="C137" i="43"/>
  <c r="C152" i="43" s="1"/>
  <c r="K71" i="65"/>
  <c r="F18" i="40"/>
  <c r="G132" i="55"/>
  <c r="G114" i="55"/>
  <c r="K38" i="40" s="1"/>
  <c r="G124" i="55"/>
  <c r="G106" i="55"/>
  <c r="K30" i="40" s="1"/>
  <c r="J70" i="65"/>
  <c r="E17" i="40"/>
  <c r="F19" i="40"/>
  <c r="K72" i="65"/>
  <c r="K68" i="65"/>
  <c r="F15" i="40"/>
  <c r="G60" i="55"/>
  <c r="F109" i="55"/>
  <c r="J33" i="40" s="1"/>
  <c r="F127" i="55"/>
  <c r="F133" i="55"/>
  <c r="F115" i="55"/>
  <c r="J39" i="40" s="1"/>
  <c r="F129" i="55"/>
  <c r="F111" i="55"/>
  <c r="J35" i="40" s="1"/>
  <c r="H106" i="55"/>
  <c r="L30" i="40" s="1"/>
  <c r="H124" i="55"/>
  <c r="E15" i="40"/>
  <c r="J68" i="65"/>
  <c r="J77" i="65"/>
  <c r="E24" i="40"/>
  <c r="C133" i="55"/>
  <c r="J95" i="55"/>
  <c r="C115" i="55"/>
  <c r="J59" i="55"/>
  <c r="F104" i="55"/>
  <c r="J28" i="40" s="1"/>
  <c r="F122" i="55"/>
  <c r="G122" i="55"/>
  <c r="G104" i="55"/>
  <c r="K28" i="40" s="1"/>
  <c r="J76" i="65"/>
  <c r="E23" i="40"/>
  <c r="J89" i="55"/>
  <c r="C109" i="55"/>
  <c r="C127" i="55"/>
  <c r="C22" i="16"/>
  <c r="C42" i="16" s="1"/>
  <c r="F22" i="40"/>
  <c r="K75" i="65"/>
  <c r="L111" i="55"/>
  <c r="S35" i="40" s="1"/>
  <c r="L129" i="55"/>
  <c r="F114" i="55"/>
  <c r="J38" i="40" s="1"/>
  <c r="F132" i="55"/>
  <c r="I127" i="55"/>
  <c r="I109" i="55"/>
  <c r="M33" i="40" s="1"/>
  <c r="H111" i="55"/>
  <c r="L35" i="40" s="1"/>
  <c r="H129" i="55"/>
  <c r="E113" i="55"/>
  <c r="I37" i="40" s="1"/>
  <c r="E131" i="55"/>
  <c r="H60" i="55"/>
  <c r="C23" i="16"/>
  <c r="C43" i="16" s="1"/>
  <c r="F20" i="40"/>
  <c r="K73" i="65"/>
  <c r="C154" i="43" l="1"/>
  <c r="C59" i="16"/>
  <c r="J127" i="55"/>
  <c r="K78" i="65"/>
  <c r="K80" i="65" s="1"/>
  <c r="C198" i="43"/>
  <c r="G39" i="40"/>
  <c r="J115" i="55"/>
  <c r="J111" i="55"/>
  <c r="G35" i="40"/>
  <c r="L27" i="65"/>
  <c r="C27" i="40"/>
  <c r="H40" i="65"/>
  <c r="C43" i="40" s="1"/>
  <c r="E58" i="40"/>
  <c r="E25" i="40"/>
  <c r="C24" i="16"/>
  <c r="C26" i="16" s="1"/>
  <c r="C24" i="43"/>
  <c r="C26" i="43" s="1"/>
  <c r="C32" i="43"/>
  <c r="L8" i="65"/>
  <c r="H21" i="65"/>
  <c r="C42" i="40" s="1"/>
  <c r="H65" i="65"/>
  <c r="C12" i="40"/>
  <c r="H66" i="65"/>
  <c r="L66" i="65" s="1"/>
  <c r="L9" i="65"/>
  <c r="C13" i="40"/>
  <c r="C15" i="40"/>
  <c r="L11" i="65"/>
  <c r="H68" i="65"/>
  <c r="L35" i="65"/>
  <c r="C35" i="40"/>
  <c r="C104" i="55"/>
  <c r="J84" i="55"/>
  <c r="C122" i="55"/>
  <c r="J122" i="55" s="1"/>
  <c r="I66" i="65"/>
  <c r="D13" i="40"/>
  <c r="C43" i="44"/>
  <c r="G24" i="40" s="1"/>
  <c r="C35" i="16"/>
  <c r="C44" i="16" s="1"/>
  <c r="C31" i="44"/>
  <c r="C51" i="44" s="1"/>
  <c r="C24" i="44"/>
  <c r="C26" i="44" s="1"/>
  <c r="L30" i="65"/>
  <c r="C30" i="40"/>
  <c r="C28" i="40"/>
  <c r="L28" i="65"/>
  <c r="L57" i="65"/>
  <c r="C55" i="40"/>
  <c r="J133" i="55"/>
  <c r="F25" i="40"/>
  <c r="F58" i="40"/>
  <c r="F64" i="40" s="1"/>
  <c r="C63" i="16"/>
  <c r="C62" i="16"/>
  <c r="C106" i="55"/>
  <c r="J86" i="55"/>
  <c r="C124" i="55"/>
  <c r="J124" i="55" s="1"/>
  <c r="C45" i="40"/>
  <c r="L47" i="65"/>
  <c r="L58" i="65"/>
  <c r="C56" i="40"/>
  <c r="C47" i="40"/>
  <c r="L49" i="65"/>
  <c r="D17" i="40"/>
  <c r="I70" i="65"/>
  <c r="D20" i="40"/>
  <c r="I73" i="65"/>
  <c r="C57" i="16"/>
  <c r="G18" i="40"/>
  <c r="L51" i="65"/>
  <c r="C49" i="40"/>
  <c r="N49" i="40" s="1"/>
  <c r="C14" i="40"/>
  <c r="L10" i="65"/>
  <c r="H67" i="65"/>
  <c r="L13" i="65"/>
  <c r="C17" i="40"/>
  <c r="H70" i="65"/>
  <c r="L70" i="65" s="1"/>
  <c r="C53" i="40"/>
  <c r="L55" i="65"/>
  <c r="D27" i="40"/>
  <c r="D40" i="40" s="1"/>
  <c r="I40" i="65"/>
  <c r="D43" i="40" s="1"/>
  <c r="C54" i="16"/>
  <c r="G15" i="40"/>
  <c r="C37" i="40"/>
  <c r="L37" i="65"/>
  <c r="C18" i="40"/>
  <c r="H71" i="65"/>
  <c r="L14" i="65"/>
  <c r="L20" i="65"/>
  <c r="C24" i="40"/>
  <c r="H77" i="65"/>
  <c r="C54" i="40"/>
  <c r="L56" i="65"/>
  <c r="C61" i="16"/>
  <c r="G22" i="40"/>
  <c r="C21" i="40"/>
  <c r="L17" i="65"/>
  <c r="H74" i="65"/>
  <c r="C29" i="40"/>
  <c r="L29" i="65"/>
  <c r="H73" i="65"/>
  <c r="L16" i="65"/>
  <c r="C20" i="40"/>
  <c r="D24" i="40"/>
  <c r="I77" i="65"/>
  <c r="I59" i="65"/>
  <c r="D44" i="40"/>
  <c r="D21" i="40"/>
  <c r="I74" i="65"/>
  <c r="J129" i="55"/>
  <c r="C53" i="16"/>
  <c r="G14" i="40"/>
  <c r="E57" i="40"/>
  <c r="C31" i="40"/>
  <c r="L31" i="65"/>
  <c r="C32" i="40"/>
  <c r="L32" i="65"/>
  <c r="C34" i="40"/>
  <c r="L34" i="65"/>
  <c r="I76" i="65"/>
  <c r="D23" i="40"/>
  <c r="D15" i="40"/>
  <c r="I68" i="65"/>
  <c r="C113" i="55"/>
  <c r="J93" i="55"/>
  <c r="C131" i="55"/>
  <c r="J131" i="55" s="1"/>
  <c r="J78" i="65"/>
  <c r="J80" i="65" s="1"/>
  <c r="C39" i="40"/>
  <c r="L39" i="65"/>
  <c r="H76" i="65"/>
  <c r="C23" i="40"/>
  <c r="L19" i="65"/>
  <c r="C48" i="40"/>
  <c r="L50" i="65"/>
  <c r="D19" i="40"/>
  <c r="I72" i="65"/>
  <c r="C220" i="43"/>
  <c r="C16" i="40"/>
  <c r="H69" i="65"/>
  <c r="L12" i="65"/>
  <c r="C33" i="40"/>
  <c r="L33" i="65"/>
  <c r="L53" i="65"/>
  <c r="C51" i="40"/>
  <c r="N51" i="40" s="1"/>
  <c r="I75" i="65"/>
  <c r="D22" i="40"/>
  <c r="D14" i="40"/>
  <c r="I67" i="65"/>
  <c r="J60" i="55"/>
  <c r="C56" i="16"/>
  <c r="G17" i="40"/>
  <c r="F57" i="40"/>
  <c r="D16" i="40"/>
  <c r="I69" i="65"/>
  <c r="C60" i="16"/>
  <c r="G21" i="40"/>
  <c r="C58" i="16"/>
  <c r="G19" i="40"/>
  <c r="C176" i="43"/>
  <c r="G38" i="40"/>
  <c r="J114" i="55"/>
  <c r="L15" i="65"/>
  <c r="C19" i="40"/>
  <c r="H72" i="65"/>
  <c r="L38" i="65"/>
  <c r="C38" i="40"/>
  <c r="L54" i="65"/>
  <c r="C52" i="40"/>
  <c r="N52" i="40" s="1"/>
  <c r="L52" i="65"/>
  <c r="C50" i="40"/>
  <c r="N50" i="40" s="1"/>
  <c r="C42" i="44"/>
  <c r="G23" i="40" s="1"/>
  <c r="J109" i="55"/>
  <c r="G33" i="40"/>
  <c r="J132" i="55"/>
  <c r="C46" i="40"/>
  <c r="L48" i="65"/>
  <c r="H59" i="65"/>
  <c r="L46" i="65"/>
  <c r="C44" i="40"/>
  <c r="L18" i="65"/>
  <c r="C22" i="40"/>
  <c r="H75" i="65"/>
  <c r="L75" i="65" s="1"/>
  <c r="L36" i="65"/>
  <c r="C36" i="40"/>
  <c r="I21" i="65"/>
  <c r="D42" i="40" s="1"/>
  <c r="D12" i="40"/>
  <c r="I65" i="65"/>
  <c r="I71" i="65"/>
  <c r="D18" i="40"/>
  <c r="C46" i="16" l="1"/>
  <c r="C63" i="44"/>
  <c r="N35" i="40"/>
  <c r="G12" i="40"/>
  <c r="L71" i="65"/>
  <c r="N33" i="40"/>
  <c r="L67" i="65"/>
  <c r="L72" i="65"/>
  <c r="L76" i="65"/>
  <c r="L69" i="65"/>
  <c r="C57" i="40"/>
  <c r="D57" i="40"/>
  <c r="L74" i="65"/>
  <c r="J104" i="55"/>
  <c r="G28" i="40"/>
  <c r="O28" i="40" s="1"/>
  <c r="L21" i="65"/>
  <c r="E64" i="40"/>
  <c r="O33" i="40"/>
  <c r="Q33" i="40" s="1"/>
  <c r="G37" i="40"/>
  <c r="N37" i="40" s="1"/>
  <c r="J113" i="55"/>
  <c r="J106" i="55"/>
  <c r="G30" i="40"/>
  <c r="N30" i="40" s="1"/>
  <c r="C62" i="44"/>
  <c r="C64" i="44" s="1"/>
  <c r="C66" i="44" s="1"/>
  <c r="O38" i="40"/>
  <c r="Q38" i="40" s="1"/>
  <c r="N48" i="40"/>
  <c r="C44" i="44"/>
  <c r="C46" i="44" s="1"/>
  <c r="L68" i="65"/>
  <c r="C40" i="40"/>
  <c r="C55" i="16"/>
  <c r="C64" i="16" s="1"/>
  <c r="G16" i="40"/>
  <c r="C52" i="43"/>
  <c r="C44" i="43"/>
  <c r="L40" i="65"/>
  <c r="O35" i="40"/>
  <c r="Q35" i="40" s="1"/>
  <c r="N13" i="40"/>
  <c r="N39" i="40"/>
  <c r="N44" i="40"/>
  <c r="L59" i="65"/>
  <c r="I78" i="65"/>
  <c r="I80" i="65" s="1"/>
  <c r="N46" i="40"/>
  <c r="N38" i="40"/>
  <c r="L73" i="65"/>
  <c r="L77" i="65"/>
  <c r="C25" i="40"/>
  <c r="C58" i="40"/>
  <c r="D25" i="40"/>
  <c r="D58" i="40"/>
  <c r="D64" i="40" s="1"/>
  <c r="N28" i="40"/>
  <c r="L65" i="65"/>
  <c r="H78" i="65"/>
  <c r="H80" i="65" s="1"/>
  <c r="O39" i="40"/>
  <c r="Q39" i="40" s="1"/>
  <c r="Q28" i="40" l="1"/>
  <c r="G25" i="40"/>
  <c r="G61" i="40"/>
  <c r="C66" i="16"/>
  <c r="G42" i="40"/>
  <c r="C64" i="40"/>
  <c r="C46" i="43"/>
  <c r="O37" i="40"/>
  <c r="Q37" i="40" s="1"/>
  <c r="L78" i="65"/>
  <c r="L80" i="65" s="1"/>
  <c r="O30" i="40"/>
  <c r="Q30" i="40" s="1"/>
  <c r="G45" i="40"/>
  <c r="C64" i="43"/>
  <c r="C66" i="43" s="1"/>
  <c r="G63" i="40" l="1"/>
  <c r="D11" i="44" l="1"/>
  <c r="D31" i="44" l="1"/>
  <c r="E11" i="44"/>
  <c r="F11" i="44" l="1"/>
  <c r="E31" i="44"/>
  <c r="D51" i="44"/>
  <c r="F31" i="44" l="1"/>
  <c r="F51" i="44" s="1"/>
  <c r="G11" i="44"/>
  <c r="E51" i="44"/>
  <c r="G31" i="44" l="1"/>
  <c r="H11" i="44"/>
  <c r="I11" i="44"/>
  <c r="J11" i="44" l="1"/>
  <c r="I31" i="44"/>
  <c r="G51" i="44"/>
  <c r="H31" i="44"/>
  <c r="J31" i="44" l="1"/>
  <c r="I51" i="44"/>
  <c r="H51" i="44"/>
  <c r="J51" i="44" l="1"/>
  <c r="M30" i="5" l="1"/>
  <c r="D87" i="5" l="1"/>
  <c r="H31" i="5"/>
  <c r="H32" i="5" l="1"/>
  <c r="H33" i="5" s="1"/>
  <c r="I31" i="5"/>
  <c r="HG57" i="34"/>
  <c r="HG210" i="34"/>
  <c r="HG155" i="34"/>
  <c r="HH155" i="34" s="1"/>
  <c r="HJ155" i="34" s="1"/>
  <c r="HG50" i="34"/>
  <c r="HG82" i="34"/>
  <c r="HG186" i="34"/>
  <c r="HG203" i="34"/>
  <c r="HH203" i="34" s="1"/>
  <c r="HJ203" i="34" s="1"/>
  <c r="HG269" i="34"/>
  <c r="HG154" i="34"/>
  <c r="HH154" i="34" s="1"/>
  <c r="HJ154" i="34" s="1"/>
  <c r="HG131" i="34"/>
  <c r="HH131" i="34" s="1"/>
  <c r="HJ131" i="34" s="1"/>
  <c r="HG119" i="34"/>
  <c r="HG91" i="34"/>
  <c r="HG251" i="34"/>
  <c r="HG254" i="34"/>
  <c r="HG272" i="34"/>
  <c r="HG102" i="34"/>
  <c r="HG172" i="34"/>
  <c r="HG74" i="34"/>
  <c r="HG58" i="34"/>
  <c r="HG17" i="34"/>
  <c r="HG42" i="34"/>
  <c r="HG258" i="34"/>
  <c r="HG31" i="34"/>
  <c r="HG66" i="34"/>
  <c r="HG249" i="34"/>
  <c r="HG151" i="34"/>
  <c r="HG86" i="34"/>
  <c r="HG229" i="34"/>
  <c r="HG191" i="34"/>
  <c r="HG55" i="34"/>
  <c r="HG20" i="34"/>
  <c r="HG122" i="34"/>
  <c r="HG8" i="34"/>
  <c r="HG250" i="34"/>
  <c r="HG243" i="34"/>
  <c r="HG158" i="34"/>
  <c r="HG62" i="34"/>
  <c r="HG101" i="34"/>
  <c r="HG178" i="34"/>
  <c r="HG275" i="34"/>
  <c r="HG12" i="34"/>
  <c r="HG252" i="34"/>
  <c r="HG164" i="34"/>
  <c r="HG227" i="34"/>
  <c r="HG150" i="34"/>
  <c r="HG280" i="34"/>
  <c r="HG162" i="34"/>
  <c r="HG49" i="34"/>
  <c r="HG59" i="34"/>
  <c r="HH59" i="34" s="1"/>
  <c r="HJ59" i="34" s="1"/>
  <c r="HG187" i="34"/>
  <c r="HH187" i="34" s="1"/>
  <c r="HJ187" i="34" s="1"/>
  <c r="HG75" i="34"/>
  <c r="HG143" i="34"/>
  <c r="HG141" i="34"/>
  <c r="HG35" i="34"/>
  <c r="HG262" i="34"/>
  <c r="HG244" i="34"/>
  <c r="HG225" i="34"/>
  <c r="HH225" i="34" s="1"/>
  <c r="HJ225" i="34" s="1"/>
  <c r="HG224" i="34"/>
  <c r="HH224" i="34" s="1"/>
  <c r="HJ224" i="34" s="1"/>
  <c r="HG267" i="34"/>
  <c r="HG266" i="34"/>
  <c r="HG110" i="34"/>
  <c r="HG63" i="34"/>
  <c r="HG209" i="34"/>
  <c r="HG117" i="34"/>
  <c r="HG283" i="34"/>
  <c r="HG215" i="34"/>
  <c r="HG127" i="34"/>
  <c r="HG38" i="34"/>
  <c r="HG282" i="34"/>
  <c r="HG113" i="34"/>
  <c r="HG247" i="34"/>
  <c r="HG40" i="34"/>
  <c r="HH40" i="34" s="1"/>
  <c r="HJ40" i="34" s="1"/>
  <c r="HG41" i="34"/>
  <c r="HG278" i="34"/>
  <c r="HG14" i="34"/>
  <c r="HH14" i="34" s="1"/>
  <c r="HJ14" i="34" s="1"/>
  <c r="HG201" i="34"/>
  <c r="HH201" i="34" s="1"/>
  <c r="HJ201" i="34" s="1"/>
  <c r="HG199" i="34"/>
  <c r="HG213" i="34"/>
  <c r="HG88" i="34"/>
  <c r="HG72" i="34"/>
  <c r="HG10" i="34"/>
  <c r="HG231" i="34"/>
  <c r="HG256" i="34"/>
  <c r="HG205" i="34"/>
  <c r="HG46" i="34"/>
  <c r="HG27" i="34"/>
  <c r="HG115" i="34"/>
  <c r="HG276" i="34"/>
  <c r="HG21" i="34"/>
  <c r="HH21" i="34" s="1"/>
  <c r="HJ21" i="34" s="1"/>
  <c r="HG53" i="34"/>
  <c r="HG135" i="34"/>
  <c r="HG133" i="34"/>
  <c r="HH133" i="34" s="1"/>
  <c r="HJ133" i="34" s="1"/>
  <c r="HG129" i="34"/>
  <c r="HG64" i="34"/>
  <c r="HH64" i="34" s="1"/>
  <c r="HJ64" i="34" s="1"/>
  <c r="HG255" i="34"/>
  <c r="HG183" i="34"/>
  <c r="HG233" i="34"/>
  <c r="HG189" i="34"/>
  <c r="HH189" i="34" s="1"/>
  <c r="HJ189" i="34" s="1"/>
  <c r="HG99" i="34"/>
  <c r="HH99" i="34" s="1"/>
  <c r="HJ99" i="34" s="1"/>
  <c r="HG180" i="34"/>
  <c r="HG125" i="34"/>
  <c r="HG45" i="34"/>
  <c r="HG123" i="34"/>
  <c r="HG16" i="34"/>
  <c r="HH16" i="34" s="1"/>
  <c r="HJ16" i="34" s="1"/>
  <c r="HG257" i="34"/>
  <c r="HG184" i="34"/>
  <c r="HG222" i="34"/>
  <c r="HH222" i="34" s="1"/>
  <c r="HJ222" i="34" s="1"/>
  <c r="HG264" i="34"/>
  <c r="HG83" i="34"/>
  <c r="HG153" i="34"/>
  <c r="HH153" i="34" s="1"/>
  <c r="HJ153" i="34" s="1"/>
  <c r="HG68" i="34"/>
  <c r="HG114" i="34"/>
  <c r="HG223" i="34"/>
  <c r="HH223" i="34" s="1"/>
  <c r="HJ223" i="34" s="1"/>
  <c r="HG140" i="34"/>
  <c r="HG24" i="34"/>
  <c r="HG43" i="34"/>
  <c r="HG146" i="34"/>
  <c r="HG226" i="34"/>
  <c r="HH226" i="34" s="1"/>
  <c r="HJ226" i="34" s="1"/>
  <c r="HG195" i="34"/>
  <c r="HG237" i="34"/>
  <c r="HH237" i="34" s="1"/>
  <c r="HJ237" i="34" s="1"/>
  <c r="HG197" i="34"/>
  <c r="HG218" i="34"/>
  <c r="HG22" i="34"/>
  <c r="HH22" i="34" s="1"/>
  <c r="HJ22" i="34" s="1"/>
  <c r="HG273" i="34"/>
  <c r="HG277" i="34"/>
  <c r="HG261" i="34"/>
  <c r="HG108" i="34"/>
  <c r="HG71" i="34"/>
  <c r="HG70" i="34"/>
  <c r="HG270" i="34"/>
  <c r="HG170" i="34"/>
  <c r="HG54" i="34"/>
  <c r="HG239" i="34"/>
  <c r="HG288" i="34"/>
  <c r="HG19" i="34"/>
  <c r="HH19" i="34" s="1"/>
  <c r="HJ19" i="34" s="1"/>
  <c r="HG245" i="34"/>
  <c r="HG95" i="34"/>
  <c r="HG284" i="34"/>
  <c r="HG11" i="34"/>
  <c r="HG137" i="34"/>
  <c r="HG265" i="34"/>
  <c r="HG65" i="34"/>
  <c r="HH65" i="34" s="1"/>
  <c r="HJ65" i="34" s="1"/>
  <c r="HG281" i="34"/>
  <c r="HG85" i="34"/>
  <c r="HG152" i="34"/>
  <c r="HH152" i="34" s="1"/>
  <c r="HJ152" i="34" s="1"/>
  <c r="HG271" i="34"/>
  <c r="HG73" i="34"/>
  <c r="HG207" i="34"/>
  <c r="HG48" i="34"/>
  <c r="HG30" i="34"/>
  <c r="HG235" i="34"/>
  <c r="HG81" i="34"/>
  <c r="HG9" i="34"/>
  <c r="HG23" i="34"/>
  <c r="HH23" i="34" s="1"/>
  <c r="HJ23" i="34" s="1"/>
  <c r="HG148" i="34"/>
  <c r="HG120" i="34"/>
  <c r="HG182" i="34"/>
  <c r="HG15" i="34"/>
  <c r="HG179" i="34"/>
  <c r="HG67" i="34"/>
  <c r="HG69" i="34"/>
  <c r="HG160" i="34"/>
  <c r="HG268" i="34"/>
  <c r="HG174" i="34"/>
  <c r="HG274" i="34"/>
  <c r="HG18" i="34"/>
  <c r="HH18" i="34" s="1"/>
  <c r="HJ18" i="34" s="1"/>
  <c r="HG145" i="34"/>
  <c r="HG87" i="34"/>
  <c r="HG107" i="34"/>
  <c r="HG168" i="34"/>
  <c r="HG112" i="34"/>
  <c r="HG89" i="34"/>
  <c r="HG216" i="34"/>
  <c r="HG193" i="34"/>
  <c r="HG220" i="34"/>
  <c r="HG32" i="34"/>
  <c r="HG84" i="34"/>
  <c r="HG241" i="34"/>
  <c r="HG26" i="34"/>
  <c r="HG97" i="34"/>
  <c r="HG211" i="34"/>
  <c r="HG56" i="34"/>
  <c r="HG93" i="34"/>
  <c r="HG79" i="34"/>
  <c r="HG77" i="34"/>
  <c r="HG51" i="34"/>
  <c r="HG80" i="34"/>
  <c r="HG285" i="34"/>
  <c r="HG60" i="34"/>
  <c r="HH60" i="34" s="1"/>
  <c r="HJ60" i="34" s="1"/>
  <c r="HG36" i="34"/>
  <c r="HH36" i="34" s="1"/>
  <c r="HJ36" i="34" s="1"/>
  <c r="HG263" i="34"/>
  <c r="HG118" i="34"/>
  <c r="HG221" i="34"/>
  <c r="HH221" i="34" s="1"/>
  <c r="HJ221" i="34" s="1"/>
  <c r="HG147" i="34"/>
  <c r="HG29" i="34"/>
  <c r="HG78" i="34"/>
  <c r="HG121" i="34"/>
  <c r="HG279" i="34"/>
  <c r="HG188" i="34"/>
  <c r="HH188" i="34" s="1"/>
  <c r="HJ188" i="34" s="1"/>
  <c r="HG173" i="34"/>
  <c r="HG34" i="34"/>
  <c r="HH34" i="34" s="1"/>
  <c r="HJ34" i="34" s="1"/>
  <c r="HG176" i="34"/>
  <c r="HG287" i="34"/>
  <c r="HG61" i="34"/>
  <c r="HG25" i="34"/>
  <c r="HG76" i="34"/>
  <c r="HG166" i="34"/>
  <c r="HH166" i="34" s="1"/>
  <c r="HJ166" i="34" s="1"/>
  <c r="HG217" i="34"/>
  <c r="HG28" i="34"/>
  <c r="HG37" i="34"/>
  <c r="HH37" i="34" s="1"/>
  <c r="HJ37" i="34" s="1"/>
  <c r="HG190" i="34"/>
  <c r="HH190" i="34" s="1"/>
  <c r="HJ190" i="34" s="1"/>
  <c r="HG52" i="34"/>
  <c r="HG260" i="34"/>
  <c r="HG286" i="34"/>
  <c r="HG33" i="34"/>
  <c r="HH33" i="34" s="1"/>
  <c r="HJ33" i="34" s="1"/>
  <c r="HG106" i="34"/>
  <c r="HG104" i="34"/>
  <c r="HG47" i="34"/>
  <c r="HG156" i="34"/>
  <c r="HG39" i="34"/>
  <c r="HH39" i="34" s="1"/>
  <c r="HJ39" i="34" s="1"/>
  <c r="HG13" i="34"/>
  <c r="HG259" i="34"/>
  <c r="HG139" i="34"/>
  <c r="HG44" i="34"/>
  <c r="HP21" i="34" l="1"/>
  <c r="HN21" i="34"/>
  <c r="HQ21" i="34"/>
  <c r="HU21" i="34"/>
  <c r="HO21" i="34"/>
  <c r="HM21" i="34"/>
  <c r="HL21" i="34"/>
  <c r="HK21" i="34"/>
  <c r="HR21" i="34" s="1"/>
  <c r="HP39" i="34"/>
  <c r="HL39" i="34"/>
  <c r="HM39" i="34"/>
  <c r="HO39" i="34"/>
  <c r="HQ39" i="34"/>
  <c r="HK39" i="34"/>
  <c r="HN39" i="34"/>
  <c r="HU39" i="34"/>
  <c r="HK36" i="34"/>
  <c r="HQ36" i="34"/>
  <c r="HU36" i="34"/>
  <c r="HP36" i="34"/>
  <c r="HO36" i="34"/>
  <c r="HM36" i="34"/>
  <c r="HL36" i="34"/>
  <c r="HN36" i="34"/>
  <c r="HK187" i="34"/>
  <c r="HN187" i="34"/>
  <c r="HO187" i="34"/>
  <c r="HL187" i="34"/>
  <c r="HU187" i="34"/>
  <c r="HP187" i="34"/>
  <c r="HQ187" i="34"/>
  <c r="HM187" i="34"/>
  <c r="HU152" i="34"/>
  <c r="HM152" i="34"/>
  <c r="HQ152" i="34"/>
  <c r="HK152" i="34"/>
  <c r="HO152" i="34"/>
  <c r="HP152" i="34"/>
  <c r="HN152" i="34"/>
  <c r="HL152" i="34"/>
  <c r="HK59" i="34"/>
  <c r="HO59" i="34"/>
  <c r="HQ59" i="34"/>
  <c r="HN59" i="34"/>
  <c r="HM59" i="34"/>
  <c r="HL59" i="34"/>
  <c r="HU59" i="34"/>
  <c r="HP59" i="34"/>
  <c r="HP18" i="34"/>
  <c r="HN18" i="34"/>
  <c r="HU18" i="34"/>
  <c r="HK18" i="34"/>
  <c r="HL18" i="34"/>
  <c r="HO18" i="34"/>
  <c r="HQ18" i="34"/>
  <c r="HM18" i="34"/>
  <c r="HL221" i="34"/>
  <c r="D34" i="55" s="1"/>
  <c r="D88" i="55" s="1"/>
  <c r="HU221" i="34"/>
  <c r="L34" i="55" s="1"/>
  <c r="L88" i="55" s="1"/>
  <c r="HP221" i="34"/>
  <c r="H34" i="55" s="1"/>
  <c r="H88" i="55" s="1"/>
  <c r="HO221" i="34"/>
  <c r="G34" i="55" s="1"/>
  <c r="G88" i="55" s="1"/>
  <c r="HK221" i="34"/>
  <c r="HQ221" i="34"/>
  <c r="I34" i="55" s="1"/>
  <c r="I88" i="55" s="1"/>
  <c r="HN221" i="34"/>
  <c r="F34" i="55" s="1"/>
  <c r="F88" i="55" s="1"/>
  <c r="HM221" i="34"/>
  <c r="E34" i="55" s="1"/>
  <c r="E88" i="55" s="1"/>
  <c r="HU64" i="34"/>
  <c r="L29" i="55" s="1"/>
  <c r="L83" i="55" s="1"/>
  <c r="HO64" i="34"/>
  <c r="G29" i="55" s="1"/>
  <c r="G83" i="55" s="1"/>
  <c r="HK64" i="34"/>
  <c r="HQ64" i="34"/>
  <c r="I29" i="55" s="1"/>
  <c r="I83" i="55" s="1"/>
  <c r="HL64" i="34"/>
  <c r="D29" i="55" s="1"/>
  <c r="D83" i="55" s="1"/>
  <c r="HP64" i="34"/>
  <c r="H29" i="55" s="1"/>
  <c r="H83" i="55" s="1"/>
  <c r="HN64" i="34"/>
  <c r="F29" i="55" s="1"/>
  <c r="F83" i="55" s="1"/>
  <c r="HM64" i="34"/>
  <c r="E29" i="55" s="1"/>
  <c r="E83" i="55" s="1"/>
  <c r="HL33" i="34"/>
  <c r="HK33" i="34"/>
  <c r="HU33" i="34"/>
  <c r="HM33" i="34"/>
  <c r="HP33" i="34"/>
  <c r="HO33" i="34"/>
  <c r="HQ33" i="34"/>
  <c r="HN33" i="34"/>
  <c r="HL23" i="34"/>
  <c r="HQ23" i="34"/>
  <c r="HO23" i="34"/>
  <c r="HN23" i="34"/>
  <c r="HP23" i="34"/>
  <c r="HK23" i="34"/>
  <c r="HM23" i="34"/>
  <c r="HU23" i="34"/>
  <c r="HM65" i="34"/>
  <c r="HN65" i="34"/>
  <c r="HQ65" i="34"/>
  <c r="HL65" i="34"/>
  <c r="HU65" i="34"/>
  <c r="HP65" i="34"/>
  <c r="HO65" i="34"/>
  <c r="HK65" i="34"/>
  <c r="HM226" i="34"/>
  <c r="HU226" i="34"/>
  <c r="HQ226" i="34"/>
  <c r="HK226" i="34"/>
  <c r="HP226" i="34"/>
  <c r="HO226" i="34"/>
  <c r="HN226" i="34"/>
  <c r="HL226" i="34"/>
  <c r="HN224" i="34"/>
  <c r="HQ224" i="34"/>
  <c r="HO224" i="34"/>
  <c r="HL224" i="34"/>
  <c r="HM224" i="34"/>
  <c r="HU224" i="34"/>
  <c r="HK224" i="34"/>
  <c r="HP224" i="34"/>
  <c r="HM131" i="34"/>
  <c r="HL131" i="34"/>
  <c r="HQ131" i="34"/>
  <c r="HP131" i="34"/>
  <c r="HK131" i="34"/>
  <c r="HN131" i="34"/>
  <c r="HO131" i="34"/>
  <c r="HU131" i="34"/>
  <c r="HQ34" i="34"/>
  <c r="HK34" i="34"/>
  <c r="HM34" i="34"/>
  <c r="HN34" i="34"/>
  <c r="HU34" i="34"/>
  <c r="HP34" i="34"/>
  <c r="HO34" i="34"/>
  <c r="HL34" i="34"/>
  <c r="HU60" i="34"/>
  <c r="HK60" i="34"/>
  <c r="HP60" i="34"/>
  <c r="HN60" i="34"/>
  <c r="HM60" i="34"/>
  <c r="HL60" i="34"/>
  <c r="HQ60" i="34"/>
  <c r="HO60" i="34"/>
  <c r="HL225" i="34"/>
  <c r="HO225" i="34"/>
  <c r="HM225" i="34"/>
  <c r="HU225" i="34"/>
  <c r="HK225" i="34"/>
  <c r="HP225" i="34"/>
  <c r="HQ225" i="34"/>
  <c r="HN225" i="34"/>
  <c r="HK154" i="34"/>
  <c r="HP154" i="34"/>
  <c r="HU154" i="34"/>
  <c r="HO154" i="34"/>
  <c r="HQ154" i="34"/>
  <c r="HN154" i="34"/>
  <c r="HL154" i="34"/>
  <c r="HM154" i="34"/>
  <c r="HO223" i="34"/>
  <c r="HL223" i="34"/>
  <c r="HK223" i="34"/>
  <c r="HN223" i="34"/>
  <c r="HM223" i="34"/>
  <c r="HQ223" i="34"/>
  <c r="HP223" i="34"/>
  <c r="HU223" i="34"/>
  <c r="HM166" i="34"/>
  <c r="HK166" i="34"/>
  <c r="HQ166" i="34"/>
  <c r="HN166" i="34"/>
  <c r="HP166" i="34"/>
  <c r="HO166" i="34"/>
  <c r="HU166" i="34"/>
  <c r="HL166" i="34"/>
  <c r="HQ19" i="34"/>
  <c r="HP19" i="34"/>
  <c r="HO19" i="34"/>
  <c r="HU19" i="34"/>
  <c r="HM19" i="34"/>
  <c r="HL19" i="34"/>
  <c r="HK19" i="34"/>
  <c r="HN19" i="34"/>
  <c r="HL22" i="34"/>
  <c r="HO22" i="34"/>
  <c r="HN22" i="34"/>
  <c r="HP22" i="34"/>
  <c r="HQ22" i="34"/>
  <c r="HU22" i="34"/>
  <c r="HM22" i="34"/>
  <c r="HK22" i="34"/>
  <c r="HL99" i="34"/>
  <c r="HQ99" i="34"/>
  <c r="HO99" i="34"/>
  <c r="HM99" i="34"/>
  <c r="HN99" i="34"/>
  <c r="HP99" i="34"/>
  <c r="HK99" i="34"/>
  <c r="HU99" i="34"/>
  <c r="HQ14" i="34"/>
  <c r="HU14" i="34"/>
  <c r="HM14" i="34"/>
  <c r="HK14" i="34"/>
  <c r="HO14" i="34"/>
  <c r="HL14" i="34"/>
  <c r="HN14" i="34"/>
  <c r="HP14" i="34"/>
  <c r="HP155" i="34"/>
  <c r="HQ155" i="34"/>
  <c r="HU155" i="34"/>
  <c r="HL155" i="34"/>
  <c r="HM155" i="34"/>
  <c r="HO155" i="34"/>
  <c r="HK155" i="34"/>
  <c r="HN155" i="34"/>
  <c r="HK133" i="34"/>
  <c r="HO133" i="34"/>
  <c r="HU133" i="34"/>
  <c r="HQ133" i="34"/>
  <c r="HL133" i="34"/>
  <c r="HM133" i="34"/>
  <c r="HN133" i="34"/>
  <c r="HP133" i="34"/>
  <c r="HU190" i="34"/>
  <c r="HO190" i="34"/>
  <c r="HL190" i="34"/>
  <c r="HP190" i="34"/>
  <c r="HN190" i="34"/>
  <c r="HK190" i="34"/>
  <c r="HQ190" i="34"/>
  <c r="HM190" i="34"/>
  <c r="HQ153" i="34"/>
  <c r="HM153" i="34"/>
  <c r="HU153" i="34"/>
  <c r="HK153" i="34"/>
  <c r="HL153" i="34"/>
  <c r="HP153" i="34"/>
  <c r="HO153" i="34"/>
  <c r="HN153" i="34"/>
  <c r="HL189" i="34"/>
  <c r="HQ189" i="34"/>
  <c r="HN189" i="34"/>
  <c r="HK189" i="34"/>
  <c r="HO189" i="34"/>
  <c r="HM189" i="34"/>
  <c r="HP189" i="34"/>
  <c r="HU189" i="34"/>
  <c r="HQ37" i="34"/>
  <c r="HU37" i="34"/>
  <c r="HO37" i="34"/>
  <c r="HN37" i="34"/>
  <c r="HL37" i="34"/>
  <c r="HP37" i="34"/>
  <c r="HM37" i="34"/>
  <c r="HK37" i="34"/>
  <c r="HM16" i="34"/>
  <c r="HK16" i="34"/>
  <c r="HL16" i="34"/>
  <c r="HQ16" i="34"/>
  <c r="HO16" i="34"/>
  <c r="HU16" i="34"/>
  <c r="HP16" i="34"/>
  <c r="HN16" i="34"/>
  <c r="HU203" i="34"/>
  <c r="HK203" i="34"/>
  <c r="HN203" i="34"/>
  <c r="HM203" i="34"/>
  <c r="HL203" i="34"/>
  <c r="HO203" i="34"/>
  <c r="HQ203" i="34"/>
  <c r="HP203" i="34"/>
  <c r="HO201" i="34"/>
  <c r="HU201" i="34"/>
  <c r="HL201" i="34"/>
  <c r="HP201" i="34"/>
  <c r="HM201" i="34"/>
  <c r="HQ201" i="34"/>
  <c r="HK201" i="34"/>
  <c r="HN201" i="34"/>
  <c r="HK237" i="34"/>
  <c r="HU237" i="34"/>
  <c r="HL237" i="34"/>
  <c r="HM237" i="34"/>
  <c r="HP237" i="34"/>
  <c r="HN237" i="34"/>
  <c r="HQ237" i="34"/>
  <c r="HO237" i="34"/>
  <c r="HO40" i="34"/>
  <c r="HP40" i="34"/>
  <c r="HK40" i="34"/>
  <c r="HU40" i="34"/>
  <c r="HQ40" i="34"/>
  <c r="HL40" i="34"/>
  <c r="HN40" i="34"/>
  <c r="HM40" i="34"/>
  <c r="I32" i="5"/>
  <c r="I33" i="5" s="1"/>
  <c r="J31" i="5"/>
  <c r="HU188" i="34"/>
  <c r="HM188" i="34"/>
  <c r="HN188" i="34"/>
  <c r="HQ188" i="34"/>
  <c r="HP188" i="34"/>
  <c r="HK188" i="34"/>
  <c r="HO188" i="34"/>
  <c r="HL188" i="34"/>
  <c r="HK222" i="34"/>
  <c r="HU222" i="34"/>
  <c r="HL222" i="34"/>
  <c r="HQ222" i="34"/>
  <c r="HO222" i="34"/>
  <c r="HP222" i="34"/>
  <c r="HN222" i="34"/>
  <c r="HM222" i="34"/>
  <c r="GA170" i="34" a="1"/>
  <c r="GA170" i="34" s="1"/>
  <c r="GI170" i="34" s="1" a="1"/>
  <c r="GI170" i="34" s="1"/>
  <c r="GA32" i="34" a="1"/>
  <c r="GA32" i="34" s="1"/>
  <c r="GI32" i="34" s="1" a="1"/>
  <c r="GI32" i="34" s="1"/>
  <c r="GA72" i="34" a="1"/>
  <c r="GA72" i="34" s="1"/>
  <c r="GI72" i="34" s="1" a="1"/>
  <c r="GI72" i="34" s="1"/>
  <c r="GA151" i="34" a="1"/>
  <c r="GA151" i="34" s="1"/>
  <c r="GI151" i="34" s="1" a="1"/>
  <c r="GI151" i="34" s="1"/>
  <c r="GA113" i="34" a="1"/>
  <c r="GA113" i="34" s="1"/>
  <c r="GI113" i="34" s="1" a="1"/>
  <c r="GI113" i="34" s="1"/>
  <c r="GA14" i="42" a="1"/>
  <c r="GA14" i="42" s="1"/>
  <c r="GI14" i="42" s="1" a="1"/>
  <c r="GI14" i="42" s="1"/>
  <c r="GA80" i="34" a="1"/>
  <c r="GA80" i="34" s="1"/>
  <c r="GI80" i="34" s="1" a="1"/>
  <c r="GI80" i="34" s="1"/>
  <c r="GA157" i="34" a="1"/>
  <c r="GA157" i="34" s="1"/>
  <c r="GI157" i="34" s="1" a="1"/>
  <c r="GI157" i="34" s="1"/>
  <c r="GA122" i="34" a="1"/>
  <c r="GA122" i="34" s="1"/>
  <c r="GI122" i="34" s="1" a="1"/>
  <c r="GI122" i="34" s="1"/>
  <c r="GA40" i="34" a="1"/>
  <c r="GA40" i="34" s="1"/>
  <c r="GI40" i="34" s="1" a="1"/>
  <c r="GI40" i="34" s="1"/>
  <c r="GA190" i="34" a="1"/>
  <c r="GA190" i="34" s="1"/>
  <c r="GI190" i="34" s="1" a="1"/>
  <c r="GI190" i="34" s="1"/>
  <c r="GA51" i="34" a="1"/>
  <c r="GA51" i="34" s="1"/>
  <c r="GI51" i="34" s="1" a="1"/>
  <c r="GI51" i="34" s="1"/>
  <c r="GA137" i="34" a="1"/>
  <c r="GA137" i="34" s="1"/>
  <c r="GI137" i="34" s="1" a="1"/>
  <c r="GI137" i="34" s="1"/>
  <c r="GA77" i="34" a="1"/>
  <c r="GA77" i="34" s="1"/>
  <c r="GI77" i="34" s="1" a="1"/>
  <c r="GI77" i="34" s="1"/>
  <c r="GA161" i="34" a="1"/>
  <c r="GA161" i="34" s="1"/>
  <c r="GI161" i="34" s="1" a="1"/>
  <c r="GI161" i="34" s="1"/>
  <c r="GA90" i="34" a="1"/>
  <c r="GA90" i="34" s="1"/>
  <c r="GI90" i="34" s="1" a="1"/>
  <c r="GI90" i="34" s="1"/>
  <c r="GA34" i="34" a="1"/>
  <c r="GA34" i="34" s="1"/>
  <c r="GI34" i="34" s="1" a="1"/>
  <c r="GI34" i="34" s="1"/>
  <c r="GA37" i="34" a="1"/>
  <c r="GA37" i="34" s="1"/>
  <c r="GI37" i="34" s="1" a="1"/>
  <c r="GI37" i="34" s="1"/>
  <c r="GA44" i="34" a="1"/>
  <c r="GA44" i="34" s="1"/>
  <c r="GI44" i="34" s="1" a="1"/>
  <c r="GI44" i="34" s="1"/>
  <c r="GA228" i="34" a="1"/>
  <c r="GA228" i="34" s="1"/>
  <c r="GI228" i="34" s="1" a="1"/>
  <c r="GI228" i="34" s="1"/>
  <c r="GA212" i="34" a="1"/>
  <c r="GA212" i="34" s="1"/>
  <c r="GI212" i="34" s="1" a="1"/>
  <c r="GI212" i="34" s="1"/>
  <c r="GA93" i="34" a="1"/>
  <c r="GA93" i="34" s="1"/>
  <c r="GI93" i="34" s="1" a="1"/>
  <c r="GI93" i="34" s="1"/>
  <c r="GA42" i="34" a="1"/>
  <c r="GA42" i="34" s="1"/>
  <c r="GI42" i="34" s="1" a="1"/>
  <c r="GI42" i="34" s="1"/>
  <c r="GA36" i="34" a="1"/>
  <c r="GA36" i="34" s="1"/>
  <c r="GI36" i="34" s="1" a="1"/>
  <c r="GI36" i="34" s="1"/>
  <c r="GA226" i="34" a="1"/>
  <c r="GA226" i="34" s="1"/>
  <c r="GI226" i="34" s="1" a="1"/>
  <c r="GI226" i="34" s="1"/>
  <c r="GA187" i="34" a="1"/>
  <c r="GA187" i="34" s="1"/>
  <c r="GI187" i="34" s="1" a="1"/>
  <c r="GI187" i="34" s="1"/>
  <c r="GA54" i="34" a="1"/>
  <c r="GA54" i="34" s="1"/>
  <c r="GI54" i="34" s="1" a="1"/>
  <c r="GI54" i="34" s="1"/>
  <c r="GA47" i="34" a="1"/>
  <c r="GA47" i="34" s="1"/>
  <c r="GI47" i="34" s="1" a="1"/>
  <c r="GI47" i="34" s="1"/>
  <c r="GA50" i="34" a="1"/>
  <c r="GA50" i="34" s="1"/>
  <c r="GI50" i="34" s="1" a="1"/>
  <c r="GI50" i="34" s="1"/>
  <c r="GA97" i="34" a="1"/>
  <c r="GA97" i="34" s="1"/>
  <c r="GI97" i="34" s="1" a="1"/>
  <c r="GI97" i="34" s="1"/>
  <c r="GA255" i="34" a="1"/>
  <c r="GA255" i="34" s="1"/>
  <c r="GI255" i="34" s="1" a="1"/>
  <c r="GI255" i="34" s="1"/>
  <c r="GA62" i="34" a="1"/>
  <c r="GA62" i="34" s="1"/>
  <c r="GI62" i="34" s="1" a="1"/>
  <c r="GI62" i="34" s="1"/>
  <c r="GA114" i="34" a="1"/>
  <c r="GA114" i="34" s="1"/>
  <c r="GI114" i="34" s="1" a="1"/>
  <c r="GI114" i="34" s="1"/>
  <c r="GA9" i="34" a="1"/>
  <c r="GA9" i="34" s="1"/>
  <c r="GI9" i="34" s="1" a="1"/>
  <c r="GI9" i="34" s="1"/>
  <c r="GA14" i="34" a="1"/>
  <c r="GA14" i="34" s="1"/>
  <c r="GI14" i="34" s="1" a="1"/>
  <c r="GI14" i="34" s="1"/>
  <c r="GA100" i="34" a="1"/>
  <c r="GA100" i="34" s="1"/>
  <c r="GI100" i="34" s="1" a="1"/>
  <c r="GI100" i="34" s="1"/>
  <c r="GA27" i="34" a="1"/>
  <c r="GA27" i="34" s="1"/>
  <c r="GI27" i="34" s="1" a="1"/>
  <c r="GI27" i="34" s="1"/>
  <c r="GA104" i="34" a="1"/>
  <c r="GA104" i="34" s="1"/>
  <c r="GI104" i="34" s="1" a="1"/>
  <c r="GI104" i="34" s="1"/>
  <c r="GA194" i="34" a="1"/>
  <c r="GA194" i="34" s="1"/>
  <c r="GI194" i="34" s="1" a="1"/>
  <c r="GI194" i="34" s="1"/>
  <c r="GA232" i="34" a="1"/>
  <c r="GA232" i="34" s="1"/>
  <c r="GI232" i="34" s="1" a="1"/>
  <c r="GI232" i="34" s="1"/>
  <c r="GA163" i="34" a="1"/>
  <c r="GA163" i="34" s="1"/>
  <c r="GI163" i="34" s="1" a="1"/>
  <c r="GI163" i="34" s="1"/>
  <c r="GA70" i="34" a="1"/>
  <c r="GA70" i="34" s="1"/>
  <c r="GI70" i="34" s="1" a="1"/>
  <c r="GI70" i="34" s="1"/>
  <c r="GA133" i="34" a="1"/>
  <c r="GA133" i="34" s="1"/>
  <c r="GI133" i="34" s="1" a="1"/>
  <c r="GI133" i="34" s="1"/>
  <c r="GA29" i="42" a="1"/>
  <c r="GA29" i="42" s="1"/>
  <c r="GI29" i="42" s="1" a="1"/>
  <c r="GI29" i="42" s="1"/>
  <c r="GA115" i="34" a="1"/>
  <c r="GA115" i="34" s="1"/>
  <c r="GI115" i="34" s="1" a="1"/>
  <c r="GI115" i="34" s="1"/>
  <c r="GA110" i="34" a="1"/>
  <c r="GA110" i="34" s="1"/>
  <c r="GI110" i="34" s="1" a="1"/>
  <c r="GI110" i="34" s="1"/>
  <c r="GA31" i="34" a="1"/>
  <c r="GA31" i="34" s="1"/>
  <c r="GI31" i="34" s="1" a="1"/>
  <c r="GI31" i="34" s="1"/>
  <c r="GA30" i="42" a="1"/>
  <c r="GA30" i="42" s="1"/>
  <c r="GI30" i="42" s="1" a="1"/>
  <c r="GI30" i="42" s="1"/>
  <c r="GA188" i="34" a="1"/>
  <c r="GA188" i="34" s="1"/>
  <c r="GI188" i="34" s="1" a="1"/>
  <c r="GI188" i="34" s="1"/>
  <c r="GA94" i="34" a="1"/>
  <c r="GA94" i="34" s="1"/>
  <c r="GI94" i="34" s="1" a="1"/>
  <c r="GI94" i="34" s="1"/>
  <c r="GA26" i="34" a="1"/>
  <c r="GA26" i="34" s="1"/>
  <c r="GI26" i="34" s="1" a="1"/>
  <c r="GI26" i="34" s="1"/>
  <c r="GA105" i="34" a="1"/>
  <c r="GA105" i="34" s="1"/>
  <c r="GI105" i="34" s="1" a="1"/>
  <c r="GI105" i="34" s="1"/>
  <c r="GA75" i="34" a="1"/>
  <c r="GA75" i="34" s="1"/>
  <c r="GI75" i="34" s="1" a="1"/>
  <c r="GI75" i="34" s="1"/>
  <c r="GA250" i="34" a="1"/>
  <c r="GA250" i="34" s="1"/>
  <c r="GI250" i="34" s="1" a="1"/>
  <c r="GI250" i="34" s="1"/>
  <c r="GA245" i="34" a="1"/>
  <c r="GA245" i="34" s="1"/>
  <c r="GI245" i="34" s="1" a="1"/>
  <c r="GI245" i="34" s="1"/>
  <c r="GA148" i="34" a="1"/>
  <c r="GA148" i="34" s="1"/>
  <c r="GI148" i="34" s="1" a="1"/>
  <c r="GI148" i="34" s="1"/>
  <c r="GA202" i="34" a="1"/>
  <c r="GA202" i="34" s="1"/>
  <c r="GI202" i="34" s="1" a="1"/>
  <c r="GI202" i="34" s="1"/>
  <c r="GA53" i="34" a="1"/>
  <c r="GA53" i="34" s="1"/>
  <c r="GI53" i="34" s="1" a="1"/>
  <c r="GI53" i="34" s="1"/>
  <c r="GA229" i="34" a="1"/>
  <c r="GA229" i="34" s="1"/>
  <c r="GI229" i="34" s="1" a="1"/>
  <c r="GI229" i="34" s="1"/>
  <c r="GA63" i="34" a="1"/>
  <c r="GA63" i="34" s="1"/>
  <c r="GI63" i="34" s="1" a="1"/>
  <c r="GI63" i="34" s="1"/>
  <c r="GA76" i="34" a="1"/>
  <c r="GA76" i="34" s="1"/>
  <c r="GI76" i="34" s="1" a="1"/>
  <c r="GI76" i="34" s="1"/>
  <c r="GA120" i="34" a="1"/>
  <c r="GA120" i="34" s="1"/>
  <c r="GI120" i="34" s="1" a="1"/>
  <c r="GI120" i="34" s="1"/>
  <c r="GA21" i="34" a="1"/>
  <c r="GA21" i="34" s="1"/>
  <c r="GI21" i="34" s="1" a="1"/>
  <c r="GI21" i="34" s="1"/>
  <c r="GA242" i="34" a="1"/>
  <c r="GA242" i="34" s="1"/>
  <c r="GI242" i="34" s="1" a="1"/>
  <c r="GI242" i="34" s="1"/>
  <c r="GA204" i="34" a="1"/>
  <c r="GA204" i="34" s="1"/>
  <c r="GI204" i="34" s="1" a="1"/>
  <c r="GI204" i="34" s="1"/>
  <c r="GA199" i="34" a="1"/>
  <c r="GA199" i="34" s="1"/>
  <c r="GI199" i="34" s="1" a="1"/>
  <c r="GI199" i="34" s="1"/>
  <c r="GA192" i="34" a="1"/>
  <c r="GA192" i="34" s="1"/>
  <c r="GI192" i="34" s="1" a="1"/>
  <c r="GI192" i="34" s="1"/>
  <c r="GA130" i="34" a="1"/>
  <c r="GA130" i="34" s="1"/>
  <c r="GI130" i="34" s="1" a="1"/>
  <c r="GI130" i="34" s="1"/>
  <c r="GA69" i="34" a="1"/>
  <c r="GA69" i="34" s="1"/>
  <c r="GI69" i="34" s="1" a="1"/>
  <c r="GI69" i="34" s="1"/>
  <c r="GA57" i="34" a="1"/>
  <c r="GA57" i="34" s="1"/>
  <c r="GI57" i="34" s="1" a="1"/>
  <c r="GI57" i="34" s="1"/>
  <c r="GA17" i="42" a="1"/>
  <c r="GA17" i="42" s="1"/>
  <c r="GI17" i="42" s="1" a="1"/>
  <c r="GI17" i="42" s="1"/>
  <c r="GA89" i="34" a="1"/>
  <c r="GA89" i="34" s="1"/>
  <c r="GI89" i="34" s="1" a="1"/>
  <c r="GI89" i="34" s="1"/>
  <c r="GA68" i="34" a="1"/>
  <c r="GA68" i="34" s="1"/>
  <c r="GI68" i="34" s="1" a="1"/>
  <c r="GI68" i="34" s="1"/>
  <c r="GA99" i="34" a="1"/>
  <c r="GA99" i="34" s="1"/>
  <c r="GI99" i="34" s="1" a="1"/>
  <c r="GI99" i="34" s="1"/>
  <c r="GA45" i="34" a="1"/>
  <c r="GA45" i="34" s="1"/>
  <c r="GI45" i="34" s="1" a="1"/>
  <c r="GI45" i="34" s="1"/>
  <c r="GA208" i="34" a="1"/>
  <c r="GA208" i="34" s="1"/>
  <c r="GI208" i="34" s="1" a="1"/>
  <c r="GI208" i="34" s="1"/>
  <c r="GA198" i="34" a="1"/>
  <c r="GA198" i="34" s="1"/>
  <c r="GI198" i="34" s="1" a="1"/>
  <c r="GI198" i="34" s="1"/>
  <c r="GA107" i="34" a="1"/>
  <c r="GA107" i="34" s="1"/>
  <c r="GI107" i="34" s="1" a="1"/>
  <c r="GI107" i="34" s="1"/>
  <c r="GA24" i="42" a="1"/>
  <c r="GA24" i="42" s="1"/>
  <c r="GI24" i="42" s="1" a="1"/>
  <c r="GI24" i="42" s="1"/>
  <c r="GA103" i="34" a="1"/>
  <c r="GA103" i="34" s="1"/>
  <c r="GI103" i="34" s="1" a="1"/>
  <c r="GI103" i="34" s="1"/>
  <c r="GA159" i="34" a="1"/>
  <c r="GA159" i="34" s="1"/>
  <c r="GI159" i="34" s="1" a="1"/>
  <c r="GI159" i="34" s="1"/>
  <c r="GA220" i="34" a="1"/>
  <c r="GA220" i="34" s="1"/>
  <c r="GI220" i="34" s="1" a="1"/>
  <c r="GI220" i="34" s="1"/>
  <c r="GA214" i="34" a="1"/>
  <c r="GA214" i="34" s="1"/>
  <c r="GI214" i="34" s="1" a="1"/>
  <c r="GI214" i="34" s="1"/>
  <c r="GA60" i="34" a="1"/>
  <c r="GA60" i="34" s="1"/>
  <c r="GI60" i="34" s="1" a="1"/>
  <c r="GI60" i="34" s="1"/>
  <c r="GA11" i="34" a="1"/>
  <c r="GA11" i="34" s="1"/>
  <c r="GI11" i="34" s="1" a="1"/>
  <c r="GI11" i="34" s="1"/>
  <c r="GA211" i="34" a="1"/>
  <c r="GA211" i="34" s="1"/>
  <c r="GI211" i="34" s="1" a="1"/>
  <c r="GI211" i="34" s="1"/>
  <c r="GA155" i="34" a="1"/>
  <c r="GA155" i="34" s="1"/>
  <c r="GI155" i="34" s="1" a="1"/>
  <c r="GI155" i="34" s="1"/>
  <c r="GA18" i="42" a="1"/>
  <c r="GA18" i="42" s="1"/>
  <c r="GI18" i="42" s="1" a="1"/>
  <c r="GI18" i="42" s="1"/>
  <c r="GA225" i="34" a="1"/>
  <c r="GA225" i="34" s="1"/>
  <c r="GI225" i="34" s="1" a="1"/>
  <c r="GI225" i="34" s="1"/>
  <c r="GA213" i="34" a="1"/>
  <c r="GA213" i="34" s="1"/>
  <c r="GI213" i="34" s="1" a="1"/>
  <c r="GI213" i="34" s="1"/>
  <c r="GA140" i="34" a="1"/>
  <c r="GA140" i="34" s="1"/>
  <c r="GI140" i="34" s="1" a="1"/>
  <c r="GI140" i="34" s="1"/>
  <c r="GA197" i="34" a="1"/>
  <c r="GA197" i="34" s="1"/>
  <c r="GI197" i="34" s="1" a="1"/>
  <c r="GI197" i="34" s="1"/>
  <c r="GA46" i="34" a="1"/>
  <c r="GA46" i="34" s="1"/>
  <c r="GI46" i="34" s="1" a="1"/>
  <c r="GI46" i="34" s="1"/>
  <c r="GA162" i="34" a="1"/>
  <c r="GA162" i="34" s="1"/>
  <c r="GI162" i="34" s="1" a="1"/>
  <c r="GI162" i="34" s="1"/>
  <c r="GA13" i="34" a="1"/>
  <c r="GA13" i="34" s="1"/>
  <c r="GI13" i="34" s="1" a="1"/>
  <c r="GI13" i="34" s="1"/>
  <c r="GA23" i="42" a="1"/>
  <c r="GA23" i="42" s="1"/>
  <c r="GI23" i="42" s="1" a="1"/>
  <c r="GI23" i="42" s="1"/>
  <c r="GA191" i="34" a="1"/>
  <c r="GA191" i="34" s="1"/>
  <c r="GI191" i="34" s="1" a="1"/>
  <c r="GI191" i="34" s="1"/>
  <c r="GA20" i="42" a="1"/>
  <c r="GA20" i="42" s="1"/>
  <c r="GI20" i="42" s="1" a="1"/>
  <c r="GI20" i="42" s="1"/>
  <c r="GA30" i="34" a="1"/>
  <c r="GA30" i="34" s="1"/>
  <c r="GI30" i="34" s="1" a="1"/>
  <c r="GI30" i="34" s="1"/>
  <c r="GA224" i="34" a="1"/>
  <c r="GA224" i="34" s="1"/>
  <c r="GI224" i="34" s="1" a="1"/>
  <c r="GI224" i="34" s="1"/>
  <c r="GA146" i="34" a="1"/>
  <c r="GA146" i="34" s="1"/>
  <c r="GI146" i="34" s="1" a="1"/>
  <c r="GI146" i="34" s="1"/>
  <c r="GA33" i="34" a="1"/>
  <c r="GA33" i="34" s="1"/>
  <c r="GI33" i="34" s="1" a="1"/>
  <c r="GI33" i="34" s="1"/>
  <c r="GA209" i="34" a="1"/>
  <c r="GA209" i="34" s="1"/>
  <c r="GI209" i="34" s="1" a="1"/>
  <c r="GI209" i="34" s="1"/>
  <c r="GA78" i="34" a="1"/>
  <c r="GA78" i="34" s="1"/>
  <c r="GI78" i="34" s="1" a="1"/>
  <c r="GI78" i="34" s="1"/>
  <c r="GA74" i="34" a="1"/>
  <c r="GA74" i="34" s="1"/>
  <c r="GI74" i="34" s="1" a="1"/>
  <c r="GI74" i="34" s="1"/>
  <c r="GA158" i="34" a="1"/>
  <c r="GA158" i="34" s="1"/>
  <c r="GI158" i="34" s="1" a="1"/>
  <c r="GI158" i="34" s="1"/>
  <c r="GA48" i="34" a="1"/>
  <c r="GA48" i="34" s="1"/>
  <c r="GI48" i="34" s="1" a="1"/>
  <c r="GI48" i="34" s="1"/>
  <c r="GA128" i="34" a="1"/>
  <c r="GA128" i="34" s="1"/>
  <c r="GI128" i="34" s="1" a="1"/>
  <c r="GI128" i="34" s="1"/>
  <c r="GA66" i="34" a="1"/>
  <c r="GA66" i="34" s="1"/>
  <c r="GI66" i="34" s="1" a="1"/>
  <c r="GI66" i="34" s="1"/>
  <c r="GA145" i="34" a="1"/>
  <c r="GA145" i="34" s="1"/>
  <c r="GI145" i="34" s="1" a="1"/>
  <c r="GI145" i="34" s="1"/>
  <c r="GA73" i="34" a="1"/>
  <c r="GA73" i="34" s="1"/>
  <c r="GI73" i="34" s="1" a="1"/>
  <c r="GI73" i="34" s="1"/>
  <c r="GA134" i="34" a="1"/>
  <c r="GA134" i="34" s="1"/>
  <c r="GI134" i="34" s="1" a="1"/>
  <c r="GI134" i="34" s="1"/>
  <c r="GA39" i="34" a="1"/>
  <c r="GA39" i="34" s="1"/>
  <c r="GI39" i="34" s="1" a="1"/>
  <c r="GI39" i="34" s="1"/>
  <c r="GA165" i="34" a="1"/>
  <c r="GA165" i="34" s="1"/>
  <c r="GI165" i="34" s="1" a="1"/>
  <c r="GI165" i="34" s="1"/>
  <c r="GA109" i="34" a="1"/>
  <c r="GA109" i="34" s="1"/>
  <c r="GI109" i="34" s="1" a="1"/>
  <c r="GI109" i="34" s="1"/>
  <c r="GA205" i="34" a="1"/>
  <c r="GA205" i="34" s="1"/>
  <c r="GI205" i="34" s="1" a="1"/>
  <c r="GI205" i="34" s="1"/>
  <c r="GA118" i="34" a="1"/>
  <c r="GA118" i="34" s="1"/>
  <c r="GI118" i="34" s="1" a="1"/>
  <c r="GI118" i="34" s="1"/>
  <c r="GA127" i="34" a="1"/>
  <c r="GA127" i="34" s="1"/>
  <c r="GI127" i="34" s="1" a="1"/>
  <c r="GI127" i="34" s="1"/>
  <c r="GA174" i="34" a="1"/>
  <c r="GA174" i="34" s="1"/>
  <c r="GI174" i="34" s="1" a="1"/>
  <c r="GI174" i="34" s="1"/>
  <c r="GA91" i="34" a="1"/>
  <c r="GA91" i="34" s="1"/>
  <c r="GI91" i="34" s="1" a="1"/>
  <c r="GI91" i="34" s="1"/>
  <c r="GA12" i="34" a="1"/>
  <c r="GA12" i="34" s="1"/>
  <c r="GI12" i="34" s="1" a="1"/>
  <c r="GI12" i="34" s="1"/>
  <c r="GA178" i="34" a="1"/>
  <c r="GA178" i="34" s="1"/>
  <c r="GI178" i="34" s="1" a="1"/>
  <c r="GI178" i="34" s="1"/>
  <c r="GA22" i="34" a="1"/>
  <c r="GA22" i="34" s="1"/>
  <c r="GI22" i="34" s="1" a="1"/>
  <c r="GI22" i="34" s="1"/>
  <c r="GA86" i="34" a="1"/>
  <c r="GA86" i="34" s="1"/>
  <c r="GI86" i="34" s="1" a="1"/>
  <c r="GI86" i="34" s="1"/>
  <c r="GA8" i="34" a="1"/>
  <c r="GA8" i="34" s="1"/>
  <c r="GI8" i="34" s="1" a="1"/>
  <c r="GI8" i="34" s="1"/>
  <c r="GA19" i="42" a="1"/>
  <c r="GA19" i="42" s="1"/>
  <c r="GI19" i="42" s="1" a="1"/>
  <c r="GI19" i="42" s="1"/>
  <c r="GA28" i="42" a="1"/>
  <c r="GA28" i="42" s="1"/>
  <c r="GI28" i="42" s="1" a="1"/>
  <c r="GI28" i="42" s="1"/>
  <c r="GA189" i="34" a="1"/>
  <c r="GA189" i="34" s="1"/>
  <c r="GI189" i="34" s="1" a="1"/>
  <c r="GI189" i="34" s="1"/>
  <c r="GA243" i="34" a="1"/>
  <c r="GA243" i="34" s="1"/>
  <c r="GI243" i="34" s="1" a="1"/>
  <c r="GI243" i="34" s="1"/>
  <c r="GA193" i="34" a="1"/>
  <c r="GA193" i="34" s="1"/>
  <c r="GI193" i="34" s="1" a="1"/>
  <c r="GI193" i="34" s="1"/>
  <c r="GA186" i="34" a="1"/>
  <c r="GA186" i="34" s="1"/>
  <c r="GI186" i="34" s="1" a="1"/>
  <c r="GI186" i="34" s="1"/>
  <c r="GA203" i="34" a="1"/>
  <c r="GA203" i="34" s="1"/>
  <c r="GI203" i="34" s="1" a="1"/>
  <c r="GI203" i="34" s="1"/>
  <c r="GA182" i="34" a="1"/>
  <c r="GA182" i="34" s="1"/>
  <c r="GI182" i="34" s="1" a="1"/>
  <c r="GI182" i="34" s="1"/>
  <c r="GA141" i="34" a="1"/>
  <c r="GA141" i="34" s="1"/>
  <c r="GI141" i="34" s="1" a="1"/>
  <c r="GI141" i="34" s="1"/>
  <c r="GA223" i="34" a="1"/>
  <c r="GA223" i="34" s="1"/>
  <c r="GI223" i="34" s="1" a="1"/>
  <c r="GI223" i="34" s="1"/>
  <c r="GA253" i="34" a="1"/>
  <c r="GA253" i="34" s="1"/>
  <c r="GI253" i="34" s="1" a="1"/>
  <c r="GI253" i="34" s="1"/>
  <c r="GA210" i="34" a="1"/>
  <c r="GA210" i="34" s="1"/>
  <c r="GI210" i="34" s="1" a="1"/>
  <c r="GI210" i="34" s="1"/>
  <c r="GA240" i="34" a="1"/>
  <c r="GA240" i="34" s="1"/>
  <c r="GI240" i="34" s="1" a="1"/>
  <c r="GI240" i="34" s="1"/>
  <c r="GA71" i="34" a="1"/>
  <c r="GA71" i="34" s="1"/>
  <c r="GI71" i="34" s="1" a="1"/>
  <c r="GI71" i="34" s="1"/>
  <c r="GA98" i="34" a="1"/>
  <c r="GA98" i="34" s="1"/>
  <c r="GI98" i="34" s="1" a="1"/>
  <c r="GI98" i="34" s="1"/>
  <c r="GA27" i="42" a="1"/>
  <c r="GA27" i="42" s="1"/>
  <c r="GI27" i="42" s="1" a="1"/>
  <c r="GI27" i="42" s="1"/>
  <c r="GA236" i="34" a="1"/>
  <c r="GA236" i="34" s="1"/>
  <c r="GI236" i="34" s="1" a="1"/>
  <c r="GI236" i="34" s="1"/>
  <c r="GA249" i="34" a="1"/>
  <c r="GA249" i="34" s="1"/>
  <c r="GI249" i="34" s="1" a="1"/>
  <c r="GI249" i="34" s="1"/>
  <c r="GA12" i="42" a="1"/>
  <c r="GA12" i="42" s="1"/>
  <c r="GI12" i="42" s="1" a="1"/>
  <c r="GI12" i="42" s="1"/>
  <c r="GA13" i="41" a="1"/>
  <c r="GA13" i="41" s="1"/>
  <c r="GI13" i="41" s="1" a="1"/>
  <c r="GI13" i="41" s="1"/>
  <c r="GA147" i="34" a="1"/>
  <c r="GA147" i="34" s="1"/>
  <c r="GI147" i="34" s="1" a="1"/>
  <c r="GI147" i="34" s="1"/>
  <c r="GA49" i="34" a="1"/>
  <c r="GA49" i="34" s="1"/>
  <c r="GI49" i="34" s="1" a="1"/>
  <c r="GI49" i="34" s="1"/>
  <c r="GA241" i="34" a="1"/>
  <c r="GA241" i="34" s="1"/>
  <c r="GI241" i="34" s="1" a="1"/>
  <c r="GI241" i="34" s="1"/>
  <c r="GA29" i="34" a="1"/>
  <c r="GA29" i="34" s="1"/>
  <c r="GI29" i="34" s="1" a="1"/>
  <c r="GI29" i="34" s="1"/>
  <c r="GA34" i="42" a="1"/>
  <c r="GA34" i="42" s="1"/>
  <c r="GI34" i="42" s="1" a="1"/>
  <c r="GI34" i="42" s="1"/>
  <c r="GA85" i="34" a="1"/>
  <c r="GA85" i="34" s="1"/>
  <c r="GI85" i="34" s="1" a="1"/>
  <c r="GI85" i="34" s="1"/>
  <c r="GA101" i="34" a="1"/>
  <c r="GA101" i="34" s="1"/>
  <c r="GI101" i="34" s="1" a="1"/>
  <c r="GI101" i="34" s="1"/>
  <c r="GA168" i="34" a="1"/>
  <c r="GA168" i="34" s="1"/>
  <c r="GI168" i="34" s="1" a="1"/>
  <c r="GI168" i="34" s="1"/>
  <c r="GA221" i="34" a="1"/>
  <c r="GA221" i="34" s="1"/>
  <c r="GI221" i="34" s="1" a="1"/>
  <c r="GI221" i="34" s="1"/>
  <c r="GA20" i="34" a="1"/>
  <c r="GA20" i="34" s="1"/>
  <c r="GI20" i="34" s="1" a="1"/>
  <c r="GI20" i="34" s="1"/>
  <c r="GA8" i="41" a="1"/>
  <c r="GA8" i="41" s="1"/>
  <c r="GI8" i="41" s="1" a="1"/>
  <c r="GI8" i="41" s="1"/>
  <c r="GA200" i="34" a="1"/>
  <c r="GA200" i="34" s="1"/>
  <c r="GI200" i="34" s="1" a="1"/>
  <c r="GI200" i="34" s="1"/>
  <c r="GA56" i="34" a="1"/>
  <c r="GA56" i="34" s="1"/>
  <c r="GI56" i="34" s="1" a="1"/>
  <c r="GI56" i="34" s="1"/>
  <c r="GA139" i="34" a="1"/>
  <c r="GA139" i="34" s="1"/>
  <c r="GI139" i="34" s="1" a="1"/>
  <c r="GI139" i="34" s="1"/>
  <c r="GA84" i="34" a="1"/>
  <c r="GA84" i="34" s="1"/>
  <c r="GI84" i="34" s="1" a="1"/>
  <c r="GI84" i="34" s="1"/>
  <c r="GA23" i="34" a="1"/>
  <c r="GA23" i="34" s="1"/>
  <c r="GI23" i="34" s="1" a="1"/>
  <c r="GI23" i="34" s="1"/>
  <c r="GA17" i="34" a="1"/>
  <c r="GA17" i="34" s="1"/>
  <c r="GI17" i="34" s="1" a="1"/>
  <c r="GI17" i="34" s="1"/>
  <c r="GA218" i="34" a="1"/>
  <c r="GA218" i="34" s="1"/>
  <c r="GI218" i="34" s="1" a="1"/>
  <c r="GI218" i="34" s="1"/>
  <c r="GA112" i="34" a="1"/>
  <c r="GA112" i="34" s="1"/>
  <c r="GI112" i="34" s="1" a="1"/>
  <c r="GI112" i="34" s="1"/>
  <c r="GA153" i="34" a="1"/>
  <c r="GA153" i="34" s="1"/>
  <c r="GI153" i="34" s="1" a="1"/>
  <c r="GI153" i="34" s="1"/>
  <c r="GA238" i="34" a="1"/>
  <c r="GA238" i="34" s="1"/>
  <c r="GI238" i="34" s="1" a="1"/>
  <c r="GI238" i="34" s="1"/>
  <c r="GA254" i="34" a="1"/>
  <c r="GA254" i="34" s="1"/>
  <c r="GI254" i="34" s="1" a="1"/>
  <c r="GI254" i="34" s="1"/>
  <c r="GA59" i="34" a="1"/>
  <c r="GA59" i="34" s="1"/>
  <c r="GI59" i="34" s="1" a="1"/>
  <c r="GI59" i="34" s="1"/>
  <c r="GA131" i="34" a="1"/>
  <c r="GA131" i="34" s="1"/>
  <c r="GI131" i="34" s="1" a="1"/>
  <c r="GI131" i="34" s="1"/>
  <c r="GA18" i="34" a="1"/>
  <c r="GA18" i="34" s="1"/>
  <c r="GI18" i="34" s="1" a="1"/>
  <c r="GI18" i="34" s="1"/>
  <c r="GA55" i="34" a="1"/>
  <c r="GA55" i="34" s="1"/>
  <c r="GI55" i="34" s="1" a="1"/>
  <c r="GI55" i="34" s="1"/>
  <c r="GA244" i="34" a="1"/>
  <c r="GA244" i="34" s="1"/>
  <c r="GI244" i="34" s="1" a="1"/>
  <c r="GI244" i="34" s="1"/>
  <c r="GA175" i="34" a="1"/>
  <c r="GA175" i="34" s="1"/>
  <c r="GI175" i="34" s="1" a="1"/>
  <c r="GI175" i="34" s="1"/>
  <c r="GA10" i="42" a="1"/>
  <c r="GA10" i="42" s="1"/>
  <c r="GI10" i="42" s="1" a="1"/>
  <c r="GI10" i="42" s="1"/>
  <c r="GA92" i="34" a="1"/>
  <c r="GA92" i="34" s="1"/>
  <c r="GI92" i="34" s="1" a="1"/>
  <c r="GI92" i="34" s="1"/>
  <c r="GA95" i="34" a="1"/>
  <c r="GA95" i="34" s="1"/>
  <c r="GI95" i="34" s="1" a="1"/>
  <c r="GI95" i="34" s="1"/>
  <c r="GA183" i="34" a="1"/>
  <c r="GA183" i="34" s="1"/>
  <c r="GI183" i="34" s="1" a="1"/>
  <c r="GI183" i="34" s="1"/>
  <c r="GA150" i="34" a="1"/>
  <c r="GA150" i="34" s="1"/>
  <c r="GI150" i="34" s="1" a="1"/>
  <c r="GI150" i="34" s="1"/>
  <c r="GA41" i="34" a="1"/>
  <c r="GA41" i="34" s="1"/>
  <c r="GI41" i="34" s="1" a="1"/>
  <c r="GI41" i="34" s="1"/>
  <c r="GA16" i="34" a="1"/>
  <c r="GA16" i="34" s="1"/>
  <c r="GI16" i="34" s="1" a="1"/>
  <c r="GI16" i="34" s="1"/>
  <c r="GA108" i="34" a="1"/>
  <c r="GA108" i="34" s="1"/>
  <c r="GI108" i="34" s="1" a="1"/>
  <c r="GI108" i="34" s="1"/>
  <c r="GA12" i="41" a="1"/>
  <c r="GA12" i="41" s="1"/>
  <c r="GI12" i="41" s="1" a="1"/>
  <c r="GI12" i="41" s="1"/>
  <c r="GA9" i="41" a="1"/>
  <c r="GA9" i="41" s="1"/>
  <c r="GI9" i="41" s="1" a="1"/>
  <c r="GI9" i="41" s="1"/>
  <c r="GA35" i="34" a="1"/>
  <c r="GA35" i="34" s="1"/>
  <c r="GI35" i="34" s="1" a="1"/>
  <c r="GI35" i="34" s="1"/>
  <c r="GA180" i="34" a="1"/>
  <c r="GA180" i="34" s="1"/>
  <c r="GI180" i="34" s="1" a="1"/>
  <c r="GI180" i="34" s="1"/>
  <c r="GA16" i="42" a="1"/>
  <c r="GA16" i="42" s="1"/>
  <c r="GI16" i="42" s="1" a="1"/>
  <c r="GI16" i="42" s="1"/>
  <c r="GA132" i="34" a="1"/>
  <c r="GA132" i="34" s="1"/>
  <c r="GI132" i="34" s="1" a="1"/>
  <c r="GI132" i="34" s="1"/>
  <c r="GA125" i="34" a="1"/>
  <c r="GA125" i="34" s="1"/>
  <c r="GI125" i="34" s="1" a="1"/>
  <c r="GI125" i="34" s="1"/>
  <c r="GA88" i="34" a="1"/>
  <c r="GA88" i="34" s="1"/>
  <c r="GI88" i="34" s="1" a="1"/>
  <c r="GI88" i="34" s="1"/>
  <c r="GA206" i="34" a="1"/>
  <c r="GA206" i="34" s="1"/>
  <c r="GI206" i="34" s="1" a="1"/>
  <c r="GI206" i="34" s="1"/>
  <c r="GA11" i="41" a="1"/>
  <c r="GA11" i="41" s="1"/>
  <c r="GI11" i="41" s="1" a="1"/>
  <c r="GI11" i="41" s="1"/>
  <c r="GA171" i="34" a="1"/>
  <c r="GA171" i="34" s="1"/>
  <c r="GI171" i="34" s="1" a="1"/>
  <c r="GI171" i="34" s="1"/>
  <c r="GA126" i="34" a="1"/>
  <c r="GA126" i="34" s="1"/>
  <c r="GI126" i="34" s="1" a="1"/>
  <c r="GI126" i="34" s="1"/>
  <c r="GA184" i="34" a="1"/>
  <c r="GA184" i="34" s="1"/>
  <c r="GI184" i="34" s="1" a="1"/>
  <c r="GI184" i="34" s="1"/>
  <c r="GA251" i="34" a="1"/>
  <c r="GA251" i="34" s="1"/>
  <c r="GI251" i="34" s="1" a="1"/>
  <c r="GI251" i="34" s="1"/>
  <c r="GA25" i="42" a="1"/>
  <c r="GA25" i="42" s="1"/>
  <c r="GI25" i="42" s="1" a="1"/>
  <c r="GI25" i="42" s="1"/>
  <c r="GA239" i="34" a="1"/>
  <c r="GA239" i="34" s="1"/>
  <c r="GI239" i="34" s="1" a="1"/>
  <c r="GI239" i="34" s="1"/>
  <c r="GA124" i="34" a="1"/>
  <c r="GA124" i="34" s="1"/>
  <c r="GI124" i="34" s="1" a="1"/>
  <c r="GI124" i="34" s="1"/>
  <c r="GA82" i="34" a="1"/>
  <c r="GA82" i="34" s="1"/>
  <c r="GI82" i="34" s="1" a="1"/>
  <c r="GI82" i="34" s="1"/>
  <c r="GA154" i="34" a="1"/>
  <c r="GA154" i="34" s="1"/>
  <c r="GI154" i="34" s="1" a="1"/>
  <c r="GI154" i="34" s="1"/>
  <c r="GA25" i="34" a="1"/>
  <c r="GA25" i="34" s="1"/>
  <c r="GI25" i="34" s="1" a="1"/>
  <c r="GI25" i="34" s="1"/>
  <c r="GA106" i="34" a="1"/>
  <c r="GA106" i="34" s="1"/>
  <c r="GI106" i="34" s="1" a="1"/>
  <c r="GI106" i="34" s="1"/>
  <c r="GA217" i="34" a="1"/>
  <c r="GA217" i="34" s="1"/>
  <c r="GI217" i="34" s="1" a="1"/>
  <c r="GI217" i="34" s="1"/>
  <c r="GA117" i="34" a="1"/>
  <c r="GA117" i="34" s="1"/>
  <c r="GI117" i="34" s="1" a="1"/>
  <c r="GI117" i="34" s="1"/>
  <c r="GA195" i="34" a="1"/>
  <c r="GA195" i="34" s="1"/>
  <c r="GI195" i="34" s="1" a="1"/>
  <c r="GI195" i="34" s="1"/>
  <c r="GA79" i="34" a="1"/>
  <c r="GA79" i="34" s="1"/>
  <c r="GI79" i="34" s="1" a="1"/>
  <c r="GI79" i="34" s="1"/>
  <c r="GA11" i="42" a="1"/>
  <c r="GA11" i="42" s="1"/>
  <c r="GI11" i="42" s="1" a="1"/>
  <c r="GI11" i="42" s="1"/>
  <c r="GA22" i="42" a="1"/>
  <c r="GA22" i="42" s="1"/>
  <c r="GI22" i="42" s="1" a="1"/>
  <c r="GI22" i="42" s="1"/>
  <c r="GA173" i="34" a="1"/>
  <c r="GA173" i="34" s="1"/>
  <c r="GI173" i="34" s="1" a="1"/>
  <c r="GI173" i="34" s="1"/>
  <c r="GA219" i="34" a="1"/>
  <c r="GA219" i="34" s="1"/>
  <c r="GI219" i="34" s="1" a="1"/>
  <c r="GI219" i="34" s="1"/>
  <c r="GA144" i="34" a="1"/>
  <c r="GA144" i="34" s="1"/>
  <c r="GI144" i="34" s="1" a="1"/>
  <c r="GI144" i="34" s="1"/>
  <c r="GA216" i="34" a="1"/>
  <c r="GA216" i="34" s="1"/>
  <c r="GI216" i="34" s="1" a="1"/>
  <c r="GI216" i="34" s="1"/>
  <c r="GA102" i="34" a="1"/>
  <c r="GA102" i="34" s="1"/>
  <c r="GI102" i="34" s="1" a="1"/>
  <c r="GI102" i="34" s="1"/>
  <c r="GA24" i="34" a="1"/>
  <c r="GA24" i="34" s="1"/>
  <c r="GI24" i="34" s="1" a="1"/>
  <c r="GI24" i="34" s="1"/>
  <c r="GA135" i="34" a="1"/>
  <c r="GA135" i="34" s="1"/>
  <c r="GI135" i="34" s="1" a="1"/>
  <c r="GI135" i="34" s="1"/>
  <c r="GA166" i="34" a="1"/>
  <c r="GA166" i="34" s="1"/>
  <c r="GI166" i="34" s="1" a="1"/>
  <c r="GI166" i="34" s="1"/>
  <c r="GA248" i="34" a="1"/>
  <c r="GA248" i="34" s="1"/>
  <c r="GI248" i="34" s="1" a="1"/>
  <c r="GI248" i="34" s="1"/>
  <c r="GA19" i="34" a="1"/>
  <c r="GA19" i="34" s="1"/>
  <c r="GI19" i="34" s="1" a="1"/>
  <c r="GI19" i="34" s="1"/>
  <c r="GA96" i="34" a="1"/>
  <c r="GA96" i="34" s="1"/>
  <c r="GI96" i="34" s="1" a="1"/>
  <c r="GI96" i="34" s="1"/>
  <c r="GA160" i="34" a="1"/>
  <c r="GA160" i="34" s="1"/>
  <c r="GI160" i="34" s="1" a="1"/>
  <c r="GI160" i="34" s="1"/>
  <c r="GA67" i="34" a="1"/>
  <c r="GA67" i="34" s="1"/>
  <c r="GI67" i="34" s="1" a="1"/>
  <c r="GI67" i="34" s="1"/>
  <c r="GA181" i="34" a="1"/>
  <c r="GA181" i="34" s="1"/>
  <c r="GI181" i="34" s="1" a="1"/>
  <c r="GI181" i="34" s="1"/>
  <c r="GA176" i="34" a="1"/>
  <c r="GA176" i="34" s="1"/>
  <c r="GI176" i="34" s="1" a="1"/>
  <c r="GI176" i="34" s="1"/>
  <c r="GA121" i="34" a="1"/>
  <c r="GA121" i="34" s="1"/>
  <c r="GI121" i="34" s="1" a="1"/>
  <c r="GI121" i="34" s="1"/>
  <c r="GA222" i="34" a="1"/>
  <c r="GA222" i="34" s="1"/>
  <c r="GI222" i="34" s="1" a="1"/>
  <c r="GI222" i="34" s="1"/>
  <c r="GA164" i="34" a="1"/>
  <c r="GA164" i="34" s="1"/>
  <c r="GI164" i="34" s="1" a="1"/>
  <c r="GI164" i="34" s="1"/>
  <c r="GA215" i="34" a="1"/>
  <c r="GA215" i="34" s="1"/>
  <c r="GI215" i="34" s="1" a="1"/>
  <c r="GI215" i="34" s="1"/>
  <c r="GA64" i="34" a="1"/>
  <c r="GA64" i="34" s="1"/>
  <c r="GI64" i="34" s="1" a="1"/>
  <c r="GI64" i="34" s="1"/>
  <c r="GA65" i="34" a="1"/>
  <c r="GA65" i="34" s="1"/>
  <c r="GI65" i="34" s="1" a="1"/>
  <c r="GI65" i="34" s="1"/>
  <c r="GA196" i="34" a="1"/>
  <c r="GA196" i="34" s="1"/>
  <c r="GI196" i="34" s="1" a="1"/>
  <c r="GI196" i="34" s="1"/>
  <c r="GA123" i="34" a="1"/>
  <c r="GA123" i="34" s="1"/>
  <c r="GI123" i="34" s="1" a="1"/>
  <c r="GI123" i="34" s="1"/>
  <c r="GA234" i="34" a="1"/>
  <c r="GA234" i="34" s="1"/>
  <c r="GI234" i="34" s="1" a="1"/>
  <c r="GI234" i="34" s="1"/>
  <c r="GA116" i="34" a="1"/>
  <c r="GA116" i="34" s="1"/>
  <c r="GI116" i="34" s="1" a="1"/>
  <c r="GI116" i="34" s="1"/>
  <c r="GA167" i="34" a="1"/>
  <c r="GA167" i="34" s="1"/>
  <c r="GI167" i="34" s="1" a="1"/>
  <c r="GI167" i="34" s="1"/>
  <c r="GA201" i="34" a="1"/>
  <c r="GA201" i="34" s="1"/>
  <c r="GI201" i="34" s="1" a="1"/>
  <c r="GI201" i="34" s="1"/>
  <c r="GA52" i="34" a="1"/>
  <c r="GA52" i="34" s="1"/>
  <c r="GI52" i="34" s="1" a="1"/>
  <c r="GI52" i="34" s="1"/>
  <c r="GA9" i="42" a="1"/>
  <c r="GA9" i="42" s="1"/>
  <c r="GI9" i="42" s="1" a="1"/>
  <c r="GI9" i="42" s="1"/>
  <c r="GA10" i="34" a="1"/>
  <c r="GA10" i="34" s="1"/>
  <c r="GI10" i="34" s="1" a="1"/>
  <c r="GI10" i="34" s="1"/>
  <c r="GA21" i="42" a="1"/>
  <c r="GA21" i="42" s="1"/>
  <c r="GI21" i="42" s="1" a="1"/>
  <c r="GI21" i="42" s="1"/>
  <c r="GA8" i="42" a="1"/>
  <c r="GA8" i="42" s="1"/>
  <c r="GI8" i="42" s="1" a="1"/>
  <c r="GI8" i="42" s="1"/>
  <c r="GA129" i="34" a="1"/>
  <c r="GA129" i="34" s="1"/>
  <c r="GI129" i="34" s="1" a="1"/>
  <c r="GI129" i="34" s="1"/>
  <c r="GA15" i="34" a="1"/>
  <c r="GA15" i="34" s="1"/>
  <c r="GI15" i="34" s="1" a="1"/>
  <c r="GI15" i="34" s="1"/>
  <c r="GA15" i="42" a="1"/>
  <c r="GA15" i="42" s="1"/>
  <c r="GI15" i="42" s="1" a="1"/>
  <c r="GI15" i="42" s="1"/>
  <c r="GA185" i="34" a="1"/>
  <c r="GA185" i="34" s="1"/>
  <c r="GI185" i="34" s="1" a="1"/>
  <c r="GI185" i="34" s="1"/>
  <c r="GA119" i="34" a="1"/>
  <c r="GA119" i="34" s="1"/>
  <c r="GI119" i="34" s="1" a="1"/>
  <c r="GI119" i="34" s="1"/>
  <c r="GA152" i="34" a="1"/>
  <c r="GA152" i="34" s="1"/>
  <c r="GI152" i="34" s="1" a="1"/>
  <c r="GI152" i="34" s="1"/>
  <c r="GA207" i="34" a="1"/>
  <c r="GA207" i="34" s="1"/>
  <c r="GI207" i="34" s="1" a="1"/>
  <c r="GI207" i="34" s="1"/>
  <c r="GA111" i="34" a="1"/>
  <c r="GA111" i="34" s="1"/>
  <c r="GI111" i="34" s="1" a="1"/>
  <c r="GI111" i="34" s="1"/>
  <c r="GA143" i="34" a="1"/>
  <c r="GA143" i="34" s="1"/>
  <c r="GI143" i="34" s="1" a="1"/>
  <c r="GI143" i="34" s="1"/>
  <c r="GA31" i="42" a="1"/>
  <c r="GA31" i="42" s="1"/>
  <c r="GI31" i="42" s="1" a="1"/>
  <c r="GI31" i="42" s="1"/>
  <c r="GA33" i="42" a="1"/>
  <c r="GA33" i="42" s="1"/>
  <c r="GI33" i="42" s="1" a="1"/>
  <c r="GI33" i="42" s="1"/>
  <c r="GA156" i="34" a="1"/>
  <c r="GA156" i="34" s="1"/>
  <c r="GI156" i="34" s="1" a="1"/>
  <c r="GI156" i="34" s="1"/>
  <c r="GA179" i="34" a="1"/>
  <c r="GA179" i="34" s="1"/>
  <c r="GI179" i="34" s="1" a="1"/>
  <c r="GI179" i="34" s="1"/>
  <c r="GA142" i="34" a="1"/>
  <c r="GA142" i="34" s="1"/>
  <c r="GI142" i="34" s="1" a="1"/>
  <c r="GI142" i="34" s="1"/>
  <c r="GA10" i="41" a="1"/>
  <c r="GA10" i="41" s="1"/>
  <c r="GI10" i="41" s="1" a="1"/>
  <c r="GI10" i="41" s="1"/>
  <c r="GA246" i="34" a="1"/>
  <c r="GA246" i="34" s="1"/>
  <c r="GI246" i="34" s="1" a="1"/>
  <c r="GI246" i="34" s="1"/>
  <c r="GA61" i="34" a="1"/>
  <c r="GA61" i="34" s="1"/>
  <c r="GI61" i="34" s="1" a="1"/>
  <c r="GI61" i="34" s="1"/>
  <c r="GA58" i="34" a="1"/>
  <c r="GA58" i="34" s="1"/>
  <c r="GI58" i="34" s="1" a="1"/>
  <c r="GI58" i="34" s="1"/>
  <c r="GA138" i="34" a="1"/>
  <c r="GA138" i="34" s="1"/>
  <c r="GI138" i="34" s="1" a="1"/>
  <c r="GI138" i="34" s="1"/>
  <c r="GA81" i="34" a="1"/>
  <c r="GA81" i="34" s="1"/>
  <c r="GI81" i="34" s="1" a="1"/>
  <c r="GI81" i="34" s="1"/>
  <c r="GA230" i="34" a="1"/>
  <c r="GA230" i="34" s="1"/>
  <c r="GI230" i="34" s="1" a="1"/>
  <c r="GI230" i="34" s="1"/>
  <c r="GA237" i="34" a="1"/>
  <c r="GA237" i="34" s="1"/>
  <c r="GI237" i="34" s="1" a="1"/>
  <c r="GI237" i="34" s="1"/>
  <c r="GA252" i="34" a="1"/>
  <c r="GA252" i="34" s="1"/>
  <c r="GI252" i="34" s="1" a="1"/>
  <c r="GI252" i="34" s="1"/>
  <c r="GA233" i="34" a="1"/>
  <c r="GA233" i="34" s="1"/>
  <c r="GI233" i="34" s="1" a="1"/>
  <c r="GI233" i="34" s="1"/>
  <c r="GA136" i="34" a="1"/>
  <c r="GA136" i="34" s="1"/>
  <c r="GI136" i="34" s="1" a="1"/>
  <c r="GI136" i="34" s="1"/>
  <c r="GA83" i="34" a="1"/>
  <c r="GA83" i="34" s="1"/>
  <c r="GI83" i="34" s="1" a="1"/>
  <c r="GI83" i="34" s="1"/>
  <c r="GA87" i="34" a="1"/>
  <c r="GA87" i="34" s="1"/>
  <c r="GI87" i="34" s="1" a="1"/>
  <c r="GI87" i="34" s="1"/>
  <c r="GA32" i="42" a="1"/>
  <c r="GA32" i="42" s="1"/>
  <c r="GI32" i="42" s="1" a="1"/>
  <c r="GI32" i="42" s="1"/>
  <c r="GA38" i="34" a="1"/>
  <c r="GA38" i="34" s="1"/>
  <c r="GI38" i="34" s="1" a="1"/>
  <c r="GI38" i="34" s="1"/>
  <c r="GA172" i="34" a="1"/>
  <c r="GA172" i="34" s="1"/>
  <c r="GI172" i="34" s="1" a="1"/>
  <c r="GI172" i="34" s="1"/>
  <c r="GA227" i="34" a="1"/>
  <c r="GA227" i="34" s="1"/>
  <c r="GI227" i="34" s="1" a="1"/>
  <c r="GI227" i="34" s="1"/>
  <c r="GA13" i="42" a="1"/>
  <c r="GA13" i="42" s="1"/>
  <c r="GI13" i="42" s="1" a="1"/>
  <c r="GI13" i="42" s="1"/>
  <c r="GA231" i="34" a="1"/>
  <c r="GA231" i="34" s="1"/>
  <c r="GI231" i="34" s="1" a="1"/>
  <c r="GI231" i="34" s="1"/>
  <c r="GA43" i="34" a="1"/>
  <c r="GA43" i="34" s="1"/>
  <c r="GI43" i="34" s="1" a="1"/>
  <c r="GI43" i="34" s="1"/>
  <c r="GA169" i="34" a="1"/>
  <c r="GA169" i="34" s="1"/>
  <c r="GI169" i="34" s="1" a="1"/>
  <c r="GI169" i="34" s="1"/>
  <c r="GA26" i="42" a="1"/>
  <c r="GA26" i="42" s="1"/>
  <c r="GI26" i="42" s="1" a="1"/>
  <c r="GI26" i="42" s="1"/>
  <c r="GA235" i="34" a="1"/>
  <c r="GA235" i="34" s="1"/>
  <c r="GI235" i="34" s="1" a="1"/>
  <c r="GI235" i="34" s="1"/>
  <c r="GA177" i="34" a="1"/>
  <c r="GA177" i="34" s="1"/>
  <c r="GI177" i="34" s="1" a="1"/>
  <c r="GI177" i="34" s="1"/>
  <c r="GA28" i="34" a="1"/>
  <c r="GA28" i="34" s="1"/>
  <c r="GI28" i="34" s="1" a="1"/>
  <c r="GI28" i="34" s="1"/>
  <c r="GA149" i="34" a="1"/>
  <c r="GA149" i="34" s="1"/>
  <c r="GI149" i="34" s="1" a="1"/>
  <c r="GI149" i="34" s="1"/>
  <c r="GA247" i="34" a="1"/>
  <c r="GA247" i="34" s="1"/>
  <c r="GI247" i="34" s="1" a="1"/>
  <c r="GI247" i="34" s="1"/>
  <c r="E121" i="55" l="1"/>
  <c r="E103" i="55"/>
  <c r="I27" i="40" s="1"/>
  <c r="G108" i="55"/>
  <c r="K32" i="40" s="1"/>
  <c r="G126" i="55"/>
  <c r="HR152" i="34"/>
  <c r="F121" i="55"/>
  <c r="F103" i="55"/>
  <c r="J27" i="40" s="1"/>
  <c r="H126" i="55"/>
  <c r="H108" i="55"/>
  <c r="L32" i="40" s="1"/>
  <c r="HR64" i="34"/>
  <c r="C29" i="55"/>
  <c r="D38" i="55"/>
  <c r="D92" i="55" s="1"/>
  <c r="G121" i="55"/>
  <c r="G103" i="55"/>
  <c r="K27" i="40" s="1"/>
  <c r="D126" i="55"/>
  <c r="D108" i="55"/>
  <c r="H32" i="40" s="1"/>
  <c r="L103" i="55"/>
  <c r="S27" i="40" s="1"/>
  <c r="L121" i="55"/>
  <c r="HR59" i="34"/>
  <c r="HR36" i="34"/>
  <c r="E126" i="55"/>
  <c r="E108" i="55"/>
  <c r="I32" i="40" s="1"/>
  <c r="HR18" i="34"/>
  <c r="H121" i="55"/>
  <c r="H103" i="55"/>
  <c r="L27" i="40" s="1"/>
  <c r="D121" i="55"/>
  <c r="D103" i="55"/>
  <c r="H27" i="40" s="1"/>
  <c r="F108" i="55"/>
  <c r="J32" i="40" s="1"/>
  <c r="F126" i="55"/>
  <c r="HR33" i="34"/>
  <c r="I108" i="55"/>
  <c r="M32" i="40" s="1"/>
  <c r="I126" i="55"/>
  <c r="HR39" i="34"/>
  <c r="L126" i="55"/>
  <c r="L108" i="55"/>
  <c r="S32" i="40" s="1"/>
  <c r="I121" i="55"/>
  <c r="I103" i="55"/>
  <c r="M27" i="40" s="1"/>
  <c r="HR221" i="34"/>
  <c r="C34" i="55"/>
  <c r="HR187" i="34"/>
  <c r="G38" i="55"/>
  <c r="G92" i="55" s="1"/>
  <c r="G130" i="55" s="1"/>
  <c r="H38" i="55"/>
  <c r="H92" i="55" s="1"/>
  <c r="H130" i="55" s="1"/>
  <c r="HR23" i="34"/>
  <c r="D36" i="55"/>
  <c r="D90" i="55" s="1"/>
  <c r="D110" i="55" s="1"/>
  <c r="H34" i="40" s="1"/>
  <c r="HR22" i="34"/>
  <c r="HR40" i="34"/>
  <c r="HR201" i="34"/>
  <c r="G36" i="55"/>
  <c r="G90" i="55" s="1"/>
  <c r="G110" i="55" s="1"/>
  <c r="K34" i="40" s="1"/>
  <c r="L36" i="55"/>
  <c r="L90" i="55" s="1"/>
  <c r="L110" i="55" s="1"/>
  <c r="S34" i="40" s="1"/>
  <c r="D19" i="16"/>
  <c r="HR166" i="34"/>
  <c r="HR155" i="34"/>
  <c r="HR14" i="34"/>
  <c r="C38" i="55"/>
  <c r="HR226" i="34"/>
  <c r="D13" i="16"/>
  <c r="HR203" i="34"/>
  <c r="H36" i="55"/>
  <c r="H90" i="55" s="1"/>
  <c r="D16" i="16"/>
  <c r="J32" i="5"/>
  <c r="J33" i="5" s="1"/>
  <c r="K31" i="5"/>
  <c r="L33" i="55"/>
  <c r="L87" i="55" s="1"/>
  <c r="E38" i="55"/>
  <c r="E92" i="55" s="1"/>
  <c r="I31" i="55"/>
  <c r="E36" i="55"/>
  <c r="E90" i="55" s="1"/>
  <c r="HR224" i="34"/>
  <c r="D15" i="16"/>
  <c r="D11" i="16"/>
  <c r="HR190" i="34"/>
  <c r="D164" i="43"/>
  <c r="HR133" i="34"/>
  <c r="H33" i="55"/>
  <c r="H87" i="55" s="1"/>
  <c r="D23" i="16"/>
  <c r="GB14" i="34" a="1"/>
  <c r="GB14" i="34" s="1"/>
  <c r="GJ14" i="34" s="1" a="1"/>
  <c r="GJ14" i="34" s="1"/>
  <c r="GB189" i="34" a="1"/>
  <c r="GB189" i="34" s="1"/>
  <c r="GJ189" i="34" s="1" a="1"/>
  <c r="GJ189" i="34" s="1"/>
  <c r="GB112" i="34" a="1"/>
  <c r="GB112" i="34" s="1"/>
  <c r="GJ112" i="34" s="1" a="1"/>
  <c r="GJ112" i="34" s="1"/>
  <c r="GB38" i="34" a="1"/>
  <c r="GB38" i="34" s="1"/>
  <c r="GJ38" i="34" s="1" a="1"/>
  <c r="GJ38" i="34" s="1"/>
  <c r="GB101" i="34" a="1"/>
  <c r="GB101" i="34" s="1"/>
  <c r="GJ101" i="34" s="1" a="1"/>
  <c r="GJ101" i="34" s="1"/>
  <c r="GB209" i="34" a="1"/>
  <c r="GB209" i="34" s="1"/>
  <c r="GJ209" i="34" s="1" a="1"/>
  <c r="GJ209" i="34" s="1"/>
  <c r="GB217" i="34" a="1"/>
  <c r="GB217" i="34" s="1"/>
  <c r="GJ217" i="34" s="1" a="1"/>
  <c r="GJ217" i="34" s="1"/>
  <c r="GB151" i="34" a="1"/>
  <c r="GB151" i="34" s="1"/>
  <c r="GJ151" i="34" s="1" a="1"/>
  <c r="GJ151" i="34" s="1"/>
  <c r="GB10" i="41" a="1"/>
  <c r="GB10" i="41" s="1"/>
  <c r="GJ10" i="41" s="1" a="1"/>
  <c r="GJ10" i="41" s="1"/>
  <c r="GB9" i="41" a="1"/>
  <c r="GB9" i="41" s="1"/>
  <c r="GJ9" i="41" s="1" a="1"/>
  <c r="GJ9" i="41" s="1"/>
  <c r="GB143" i="34" a="1"/>
  <c r="GB143" i="34" s="1"/>
  <c r="GJ143" i="34" s="1" a="1"/>
  <c r="GJ143" i="34" s="1"/>
  <c r="GB235" i="34" a="1"/>
  <c r="GB235" i="34" s="1"/>
  <c r="GJ235" i="34" s="1" a="1"/>
  <c r="GJ235" i="34" s="1"/>
  <c r="GB37" i="34" a="1"/>
  <c r="GB37" i="34" s="1"/>
  <c r="GJ37" i="34" s="1" a="1"/>
  <c r="GJ37" i="34" s="1"/>
  <c r="GB210" i="34" a="1"/>
  <c r="GB210" i="34" s="1"/>
  <c r="GJ210" i="34" s="1" a="1"/>
  <c r="GJ210" i="34" s="1"/>
  <c r="GB119" i="34" a="1"/>
  <c r="GB119" i="34" s="1"/>
  <c r="GJ119" i="34" s="1" a="1"/>
  <c r="GJ119" i="34" s="1"/>
  <c r="GB16" i="42" a="1"/>
  <c r="GB16" i="42" s="1"/>
  <c r="GJ16" i="42" s="1" a="1"/>
  <c r="GJ16" i="42" s="1"/>
  <c r="E163" i="43" s="1"/>
  <c r="GB31" i="34" a="1"/>
  <c r="GB31" i="34" s="1"/>
  <c r="GJ31" i="34" s="1" a="1"/>
  <c r="GJ31" i="34" s="1"/>
  <c r="GB8" i="42" a="1"/>
  <c r="GB8" i="42" s="1"/>
  <c r="GJ8" i="42" s="1" a="1"/>
  <c r="GJ8" i="42" s="1"/>
  <c r="GB59" i="34" a="1"/>
  <c r="GB59" i="34" s="1"/>
  <c r="GJ59" i="34" s="1" a="1"/>
  <c r="GJ59" i="34" s="1"/>
  <c r="GB213" i="34" a="1"/>
  <c r="GB213" i="34" s="1"/>
  <c r="GJ213" i="34" s="1" a="1"/>
  <c r="GJ213" i="34" s="1"/>
  <c r="GB46" i="34" a="1"/>
  <c r="GB46" i="34" s="1"/>
  <c r="GJ46" i="34" s="1" a="1"/>
  <c r="GJ46" i="34" s="1"/>
  <c r="GB212" i="34" a="1"/>
  <c r="GB212" i="34" s="1"/>
  <c r="GJ212" i="34" s="1" a="1"/>
  <c r="GJ212" i="34" s="1"/>
  <c r="GB181" i="34" a="1"/>
  <c r="GB181" i="34" s="1"/>
  <c r="GJ181" i="34" s="1" a="1"/>
  <c r="GJ181" i="34" s="1"/>
  <c r="GB13" i="42" a="1"/>
  <c r="GB13" i="42" s="1"/>
  <c r="GJ13" i="42" s="1" a="1"/>
  <c r="GJ13" i="42" s="1"/>
  <c r="E160" i="43" s="1"/>
  <c r="GB32" i="42" a="1"/>
  <c r="GB32" i="42" s="1"/>
  <c r="GJ32" i="42" s="1" a="1"/>
  <c r="GJ32" i="42" s="1"/>
  <c r="GB186" i="34" a="1"/>
  <c r="GB186" i="34" s="1"/>
  <c r="GJ186" i="34" s="1" a="1"/>
  <c r="GJ186" i="34" s="1"/>
  <c r="GB138" i="34" a="1"/>
  <c r="GB138" i="34" s="1"/>
  <c r="GJ138" i="34" s="1" a="1"/>
  <c r="GJ138" i="34" s="1"/>
  <c r="GB133" i="34" a="1"/>
  <c r="GB133" i="34" s="1"/>
  <c r="GJ133" i="34" s="1" a="1"/>
  <c r="GJ133" i="34" s="1"/>
  <c r="GB197" i="34" a="1"/>
  <c r="GB197" i="34" s="1"/>
  <c r="GJ197" i="34" s="1" a="1"/>
  <c r="GJ197" i="34" s="1"/>
  <c r="GB135" i="34" a="1"/>
  <c r="GB135" i="34" s="1"/>
  <c r="GJ135" i="34" s="1" a="1"/>
  <c r="GJ135" i="34" s="1"/>
  <c r="GB40" i="34" a="1"/>
  <c r="GB40" i="34" s="1"/>
  <c r="GJ40" i="34" s="1" a="1"/>
  <c r="GJ40" i="34" s="1"/>
  <c r="GB250" i="34" a="1"/>
  <c r="GB250" i="34" s="1"/>
  <c r="GJ250" i="34" s="1" a="1"/>
  <c r="GJ250" i="34" s="1"/>
  <c r="GB121" i="34" a="1"/>
  <c r="GB121" i="34" s="1"/>
  <c r="GJ121" i="34" s="1" a="1"/>
  <c r="GJ121" i="34" s="1"/>
  <c r="GB115" i="34" a="1"/>
  <c r="GB115" i="34" s="1"/>
  <c r="GJ115" i="34" s="1" a="1"/>
  <c r="GJ115" i="34" s="1"/>
  <c r="GB174" i="34" a="1"/>
  <c r="GB174" i="34" s="1"/>
  <c r="GJ174" i="34" s="1" a="1"/>
  <c r="GJ174" i="34" s="1"/>
  <c r="GB118" i="34" a="1"/>
  <c r="GB118" i="34" s="1"/>
  <c r="GJ118" i="34" s="1" a="1"/>
  <c r="GJ118" i="34" s="1"/>
  <c r="GB49" i="34" a="1"/>
  <c r="GB49" i="34" s="1"/>
  <c r="GJ49" i="34" s="1" a="1"/>
  <c r="GJ49" i="34" s="1"/>
  <c r="GB145" i="34" a="1"/>
  <c r="GB145" i="34" s="1"/>
  <c r="GJ145" i="34" s="1" a="1"/>
  <c r="GJ145" i="34" s="1"/>
  <c r="GB205" i="34" a="1"/>
  <c r="GB205" i="34" s="1"/>
  <c r="GJ205" i="34" s="1" a="1"/>
  <c r="GJ205" i="34" s="1"/>
  <c r="GB208" i="34" a="1"/>
  <c r="GB208" i="34" s="1"/>
  <c r="GJ208" i="34" s="1" a="1"/>
  <c r="GJ208" i="34" s="1"/>
  <c r="GB100" i="34" a="1"/>
  <c r="GB100" i="34" s="1"/>
  <c r="GJ100" i="34" s="1" a="1"/>
  <c r="GJ100" i="34" s="1"/>
  <c r="GB23" i="42" a="1"/>
  <c r="GB23" i="42" s="1"/>
  <c r="GJ23" i="42" s="1" a="1"/>
  <c r="GJ23" i="42" s="1"/>
  <c r="GB128" i="34" a="1"/>
  <c r="GB128" i="34" s="1"/>
  <c r="GJ128" i="34" s="1" a="1"/>
  <c r="GJ128" i="34" s="1"/>
  <c r="GB196" i="34" a="1"/>
  <c r="GB196" i="34" s="1"/>
  <c r="GJ196" i="34" s="1" a="1"/>
  <c r="GJ196" i="34" s="1"/>
  <c r="GB199" i="34" a="1"/>
  <c r="GB199" i="34" s="1"/>
  <c r="GJ199" i="34" s="1" a="1"/>
  <c r="GJ199" i="34" s="1"/>
  <c r="GB129" i="34" a="1"/>
  <c r="GB129" i="34" s="1"/>
  <c r="GJ129" i="34" s="1" a="1"/>
  <c r="GJ129" i="34" s="1"/>
  <c r="GB248" i="34" a="1"/>
  <c r="GB248" i="34" s="1"/>
  <c r="GJ248" i="34" s="1" a="1"/>
  <c r="GJ248" i="34" s="1"/>
  <c r="GB168" i="34" a="1"/>
  <c r="GB168" i="34" s="1"/>
  <c r="GJ168" i="34" s="1" a="1"/>
  <c r="GJ168" i="34" s="1"/>
  <c r="GB30" i="34" a="1"/>
  <c r="GB30" i="34" s="1"/>
  <c r="GJ30" i="34" s="1" a="1"/>
  <c r="GJ30" i="34" s="1"/>
  <c r="GB144" i="34" a="1"/>
  <c r="GB144" i="34" s="1"/>
  <c r="GJ144" i="34" s="1" a="1"/>
  <c r="GJ144" i="34" s="1"/>
  <c r="GB73" i="34" a="1"/>
  <c r="GB73" i="34" s="1"/>
  <c r="GJ73" i="34" s="1" a="1"/>
  <c r="GJ73" i="34" s="1"/>
  <c r="GB32" i="34" a="1"/>
  <c r="GB32" i="34" s="1"/>
  <c r="GJ32" i="34" s="1" a="1"/>
  <c r="GJ32" i="34" s="1"/>
  <c r="GB142" i="34" a="1"/>
  <c r="GB142" i="34" s="1"/>
  <c r="GJ142" i="34" s="1" a="1"/>
  <c r="GJ142" i="34" s="1"/>
  <c r="GB19" i="42" a="1"/>
  <c r="GB19" i="42" s="1"/>
  <c r="GJ19" i="42" s="1" a="1"/>
  <c r="GJ19" i="42" s="1"/>
  <c r="GB102" i="34" a="1"/>
  <c r="GB102" i="34" s="1"/>
  <c r="GJ102" i="34" s="1" a="1"/>
  <c r="GJ102" i="34" s="1"/>
  <c r="GB22" i="34" a="1"/>
  <c r="GB22" i="34" s="1"/>
  <c r="GJ22" i="34" s="1" a="1"/>
  <c r="GJ22" i="34" s="1"/>
  <c r="GB28" i="42" a="1"/>
  <c r="GB28" i="42" s="1"/>
  <c r="GJ28" i="42" s="1" a="1"/>
  <c r="GJ28" i="42" s="1"/>
  <c r="GB12" i="41" a="1"/>
  <c r="GB12" i="41" s="1"/>
  <c r="GJ12" i="41" s="1" a="1"/>
  <c r="GJ12" i="41" s="1"/>
  <c r="GB67" i="34" a="1"/>
  <c r="GB67" i="34" s="1"/>
  <c r="GJ67" i="34" s="1" a="1"/>
  <c r="GJ67" i="34" s="1"/>
  <c r="GB34" i="34" a="1"/>
  <c r="GB34" i="34" s="1"/>
  <c r="GJ34" i="34" s="1" a="1"/>
  <c r="GJ34" i="34" s="1"/>
  <c r="GB160" i="34" a="1"/>
  <c r="GB160" i="34" s="1"/>
  <c r="GJ160" i="34" s="1" a="1"/>
  <c r="GJ160" i="34" s="1"/>
  <c r="GB165" i="34" a="1"/>
  <c r="GB165" i="34" s="1"/>
  <c r="GJ165" i="34" s="1" a="1"/>
  <c r="GJ165" i="34" s="1"/>
  <c r="GB177" i="34" a="1"/>
  <c r="GB177" i="34" s="1"/>
  <c r="GJ177" i="34" s="1" a="1"/>
  <c r="GJ177" i="34" s="1"/>
  <c r="GB127" i="34" a="1"/>
  <c r="GB127" i="34" s="1"/>
  <c r="GJ127" i="34" s="1" a="1"/>
  <c r="GJ127" i="34" s="1"/>
  <c r="GB211" i="34" a="1"/>
  <c r="GB211" i="34" s="1"/>
  <c r="GJ211" i="34" s="1" a="1"/>
  <c r="GJ211" i="34" s="1"/>
  <c r="GB77" i="34" a="1"/>
  <c r="GB77" i="34" s="1"/>
  <c r="GJ77" i="34" s="1" a="1"/>
  <c r="GJ77" i="34" s="1"/>
  <c r="GB95" i="34" a="1"/>
  <c r="GB95" i="34" s="1"/>
  <c r="GJ95" i="34" s="1" a="1"/>
  <c r="GJ95" i="34" s="1"/>
  <c r="GB155" i="34" a="1"/>
  <c r="GB155" i="34" s="1"/>
  <c r="GJ155" i="34" s="1" a="1"/>
  <c r="GJ155" i="34" s="1"/>
  <c r="GB130" i="34" a="1"/>
  <c r="GB130" i="34" s="1"/>
  <c r="GJ130" i="34" s="1" a="1"/>
  <c r="GJ130" i="34" s="1"/>
  <c r="GB39" i="34" a="1"/>
  <c r="GB39" i="34" s="1"/>
  <c r="GJ39" i="34" s="1" a="1"/>
  <c r="GJ39" i="34" s="1"/>
  <c r="GB157" i="34" a="1"/>
  <c r="GB157" i="34" s="1"/>
  <c r="GJ157" i="34" s="1" a="1"/>
  <c r="GJ157" i="34" s="1"/>
  <c r="GB234" i="34" a="1"/>
  <c r="GB234" i="34" s="1"/>
  <c r="GJ234" i="34" s="1" a="1"/>
  <c r="GJ234" i="34" s="1"/>
  <c r="GB55" i="34" a="1"/>
  <c r="GB55" i="34" s="1"/>
  <c r="GJ55" i="34" s="1" a="1"/>
  <c r="GJ55" i="34" s="1"/>
  <c r="GB232" i="34" a="1"/>
  <c r="GB232" i="34" s="1"/>
  <c r="GJ232" i="34" s="1" a="1"/>
  <c r="GJ232" i="34" s="1"/>
  <c r="GB253" i="34" a="1"/>
  <c r="GB253" i="34" s="1"/>
  <c r="GJ253" i="34" s="1" a="1"/>
  <c r="GJ253" i="34" s="1"/>
  <c r="GB58" i="34" a="1"/>
  <c r="GB58" i="34" s="1"/>
  <c r="GJ58" i="34" s="1" a="1"/>
  <c r="GJ58" i="34" s="1"/>
  <c r="GB131" i="34" a="1"/>
  <c r="GB131" i="34" s="1"/>
  <c r="GJ131" i="34" s="1" a="1"/>
  <c r="GJ131" i="34" s="1"/>
  <c r="GB12" i="34" a="1"/>
  <c r="GB12" i="34" s="1"/>
  <c r="GJ12" i="34" s="1" a="1"/>
  <c r="GJ12" i="34" s="1"/>
  <c r="GB31" i="42" a="1"/>
  <c r="GB31" i="42" s="1"/>
  <c r="GJ31" i="42" s="1" a="1"/>
  <c r="GJ31" i="42" s="1"/>
  <c r="GB179" i="34" a="1"/>
  <c r="GB179" i="34" s="1"/>
  <c r="GJ179" i="34" s="1" a="1"/>
  <c r="GJ179" i="34" s="1"/>
  <c r="GB50" i="34" a="1"/>
  <c r="GB50" i="34" s="1"/>
  <c r="GJ50" i="34" s="1" a="1"/>
  <c r="GJ50" i="34" s="1"/>
  <c r="GB98" i="34" a="1"/>
  <c r="GB98" i="34" s="1"/>
  <c r="GJ98" i="34" s="1" a="1"/>
  <c r="GJ98" i="34" s="1"/>
  <c r="GB21" i="34" a="1"/>
  <c r="GB21" i="34" s="1"/>
  <c r="GJ21" i="34" s="1" a="1"/>
  <c r="GJ21" i="34" s="1"/>
  <c r="GB15" i="42" a="1"/>
  <c r="GB15" i="42" s="1"/>
  <c r="GJ15" i="42" s="1" a="1"/>
  <c r="GJ15" i="42" s="1"/>
  <c r="E162" i="43" s="1"/>
  <c r="GB11" i="42" a="1"/>
  <c r="GB11" i="42" s="1"/>
  <c r="GJ11" i="42" s="1" a="1"/>
  <c r="GJ11" i="42" s="1"/>
  <c r="E204" i="43" s="1"/>
  <c r="GB36" i="34" a="1"/>
  <c r="GB36" i="34" s="1"/>
  <c r="GJ36" i="34" s="1" a="1"/>
  <c r="GJ36" i="34" s="1"/>
  <c r="GB80" i="34" a="1"/>
  <c r="GB80" i="34" s="1"/>
  <c r="GJ80" i="34" s="1" a="1"/>
  <c r="GJ80" i="34" s="1"/>
  <c r="GB198" i="34" a="1"/>
  <c r="GB198" i="34" s="1"/>
  <c r="GJ198" i="34" s="1" a="1"/>
  <c r="GJ198" i="34" s="1"/>
  <c r="GB57" i="34" a="1"/>
  <c r="GB57" i="34" s="1"/>
  <c r="GJ57" i="34" s="1" a="1"/>
  <c r="GJ57" i="34" s="1"/>
  <c r="GB8" i="34" a="1"/>
  <c r="GB8" i="34" s="1"/>
  <c r="GJ8" i="34" s="1" a="1"/>
  <c r="GJ8" i="34" s="1"/>
  <c r="GB10" i="42" a="1"/>
  <c r="GB10" i="42" s="1"/>
  <c r="GJ10" i="42" s="1" a="1"/>
  <c r="GJ10" i="42" s="1"/>
  <c r="GB9" i="34" a="1"/>
  <c r="GB9" i="34" s="1"/>
  <c r="GJ9" i="34" s="1" a="1"/>
  <c r="GJ9" i="34" s="1"/>
  <c r="GB33" i="34" a="1"/>
  <c r="GB33" i="34" s="1"/>
  <c r="GJ33" i="34" s="1" a="1"/>
  <c r="GJ33" i="34" s="1"/>
  <c r="GB24" i="42" a="1"/>
  <c r="GB24" i="42" s="1"/>
  <c r="GJ24" i="42" s="1" a="1"/>
  <c r="GJ24" i="42" s="1"/>
  <c r="GB226" i="34" a="1"/>
  <c r="GB226" i="34" s="1"/>
  <c r="GJ226" i="34" s="1" a="1"/>
  <c r="GJ226" i="34" s="1"/>
  <c r="GB109" i="34" a="1"/>
  <c r="GB109" i="34" s="1"/>
  <c r="GJ109" i="34" s="1" a="1"/>
  <c r="GJ109" i="34" s="1"/>
  <c r="GB13" i="41" a="1"/>
  <c r="GB13" i="41" s="1"/>
  <c r="GJ13" i="41" s="1" a="1"/>
  <c r="GJ13" i="41" s="1"/>
  <c r="GB86" i="34" a="1"/>
  <c r="GB86" i="34" s="1"/>
  <c r="GJ86" i="34" s="1" a="1"/>
  <c r="GJ86" i="34" s="1"/>
  <c r="GB25" i="34" a="1"/>
  <c r="GB25" i="34" s="1"/>
  <c r="GJ25" i="34" s="1" a="1"/>
  <c r="GJ25" i="34" s="1"/>
  <c r="GB132" i="34" a="1"/>
  <c r="GB132" i="34" s="1"/>
  <c r="GJ132" i="34" s="1" a="1"/>
  <c r="GJ132" i="34" s="1"/>
  <c r="GB75" i="34" a="1"/>
  <c r="GB75" i="34" s="1"/>
  <c r="GJ75" i="34" s="1" a="1"/>
  <c r="GJ75" i="34" s="1"/>
  <c r="GB76" i="34" a="1"/>
  <c r="GB76" i="34" s="1"/>
  <c r="GJ76" i="34" s="1" a="1"/>
  <c r="GJ76" i="34" s="1"/>
  <c r="GB178" i="34" a="1"/>
  <c r="GB178" i="34" s="1"/>
  <c r="GJ178" i="34" s="1" a="1"/>
  <c r="GJ178" i="34" s="1"/>
  <c r="GB223" i="34" a="1"/>
  <c r="GB223" i="34" s="1"/>
  <c r="GJ223" i="34" s="1" a="1"/>
  <c r="GJ223" i="34" s="1"/>
  <c r="GB104" i="34" a="1"/>
  <c r="GB104" i="34" s="1"/>
  <c r="GJ104" i="34" s="1" a="1"/>
  <c r="GJ104" i="34" s="1"/>
  <c r="GB64" i="34" a="1"/>
  <c r="GB64" i="34" s="1"/>
  <c r="GJ64" i="34" s="1" a="1"/>
  <c r="GJ64" i="34" s="1"/>
  <c r="GB18" i="42" a="1"/>
  <c r="GB18" i="42" s="1"/>
  <c r="GJ18" i="42" s="1" a="1"/>
  <c r="GJ18" i="42" s="1"/>
  <c r="GB70" i="34" a="1"/>
  <c r="GB70" i="34" s="1"/>
  <c r="GJ70" i="34" s="1" a="1"/>
  <c r="GJ70" i="34" s="1"/>
  <c r="GB156" i="34" a="1"/>
  <c r="GB156" i="34" s="1"/>
  <c r="GJ156" i="34" s="1" a="1"/>
  <c r="GJ156" i="34" s="1"/>
  <c r="GB153" i="34" a="1"/>
  <c r="GB153" i="34" s="1"/>
  <c r="GJ153" i="34" s="1" a="1"/>
  <c r="GJ153" i="34" s="1"/>
  <c r="GB62" i="34" a="1"/>
  <c r="GB62" i="34" s="1"/>
  <c r="GJ62" i="34" s="1" a="1"/>
  <c r="GJ62" i="34" s="1"/>
  <c r="GB69" i="34" a="1"/>
  <c r="GB69" i="34" s="1"/>
  <c r="GJ69" i="34" s="1" a="1"/>
  <c r="GJ69" i="34" s="1"/>
  <c r="GB10" i="34" a="1"/>
  <c r="GB10" i="34" s="1"/>
  <c r="GJ10" i="34" s="1" a="1"/>
  <c r="GJ10" i="34" s="1"/>
  <c r="GB11" i="34" a="1"/>
  <c r="GB11" i="34" s="1"/>
  <c r="GJ11" i="34" s="1" a="1"/>
  <c r="GJ11" i="34" s="1"/>
  <c r="GB107" i="34" a="1"/>
  <c r="GB107" i="34" s="1"/>
  <c r="GJ107" i="34" s="1" a="1"/>
  <c r="GJ107" i="34" s="1"/>
  <c r="GB190" i="34" a="1"/>
  <c r="GB190" i="34" s="1"/>
  <c r="GJ190" i="34" s="1" a="1"/>
  <c r="GJ190" i="34" s="1"/>
  <c r="GB92" i="34" a="1"/>
  <c r="GB92" i="34" s="1"/>
  <c r="GJ92" i="34" s="1" a="1"/>
  <c r="GJ92" i="34" s="1"/>
  <c r="GB61" i="34" a="1"/>
  <c r="GB61" i="34" s="1"/>
  <c r="GJ61" i="34" s="1" a="1"/>
  <c r="GJ61" i="34" s="1"/>
  <c r="GB85" i="34" a="1"/>
  <c r="GB85" i="34" s="1"/>
  <c r="GJ85" i="34" s="1" a="1"/>
  <c r="GJ85" i="34" s="1"/>
  <c r="GB27" i="42" a="1"/>
  <c r="GB27" i="42" s="1"/>
  <c r="GJ27" i="42" s="1" a="1"/>
  <c r="GJ27" i="42" s="1"/>
  <c r="E183" i="43" s="1"/>
  <c r="GB141" i="34" a="1"/>
  <c r="GB141" i="34" s="1"/>
  <c r="GJ141" i="34" s="1" a="1"/>
  <c r="GJ141" i="34" s="1"/>
  <c r="GB63" i="34" a="1"/>
  <c r="GB63" i="34" s="1"/>
  <c r="GJ63" i="34" s="1" a="1"/>
  <c r="GJ63" i="34" s="1"/>
  <c r="GB51" i="34" a="1"/>
  <c r="GB51" i="34" s="1"/>
  <c r="GJ51" i="34" s="1" a="1"/>
  <c r="GJ51" i="34" s="1"/>
  <c r="GB17" i="42" a="1"/>
  <c r="GB17" i="42" s="1"/>
  <c r="GJ17" i="42" s="1" a="1"/>
  <c r="GJ17" i="42" s="1"/>
  <c r="E164" i="43" s="1"/>
  <c r="GB134" i="34" a="1"/>
  <c r="GB134" i="34" s="1"/>
  <c r="GJ134" i="34" s="1" a="1"/>
  <c r="GJ134" i="34" s="1"/>
  <c r="GB170" i="34" a="1"/>
  <c r="GB170" i="34" s="1"/>
  <c r="GJ170" i="34" s="1" a="1"/>
  <c r="GJ170" i="34" s="1"/>
  <c r="GB93" i="34" a="1"/>
  <c r="GB93" i="34" s="1"/>
  <c r="GJ93" i="34" s="1" a="1"/>
  <c r="GJ93" i="34" s="1"/>
  <c r="GB34" i="42" a="1"/>
  <c r="GB34" i="42" s="1"/>
  <c r="GJ34" i="42" s="1" a="1"/>
  <c r="GJ34" i="42" s="1"/>
  <c r="GB108" i="34" a="1"/>
  <c r="GB108" i="34" s="1"/>
  <c r="GJ108" i="34" s="1" a="1"/>
  <c r="GJ108" i="34" s="1"/>
  <c r="GB246" i="34" a="1"/>
  <c r="GB246" i="34" s="1"/>
  <c r="GJ246" i="34" s="1" a="1"/>
  <c r="GJ246" i="34" s="1"/>
  <c r="GB123" i="34" a="1"/>
  <c r="GB123" i="34" s="1"/>
  <c r="GJ123" i="34" s="1" a="1"/>
  <c r="GJ123" i="34" s="1"/>
  <c r="GB159" i="34" a="1"/>
  <c r="GB159" i="34" s="1"/>
  <c r="GJ159" i="34" s="1" a="1"/>
  <c r="GJ159" i="34" s="1"/>
  <c r="GB43" i="34" a="1"/>
  <c r="GB43" i="34" s="1"/>
  <c r="GJ43" i="34" s="1" a="1"/>
  <c r="GJ43" i="34" s="1"/>
  <c r="GB193" i="34" a="1"/>
  <c r="GB193" i="34" s="1"/>
  <c r="GJ193" i="34" s="1" a="1"/>
  <c r="GJ193" i="34" s="1"/>
  <c r="GB184" i="34" a="1"/>
  <c r="GB184" i="34" s="1"/>
  <c r="GJ184" i="34" s="1" a="1"/>
  <c r="GJ184" i="34" s="1"/>
  <c r="GB227" i="34" a="1"/>
  <c r="GB227" i="34" s="1"/>
  <c r="GJ227" i="34" s="1" a="1"/>
  <c r="GJ227" i="34" s="1"/>
  <c r="GB148" i="34" a="1"/>
  <c r="GB148" i="34" s="1"/>
  <c r="GJ148" i="34" s="1" a="1"/>
  <c r="GJ148" i="34" s="1"/>
  <c r="GB219" i="34" a="1"/>
  <c r="GB219" i="34" s="1"/>
  <c r="GJ219" i="34" s="1" a="1"/>
  <c r="GJ219" i="34" s="1"/>
  <c r="GB233" i="34" a="1"/>
  <c r="GB233" i="34" s="1"/>
  <c r="GJ233" i="34" s="1" a="1"/>
  <c r="GJ233" i="34" s="1"/>
  <c r="GB164" i="34" a="1"/>
  <c r="GB164" i="34" s="1"/>
  <c r="GJ164" i="34" s="1" a="1"/>
  <c r="GJ164" i="34" s="1"/>
  <c r="GB65" i="34" a="1"/>
  <c r="GB65" i="34" s="1"/>
  <c r="GJ65" i="34" s="1" a="1"/>
  <c r="GJ65" i="34" s="1"/>
  <c r="GB146" i="34" a="1"/>
  <c r="GB146" i="34" s="1"/>
  <c r="GJ146" i="34" s="1" a="1"/>
  <c r="GJ146" i="34" s="1"/>
  <c r="GB15" i="34" a="1"/>
  <c r="GB15" i="34" s="1"/>
  <c r="GJ15" i="34" s="1" a="1"/>
  <c r="GJ15" i="34" s="1"/>
  <c r="GB120" i="34" a="1"/>
  <c r="GB120" i="34" s="1"/>
  <c r="GJ120" i="34" s="1" a="1"/>
  <c r="GJ120" i="34" s="1"/>
  <c r="GB79" i="34" a="1"/>
  <c r="GB79" i="34" s="1"/>
  <c r="GJ79" i="34" s="1" a="1"/>
  <c r="GJ79" i="34" s="1"/>
  <c r="GB203" i="34" a="1"/>
  <c r="GB203" i="34" s="1"/>
  <c r="GJ203" i="34" s="1" a="1"/>
  <c r="GJ203" i="34" s="1"/>
  <c r="GB14" i="42" a="1"/>
  <c r="GB14" i="42" s="1"/>
  <c r="GJ14" i="42" s="1" a="1"/>
  <c r="GJ14" i="42" s="1"/>
  <c r="E161" i="43" s="1"/>
  <c r="GB117" i="34" a="1"/>
  <c r="GB117" i="34" s="1"/>
  <c r="GJ117" i="34" s="1" a="1"/>
  <c r="GJ117" i="34" s="1"/>
  <c r="GB106" i="34" a="1"/>
  <c r="GB106" i="34" s="1"/>
  <c r="GJ106" i="34" s="1" a="1"/>
  <c r="GJ106" i="34" s="1"/>
  <c r="GB105" i="34" a="1"/>
  <c r="GB105" i="34" s="1"/>
  <c r="GJ105" i="34" s="1" a="1"/>
  <c r="GJ105" i="34" s="1"/>
  <c r="GB25" i="42" a="1"/>
  <c r="GB25" i="42" s="1"/>
  <c r="GJ25" i="42" s="1" a="1"/>
  <c r="GJ25" i="42" s="1"/>
  <c r="GB87" i="34" a="1"/>
  <c r="GB87" i="34" s="1"/>
  <c r="GJ87" i="34" s="1" a="1"/>
  <c r="GJ87" i="34" s="1"/>
  <c r="GB218" i="34" a="1"/>
  <c r="GB218" i="34" s="1"/>
  <c r="GJ218" i="34" s="1" a="1"/>
  <c r="GJ218" i="34" s="1"/>
  <c r="GB29" i="42" a="1"/>
  <c r="GB29" i="42" s="1"/>
  <c r="GJ29" i="42" s="1" a="1"/>
  <c r="GJ29" i="42" s="1"/>
  <c r="GB200" i="34" a="1"/>
  <c r="GB200" i="34" s="1"/>
  <c r="GJ200" i="34" s="1" a="1"/>
  <c r="GJ200" i="34" s="1"/>
  <c r="GB122" i="34" a="1"/>
  <c r="GB122" i="34" s="1"/>
  <c r="GJ122" i="34" s="1" a="1"/>
  <c r="GJ122" i="34" s="1"/>
  <c r="GB139" i="34" a="1"/>
  <c r="GB139" i="34" s="1"/>
  <c r="GJ139" i="34" s="1" a="1"/>
  <c r="GJ139" i="34" s="1"/>
  <c r="GB188" i="34" a="1"/>
  <c r="GB188" i="34" s="1"/>
  <c r="GJ188" i="34" s="1" a="1"/>
  <c r="GJ188" i="34" s="1"/>
  <c r="GB21" i="42" a="1"/>
  <c r="GB21" i="42" s="1"/>
  <c r="GJ21" i="42" s="1" a="1"/>
  <c r="GJ21" i="42" s="1"/>
  <c r="GB44" i="34" a="1"/>
  <c r="GB44" i="34" s="1"/>
  <c r="GJ44" i="34" s="1" a="1"/>
  <c r="GJ44" i="34" s="1"/>
  <c r="GB214" i="34" a="1"/>
  <c r="GB214" i="34" s="1"/>
  <c r="GJ214" i="34" s="1" a="1"/>
  <c r="GJ214" i="34" s="1"/>
  <c r="GB140" i="34" a="1"/>
  <c r="GB140" i="34" s="1"/>
  <c r="GJ140" i="34" s="1" a="1"/>
  <c r="GJ140" i="34" s="1"/>
  <c r="GB166" i="34" a="1"/>
  <c r="GB166" i="34" s="1"/>
  <c r="GJ166" i="34" s="1" a="1"/>
  <c r="GJ166" i="34" s="1"/>
  <c r="GB238" i="34" a="1"/>
  <c r="GB238" i="34" s="1"/>
  <c r="GJ238" i="34" s="1" a="1"/>
  <c r="GJ238" i="34" s="1"/>
  <c r="GB99" i="34" a="1"/>
  <c r="GB99" i="34" s="1"/>
  <c r="GJ99" i="34" s="1" a="1"/>
  <c r="GJ99" i="34" s="1"/>
  <c r="GB244" i="34" a="1"/>
  <c r="GB244" i="34" s="1"/>
  <c r="GJ244" i="34" s="1" a="1"/>
  <c r="GJ244" i="34" s="1"/>
  <c r="GB243" i="34" a="1"/>
  <c r="GB243" i="34" s="1"/>
  <c r="GJ243" i="34" s="1" a="1"/>
  <c r="GJ243" i="34" s="1"/>
  <c r="GB22" i="42" a="1"/>
  <c r="GB22" i="42" s="1"/>
  <c r="GJ22" i="42" s="1" a="1"/>
  <c r="GJ22" i="42" s="1"/>
  <c r="GB125" i="34" a="1"/>
  <c r="GB125" i="34" s="1"/>
  <c r="GJ125" i="34" s="1" a="1"/>
  <c r="GJ125" i="34" s="1"/>
  <c r="GB18" i="34" a="1"/>
  <c r="GB18" i="34" s="1"/>
  <c r="GJ18" i="34" s="1" a="1"/>
  <c r="GJ18" i="34" s="1"/>
  <c r="GB136" i="34" a="1"/>
  <c r="GB136" i="34" s="1"/>
  <c r="GJ136" i="34" s="1" a="1"/>
  <c r="GJ136" i="34" s="1"/>
  <c r="GB231" i="34" a="1"/>
  <c r="GB231" i="34" s="1"/>
  <c r="GJ231" i="34" s="1" a="1"/>
  <c r="GJ231" i="34" s="1"/>
  <c r="GB72" i="34" a="1"/>
  <c r="GB72" i="34" s="1"/>
  <c r="GJ72" i="34" s="1" a="1"/>
  <c r="GJ72" i="34" s="1"/>
  <c r="GB204" i="34" a="1"/>
  <c r="GB204" i="34" s="1"/>
  <c r="GJ204" i="34" s="1" a="1"/>
  <c r="GJ204" i="34" s="1"/>
  <c r="GB169" i="34" a="1"/>
  <c r="GB169" i="34" s="1"/>
  <c r="GJ169" i="34" s="1" a="1"/>
  <c r="GJ169" i="34" s="1"/>
  <c r="GB20" i="42" a="1"/>
  <c r="GB20" i="42" s="1"/>
  <c r="GJ20" i="42" s="1" a="1"/>
  <c r="GJ20" i="42" s="1"/>
  <c r="GB24" i="34" a="1"/>
  <c r="GB24" i="34" s="1"/>
  <c r="GJ24" i="34" s="1" a="1"/>
  <c r="GJ24" i="34" s="1"/>
  <c r="GB183" i="34" a="1"/>
  <c r="GB183" i="34" s="1"/>
  <c r="GJ183" i="34" s="1" a="1"/>
  <c r="GJ183" i="34" s="1"/>
  <c r="GB228" i="34" a="1"/>
  <c r="GB228" i="34" s="1"/>
  <c r="GJ228" i="34" s="1" a="1"/>
  <c r="GJ228" i="34" s="1"/>
  <c r="GB45" i="34" a="1"/>
  <c r="GB45" i="34" s="1"/>
  <c r="GJ45" i="34" s="1" a="1"/>
  <c r="GJ45" i="34" s="1"/>
  <c r="GB152" i="34" a="1"/>
  <c r="GB152" i="34" s="1"/>
  <c r="GJ152" i="34" s="1" a="1"/>
  <c r="GJ152" i="34" s="1"/>
  <c r="GB83" i="34" a="1"/>
  <c r="GB83" i="34" s="1"/>
  <c r="GJ83" i="34" s="1" a="1"/>
  <c r="GJ83" i="34" s="1"/>
  <c r="GB114" i="34" a="1"/>
  <c r="GB114" i="34" s="1"/>
  <c r="GJ114" i="34" s="1" a="1"/>
  <c r="GJ114" i="34" s="1"/>
  <c r="GB116" i="34" a="1"/>
  <c r="GB116" i="34" s="1"/>
  <c r="GJ116" i="34" s="1" a="1"/>
  <c r="GJ116" i="34" s="1"/>
  <c r="GB154" i="34" a="1"/>
  <c r="GB154" i="34" s="1"/>
  <c r="GJ154" i="34" s="1" a="1"/>
  <c r="GJ154" i="34" s="1"/>
  <c r="GB172" i="34" a="1"/>
  <c r="GB172" i="34" s="1"/>
  <c r="GJ172" i="34" s="1" a="1"/>
  <c r="GJ172" i="34" s="1"/>
  <c r="GB103" i="34" a="1"/>
  <c r="GB103" i="34" s="1"/>
  <c r="GJ103" i="34" s="1" a="1"/>
  <c r="GJ103" i="34" s="1"/>
  <c r="GB52" i="34" a="1"/>
  <c r="GB52" i="34" s="1"/>
  <c r="GJ52" i="34" s="1" a="1"/>
  <c r="GJ52" i="34" s="1"/>
  <c r="GB195" i="34" a="1"/>
  <c r="GB195" i="34" s="1"/>
  <c r="GJ195" i="34" s="1" a="1"/>
  <c r="GJ195" i="34" s="1"/>
  <c r="GB192" i="34" a="1"/>
  <c r="GB192" i="34" s="1"/>
  <c r="GJ192" i="34" s="1" a="1"/>
  <c r="GJ192" i="34" s="1"/>
  <c r="GB23" i="34" a="1"/>
  <c r="GB23" i="34" s="1"/>
  <c r="GJ23" i="34" s="1" a="1"/>
  <c r="GJ23" i="34" s="1"/>
  <c r="GB66" i="34" a="1"/>
  <c r="GB66" i="34" s="1"/>
  <c r="GJ66" i="34" s="1" a="1"/>
  <c r="GJ66" i="34" s="1"/>
  <c r="GB35" i="34" a="1"/>
  <c r="GB35" i="34" s="1"/>
  <c r="GJ35" i="34" s="1" a="1"/>
  <c r="GJ35" i="34" s="1"/>
  <c r="GB236" i="34" a="1"/>
  <c r="GB236" i="34" s="1"/>
  <c r="GJ236" i="34" s="1" a="1"/>
  <c r="GJ236" i="34" s="1"/>
  <c r="GB84" i="34" a="1"/>
  <c r="GB84" i="34" s="1"/>
  <c r="GJ84" i="34" s="1" a="1"/>
  <c r="GJ84" i="34" s="1"/>
  <c r="GB53" i="34" a="1"/>
  <c r="GB53" i="34" s="1"/>
  <c r="GJ53" i="34" s="1" a="1"/>
  <c r="GJ53" i="34" s="1"/>
  <c r="GB185" i="34" a="1"/>
  <c r="GB185" i="34" s="1"/>
  <c r="GJ185" i="34" s="1" a="1"/>
  <c r="GJ185" i="34" s="1"/>
  <c r="GB161" i="34" a="1"/>
  <c r="GB161" i="34" s="1"/>
  <c r="GJ161" i="34" s="1" a="1"/>
  <c r="GJ161" i="34" s="1"/>
  <c r="GB162" i="34" a="1"/>
  <c r="GB162" i="34" s="1"/>
  <c r="GJ162" i="34" s="1" a="1"/>
  <c r="GJ162" i="34" s="1"/>
  <c r="GB13" i="34" a="1"/>
  <c r="GB13" i="34" s="1"/>
  <c r="GJ13" i="34" s="1" a="1"/>
  <c r="GJ13" i="34" s="1"/>
  <c r="GB97" i="34" a="1"/>
  <c r="GB97" i="34" s="1"/>
  <c r="GJ97" i="34" s="1" a="1"/>
  <c r="GJ97" i="34" s="1"/>
  <c r="GB201" i="34" a="1"/>
  <c r="GB201" i="34" s="1"/>
  <c r="GJ201" i="34" s="1" a="1"/>
  <c r="GJ201" i="34" s="1"/>
  <c r="GB249" i="34" a="1"/>
  <c r="GB249" i="34" s="1"/>
  <c r="GJ249" i="34" s="1" a="1"/>
  <c r="GJ249" i="34" s="1"/>
  <c r="GB224" i="34" a="1"/>
  <c r="GB224" i="34" s="1"/>
  <c r="GJ224" i="34" s="1" a="1"/>
  <c r="GJ224" i="34" s="1"/>
  <c r="GB171" i="34" a="1"/>
  <c r="GB171" i="34" s="1"/>
  <c r="GJ171" i="34" s="1" a="1"/>
  <c r="GJ171" i="34" s="1"/>
  <c r="GB33" i="42" a="1"/>
  <c r="GB33" i="42" s="1"/>
  <c r="GJ33" i="42" s="1" a="1"/>
  <c r="GJ33" i="42" s="1"/>
  <c r="GB191" i="34" a="1"/>
  <c r="GB191" i="34" s="1"/>
  <c r="GJ191" i="34" s="1" a="1"/>
  <c r="GJ191" i="34" s="1"/>
  <c r="GB175" i="34" a="1"/>
  <c r="GB175" i="34" s="1"/>
  <c r="GJ175" i="34" s="1" a="1"/>
  <c r="GJ175" i="34" s="1"/>
  <c r="GB207" i="34" a="1"/>
  <c r="GB207" i="34" s="1"/>
  <c r="GJ207" i="34" s="1" a="1"/>
  <c r="GJ207" i="34" s="1"/>
  <c r="GB82" i="34" a="1"/>
  <c r="GB82" i="34" s="1"/>
  <c r="GJ82" i="34" s="1" a="1"/>
  <c r="GJ82" i="34" s="1"/>
  <c r="GB255" i="34" a="1"/>
  <c r="GB255" i="34" s="1"/>
  <c r="GJ255" i="34" s="1" a="1"/>
  <c r="GJ255" i="34" s="1"/>
  <c r="GB237" i="34" a="1"/>
  <c r="GB237" i="34" s="1"/>
  <c r="GJ237" i="34" s="1" a="1"/>
  <c r="GJ237" i="34" s="1"/>
  <c r="GB254" i="34" a="1"/>
  <c r="GB254" i="34" s="1"/>
  <c r="GJ254" i="34" s="1" a="1"/>
  <c r="GJ254" i="34" s="1"/>
  <c r="GB8" i="41" a="1"/>
  <c r="GB8" i="41" s="1"/>
  <c r="GJ8" i="41" s="1" a="1"/>
  <c r="GJ8" i="41" s="1"/>
  <c r="GB251" i="34" a="1"/>
  <c r="GB251" i="34" s="1"/>
  <c r="GJ251" i="34" s="1" a="1"/>
  <c r="GJ251" i="34" s="1"/>
  <c r="GB11" i="41" a="1"/>
  <c r="GB11" i="41" s="1"/>
  <c r="GJ11" i="41" s="1" a="1"/>
  <c r="GJ11" i="41" s="1"/>
  <c r="E19" i="44" s="1"/>
  <c r="GB9" i="42" a="1"/>
  <c r="GB9" i="42" s="1"/>
  <c r="GJ9" i="42" s="1" a="1"/>
  <c r="GJ9" i="42" s="1"/>
  <c r="GB16" i="34" a="1"/>
  <c r="GB16" i="34" s="1"/>
  <c r="GJ16" i="34" s="1" a="1"/>
  <c r="GJ16" i="34" s="1"/>
  <c r="GB96" i="34" a="1"/>
  <c r="GB96" i="34" s="1"/>
  <c r="GJ96" i="34" s="1" a="1"/>
  <c r="GJ96" i="34" s="1"/>
  <c r="GB48" i="34" a="1"/>
  <c r="GB48" i="34" s="1"/>
  <c r="GJ48" i="34" s="1" a="1"/>
  <c r="GJ48" i="34" s="1"/>
  <c r="GB149" i="34" a="1"/>
  <c r="GB149" i="34" s="1"/>
  <c r="GJ149" i="34" s="1" a="1"/>
  <c r="GJ149" i="34" s="1"/>
  <c r="GB182" i="34" a="1"/>
  <c r="GB182" i="34" s="1"/>
  <c r="GJ182" i="34" s="1" a="1"/>
  <c r="GJ182" i="34" s="1"/>
  <c r="GB110" i="34" a="1"/>
  <c r="GB110" i="34" s="1"/>
  <c r="GJ110" i="34" s="1" a="1"/>
  <c r="GJ110" i="34" s="1"/>
  <c r="GB113" i="34" a="1"/>
  <c r="GB113" i="34" s="1"/>
  <c r="GJ113" i="34" s="1" a="1"/>
  <c r="GJ113" i="34" s="1"/>
  <c r="GB27" i="34" a="1"/>
  <c r="GB27" i="34" s="1"/>
  <c r="GJ27" i="34" s="1" a="1"/>
  <c r="GJ27" i="34" s="1"/>
  <c r="GB176" i="34" a="1"/>
  <c r="GB176" i="34" s="1"/>
  <c r="GJ176" i="34" s="1" a="1"/>
  <c r="GJ176" i="34" s="1"/>
  <c r="GB54" i="34" a="1"/>
  <c r="GB54" i="34" s="1"/>
  <c r="GJ54" i="34" s="1" a="1"/>
  <c r="GJ54" i="34" s="1"/>
  <c r="GB194" i="34" a="1"/>
  <c r="GB194" i="34" s="1"/>
  <c r="GJ194" i="34" s="1" a="1"/>
  <c r="GJ194" i="34" s="1"/>
  <c r="GB111" i="34" a="1"/>
  <c r="GB111" i="34" s="1"/>
  <c r="GJ111" i="34" s="1" a="1"/>
  <c r="GJ111" i="34" s="1"/>
  <c r="GB167" i="34" a="1"/>
  <c r="GB167" i="34" s="1"/>
  <c r="GJ167" i="34" s="1" a="1"/>
  <c r="GJ167" i="34" s="1"/>
  <c r="GB90" i="34" a="1"/>
  <c r="GB90" i="34" s="1"/>
  <c r="GJ90" i="34" s="1" a="1"/>
  <c r="GJ90" i="34" s="1"/>
  <c r="GB81" i="34" a="1"/>
  <c r="GB81" i="34" s="1"/>
  <c r="GJ81" i="34" s="1" a="1"/>
  <c r="GJ81" i="34" s="1"/>
  <c r="GB20" i="34" a="1"/>
  <c r="GB20" i="34" s="1"/>
  <c r="GJ20" i="34" s="1" a="1"/>
  <c r="GJ20" i="34" s="1"/>
  <c r="GB239" i="34" a="1"/>
  <c r="GB239" i="34" s="1"/>
  <c r="GJ239" i="34" s="1" a="1"/>
  <c r="GJ239" i="34" s="1"/>
  <c r="GB124" i="34" a="1"/>
  <c r="GB124" i="34" s="1"/>
  <c r="GJ124" i="34" s="1" a="1"/>
  <c r="GJ124" i="34" s="1"/>
  <c r="GB30" i="42" a="1"/>
  <c r="GB30" i="42" s="1"/>
  <c r="GJ30" i="42" s="1" a="1"/>
  <c r="GJ30" i="42" s="1"/>
  <c r="GB12" i="42" a="1"/>
  <c r="GB12" i="42" s="1"/>
  <c r="GJ12" i="42" s="1" a="1"/>
  <c r="GJ12" i="42" s="1"/>
  <c r="GB216" i="34" a="1"/>
  <c r="GB216" i="34" s="1"/>
  <c r="GJ216" i="34" s="1" a="1"/>
  <c r="GJ216" i="34" s="1"/>
  <c r="GB252" i="34" a="1"/>
  <c r="GB252" i="34" s="1"/>
  <c r="GJ252" i="34" s="1" a="1"/>
  <c r="GJ252" i="34" s="1"/>
  <c r="GB126" i="34" a="1"/>
  <c r="GB126" i="34" s="1"/>
  <c r="GJ126" i="34" s="1" a="1"/>
  <c r="GJ126" i="34" s="1"/>
  <c r="GB242" i="34" a="1"/>
  <c r="GB242" i="34" s="1"/>
  <c r="GJ242" i="34" s="1" a="1"/>
  <c r="GJ242" i="34" s="1"/>
  <c r="GB215" i="34" a="1"/>
  <c r="GB215" i="34" s="1"/>
  <c r="GJ215" i="34" s="1" a="1"/>
  <c r="GJ215" i="34" s="1"/>
  <c r="GB150" i="34" a="1"/>
  <c r="GB150" i="34" s="1"/>
  <c r="GJ150" i="34" s="1" a="1"/>
  <c r="GJ150" i="34" s="1"/>
  <c r="GB68" i="34" a="1"/>
  <c r="GB68" i="34" s="1"/>
  <c r="GJ68" i="34" s="1" a="1"/>
  <c r="GJ68" i="34" s="1"/>
  <c r="GB206" i="34" a="1"/>
  <c r="GB206" i="34" s="1"/>
  <c r="GJ206" i="34" s="1" a="1"/>
  <c r="GJ206" i="34" s="1"/>
  <c r="GB229" i="34" a="1"/>
  <c r="GB229" i="34" s="1"/>
  <c r="GJ229" i="34" s="1" a="1"/>
  <c r="GJ229" i="34" s="1"/>
  <c r="GB221" i="34" a="1"/>
  <c r="GB221" i="34" s="1"/>
  <c r="GJ221" i="34" s="1" a="1"/>
  <c r="GJ221" i="34" s="1"/>
  <c r="GB245" i="34" a="1"/>
  <c r="GB245" i="34" s="1"/>
  <c r="GJ245" i="34" s="1" a="1"/>
  <c r="GJ245" i="34" s="1"/>
  <c r="GB180" i="34" a="1"/>
  <c r="GB180" i="34" s="1"/>
  <c r="GJ180" i="34" s="1" a="1"/>
  <c r="GJ180" i="34" s="1"/>
  <c r="GB247" i="34" a="1"/>
  <c r="GB247" i="34" s="1"/>
  <c r="GJ247" i="34" s="1" a="1"/>
  <c r="GJ247" i="34" s="1"/>
  <c r="GB240" i="34" a="1"/>
  <c r="GB240" i="34" s="1"/>
  <c r="GJ240" i="34" s="1" a="1"/>
  <c r="GJ240" i="34" s="1"/>
  <c r="GB56" i="34" a="1"/>
  <c r="GB56" i="34" s="1"/>
  <c r="GJ56" i="34" s="1" a="1"/>
  <c r="GJ56" i="34" s="1"/>
  <c r="GB78" i="34" a="1"/>
  <c r="GB78" i="34" s="1"/>
  <c r="GJ78" i="34" s="1" a="1"/>
  <c r="GJ78" i="34" s="1"/>
  <c r="GB173" i="34" a="1"/>
  <c r="GB173" i="34" s="1"/>
  <c r="GJ173" i="34" s="1" a="1"/>
  <c r="GJ173" i="34" s="1"/>
  <c r="GB47" i="34" a="1"/>
  <c r="GB47" i="34" s="1"/>
  <c r="GJ47" i="34" s="1" a="1"/>
  <c r="GJ47" i="34" s="1"/>
  <c r="GB225" i="34" a="1"/>
  <c r="GB225" i="34" s="1"/>
  <c r="GJ225" i="34" s="1" a="1"/>
  <c r="GJ225" i="34" s="1"/>
  <c r="GB71" i="34" a="1"/>
  <c r="GB71" i="34" s="1"/>
  <c r="GJ71" i="34" s="1" a="1"/>
  <c r="GJ71" i="34" s="1"/>
  <c r="GB187" i="34" a="1"/>
  <c r="GB187" i="34" s="1"/>
  <c r="GJ187" i="34" s="1" a="1"/>
  <c r="GJ187" i="34" s="1"/>
  <c r="GB26" i="42" a="1"/>
  <c r="GB26" i="42" s="1"/>
  <c r="GJ26" i="42" s="1" a="1"/>
  <c r="GJ26" i="42" s="1"/>
  <c r="E182" i="43" s="1"/>
  <c r="GB94" i="34" a="1"/>
  <c r="GB94" i="34" s="1"/>
  <c r="GJ94" i="34" s="1" a="1"/>
  <c r="GJ94" i="34" s="1"/>
  <c r="GB42" i="34" a="1"/>
  <c r="GB42" i="34" s="1"/>
  <c r="GJ42" i="34" s="1" a="1"/>
  <c r="GJ42" i="34" s="1"/>
  <c r="GB19" i="34" a="1"/>
  <c r="GB19" i="34" s="1"/>
  <c r="GJ19" i="34" s="1" a="1"/>
  <c r="GJ19" i="34" s="1"/>
  <c r="GB222" i="34" a="1"/>
  <c r="GB222" i="34" s="1"/>
  <c r="GJ222" i="34" s="1" a="1"/>
  <c r="GJ222" i="34" s="1"/>
  <c r="GB88" i="34" a="1"/>
  <c r="GB88" i="34" s="1"/>
  <c r="GJ88" i="34" s="1" a="1"/>
  <c r="GJ88" i="34" s="1"/>
  <c r="GB220" i="34" a="1"/>
  <c r="GB220" i="34" s="1"/>
  <c r="GJ220" i="34" s="1" a="1"/>
  <c r="GJ220" i="34" s="1"/>
  <c r="GB26" i="34" a="1"/>
  <c r="GB26" i="34" s="1"/>
  <c r="GJ26" i="34" s="1" a="1"/>
  <c r="GJ26" i="34" s="1"/>
  <c r="GB158" i="34" a="1"/>
  <c r="GB158" i="34" s="1"/>
  <c r="GJ158" i="34" s="1" a="1"/>
  <c r="GJ158" i="34" s="1"/>
  <c r="GB28" i="34" a="1"/>
  <c r="GB28" i="34" s="1"/>
  <c r="GJ28" i="34" s="1" a="1"/>
  <c r="GJ28" i="34" s="1"/>
  <c r="GB230" i="34" a="1"/>
  <c r="GB230" i="34" s="1"/>
  <c r="GJ230" i="34" s="1" a="1"/>
  <c r="GJ230" i="34" s="1"/>
  <c r="GB74" i="34" a="1"/>
  <c r="GB74" i="34" s="1"/>
  <c r="GJ74" i="34" s="1" a="1"/>
  <c r="GJ74" i="34" s="1"/>
  <c r="GB17" i="34" a="1"/>
  <c r="GB17" i="34" s="1"/>
  <c r="GJ17" i="34" s="1" a="1"/>
  <c r="GJ17" i="34" s="1"/>
  <c r="GB91" i="34" a="1"/>
  <c r="GB91" i="34" s="1"/>
  <c r="GJ91" i="34" s="1" a="1"/>
  <c r="GJ91" i="34" s="1"/>
  <c r="GB41" i="34" a="1"/>
  <c r="GB41" i="34" s="1"/>
  <c r="GJ41" i="34" s="1" a="1"/>
  <c r="GJ41" i="34" s="1"/>
  <c r="GB89" i="34" a="1"/>
  <c r="GB89" i="34" s="1"/>
  <c r="GJ89" i="34" s="1" a="1"/>
  <c r="GJ89" i="34" s="1"/>
  <c r="GB163" i="34" a="1"/>
  <c r="GB163" i="34" s="1"/>
  <c r="GJ163" i="34" s="1" a="1"/>
  <c r="GJ163" i="34" s="1"/>
  <c r="GB241" i="34" a="1"/>
  <c r="GB241" i="34" s="1"/>
  <c r="GJ241" i="34" s="1" a="1"/>
  <c r="GJ241" i="34" s="1"/>
  <c r="GB147" i="34" a="1"/>
  <c r="GB147" i="34" s="1"/>
  <c r="GJ147" i="34" s="1" a="1"/>
  <c r="GJ147" i="34" s="1"/>
  <c r="GB60" i="34" a="1"/>
  <c r="GB60" i="34" s="1"/>
  <c r="GJ60" i="34" s="1" a="1"/>
  <c r="GJ60" i="34" s="1"/>
  <c r="GB29" i="34" a="1"/>
  <c r="GB29" i="34" s="1"/>
  <c r="GJ29" i="34" s="1" a="1"/>
  <c r="GJ29" i="34" s="1"/>
  <c r="GB202" i="34" a="1"/>
  <c r="GB202" i="34" s="1"/>
  <c r="GJ202" i="34" s="1" a="1"/>
  <c r="GJ202" i="34" s="1"/>
  <c r="GB137" i="34" a="1"/>
  <c r="GB137" i="34" s="1"/>
  <c r="GJ137" i="34" s="1" a="1"/>
  <c r="GJ137" i="34" s="1"/>
  <c r="G33" i="55"/>
  <c r="G87" i="55" s="1"/>
  <c r="L38" i="55"/>
  <c r="L92" i="55" s="1"/>
  <c r="D31" i="55"/>
  <c r="C36" i="55"/>
  <c r="HR34" i="34"/>
  <c r="D182" i="43"/>
  <c r="HR19" i="34"/>
  <c r="F33" i="55"/>
  <c r="F87" i="55" s="1"/>
  <c r="F36" i="55"/>
  <c r="F90" i="55" s="1"/>
  <c r="D160" i="43"/>
  <c r="D163" i="43"/>
  <c r="D23" i="43"/>
  <c r="D203" i="43"/>
  <c r="D14" i="16"/>
  <c r="D161" i="43"/>
  <c r="I33" i="55"/>
  <c r="I87" i="55" s="1"/>
  <c r="HR153" i="34"/>
  <c r="I38" i="55"/>
  <c r="I92" i="55" s="1"/>
  <c r="HR154" i="34"/>
  <c r="E31" i="55"/>
  <c r="I36" i="55"/>
  <c r="I90" i="55" s="1"/>
  <c r="D21" i="43"/>
  <c r="D159" i="43"/>
  <c r="D112" i="55"/>
  <c r="H36" i="40" s="1"/>
  <c r="D130" i="55"/>
  <c r="D20" i="16"/>
  <c r="HR222" i="34"/>
  <c r="D33" i="55"/>
  <c r="D87" i="55" s="1"/>
  <c r="F31" i="55"/>
  <c r="HR65" i="34"/>
  <c r="D17" i="16"/>
  <c r="F38" i="55"/>
  <c r="F92" i="55" s="1"/>
  <c r="D19" i="44"/>
  <c r="D183" i="43"/>
  <c r="G31" i="55"/>
  <c r="D12" i="43"/>
  <c r="D181" i="43"/>
  <c r="D22" i="43"/>
  <c r="D21" i="16"/>
  <c r="HR16" i="34"/>
  <c r="C33" i="55"/>
  <c r="HR99" i="34"/>
  <c r="HR223" i="34"/>
  <c r="H31" i="55"/>
  <c r="D14" i="43"/>
  <c r="D23" i="44"/>
  <c r="D18" i="16"/>
  <c r="D20" i="43"/>
  <c r="D137" i="43"/>
  <c r="D162" i="43"/>
  <c r="D204" i="43"/>
  <c r="HR237" i="34"/>
  <c r="E33" i="55"/>
  <c r="E87" i="55" s="1"/>
  <c r="HR60" i="34"/>
  <c r="C31" i="55"/>
  <c r="D22" i="44"/>
  <c r="D22" i="16"/>
  <c r="HR188" i="34"/>
  <c r="HR37" i="34"/>
  <c r="HR189" i="34"/>
  <c r="HR225" i="34"/>
  <c r="L31" i="55"/>
  <c r="HR131" i="34"/>
  <c r="H112" i="55" l="1"/>
  <c r="L36" i="40" s="1"/>
  <c r="D128" i="55"/>
  <c r="J29" i="55"/>
  <c r="C83" i="55"/>
  <c r="J34" i="55"/>
  <c r="C88" i="55"/>
  <c r="G112" i="55"/>
  <c r="K36" i="40" s="1"/>
  <c r="G128" i="55"/>
  <c r="L128" i="55"/>
  <c r="E11" i="16"/>
  <c r="E31" i="16" s="1"/>
  <c r="E51" i="16" s="1"/>
  <c r="E23" i="16"/>
  <c r="E43" i="16" s="1"/>
  <c r="E18" i="16"/>
  <c r="E38" i="16" s="1"/>
  <c r="I19" i="40" s="1"/>
  <c r="HS7" i="34"/>
  <c r="D39" i="16"/>
  <c r="H85" i="55"/>
  <c r="H42" i="55"/>
  <c r="GC12" i="41" a="1"/>
  <c r="GC12" i="41" s="1"/>
  <c r="GK12" i="41" s="1" a="1"/>
  <c r="GK12" i="41" s="1"/>
  <c r="GC34" i="42" a="1"/>
  <c r="GC34" i="42" s="1"/>
  <c r="GK34" i="42" s="1" a="1"/>
  <c r="GK34" i="42" s="1"/>
  <c r="GC12" i="34" a="1"/>
  <c r="GC12" i="34" s="1"/>
  <c r="GK12" i="34" s="1" a="1"/>
  <c r="GK12" i="34" s="1"/>
  <c r="GC18" i="42" a="1"/>
  <c r="GC18" i="42" s="1"/>
  <c r="GK18" i="42" s="1" a="1"/>
  <c r="GK18" i="42" s="1"/>
  <c r="GC140" i="34" a="1"/>
  <c r="GC140" i="34" s="1"/>
  <c r="GK140" i="34" s="1" a="1"/>
  <c r="GK140" i="34" s="1"/>
  <c r="GC145" i="34" a="1"/>
  <c r="GC145" i="34" s="1"/>
  <c r="GK145" i="34" s="1" a="1"/>
  <c r="GK145" i="34" s="1"/>
  <c r="GC97" i="34" a="1"/>
  <c r="GC97" i="34" s="1"/>
  <c r="GK97" i="34" s="1" a="1"/>
  <c r="GK97" i="34" s="1"/>
  <c r="GC149" i="34" a="1"/>
  <c r="GC149" i="34" s="1"/>
  <c r="GK149" i="34" s="1" a="1"/>
  <c r="GK149" i="34" s="1"/>
  <c r="GC157" i="34" a="1"/>
  <c r="GC157" i="34" s="1"/>
  <c r="GK157" i="34" s="1" a="1"/>
  <c r="GK157" i="34" s="1"/>
  <c r="GC205" i="34" a="1"/>
  <c r="GC205" i="34" s="1"/>
  <c r="GK205" i="34" s="1" a="1"/>
  <c r="GK205" i="34" s="1"/>
  <c r="GC164" i="34" a="1"/>
  <c r="GC164" i="34" s="1"/>
  <c r="GK164" i="34" s="1" a="1"/>
  <c r="GK164" i="34" s="1"/>
  <c r="GC216" i="34" a="1"/>
  <c r="GC216" i="34" s="1"/>
  <c r="GK216" i="34" s="1" a="1"/>
  <c r="GK216" i="34" s="1"/>
  <c r="GC8" i="34" a="1"/>
  <c r="GC8" i="34" s="1"/>
  <c r="GK8" i="34" s="1" a="1"/>
  <c r="GK8" i="34" s="1"/>
  <c r="GC245" i="34" a="1"/>
  <c r="GC245" i="34" s="1"/>
  <c r="GK245" i="34" s="1" a="1"/>
  <c r="GK245" i="34" s="1"/>
  <c r="GC10" i="42" a="1"/>
  <c r="GC10" i="42" s="1"/>
  <c r="GK10" i="42" s="1" a="1"/>
  <c r="GK10" i="42" s="1"/>
  <c r="GC194" i="34" a="1"/>
  <c r="GC194" i="34" s="1"/>
  <c r="GK194" i="34" s="1" a="1"/>
  <c r="GK194" i="34" s="1"/>
  <c r="GC62" i="34" a="1"/>
  <c r="GC62" i="34" s="1"/>
  <c r="GK62" i="34" s="1" a="1"/>
  <c r="GK62" i="34" s="1"/>
  <c r="GC250" i="34" a="1"/>
  <c r="GC250" i="34" s="1"/>
  <c r="GK250" i="34" s="1" a="1"/>
  <c r="GK250" i="34" s="1"/>
  <c r="GC168" i="34" a="1"/>
  <c r="GC168" i="34" s="1"/>
  <c r="GK168" i="34" s="1" a="1"/>
  <c r="GK168" i="34" s="1"/>
  <c r="GC95" i="34" a="1"/>
  <c r="GC95" i="34" s="1"/>
  <c r="GK95" i="34" s="1" a="1"/>
  <c r="GK95" i="34" s="1"/>
  <c r="GC127" i="34" a="1"/>
  <c r="GC127" i="34" s="1"/>
  <c r="GK127" i="34" s="1" a="1"/>
  <c r="GK127" i="34" s="1"/>
  <c r="GC34" i="34" a="1"/>
  <c r="GC34" i="34" s="1"/>
  <c r="GK34" i="34" s="1" a="1"/>
  <c r="GK34" i="34" s="1"/>
  <c r="GC232" i="34" a="1"/>
  <c r="GC232" i="34" s="1"/>
  <c r="GK232" i="34" s="1" a="1"/>
  <c r="GK232" i="34" s="1"/>
  <c r="GC27" i="42" a="1"/>
  <c r="GC27" i="42" s="1"/>
  <c r="GK27" i="42" s="1" a="1"/>
  <c r="GK27" i="42" s="1"/>
  <c r="GC94" i="34" a="1"/>
  <c r="GC94" i="34" s="1"/>
  <c r="GK94" i="34" s="1" a="1"/>
  <c r="GK94" i="34" s="1"/>
  <c r="GC63" i="34" a="1"/>
  <c r="GC63" i="34" s="1"/>
  <c r="GK63" i="34" s="1" a="1"/>
  <c r="GK63" i="34" s="1"/>
  <c r="GC171" i="34" a="1"/>
  <c r="GC171" i="34" s="1"/>
  <c r="GK171" i="34" s="1" a="1"/>
  <c r="GK171" i="34" s="1"/>
  <c r="GC112" i="34" a="1"/>
  <c r="GC112" i="34" s="1"/>
  <c r="GK112" i="34" s="1" a="1"/>
  <c r="GK112" i="34" s="1"/>
  <c r="GC32" i="42" a="1"/>
  <c r="GC32" i="42" s="1"/>
  <c r="GK32" i="42" s="1" a="1"/>
  <c r="GK32" i="42" s="1"/>
  <c r="GC186" i="34" a="1"/>
  <c r="GC186" i="34" s="1"/>
  <c r="GK186" i="34" s="1" a="1"/>
  <c r="GK186" i="34" s="1"/>
  <c r="GC151" i="34" a="1"/>
  <c r="GC151" i="34" s="1"/>
  <c r="GK151" i="34" s="1" a="1"/>
  <c r="GK151" i="34" s="1"/>
  <c r="GC182" i="34" a="1"/>
  <c r="GC182" i="34" s="1"/>
  <c r="GK182" i="34" s="1" a="1"/>
  <c r="GK182" i="34" s="1"/>
  <c r="GC191" i="34" a="1"/>
  <c r="GC191" i="34" s="1"/>
  <c r="GK191" i="34" s="1" a="1"/>
  <c r="GK191" i="34" s="1"/>
  <c r="GC155" i="34" a="1"/>
  <c r="GC155" i="34" s="1"/>
  <c r="GK155" i="34" s="1" a="1"/>
  <c r="GK155" i="34" s="1"/>
  <c r="GC28" i="42" a="1"/>
  <c r="GC28" i="42" s="1"/>
  <c r="GK28" i="42" s="1" a="1"/>
  <c r="GK28" i="42" s="1"/>
  <c r="GC119" i="34" a="1"/>
  <c r="GC119" i="34" s="1"/>
  <c r="GK119" i="34" s="1" a="1"/>
  <c r="GK119" i="34" s="1"/>
  <c r="GC188" i="34" a="1"/>
  <c r="GC188" i="34" s="1"/>
  <c r="GK188" i="34" s="1" a="1"/>
  <c r="GK188" i="34" s="1"/>
  <c r="GC133" i="34" a="1"/>
  <c r="GC133" i="34" s="1"/>
  <c r="GK133" i="34" s="1" a="1"/>
  <c r="GK133" i="34" s="1"/>
  <c r="GC162" i="34" a="1"/>
  <c r="GC162" i="34" s="1"/>
  <c r="GK162" i="34" s="1" a="1"/>
  <c r="GK162" i="34" s="1"/>
  <c r="GC177" i="34" a="1"/>
  <c r="GC177" i="34" s="1"/>
  <c r="GK177" i="34" s="1" a="1"/>
  <c r="GK177" i="34" s="1"/>
  <c r="GC169" i="34" a="1"/>
  <c r="GC169" i="34" s="1"/>
  <c r="GK169" i="34" s="1" a="1"/>
  <c r="GK169" i="34" s="1"/>
  <c r="GC24" i="42" a="1"/>
  <c r="GC24" i="42" s="1"/>
  <c r="GK24" i="42" s="1" a="1"/>
  <c r="GK24" i="42" s="1"/>
  <c r="GC233" i="34" a="1"/>
  <c r="GC233" i="34" s="1"/>
  <c r="GK233" i="34" s="1" a="1"/>
  <c r="GK233" i="34" s="1"/>
  <c r="GC50" i="34" a="1"/>
  <c r="GC50" i="34" s="1"/>
  <c r="GK50" i="34" s="1" a="1"/>
  <c r="GK50" i="34" s="1"/>
  <c r="GC179" i="34" a="1"/>
  <c r="GC179" i="34" s="1"/>
  <c r="GK179" i="34" s="1" a="1"/>
  <c r="GK179" i="34" s="1"/>
  <c r="GC26" i="34" a="1"/>
  <c r="GC26" i="34" s="1"/>
  <c r="GK26" i="34" s="1" a="1"/>
  <c r="GK26" i="34" s="1"/>
  <c r="GC170" i="34" a="1"/>
  <c r="GC170" i="34" s="1"/>
  <c r="GK170" i="34" s="1" a="1"/>
  <c r="GK170" i="34" s="1"/>
  <c r="GC111" i="34" a="1"/>
  <c r="GC111" i="34" s="1"/>
  <c r="GK111" i="34" s="1" a="1"/>
  <c r="GK111" i="34" s="1"/>
  <c r="GC44" i="34" a="1"/>
  <c r="GC44" i="34" s="1"/>
  <c r="GK44" i="34" s="1" a="1"/>
  <c r="GK44" i="34" s="1"/>
  <c r="GC176" i="34" a="1"/>
  <c r="GC176" i="34" s="1"/>
  <c r="GK176" i="34" s="1" a="1"/>
  <c r="GK176" i="34" s="1"/>
  <c r="GC8" i="42" a="1"/>
  <c r="GC8" i="42" s="1"/>
  <c r="GK8" i="42" s="1" a="1"/>
  <c r="GK8" i="42" s="1"/>
  <c r="GC166" i="34" a="1"/>
  <c r="GC166" i="34" s="1"/>
  <c r="GK166" i="34" s="1" a="1"/>
  <c r="GK166" i="34" s="1"/>
  <c r="GC154" i="34" a="1"/>
  <c r="GC154" i="34" s="1"/>
  <c r="GK154" i="34" s="1" a="1"/>
  <c r="GK154" i="34" s="1"/>
  <c r="GC163" i="34" a="1"/>
  <c r="GC163" i="34" s="1"/>
  <c r="GK163" i="34" s="1" a="1"/>
  <c r="GK163" i="34" s="1"/>
  <c r="GC108" i="34" a="1"/>
  <c r="GC108" i="34" s="1"/>
  <c r="GK108" i="34" s="1" a="1"/>
  <c r="GK108" i="34" s="1"/>
  <c r="GC52" i="34" a="1"/>
  <c r="GC52" i="34" s="1"/>
  <c r="GK52" i="34" s="1" a="1"/>
  <c r="GK52" i="34" s="1"/>
  <c r="GC9" i="42" a="1"/>
  <c r="GC9" i="42" s="1"/>
  <c r="GK9" i="42" s="1" a="1"/>
  <c r="GK9" i="42" s="1"/>
  <c r="GC147" i="34" a="1"/>
  <c r="GC147" i="34" s="1"/>
  <c r="GK147" i="34" s="1" a="1"/>
  <c r="GK147" i="34" s="1"/>
  <c r="GC218" i="34" a="1"/>
  <c r="GC218" i="34" s="1"/>
  <c r="GK218" i="34" s="1" a="1"/>
  <c r="GK218" i="34" s="1"/>
  <c r="GC213" i="34" a="1"/>
  <c r="GC213" i="34" s="1"/>
  <c r="GK213" i="34" s="1" a="1"/>
  <c r="GK213" i="34" s="1"/>
  <c r="GC61" i="34" a="1"/>
  <c r="GC61" i="34" s="1"/>
  <c r="GK61" i="34" s="1" a="1"/>
  <c r="GK61" i="34" s="1"/>
  <c r="GC31" i="34" a="1"/>
  <c r="GC31" i="34" s="1"/>
  <c r="GK31" i="34" s="1" a="1"/>
  <c r="GK31" i="34" s="1"/>
  <c r="GC91" i="34" a="1"/>
  <c r="GC91" i="34" s="1"/>
  <c r="GK91" i="34" s="1" a="1"/>
  <c r="GK91" i="34" s="1"/>
  <c r="GC190" i="34" a="1"/>
  <c r="GC190" i="34" s="1"/>
  <c r="GK190" i="34" s="1" a="1"/>
  <c r="GK190" i="34" s="1"/>
  <c r="GC221" i="34" a="1"/>
  <c r="GC221" i="34" s="1"/>
  <c r="GK221" i="34" s="1" a="1"/>
  <c r="GK221" i="34" s="1"/>
  <c r="GC16" i="42" a="1"/>
  <c r="GC16" i="42" s="1"/>
  <c r="GK16" i="42" s="1" a="1"/>
  <c r="GK16" i="42" s="1"/>
  <c r="F163" i="43" s="1"/>
  <c r="GC59" i="34" a="1"/>
  <c r="GC59" i="34" s="1"/>
  <c r="GK59" i="34" s="1" a="1"/>
  <c r="GK59" i="34" s="1"/>
  <c r="GC14" i="42" a="1"/>
  <c r="GC14" i="42" s="1"/>
  <c r="GK14" i="42" s="1" a="1"/>
  <c r="GK14" i="42" s="1"/>
  <c r="F161" i="43" s="1"/>
  <c r="GC122" i="34" a="1"/>
  <c r="GC122" i="34" s="1"/>
  <c r="GK122" i="34" s="1" a="1"/>
  <c r="GK122" i="34" s="1"/>
  <c r="GC225" i="34" a="1"/>
  <c r="GC225" i="34" s="1"/>
  <c r="GK225" i="34" s="1" a="1"/>
  <c r="GK225" i="34" s="1"/>
  <c r="GC30" i="34" a="1"/>
  <c r="GC30" i="34" s="1"/>
  <c r="GK30" i="34" s="1" a="1"/>
  <c r="GK30" i="34" s="1"/>
  <c r="GC212" i="34" a="1"/>
  <c r="GC212" i="34" s="1"/>
  <c r="GK212" i="34" s="1" a="1"/>
  <c r="GK212" i="34" s="1"/>
  <c r="GC207" i="34" a="1"/>
  <c r="GC207" i="34" s="1"/>
  <c r="GK207" i="34" s="1" a="1"/>
  <c r="GK207" i="34" s="1"/>
  <c r="GC249" i="34" a="1"/>
  <c r="GC249" i="34" s="1"/>
  <c r="GK249" i="34" s="1" a="1"/>
  <c r="GK249" i="34" s="1"/>
  <c r="GC92" i="34" a="1"/>
  <c r="GC92" i="34" s="1"/>
  <c r="GK92" i="34" s="1" a="1"/>
  <c r="GK92" i="34" s="1"/>
  <c r="GC38" i="34" a="1"/>
  <c r="GC38" i="34" s="1"/>
  <c r="GK38" i="34" s="1" a="1"/>
  <c r="GK38" i="34" s="1"/>
  <c r="GC128" i="34" a="1"/>
  <c r="GC128" i="34" s="1"/>
  <c r="GK128" i="34" s="1" a="1"/>
  <c r="GK128" i="34" s="1"/>
  <c r="GC252" i="34" a="1"/>
  <c r="GC252" i="34" s="1"/>
  <c r="GK252" i="34" s="1" a="1"/>
  <c r="GK252" i="34" s="1"/>
  <c r="GC10" i="34" a="1"/>
  <c r="GC10" i="34" s="1"/>
  <c r="GK10" i="34" s="1" a="1"/>
  <c r="GK10" i="34" s="1"/>
  <c r="GC118" i="34" a="1"/>
  <c r="GC118" i="34" s="1"/>
  <c r="GK118" i="34" s="1" a="1"/>
  <c r="GK118" i="34" s="1"/>
  <c r="GC51" i="34" a="1"/>
  <c r="GC51" i="34" s="1"/>
  <c r="GK51" i="34" s="1" a="1"/>
  <c r="GK51" i="34" s="1"/>
  <c r="GC150" i="34" a="1"/>
  <c r="GC150" i="34" s="1"/>
  <c r="GK150" i="34" s="1" a="1"/>
  <c r="GK150" i="34" s="1"/>
  <c r="GC98" i="34" a="1"/>
  <c r="GC98" i="34" s="1"/>
  <c r="GK98" i="34" s="1" a="1"/>
  <c r="GK98" i="34" s="1"/>
  <c r="GC16" i="34" a="1"/>
  <c r="GC16" i="34" s="1"/>
  <c r="GK16" i="34" s="1" a="1"/>
  <c r="GK16" i="34" s="1"/>
  <c r="GC178" i="34" a="1"/>
  <c r="GC178" i="34" s="1"/>
  <c r="GK178" i="34" s="1" a="1"/>
  <c r="GK178" i="34" s="1"/>
  <c r="GC202" i="34" a="1"/>
  <c r="GC202" i="34" s="1"/>
  <c r="GK202" i="34" s="1" a="1"/>
  <c r="GK202" i="34" s="1"/>
  <c r="GC241" i="34" a="1"/>
  <c r="GC241" i="34" s="1"/>
  <c r="GK241" i="34" s="1" a="1"/>
  <c r="GK241" i="34" s="1"/>
  <c r="GC248" i="34" a="1"/>
  <c r="GC248" i="34" s="1"/>
  <c r="GK248" i="34" s="1" a="1"/>
  <c r="GK248" i="34" s="1"/>
  <c r="GC45" i="34" a="1"/>
  <c r="GC45" i="34" s="1"/>
  <c r="GK45" i="34" s="1" a="1"/>
  <c r="GK45" i="34" s="1"/>
  <c r="GC55" i="34" a="1"/>
  <c r="GC55" i="34" s="1"/>
  <c r="GK55" i="34" s="1" a="1"/>
  <c r="GK55" i="34" s="1"/>
  <c r="GC121" i="34" a="1"/>
  <c r="GC121" i="34" s="1"/>
  <c r="GK121" i="34" s="1" a="1"/>
  <c r="GK121" i="34" s="1"/>
  <c r="GC130" i="34" a="1"/>
  <c r="GC130" i="34" s="1"/>
  <c r="GK130" i="34" s="1" a="1"/>
  <c r="GK130" i="34" s="1"/>
  <c r="GC159" i="34" a="1"/>
  <c r="GC159" i="34" s="1"/>
  <c r="GK159" i="34" s="1" a="1"/>
  <c r="GK159" i="34" s="1"/>
  <c r="GC238" i="34" a="1"/>
  <c r="GC238" i="34" s="1"/>
  <c r="GK238" i="34" s="1" a="1"/>
  <c r="GK238" i="34" s="1"/>
  <c r="GC17" i="34" a="1"/>
  <c r="GC17" i="34" s="1"/>
  <c r="GK17" i="34" s="1" a="1"/>
  <c r="GK17" i="34" s="1"/>
  <c r="GC89" i="34" a="1"/>
  <c r="GC89" i="34" s="1"/>
  <c r="GK89" i="34" s="1" a="1"/>
  <c r="GK89" i="34" s="1"/>
  <c r="GC101" i="34" a="1"/>
  <c r="GC101" i="34" s="1"/>
  <c r="GK101" i="34" s="1" a="1"/>
  <c r="GK101" i="34" s="1"/>
  <c r="GC251" i="34" a="1"/>
  <c r="GC251" i="34" s="1"/>
  <c r="GK251" i="34" s="1" a="1"/>
  <c r="GK251" i="34" s="1"/>
  <c r="GC173" i="34" a="1"/>
  <c r="GC173" i="34" s="1"/>
  <c r="GK173" i="34" s="1" a="1"/>
  <c r="GK173" i="34" s="1"/>
  <c r="GC115" i="34" a="1"/>
  <c r="GC115" i="34" s="1"/>
  <c r="GK115" i="34" s="1" a="1"/>
  <c r="GK115" i="34" s="1"/>
  <c r="GC126" i="34" a="1"/>
  <c r="GC126" i="34" s="1"/>
  <c r="GK126" i="34" s="1" a="1"/>
  <c r="GK126" i="34" s="1"/>
  <c r="GC142" i="34" a="1"/>
  <c r="GC142" i="34" s="1"/>
  <c r="GK142" i="34" s="1" a="1"/>
  <c r="GK142" i="34" s="1"/>
  <c r="GC64" i="34" a="1"/>
  <c r="GC64" i="34" s="1"/>
  <c r="GK64" i="34" s="1" a="1"/>
  <c r="GK64" i="34" s="1"/>
  <c r="GC247" i="34" a="1"/>
  <c r="GC247" i="34" s="1"/>
  <c r="GK247" i="34" s="1" a="1"/>
  <c r="GK247" i="34" s="1"/>
  <c r="GC25" i="34" a="1"/>
  <c r="GC25" i="34" s="1"/>
  <c r="GK25" i="34" s="1" a="1"/>
  <c r="GK25" i="34" s="1"/>
  <c r="GC105" i="34" a="1"/>
  <c r="GC105" i="34" s="1"/>
  <c r="GK105" i="34" s="1" a="1"/>
  <c r="GK105" i="34" s="1"/>
  <c r="GC78" i="34" a="1"/>
  <c r="GC78" i="34" s="1"/>
  <c r="GK78" i="34" s="1" a="1"/>
  <c r="GK78" i="34" s="1"/>
  <c r="GC15" i="34" a="1"/>
  <c r="GC15" i="34" s="1"/>
  <c r="GK15" i="34" s="1" a="1"/>
  <c r="GK15" i="34" s="1"/>
  <c r="GC117" i="34" a="1"/>
  <c r="GC117" i="34" s="1"/>
  <c r="GK117" i="34" s="1" a="1"/>
  <c r="GK117" i="34" s="1"/>
  <c r="GC65" i="34" a="1"/>
  <c r="GC65" i="34" s="1"/>
  <c r="GK65" i="34" s="1" a="1"/>
  <c r="GK65" i="34" s="1"/>
  <c r="GC74" i="34" a="1"/>
  <c r="GC74" i="34" s="1"/>
  <c r="GK74" i="34" s="1" a="1"/>
  <c r="GK74" i="34" s="1"/>
  <c r="GC114" i="34" a="1"/>
  <c r="GC114" i="34" s="1"/>
  <c r="GK114" i="34" s="1" a="1"/>
  <c r="GK114" i="34" s="1"/>
  <c r="GC20" i="42" a="1"/>
  <c r="GC20" i="42" s="1"/>
  <c r="GK20" i="42" s="1" a="1"/>
  <c r="GK20" i="42" s="1"/>
  <c r="GC156" i="34" a="1"/>
  <c r="GC156" i="34" s="1"/>
  <c r="GK156" i="34" s="1" a="1"/>
  <c r="GK156" i="34" s="1"/>
  <c r="GC29" i="42" a="1"/>
  <c r="GC29" i="42" s="1"/>
  <c r="GK29" i="42" s="1" a="1"/>
  <c r="GK29" i="42" s="1"/>
  <c r="GC165" i="34" a="1"/>
  <c r="GC165" i="34" s="1"/>
  <c r="GK165" i="34" s="1" a="1"/>
  <c r="GK165" i="34" s="1"/>
  <c r="GC120" i="34" a="1"/>
  <c r="GC120" i="34" s="1"/>
  <c r="GK120" i="34" s="1" a="1"/>
  <c r="GK120" i="34" s="1"/>
  <c r="GC79" i="34" a="1"/>
  <c r="GC79" i="34" s="1"/>
  <c r="GK79" i="34" s="1" a="1"/>
  <c r="GK79" i="34" s="1"/>
  <c r="GC242" i="34" a="1"/>
  <c r="GC242" i="34" s="1"/>
  <c r="GK242" i="34" s="1" a="1"/>
  <c r="GK242" i="34" s="1"/>
  <c r="GC20" i="34" a="1"/>
  <c r="GC20" i="34" s="1"/>
  <c r="GK20" i="34" s="1" a="1"/>
  <c r="GK20" i="34" s="1"/>
  <c r="GC13" i="41" a="1"/>
  <c r="GC13" i="41" s="1"/>
  <c r="GK13" i="41" s="1" a="1"/>
  <c r="GK13" i="41" s="1"/>
  <c r="GC67" i="34" a="1"/>
  <c r="GC67" i="34" s="1"/>
  <c r="GK67" i="34" s="1" a="1"/>
  <c r="GK67" i="34" s="1"/>
  <c r="GC100" i="34" a="1"/>
  <c r="GC100" i="34" s="1"/>
  <c r="GK100" i="34" s="1" a="1"/>
  <c r="GK100" i="34" s="1"/>
  <c r="GC30" i="42" a="1"/>
  <c r="GC30" i="42" s="1"/>
  <c r="GK30" i="42" s="1" a="1"/>
  <c r="GK30" i="42" s="1"/>
  <c r="GC254" i="34" a="1"/>
  <c r="GC254" i="34" s="1"/>
  <c r="GK254" i="34" s="1" a="1"/>
  <c r="GK254" i="34" s="1"/>
  <c r="GC13" i="42" a="1"/>
  <c r="GC13" i="42" s="1"/>
  <c r="GK13" i="42" s="1" a="1"/>
  <c r="GK13" i="42" s="1"/>
  <c r="GC214" i="34" a="1"/>
  <c r="GC214" i="34" s="1"/>
  <c r="GK214" i="34" s="1" a="1"/>
  <c r="GK214" i="34" s="1"/>
  <c r="GC223" i="34" a="1"/>
  <c r="GC223" i="34" s="1"/>
  <c r="GK223" i="34" s="1" a="1"/>
  <c r="GK223" i="34" s="1"/>
  <c r="GC13" i="34" a="1"/>
  <c r="GC13" i="34" s="1"/>
  <c r="GK13" i="34" s="1" a="1"/>
  <c r="GK13" i="34" s="1"/>
  <c r="GC9" i="34" a="1"/>
  <c r="GC9" i="34" s="1"/>
  <c r="GK9" i="34" s="1" a="1"/>
  <c r="GK9" i="34" s="1"/>
  <c r="GC211" i="34" a="1"/>
  <c r="GC211" i="34" s="1"/>
  <c r="GK211" i="34" s="1" a="1"/>
  <c r="GK211" i="34" s="1"/>
  <c r="GC132" i="34" a="1"/>
  <c r="GC132" i="34" s="1"/>
  <c r="GK132" i="34" s="1" a="1"/>
  <c r="GK132" i="34" s="1"/>
  <c r="GC146" i="34" a="1"/>
  <c r="GC146" i="34" s="1"/>
  <c r="GK146" i="34" s="1" a="1"/>
  <c r="GK146" i="34" s="1"/>
  <c r="GC210" i="34" a="1"/>
  <c r="GC210" i="34" s="1"/>
  <c r="GK210" i="34" s="1" a="1"/>
  <c r="GK210" i="34" s="1"/>
  <c r="GC46" i="34" a="1"/>
  <c r="GC46" i="34" s="1"/>
  <c r="GK46" i="34" s="1" a="1"/>
  <c r="GK46" i="34" s="1"/>
  <c r="GC180" i="34" a="1"/>
  <c r="GC180" i="34" s="1"/>
  <c r="GK180" i="34" s="1" a="1"/>
  <c r="GK180" i="34" s="1"/>
  <c r="GC236" i="34" a="1"/>
  <c r="GC236" i="34" s="1"/>
  <c r="GK236" i="34" s="1" a="1"/>
  <c r="GK236" i="34" s="1"/>
  <c r="GC239" i="34" a="1"/>
  <c r="GC239" i="34" s="1"/>
  <c r="GK239" i="34" s="1" a="1"/>
  <c r="GK239" i="34" s="1"/>
  <c r="GC125" i="34" a="1"/>
  <c r="GC125" i="34" s="1"/>
  <c r="GK125" i="34" s="1" a="1"/>
  <c r="GK125" i="34" s="1"/>
  <c r="GC23" i="34" a="1"/>
  <c r="GC23" i="34" s="1"/>
  <c r="GK23" i="34" s="1" a="1"/>
  <c r="GK23" i="34" s="1"/>
  <c r="GC215" i="34" a="1"/>
  <c r="GC215" i="34" s="1"/>
  <c r="GK215" i="34" s="1" a="1"/>
  <c r="GK215" i="34" s="1"/>
  <c r="GC32" i="34" a="1"/>
  <c r="GC32" i="34" s="1"/>
  <c r="GK32" i="34" s="1" a="1"/>
  <c r="GK32" i="34" s="1"/>
  <c r="GC75" i="34" a="1"/>
  <c r="GC75" i="34" s="1"/>
  <c r="GK75" i="34" s="1" a="1"/>
  <c r="GK75" i="34" s="1"/>
  <c r="GC48" i="34" a="1"/>
  <c r="GC48" i="34" s="1"/>
  <c r="GK48" i="34" s="1" a="1"/>
  <c r="GK48" i="34" s="1"/>
  <c r="GC99" i="34" a="1"/>
  <c r="GC99" i="34" s="1"/>
  <c r="GK99" i="34" s="1" a="1"/>
  <c r="GK99" i="34" s="1"/>
  <c r="GC84" i="34" a="1"/>
  <c r="GC84" i="34" s="1"/>
  <c r="GK84" i="34" s="1" a="1"/>
  <c r="GK84" i="34" s="1"/>
  <c r="GC23" i="42" a="1"/>
  <c r="GC23" i="42" s="1"/>
  <c r="GK23" i="42" s="1" a="1"/>
  <c r="GK23" i="42" s="1"/>
  <c r="GC228" i="34" a="1"/>
  <c r="GC228" i="34" s="1"/>
  <c r="GK228" i="34" s="1" a="1"/>
  <c r="GK228" i="34" s="1"/>
  <c r="GC66" i="34" a="1"/>
  <c r="GC66" i="34" s="1"/>
  <c r="GK66" i="34" s="1" a="1"/>
  <c r="GK66" i="34" s="1"/>
  <c r="GC231" i="34" a="1"/>
  <c r="GC231" i="34" s="1"/>
  <c r="GK231" i="34" s="1" a="1"/>
  <c r="GK231" i="34" s="1"/>
  <c r="GC129" i="34" a="1"/>
  <c r="GC129" i="34" s="1"/>
  <c r="GK129" i="34" s="1" a="1"/>
  <c r="GK129" i="34" s="1"/>
  <c r="GC77" i="34" a="1"/>
  <c r="GC77" i="34" s="1"/>
  <c r="GK77" i="34" s="1" a="1"/>
  <c r="GK77" i="34" s="1"/>
  <c r="GC104" i="34" a="1"/>
  <c r="GC104" i="34" s="1"/>
  <c r="GK104" i="34" s="1" a="1"/>
  <c r="GK104" i="34" s="1"/>
  <c r="GC80" i="34" a="1"/>
  <c r="GC80" i="34" s="1"/>
  <c r="GK80" i="34" s="1" a="1"/>
  <c r="GK80" i="34" s="1"/>
  <c r="GC14" i="34" a="1"/>
  <c r="GC14" i="34" s="1"/>
  <c r="GK14" i="34" s="1" a="1"/>
  <c r="GK14" i="34" s="1"/>
  <c r="GC198" i="34" a="1"/>
  <c r="GC198" i="34" s="1"/>
  <c r="GK198" i="34" s="1" a="1"/>
  <c r="GK198" i="34" s="1"/>
  <c r="GC10" i="41" a="1"/>
  <c r="GC10" i="41" s="1"/>
  <c r="GK10" i="41" s="1" a="1"/>
  <c r="GK10" i="41" s="1"/>
  <c r="GC110" i="34" a="1"/>
  <c r="GC110" i="34" s="1"/>
  <c r="GK110" i="34" s="1" a="1"/>
  <c r="GK110" i="34" s="1"/>
  <c r="GC11" i="34" a="1"/>
  <c r="GC11" i="34" s="1"/>
  <c r="GK11" i="34" s="1" a="1"/>
  <c r="GK11" i="34" s="1"/>
  <c r="GC8" i="41" a="1"/>
  <c r="GC8" i="41" s="1"/>
  <c r="GK8" i="41" s="1" a="1"/>
  <c r="GK8" i="41" s="1"/>
  <c r="GC109" i="34" a="1"/>
  <c r="GC109" i="34" s="1"/>
  <c r="GK109" i="34" s="1" a="1"/>
  <c r="GK109" i="34" s="1"/>
  <c r="GC167" i="34" a="1"/>
  <c r="GC167" i="34" s="1"/>
  <c r="GK167" i="34" s="1" a="1"/>
  <c r="GK167" i="34" s="1"/>
  <c r="GC107" i="34" a="1"/>
  <c r="GC107" i="34" s="1"/>
  <c r="GK107" i="34" s="1" a="1"/>
  <c r="GK107" i="34" s="1"/>
  <c r="GC253" i="34" a="1"/>
  <c r="GC253" i="34" s="1"/>
  <c r="GK253" i="34" s="1" a="1"/>
  <c r="GK253" i="34" s="1"/>
  <c r="GC237" i="34" a="1"/>
  <c r="GC237" i="34" s="1"/>
  <c r="GK237" i="34" s="1" a="1"/>
  <c r="GK237" i="34" s="1"/>
  <c r="GC124" i="34" a="1"/>
  <c r="GC124" i="34" s="1"/>
  <c r="GK124" i="34" s="1" a="1"/>
  <c r="GK124" i="34" s="1"/>
  <c r="GC135" i="34" a="1"/>
  <c r="GC135" i="34" s="1"/>
  <c r="GK135" i="34" s="1" a="1"/>
  <c r="GK135" i="34" s="1"/>
  <c r="GC134" i="34" a="1"/>
  <c r="GC134" i="34" s="1"/>
  <c r="GK134" i="34" s="1" a="1"/>
  <c r="GK134" i="34" s="1"/>
  <c r="GC15" i="42" a="1"/>
  <c r="GC15" i="42" s="1"/>
  <c r="GK15" i="42" s="1" a="1"/>
  <c r="GK15" i="42" s="1"/>
  <c r="GC11" i="41" a="1"/>
  <c r="GC11" i="41" s="1"/>
  <c r="GK11" i="41" s="1" a="1"/>
  <c r="GK11" i="41" s="1"/>
  <c r="GC86" i="34" a="1"/>
  <c r="GC86" i="34" s="1"/>
  <c r="GK86" i="34" s="1" a="1"/>
  <c r="GK86" i="34" s="1"/>
  <c r="GC40" i="34" a="1"/>
  <c r="GC40" i="34" s="1"/>
  <c r="GK40" i="34" s="1" a="1"/>
  <c r="GK40" i="34" s="1"/>
  <c r="GC217" i="34" a="1"/>
  <c r="GC217" i="34" s="1"/>
  <c r="GK217" i="34" s="1" a="1"/>
  <c r="GK217" i="34" s="1"/>
  <c r="GC22" i="42" a="1"/>
  <c r="GC22" i="42" s="1"/>
  <c r="GK22" i="42" s="1" a="1"/>
  <c r="GK22" i="42" s="1"/>
  <c r="GC21" i="34" a="1"/>
  <c r="GC21" i="34" s="1"/>
  <c r="GK21" i="34" s="1" a="1"/>
  <c r="GK21" i="34" s="1"/>
  <c r="GC187" i="34" a="1"/>
  <c r="GC187" i="34" s="1"/>
  <c r="GK187" i="34" s="1" a="1"/>
  <c r="GK187" i="34" s="1"/>
  <c r="GC183" i="34" a="1"/>
  <c r="GC183" i="34" s="1"/>
  <c r="GK183" i="34" s="1" a="1"/>
  <c r="GK183" i="34" s="1"/>
  <c r="GC88" i="34" a="1"/>
  <c r="GC88" i="34" s="1"/>
  <c r="GK88" i="34" s="1" a="1"/>
  <c r="GK88" i="34" s="1"/>
  <c r="GC87" i="34" a="1"/>
  <c r="GC87" i="34" s="1"/>
  <c r="GK87" i="34" s="1" a="1"/>
  <c r="GK87" i="34" s="1"/>
  <c r="GC240" i="34" a="1"/>
  <c r="GC240" i="34" s="1"/>
  <c r="GK240" i="34" s="1" a="1"/>
  <c r="GK240" i="34" s="1"/>
  <c r="GC31" i="42" a="1"/>
  <c r="GC31" i="42" s="1"/>
  <c r="GK31" i="42" s="1" a="1"/>
  <c r="GK31" i="42" s="1"/>
  <c r="GC152" i="34" a="1"/>
  <c r="GC152" i="34" s="1"/>
  <c r="GK152" i="34" s="1" a="1"/>
  <c r="GK152" i="34" s="1"/>
  <c r="GC136" i="34" a="1"/>
  <c r="GC136" i="34" s="1"/>
  <c r="GK136" i="34" s="1" a="1"/>
  <c r="GK136" i="34" s="1"/>
  <c r="GC141" i="34" a="1"/>
  <c r="GC141" i="34" s="1"/>
  <c r="GK141" i="34" s="1" a="1"/>
  <c r="GK141" i="34" s="1"/>
  <c r="GC175" i="34" a="1"/>
  <c r="GC175" i="34" s="1"/>
  <c r="GK175" i="34" s="1" a="1"/>
  <c r="GK175" i="34" s="1"/>
  <c r="GC123" i="34" a="1"/>
  <c r="GC123" i="34" s="1"/>
  <c r="GK123" i="34" s="1" a="1"/>
  <c r="GK123" i="34" s="1"/>
  <c r="GC196" i="34" a="1"/>
  <c r="GC196" i="34" s="1"/>
  <c r="GK196" i="34" s="1" a="1"/>
  <c r="GK196" i="34" s="1"/>
  <c r="GC76" i="34" a="1"/>
  <c r="GC76" i="34" s="1"/>
  <c r="GK76" i="34" s="1" a="1"/>
  <c r="GK76" i="34" s="1"/>
  <c r="GC73" i="34" a="1"/>
  <c r="GC73" i="34" s="1"/>
  <c r="GK73" i="34" s="1" a="1"/>
  <c r="GK73" i="34" s="1"/>
  <c r="GC37" i="34" a="1"/>
  <c r="GC37" i="34" s="1"/>
  <c r="GK37" i="34" s="1" a="1"/>
  <c r="GK37" i="34" s="1"/>
  <c r="GC19" i="42" a="1"/>
  <c r="GC19" i="42" s="1"/>
  <c r="GK19" i="42" s="1" a="1"/>
  <c r="GK19" i="42" s="1"/>
  <c r="GC58" i="34" a="1"/>
  <c r="GC58" i="34" s="1"/>
  <c r="GK58" i="34" s="1" a="1"/>
  <c r="GK58" i="34" s="1"/>
  <c r="GC143" i="34" a="1"/>
  <c r="GC143" i="34" s="1"/>
  <c r="GK143" i="34" s="1" a="1"/>
  <c r="GK143" i="34" s="1"/>
  <c r="GC185" i="34" a="1"/>
  <c r="GC185" i="34" s="1"/>
  <c r="GK185" i="34" s="1" a="1"/>
  <c r="GK185" i="34" s="1"/>
  <c r="GC160" i="34" a="1"/>
  <c r="GC160" i="34" s="1"/>
  <c r="GK160" i="34" s="1" a="1"/>
  <c r="GK160" i="34" s="1"/>
  <c r="GC161" i="34" a="1"/>
  <c r="GC161" i="34" s="1"/>
  <c r="GK161" i="34" s="1" a="1"/>
  <c r="GK161" i="34" s="1"/>
  <c r="GC195" i="34" a="1"/>
  <c r="GC195" i="34" s="1"/>
  <c r="GK195" i="34" s="1" a="1"/>
  <c r="GK195" i="34" s="1"/>
  <c r="GC18" i="34" a="1"/>
  <c r="GC18" i="34" s="1"/>
  <c r="GK18" i="34" s="1" a="1"/>
  <c r="GK18" i="34" s="1"/>
  <c r="GC208" i="34" a="1"/>
  <c r="GC208" i="34" s="1"/>
  <c r="GK208" i="34" s="1" a="1"/>
  <c r="GK208" i="34" s="1"/>
  <c r="GC226" i="34" a="1"/>
  <c r="GC226" i="34" s="1"/>
  <c r="GK226" i="34" s="1" a="1"/>
  <c r="GK226" i="34" s="1"/>
  <c r="GC43" i="34" a="1"/>
  <c r="GC43" i="34" s="1"/>
  <c r="GK43" i="34" s="1" a="1"/>
  <c r="GK43" i="34" s="1"/>
  <c r="GC29" i="34" a="1"/>
  <c r="GC29" i="34" s="1"/>
  <c r="GK29" i="34" s="1" a="1"/>
  <c r="GK29" i="34" s="1"/>
  <c r="GC222" i="34" a="1"/>
  <c r="GC222" i="34" s="1"/>
  <c r="GK222" i="34" s="1" a="1"/>
  <c r="GK222" i="34" s="1"/>
  <c r="GC139" i="34" a="1"/>
  <c r="GC139" i="34" s="1"/>
  <c r="GK139" i="34" s="1" a="1"/>
  <c r="GK139" i="34" s="1"/>
  <c r="GC229" i="34" a="1"/>
  <c r="GC229" i="34" s="1"/>
  <c r="GK229" i="34" s="1" a="1"/>
  <c r="GK229" i="34" s="1"/>
  <c r="GC47" i="34" a="1"/>
  <c r="GC47" i="34" s="1"/>
  <c r="GK47" i="34" s="1" a="1"/>
  <c r="GK47" i="34" s="1"/>
  <c r="GC181" i="34" a="1"/>
  <c r="GC181" i="34" s="1"/>
  <c r="GK181" i="34" s="1" a="1"/>
  <c r="GK181" i="34" s="1"/>
  <c r="GC85" i="34" a="1"/>
  <c r="GC85" i="34" s="1"/>
  <c r="GK85" i="34" s="1" a="1"/>
  <c r="GK85" i="34" s="1"/>
  <c r="GC25" i="42" a="1"/>
  <c r="GC25" i="42" s="1"/>
  <c r="GK25" i="42" s="1" a="1"/>
  <c r="GK25" i="42" s="1"/>
  <c r="GC60" i="34" a="1"/>
  <c r="GC60" i="34" s="1"/>
  <c r="GK60" i="34" s="1" a="1"/>
  <c r="GK60" i="34" s="1"/>
  <c r="GC158" i="34" a="1"/>
  <c r="GC158" i="34" s="1"/>
  <c r="GK158" i="34" s="1" a="1"/>
  <c r="GK158" i="34" s="1"/>
  <c r="GC24" i="34" a="1"/>
  <c r="GC24" i="34" s="1"/>
  <c r="GK24" i="34" s="1" a="1"/>
  <c r="GK24" i="34" s="1"/>
  <c r="GC41" i="34" a="1"/>
  <c r="GC41" i="34" s="1"/>
  <c r="GK41" i="34" s="1" a="1"/>
  <c r="GK41" i="34" s="1"/>
  <c r="GC243" i="34" a="1"/>
  <c r="GC243" i="34" s="1"/>
  <c r="GK243" i="34" s="1" a="1"/>
  <c r="GK243" i="34" s="1"/>
  <c r="GC27" i="34" a="1"/>
  <c r="GC27" i="34" s="1"/>
  <c r="GK27" i="34" s="1" a="1"/>
  <c r="GK27" i="34" s="1"/>
  <c r="GC246" i="34" a="1"/>
  <c r="GC246" i="34" s="1"/>
  <c r="GK246" i="34" s="1" a="1"/>
  <c r="GK246" i="34" s="1"/>
  <c r="GC33" i="42" a="1"/>
  <c r="GC33" i="42" s="1"/>
  <c r="GK33" i="42" s="1" a="1"/>
  <c r="GK33" i="42" s="1"/>
  <c r="GC82" i="34" a="1"/>
  <c r="GC82" i="34" s="1"/>
  <c r="GK82" i="34" s="1" a="1"/>
  <c r="GK82" i="34" s="1"/>
  <c r="GC11" i="42" a="1"/>
  <c r="GC11" i="42" s="1"/>
  <c r="GK11" i="42" s="1" a="1"/>
  <c r="GK11" i="42" s="1"/>
  <c r="F204" i="43" s="1"/>
  <c r="GC192" i="34" a="1"/>
  <c r="GC192" i="34" s="1"/>
  <c r="GK192" i="34" s="1" a="1"/>
  <c r="GK192" i="34" s="1"/>
  <c r="GC90" i="34" a="1"/>
  <c r="GC90" i="34" s="1"/>
  <c r="GK90" i="34" s="1" a="1"/>
  <c r="GK90" i="34" s="1"/>
  <c r="GC224" i="34" a="1"/>
  <c r="GC224" i="34" s="1"/>
  <c r="GK224" i="34" s="1" a="1"/>
  <c r="GK224" i="34" s="1"/>
  <c r="GC244" i="34" a="1"/>
  <c r="GC244" i="34" s="1"/>
  <c r="GK244" i="34" s="1" a="1"/>
  <c r="GK244" i="34" s="1"/>
  <c r="GC71" i="34" a="1"/>
  <c r="GC71" i="34" s="1"/>
  <c r="GK71" i="34" s="1" a="1"/>
  <c r="GK71" i="34" s="1"/>
  <c r="GC39" i="34" a="1"/>
  <c r="GC39" i="34" s="1"/>
  <c r="GK39" i="34" s="1" a="1"/>
  <c r="GK39" i="34" s="1"/>
  <c r="GC235" i="34" a="1"/>
  <c r="GC235" i="34" s="1"/>
  <c r="GK235" i="34" s="1" a="1"/>
  <c r="GK235" i="34" s="1"/>
  <c r="GC193" i="34" a="1"/>
  <c r="GC193" i="34" s="1"/>
  <c r="GK193" i="34" s="1" a="1"/>
  <c r="GK193" i="34" s="1"/>
  <c r="GC42" i="34" a="1"/>
  <c r="GC42" i="34" s="1"/>
  <c r="GK42" i="34" s="1" a="1"/>
  <c r="GK42" i="34" s="1"/>
  <c r="GC72" i="34" a="1"/>
  <c r="GC72" i="34" s="1"/>
  <c r="GK72" i="34" s="1" a="1"/>
  <c r="GK72" i="34" s="1"/>
  <c r="GC144" i="34" a="1"/>
  <c r="GC144" i="34" s="1"/>
  <c r="GK144" i="34" s="1" a="1"/>
  <c r="GK144" i="34" s="1"/>
  <c r="GC227" i="34" a="1"/>
  <c r="GC227" i="34" s="1"/>
  <c r="GK227" i="34" s="1" a="1"/>
  <c r="GK227" i="34" s="1"/>
  <c r="GC230" i="34" a="1"/>
  <c r="GC230" i="34" s="1"/>
  <c r="GK230" i="34" s="1" a="1"/>
  <c r="GK230" i="34" s="1"/>
  <c r="GC93" i="34" a="1"/>
  <c r="GC93" i="34" s="1"/>
  <c r="GK93" i="34" s="1" a="1"/>
  <c r="GK93" i="34" s="1"/>
  <c r="GC21" i="42" a="1"/>
  <c r="GC21" i="42" s="1"/>
  <c r="GK21" i="42" s="1" a="1"/>
  <c r="GK21" i="42" s="1"/>
  <c r="GC9" i="41" a="1"/>
  <c r="GC9" i="41" s="1"/>
  <c r="GK9" i="41" s="1" a="1"/>
  <c r="GK9" i="41" s="1"/>
  <c r="GC220" i="34" a="1"/>
  <c r="GC220" i="34" s="1"/>
  <c r="GK220" i="34" s="1" a="1"/>
  <c r="GK220" i="34" s="1"/>
  <c r="GC113" i="34" a="1"/>
  <c r="GC113" i="34" s="1"/>
  <c r="GK113" i="34" s="1" a="1"/>
  <c r="GK113" i="34" s="1"/>
  <c r="GC56" i="34" a="1"/>
  <c r="GC56" i="34" s="1"/>
  <c r="GK56" i="34" s="1" a="1"/>
  <c r="GK56" i="34" s="1"/>
  <c r="GC19" i="34" a="1"/>
  <c r="GC19" i="34" s="1"/>
  <c r="GK19" i="34" s="1" a="1"/>
  <c r="GK19" i="34" s="1"/>
  <c r="GC22" i="34" a="1"/>
  <c r="GC22" i="34" s="1"/>
  <c r="GK22" i="34" s="1" a="1"/>
  <c r="GK22" i="34" s="1"/>
  <c r="GC102" i="34" a="1"/>
  <c r="GC102" i="34" s="1"/>
  <c r="GK102" i="34" s="1" a="1"/>
  <c r="GK102" i="34" s="1"/>
  <c r="GC36" i="34" a="1"/>
  <c r="GC36" i="34" s="1"/>
  <c r="GK36" i="34" s="1" a="1"/>
  <c r="GK36" i="34" s="1"/>
  <c r="GC131" i="34" a="1"/>
  <c r="GC131" i="34" s="1"/>
  <c r="GK131" i="34" s="1" a="1"/>
  <c r="GK131" i="34" s="1"/>
  <c r="GC81" i="34" a="1"/>
  <c r="GC81" i="34" s="1"/>
  <c r="GK81" i="34" s="1" a="1"/>
  <c r="GK81" i="34" s="1"/>
  <c r="GC138" i="34" a="1"/>
  <c r="GC138" i="34" s="1"/>
  <c r="GK138" i="34" s="1" a="1"/>
  <c r="GK138" i="34" s="1"/>
  <c r="GC172" i="34" a="1"/>
  <c r="GC172" i="34" s="1"/>
  <c r="GK172" i="34" s="1" a="1"/>
  <c r="GK172" i="34" s="1"/>
  <c r="GC174" i="34" a="1"/>
  <c r="GC174" i="34" s="1"/>
  <c r="GK174" i="34" s="1" a="1"/>
  <c r="GK174" i="34" s="1"/>
  <c r="GC234" i="34" a="1"/>
  <c r="GC234" i="34" s="1"/>
  <c r="GK234" i="34" s="1" a="1"/>
  <c r="GK234" i="34" s="1"/>
  <c r="GC137" i="34" a="1"/>
  <c r="GC137" i="34" s="1"/>
  <c r="GK137" i="34" s="1" a="1"/>
  <c r="GK137" i="34" s="1"/>
  <c r="GC53" i="34" a="1"/>
  <c r="GC53" i="34" s="1"/>
  <c r="GK53" i="34" s="1" a="1"/>
  <c r="GK53" i="34" s="1"/>
  <c r="GC106" i="34" a="1"/>
  <c r="GC106" i="34" s="1"/>
  <c r="GK106" i="34" s="1" a="1"/>
  <c r="GK106" i="34" s="1"/>
  <c r="GC83" i="34" a="1"/>
  <c r="GC83" i="34" s="1"/>
  <c r="GK83" i="34" s="1" a="1"/>
  <c r="GK83" i="34" s="1"/>
  <c r="GC28" i="34" a="1"/>
  <c r="GC28" i="34" s="1"/>
  <c r="GK28" i="34" s="1" a="1"/>
  <c r="GK28" i="34" s="1"/>
  <c r="GC116" i="34" a="1"/>
  <c r="GC116" i="34" s="1"/>
  <c r="GK116" i="34" s="1" a="1"/>
  <c r="GK116" i="34" s="1"/>
  <c r="GC33" i="34" a="1"/>
  <c r="GC33" i="34" s="1"/>
  <c r="GK33" i="34" s="1" a="1"/>
  <c r="GK33" i="34" s="1"/>
  <c r="GC68" i="34" a="1"/>
  <c r="GC68" i="34" s="1"/>
  <c r="GK68" i="34" s="1" a="1"/>
  <c r="GK68" i="34" s="1"/>
  <c r="GC12" i="42" a="1"/>
  <c r="GC12" i="42" s="1"/>
  <c r="GK12" i="42" s="1" a="1"/>
  <c r="GK12" i="42" s="1"/>
  <c r="GC17" i="42" a="1"/>
  <c r="GC17" i="42" s="1"/>
  <c r="GK17" i="42" s="1" a="1"/>
  <c r="GK17" i="42" s="1"/>
  <c r="F164" i="43" s="1"/>
  <c r="GC96" i="34" a="1"/>
  <c r="GC96" i="34" s="1"/>
  <c r="GK96" i="34" s="1" a="1"/>
  <c r="GK96" i="34" s="1"/>
  <c r="GC70" i="34" a="1"/>
  <c r="GC70" i="34" s="1"/>
  <c r="GK70" i="34" s="1" a="1"/>
  <c r="GK70" i="34" s="1"/>
  <c r="GC153" i="34" a="1"/>
  <c r="GC153" i="34" s="1"/>
  <c r="GK153" i="34" s="1" a="1"/>
  <c r="GK153" i="34" s="1"/>
  <c r="GC206" i="34" a="1"/>
  <c r="GC206" i="34" s="1"/>
  <c r="GK206" i="34" s="1" a="1"/>
  <c r="GK206" i="34" s="1"/>
  <c r="GC103" i="34" a="1"/>
  <c r="GC103" i="34" s="1"/>
  <c r="GK103" i="34" s="1" a="1"/>
  <c r="GK103" i="34" s="1"/>
  <c r="GC49" i="34" a="1"/>
  <c r="GC49" i="34" s="1"/>
  <c r="GK49" i="34" s="1" a="1"/>
  <c r="GK49" i="34" s="1"/>
  <c r="GC203" i="34" a="1"/>
  <c r="GC203" i="34" s="1"/>
  <c r="GK203" i="34" s="1" a="1"/>
  <c r="GK203" i="34" s="1"/>
  <c r="GC204" i="34" a="1"/>
  <c r="GC204" i="34" s="1"/>
  <c r="GK204" i="34" s="1" a="1"/>
  <c r="GK204" i="34" s="1"/>
  <c r="GC201" i="34" a="1"/>
  <c r="GC201" i="34" s="1"/>
  <c r="GK201" i="34" s="1" a="1"/>
  <c r="GK201" i="34" s="1"/>
  <c r="GC54" i="34" a="1"/>
  <c r="GC54" i="34" s="1"/>
  <c r="GK54" i="34" s="1" a="1"/>
  <c r="GK54" i="34" s="1"/>
  <c r="GC184" i="34" a="1"/>
  <c r="GC184" i="34" s="1"/>
  <c r="GK184" i="34" s="1" a="1"/>
  <c r="GK184" i="34" s="1"/>
  <c r="GC255" i="34" a="1"/>
  <c r="GC255" i="34" s="1"/>
  <c r="GK255" i="34" s="1" a="1"/>
  <c r="GK255" i="34" s="1"/>
  <c r="GC57" i="34" a="1"/>
  <c r="GC57" i="34" s="1"/>
  <c r="GK57" i="34" s="1" a="1"/>
  <c r="GK57" i="34" s="1"/>
  <c r="GC26" i="42" a="1"/>
  <c r="GC26" i="42" s="1"/>
  <c r="GK26" i="42" s="1" a="1"/>
  <c r="GK26" i="42" s="1"/>
  <c r="GC209" i="34" a="1"/>
  <c r="GC209" i="34" s="1"/>
  <c r="GK209" i="34" s="1" a="1"/>
  <c r="GK209" i="34" s="1"/>
  <c r="GC197" i="34" a="1"/>
  <c r="GC197" i="34" s="1"/>
  <c r="GK197" i="34" s="1" a="1"/>
  <c r="GK197" i="34" s="1"/>
  <c r="GC148" i="34" a="1"/>
  <c r="GC148" i="34" s="1"/>
  <c r="GK148" i="34" s="1" a="1"/>
  <c r="GK148" i="34" s="1"/>
  <c r="GC199" i="34" a="1"/>
  <c r="GC199" i="34" s="1"/>
  <c r="GK199" i="34" s="1" a="1"/>
  <c r="GK199" i="34" s="1"/>
  <c r="GC35" i="34" a="1"/>
  <c r="GC35" i="34" s="1"/>
  <c r="GK35" i="34" s="1" a="1"/>
  <c r="GK35" i="34" s="1"/>
  <c r="GC69" i="34" a="1"/>
  <c r="GC69" i="34" s="1"/>
  <c r="GK69" i="34" s="1" a="1"/>
  <c r="GK69" i="34" s="1"/>
  <c r="GC219" i="34" a="1"/>
  <c r="GC219" i="34" s="1"/>
  <c r="GK219" i="34" s="1" a="1"/>
  <c r="GK219" i="34" s="1"/>
  <c r="GC189" i="34" a="1"/>
  <c r="GC189" i="34" s="1"/>
  <c r="GK189" i="34" s="1" a="1"/>
  <c r="GK189" i="34" s="1"/>
  <c r="GC200" i="34" a="1"/>
  <c r="GC200" i="34" s="1"/>
  <c r="GK200" i="34" s="1" a="1"/>
  <c r="GK200" i="34" s="1"/>
  <c r="D34" i="16"/>
  <c r="D54" i="16" s="1"/>
  <c r="E63" i="16"/>
  <c r="J33" i="55"/>
  <c r="C87" i="55"/>
  <c r="H128" i="55"/>
  <c r="H110" i="55"/>
  <c r="L34" i="40" s="1"/>
  <c r="E15" i="16"/>
  <c r="L85" i="55"/>
  <c r="L42" i="55"/>
  <c r="E12" i="43"/>
  <c r="E21" i="16"/>
  <c r="D43" i="44"/>
  <c r="D63" i="44" s="1"/>
  <c r="D218" i="43"/>
  <c r="D220" i="43" s="1"/>
  <c r="H107" i="55"/>
  <c r="L31" i="40" s="1"/>
  <c r="H125" i="55"/>
  <c r="D24" i="44"/>
  <c r="D39" i="44"/>
  <c r="D59" i="44" s="1"/>
  <c r="D43" i="43"/>
  <c r="D63" i="43" s="1"/>
  <c r="H56" i="40" s="1"/>
  <c r="E39" i="44"/>
  <c r="D33" i="16"/>
  <c r="D53" i="16" s="1"/>
  <c r="I110" i="55"/>
  <c r="M34" i="40" s="1"/>
  <c r="I128" i="55"/>
  <c r="F85" i="55"/>
  <c r="F42" i="55"/>
  <c r="E85" i="55"/>
  <c r="E42" i="55"/>
  <c r="E17" i="16"/>
  <c r="GR8" i="41" a="1"/>
  <c r="GR8" i="41" s="1"/>
  <c r="L23" i="44" s="1"/>
  <c r="E23" i="44"/>
  <c r="E43" i="44" s="1"/>
  <c r="E63" i="44" s="1"/>
  <c r="E22" i="44"/>
  <c r="E42" i="44" s="1"/>
  <c r="E62" i="44" s="1"/>
  <c r="D43" i="16"/>
  <c r="D63" i="16" s="1"/>
  <c r="E110" i="55"/>
  <c r="I34" i="40" s="1"/>
  <c r="E128" i="55"/>
  <c r="D36" i="16"/>
  <c r="D56" i="16" s="1"/>
  <c r="F107" i="55"/>
  <c r="J31" i="40" s="1"/>
  <c r="F125" i="55"/>
  <c r="D40" i="43"/>
  <c r="D60" i="43" s="1"/>
  <c r="H53" i="40" s="1"/>
  <c r="G85" i="55"/>
  <c r="G42" i="55"/>
  <c r="E20" i="43"/>
  <c r="E40" i="43" s="1"/>
  <c r="E60" i="43" s="1"/>
  <c r="I53" i="40" s="1"/>
  <c r="E137" i="43"/>
  <c r="E152" i="43" s="1"/>
  <c r="D34" i="43"/>
  <c r="F130" i="55"/>
  <c r="F112" i="55"/>
  <c r="J36" i="40" s="1"/>
  <c r="D125" i="55"/>
  <c r="D107" i="55"/>
  <c r="H31" i="40" s="1"/>
  <c r="J31" i="55"/>
  <c r="C85" i="55"/>
  <c r="C42" i="55"/>
  <c r="D41" i="16"/>
  <c r="D61" i="16" s="1"/>
  <c r="D32" i="43"/>
  <c r="D52" i="43" s="1"/>
  <c r="D24" i="43"/>
  <c r="D40" i="16"/>
  <c r="D60" i="16" s="1"/>
  <c r="I130" i="55"/>
  <c r="I112" i="55"/>
  <c r="M36" i="40" s="1"/>
  <c r="C90" i="55"/>
  <c r="J36" i="55"/>
  <c r="E21" i="43"/>
  <c r="E41" i="43" s="1"/>
  <c r="E61" i="43" s="1"/>
  <c r="I54" i="40" s="1"/>
  <c r="E159" i="43"/>
  <c r="E174" i="43" s="1"/>
  <c r="D31" i="16"/>
  <c r="D24" i="16"/>
  <c r="I85" i="55"/>
  <c r="I42" i="55"/>
  <c r="J38" i="55"/>
  <c r="C92" i="55"/>
  <c r="D152" i="43"/>
  <c r="D154" i="43" s="1"/>
  <c r="D38" i="16"/>
  <c r="D37" i="16"/>
  <c r="D174" i="43"/>
  <c r="D176" i="43" s="1"/>
  <c r="F110" i="55"/>
  <c r="J34" i="40" s="1"/>
  <c r="F128" i="55"/>
  <c r="D85" i="55"/>
  <c r="D42" i="55"/>
  <c r="E19" i="16"/>
  <c r="E112" i="55"/>
  <c r="I36" i="40" s="1"/>
  <c r="E130" i="55"/>
  <c r="D42" i="43"/>
  <c r="D62" i="43" s="1"/>
  <c r="D196" i="43"/>
  <c r="D198" i="43" s="1"/>
  <c r="D42" i="44"/>
  <c r="E107" i="55"/>
  <c r="I31" i="40" s="1"/>
  <c r="E125" i="55"/>
  <c r="D41" i="43"/>
  <c r="D61" i="43" s="1"/>
  <c r="I125" i="55"/>
  <c r="I107" i="55"/>
  <c r="M31" i="40" s="1"/>
  <c r="L112" i="55"/>
  <c r="S36" i="40" s="1"/>
  <c r="L130" i="55"/>
  <c r="E14" i="16"/>
  <c r="E22" i="43"/>
  <c r="E42" i="43" s="1"/>
  <c r="E62" i="43" s="1"/>
  <c r="I55" i="40" s="1"/>
  <c r="E181" i="43"/>
  <c r="E196" i="43" s="1"/>
  <c r="E23" i="43"/>
  <c r="E43" i="43" s="1"/>
  <c r="E63" i="43" s="1"/>
  <c r="I56" i="40" s="1"/>
  <c r="E203" i="43"/>
  <c r="E218" i="43" s="1"/>
  <c r="E16" i="16"/>
  <c r="E13" i="16"/>
  <c r="L125" i="55"/>
  <c r="L107" i="55"/>
  <c r="S31" i="40" s="1"/>
  <c r="D42" i="16"/>
  <c r="G107" i="55"/>
  <c r="K31" i="40" s="1"/>
  <c r="G125" i="55"/>
  <c r="E20" i="16"/>
  <c r="E22" i="16"/>
  <c r="E14" i="43"/>
  <c r="E34" i="43" s="1"/>
  <c r="E54" i="43" s="1"/>
  <c r="I47" i="40" s="1"/>
  <c r="D35" i="16"/>
  <c r="K32" i="5"/>
  <c r="K33" i="5" s="1"/>
  <c r="L31" i="5"/>
  <c r="J88" i="55" l="1"/>
  <c r="C108" i="55"/>
  <c r="C126" i="55"/>
  <c r="J126" i="55" s="1"/>
  <c r="J83" i="55"/>
  <c r="C121" i="55"/>
  <c r="J121" i="55" s="1"/>
  <c r="C103" i="55"/>
  <c r="E24" i="16"/>
  <c r="E26" i="16" s="1"/>
  <c r="E220" i="43"/>
  <c r="E198" i="43"/>
  <c r="E58" i="16"/>
  <c r="H45" i="40"/>
  <c r="G123" i="55"/>
  <c r="G134" i="55" s="1"/>
  <c r="K43" i="40" s="1"/>
  <c r="G105" i="55"/>
  <c r="G96" i="55"/>
  <c r="G98" i="55" s="1"/>
  <c r="E176" i="43"/>
  <c r="E41" i="16"/>
  <c r="I22" i="40" s="1"/>
  <c r="F19" i="16"/>
  <c r="F20" i="43"/>
  <c r="F137" i="43"/>
  <c r="H18" i="40"/>
  <c r="D55" i="16"/>
  <c r="H16" i="40"/>
  <c r="E32" i="43"/>
  <c r="E44" i="43" s="1"/>
  <c r="E24" i="43"/>
  <c r="E40" i="16"/>
  <c r="I21" i="40" s="1"/>
  <c r="L24" i="44"/>
  <c r="L43" i="44"/>
  <c r="L63" i="44" s="1"/>
  <c r="L64" i="44" s="1"/>
  <c r="S42" i="40" s="1"/>
  <c r="E35" i="16"/>
  <c r="I16" i="40" s="1"/>
  <c r="F159" i="43"/>
  <c r="F21" i="43"/>
  <c r="F41" i="43" s="1"/>
  <c r="F61" i="43" s="1"/>
  <c r="J54" i="40" s="1"/>
  <c r="F22" i="43"/>
  <c r="F181" i="43"/>
  <c r="F12" i="43"/>
  <c r="F22" i="16"/>
  <c r="F42" i="16" s="1"/>
  <c r="F160" i="43"/>
  <c r="C112" i="55"/>
  <c r="J92" i="55"/>
  <c r="C130" i="55"/>
  <c r="E37" i="16"/>
  <c r="I18" i="40" s="1"/>
  <c r="F23" i="44"/>
  <c r="F43" i="44" s="1"/>
  <c r="F63" i="44" s="1"/>
  <c r="F123" i="55"/>
  <c r="F134" i="55" s="1"/>
  <c r="J43" i="40" s="1"/>
  <c r="F96" i="55"/>
  <c r="F98" i="55" s="1"/>
  <c r="F105" i="55"/>
  <c r="E33" i="16"/>
  <c r="I14" i="40" s="1"/>
  <c r="D26" i="43"/>
  <c r="D44" i="44"/>
  <c r="D59" i="16"/>
  <c r="H20" i="40"/>
  <c r="E36" i="16"/>
  <c r="I17" i="40" s="1"/>
  <c r="F13" i="16"/>
  <c r="H22" i="40"/>
  <c r="D62" i="44"/>
  <c r="D64" i="44" s="1"/>
  <c r="H14" i="40"/>
  <c r="F14" i="43"/>
  <c r="F34" i="43" s="1"/>
  <c r="F54" i="43" s="1"/>
  <c r="J47" i="40" s="1"/>
  <c r="F203" i="43"/>
  <c r="F218" i="43" s="1"/>
  <c r="F23" i="43"/>
  <c r="H24" i="40"/>
  <c r="D26" i="44"/>
  <c r="H15" i="40"/>
  <c r="D105" i="55"/>
  <c r="D123" i="55"/>
  <c r="D134" i="55" s="1"/>
  <c r="H43" i="40" s="1"/>
  <c r="D96" i="55"/>
  <c r="D98" i="55" s="1"/>
  <c r="C128" i="55"/>
  <c r="J128" i="55" s="1"/>
  <c r="J90" i="55"/>
  <c r="C110" i="55"/>
  <c r="L32" i="5"/>
  <c r="L33" i="5" s="1"/>
  <c r="M31" i="5"/>
  <c r="M32" i="5" s="1"/>
  <c r="M33" i="5" s="1"/>
  <c r="D54" i="43"/>
  <c r="D64" i="43" s="1"/>
  <c r="H17" i="40"/>
  <c r="E24" i="44"/>
  <c r="F21" i="16"/>
  <c r="F19" i="44"/>
  <c r="F18" i="16"/>
  <c r="F11" i="16"/>
  <c r="D51" i="16"/>
  <c r="H12" i="40"/>
  <c r="D44" i="16"/>
  <c r="E39" i="16"/>
  <c r="I20" i="40" s="1"/>
  <c r="F182" i="43"/>
  <c r="D58" i="16"/>
  <c r="H19" i="40"/>
  <c r="D44" i="43"/>
  <c r="GD115" i="34" a="1"/>
  <c r="GD115" i="34" s="1"/>
  <c r="GL115" i="34" s="1" a="1"/>
  <c r="GL115" i="34" s="1"/>
  <c r="GD111" i="34" a="1"/>
  <c r="GD111" i="34" s="1"/>
  <c r="GL111" i="34" s="1" a="1"/>
  <c r="GL111" i="34" s="1"/>
  <c r="GD112" i="34" a="1"/>
  <c r="GD112" i="34" s="1"/>
  <c r="GL112" i="34" s="1" a="1"/>
  <c r="GL112" i="34" s="1"/>
  <c r="GD25" i="34" a="1"/>
  <c r="GD25" i="34" s="1"/>
  <c r="GL25" i="34" s="1" a="1"/>
  <c r="GL25" i="34" s="1"/>
  <c r="GD232" i="34" a="1"/>
  <c r="GD232" i="34" s="1"/>
  <c r="GL232" i="34" s="1" a="1"/>
  <c r="GL232" i="34" s="1"/>
  <c r="GD46" i="34" a="1"/>
  <c r="GD46" i="34" s="1"/>
  <c r="GL46" i="34" s="1" a="1"/>
  <c r="GL46" i="34" s="1"/>
  <c r="GD72" i="34" a="1"/>
  <c r="GD72" i="34" s="1"/>
  <c r="GL72" i="34" s="1" a="1"/>
  <c r="GL72" i="34" s="1"/>
  <c r="GD79" i="34" a="1"/>
  <c r="GD79" i="34" s="1"/>
  <c r="GL79" i="34" s="1" a="1"/>
  <c r="GL79" i="34" s="1"/>
  <c r="GD134" i="34" a="1"/>
  <c r="GD134" i="34" s="1"/>
  <c r="GL134" i="34" s="1" a="1"/>
  <c r="GL134" i="34" s="1"/>
  <c r="GD240" i="34" a="1"/>
  <c r="GD240" i="34" s="1"/>
  <c r="GL240" i="34" s="1" a="1"/>
  <c r="GL240" i="34" s="1"/>
  <c r="GD18" i="42" a="1"/>
  <c r="GD18" i="42" s="1"/>
  <c r="GL18" i="42" s="1" a="1"/>
  <c r="GL18" i="42" s="1"/>
  <c r="GD10" i="41" a="1"/>
  <c r="GD10" i="41" s="1"/>
  <c r="GL10" i="41" s="1" a="1"/>
  <c r="GL10" i="41" s="1"/>
  <c r="GD204" i="34" a="1"/>
  <c r="GD204" i="34" s="1"/>
  <c r="GL204" i="34" s="1" a="1"/>
  <c r="GL204" i="34" s="1"/>
  <c r="GD159" i="34" a="1"/>
  <c r="GD159" i="34" s="1"/>
  <c r="GL159" i="34" s="1" a="1"/>
  <c r="GL159" i="34" s="1"/>
  <c r="GD73" i="34" a="1"/>
  <c r="GD73" i="34" s="1"/>
  <c r="GL73" i="34" s="1" a="1"/>
  <c r="GL73" i="34" s="1"/>
  <c r="GD15" i="42" a="1"/>
  <c r="GD15" i="42" s="1"/>
  <c r="GL15" i="42" s="1" a="1"/>
  <c r="GL15" i="42" s="1"/>
  <c r="G162" i="43" s="1"/>
  <c r="GD180" i="34" a="1"/>
  <c r="GD180" i="34" s="1"/>
  <c r="GL180" i="34" s="1" a="1"/>
  <c r="GL180" i="34" s="1"/>
  <c r="GD174" i="34" a="1"/>
  <c r="GD174" i="34" s="1"/>
  <c r="GL174" i="34" s="1" a="1"/>
  <c r="GL174" i="34" s="1"/>
  <c r="GD147" i="34" a="1"/>
  <c r="GD147" i="34" s="1"/>
  <c r="GL147" i="34" s="1" a="1"/>
  <c r="GL147" i="34" s="1"/>
  <c r="GD169" i="34" a="1"/>
  <c r="GD169" i="34" s="1"/>
  <c r="GL169" i="34" s="1" a="1"/>
  <c r="GL169" i="34" s="1"/>
  <c r="GD19" i="42" a="1"/>
  <c r="GD19" i="42" s="1"/>
  <c r="GL19" i="42" s="1" a="1"/>
  <c r="GL19" i="42" s="1"/>
  <c r="GD80" i="34" a="1"/>
  <c r="GD80" i="34" s="1"/>
  <c r="GL80" i="34" s="1" a="1"/>
  <c r="GL80" i="34" s="1"/>
  <c r="GD65" i="34" a="1"/>
  <c r="GD65" i="34" s="1"/>
  <c r="GL65" i="34" s="1" a="1"/>
  <c r="GL65" i="34" s="1"/>
  <c r="GD218" i="34" a="1"/>
  <c r="GD218" i="34" s="1"/>
  <c r="GL218" i="34" s="1" a="1"/>
  <c r="GL218" i="34" s="1"/>
  <c r="GD253" i="34" a="1"/>
  <c r="GD253" i="34" s="1"/>
  <c r="GL253" i="34" s="1" a="1"/>
  <c r="GL253" i="34" s="1"/>
  <c r="GD250" i="34" a="1"/>
  <c r="GD250" i="34" s="1"/>
  <c r="GL250" i="34" s="1" a="1"/>
  <c r="GL250" i="34" s="1"/>
  <c r="GD62" i="34" a="1"/>
  <c r="GD62" i="34" s="1"/>
  <c r="GL62" i="34" s="1" a="1"/>
  <c r="GL62" i="34" s="1"/>
  <c r="GD219" i="34" a="1"/>
  <c r="GD219" i="34" s="1"/>
  <c r="GL219" i="34" s="1" a="1"/>
  <c r="GL219" i="34" s="1"/>
  <c r="GD212" i="34" a="1"/>
  <c r="GD212" i="34" s="1"/>
  <c r="GL212" i="34" s="1" a="1"/>
  <c r="GL212" i="34" s="1"/>
  <c r="GD21" i="42" a="1"/>
  <c r="GD21" i="42" s="1"/>
  <c r="GL21" i="42" s="1" a="1"/>
  <c r="GL21" i="42" s="1"/>
  <c r="GD196" i="34" a="1"/>
  <c r="GD196" i="34" s="1"/>
  <c r="GL196" i="34" s="1" a="1"/>
  <c r="GL196" i="34" s="1"/>
  <c r="GD68" i="34" a="1"/>
  <c r="GD68" i="34" s="1"/>
  <c r="GL68" i="34" s="1" a="1"/>
  <c r="GL68" i="34" s="1"/>
  <c r="GD89" i="34" a="1"/>
  <c r="GD89" i="34" s="1"/>
  <c r="GL89" i="34" s="1" a="1"/>
  <c r="GL89" i="34" s="1"/>
  <c r="GD122" i="34" a="1"/>
  <c r="GD122" i="34" s="1"/>
  <c r="GL122" i="34" s="1" a="1"/>
  <c r="GL122" i="34" s="1"/>
  <c r="GD17" i="34" a="1"/>
  <c r="GD17" i="34" s="1"/>
  <c r="GL17" i="34" s="1" a="1"/>
  <c r="GL17" i="34" s="1"/>
  <c r="GD11" i="41" a="1"/>
  <c r="GD11" i="41" s="1"/>
  <c r="GL11" i="41" s="1" a="1"/>
  <c r="GL11" i="41" s="1"/>
  <c r="G19" i="44" s="1"/>
  <c r="GD91" i="34" a="1"/>
  <c r="GD91" i="34" s="1"/>
  <c r="GL91" i="34" s="1" a="1"/>
  <c r="GL91" i="34" s="1"/>
  <c r="GD16" i="42" a="1"/>
  <c r="GD16" i="42" s="1"/>
  <c r="GL16" i="42" s="1" a="1"/>
  <c r="GL16" i="42" s="1"/>
  <c r="G163" i="43" s="1"/>
  <c r="GD131" i="34" a="1"/>
  <c r="GD131" i="34" s="1"/>
  <c r="GL131" i="34" s="1" a="1"/>
  <c r="GL131" i="34" s="1"/>
  <c r="GD27" i="42" a="1"/>
  <c r="GD27" i="42" s="1"/>
  <c r="GL27" i="42" s="1" a="1"/>
  <c r="GL27" i="42" s="1"/>
  <c r="G183" i="43" s="1"/>
  <c r="GD138" i="34" a="1"/>
  <c r="GD138" i="34" s="1"/>
  <c r="GL138" i="34" s="1" a="1"/>
  <c r="GL138" i="34" s="1"/>
  <c r="GD61" i="34" a="1"/>
  <c r="GD61" i="34" s="1"/>
  <c r="GL61" i="34" s="1" a="1"/>
  <c r="GL61" i="34" s="1"/>
  <c r="GD205" i="34" a="1"/>
  <c r="GD205" i="34" s="1"/>
  <c r="GL205" i="34" s="1" a="1"/>
  <c r="GL205" i="34" s="1"/>
  <c r="GD226" i="34" a="1"/>
  <c r="GD226" i="34" s="1"/>
  <c r="GL226" i="34" s="1" a="1"/>
  <c r="GL226" i="34" s="1"/>
  <c r="GD224" i="34" a="1"/>
  <c r="GD224" i="34" s="1"/>
  <c r="GL224" i="34" s="1" a="1"/>
  <c r="GL224" i="34" s="1"/>
  <c r="GD177" i="34" a="1"/>
  <c r="GD177" i="34" s="1"/>
  <c r="GL177" i="34" s="1" a="1"/>
  <c r="GL177" i="34" s="1"/>
  <c r="GD203" i="34" a="1"/>
  <c r="GD203" i="34" s="1"/>
  <c r="GL203" i="34" s="1" a="1"/>
  <c r="GL203" i="34" s="1"/>
  <c r="GD223" i="34" a="1"/>
  <c r="GD223" i="34" s="1"/>
  <c r="GL223" i="34" s="1" a="1"/>
  <c r="GL223" i="34" s="1"/>
  <c r="GD187" i="34" a="1"/>
  <c r="GD187" i="34" s="1"/>
  <c r="GL187" i="34" s="1" a="1"/>
  <c r="GL187" i="34" s="1"/>
  <c r="GD140" i="34" a="1"/>
  <c r="GD140" i="34" s="1"/>
  <c r="GL140" i="34" s="1" a="1"/>
  <c r="GL140" i="34" s="1"/>
  <c r="GD90" i="34" a="1"/>
  <c r="GD90" i="34" s="1"/>
  <c r="GL90" i="34" s="1" a="1"/>
  <c r="GL90" i="34" s="1"/>
  <c r="GD156" i="34" a="1"/>
  <c r="GD156" i="34" s="1"/>
  <c r="GL156" i="34" s="1" a="1"/>
  <c r="GL156" i="34" s="1"/>
  <c r="GD228" i="34" a="1"/>
  <c r="GD228" i="34" s="1"/>
  <c r="GL228" i="34" s="1" a="1"/>
  <c r="GL228" i="34" s="1"/>
  <c r="GD19" i="34" a="1"/>
  <c r="GD19" i="34" s="1"/>
  <c r="GL19" i="34" s="1" a="1"/>
  <c r="GL19" i="34" s="1"/>
  <c r="GD71" i="34" a="1"/>
  <c r="GD71" i="34" s="1"/>
  <c r="GL71" i="34" s="1" a="1"/>
  <c r="GL71" i="34" s="1"/>
  <c r="GD208" i="34" a="1"/>
  <c r="GD208" i="34" s="1"/>
  <c r="GL208" i="34" s="1" a="1"/>
  <c r="GL208" i="34" s="1"/>
  <c r="GD31" i="42" a="1"/>
  <c r="GD31" i="42" s="1"/>
  <c r="GL31" i="42" s="1" a="1"/>
  <c r="GL31" i="42" s="1"/>
  <c r="GD209" i="34" a="1"/>
  <c r="GD209" i="34" s="1"/>
  <c r="GL209" i="34" s="1" a="1"/>
  <c r="GL209" i="34" s="1"/>
  <c r="GD230" i="34" a="1"/>
  <c r="GD230" i="34" s="1"/>
  <c r="GL230" i="34" s="1" a="1"/>
  <c r="GL230" i="34" s="1"/>
  <c r="GD123" i="34" a="1"/>
  <c r="GD123" i="34" s="1"/>
  <c r="GL123" i="34" s="1" a="1"/>
  <c r="GL123" i="34" s="1"/>
  <c r="GD45" i="34" a="1"/>
  <c r="GD45" i="34" s="1"/>
  <c r="GL45" i="34" s="1" a="1"/>
  <c r="GL45" i="34" s="1"/>
  <c r="GD120" i="34" a="1"/>
  <c r="GD120" i="34" s="1"/>
  <c r="GL120" i="34" s="1" a="1"/>
  <c r="GL120" i="34" s="1"/>
  <c r="GD52" i="34" a="1"/>
  <c r="GD52" i="34" s="1"/>
  <c r="GL52" i="34" s="1" a="1"/>
  <c r="GL52" i="34" s="1"/>
  <c r="GD10" i="42" a="1"/>
  <c r="GD10" i="42" s="1"/>
  <c r="GL10" i="42" s="1" a="1"/>
  <c r="GL10" i="42" s="1"/>
  <c r="GD198" i="34" a="1"/>
  <c r="GD198" i="34" s="1"/>
  <c r="GL198" i="34" s="1" a="1"/>
  <c r="GL198" i="34" s="1"/>
  <c r="GD9" i="34" a="1"/>
  <c r="GD9" i="34" s="1"/>
  <c r="GL9" i="34" s="1" a="1"/>
  <c r="GL9" i="34" s="1"/>
  <c r="GD133" i="34" a="1"/>
  <c r="GD133" i="34" s="1"/>
  <c r="GL133" i="34" s="1" a="1"/>
  <c r="GL133" i="34" s="1"/>
  <c r="GD190" i="34" a="1"/>
  <c r="GD190" i="34" s="1"/>
  <c r="GL190" i="34" s="1" a="1"/>
  <c r="GL190" i="34" s="1"/>
  <c r="GD142" i="34" a="1"/>
  <c r="GD142" i="34" s="1"/>
  <c r="GL142" i="34" s="1" a="1"/>
  <c r="GL142" i="34" s="1"/>
  <c r="GD172" i="34" a="1"/>
  <c r="GD172" i="34" s="1"/>
  <c r="GL172" i="34" s="1" a="1"/>
  <c r="GL172" i="34" s="1"/>
  <c r="GD74" i="34" a="1"/>
  <c r="GD74" i="34" s="1"/>
  <c r="GL74" i="34" s="1" a="1"/>
  <c r="GL74" i="34" s="1"/>
  <c r="GD248" i="34" a="1"/>
  <c r="GD248" i="34" s="1"/>
  <c r="GL248" i="34" s="1" a="1"/>
  <c r="GL248" i="34" s="1"/>
  <c r="GD58" i="34" a="1"/>
  <c r="GD58" i="34" s="1"/>
  <c r="GL58" i="34" s="1" a="1"/>
  <c r="GL58" i="34" s="1"/>
  <c r="GD255" i="34" a="1"/>
  <c r="GD255" i="34" s="1"/>
  <c r="GL255" i="34" s="1" a="1"/>
  <c r="GL255" i="34" s="1"/>
  <c r="GD9" i="42" a="1"/>
  <c r="GD9" i="42" s="1"/>
  <c r="GL9" i="42" s="1" a="1"/>
  <c r="GL9" i="42" s="1"/>
  <c r="GD48" i="34" a="1"/>
  <c r="GD48" i="34" s="1"/>
  <c r="GL48" i="34" s="1" a="1"/>
  <c r="GL48" i="34" s="1"/>
  <c r="GD66" i="34" a="1"/>
  <c r="GD66" i="34" s="1"/>
  <c r="GL66" i="34" s="1" a="1"/>
  <c r="GL66" i="34" s="1"/>
  <c r="GD55" i="34" a="1"/>
  <c r="GD55" i="34" s="1"/>
  <c r="GL55" i="34" s="1" a="1"/>
  <c r="GL55" i="34" s="1"/>
  <c r="GD241" i="34" a="1"/>
  <c r="GD241" i="34" s="1"/>
  <c r="GL241" i="34" s="1" a="1"/>
  <c r="GL241" i="34" s="1"/>
  <c r="GD231" i="34" a="1"/>
  <c r="GD231" i="34" s="1"/>
  <c r="GL231" i="34" s="1" a="1"/>
  <c r="GL231" i="34" s="1"/>
  <c r="GD199" i="34" a="1"/>
  <c r="GD199" i="34" s="1"/>
  <c r="GL199" i="34" s="1" a="1"/>
  <c r="GL199" i="34" s="1"/>
  <c r="GD40" i="34" a="1"/>
  <c r="GD40" i="34" s="1"/>
  <c r="GL40" i="34" s="1" a="1"/>
  <c r="GL40" i="34" s="1"/>
  <c r="GD17" i="42" a="1"/>
  <c r="GD17" i="42" s="1"/>
  <c r="GL17" i="42" s="1" a="1"/>
  <c r="GL17" i="42" s="1"/>
  <c r="GD70" i="34" a="1"/>
  <c r="GD70" i="34" s="1"/>
  <c r="GL70" i="34" s="1" a="1"/>
  <c r="GL70" i="34" s="1"/>
  <c r="GD149" i="34" a="1"/>
  <c r="GD149" i="34" s="1"/>
  <c r="GL149" i="34" s="1" a="1"/>
  <c r="GL149" i="34" s="1"/>
  <c r="GD214" i="34" a="1"/>
  <c r="GD214" i="34" s="1"/>
  <c r="GL214" i="34" s="1" a="1"/>
  <c r="GL214" i="34" s="1"/>
  <c r="GD216" i="34" a="1"/>
  <c r="GD216" i="34" s="1"/>
  <c r="GL216" i="34" s="1" a="1"/>
  <c r="GL216" i="34" s="1"/>
  <c r="GD252" i="34" a="1"/>
  <c r="GD252" i="34" s="1"/>
  <c r="GL252" i="34" s="1" a="1"/>
  <c r="GL252" i="34" s="1"/>
  <c r="GD32" i="42" a="1"/>
  <c r="GD32" i="42" s="1"/>
  <c r="GL32" i="42" s="1" a="1"/>
  <c r="GL32" i="42" s="1"/>
  <c r="GD251" i="34" a="1"/>
  <c r="GD251" i="34" s="1"/>
  <c r="GL251" i="34" s="1" a="1"/>
  <c r="GL251" i="34" s="1"/>
  <c r="GD197" i="34" a="1"/>
  <c r="GD197" i="34" s="1"/>
  <c r="GL197" i="34" s="1" a="1"/>
  <c r="GL197" i="34" s="1"/>
  <c r="GD25" i="42" a="1"/>
  <c r="GD25" i="42" s="1"/>
  <c r="GL25" i="42" s="1" a="1"/>
  <c r="GL25" i="42" s="1"/>
  <c r="GD242" i="34" a="1"/>
  <c r="GD242" i="34" s="1"/>
  <c r="GL242" i="34" s="1" a="1"/>
  <c r="GL242" i="34" s="1"/>
  <c r="GD178" i="34" a="1"/>
  <c r="GD178" i="34" s="1"/>
  <c r="GL178" i="34" s="1" a="1"/>
  <c r="GL178" i="34" s="1"/>
  <c r="GD93" i="34" a="1"/>
  <c r="GD93" i="34" s="1"/>
  <c r="GL93" i="34" s="1" a="1"/>
  <c r="GL93" i="34" s="1"/>
  <c r="GD167" i="34" a="1"/>
  <c r="GD167" i="34" s="1"/>
  <c r="GL167" i="34" s="1" a="1"/>
  <c r="GL167" i="34" s="1"/>
  <c r="GD78" i="34" a="1"/>
  <c r="GD78" i="34" s="1"/>
  <c r="GL78" i="34" s="1" a="1"/>
  <c r="GL78" i="34" s="1"/>
  <c r="GD82" i="34" a="1"/>
  <c r="GD82" i="34" s="1"/>
  <c r="GL82" i="34" s="1" a="1"/>
  <c r="GL82" i="34" s="1"/>
  <c r="GD176" i="34" a="1"/>
  <c r="GD176" i="34" s="1"/>
  <c r="GL176" i="34" s="1" a="1"/>
  <c r="GL176" i="34" s="1"/>
  <c r="GD237" i="34" a="1"/>
  <c r="GD237" i="34" s="1"/>
  <c r="GL237" i="34" s="1" a="1"/>
  <c r="GL237" i="34" s="1"/>
  <c r="GD104" i="34" a="1"/>
  <c r="GD104" i="34" s="1"/>
  <c r="GL104" i="34" s="1" a="1"/>
  <c r="GL104" i="34" s="1"/>
  <c r="GD22" i="34" a="1"/>
  <c r="GD22" i="34" s="1"/>
  <c r="GL22" i="34" s="1" a="1"/>
  <c r="GL22" i="34" s="1"/>
  <c r="GD41" i="34" a="1"/>
  <c r="GD41" i="34" s="1"/>
  <c r="GL41" i="34" s="1" a="1"/>
  <c r="GL41" i="34" s="1"/>
  <c r="GD238" i="34" a="1"/>
  <c r="GD238" i="34" s="1"/>
  <c r="GL238" i="34" s="1" a="1"/>
  <c r="GL238" i="34" s="1"/>
  <c r="GD236" i="34" a="1"/>
  <c r="GD236" i="34" s="1"/>
  <c r="GL236" i="34" s="1" a="1"/>
  <c r="GL236" i="34" s="1"/>
  <c r="GD220" i="34" a="1"/>
  <c r="GD220" i="34" s="1"/>
  <c r="GL220" i="34" s="1" a="1"/>
  <c r="GL220" i="34" s="1"/>
  <c r="GD229" i="34" a="1"/>
  <c r="GD229" i="34" s="1"/>
  <c r="GL229" i="34" s="1" a="1"/>
  <c r="GL229" i="34" s="1"/>
  <c r="GD23" i="42" a="1"/>
  <c r="GD23" i="42" s="1"/>
  <c r="GL23" i="42" s="1" a="1"/>
  <c r="GL23" i="42" s="1"/>
  <c r="GD158" i="34" a="1"/>
  <c r="GD158" i="34" s="1"/>
  <c r="GL158" i="34" s="1" a="1"/>
  <c r="GL158" i="34" s="1"/>
  <c r="GD10" i="34" a="1"/>
  <c r="GD10" i="34" s="1"/>
  <c r="GL10" i="34" s="1" a="1"/>
  <c r="GL10" i="34" s="1"/>
  <c r="GD118" i="34" a="1"/>
  <c r="GD118" i="34" s="1"/>
  <c r="GL118" i="34" s="1" a="1"/>
  <c r="GL118" i="34" s="1"/>
  <c r="GD26" i="42" a="1"/>
  <c r="GD26" i="42" s="1"/>
  <c r="GL26" i="42" s="1" a="1"/>
  <c r="GL26" i="42" s="1"/>
  <c r="G182" i="43" s="1"/>
  <c r="GD76" i="34" a="1"/>
  <c r="GD76" i="34" s="1"/>
  <c r="GL76" i="34" s="1" a="1"/>
  <c r="GL76" i="34" s="1"/>
  <c r="GD23" i="34" a="1"/>
  <c r="GD23" i="34" s="1"/>
  <c r="GL23" i="34" s="1" a="1"/>
  <c r="GL23" i="34" s="1"/>
  <c r="GD182" i="34" a="1"/>
  <c r="GD182" i="34" s="1"/>
  <c r="GL182" i="34" s="1" a="1"/>
  <c r="GL182" i="34" s="1"/>
  <c r="GD164" i="34" a="1"/>
  <c r="GD164" i="34" s="1"/>
  <c r="GL164" i="34" s="1" a="1"/>
  <c r="GL164" i="34" s="1"/>
  <c r="GD84" i="34" a="1"/>
  <c r="GD84" i="34" s="1"/>
  <c r="GL84" i="34" s="1" a="1"/>
  <c r="GL84" i="34" s="1"/>
  <c r="GD144" i="34" a="1"/>
  <c r="GD144" i="34" s="1"/>
  <c r="GL144" i="34" s="1" a="1"/>
  <c r="GL144" i="34" s="1"/>
  <c r="GD87" i="34" a="1"/>
  <c r="GD87" i="34" s="1"/>
  <c r="GL87" i="34" s="1" a="1"/>
  <c r="GL87" i="34" s="1"/>
  <c r="GD14" i="42" a="1"/>
  <c r="GD14" i="42" s="1"/>
  <c r="GL14" i="42" s="1" a="1"/>
  <c r="GL14" i="42" s="1"/>
  <c r="G161" i="43" s="1"/>
  <c r="GD92" i="34" a="1"/>
  <c r="GD92" i="34" s="1"/>
  <c r="GL92" i="34" s="1" a="1"/>
  <c r="GL92" i="34" s="1"/>
  <c r="GD124" i="34" a="1"/>
  <c r="GD124" i="34" s="1"/>
  <c r="GL124" i="34" s="1" a="1"/>
  <c r="GL124" i="34" s="1"/>
  <c r="GD166" i="34" a="1"/>
  <c r="GD166" i="34" s="1"/>
  <c r="GL166" i="34" s="1" a="1"/>
  <c r="GL166" i="34" s="1"/>
  <c r="GD30" i="42" a="1"/>
  <c r="GD30" i="42" s="1"/>
  <c r="GL30" i="42" s="1" a="1"/>
  <c r="GL30" i="42" s="1"/>
  <c r="GD28" i="42" a="1"/>
  <c r="GD28" i="42" s="1"/>
  <c r="GL28" i="42" s="1" a="1"/>
  <c r="GL28" i="42" s="1"/>
  <c r="GD130" i="34" a="1"/>
  <c r="GD130" i="34" s="1"/>
  <c r="GL130" i="34" s="1" a="1"/>
  <c r="GL130" i="34" s="1"/>
  <c r="GD50" i="34" a="1"/>
  <c r="GD50" i="34" s="1"/>
  <c r="GL50" i="34" s="1" a="1"/>
  <c r="GL50" i="34" s="1"/>
  <c r="GD175" i="34" a="1"/>
  <c r="GD175" i="34" s="1"/>
  <c r="GL175" i="34" s="1" a="1"/>
  <c r="GL175" i="34" s="1"/>
  <c r="GD121" i="34" a="1"/>
  <c r="GD121" i="34" s="1"/>
  <c r="GL121" i="34" s="1" a="1"/>
  <c r="GL121" i="34" s="1"/>
  <c r="GD12" i="42" a="1"/>
  <c r="GD12" i="42" s="1"/>
  <c r="GL12" i="42" s="1" a="1"/>
  <c r="GL12" i="42" s="1"/>
  <c r="GD206" i="34" a="1"/>
  <c r="GD206" i="34" s="1"/>
  <c r="GL206" i="34" s="1" a="1"/>
  <c r="GL206" i="34" s="1"/>
  <c r="GD24" i="42" a="1"/>
  <c r="GD24" i="42" s="1"/>
  <c r="GL24" i="42" s="1" a="1"/>
  <c r="GL24" i="42" s="1"/>
  <c r="GD51" i="34" a="1"/>
  <c r="GD51" i="34" s="1"/>
  <c r="GL51" i="34" s="1" a="1"/>
  <c r="GL51" i="34" s="1"/>
  <c r="GD100" i="34" a="1"/>
  <c r="GD100" i="34" s="1"/>
  <c r="GL100" i="34" s="1" a="1"/>
  <c r="GL100" i="34" s="1"/>
  <c r="GD32" i="34" a="1"/>
  <c r="GD32" i="34" s="1"/>
  <c r="GL32" i="34" s="1" a="1"/>
  <c r="GL32" i="34" s="1"/>
  <c r="GD57" i="34" a="1"/>
  <c r="GD57" i="34" s="1"/>
  <c r="GL57" i="34" s="1" a="1"/>
  <c r="GL57" i="34" s="1"/>
  <c r="GD136" i="34" a="1"/>
  <c r="GD136" i="34" s="1"/>
  <c r="GL136" i="34" s="1" a="1"/>
  <c r="GL136" i="34" s="1"/>
  <c r="GD146" i="34" a="1"/>
  <c r="GD146" i="34" s="1"/>
  <c r="GL146" i="34" s="1" a="1"/>
  <c r="GL146" i="34" s="1"/>
  <c r="GD8" i="34" a="1"/>
  <c r="GD8" i="34" s="1"/>
  <c r="GL8" i="34" s="1" a="1"/>
  <c r="GL8" i="34" s="1"/>
  <c r="GD85" i="34" a="1"/>
  <c r="GD85" i="34" s="1"/>
  <c r="GL85" i="34" s="1" a="1"/>
  <c r="GL85" i="34" s="1"/>
  <c r="GD99" i="34" a="1"/>
  <c r="GD99" i="34" s="1"/>
  <c r="GL99" i="34" s="1" a="1"/>
  <c r="GL99" i="34" s="1"/>
  <c r="GD97" i="34" a="1"/>
  <c r="GD97" i="34" s="1"/>
  <c r="GL97" i="34" s="1" a="1"/>
  <c r="GL97" i="34" s="1"/>
  <c r="GD114" i="34" a="1"/>
  <c r="GD114" i="34" s="1"/>
  <c r="GL114" i="34" s="1" a="1"/>
  <c r="GL114" i="34" s="1"/>
  <c r="GD29" i="42" a="1"/>
  <c r="GD29" i="42" s="1"/>
  <c r="GL29" i="42" s="1" a="1"/>
  <c r="GL29" i="42" s="1"/>
  <c r="GD64" i="34" a="1"/>
  <c r="GD64" i="34" s="1"/>
  <c r="GL64" i="34" s="1" a="1"/>
  <c r="GL64" i="34" s="1"/>
  <c r="GD35" i="34" a="1"/>
  <c r="GD35" i="34" s="1"/>
  <c r="GL35" i="34" s="1" a="1"/>
  <c r="GL35" i="34" s="1"/>
  <c r="GD11" i="34" a="1"/>
  <c r="GD11" i="34" s="1"/>
  <c r="GL11" i="34" s="1" a="1"/>
  <c r="GL11" i="34" s="1"/>
  <c r="GD113" i="34" a="1"/>
  <c r="GD113" i="34" s="1"/>
  <c r="GL113" i="34" s="1" a="1"/>
  <c r="GL113" i="34" s="1"/>
  <c r="GD77" i="34" a="1"/>
  <c r="GD77" i="34" s="1"/>
  <c r="GL77" i="34" s="1" a="1"/>
  <c r="GL77" i="34" s="1"/>
  <c r="GD195" i="34" a="1"/>
  <c r="GD195" i="34" s="1"/>
  <c r="GL195" i="34" s="1" a="1"/>
  <c r="GL195" i="34" s="1"/>
  <c r="GD188" i="34" a="1"/>
  <c r="GD188" i="34" s="1"/>
  <c r="GL188" i="34" s="1" a="1"/>
  <c r="GL188" i="34" s="1"/>
  <c r="GD15" i="34" a="1"/>
  <c r="GD15" i="34" s="1"/>
  <c r="GL15" i="34" s="1" a="1"/>
  <c r="GL15" i="34" s="1"/>
  <c r="GD155" i="34" a="1"/>
  <c r="GD155" i="34" s="1"/>
  <c r="GL155" i="34" s="1" a="1"/>
  <c r="GL155" i="34" s="1"/>
  <c r="GD217" i="34" a="1"/>
  <c r="GD217" i="34" s="1"/>
  <c r="GL217" i="34" s="1" a="1"/>
  <c r="GL217" i="34" s="1"/>
  <c r="GD116" i="34" a="1"/>
  <c r="GD116" i="34" s="1"/>
  <c r="GL116" i="34" s="1" a="1"/>
  <c r="GL116" i="34" s="1"/>
  <c r="GD126" i="34" a="1"/>
  <c r="GD126" i="34" s="1"/>
  <c r="GL126" i="34" s="1" a="1"/>
  <c r="GL126" i="34" s="1"/>
  <c r="GD24" i="34" a="1"/>
  <c r="GD24" i="34" s="1"/>
  <c r="GL24" i="34" s="1" a="1"/>
  <c r="GL24" i="34" s="1"/>
  <c r="GD151" i="34" a="1"/>
  <c r="GD151" i="34" s="1"/>
  <c r="GL151" i="34" s="1" a="1"/>
  <c r="GL151" i="34" s="1"/>
  <c r="GD127" i="34" a="1"/>
  <c r="GD127" i="34" s="1"/>
  <c r="GL127" i="34" s="1" a="1"/>
  <c r="GL127" i="34" s="1"/>
  <c r="GD31" i="34" a="1"/>
  <c r="GD31" i="34" s="1"/>
  <c r="GL31" i="34" s="1" a="1"/>
  <c r="GL31" i="34" s="1"/>
  <c r="GD193" i="34" a="1"/>
  <c r="GD193" i="34" s="1"/>
  <c r="GL193" i="34" s="1" a="1"/>
  <c r="GL193" i="34" s="1"/>
  <c r="GD53" i="34" a="1"/>
  <c r="GD53" i="34" s="1"/>
  <c r="GL53" i="34" s="1" a="1"/>
  <c r="GL53" i="34" s="1"/>
  <c r="GD162" i="34" a="1"/>
  <c r="GD162" i="34" s="1"/>
  <c r="GL162" i="34" s="1" a="1"/>
  <c r="GL162" i="34" s="1"/>
  <c r="GD30" i="34" a="1"/>
  <c r="GD30" i="34" s="1"/>
  <c r="GL30" i="34" s="1" a="1"/>
  <c r="GL30" i="34" s="1"/>
  <c r="GD157" i="34" a="1"/>
  <c r="GD157" i="34" s="1"/>
  <c r="GL157" i="34" s="1" a="1"/>
  <c r="GL157" i="34" s="1"/>
  <c r="GD145" i="34" a="1"/>
  <c r="GD145" i="34" s="1"/>
  <c r="GL145" i="34" s="1" a="1"/>
  <c r="GL145" i="34" s="1"/>
  <c r="GD213" i="34" a="1"/>
  <c r="GD213" i="34" s="1"/>
  <c r="GL213" i="34" s="1" a="1"/>
  <c r="GL213" i="34" s="1"/>
  <c r="GD14" i="34" a="1"/>
  <c r="GD14" i="34" s="1"/>
  <c r="GL14" i="34" s="1" a="1"/>
  <c r="GL14" i="34" s="1"/>
  <c r="GD13" i="41" a="1"/>
  <c r="GD13" i="41" s="1"/>
  <c r="GL13" i="41" s="1" a="1"/>
  <c r="GL13" i="41" s="1"/>
  <c r="GD137" i="34" a="1"/>
  <c r="GD137" i="34" s="1"/>
  <c r="GL137" i="34" s="1" a="1"/>
  <c r="GL137" i="34" s="1"/>
  <c r="GD183" i="34" a="1"/>
  <c r="GD183" i="34" s="1"/>
  <c r="GL183" i="34" s="1" a="1"/>
  <c r="GL183" i="34" s="1"/>
  <c r="GD143" i="34" a="1"/>
  <c r="GD143" i="34" s="1"/>
  <c r="GL143" i="34" s="1" a="1"/>
  <c r="GL143" i="34" s="1"/>
  <c r="GD106" i="34" a="1"/>
  <c r="GD106" i="34" s="1"/>
  <c r="GL106" i="34" s="1" a="1"/>
  <c r="GL106" i="34" s="1"/>
  <c r="GD249" i="34" a="1"/>
  <c r="GD249" i="34" s="1"/>
  <c r="GL249" i="34" s="1" a="1"/>
  <c r="GL249" i="34" s="1"/>
  <c r="GD246" i="34" a="1"/>
  <c r="GD246" i="34" s="1"/>
  <c r="GL246" i="34" s="1" a="1"/>
  <c r="GL246" i="34" s="1"/>
  <c r="GD148" i="34" a="1"/>
  <c r="GD148" i="34" s="1"/>
  <c r="GL148" i="34" s="1" a="1"/>
  <c r="GL148" i="34" s="1"/>
  <c r="GD83" i="34" a="1"/>
  <c r="GD83" i="34" s="1"/>
  <c r="GL83" i="34" s="1" a="1"/>
  <c r="GL83" i="34" s="1"/>
  <c r="GD56" i="34" a="1"/>
  <c r="GD56" i="34" s="1"/>
  <c r="GL56" i="34" s="1" a="1"/>
  <c r="GL56" i="34" s="1"/>
  <c r="GD95" i="34" a="1"/>
  <c r="GD95" i="34" s="1"/>
  <c r="GL95" i="34" s="1" a="1"/>
  <c r="GL95" i="34" s="1"/>
  <c r="GD33" i="42" a="1"/>
  <c r="GD33" i="42" s="1"/>
  <c r="GL33" i="42" s="1" a="1"/>
  <c r="GL33" i="42" s="1"/>
  <c r="GD211" i="34" a="1"/>
  <c r="GD211" i="34" s="1"/>
  <c r="GL211" i="34" s="1" a="1"/>
  <c r="GL211" i="34" s="1"/>
  <c r="GD239" i="34" a="1"/>
  <c r="GD239" i="34" s="1"/>
  <c r="GL239" i="34" s="1" a="1"/>
  <c r="GL239" i="34" s="1"/>
  <c r="GD129" i="34" a="1"/>
  <c r="GD129" i="34" s="1"/>
  <c r="GL129" i="34" s="1" a="1"/>
  <c r="GL129" i="34" s="1"/>
  <c r="GD222" i="34" a="1"/>
  <c r="GD222" i="34" s="1"/>
  <c r="GL222" i="34" s="1" a="1"/>
  <c r="GL222" i="34" s="1"/>
  <c r="GD179" i="34" a="1"/>
  <c r="GD179" i="34" s="1"/>
  <c r="GL179" i="34" s="1" a="1"/>
  <c r="GL179" i="34" s="1"/>
  <c r="GD54" i="34" a="1"/>
  <c r="GD54" i="34" s="1"/>
  <c r="GL54" i="34" s="1" a="1"/>
  <c r="GL54" i="34" s="1"/>
  <c r="GD210" i="34" a="1"/>
  <c r="GD210" i="34" s="1"/>
  <c r="GL210" i="34" s="1" a="1"/>
  <c r="GL210" i="34" s="1"/>
  <c r="GD247" i="34" a="1"/>
  <c r="GD247" i="34" s="1"/>
  <c r="GL247" i="34" s="1" a="1"/>
  <c r="GL247" i="34" s="1"/>
  <c r="GD163" i="34" a="1"/>
  <c r="GD163" i="34" s="1"/>
  <c r="GL163" i="34" s="1" a="1"/>
  <c r="GL163" i="34" s="1"/>
  <c r="GD244" i="34" a="1"/>
  <c r="GD244" i="34" s="1"/>
  <c r="GL244" i="34" s="1" a="1"/>
  <c r="GL244" i="34" s="1"/>
  <c r="GD254" i="34" a="1"/>
  <c r="GD254" i="34" s="1"/>
  <c r="GL254" i="34" s="1" a="1"/>
  <c r="GL254" i="34" s="1"/>
  <c r="GD39" i="34" a="1"/>
  <c r="GD39" i="34" s="1"/>
  <c r="GL39" i="34" s="1" a="1"/>
  <c r="GL39" i="34" s="1"/>
  <c r="GD98" i="34" a="1"/>
  <c r="GD98" i="34" s="1"/>
  <c r="GL98" i="34" s="1" a="1"/>
  <c r="GL98" i="34" s="1"/>
  <c r="GD201" i="34" a="1"/>
  <c r="GD201" i="34" s="1"/>
  <c r="GL201" i="34" s="1" a="1"/>
  <c r="GL201" i="34" s="1"/>
  <c r="GD34" i="42" a="1"/>
  <c r="GD34" i="42" s="1"/>
  <c r="GL34" i="42" s="1" a="1"/>
  <c r="GL34" i="42" s="1"/>
  <c r="GD202" i="34" a="1"/>
  <c r="GD202" i="34" s="1"/>
  <c r="GL202" i="34" s="1" a="1"/>
  <c r="GL202" i="34" s="1"/>
  <c r="GD186" i="34" a="1"/>
  <c r="GD186" i="34" s="1"/>
  <c r="GL186" i="34" s="1" a="1"/>
  <c r="GL186" i="34" s="1"/>
  <c r="GD227" i="34" a="1"/>
  <c r="GD227" i="34" s="1"/>
  <c r="GL227" i="34" s="1" a="1"/>
  <c r="GL227" i="34" s="1"/>
  <c r="GD11" i="42" a="1"/>
  <c r="GD11" i="42" s="1"/>
  <c r="GL11" i="42" s="1" a="1"/>
  <c r="GL11" i="42" s="1"/>
  <c r="GD154" i="34" a="1"/>
  <c r="GD154" i="34" s="1"/>
  <c r="GL154" i="34" s="1" a="1"/>
  <c r="GL154" i="34" s="1"/>
  <c r="GD132" i="34" a="1"/>
  <c r="GD132" i="34" s="1"/>
  <c r="GL132" i="34" s="1" a="1"/>
  <c r="GL132" i="34" s="1"/>
  <c r="GD110" i="34" a="1"/>
  <c r="GD110" i="34" s="1"/>
  <c r="GL110" i="34" s="1" a="1"/>
  <c r="GL110" i="34" s="1"/>
  <c r="GD38" i="34" a="1"/>
  <c r="GD38" i="34" s="1"/>
  <c r="GL38" i="34" s="1" a="1"/>
  <c r="GL38" i="34" s="1"/>
  <c r="GD16" i="34" a="1"/>
  <c r="GD16" i="34" s="1"/>
  <c r="GL16" i="34" s="1" a="1"/>
  <c r="GL16" i="34" s="1"/>
  <c r="GD192" i="34" a="1"/>
  <c r="GD192" i="34" s="1"/>
  <c r="GL192" i="34" s="1" a="1"/>
  <c r="GL192" i="34" s="1"/>
  <c r="GD170" i="34" a="1"/>
  <c r="GD170" i="34" s="1"/>
  <c r="GL170" i="34" s="1" a="1"/>
  <c r="GL170" i="34" s="1"/>
  <c r="GD12" i="34" a="1"/>
  <c r="GD12" i="34" s="1"/>
  <c r="GL12" i="34" s="1" a="1"/>
  <c r="GL12" i="34" s="1"/>
  <c r="GD101" i="34" a="1"/>
  <c r="GD101" i="34" s="1"/>
  <c r="GL101" i="34" s="1" a="1"/>
  <c r="GL101" i="34" s="1"/>
  <c r="GD43" i="34" a="1"/>
  <c r="GD43" i="34" s="1"/>
  <c r="GL43" i="34" s="1" a="1"/>
  <c r="GL43" i="34" s="1"/>
  <c r="GD29" i="34" a="1"/>
  <c r="GD29" i="34" s="1"/>
  <c r="GL29" i="34" s="1" a="1"/>
  <c r="GL29" i="34" s="1"/>
  <c r="GD141" i="34" a="1"/>
  <c r="GD141" i="34" s="1"/>
  <c r="GL141" i="34" s="1" a="1"/>
  <c r="GL141" i="34" s="1"/>
  <c r="GD13" i="34" a="1"/>
  <c r="GD13" i="34" s="1"/>
  <c r="GL13" i="34" s="1" a="1"/>
  <c r="GL13" i="34" s="1"/>
  <c r="GD184" i="34" a="1"/>
  <c r="GD184" i="34" s="1"/>
  <c r="GL184" i="34" s="1" a="1"/>
  <c r="GL184" i="34" s="1"/>
  <c r="GD108" i="34" a="1"/>
  <c r="GD108" i="34" s="1"/>
  <c r="GL108" i="34" s="1" a="1"/>
  <c r="GL108" i="34" s="1"/>
  <c r="GD150" i="34" a="1"/>
  <c r="GD150" i="34" s="1"/>
  <c r="GL150" i="34" s="1" a="1"/>
  <c r="GL150" i="34" s="1"/>
  <c r="GD42" i="34" a="1"/>
  <c r="GD42" i="34" s="1"/>
  <c r="GL42" i="34" s="1" a="1"/>
  <c r="GL42" i="34" s="1"/>
  <c r="GD221" i="34" a="1"/>
  <c r="GD221" i="34" s="1"/>
  <c r="GL221" i="34" s="1" a="1"/>
  <c r="GL221" i="34" s="1"/>
  <c r="GD107" i="34" a="1"/>
  <c r="GD107" i="34" s="1"/>
  <c r="GL107" i="34" s="1" a="1"/>
  <c r="GL107" i="34" s="1"/>
  <c r="GD181" i="34" a="1"/>
  <c r="GD181" i="34" s="1"/>
  <c r="GL181" i="34" s="1" a="1"/>
  <c r="GL181" i="34" s="1"/>
  <c r="GD26" i="34" a="1"/>
  <c r="GD26" i="34" s="1"/>
  <c r="GL26" i="34" s="1" a="1"/>
  <c r="GL26" i="34" s="1"/>
  <c r="GD109" i="34" a="1"/>
  <c r="GD109" i="34" s="1"/>
  <c r="GL109" i="34" s="1" a="1"/>
  <c r="GL109" i="34" s="1"/>
  <c r="GD8" i="42" a="1"/>
  <c r="GD8" i="42" s="1"/>
  <c r="GL8" i="42" s="1" a="1"/>
  <c r="GL8" i="42" s="1"/>
  <c r="GD117" i="34" a="1"/>
  <c r="GD117" i="34" s="1"/>
  <c r="GL117" i="34" s="1" a="1"/>
  <c r="GL117" i="34" s="1"/>
  <c r="GD81" i="34" a="1"/>
  <c r="GD81" i="34" s="1"/>
  <c r="GL81" i="34" s="1" a="1"/>
  <c r="GL81" i="34" s="1"/>
  <c r="GD235" i="34" a="1"/>
  <c r="GD235" i="34" s="1"/>
  <c r="GL235" i="34" s="1" a="1"/>
  <c r="GL235" i="34" s="1"/>
  <c r="GD12" i="41" a="1"/>
  <c r="GD12" i="41" s="1"/>
  <c r="GL12" i="41" s="1" a="1"/>
  <c r="GL12" i="41" s="1"/>
  <c r="GD233" i="34" a="1"/>
  <c r="GD233" i="34" s="1"/>
  <c r="GL233" i="34" s="1" a="1"/>
  <c r="GL233" i="34" s="1"/>
  <c r="GD234" i="34" a="1"/>
  <c r="GD234" i="34" s="1"/>
  <c r="GL234" i="34" s="1" a="1"/>
  <c r="GL234" i="34" s="1"/>
  <c r="GD168" i="34" a="1"/>
  <c r="GD168" i="34" s="1"/>
  <c r="GL168" i="34" s="1" a="1"/>
  <c r="GL168" i="34" s="1"/>
  <c r="GD152" i="34" a="1"/>
  <c r="GD152" i="34" s="1"/>
  <c r="GL152" i="34" s="1" a="1"/>
  <c r="GL152" i="34" s="1"/>
  <c r="GD191" i="34" a="1"/>
  <c r="GD191" i="34" s="1"/>
  <c r="GL191" i="34" s="1" a="1"/>
  <c r="GL191" i="34" s="1"/>
  <c r="GD139" i="34" a="1"/>
  <c r="GD139" i="34" s="1"/>
  <c r="GL139" i="34" s="1" a="1"/>
  <c r="GL139" i="34" s="1"/>
  <c r="GD200" i="34" a="1"/>
  <c r="GD200" i="34" s="1"/>
  <c r="GL200" i="34" s="1" a="1"/>
  <c r="GL200" i="34" s="1"/>
  <c r="GD75" i="34" a="1"/>
  <c r="GD75" i="34" s="1"/>
  <c r="GL75" i="34" s="1" a="1"/>
  <c r="GL75" i="34" s="1"/>
  <c r="GD37" i="34" a="1"/>
  <c r="GD37" i="34" s="1"/>
  <c r="GL37" i="34" s="1" a="1"/>
  <c r="GL37" i="34" s="1"/>
  <c r="GD20" i="42" a="1"/>
  <c r="GD20" i="42" s="1"/>
  <c r="GL20" i="42" s="1" a="1"/>
  <c r="GL20" i="42" s="1"/>
  <c r="GD125" i="34" a="1"/>
  <c r="GD125" i="34" s="1"/>
  <c r="GL125" i="34" s="1" a="1"/>
  <c r="GL125" i="34" s="1"/>
  <c r="GD128" i="34" a="1"/>
  <c r="GD128" i="34" s="1"/>
  <c r="GL128" i="34" s="1" a="1"/>
  <c r="GL128" i="34" s="1"/>
  <c r="GD49" i="34" a="1"/>
  <c r="GD49" i="34" s="1"/>
  <c r="GL49" i="34" s="1" a="1"/>
  <c r="GL49" i="34" s="1"/>
  <c r="GD161" i="34" a="1"/>
  <c r="GD161" i="34" s="1"/>
  <c r="GL161" i="34" s="1" a="1"/>
  <c r="GL161" i="34" s="1"/>
  <c r="GD33" i="34" a="1"/>
  <c r="GD33" i="34" s="1"/>
  <c r="GL33" i="34" s="1" a="1"/>
  <c r="GL33" i="34" s="1"/>
  <c r="GD102" i="34" a="1"/>
  <c r="GD102" i="34" s="1"/>
  <c r="GL102" i="34" s="1" a="1"/>
  <c r="GL102" i="34" s="1"/>
  <c r="GD22" i="42" a="1"/>
  <c r="GD22" i="42" s="1"/>
  <c r="GL22" i="42" s="1" a="1"/>
  <c r="GL22" i="42" s="1"/>
  <c r="GD119" i="34" a="1"/>
  <c r="GD119" i="34" s="1"/>
  <c r="GL119" i="34" s="1" a="1"/>
  <c r="GL119" i="34" s="1"/>
  <c r="GD18" i="34" a="1"/>
  <c r="GD18" i="34" s="1"/>
  <c r="GL18" i="34" s="1" a="1"/>
  <c r="GL18" i="34" s="1"/>
  <c r="GD96" i="34" a="1"/>
  <c r="GD96" i="34" s="1"/>
  <c r="GL96" i="34" s="1" a="1"/>
  <c r="GL96" i="34" s="1"/>
  <c r="GD94" i="34" a="1"/>
  <c r="GD94" i="34" s="1"/>
  <c r="GL94" i="34" s="1" a="1"/>
  <c r="GL94" i="34" s="1"/>
  <c r="GD153" i="34" a="1"/>
  <c r="GD153" i="34" s="1"/>
  <c r="GL153" i="34" s="1" a="1"/>
  <c r="GL153" i="34" s="1"/>
  <c r="GD171" i="34" a="1"/>
  <c r="GD171" i="34" s="1"/>
  <c r="GL171" i="34" s="1" a="1"/>
  <c r="GL171" i="34" s="1"/>
  <c r="GD215" i="34" a="1"/>
  <c r="GD215" i="34" s="1"/>
  <c r="GL215" i="34" s="1" a="1"/>
  <c r="GL215" i="34" s="1"/>
  <c r="GD20" i="34" a="1"/>
  <c r="GD20" i="34" s="1"/>
  <c r="GL20" i="34" s="1" a="1"/>
  <c r="GL20" i="34" s="1"/>
  <c r="GD47" i="34" a="1"/>
  <c r="GD47" i="34" s="1"/>
  <c r="GL47" i="34" s="1" a="1"/>
  <c r="GL47" i="34" s="1"/>
  <c r="GD36" i="34" a="1"/>
  <c r="GD36" i="34" s="1"/>
  <c r="GL36" i="34" s="1" a="1"/>
  <c r="GL36" i="34" s="1"/>
  <c r="GD13" i="42" a="1"/>
  <c r="GD13" i="42" s="1"/>
  <c r="GL13" i="42" s="1" a="1"/>
  <c r="GL13" i="42" s="1"/>
  <c r="G160" i="43" s="1"/>
  <c r="GD245" i="34" a="1"/>
  <c r="GD245" i="34" s="1"/>
  <c r="GL245" i="34" s="1" a="1"/>
  <c r="GL245" i="34" s="1"/>
  <c r="GD165" i="34" a="1"/>
  <c r="GD165" i="34" s="1"/>
  <c r="GL165" i="34" s="1" a="1"/>
  <c r="GL165" i="34" s="1"/>
  <c r="GD135" i="34" a="1"/>
  <c r="GD135" i="34" s="1"/>
  <c r="GL135" i="34" s="1" a="1"/>
  <c r="GL135" i="34" s="1"/>
  <c r="GD9" i="41" a="1"/>
  <c r="GD9" i="41" s="1"/>
  <c r="GL9" i="41" s="1" a="1"/>
  <c r="GL9" i="41" s="1"/>
  <c r="GD44" i="34" a="1"/>
  <c r="GD44" i="34" s="1"/>
  <c r="GL44" i="34" s="1" a="1"/>
  <c r="GL44" i="34" s="1"/>
  <c r="GD185" i="34" a="1"/>
  <c r="GD185" i="34" s="1"/>
  <c r="GL185" i="34" s="1" a="1"/>
  <c r="GL185" i="34" s="1"/>
  <c r="GD88" i="34" a="1"/>
  <c r="GD88" i="34" s="1"/>
  <c r="GL88" i="34" s="1" a="1"/>
  <c r="GL88" i="34" s="1"/>
  <c r="GD160" i="34" a="1"/>
  <c r="GD160" i="34" s="1"/>
  <c r="GL160" i="34" s="1" a="1"/>
  <c r="GL160" i="34" s="1"/>
  <c r="GD21" i="34" a="1"/>
  <c r="GD21" i="34" s="1"/>
  <c r="GL21" i="34" s="1" a="1"/>
  <c r="GL21" i="34" s="1"/>
  <c r="GD34" i="34" a="1"/>
  <c r="GD34" i="34" s="1"/>
  <c r="GL34" i="34" s="1" a="1"/>
  <c r="GL34" i="34" s="1"/>
  <c r="GD173" i="34" a="1"/>
  <c r="GD173" i="34" s="1"/>
  <c r="GL173" i="34" s="1" a="1"/>
  <c r="GL173" i="34" s="1"/>
  <c r="GD8" i="41" a="1"/>
  <c r="GD8" i="41" s="1"/>
  <c r="GL8" i="41" s="1" a="1"/>
  <c r="GL8" i="41" s="1"/>
  <c r="GD225" i="34" a="1"/>
  <c r="GD225" i="34" s="1"/>
  <c r="GL225" i="34" s="1" a="1"/>
  <c r="GL225" i="34" s="1"/>
  <c r="GD86" i="34" a="1"/>
  <c r="GD86" i="34" s="1"/>
  <c r="GL86" i="34" s="1" a="1"/>
  <c r="GL86" i="34" s="1"/>
  <c r="GD207" i="34" a="1"/>
  <c r="GD207" i="34" s="1"/>
  <c r="GL207" i="34" s="1" a="1"/>
  <c r="GL207" i="34" s="1"/>
  <c r="GD27" i="34" a="1"/>
  <c r="GD27" i="34" s="1"/>
  <c r="GL27" i="34" s="1" a="1"/>
  <c r="GL27" i="34" s="1"/>
  <c r="GD67" i="34" a="1"/>
  <c r="GD67" i="34" s="1"/>
  <c r="GL67" i="34" s="1" a="1"/>
  <c r="GL67" i="34" s="1"/>
  <c r="GD105" i="34" a="1"/>
  <c r="GD105" i="34" s="1"/>
  <c r="GL105" i="34" s="1" a="1"/>
  <c r="GL105" i="34" s="1"/>
  <c r="GD63" i="34" a="1"/>
  <c r="GD63" i="34" s="1"/>
  <c r="GL63" i="34" s="1" a="1"/>
  <c r="GL63" i="34" s="1"/>
  <c r="GD243" i="34" a="1"/>
  <c r="GD243" i="34" s="1"/>
  <c r="GL243" i="34" s="1" a="1"/>
  <c r="GL243" i="34" s="1"/>
  <c r="GD28" i="34" a="1"/>
  <c r="GD28" i="34" s="1"/>
  <c r="GL28" i="34" s="1" a="1"/>
  <c r="GL28" i="34" s="1"/>
  <c r="GD60" i="34" a="1"/>
  <c r="GD60" i="34" s="1"/>
  <c r="GL60" i="34" s="1" a="1"/>
  <c r="GL60" i="34" s="1"/>
  <c r="GD59" i="34" a="1"/>
  <c r="GD59" i="34" s="1"/>
  <c r="GL59" i="34" s="1" a="1"/>
  <c r="GL59" i="34" s="1"/>
  <c r="GD69" i="34" a="1"/>
  <c r="GD69" i="34" s="1"/>
  <c r="GL69" i="34" s="1" a="1"/>
  <c r="GL69" i="34" s="1"/>
  <c r="GD189" i="34" a="1"/>
  <c r="GD189" i="34" s="1"/>
  <c r="GL189" i="34" s="1" a="1"/>
  <c r="GL189" i="34" s="1"/>
  <c r="GD194" i="34" a="1"/>
  <c r="GD194" i="34" s="1"/>
  <c r="GL194" i="34" s="1" a="1"/>
  <c r="GL194" i="34" s="1"/>
  <c r="GD103" i="34" a="1"/>
  <c r="GD103" i="34" s="1"/>
  <c r="GL103" i="34" s="1" a="1"/>
  <c r="GL103" i="34" s="1"/>
  <c r="I96" i="55"/>
  <c r="I98" i="55" s="1"/>
  <c r="I105" i="55"/>
  <c r="I123" i="55"/>
  <c r="I134" i="55" s="1"/>
  <c r="M43" i="40" s="1"/>
  <c r="J42" i="55"/>
  <c r="E154" i="43"/>
  <c r="E59" i="44"/>
  <c r="E64" i="44" s="1"/>
  <c r="E44" i="44"/>
  <c r="C107" i="55"/>
  <c r="C125" i="55"/>
  <c r="J125" i="55" s="1"/>
  <c r="J87" i="55"/>
  <c r="F16" i="16"/>
  <c r="F162" i="43"/>
  <c r="F23" i="16"/>
  <c r="F20" i="16"/>
  <c r="F22" i="44"/>
  <c r="F42" i="44" s="1"/>
  <c r="F62" i="44" s="1"/>
  <c r="E34" i="16"/>
  <c r="I15" i="40" s="1"/>
  <c r="D62" i="16"/>
  <c r="H23" i="40"/>
  <c r="H21" i="40"/>
  <c r="C123" i="55"/>
  <c r="C105" i="55"/>
  <c r="C96" i="55"/>
  <c r="J85" i="55"/>
  <c r="E105" i="55"/>
  <c r="E96" i="55"/>
  <c r="E98" i="55" s="1"/>
  <c r="E123" i="55"/>
  <c r="E134" i="55" s="1"/>
  <c r="I43" i="40" s="1"/>
  <c r="F17" i="16"/>
  <c r="F15" i="16"/>
  <c r="F183" i="43"/>
  <c r="H54" i="40"/>
  <c r="E42" i="16"/>
  <c r="I23" i="40" s="1"/>
  <c r="L96" i="55"/>
  <c r="L98" i="55" s="1"/>
  <c r="L105" i="55"/>
  <c r="L123" i="55"/>
  <c r="L134" i="55" s="1"/>
  <c r="S43" i="40" s="1"/>
  <c r="H55" i="40"/>
  <c r="D57" i="16"/>
  <c r="D26" i="16"/>
  <c r="I12" i="40"/>
  <c r="I24" i="40"/>
  <c r="F14" i="16"/>
  <c r="H105" i="55"/>
  <c r="H96" i="55"/>
  <c r="H98" i="55" s="1"/>
  <c r="H123" i="55"/>
  <c r="H134" i="55" s="1"/>
  <c r="L43" i="40" s="1"/>
  <c r="G32" i="40" l="1"/>
  <c r="J108" i="55"/>
  <c r="G27" i="40"/>
  <c r="J103" i="55"/>
  <c r="E57" i="16"/>
  <c r="F174" i="43"/>
  <c r="F176" i="43" s="1"/>
  <c r="E61" i="16"/>
  <c r="E54" i="16"/>
  <c r="E56" i="16"/>
  <c r="E55" i="16"/>
  <c r="E46" i="43"/>
  <c r="F220" i="43"/>
  <c r="G22" i="16"/>
  <c r="G42" i="16" s="1"/>
  <c r="G23" i="44"/>
  <c r="G43" i="44" s="1"/>
  <c r="G63" i="44" s="1"/>
  <c r="E46" i="44"/>
  <c r="D66" i="44"/>
  <c r="G18" i="16"/>
  <c r="G203" i="43"/>
  <c r="G23" i="43"/>
  <c r="G43" i="43" s="1"/>
  <c r="G63" i="43" s="1"/>
  <c r="K56" i="40" s="1"/>
  <c r="H61" i="40"/>
  <c r="D46" i="16"/>
  <c r="F39" i="44"/>
  <c r="F24" i="44"/>
  <c r="J29" i="40"/>
  <c r="F116" i="55"/>
  <c r="F152" i="43"/>
  <c r="F154" i="43" s="1"/>
  <c r="L29" i="40"/>
  <c r="H116" i="55"/>
  <c r="C116" i="55"/>
  <c r="G29" i="40"/>
  <c r="J105" i="55"/>
  <c r="G20" i="43"/>
  <c r="G40" i="43" s="1"/>
  <c r="G60" i="43" s="1"/>
  <c r="K53" i="40" s="1"/>
  <c r="G137" i="43"/>
  <c r="G152" i="43" s="1"/>
  <c r="H25" i="40"/>
  <c r="F41" i="16"/>
  <c r="E60" i="16"/>
  <c r="F40" i="43"/>
  <c r="F60" i="43" s="1"/>
  <c r="J53" i="40" s="1"/>
  <c r="J123" i="55"/>
  <c r="C134" i="55"/>
  <c r="D64" i="16"/>
  <c r="G15" i="16"/>
  <c r="G39" i="44"/>
  <c r="E26" i="44"/>
  <c r="E66" i="44"/>
  <c r="G164" i="43"/>
  <c r="G14" i="16"/>
  <c r="F38" i="16"/>
  <c r="F58" i="16" s="1"/>
  <c r="K29" i="40"/>
  <c r="G116" i="55"/>
  <c r="F37" i="16"/>
  <c r="J18" i="40" s="1"/>
  <c r="J96" i="55"/>
  <c r="J98" i="55" s="1"/>
  <c r="C98" i="55"/>
  <c r="G16" i="16"/>
  <c r="D66" i="43"/>
  <c r="E44" i="16"/>
  <c r="F34" i="16"/>
  <c r="J15" i="40" s="1"/>
  <c r="G22" i="44"/>
  <c r="G159" i="43"/>
  <c r="G21" i="43"/>
  <c r="G41" i="43" s="1"/>
  <c r="G61" i="43" s="1"/>
  <c r="E59" i="16"/>
  <c r="D46" i="44"/>
  <c r="J130" i="55"/>
  <c r="F39" i="16"/>
  <c r="F59" i="16" s="1"/>
  <c r="F40" i="16"/>
  <c r="J21" i="40" s="1"/>
  <c r="G11" i="16"/>
  <c r="G17" i="16"/>
  <c r="G37" i="16" s="1"/>
  <c r="H29" i="40"/>
  <c r="D116" i="55"/>
  <c r="G31" i="40"/>
  <c r="J107" i="55"/>
  <c r="G34" i="40"/>
  <c r="J110" i="55"/>
  <c r="G13" i="16"/>
  <c r="F24" i="16"/>
  <c r="F31" i="16"/>
  <c r="S29" i="40"/>
  <c r="L116" i="55"/>
  <c r="M29" i="40"/>
  <c r="M40" i="40" s="1"/>
  <c r="I116" i="55"/>
  <c r="G19" i="16"/>
  <c r="G22" i="43"/>
  <c r="G42" i="43" s="1"/>
  <c r="G62" i="43" s="1"/>
  <c r="K55" i="40" s="1"/>
  <c r="G181" i="43"/>
  <c r="G196" i="43" s="1"/>
  <c r="G36" i="40"/>
  <c r="J112" i="55"/>
  <c r="F32" i="43"/>
  <c r="F24" i="43"/>
  <c r="S57" i="40"/>
  <c r="F62" i="16"/>
  <c r="J23" i="40"/>
  <c r="F43" i="16"/>
  <c r="F63" i="16" s="1"/>
  <c r="G23" i="16"/>
  <c r="G43" i="16" s="1"/>
  <c r="G63" i="16" s="1"/>
  <c r="G204" i="43"/>
  <c r="G20" i="16"/>
  <c r="G40" i="16" s="1"/>
  <c r="D46" i="43"/>
  <c r="H47" i="40"/>
  <c r="F33" i="16"/>
  <c r="F53" i="16" s="1"/>
  <c r="E53" i="16"/>
  <c r="F196" i="43"/>
  <c r="F198" i="43" s="1"/>
  <c r="S24" i="40"/>
  <c r="L44" i="44"/>
  <c r="L66" i="44" s="1"/>
  <c r="I25" i="40"/>
  <c r="G21" i="16"/>
  <c r="E62" i="16"/>
  <c r="I29" i="40"/>
  <c r="E116" i="55"/>
  <c r="F36" i="16"/>
  <c r="J17" i="40" s="1"/>
  <c r="G14" i="43"/>
  <c r="G34" i="43" s="1"/>
  <c r="G54" i="43" s="1"/>
  <c r="K47" i="40" s="1"/>
  <c r="GF143" i="34" a="1"/>
  <c r="GF143" i="34" s="1"/>
  <c r="GN143" i="34" s="1" a="1"/>
  <c r="GN143" i="34" s="1"/>
  <c r="GF112" i="34" a="1"/>
  <c r="GF112" i="34" s="1"/>
  <c r="GN112" i="34" s="1" a="1"/>
  <c r="GN112" i="34" s="1"/>
  <c r="GF78" i="34" a="1"/>
  <c r="GF78" i="34" s="1"/>
  <c r="GN78" i="34" s="1" a="1"/>
  <c r="GN78" i="34" s="1"/>
  <c r="GF21" i="34" a="1"/>
  <c r="GF21" i="34" s="1"/>
  <c r="GN21" i="34" s="1" a="1"/>
  <c r="GN21" i="34" s="1"/>
  <c r="GF81" i="34" a="1"/>
  <c r="GF81" i="34" s="1"/>
  <c r="GN81" i="34" s="1" a="1"/>
  <c r="GN81" i="34" s="1"/>
  <c r="GF96" i="34" a="1"/>
  <c r="GF96" i="34" s="1"/>
  <c r="GN96" i="34" s="1" a="1"/>
  <c r="GN96" i="34" s="1"/>
  <c r="GF117" i="34" a="1"/>
  <c r="GF117" i="34" s="1"/>
  <c r="GN117" i="34" s="1" a="1"/>
  <c r="GN117" i="34" s="1"/>
  <c r="GF52" i="34" a="1"/>
  <c r="GF52" i="34" s="1"/>
  <c r="GN52" i="34" s="1" a="1"/>
  <c r="GN52" i="34" s="1"/>
  <c r="GF225" i="34" a="1"/>
  <c r="GF225" i="34" s="1"/>
  <c r="GN225" i="34" s="1" a="1"/>
  <c r="GN225" i="34" s="1"/>
  <c r="GF25" i="42" a="1"/>
  <c r="GF25" i="42" s="1"/>
  <c r="GN25" i="42" s="1" a="1"/>
  <c r="GN25" i="42" s="1"/>
  <c r="GF121" i="34" a="1"/>
  <c r="GF121" i="34" s="1"/>
  <c r="GN121" i="34" s="1" a="1"/>
  <c r="GN121" i="34" s="1"/>
  <c r="GF171" i="34" a="1"/>
  <c r="GF171" i="34" s="1"/>
  <c r="GN171" i="34" s="1" a="1"/>
  <c r="GN171" i="34" s="1"/>
  <c r="GF157" i="34" a="1"/>
  <c r="GF157" i="34" s="1"/>
  <c r="GN157" i="34" s="1" a="1"/>
  <c r="GN157" i="34" s="1"/>
  <c r="GF34" i="34" a="1"/>
  <c r="GF34" i="34" s="1"/>
  <c r="GN34" i="34" s="1" a="1"/>
  <c r="GN34" i="34" s="1"/>
  <c r="GF238" i="34" a="1"/>
  <c r="GF238" i="34" s="1"/>
  <c r="GN238" i="34" s="1" a="1"/>
  <c r="GN238" i="34" s="1"/>
  <c r="GF148" i="34" a="1"/>
  <c r="GF148" i="34" s="1"/>
  <c r="GN148" i="34" s="1" a="1"/>
  <c r="GN148" i="34" s="1"/>
  <c r="GF32" i="34" a="1"/>
  <c r="GF32" i="34" s="1"/>
  <c r="GN32" i="34" s="1" a="1"/>
  <c r="GN32" i="34" s="1"/>
  <c r="GF166" i="34" a="1"/>
  <c r="GF166" i="34" s="1"/>
  <c r="GN166" i="34" s="1" a="1"/>
  <c r="GN166" i="34" s="1"/>
  <c r="GF197" i="34" a="1"/>
  <c r="GF197" i="34" s="1"/>
  <c r="GN197" i="34" s="1" a="1"/>
  <c r="GN197" i="34" s="1"/>
  <c r="GF51" i="34" a="1"/>
  <c r="GF51" i="34" s="1"/>
  <c r="GN51" i="34" s="1" a="1"/>
  <c r="GN51" i="34" s="1"/>
  <c r="GF205" i="34" a="1"/>
  <c r="GF205" i="34" s="1"/>
  <c r="GN205" i="34" s="1" a="1"/>
  <c r="GN205" i="34" s="1"/>
  <c r="GF180" i="34" a="1"/>
  <c r="GF180" i="34" s="1"/>
  <c r="GN180" i="34" s="1" a="1"/>
  <c r="GN180" i="34" s="1"/>
  <c r="GF65" i="34" a="1"/>
  <c r="GF65" i="34" s="1"/>
  <c r="GN65" i="34" s="1" a="1"/>
  <c r="GN65" i="34" s="1"/>
  <c r="GF116" i="34" a="1"/>
  <c r="GF116" i="34" s="1"/>
  <c r="GN116" i="34" s="1" a="1"/>
  <c r="GN116" i="34" s="1"/>
  <c r="GF200" i="34" a="1"/>
  <c r="GF200" i="34" s="1"/>
  <c r="GN200" i="34" s="1" a="1"/>
  <c r="GN200" i="34" s="1"/>
  <c r="GF19" i="42" a="1"/>
  <c r="GF19" i="42" s="1"/>
  <c r="GN19" i="42" s="1" a="1"/>
  <c r="GN19" i="42" s="1"/>
  <c r="GF15" i="42" a="1"/>
  <c r="GF15" i="42" s="1"/>
  <c r="GN15" i="42" s="1" a="1"/>
  <c r="GN15" i="42" s="1"/>
  <c r="I162" i="43" s="1"/>
  <c r="GF11" i="42" a="1"/>
  <c r="GF11" i="42" s="1"/>
  <c r="GN11" i="42" s="1" a="1"/>
  <c r="GN11" i="42" s="1"/>
  <c r="I204" i="43" s="1"/>
  <c r="GF182" i="34" a="1"/>
  <c r="GF182" i="34" s="1"/>
  <c r="GN182" i="34" s="1" a="1"/>
  <c r="GN182" i="34" s="1"/>
  <c r="GF97" i="34" a="1"/>
  <c r="GF97" i="34" s="1"/>
  <c r="GN97" i="34" s="1" a="1"/>
  <c r="GN97" i="34" s="1"/>
  <c r="GF188" i="34" a="1"/>
  <c r="GF188" i="34" s="1"/>
  <c r="GN188" i="34" s="1" a="1"/>
  <c r="GN188" i="34" s="1"/>
  <c r="GF252" i="34" a="1"/>
  <c r="GF252" i="34" s="1"/>
  <c r="GN252" i="34" s="1" a="1"/>
  <c r="GN252" i="34" s="1"/>
  <c r="GF120" i="34" a="1"/>
  <c r="GF120" i="34" s="1"/>
  <c r="GN120" i="34" s="1" a="1"/>
  <c r="GN120" i="34" s="1"/>
  <c r="GF174" i="34" a="1"/>
  <c r="GF174" i="34" s="1"/>
  <c r="GN174" i="34" s="1" a="1"/>
  <c r="GN174" i="34" s="1"/>
  <c r="GF124" i="34" a="1"/>
  <c r="GF124" i="34" s="1"/>
  <c r="GN124" i="34" s="1" a="1"/>
  <c r="GN124" i="34" s="1"/>
  <c r="GF169" i="34" a="1"/>
  <c r="GF169" i="34" s="1"/>
  <c r="GN169" i="34" s="1" a="1"/>
  <c r="GN169" i="34" s="1"/>
  <c r="GF86" i="34" a="1"/>
  <c r="GF86" i="34" s="1"/>
  <c r="GN86" i="34" s="1" a="1"/>
  <c r="GN86" i="34" s="1"/>
  <c r="GF8" i="34" a="1"/>
  <c r="GF8" i="34" s="1"/>
  <c r="GN8" i="34" s="1" a="1"/>
  <c r="GN8" i="34" s="1"/>
  <c r="GF21" i="42" a="1"/>
  <c r="GF21" i="42" s="1"/>
  <c r="GN21" i="42" s="1" a="1"/>
  <c r="GN21" i="42" s="1"/>
  <c r="GF16" i="34" a="1"/>
  <c r="GF16" i="34" s="1"/>
  <c r="GN16" i="34" s="1" a="1"/>
  <c r="GN16" i="34" s="1"/>
  <c r="GF167" i="34" a="1"/>
  <c r="GF167" i="34" s="1"/>
  <c r="GN167" i="34" s="1" a="1"/>
  <c r="GN167" i="34" s="1"/>
  <c r="GF163" i="34" a="1"/>
  <c r="GF163" i="34" s="1"/>
  <c r="GN163" i="34" s="1" a="1"/>
  <c r="GN163" i="34" s="1"/>
  <c r="GF214" i="34" a="1"/>
  <c r="GF214" i="34" s="1"/>
  <c r="GN214" i="34" s="1" a="1"/>
  <c r="GN214" i="34" s="1"/>
  <c r="GF216" i="34" a="1"/>
  <c r="GF216" i="34" s="1"/>
  <c r="GN216" i="34" s="1" a="1"/>
  <c r="GN216" i="34" s="1"/>
  <c r="GF23" i="34" a="1"/>
  <c r="GF23" i="34" s="1"/>
  <c r="GN23" i="34" s="1" a="1"/>
  <c r="GN23" i="34" s="1"/>
  <c r="GF104" i="34" a="1"/>
  <c r="GF104" i="34" s="1"/>
  <c r="GN104" i="34" s="1" a="1"/>
  <c r="GN104" i="34" s="1"/>
  <c r="GF55" i="34" a="1"/>
  <c r="GF55" i="34" s="1"/>
  <c r="GN55" i="34" s="1" a="1"/>
  <c r="GN55" i="34" s="1"/>
  <c r="GF213" i="34" a="1"/>
  <c r="GF213" i="34" s="1"/>
  <c r="GN213" i="34" s="1" a="1"/>
  <c r="GN213" i="34" s="1"/>
  <c r="GF38" i="34" a="1"/>
  <c r="GF38" i="34" s="1"/>
  <c r="GN38" i="34" s="1" a="1"/>
  <c r="GN38" i="34" s="1"/>
  <c r="GF29" i="42" a="1"/>
  <c r="GF29" i="42" s="1"/>
  <c r="GN29" i="42" s="1" a="1"/>
  <c r="GN29" i="42" s="1"/>
  <c r="GF13" i="41" a="1"/>
  <c r="GF13" i="41" s="1"/>
  <c r="GN13" i="41" s="1" a="1"/>
  <c r="GN13" i="41" s="1"/>
  <c r="GF34" i="42" a="1"/>
  <c r="GF34" i="42" s="1"/>
  <c r="GN34" i="42" s="1" a="1"/>
  <c r="GN34" i="42" s="1"/>
  <c r="GF11" i="41" a="1"/>
  <c r="GF11" i="41" s="1"/>
  <c r="GN11" i="41" s="1" a="1"/>
  <c r="GN11" i="41" s="1"/>
  <c r="I19" i="44" s="1"/>
  <c r="GF31" i="42" a="1"/>
  <c r="GF31" i="42" s="1"/>
  <c r="GN31" i="42" s="1" a="1"/>
  <c r="GN31" i="42" s="1"/>
  <c r="GF36" i="34" a="1"/>
  <c r="GF36" i="34" s="1"/>
  <c r="GN36" i="34" s="1" a="1"/>
  <c r="GN36" i="34" s="1"/>
  <c r="GF247" i="34" a="1"/>
  <c r="GF247" i="34" s="1"/>
  <c r="GN247" i="34" s="1" a="1"/>
  <c r="GN247" i="34" s="1"/>
  <c r="GF223" i="34" a="1"/>
  <c r="GF223" i="34" s="1"/>
  <c r="GN223" i="34" s="1" a="1"/>
  <c r="GN223" i="34" s="1"/>
  <c r="GF222" i="34" a="1"/>
  <c r="GF222" i="34" s="1"/>
  <c r="GN222" i="34" s="1" a="1"/>
  <c r="GN222" i="34" s="1"/>
  <c r="GF215" i="34" a="1"/>
  <c r="GF215" i="34" s="1"/>
  <c r="GN215" i="34" s="1" a="1"/>
  <c r="GN215" i="34" s="1"/>
  <c r="GF254" i="34" a="1"/>
  <c r="GF254" i="34" s="1"/>
  <c r="GN254" i="34" s="1" a="1"/>
  <c r="GN254" i="34" s="1"/>
  <c r="GF107" i="34" a="1"/>
  <c r="GF107" i="34" s="1"/>
  <c r="GN107" i="34" s="1" a="1"/>
  <c r="GN107" i="34" s="1"/>
  <c r="GF255" i="34" a="1"/>
  <c r="GF255" i="34" s="1"/>
  <c r="GN255" i="34" s="1" a="1"/>
  <c r="GN255" i="34" s="1"/>
  <c r="GF211" i="34" a="1"/>
  <c r="GF211" i="34" s="1"/>
  <c r="GN211" i="34" s="1" a="1"/>
  <c r="GN211" i="34" s="1"/>
  <c r="GF28" i="42" a="1"/>
  <c r="GF28" i="42" s="1"/>
  <c r="GN28" i="42" s="1" a="1"/>
  <c r="GN28" i="42" s="1"/>
  <c r="GF29" i="34" a="1"/>
  <c r="GF29" i="34" s="1"/>
  <c r="GN29" i="34" s="1" a="1"/>
  <c r="GN29" i="34" s="1"/>
  <c r="GF14" i="42" a="1"/>
  <c r="GF14" i="42" s="1"/>
  <c r="GN14" i="42" s="1" a="1"/>
  <c r="GN14" i="42" s="1"/>
  <c r="I161" i="43" s="1"/>
  <c r="GF57" i="34" a="1"/>
  <c r="GF57" i="34" s="1"/>
  <c r="GN57" i="34" s="1" a="1"/>
  <c r="GN57" i="34" s="1"/>
  <c r="GF27" i="42" a="1"/>
  <c r="GF27" i="42" s="1"/>
  <c r="GN27" i="42" s="1" a="1"/>
  <c r="GN27" i="42" s="1"/>
  <c r="I183" i="43" s="1"/>
  <c r="GF126" i="34" a="1"/>
  <c r="GF126" i="34" s="1"/>
  <c r="GN126" i="34" s="1" a="1"/>
  <c r="GN126" i="34" s="1"/>
  <c r="GF46" i="34" a="1"/>
  <c r="GF46" i="34" s="1"/>
  <c r="GN46" i="34" s="1" a="1"/>
  <c r="GN46" i="34" s="1"/>
  <c r="GF199" i="34" a="1"/>
  <c r="GF199" i="34" s="1"/>
  <c r="GN199" i="34" s="1" a="1"/>
  <c r="GN199" i="34" s="1"/>
  <c r="GF194" i="34" a="1"/>
  <c r="GF194" i="34" s="1"/>
  <c r="GN194" i="34" s="1" a="1"/>
  <c r="GN194" i="34" s="1"/>
  <c r="GF137" i="34" a="1"/>
  <c r="GF137" i="34" s="1"/>
  <c r="GN137" i="34" s="1" a="1"/>
  <c r="GN137" i="34" s="1"/>
  <c r="GF237" i="34" a="1"/>
  <c r="GF237" i="34" s="1"/>
  <c r="GN237" i="34" s="1" a="1"/>
  <c r="GN237" i="34" s="1"/>
  <c r="GF18" i="42" a="1"/>
  <c r="GF18" i="42" s="1"/>
  <c r="GN18" i="42" s="1" a="1"/>
  <c r="GN18" i="42" s="1"/>
  <c r="GF114" i="34" a="1"/>
  <c r="GF114" i="34" s="1"/>
  <c r="GN114" i="34" s="1" a="1"/>
  <c r="GN114" i="34" s="1"/>
  <c r="GF99" i="34" a="1"/>
  <c r="GF99" i="34" s="1"/>
  <c r="GN99" i="34" s="1" a="1"/>
  <c r="GN99" i="34" s="1"/>
  <c r="GF145" i="34" a="1"/>
  <c r="GF145" i="34" s="1"/>
  <c r="GN145" i="34" s="1" a="1"/>
  <c r="GN145" i="34" s="1"/>
  <c r="GF118" i="34" a="1"/>
  <c r="GF118" i="34" s="1"/>
  <c r="GN118" i="34" s="1" a="1"/>
  <c r="GN118" i="34" s="1"/>
  <c r="GF239" i="34" a="1"/>
  <c r="GF239" i="34" s="1"/>
  <c r="GN239" i="34" s="1" a="1"/>
  <c r="GN239" i="34" s="1"/>
  <c r="GF32" i="42" a="1"/>
  <c r="GF32" i="42" s="1"/>
  <c r="GN32" i="42" s="1" a="1"/>
  <c r="GN32" i="42" s="1"/>
  <c r="GF202" i="34" a="1"/>
  <c r="GF202" i="34" s="1"/>
  <c r="GN202" i="34" s="1" a="1"/>
  <c r="GN202" i="34" s="1"/>
  <c r="GF195" i="34" a="1"/>
  <c r="GF195" i="34" s="1"/>
  <c r="GN195" i="34" s="1" a="1"/>
  <c r="GN195" i="34" s="1"/>
  <c r="GF201" i="34" a="1"/>
  <c r="GF201" i="34" s="1"/>
  <c r="GN201" i="34" s="1" a="1"/>
  <c r="GN201" i="34" s="1"/>
  <c r="GF8" i="41" a="1"/>
  <c r="GF8" i="41" s="1"/>
  <c r="GN8" i="41" s="1" a="1"/>
  <c r="GN8" i="41" s="1"/>
  <c r="GF175" i="34" a="1"/>
  <c r="GF175" i="34" s="1"/>
  <c r="GN175" i="34" s="1" a="1"/>
  <c r="GN175" i="34" s="1"/>
  <c r="GF133" i="34" a="1"/>
  <c r="GF133" i="34" s="1"/>
  <c r="GN133" i="34" s="1" a="1"/>
  <c r="GN133" i="34" s="1"/>
  <c r="GF246" i="34" a="1"/>
  <c r="GF246" i="34" s="1"/>
  <c r="GN246" i="34" s="1" a="1"/>
  <c r="GN246" i="34" s="1"/>
  <c r="GF35" i="34" a="1"/>
  <c r="GF35" i="34" s="1"/>
  <c r="GN35" i="34" s="1" a="1"/>
  <c r="GN35" i="34" s="1"/>
  <c r="GF159" i="34" a="1"/>
  <c r="GF159" i="34" s="1"/>
  <c r="GN159" i="34" s="1" a="1"/>
  <c r="GN159" i="34" s="1"/>
  <c r="GF235" i="34" a="1"/>
  <c r="GF235" i="34" s="1"/>
  <c r="GN235" i="34" s="1" a="1"/>
  <c r="GN235" i="34" s="1"/>
  <c r="GF173" i="34" a="1"/>
  <c r="GF173" i="34" s="1"/>
  <c r="GN173" i="34" s="1" a="1"/>
  <c r="GN173" i="34" s="1"/>
  <c r="GF10" i="34" a="1"/>
  <c r="GF10" i="34" s="1"/>
  <c r="GN10" i="34" s="1" a="1"/>
  <c r="GN10" i="34" s="1"/>
  <c r="GF10" i="42" a="1"/>
  <c r="GF10" i="42" s="1"/>
  <c r="GN10" i="42" s="1" a="1"/>
  <c r="GN10" i="42" s="1"/>
  <c r="GF110" i="34" a="1"/>
  <c r="GF110" i="34" s="1"/>
  <c r="GN110" i="34" s="1" a="1"/>
  <c r="GN110" i="34" s="1"/>
  <c r="GF8" i="42" a="1"/>
  <c r="GF8" i="42" s="1"/>
  <c r="GN8" i="42" s="1" a="1"/>
  <c r="GN8" i="42" s="1"/>
  <c r="GF77" i="34" a="1"/>
  <c r="GF77" i="34" s="1"/>
  <c r="GN77" i="34" s="1" a="1"/>
  <c r="GN77" i="34" s="1"/>
  <c r="GF139" i="34" a="1"/>
  <c r="GF139" i="34" s="1"/>
  <c r="GN139" i="34" s="1" a="1"/>
  <c r="GN139" i="34" s="1"/>
  <c r="GF135" i="34" a="1"/>
  <c r="GF135" i="34" s="1"/>
  <c r="GN135" i="34" s="1" a="1"/>
  <c r="GN135" i="34" s="1"/>
  <c r="GF249" i="34" a="1"/>
  <c r="GF249" i="34" s="1"/>
  <c r="GN249" i="34" s="1" a="1"/>
  <c r="GN249" i="34" s="1"/>
  <c r="GF26" i="42" a="1"/>
  <c r="GF26" i="42" s="1"/>
  <c r="GN26" i="42" s="1" a="1"/>
  <c r="GN26" i="42" s="1"/>
  <c r="I182" i="43" s="1"/>
  <c r="GF111" i="34" a="1"/>
  <c r="GF111" i="34" s="1"/>
  <c r="GN111" i="34" s="1" a="1"/>
  <c r="GN111" i="34" s="1"/>
  <c r="GF149" i="34" a="1"/>
  <c r="GF149" i="34" s="1"/>
  <c r="GN149" i="34" s="1" a="1"/>
  <c r="GN149" i="34" s="1"/>
  <c r="GF218" i="34" a="1"/>
  <c r="GF218" i="34" s="1"/>
  <c r="GN218" i="34" s="1" a="1"/>
  <c r="GN218" i="34" s="1"/>
  <c r="GF75" i="34" a="1"/>
  <c r="GF75" i="34" s="1"/>
  <c r="GN75" i="34" s="1" a="1"/>
  <c r="GN75" i="34" s="1"/>
  <c r="GF88" i="34" a="1"/>
  <c r="GF88" i="34" s="1"/>
  <c r="GN88" i="34" s="1" a="1"/>
  <c r="GN88" i="34" s="1"/>
  <c r="GF18" i="34" a="1"/>
  <c r="GF18" i="34" s="1"/>
  <c r="GN18" i="34" s="1" a="1"/>
  <c r="GN18" i="34" s="1"/>
  <c r="GF131" i="34" a="1"/>
  <c r="GF131" i="34" s="1"/>
  <c r="GN131" i="34" s="1" a="1"/>
  <c r="GN131" i="34" s="1"/>
  <c r="GF189" i="34" a="1"/>
  <c r="GF189" i="34" s="1"/>
  <c r="GN189" i="34" s="1" a="1"/>
  <c r="GN189" i="34" s="1"/>
  <c r="GF42" i="34" a="1"/>
  <c r="GF42" i="34" s="1"/>
  <c r="GN42" i="34" s="1" a="1"/>
  <c r="GN42" i="34" s="1"/>
  <c r="GF73" i="34" a="1"/>
  <c r="GF73" i="34" s="1"/>
  <c r="GN73" i="34" s="1" a="1"/>
  <c r="GN73" i="34" s="1"/>
  <c r="GF14" i="34" a="1"/>
  <c r="GF14" i="34" s="1"/>
  <c r="GN14" i="34" s="1" a="1"/>
  <c r="GN14" i="34" s="1"/>
  <c r="GF60" i="34" a="1"/>
  <c r="GF60" i="34" s="1"/>
  <c r="GN60" i="34" s="1" a="1"/>
  <c r="GN60" i="34" s="1"/>
  <c r="GF152" i="34" a="1"/>
  <c r="GF152" i="34" s="1"/>
  <c r="GN152" i="34" s="1" a="1"/>
  <c r="GN152" i="34" s="1"/>
  <c r="GF22" i="34" a="1"/>
  <c r="GF22" i="34" s="1"/>
  <c r="GN22" i="34" s="1" a="1"/>
  <c r="GN22" i="34" s="1"/>
  <c r="GF69" i="34" a="1"/>
  <c r="GF69" i="34" s="1"/>
  <c r="GN69" i="34" s="1" a="1"/>
  <c r="GN69" i="34" s="1"/>
  <c r="GF9" i="42" a="1"/>
  <c r="GF9" i="42" s="1"/>
  <c r="GN9" i="42" s="1" a="1"/>
  <c r="GN9" i="42" s="1"/>
  <c r="GF234" i="34" a="1"/>
  <c r="GF234" i="34" s="1"/>
  <c r="GN234" i="34" s="1" a="1"/>
  <c r="GN234" i="34" s="1"/>
  <c r="GF59" i="34" a="1"/>
  <c r="GF59" i="34" s="1"/>
  <c r="GN59" i="34" s="1" a="1"/>
  <c r="GN59" i="34" s="1"/>
  <c r="GF30" i="42" a="1"/>
  <c r="GF30" i="42" s="1"/>
  <c r="GN30" i="42" s="1" a="1"/>
  <c r="GN30" i="42" s="1"/>
  <c r="GF232" i="34" a="1"/>
  <c r="GF232" i="34" s="1"/>
  <c r="GN232" i="34" s="1" a="1"/>
  <c r="GN232" i="34" s="1"/>
  <c r="GF87" i="34" a="1"/>
  <c r="GF87" i="34" s="1"/>
  <c r="GN87" i="34" s="1" a="1"/>
  <c r="GN87" i="34" s="1"/>
  <c r="GF56" i="34" a="1"/>
  <c r="GF56" i="34" s="1"/>
  <c r="GN56" i="34" s="1" a="1"/>
  <c r="GN56" i="34" s="1"/>
  <c r="GF12" i="34" a="1"/>
  <c r="GF12" i="34" s="1"/>
  <c r="GN12" i="34" s="1" a="1"/>
  <c r="GN12" i="34" s="1"/>
  <c r="GF142" i="34" a="1"/>
  <c r="GF142" i="34" s="1"/>
  <c r="GN142" i="34" s="1" a="1"/>
  <c r="GN142" i="34" s="1"/>
  <c r="GF62" i="34" a="1"/>
  <c r="GF62" i="34" s="1"/>
  <c r="GN62" i="34" s="1" a="1"/>
  <c r="GN62" i="34" s="1"/>
  <c r="GF25" i="34" a="1"/>
  <c r="GF25" i="34" s="1"/>
  <c r="GN25" i="34" s="1" a="1"/>
  <c r="GN25" i="34" s="1"/>
  <c r="GF40" i="34" a="1"/>
  <c r="GF40" i="34" s="1"/>
  <c r="GN40" i="34" s="1" a="1"/>
  <c r="GN40" i="34" s="1"/>
  <c r="GF230" i="34" a="1"/>
  <c r="GF230" i="34" s="1"/>
  <c r="GN230" i="34" s="1" a="1"/>
  <c r="GN230" i="34" s="1"/>
  <c r="GF70" i="34" a="1"/>
  <c r="GF70" i="34" s="1"/>
  <c r="GN70" i="34" s="1" a="1"/>
  <c r="GN70" i="34" s="1"/>
  <c r="GF248" i="34" a="1"/>
  <c r="GF248" i="34" s="1"/>
  <c r="GN248" i="34" s="1" a="1"/>
  <c r="GN248" i="34" s="1"/>
  <c r="GF244" i="34" a="1"/>
  <c r="GF244" i="34" s="1"/>
  <c r="GN244" i="34" s="1" a="1"/>
  <c r="GN244" i="34" s="1"/>
  <c r="GF168" i="34" a="1"/>
  <c r="GF168" i="34" s="1"/>
  <c r="GN168" i="34" s="1" a="1"/>
  <c r="GN168" i="34" s="1"/>
  <c r="GF233" i="34" a="1"/>
  <c r="GF233" i="34" s="1"/>
  <c r="GN233" i="34" s="1" a="1"/>
  <c r="GN233" i="34" s="1"/>
  <c r="GF33" i="42" a="1"/>
  <c r="GF33" i="42" s="1"/>
  <c r="GN33" i="42" s="1" a="1"/>
  <c r="GN33" i="42" s="1"/>
  <c r="GF158" i="34" a="1"/>
  <c r="GF158" i="34" s="1"/>
  <c r="GN158" i="34" s="1" a="1"/>
  <c r="GN158" i="34" s="1"/>
  <c r="GF130" i="34" a="1"/>
  <c r="GF130" i="34" s="1"/>
  <c r="GN130" i="34" s="1" a="1"/>
  <c r="GN130" i="34" s="1"/>
  <c r="GF41" i="34" a="1"/>
  <c r="GF41" i="34" s="1"/>
  <c r="GN41" i="34" s="1" a="1"/>
  <c r="GN41" i="34" s="1"/>
  <c r="GF67" i="34" a="1"/>
  <c r="GF67" i="34" s="1"/>
  <c r="GN67" i="34" s="1" a="1"/>
  <c r="GN67" i="34" s="1"/>
  <c r="GF146" i="34" a="1"/>
  <c r="GF146" i="34" s="1"/>
  <c r="GN146" i="34" s="1" a="1"/>
  <c r="GN146" i="34" s="1"/>
  <c r="GF204" i="34" a="1"/>
  <c r="GF204" i="34" s="1"/>
  <c r="GN204" i="34" s="1" a="1"/>
  <c r="GN204" i="34" s="1"/>
  <c r="GF144" i="34" a="1"/>
  <c r="GF144" i="34" s="1"/>
  <c r="GN144" i="34" s="1" a="1"/>
  <c r="GN144" i="34" s="1"/>
  <c r="GF154" i="34" a="1"/>
  <c r="GF154" i="34" s="1"/>
  <c r="GN154" i="34" s="1" a="1"/>
  <c r="GN154" i="34" s="1"/>
  <c r="GF50" i="34" a="1"/>
  <c r="GF50" i="34" s="1"/>
  <c r="GN50" i="34" s="1" a="1"/>
  <c r="GN50" i="34" s="1"/>
  <c r="GF231" i="34" a="1"/>
  <c r="GF231" i="34" s="1"/>
  <c r="GN231" i="34" s="1" a="1"/>
  <c r="GN231" i="34" s="1"/>
  <c r="GF20" i="42" a="1"/>
  <c r="GF20" i="42" s="1"/>
  <c r="GN20" i="42" s="1" a="1"/>
  <c r="GN20" i="42" s="1"/>
  <c r="GF17" i="34" a="1"/>
  <c r="GF17" i="34" s="1"/>
  <c r="GN17" i="34" s="1" a="1"/>
  <c r="GN17" i="34" s="1"/>
  <c r="GF66" i="34" a="1"/>
  <c r="GF66" i="34" s="1"/>
  <c r="GN66" i="34" s="1" a="1"/>
  <c r="GN66" i="34" s="1"/>
  <c r="GF212" i="34" a="1"/>
  <c r="GF212" i="34" s="1"/>
  <c r="GN212" i="34" s="1" a="1"/>
  <c r="GN212" i="34" s="1"/>
  <c r="GF45" i="34" a="1"/>
  <c r="GF45" i="34" s="1"/>
  <c r="GN45" i="34" s="1" a="1"/>
  <c r="GN45" i="34" s="1"/>
  <c r="GF206" i="34" a="1"/>
  <c r="GF206" i="34" s="1"/>
  <c r="GN206" i="34" s="1" a="1"/>
  <c r="GN206" i="34" s="1"/>
  <c r="GF156" i="34" a="1"/>
  <c r="GF156" i="34" s="1"/>
  <c r="GN156" i="34" s="1" a="1"/>
  <c r="GN156" i="34" s="1"/>
  <c r="GF47" i="34" a="1"/>
  <c r="GF47" i="34" s="1"/>
  <c r="GN47" i="34" s="1" a="1"/>
  <c r="GN47" i="34" s="1"/>
  <c r="GF22" i="42" a="1"/>
  <c r="GF22" i="42" s="1"/>
  <c r="GN22" i="42" s="1" a="1"/>
  <c r="GN22" i="42" s="1"/>
  <c r="GF203" i="34" a="1"/>
  <c r="GF203" i="34" s="1"/>
  <c r="GN203" i="34" s="1" a="1"/>
  <c r="GN203" i="34" s="1"/>
  <c r="GF209" i="34" a="1"/>
  <c r="GF209" i="34" s="1"/>
  <c r="GN209" i="34" s="1" a="1"/>
  <c r="GN209" i="34" s="1"/>
  <c r="GF134" i="34" a="1"/>
  <c r="GF134" i="34" s="1"/>
  <c r="GN134" i="34" s="1" a="1"/>
  <c r="GN134" i="34" s="1"/>
  <c r="GF136" i="34" a="1"/>
  <c r="GF136" i="34" s="1"/>
  <c r="GN136" i="34" s="1" a="1"/>
  <c r="GN136" i="34" s="1"/>
  <c r="GF227" i="34" a="1"/>
  <c r="GF227" i="34" s="1"/>
  <c r="GN227" i="34" s="1" a="1"/>
  <c r="GN227" i="34" s="1"/>
  <c r="GF193" i="34" a="1"/>
  <c r="GF193" i="34" s="1"/>
  <c r="GN193" i="34" s="1" a="1"/>
  <c r="GN193" i="34" s="1"/>
  <c r="GF9" i="41" a="1"/>
  <c r="GF9" i="41" s="1"/>
  <c r="GN9" i="41" s="1" a="1"/>
  <c r="GN9" i="41" s="1"/>
  <c r="GF177" i="34" a="1"/>
  <c r="GF177" i="34" s="1"/>
  <c r="GN177" i="34" s="1" a="1"/>
  <c r="GN177" i="34" s="1"/>
  <c r="GF122" i="34" a="1"/>
  <c r="GF122" i="34" s="1"/>
  <c r="GN122" i="34" s="1" a="1"/>
  <c r="GN122" i="34" s="1"/>
  <c r="GF172" i="34" a="1"/>
  <c r="GF172" i="34" s="1"/>
  <c r="GN172" i="34" s="1" a="1"/>
  <c r="GN172" i="34" s="1"/>
  <c r="GF84" i="34" a="1"/>
  <c r="GF84" i="34" s="1"/>
  <c r="GN84" i="34" s="1" a="1"/>
  <c r="GN84" i="34" s="1"/>
  <c r="GF125" i="34" a="1"/>
  <c r="GF125" i="34" s="1"/>
  <c r="GN125" i="34" s="1" a="1"/>
  <c r="GN125" i="34" s="1"/>
  <c r="GF15" i="34" a="1"/>
  <c r="GF15" i="34" s="1"/>
  <c r="GN15" i="34" s="1" a="1"/>
  <c r="GN15" i="34" s="1"/>
  <c r="GF228" i="34" a="1"/>
  <c r="GF228" i="34" s="1"/>
  <c r="GN228" i="34" s="1" a="1"/>
  <c r="GN228" i="34" s="1"/>
  <c r="GF37" i="34" a="1"/>
  <c r="GF37" i="34" s="1"/>
  <c r="GN37" i="34" s="1" a="1"/>
  <c r="GN37" i="34" s="1"/>
  <c r="GF129" i="34" a="1"/>
  <c r="GF129" i="34" s="1"/>
  <c r="GN129" i="34" s="1" a="1"/>
  <c r="GN129" i="34" s="1"/>
  <c r="GF68" i="34" a="1"/>
  <c r="GF68" i="34" s="1"/>
  <c r="GN68" i="34" s="1" a="1"/>
  <c r="GN68" i="34" s="1"/>
  <c r="GF90" i="34" a="1"/>
  <c r="GF90" i="34" s="1"/>
  <c r="GN90" i="34" s="1" a="1"/>
  <c r="GN90" i="34" s="1"/>
  <c r="GF132" i="34" a="1"/>
  <c r="GF132" i="34" s="1"/>
  <c r="GN132" i="34" s="1" a="1"/>
  <c r="GN132" i="34" s="1"/>
  <c r="GF178" i="34" a="1"/>
  <c r="GF178" i="34" s="1"/>
  <c r="GN178" i="34" s="1" a="1"/>
  <c r="GN178" i="34" s="1"/>
  <c r="GF76" i="34" a="1"/>
  <c r="GF76" i="34" s="1"/>
  <c r="GN76" i="34" s="1" a="1"/>
  <c r="GN76" i="34" s="1"/>
  <c r="GF198" i="34" a="1"/>
  <c r="GF198" i="34" s="1"/>
  <c r="GN198" i="34" s="1" a="1"/>
  <c r="GN198" i="34" s="1"/>
  <c r="GF184" i="34" a="1"/>
  <c r="GF184" i="34" s="1"/>
  <c r="GN184" i="34" s="1" a="1"/>
  <c r="GN184" i="34" s="1"/>
  <c r="GF26" i="34" a="1"/>
  <c r="GF26" i="34" s="1"/>
  <c r="GN26" i="34" s="1" a="1"/>
  <c r="GN26" i="34" s="1"/>
  <c r="GF23" i="42" a="1"/>
  <c r="GF23" i="42" s="1"/>
  <c r="GN23" i="42" s="1" a="1"/>
  <c r="GN23" i="42" s="1"/>
  <c r="GF165" i="34" a="1"/>
  <c r="GF165" i="34" s="1"/>
  <c r="GN165" i="34" s="1" a="1"/>
  <c r="GN165" i="34" s="1"/>
  <c r="GF101" i="34" a="1"/>
  <c r="GF101" i="34" s="1"/>
  <c r="GN101" i="34" s="1" a="1"/>
  <c r="GN101" i="34" s="1"/>
  <c r="GF49" i="34" a="1"/>
  <c r="GF49" i="34" s="1"/>
  <c r="GN49" i="34" s="1" a="1"/>
  <c r="GN49" i="34" s="1"/>
  <c r="GF243" i="34" a="1"/>
  <c r="GF243" i="34" s="1"/>
  <c r="GN243" i="34" s="1" a="1"/>
  <c r="GN243" i="34" s="1"/>
  <c r="GF105" i="34" a="1"/>
  <c r="GF105" i="34" s="1"/>
  <c r="GN105" i="34" s="1" a="1"/>
  <c r="GN105" i="34" s="1"/>
  <c r="GF58" i="34" a="1"/>
  <c r="GF58" i="34" s="1"/>
  <c r="GN58" i="34" s="1" a="1"/>
  <c r="GN58" i="34" s="1"/>
  <c r="GF12" i="41" a="1"/>
  <c r="GF12" i="41" s="1"/>
  <c r="GN12" i="41" s="1" a="1"/>
  <c r="GN12" i="41" s="1"/>
  <c r="GF164" i="34" a="1"/>
  <c r="GF164" i="34" s="1"/>
  <c r="GN164" i="34" s="1" a="1"/>
  <c r="GN164" i="34" s="1"/>
  <c r="GF221" i="34" a="1"/>
  <c r="GF221" i="34" s="1"/>
  <c r="GN221" i="34" s="1" a="1"/>
  <c r="GN221" i="34" s="1"/>
  <c r="GF27" i="34" a="1"/>
  <c r="GF27" i="34" s="1"/>
  <c r="GN27" i="34" s="1" a="1"/>
  <c r="GN27" i="34" s="1"/>
  <c r="GF39" i="34" a="1"/>
  <c r="GF39" i="34" s="1"/>
  <c r="GN39" i="34" s="1" a="1"/>
  <c r="GN39" i="34" s="1"/>
  <c r="GF141" i="34" a="1"/>
  <c r="GF141" i="34" s="1"/>
  <c r="GN141" i="34" s="1" a="1"/>
  <c r="GN141" i="34" s="1"/>
  <c r="GF95" i="34" a="1"/>
  <c r="GF95" i="34" s="1"/>
  <c r="GN95" i="34" s="1" a="1"/>
  <c r="GN95" i="34" s="1"/>
  <c r="GF147" i="34" a="1"/>
  <c r="GF147" i="34" s="1"/>
  <c r="GN147" i="34" s="1" a="1"/>
  <c r="GN147" i="34" s="1"/>
  <c r="GF54" i="34" a="1"/>
  <c r="GF54" i="34" s="1"/>
  <c r="GN54" i="34" s="1" a="1"/>
  <c r="GN54" i="34" s="1"/>
  <c r="GF98" i="34" a="1"/>
  <c r="GF98" i="34" s="1"/>
  <c r="GN98" i="34" s="1" a="1"/>
  <c r="GN98" i="34" s="1"/>
  <c r="GF72" i="34" a="1"/>
  <c r="GF72" i="34" s="1"/>
  <c r="GN72" i="34" s="1" a="1"/>
  <c r="GN72" i="34" s="1"/>
  <c r="GF140" i="34" a="1"/>
  <c r="GF140" i="34" s="1"/>
  <c r="GN140" i="34" s="1" a="1"/>
  <c r="GN140" i="34" s="1"/>
  <c r="GF123" i="34" a="1"/>
  <c r="GF123" i="34" s="1"/>
  <c r="GN123" i="34" s="1" a="1"/>
  <c r="GN123" i="34" s="1"/>
  <c r="GF93" i="34" a="1"/>
  <c r="GF93" i="34" s="1"/>
  <c r="GN93" i="34" s="1" a="1"/>
  <c r="GN93" i="34" s="1"/>
  <c r="GF229" i="34" a="1"/>
  <c r="GF229" i="34" s="1"/>
  <c r="GN229" i="34" s="1" a="1"/>
  <c r="GN229" i="34" s="1"/>
  <c r="GF9" i="34" a="1"/>
  <c r="GF9" i="34" s="1"/>
  <c r="GN9" i="34" s="1" a="1"/>
  <c r="GN9" i="34" s="1"/>
  <c r="GF196" i="34" a="1"/>
  <c r="GF196" i="34" s="1"/>
  <c r="GN196" i="34" s="1" a="1"/>
  <c r="GN196" i="34" s="1"/>
  <c r="GF103" i="34" a="1"/>
  <c r="GF103" i="34" s="1"/>
  <c r="GN103" i="34" s="1" a="1"/>
  <c r="GN103" i="34" s="1"/>
  <c r="GF150" i="34" a="1"/>
  <c r="GF150" i="34" s="1"/>
  <c r="GN150" i="34" s="1" a="1"/>
  <c r="GN150" i="34" s="1"/>
  <c r="GF153" i="34" a="1"/>
  <c r="GF153" i="34" s="1"/>
  <c r="GN153" i="34" s="1" a="1"/>
  <c r="GN153" i="34" s="1"/>
  <c r="GF113" i="34" a="1"/>
  <c r="GF113" i="34" s="1"/>
  <c r="GN113" i="34" s="1" a="1"/>
  <c r="GN113" i="34" s="1"/>
  <c r="GF79" i="34" a="1"/>
  <c r="GF79" i="34" s="1"/>
  <c r="GN79" i="34" s="1" a="1"/>
  <c r="GN79" i="34" s="1"/>
  <c r="GF30" i="34" a="1"/>
  <c r="GF30" i="34" s="1"/>
  <c r="GN30" i="34" s="1" a="1"/>
  <c r="GN30" i="34" s="1"/>
  <c r="GF250" i="34" a="1"/>
  <c r="GF250" i="34" s="1"/>
  <c r="GN250" i="34" s="1" a="1"/>
  <c r="GN250" i="34" s="1"/>
  <c r="GF190" i="34" a="1"/>
  <c r="GF190" i="34" s="1"/>
  <c r="GN190" i="34" s="1" a="1"/>
  <c r="GN190" i="34" s="1"/>
  <c r="GF82" i="34" a="1"/>
  <c r="GF82" i="34" s="1"/>
  <c r="GN82" i="34" s="1" a="1"/>
  <c r="GN82" i="34" s="1"/>
  <c r="GF109" i="34" a="1"/>
  <c r="GF109" i="34" s="1"/>
  <c r="GN109" i="34" s="1" a="1"/>
  <c r="GN109" i="34" s="1"/>
  <c r="GF179" i="34" a="1"/>
  <c r="GF179" i="34" s="1"/>
  <c r="GN179" i="34" s="1" a="1"/>
  <c r="GN179" i="34" s="1"/>
  <c r="GF251" i="34" a="1"/>
  <c r="GF251" i="34" s="1"/>
  <c r="GN251" i="34" s="1" a="1"/>
  <c r="GN251" i="34" s="1"/>
  <c r="GF242" i="34" a="1"/>
  <c r="GF242" i="34" s="1"/>
  <c r="GN242" i="34" s="1" a="1"/>
  <c r="GN242" i="34" s="1"/>
  <c r="GF20" i="34" a="1"/>
  <c r="GF20" i="34" s="1"/>
  <c r="GN20" i="34" s="1" a="1"/>
  <c r="GN20" i="34" s="1"/>
  <c r="GF210" i="34" a="1"/>
  <c r="GF210" i="34" s="1"/>
  <c r="GN210" i="34" s="1" a="1"/>
  <c r="GN210" i="34" s="1"/>
  <c r="GF48" i="34" a="1"/>
  <c r="GF48" i="34" s="1"/>
  <c r="GN48" i="34" s="1" a="1"/>
  <c r="GN48" i="34" s="1"/>
  <c r="GF220" i="34" a="1"/>
  <c r="GF220" i="34" s="1"/>
  <c r="GN220" i="34" s="1" a="1"/>
  <c r="GN220" i="34" s="1"/>
  <c r="GF31" i="34" a="1"/>
  <c r="GF31" i="34" s="1"/>
  <c r="GN31" i="34" s="1" a="1"/>
  <c r="GN31" i="34" s="1"/>
  <c r="GF63" i="34" a="1"/>
  <c r="GF63" i="34" s="1"/>
  <c r="GN63" i="34" s="1" a="1"/>
  <c r="GN63" i="34" s="1"/>
  <c r="GF106" i="34" a="1"/>
  <c r="GF106" i="34" s="1"/>
  <c r="GN106" i="34" s="1" a="1"/>
  <c r="GN106" i="34" s="1"/>
  <c r="GF128" i="34" a="1"/>
  <c r="GF128" i="34" s="1"/>
  <c r="GN128" i="34" s="1" a="1"/>
  <c r="GN128" i="34" s="1"/>
  <c r="GF192" i="34" a="1"/>
  <c r="GF192" i="34" s="1"/>
  <c r="GN192" i="34" s="1" a="1"/>
  <c r="GN192" i="34" s="1"/>
  <c r="GF241" i="34" a="1"/>
  <c r="GF241" i="34" s="1"/>
  <c r="GN241" i="34" s="1" a="1"/>
  <c r="GN241" i="34" s="1"/>
  <c r="GF10" i="41" a="1"/>
  <c r="GF10" i="41" s="1"/>
  <c r="GN10" i="41" s="1" a="1"/>
  <c r="GN10" i="41" s="1"/>
  <c r="GF138" i="34" a="1"/>
  <c r="GF138" i="34" s="1"/>
  <c r="GN138" i="34" s="1" a="1"/>
  <c r="GN138" i="34" s="1"/>
  <c r="GF94" i="34" a="1"/>
  <c r="GF94" i="34" s="1"/>
  <c r="GN94" i="34" s="1" a="1"/>
  <c r="GN94" i="34" s="1"/>
  <c r="GF28" i="34" a="1"/>
  <c r="GF28" i="34" s="1"/>
  <c r="GN28" i="34" s="1" a="1"/>
  <c r="GN28" i="34" s="1"/>
  <c r="GF181" i="34" a="1"/>
  <c r="GF181" i="34" s="1"/>
  <c r="GN181" i="34" s="1" a="1"/>
  <c r="GN181" i="34" s="1"/>
  <c r="GF226" i="34" a="1"/>
  <c r="GF226" i="34" s="1"/>
  <c r="GN226" i="34" s="1" a="1"/>
  <c r="GN226" i="34" s="1"/>
  <c r="GF115" i="34" a="1"/>
  <c r="GF115" i="34" s="1"/>
  <c r="GN115" i="34" s="1" a="1"/>
  <c r="GN115" i="34" s="1"/>
  <c r="GF83" i="34" a="1"/>
  <c r="GF83" i="34" s="1"/>
  <c r="GN83" i="34" s="1" a="1"/>
  <c r="GN83" i="34" s="1"/>
  <c r="GF13" i="34" a="1"/>
  <c r="GF13" i="34" s="1"/>
  <c r="GN13" i="34" s="1" a="1"/>
  <c r="GN13" i="34" s="1"/>
  <c r="GF127" i="34" a="1"/>
  <c r="GF127" i="34" s="1"/>
  <c r="GN127" i="34" s="1" a="1"/>
  <c r="GN127" i="34" s="1"/>
  <c r="GF208" i="34" a="1"/>
  <c r="GF208" i="34" s="1"/>
  <c r="GN208" i="34" s="1" a="1"/>
  <c r="GN208" i="34" s="1"/>
  <c r="GF119" i="34" a="1"/>
  <c r="GF119" i="34" s="1"/>
  <c r="GN119" i="34" s="1" a="1"/>
  <c r="GN119" i="34" s="1"/>
  <c r="GF245" i="34" a="1"/>
  <c r="GF245" i="34" s="1"/>
  <c r="GN245" i="34" s="1" a="1"/>
  <c r="GN245" i="34" s="1"/>
  <c r="GF160" i="34" a="1"/>
  <c r="GF160" i="34" s="1"/>
  <c r="GN160" i="34" s="1" a="1"/>
  <c r="GN160" i="34" s="1"/>
  <c r="GF236" i="34" a="1"/>
  <c r="GF236" i="34" s="1"/>
  <c r="GN236" i="34" s="1" a="1"/>
  <c r="GN236" i="34" s="1"/>
  <c r="GF217" i="34" a="1"/>
  <c r="GF217" i="34" s="1"/>
  <c r="GN217" i="34" s="1" a="1"/>
  <c r="GN217" i="34" s="1"/>
  <c r="GF219" i="34" a="1"/>
  <c r="GF219" i="34" s="1"/>
  <c r="GN219" i="34" s="1" a="1"/>
  <c r="GN219" i="34" s="1"/>
  <c r="GF71" i="34" a="1"/>
  <c r="GF71" i="34" s="1"/>
  <c r="GN71" i="34" s="1" a="1"/>
  <c r="GN71" i="34" s="1"/>
  <c r="GF80" i="34" a="1"/>
  <c r="GF80" i="34" s="1"/>
  <c r="GN80" i="34" s="1" a="1"/>
  <c r="GN80" i="34" s="1"/>
  <c r="GF207" i="34" a="1"/>
  <c r="GF207" i="34" s="1"/>
  <c r="GN207" i="34" s="1" a="1"/>
  <c r="GN207" i="34" s="1"/>
  <c r="GF185" i="34" a="1"/>
  <c r="GF185" i="34" s="1"/>
  <c r="GN185" i="34" s="1" a="1"/>
  <c r="GN185" i="34" s="1"/>
  <c r="GF240" i="34" a="1"/>
  <c r="GF240" i="34" s="1"/>
  <c r="GN240" i="34" s="1" a="1"/>
  <c r="GN240" i="34" s="1"/>
  <c r="GF183" i="34" a="1"/>
  <c r="GF183" i="34" s="1"/>
  <c r="GN183" i="34" s="1" a="1"/>
  <c r="GN183" i="34" s="1"/>
  <c r="GF176" i="34" a="1"/>
  <c r="GF176" i="34" s="1"/>
  <c r="GN176" i="34" s="1" a="1"/>
  <c r="GN176" i="34" s="1"/>
  <c r="GF61" i="34" a="1"/>
  <c r="GF61" i="34" s="1"/>
  <c r="GN61" i="34" s="1" a="1"/>
  <c r="GN61" i="34" s="1"/>
  <c r="GF64" i="34" a="1"/>
  <c r="GF64" i="34" s="1"/>
  <c r="GN64" i="34" s="1" a="1"/>
  <c r="GN64" i="34" s="1"/>
  <c r="GF151" i="34" a="1"/>
  <c r="GF151" i="34" s="1"/>
  <c r="GN151" i="34" s="1" a="1"/>
  <c r="GN151" i="34" s="1"/>
  <c r="GF19" i="34" a="1"/>
  <c r="GF19" i="34" s="1"/>
  <c r="GN19" i="34" s="1" a="1"/>
  <c r="GN19" i="34" s="1"/>
  <c r="GF44" i="34" a="1"/>
  <c r="GF44" i="34" s="1"/>
  <c r="GN44" i="34" s="1" a="1"/>
  <c r="GN44" i="34" s="1"/>
  <c r="GF12" i="42" a="1"/>
  <c r="GF12" i="42" s="1"/>
  <c r="GN12" i="42" s="1" a="1"/>
  <c r="GN12" i="42" s="1"/>
  <c r="GF191" i="34" a="1"/>
  <c r="GF191" i="34" s="1"/>
  <c r="GN191" i="34" s="1" a="1"/>
  <c r="GN191" i="34" s="1"/>
  <c r="GF108" i="34" a="1"/>
  <c r="GF108" i="34" s="1"/>
  <c r="GN108" i="34" s="1" a="1"/>
  <c r="GN108" i="34" s="1"/>
  <c r="GF91" i="34" a="1"/>
  <c r="GF91" i="34" s="1"/>
  <c r="GN91" i="34" s="1" a="1"/>
  <c r="GN91" i="34" s="1"/>
  <c r="GF74" i="34" a="1"/>
  <c r="GF74" i="34" s="1"/>
  <c r="GN74" i="34" s="1" a="1"/>
  <c r="GN74" i="34" s="1"/>
  <c r="GF100" i="34" a="1"/>
  <c r="GF100" i="34" s="1"/>
  <c r="GN100" i="34" s="1" a="1"/>
  <c r="GN100" i="34" s="1"/>
  <c r="GF224" i="34" a="1"/>
  <c r="GF224" i="34" s="1"/>
  <c r="GN224" i="34" s="1" a="1"/>
  <c r="GN224" i="34" s="1"/>
  <c r="GF155" i="34" a="1"/>
  <c r="GF155" i="34" s="1"/>
  <c r="GN155" i="34" s="1" a="1"/>
  <c r="GN155" i="34" s="1"/>
  <c r="GF53" i="34" a="1"/>
  <c r="GF53" i="34" s="1"/>
  <c r="GN53" i="34" s="1" a="1"/>
  <c r="GN53" i="34" s="1"/>
  <c r="GF24" i="42" a="1"/>
  <c r="GF24" i="42" s="1"/>
  <c r="GN24" i="42" s="1" a="1"/>
  <c r="GN24" i="42" s="1"/>
  <c r="GF17" i="42" a="1"/>
  <c r="GF17" i="42" s="1"/>
  <c r="GN17" i="42" s="1" a="1"/>
  <c r="GN17" i="42" s="1"/>
  <c r="I164" i="43" s="1"/>
  <c r="GF89" i="34" a="1"/>
  <c r="GF89" i="34" s="1"/>
  <c r="GN89" i="34" s="1" a="1"/>
  <c r="GN89" i="34" s="1"/>
  <c r="GF161" i="34" a="1"/>
  <c r="GF161" i="34" s="1"/>
  <c r="GN161" i="34" s="1" a="1"/>
  <c r="GN161" i="34" s="1"/>
  <c r="GF43" i="34" a="1"/>
  <c r="GF43" i="34" s="1"/>
  <c r="GN43" i="34" s="1" a="1"/>
  <c r="GN43" i="34" s="1"/>
  <c r="GF162" i="34" a="1"/>
  <c r="GF162" i="34" s="1"/>
  <c r="GN162" i="34" s="1" a="1"/>
  <c r="GN162" i="34" s="1"/>
  <c r="GF11" i="34" a="1"/>
  <c r="GF11" i="34" s="1"/>
  <c r="GN11" i="34" s="1" a="1"/>
  <c r="GN11" i="34" s="1"/>
  <c r="GF253" i="34" a="1"/>
  <c r="GF253" i="34" s="1"/>
  <c r="GN253" i="34" s="1" a="1"/>
  <c r="GN253" i="34" s="1"/>
  <c r="GF16" i="42" a="1"/>
  <c r="GF16" i="42" s="1"/>
  <c r="GN16" i="42" s="1" a="1"/>
  <c r="GN16" i="42" s="1"/>
  <c r="I163" i="43" s="1"/>
  <c r="GF92" i="34" a="1"/>
  <c r="GF92" i="34" s="1"/>
  <c r="GN92" i="34" s="1" a="1"/>
  <c r="GN92" i="34" s="1"/>
  <c r="GF186" i="34" a="1"/>
  <c r="GF186" i="34" s="1"/>
  <c r="GN186" i="34" s="1" a="1"/>
  <c r="GN186" i="34" s="1"/>
  <c r="GF102" i="34" a="1"/>
  <c r="GF102" i="34" s="1"/>
  <c r="GN102" i="34" s="1" a="1"/>
  <c r="GN102" i="34" s="1"/>
  <c r="GF24" i="34" a="1"/>
  <c r="GF24" i="34" s="1"/>
  <c r="GN24" i="34" s="1" a="1"/>
  <c r="GN24" i="34" s="1"/>
  <c r="GF170" i="34" a="1"/>
  <c r="GF170" i="34" s="1"/>
  <c r="GN170" i="34" s="1" a="1"/>
  <c r="GN170" i="34" s="1"/>
  <c r="GF187" i="34" a="1"/>
  <c r="GF187" i="34" s="1"/>
  <c r="GN187" i="34" s="1" a="1"/>
  <c r="GN187" i="34" s="1"/>
  <c r="GF33" i="34" a="1"/>
  <c r="GF33" i="34" s="1"/>
  <c r="GN33" i="34" s="1" a="1"/>
  <c r="GN33" i="34" s="1"/>
  <c r="GF85" i="34" a="1"/>
  <c r="GF85" i="34" s="1"/>
  <c r="GN85" i="34" s="1" a="1"/>
  <c r="GN85" i="34" s="1"/>
  <c r="GF13" i="42" a="1"/>
  <c r="GF13" i="42" s="1"/>
  <c r="GN13" i="42" s="1" a="1"/>
  <c r="GN13" i="42" s="1"/>
  <c r="I160" i="43" s="1"/>
  <c r="F43" i="43"/>
  <c r="F63" i="43" s="1"/>
  <c r="J56" i="40" s="1"/>
  <c r="F42" i="43"/>
  <c r="F62" i="43" s="1"/>
  <c r="L26" i="44"/>
  <c r="E52" i="43"/>
  <c r="F35" i="16"/>
  <c r="G12" i="43"/>
  <c r="GE139" i="34" a="1"/>
  <c r="GE139" i="34" s="1"/>
  <c r="GM139" i="34" s="1" a="1"/>
  <c r="GM139" i="34" s="1"/>
  <c r="GE200" i="34" a="1"/>
  <c r="GE200" i="34" s="1"/>
  <c r="GM200" i="34" s="1" a="1"/>
  <c r="GM200" i="34" s="1"/>
  <c r="GE154" i="34" a="1"/>
  <c r="GE154" i="34" s="1"/>
  <c r="GM154" i="34" s="1" a="1"/>
  <c r="GM154" i="34" s="1"/>
  <c r="GE213" i="34" a="1"/>
  <c r="GE213" i="34" s="1"/>
  <c r="GM213" i="34" s="1" a="1"/>
  <c r="GM213" i="34" s="1"/>
  <c r="GE100" i="34" a="1"/>
  <c r="GE100" i="34" s="1"/>
  <c r="GM100" i="34" s="1" a="1"/>
  <c r="GM100" i="34" s="1"/>
  <c r="GE18" i="34" a="1"/>
  <c r="GE18" i="34" s="1"/>
  <c r="GM18" i="34" s="1" a="1"/>
  <c r="GM18" i="34" s="1"/>
  <c r="GE12" i="34" a="1"/>
  <c r="GE12" i="34" s="1"/>
  <c r="GM12" i="34" s="1" a="1"/>
  <c r="GM12" i="34" s="1"/>
  <c r="GE255" i="34" a="1"/>
  <c r="GE255" i="34" s="1"/>
  <c r="GM255" i="34" s="1" a="1"/>
  <c r="GM255" i="34" s="1"/>
  <c r="GE13" i="34" a="1"/>
  <c r="GE13" i="34" s="1"/>
  <c r="GM13" i="34" s="1" a="1"/>
  <c r="GM13" i="34" s="1"/>
  <c r="GE54" i="34" a="1"/>
  <c r="GE54" i="34" s="1"/>
  <c r="GM54" i="34" s="1" a="1"/>
  <c r="GM54" i="34" s="1"/>
  <c r="GE80" i="34" a="1"/>
  <c r="GE80" i="34" s="1"/>
  <c r="GM80" i="34" s="1" a="1"/>
  <c r="GM80" i="34" s="1"/>
  <c r="GE102" i="34" a="1"/>
  <c r="GE102" i="34" s="1"/>
  <c r="GM102" i="34" s="1" a="1"/>
  <c r="GM102" i="34" s="1"/>
  <c r="GE195" i="34" a="1"/>
  <c r="GE195" i="34" s="1"/>
  <c r="GM195" i="34" s="1" a="1"/>
  <c r="GM195" i="34" s="1"/>
  <c r="GE74" i="34" a="1"/>
  <c r="GE74" i="34" s="1"/>
  <c r="GM74" i="34" s="1" a="1"/>
  <c r="GM74" i="34" s="1"/>
  <c r="GE149" i="34" a="1"/>
  <c r="GE149" i="34" s="1"/>
  <c r="GM149" i="34" s="1" a="1"/>
  <c r="GM149" i="34" s="1"/>
  <c r="GE37" i="34" a="1"/>
  <c r="GE37" i="34" s="1"/>
  <c r="GM37" i="34" s="1" a="1"/>
  <c r="GM37" i="34" s="1"/>
  <c r="GE29" i="34" a="1"/>
  <c r="GE29" i="34" s="1"/>
  <c r="GM29" i="34" s="1" a="1"/>
  <c r="GM29" i="34" s="1"/>
  <c r="GE25" i="42" a="1"/>
  <c r="GE25" i="42" s="1"/>
  <c r="GM25" i="42" s="1" a="1"/>
  <c r="GM25" i="42" s="1"/>
  <c r="GE137" i="34" a="1"/>
  <c r="GE137" i="34" s="1"/>
  <c r="GM137" i="34" s="1" a="1"/>
  <c r="GM137" i="34" s="1"/>
  <c r="GE234" i="34" a="1"/>
  <c r="GE234" i="34" s="1"/>
  <c r="GM234" i="34" s="1" a="1"/>
  <c r="GM234" i="34" s="1"/>
  <c r="GE14" i="42" a="1"/>
  <c r="GE14" i="42" s="1"/>
  <c r="GM14" i="42" s="1" a="1"/>
  <c r="GM14" i="42" s="1"/>
  <c r="H161" i="43" s="1"/>
  <c r="GE22" i="42" a="1"/>
  <c r="GE22" i="42" s="1"/>
  <c r="GM22" i="42" s="1" a="1"/>
  <c r="GM22" i="42" s="1"/>
  <c r="GE35" i="34" a="1"/>
  <c r="GE35" i="34" s="1"/>
  <c r="GM35" i="34" s="1" a="1"/>
  <c r="GM35" i="34" s="1"/>
  <c r="GE103" i="34" a="1"/>
  <c r="GE103" i="34" s="1"/>
  <c r="GM103" i="34" s="1" a="1"/>
  <c r="GM103" i="34" s="1"/>
  <c r="GE94" i="34" a="1"/>
  <c r="GE94" i="34" s="1"/>
  <c r="GM94" i="34" s="1" a="1"/>
  <c r="GM94" i="34" s="1"/>
  <c r="GE231" i="34" a="1"/>
  <c r="GE231" i="34" s="1"/>
  <c r="GM231" i="34" s="1" a="1"/>
  <c r="GM231" i="34" s="1"/>
  <c r="GE53" i="34" a="1"/>
  <c r="GE53" i="34" s="1"/>
  <c r="GM53" i="34" s="1" a="1"/>
  <c r="GM53" i="34" s="1"/>
  <c r="GE187" i="34" a="1"/>
  <c r="GE187" i="34" s="1"/>
  <c r="GM187" i="34" s="1" a="1"/>
  <c r="GM187" i="34" s="1"/>
  <c r="GE169" i="34" a="1"/>
  <c r="GE169" i="34" s="1"/>
  <c r="GM169" i="34" s="1" a="1"/>
  <c r="GM169" i="34" s="1"/>
  <c r="GE23" i="34" a="1"/>
  <c r="GE23" i="34" s="1"/>
  <c r="GM23" i="34" s="1" a="1"/>
  <c r="GM23" i="34" s="1"/>
  <c r="GE227" i="34" a="1"/>
  <c r="GE227" i="34" s="1"/>
  <c r="GM227" i="34" s="1" a="1"/>
  <c r="GM227" i="34" s="1"/>
  <c r="GE45" i="34" a="1"/>
  <c r="GE45" i="34" s="1"/>
  <c r="GM45" i="34" s="1" a="1"/>
  <c r="GM45" i="34" s="1"/>
  <c r="GE189" i="34" a="1"/>
  <c r="GE189" i="34" s="1"/>
  <c r="GM189" i="34" s="1" a="1"/>
  <c r="GM189" i="34" s="1"/>
  <c r="GE141" i="34" a="1"/>
  <c r="GE141" i="34" s="1"/>
  <c r="GM141" i="34" s="1" a="1"/>
  <c r="GM141" i="34" s="1"/>
  <c r="GE206" i="34" a="1"/>
  <c r="GE206" i="34" s="1"/>
  <c r="GM206" i="34" s="1" a="1"/>
  <c r="GM206" i="34" s="1"/>
  <c r="GE148" i="34" a="1"/>
  <c r="GE148" i="34" s="1"/>
  <c r="GM148" i="34" s="1" a="1"/>
  <c r="GM148" i="34" s="1"/>
  <c r="GE19" i="34" a="1"/>
  <c r="GE19" i="34" s="1"/>
  <c r="GM19" i="34" s="1" a="1"/>
  <c r="GM19" i="34" s="1"/>
  <c r="GE243" i="34" a="1"/>
  <c r="GE243" i="34" s="1"/>
  <c r="GM243" i="34" s="1" a="1"/>
  <c r="GM243" i="34" s="1"/>
  <c r="GE226" i="34" a="1"/>
  <c r="GE226" i="34" s="1"/>
  <c r="GM226" i="34" s="1" a="1"/>
  <c r="GM226" i="34" s="1"/>
  <c r="GE214" i="34" a="1"/>
  <c r="GE214" i="34" s="1"/>
  <c r="GM214" i="34" s="1" a="1"/>
  <c r="GM214" i="34" s="1"/>
  <c r="GE72" i="34" a="1"/>
  <c r="GE72" i="34" s="1"/>
  <c r="GM72" i="34" s="1" a="1"/>
  <c r="GM72" i="34" s="1"/>
  <c r="GE130" i="34" a="1"/>
  <c r="GE130" i="34" s="1"/>
  <c r="GM130" i="34" s="1" a="1"/>
  <c r="GM130" i="34" s="1"/>
  <c r="GE8" i="34" a="1"/>
  <c r="GE8" i="34" s="1"/>
  <c r="GM8" i="34" s="1" a="1"/>
  <c r="GM8" i="34" s="1"/>
  <c r="GE112" i="34" a="1"/>
  <c r="GE112" i="34" s="1"/>
  <c r="GM112" i="34" s="1" a="1"/>
  <c r="GM112" i="34" s="1"/>
  <c r="GE245" i="34" a="1"/>
  <c r="GE245" i="34" s="1"/>
  <c r="GM245" i="34" s="1" a="1"/>
  <c r="GM245" i="34" s="1"/>
  <c r="GE219" i="34" a="1"/>
  <c r="GE219" i="34" s="1"/>
  <c r="GM219" i="34" s="1" a="1"/>
  <c r="GM219" i="34" s="1"/>
  <c r="GE75" i="34" a="1"/>
  <c r="GE75" i="34" s="1"/>
  <c r="GM75" i="34" s="1" a="1"/>
  <c r="GM75" i="34" s="1"/>
  <c r="GE160" i="34" a="1"/>
  <c r="GE160" i="34" s="1"/>
  <c r="GM160" i="34" s="1" a="1"/>
  <c r="GM160" i="34" s="1"/>
  <c r="GE11" i="41" a="1"/>
  <c r="GE11" i="41" s="1"/>
  <c r="GM11" i="41" s="1" a="1"/>
  <c r="GM11" i="41" s="1"/>
  <c r="GE120" i="34" a="1"/>
  <c r="GE120" i="34" s="1"/>
  <c r="GM120" i="34" s="1" a="1"/>
  <c r="GM120" i="34" s="1"/>
  <c r="GE199" i="34" a="1"/>
  <c r="GE199" i="34" s="1"/>
  <c r="GM199" i="34" s="1" a="1"/>
  <c r="GM199" i="34" s="1"/>
  <c r="GE50" i="34" a="1"/>
  <c r="GE50" i="34" s="1"/>
  <c r="GM50" i="34" s="1" a="1"/>
  <c r="GM50" i="34" s="1"/>
  <c r="GE68" i="34" a="1"/>
  <c r="GE68" i="34" s="1"/>
  <c r="GM68" i="34" s="1" a="1"/>
  <c r="GM68" i="34" s="1"/>
  <c r="GE85" i="34" a="1"/>
  <c r="GE85" i="34" s="1"/>
  <c r="GM85" i="34" s="1" a="1"/>
  <c r="GM85" i="34" s="1"/>
  <c r="GE22" i="34" a="1"/>
  <c r="GE22" i="34" s="1"/>
  <c r="GM22" i="34" s="1" a="1"/>
  <c r="GM22" i="34" s="1"/>
  <c r="GE46" i="34" a="1"/>
  <c r="GE46" i="34" s="1"/>
  <c r="GM46" i="34" s="1" a="1"/>
  <c r="GM46" i="34" s="1"/>
  <c r="GE162" i="34" a="1"/>
  <c r="GE162" i="34" s="1"/>
  <c r="GM162" i="34" s="1" a="1"/>
  <c r="GM162" i="34" s="1"/>
  <c r="GE33" i="42" a="1"/>
  <c r="GE33" i="42" s="1"/>
  <c r="GM33" i="42" s="1" a="1"/>
  <c r="GM33" i="42" s="1"/>
  <c r="GE152" i="34" a="1"/>
  <c r="GE152" i="34" s="1"/>
  <c r="GM152" i="34" s="1" a="1"/>
  <c r="GM152" i="34" s="1"/>
  <c r="GE97" i="34" a="1"/>
  <c r="GE97" i="34" s="1"/>
  <c r="GM97" i="34" s="1" a="1"/>
  <c r="GM97" i="34" s="1"/>
  <c r="GE38" i="34" a="1"/>
  <c r="GE38" i="34" s="1"/>
  <c r="GM38" i="34" s="1" a="1"/>
  <c r="GM38" i="34" s="1"/>
  <c r="GE202" i="34" a="1"/>
  <c r="GE202" i="34" s="1"/>
  <c r="GM202" i="34" s="1" a="1"/>
  <c r="GM202" i="34" s="1"/>
  <c r="GE49" i="34" a="1"/>
  <c r="GE49" i="34" s="1"/>
  <c r="GM49" i="34" s="1" a="1"/>
  <c r="GM49" i="34" s="1"/>
  <c r="GE207" i="34" a="1"/>
  <c r="GE207" i="34" s="1"/>
  <c r="GM207" i="34" s="1" a="1"/>
  <c r="GM207" i="34" s="1"/>
  <c r="GE76" i="34" a="1"/>
  <c r="GE76" i="34" s="1"/>
  <c r="GM76" i="34" s="1" a="1"/>
  <c r="GM76" i="34" s="1"/>
  <c r="GE181" i="34" a="1"/>
  <c r="GE181" i="34" s="1"/>
  <c r="GM181" i="34" s="1" a="1"/>
  <c r="GM181" i="34" s="1"/>
  <c r="GE240" i="34" a="1"/>
  <c r="GE240" i="34" s="1"/>
  <c r="GM240" i="34" s="1" a="1"/>
  <c r="GM240" i="34" s="1"/>
  <c r="GE28" i="42" a="1"/>
  <c r="GE28" i="42" s="1"/>
  <c r="GM28" i="42" s="1" a="1"/>
  <c r="GM28" i="42" s="1"/>
  <c r="GE18" i="42" a="1"/>
  <c r="GE18" i="42" s="1"/>
  <c r="GM18" i="42" s="1" a="1"/>
  <c r="GM18" i="42" s="1"/>
  <c r="GE185" i="34" a="1"/>
  <c r="GE185" i="34" s="1"/>
  <c r="GM185" i="34" s="1" a="1"/>
  <c r="GM185" i="34" s="1"/>
  <c r="GE150" i="34" a="1"/>
  <c r="GE150" i="34" s="1"/>
  <c r="GM150" i="34" s="1" a="1"/>
  <c r="GM150" i="34" s="1"/>
  <c r="GE114" i="34" a="1"/>
  <c r="GE114" i="34" s="1"/>
  <c r="GM114" i="34" s="1" a="1"/>
  <c r="GM114" i="34" s="1"/>
  <c r="GE8" i="42" a="1"/>
  <c r="GE8" i="42" s="1"/>
  <c r="GM8" i="42" s="1" a="1"/>
  <c r="GM8" i="42" s="1"/>
  <c r="GE33" i="34" a="1"/>
  <c r="GE33" i="34" s="1"/>
  <c r="GM33" i="34" s="1" a="1"/>
  <c r="GM33" i="34" s="1"/>
  <c r="GE16" i="42" a="1"/>
  <c r="GE16" i="42" s="1"/>
  <c r="GM16" i="42" s="1" a="1"/>
  <c r="GM16" i="42" s="1"/>
  <c r="H163" i="43" s="1"/>
  <c r="GE55" i="34" a="1"/>
  <c r="GE55" i="34" s="1"/>
  <c r="GM55" i="34" s="1" a="1"/>
  <c r="GM55" i="34" s="1"/>
  <c r="GE250" i="34" a="1"/>
  <c r="GE250" i="34" s="1"/>
  <c r="GM250" i="34" s="1" a="1"/>
  <c r="GM250" i="34" s="1"/>
  <c r="GE126" i="34" a="1"/>
  <c r="GE126" i="34" s="1"/>
  <c r="GM126" i="34" s="1" a="1"/>
  <c r="GM126" i="34" s="1"/>
  <c r="GE136" i="34" a="1"/>
  <c r="GE136" i="34" s="1"/>
  <c r="GM136" i="34" s="1" a="1"/>
  <c r="GM136" i="34" s="1"/>
  <c r="GE236" i="34" a="1"/>
  <c r="GE236" i="34" s="1"/>
  <c r="GM236" i="34" s="1" a="1"/>
  <c r="GM236" i="34" s="1"/>
  <c r="GE134" i="34" a="1"/>
  <c r="GE134" i="34" s="1"/>
  <c r="GM134" i="34" s="1" a="1"/>
  <c r="GM134" i="34" s="1"/>
  <c r="GE164" i="34" a="1"/>
  <c r="GE164" i="34" s="1"/>
  <c r="GM164" i="34" s="1" a="1"/>
  <c r="GM164" i="34" s="1"/>
  <c r="GE178" i="34" a="1"/>
  <c r="GE178" i="34" s="1"/>
  <c r="GM178" i="34" s="1" a="1"/>
  <c r="GM178" i="34" s="1"/>
  <c r="GE65" i="34" a="1"/>
  <c r="GE65" i="34" s="1"/>
  <c r="GM65" i="34" s="1" a="1"/>
  <c r="GM65" i="34" s="1"/>
  <c r="GE11" i="34" a="1"/>
  <c r="GE11" i="34" s="1"/>
  <c r="GM11" i="34" s="1" a="1"/>
  <c r="GM11" i="34" s="1"/>
  <c r="GE180" i="34" a="1"/>
  <c r="GE180" i="34" s="1"/>
  <c r="GM180" i="34" s="1" a="1"/>
  <c r="GM180" i="34" s="1"/>
  <c r="GE238" i="34" a="1"/>
  <c r="GE238" i="34" s="1"/>
  <c r="GM238" i="34" s="1" a="1"/>
  <c r="GM238" i="34" s="1"/>
  <c r="GE117" i="34" a="1"/>
  <c r="GE117" i="34" s="1"/>
  <c r="GM117" i="34" s="1" a="1"/>
  <c r="GM117" i="34" s="1"/>
  <c r="GE197" i="34" a="1"/>
  <c r="GE197" i="34" s="1"/>
  <c r="GM197" i="34" s="1" a="1"/>
  <c r="GM197" i="34" s="1"/>
  <c r="GE88" i="34" a="1"/>
  <c r="GE88" i="34" s="1"/>
  <c r="GM88" i="34" s="1" a="1"/>
  <c r="GM88" i="34" s="1"/>
  <c r="GE104" i="34" a="1"/>
  <c r="GE104" i="34" s="1"/>
  <c r="GM104" i="34" s="1" a="1"/>
  <c r="GM104" i="34" s="1"/>
  <c r="GE34" i="34" a="1"/>
  <c r="GE34" i="34" s="1"/>
  <c r="GM34" i="34" s="1" a="1"/>
  <c r="GM34" i="34" s="1"/>
  <c r="GE61" i="34" a="1"/>
  <c r="GE61" i="34" s="1"/>
  <c r="GM61" i="34" s="1" a="1"/>
  <c r="GM61" i="34" s="1"/>
  <c r="GE83" i="34" a="1"/>
  <c r="GE83" i="34" s="1"/>
  <c r="GM83" i="34" s="1" a="1"/>
  <c r="GM83" i="34" s="1"/>
  <c r="GE194" i="34" a="1"/>
  <c r="GE194" i="34" s="1"/>
  <c r="GM194" i="34" s="1" a="1"/>
  <c r="GM194" i="34" s="1"/>
  <c r="GE26" i="42" a="1"/>
  <c r="GE26" i="42" s="1"/>
  <c r="GM26" i="42" s="1" a="1"/>
  <c r="GM26" i="42" s="1"/>
  <c r="H182" i="43" s="1"/>
  <c r="GE140" i="34" a="1"/>
  <c r="GE140" i="34" s="1"/>
  <c r="GM140" i="34" s="1" a="1"/>
  <c r="GM140" i="34" s="1"/>
  <c r="GE27" i="34" a="1"/>
  <c r="GE27" i="34" s="1"/>
  <c r="GM27" i="34" s="1" a="1"/>
  <c r="GM27" i="34" s="1"/>
  <c r="GE11" i="42" a="1"/>
  <c r="GE11" i="42" s="1"/>
  <c r="GM11" i="42" s="1" a="1"/>
  <c r="GM11" i="42" s="1"/>
  <c r="H204" i="43" s="1"/>
  <c r="GE123" i="34" a="1"/>
  <c r="GE123" i="34" s="1"/>
  <c r="GM123" i="34" s="1" a="1"/>
  <c r="GM123" i="34" s="1"/>
  <c r="GE39" i="34" a="1"/>
  <c r="GE39" i="34" s="1"/>
  <c r="GM39" i="34" s="1" a="1"/>
  <c r="GM39" i="34" s="1"/>
  <c r="GE12" i="41" a="1"/>
  <c r="GE12" i="41" s="1"/>
  <c r="GM12" i="41" s="1" a="1"/>
  <c r="GM12" i="41" s="1"/>
  <c r="GE89" i="34" a="1"/>
  <c r="GE89" i="34" s="1"/>
  <c r="GM89" i="34" s="1" a="1"/>
  <c r="GM89" i="34" s="1"/>
  <c r="GE69" i="34" a="1"/>
  <c r="GE69" i="34" s="1"/>
  <c r="GM69" i="34" s="1" a="1"/>
  <c r="GM69" i="34" s="1"/>
  <c r="GE34" i="42" a="1"/>
  <c r="GE34" i="42" s="1"/>
  <c r="GM34" i="42" s="1" a="1"/>
  <c r="GM34" i="42" s="1"/>
  <c r="GE10" i="41" a="1"/>
  <c r="GE10" i="41" s="1"/>
  <c r="GM10" i="41" s="1" a="1"/>
  <c r="GM10" i="41" s="1"/>
  <c r="GE145" i="34" a="1"/>
  <c r="GE145" i="34" s="1"/>
  <c r="GM145" i="34" s="1" a="1"/>
  <c r="GM145" i="34" s="1"/>
  <c r="GE253" i="34" a="1"/>
  <c r="GE253" i="34" s="1"/>
  <c r="GM253" i="34" s="1" a="1"/>
  <c r="GM253" i="34" s="1"/>
  <c r="GE147" i="34" a="1"/>
  <c r="GE147" i="34" s="1"/>
  <c r="GM147" i="34" s="1" a="1"/>
  <c r="GM147" i="34" s="1"/>
  <c r="GE19" i="42" a="1"/>
  <c r="GE19" i="42" s="1"/>
  <c r="GM19" i="42" s="1" a="1"/>
  <c r="GM19" i="42" s="1"/>
  <c r="GE125" i="34" a="1"/>
  <c r="GE125" i="34" s="1"/>
  <c r="GM125" i="34" s="1" a="1"/>
  <c r="GM125" i="34" s="1"/>
  <c r="GE232" i="34" a="1"/>
  <c r="GE232" i="34" s="1"/>
  <c r="GM232" i="34" s="1" a="1"/>
  <c r="GM232" i="34" s="1"/>
  <c r="GE168" i="34" a="1"/>
  <c r="GE168" i="34" s="1"/>
  <c r="GM168" i="34" s="1" a="1"/>
  <c r="GM168" i="34" s="1"/>
  <c r="GE208" i="34" a="1"/>
  <c r="GE208" i="34" s="1"/>
  <c r="GM208" i="34" s="1" a="1"/>
  <c r="GM208" i="34" s="1"/>
  <c r="GE159" i="34" a="1"/>
  <c r="GE159" i="34" s="1"/>
  <c r="GM159" i="34" s="1" a="1"/>
  <c r="GM159" i="34" s="1"/>
  <c r="GE101" i="34" a="1"/>
  <c r="GE101" i="34" s="1"/>
  <c r="GM101" i="34" s="1" a="1"/>
  <c r="GM101" i="34" s="1"/>
  <c r="GE158" i="34" a="1"/>
  <c r="GE158" i="34" s="1"/>
  <c r="GM158" i="34" s="1" a="1"/>
  <c r="GM158" i="34" s="1"/>
  <c r="GE24" i="34" a="1"/>
  <c r="GE24" i="34" s="1"/>
  <c r="GM24" i="34" s="1" a="1"/>
  <c r="GM24" i="34" s="1"/>
  <c r="GE8" i="41" a="1"/>
  <c r="GE8" i="41" s="1"/>
  <c r="GM8" i="41" s="1" a="1"/>
  <c r="GM8" i="41" s="1"/>
  <c r="GE115" i="34" a="1"/>
  <c r="GE115" i="34" s="1"/>
  <c r="GM115" i="34" s="1" a="1"/>
  <c r="GM115" i="34" s="1"/>
  <c r="GE254" i="34" a="1"/>
  <c r="GE254" i="34" s="1"/>
  <c r="GM254" i="34" s="1" a="1"/>
  <c r="GM254" i="34" s="1"/>
  <c r="GE42" i="34" a="1"/>
  <c r="GE42" i="34" s="1"/>
  <c r="GM42" i="34" s="1" a="1"/>
  <c r="GM42" i="34" s="1"/>
  <c r="GE36" i="34" a="1"/>
  <c r="GE36" i="34" s="1"/>
  <c r="GM36" i="34" s="1" a="1"/>
  <c r="GM36" i="34" s="1"/>
  <c r="GE224" i="34" a="1"/>
  <c r="GE224" i="34" s="1"/>
  <c r="GM224" i="34" s="1" a="1"/>
  <c r="GM224" i="34" s="1"/>
  <c r="GE16" i="34" a="1"/>
  <c r="GE16" i="34" s="1"/>
  <c r="GM16" i="34" s="1" a="1"/>
  <c r="GM16" i="34" s="1"/>
  <c r="GE217" i="34" a="1"/>
  <c r="GE217" i="34" s="1"/>
  <c r="GM217" i="34" s="1" a="1"/>
  <c r="GM217" i="34" s="1"/>
  <c r="GE51" i="34" a="1"/>
  <c r="GE51" i="34" s="1"/>
  <c r="GM51" i="34" s="1" a="1"/>
  <c r="GM51" i="34" s="1"/>
  <c r="GE128" i="34" a="1"/>
  <c r="GE128" i="34" s="1"/>
  <c r="GM128" i="34" s="1" a="1"/>
  <c r="GM128" i="34" s="1"/>
  <c r="GE67" i="34" a="1"/>
  <c r="GE67" i="34" s="1"/>
  <c r="GM67" i="34" s="1" a="1"/>
  <c r="GM67" i="34" s="1"/>
  <c r="GE192" i="34" a="1"/>
  <c r="GE192" i="34" s="1"/>
  <c r="GM192" i="34" s="1" a="1"/>
  <c r="GM192" i="34" s="1"/>
  <c r="GE167" i="34" a="1"/>
  <c r="GE167" i="34" s="1"/>
  <c r="GM167" i="34" s="1" a="1"/>
  <c r="GM167" i="34" s="1"/>
  <c r="GE66" i="34" a="1"/>
  <c r="GE66" i="34" s="1"/>
  <c r="GM66" i="34" s="1" a="1"/>
  <c r="GM66" i="34" s="1"/>
  <c r="GE156" i="34" a="1"/>
  <c r="GE156" i="34" s="1"/>
  <c r="GM156" i="34" s="1" a="1"/>
  <c r="GM156" i="34" s="1"/>
  <c r="GE203" i="34" a="1"/>
  <c r="GE203" i="34" s="1"/>
  <c r="GM203" i="34" s="1" a="1"/>
  <c r="GM203" i="34" s="1"/>
  <c r="GE32" i="42" a="1"/>
  <c r="GE32" i="42" s="1"/>
  <c r="GM32" i="42" s="1" a="1"/>
  <c r="GM32" i="42" s="1"/>
  <c r="GE133" i="34" a="1"/>
  <c r="GE133" i="34" s="1"/>
  <c r="GM133" i="34" s="1" a="1"/>
  <c r="GM133" i="34" s="1"/>
  <c r="GE142" i="34" a="1"/>
  <c r="GE142" i="34" s="1"/>
  <c r="GM142" i="34" s="1" a="1"/>
  <c r="GM142" i="34" s="1"/>
  <c r="GE79" i="34" a="1"/>
  <c r="GE79" i="34" s="1"/>
  <c r="GM79" i="34" s="1" a="1"/>
  <c r="GM79" i="34" s="1"/>
  <c r="GE48" i="34" a="1"/>
  <c r="GE48" i="34" s="1"/>
  <c r="GM48" i="34" s="1" a="1"/>
  <c r="GM48" i="34" s="1"/>
  <c r="GE20" i="34" a="1"/>
  <c r="GE20" i="34" s="1"/>
  <c r="GM20" i="34" s="1" a="1"/>
  <c r="GM20" i="34" s="1"/>
  <c r="GE246" i="34" a="1"/>
  <c r="GE246" i="34" s="1"/>
  <c r="GM246" i="34" s="1" a="1"/>
  <c r="GM246" i="34" s="1"/>
  <c r="GE223" i="34" a="1"/>
  <c r="GE223" i="34" s="1"/>
  <c r="GM223" i="34" s="1" a="1"/>
  <c r="GM223" i="34" s="1"/>
  <c r="GE63" i="34" a="1"/>
  <c r="GE63" i="34" s="1"/>
  <c r="GM63" i="34" s="1" a="1"/>
  <c r="GM63" i="34" s="1"/>
  <c r="GE47" i="34" a="1"/>
  <c r="GE47" i="34" s="1"/>
  <c r="GM47" i="34" s="1" a="1"/>
  <c r="GM47" i="34" s="1"/>
  <c r="GE143" i="34" a="1"/>
  <c r="GE143" i="34" s="1"/>
  <c r="GM143" i="34" s="1" a="1"/>
  <c r="GM143" i="34" s="1"/>
  <c r="GE43" i="34" a="1"/>
  <c r="GE43" i="34" s="1"/>
  <c r="GM43" i="34" s="1" a="1"/>
  <c r="GM43" i="34" s="1"/>
  <c r="GE230" i="34" a="1"/>
  <c r="GE230" i="34" s="1"/>
  <c r="GM230" i="34" s="1" a="1"/>
  <c r="GM230" i="34" s="1"/>
  <c r="GE15" i="42" a="1"/>
  <c r="GE15" i="42" s="1"/>
  <c r="GM15" i="42" s="1" a="1"/>
  <c r="GM15" i="42" s="1"/>
  <c r="H162" i="43" s="1"/>
  <c r="GE177" i="34" a="1"/>
  <c r="GE177" i="34" s="1"/>
  <c r="GM177" i="34" s="1" a="1"/>
  <c r="GM177" i="34" s="1"/>
  <c r="GE205" i="34" a="1"/>
  <c r="GE205" i="34" s="1"/>
  <c r="GM205" i="34" s="1" a="1"/>
  <c r="GM205" i="34" s="1"/>
  <c r="GE14" i="34" a="1"/>
  <c r="GE14" i="34" s="1"/>
  <c r="GM14" i="34" s="1" a="1"/>
  <c r="GM14" i="34" s="1"/>
  <c r="GE86" i="34" a="1"/>
  <c r="GE86" i="34" s="1"/>
  <c r="GM86" i="34" s="1" a="1"/>
  <c r="GM86" i="34" s="1"/>
  <c r="GE161" i="34" a="1"/>
  <c r="GE161" i="34" s="1"/>
  <c r="GM161" i="34" s="1" a="1"/>
  <c r="GM161" i="34" s="1"/>
  <c r="GE95" i="34" a="1"/>
  <c r="GE95" i="34" s="1"/>
  <c r="GM95" i="34" s="1" a="1"/>
  <c r="GM95" i="34" s="1"/>
  <c r="GE109" i="34" a="1"/>
  <c r="GE109" i="34" s="1"/>
  <c r="GM109" i="34" s="1" a="1"/>
  <c r="GM109" i="34" s="1"/>
  <c r="GE9" i="41" a="1"/>
  <c r="GE9" i="41" s="1"/>
  <c r="GM9" i="41" s="1" a="1"/>
  <c r="GM9" i="41" s="1"/>
  <c r="GE96" i="34" a="1"/>
  <c r="GE96" i="34" s="1"/>
  <c r="GM96" i="34" s="1" a="1"/>
  <c r="GM96" i="34" s="1"/>
  <c r="GE251" i="34" a="1"/>
  <c r="GE251" i="34" s="1"/>
  <c r="GM251" i="34" s="1" a="1"/>
  <c r="GM251" i="34" s="1"/>
  <c r="GE110" i="34" a="1"/>
  <c r="GE110" i="34" s="1"/>
  <c r="GM110" i="34" s="1" a="1"/>
  <c r="GM110" i="34" s="1"/>
  <c r="GE135" i="34" a="1"/>
  <c r="GE135" i="34" s="1"/>
  <c r="GM135" i="34" s="1" a="1"/>
  <c r="GM135" i="34" s="1"/>
  <c r="GE165" i="34" a="1"/>
  <c r="GE165" i="34" s="1"/>
  <c r="GM165" i="34" s="1" a="1"/>
  <c r="GM165" i="34" s="1"/>
  <c r="GE215" i="34" a="1"/>
  <c r="GE215" i="34" s="1"/>
  <c r="GM215" i="34" s="1" a="1"/>
  <c r="GM215" i="34" s="1"/>
  <c r="GE108" i="34" a="1"/>
  <c r="GE108" i="34" s="1"/>
  <c r="GM108" i="34" s="1" a="1"/>
  <c r="GM108" i="34" s="1"/>
  <c r="GE28" i="34" a="1"/>
  <c r="GE28" i="34" s="1"/>
  <c r="GM28" i="34" s="1" a="1"/>
  <c r="GM28" i="34" s="1"/>
  <c r="GE129" i="34" a="1"/>
  <c r="GE129" i="34" s="1"/>
  <c r="GM129" i="34" s="1" a="1"/>
  <c r="GM129" i="34" s="1"/>
  <c r="GE10" i="42" a="1"/>
  <c r="GE10" i="42" s="1"/>
  <c r="GM10" i="42" s="1" a="1"/>
  <c r="GM10" i="42" s="1"/>
  <c r="GE10" i="34" a="1"/>
  <c r="GE10" i="34" s="1"/>
  <c r="GM10" i="34" s="1" a="1"/>
  <c r="GM10" i="34" s="1"/>
  <c r="GE235" i="34" a="1"/>
  <c r="GE235" i="34" s="1"/>
  <c r="GM235" i="34" s="1" a="1"/>
  <c r="GM235" i="34" s="1"/>
  <c r="GE99" i="34" a="1"/>
  <c r="GE99" i="34" s="1"/>
  <c r="GM99" i="34" s="1" a="1"/>
  <c r="GM99" i="34" s="1"/>
  <c r="GE204" i="34" a="1"/>
  <c r="GE204" i="34" s="1"/>
  <c r="GM204" i="34" s="1" a="1"/>
  <c r="GM204" i="34" s="1"/>
  <c r="GE216" i="34" a="1"/>
  <c r="GE216" i="34" s="1"/>
  <c r="GM216" i="34" s="1" a="1"/>
  <c r="GM216" i="34" s="1"/>
  <c r="GE82" i="34" a="1"/>
  <c r="GE82" i="34" s="1"/>
  <c r="GM82" i="34" s="1" a="1"/>
  <c r="GM82" i="34" s="1"/>
  <c r="GE166" i="34" a="1"/>
  <c r="GE166" i="34" s="1"/>
  <c r="GM166" i="34" s="1" a="1"/>
  <c r="GM166" i="34" s="1"/>
  <c r="GE241" i="34" a="1"/>
  <c r="GE241" i="34" s="1"/>
  <c r="GM241" i="34" s="1" a="1"/>
  <c r="GM241" i="34" s="1"/>
  <c r="GE9" i="42" a="1"/>
  <c r="GE9" i="42" s="1"/>
  <c r="GM9" i="42" s="1" a="1"/>
  <c r="GM9" i="42" s="1"/>
  <c r="GE175" i="34" a="1"/>
  <c r="GE175" i="34" s="1"/>
  <c r="GM175" i="34" s="1" a="1"/>
  <c r="GM175" i="34" s="1"/>
  <c r="GE52" i="34" a="1"/>
  <c r="GE52" i="34" s="1"/>
  <c r="GM52" i="34" s="1" a="1"/>
  <c r="GM52" i="34" s="1"/>
  <c r="GE91" i="34" a="1"/>
  <c r="GE91" i="34" s="1"/>
  <c r="GM91" i="34" s="1" a="1"/>
  <c r="GM91" i="34" s="1"/>
  <c r="GE191" i="34" a="1"/>
  <c r="GE191" i="34" s="1"/>
  <c r="GM191" i="34" s="1" a="1"/>
  <c r="GM191" i="34" s="1"/>
  <c r="GE44" i="34" a="1"/>
  <c r="GE44" i="34" s="1"/>
  <c r="GM44" i="34" s="1" a="1"/>
  <c r="GM44" i="34" s="1"/>
  <c r="GE237" i="34" a="1"/>
  <c r="GE237" i="34" s="1"/>
  <c r="GM237" i="34" s="1" a="1"/>
  <c r="GM237" i="34" s="1"/>
  <c r="GE198" i="34" a="1"/>
  <c r="GE198" i="34" s="1"/>
  <c r="GM198" i="34" s="1" a="1"/>
  <c r="GM198" i="34" s="1"/>
  <c r="GE151" i="34" a="1"/>
  <c r="GE151" i="34" s="1"/>
  <c r="GM151" i="34" s="1" a="1"/>
  <c r="GM151" i="34" s="1"/>
  <c r="GE113" i="34" a="1"/>
  <c r="GE113" i="34" s="1"/>
  <c r="GM113" i="34" s="1" a="1"/>
  <c r="GM113" i="34" s="1"/>
  <c r="GE56" i="34" a="1"/>
  <c r="GE56" i="34" s="1"/>
  <c r="GM56" i="34" s="1" a="1"/>
  <c r="GM56" i="34" s="1"/>
  <c r="GE184" i="34" a="1"/>
  <c r="GE184" i="34" s="1"/>
  <c r="GM184" i="34" s="1" a="1"/>
  <c r="GM184" i="34" s="1"/>
  <c r="GE59" i="34" a="1"/>
  <c r="GE59" i="34" s="1"/>
  <c r="GM59" i="34" s="1" a="1"/>
  <c r="GM59" i="34" s="1"/>
  <c r="GE157" i="34" a="1"/>
  <c r="GE157" i="34" s="1"/>
  <c r="GM157" i="34" s="1" a="1"/>
  <c r="GM157" i="34" s="1"/>
  <c r="GE212" i="34" a="1"/>
  <c r="GE212" i="34" s="1"/>
  <c r="GM212" i="34" s="1" a="1"/>
  <c r="GM212" i="34" s="1"/>
  <c r="GE171" i="34" a="1"/>
  <c r="GE171" i="34" s="1"/>
  <c r="GM171" i="34" s="1" a="1"/>
  <c r="GM171" i="34" s="1"/>
  <c r="GE186" i="34" a="1"/>
  <c r="GE186" i="34" s="1"/>
  <c r="GM186" i="34" s="1" a="1"/>
  <c r="GM186" i="34" s="1"/>
  <c r="GE64" i="34" a="1"/>
  <c r="GE64" i="34" s="1"/>
  <c r="GM64" i="34" s="1" a="1"/>
  <c r="GM64" i="34" s="1"/>
  <c r="GE98" i="34" a="1"/>
  <c r="GE98" i="34" s="1"/>
  <c r="GM98" i="34" s="1" a="1"/>
  <c r="GM98" i="34" s="1"/>
  <c r="GE73" i="34" a="1"/>
  <c r="GE73" i="34" s="1"/>
  <c r="GM73" i="34" s="1" a="1"/>
  <c r="GM73" i="34" s="1"/>
  <c r="GE172" i="34" a="1"/>
  <c r="GE172" i="34" s="1"/>
  <c r="GM172" i="34" s="1" a="1"/>
  <c r="GM172" i="34" s="1"/>
  <c r="GE233" i="34" a="1"/>
  <c r="GE233" i="34" s="1"/>
  <c r="GM233" i="34" s="1" a="1"/>
  <c r="GM233" i="34" s="1"/>
  <c r="GE221" i="34" a="1"/>
  <c r="GE221" i="34" s="1"/>
  <c r="GM221" i="34" s="1" a="1"/>
  <c r="GM221" i="34" s="1"/>
  <c r="GE196" i="34" a="1"/>
  <c r="GE196" i="34" s="1"/>
  <c r="GM196" i="34" s="1" a="1"/>
  <c r="GM196" i="34" s="1"/>
  <c r="GE209" i="34" a="1"/>
  <c r="GE209" i="34" s="1"/>
  <c r="GM209" i="34" s="1" a="1"/>
  <c r="GM209" i="34" s="1"/>
  <c r="GE92" i="34" a="1"/>
  <c r="GE92" i="34" s="1"/>
  <c r="GM92" i="34" s="1" a="1"/>
  <c r="GM92" i="34" s="1"/>
  <c r="GE87" i="34" a="1"/>
  <c r="GE87" i="34" s="1"/>
  <c r="GM87" i="34" s="1" a="1"/>
  <c r="GM87" i="34" s="1"/>
  <c r="GE179" i="34" a="1"/>
  <c r="GE179" i="34" s="1"/>
  <c r="GM179" i="34" s="1" a="1"/>
  <c r="GM179" i="34" s="1"/>
  <c r="GE105" i="34" a="1"/>
  <c r="GE105" i="34" s="1"/>
  <c r="GM105" i="34" s="1" a="1"/>
  <c r="GM105" i="34" s="1"/>
  <c r="GE29" i="42" a="1"/>
  <c r="GE29" i="42" s="1"/>
  <c r="GM29" i="42" s="1" a="1"/>
  <c r="GM29" i="42" s="1"/>
  <c r="GE247" i="34" a="1"/>
  <c r="GE247" i="34" s="1"/>
  <c r="GM247" i="34" s="1" a="1"/>
  <c r="GM247" i="34" s="1"/>
  <c r="GE252" i="34" a="1"/>
  <c r="GE252" i="34" s="1"/>
  <c r="GM252" i="34" s="1" a="1"/>
  <c r="GM252" i="34" s="1"/>
  <c r="GE248" i="34" a="1"/>
  <c r="GE248" i="34" s="1"/>
  <c r="GM248" i="34" s="1" a="1"/>
  <c r="GM248" i="34" s="1"/>
  <c r="GE32" i="34" a="1"/>
  <c r="GE32" i="34" s="1"/>
  <c r="GM32" i="34" s="1" a="1"/>
  <c r="GM32" i="34" s="1"/>
  <c r="GE183" i="34" a="1"/>
  <c r="GE183" i="34" s="1"/>
  <c r="GM183" i="34" s="1" a="1"/>
  <c r="GM183" i="34" s="1"/>
  <c r="GE13" i="41" a="1"/>
  <c r="GE13" i="41" s="1"/>
  <c r="GM13" i="41" s="1" a="1"/>
  <c r="GM13" i="41" s="1"/>
  <c r="GE242" i="34" a="1"/>
  <c r="GE242" i="34" s="1"/>
  <c r="GM242" i="34" s="1" a="1"/>
  <c r="GM242" i="34" s="1"/>
  <c r="GE124" i="34" a="1"/>
  <c r="GE124" i="34" s="1"/>
  <c r="GM124" i="34" s="1" a="1"/>
  <c r="GM124" i="34" s="1"/>
  <c r="GE31" i="34" a="1"/>
  <c r="GE31" i="34" s="1"/>
  <c r="GM31" i="34" s="1" a="1"/>
  <c r="GM31" i="34" s="1"/>
  <c r="GE220" i="34" a="1"/>
  <c r="GE220" i="34" s="1"/>
  <c r="GM220" i="34" s="1" a="1"/>
  <c r="GM220" i="34" s="1"/>
  <c r="GE118" i="34" a="1"/>
  <c r="GE118" i="34" s="1"/>
  <c r="GM118" i="34" s="1" a="1"/>
  <c r="GM118" i="34" s="1"/>
  <c r="GE218" i="34" a="1"/>
  <c r="GE218" i="34" s="1"/>
  <c r="GM218" i="34" s="1" a="1"/>
  <c r="GM218" i="34" s="1"/>
  <c r="GE131" i="34" a="1"/>
  <c r="GE131" i="34" s="1"/>
  <c r="GM131" i="34" s="1" a="1"/>
  <c r="GM131" i="34" s="1"/>
  <c r="GE174" i="34" a="1"/>
  <c r="GE174" i="34" s="1"/>
  <c r="GM174" i="34" s="1" a="1"/>
  <c r="GM174" i="34" s="1"/>
  <c r="GE30" i="42" a="1"/>
  <c r="GE30" i="42" s="1"/>
  <c r="GM30" i="42" s="1" a="1"/>
  <c r="GM30" i="42" s="1"/>
  <c r="GE62" i="34" a="1"/>
  <c r="GE62" i="34" s="1"/>
  <c r="GM62" i="34" s="1" a="1"/>
  <c r="GM62" i="34" s="1"/>
  <c r="GE77" i="34" a="1"/>
  <c r="GE77" i="34" s="1"/>
  <c r="GM77" i="34" s="1" a="1"/>
  <c r="GM77" i="34" s="1"/>
  <c r="GE222" i="34" a="1"/>
  <c r="GE222" i="34" s="1"/>
  <c r="GM222" i="34" s="1" a="1"/>
  <c r="GM222" i="34" s="1"/>
  <c r="GE84" i="34" a="1"/>
  <c r="GE84" i="34" s="1"/>
  <c r="GM84" i="34" s="1" a="1"/>
  <c r="GM84" i="34" s="1"/>
  <c r="GE57" i="34" a="1"/>
  <c r="GE57" i="34" s="1"/>
  <c r="GM57" i="34" s="1" a="1"/>
  <c r="GM57" i="34" s="1"/>
  <c r="GE190" i="34" a="1"/>
  <c r="GE190" i="34" s="1"/>
  <c r="GM190" i="34" s="1" a="1"/>
  <c r="GM190" i="34" s="1"/>
  <c r="GE244" i="34" a="1"/>
  <c r="GE244" i="34" s="1"/>
  <c r="GM244" i="34" s="1" a="1"/>
  <c r="GM244" i="34" s="1"/>
  <c r="GE21" i="42" a="1"/>
  <c r="GE21" i="42" s="1"/>
  <c r="GM21" i="42" s="1" a="1"/>
  <c r="GM21" i="42" s="1"/>
  <c r="GE93" i="34" a="1"/>
  <c r="GE93" i="34" s="1"/>
  <c r="GM93" i="34" s="1" a="1"/>
  <c r="GM93" i="34" s="1"/>
  <c r="GE239" i="34" a="1"/>
  <c r="GE239" i="34" s="1"/>
  <c r="GM239" i="34" s="1" a="1"/>
  <c r="GM239" i="34" s="1"/>
  <c r="GE211" i="34" a="1"/>
  <c r="GE211" i="34" s="1"/>
  <c r="GM211" i="34" s="1" a="1"/>
  <c r="GM211" i="34" s="1"/>
  <c r="GE249" i="34" a="1"/>
  <c r="GE249" i="34" s="1"/>
  <c r="GM249" i="34" s="1" a="1"/>
  <c r="GM249" i="34" s="1"/>
  <c r="GE58" i="34" a="1"/>
  <c r="GE58" i="34" s="1"/>
  <c r="GM58" i="34" s="1" a="1"/>
  <c r="GM58" i="34" s="1"/>
  <c r="GE81" i="34" a="1"/>
  <c r="GE81" i="34" s="1"/>
  <c r="GM81" i="34" s="1" a="1"/>
  <c r="GM81" i="34" s="1"/>
  <c r="GE13" i="42" a="1"/>
  <c r="GE13" i="42" s="1"/>
  <c r="GM13" i="42" s="1" a="1"/>
  <c r="GM13" i="42" s="1"/>
  <c r="H160" i="43" s="1"/>
  <c r="GE41" i="34" a="1"/>
  <c r="GE41" i="34" s="1"/>
  <c r="GM41" i="34" s="1" a="1"/>
  <c r="GM41" i="34" s="1"/>
  <c r="GE15" i="34" a="1"/>
  <c r="GE15" i="34" s="1"/>
  <c r="GM15" i="34" s="1" a="1"/>
  <c r="GM15" i="34" s="1"/>
  <c r="GE121" i="34" a="1"/>
  <c r="GE121" i="34" s="1"/>
  <c r="GM121" i="34" s="1" a="1"/>
  <c r="GM121" i="34" s="1"/>
  <c r="GE17" i="42" a="1"/>
  <c r="GE17" i="42" s="1"/>
  <c r="GM17" i="42" s="1" a="1"/>
  <c r="GM17" i="42" s="1"/>
  <c r="H164" i="43" s="1"/>
  <c r="GE127" i="34" a="1"/>
  <c r="GE127" i="34" s="1"/>
  <c r="GM127" i="34" s="1" a="1"/>
  <c r="GM127" i="34" s="1"/>
  <c r="GE23" i="42" a="1"/>
  <c r="GE23" i="42" s="1"/>
  <c r="GM23" i="42" s="1" a="1"/>
  <c r="GM23" i="42" s="1"/>
  <c r="GE9" i="34" a="1"/>
  <c r="GE9" i="34" s="1"/>
  <c r="GM9" i="34" s="1" a="1"/>
  <c r="GM9" i="34" s="1"/>
  <c r="GE225" i="34" a="1"/>
  <c r="GE225" i="34" s="1"/>
  <c r="GM225" i="34" s="1" a="1"/>
  <c r="GM225" i="34" s="1"/>
  <c r="GE107" i="34" a="1"/>
  <c r="GE107" i="34" s="1"/>
  <c r="GM107" i="34" s="1" a="1"/>
  <c r="GM107" i="34" s="1"/>
  <c r="GE12" i="42" a="1"/>
  <c r="GE12" i="42" s="1"/>
  <c r="GM12" i="42" s="1" a="1"/>
  <c r="GM12" i="42" s="1"/>
  <c r="GE144" i="34" a="1"/>
  <c r="GE144" i="34" s="1"/>
  <c r="GM144" i="34" s="1" a="1"/>
  <c r="GM144" i="34" s="1"/>
  <c r="GE193" i="34" a="1"/>
  <c r="GE193" i="34" s="1"/>
  <c r="GM193" i="34" s="1" a="1"/>
  <c r="GM193" i="34" s="1"/>
  <c r="GE173" i="34" a="1"/>
  <c r="GE173" i="34" s="1"/>
  <c r="GM173" i="34" s="1" a="1"/>
  <c r="GM173" i="34" s="1"/>
  <c r="GE24" i="42" a="1"/>
  <c r="GE24" i="42" s="1"/>
  <c r="GM24" i="42" s="1" a="1"/>
  <c r="GM24" i="42" s="1"/>
  <c r="GE21" i="34" a="1"/>
  <c r="GE21" i="34" s="1"/>
  <c r="GM21" i="34" s="1" a="1"/>
  <c r="GM21" i="34" s="1"/>
  <c r="GE111" i="34" a="1"/>
  <c r="GE111" i="34" s="1"/>
  <c r="GM111" i="34" s="1" a="1"/>
  <c r="GM111" i="34" s="1"/>
  <c r="GE229" i="34" a="1"/>
  <c r="GE229" i="34" s="1"/>
  <c r="GM229" i="34" s="1" a="1"/>
  <c r="GM229" i="34" s="1"/>
  <c r="GE119" i="34" a="1"/>
  <c r="GE119" i="34" s="1"/>
  <c r="GM119" i="34" s="1" a="1"/>
  <c r="GM119" i="34" s="1"/>
  <c r="GE163" i="34" a="1"/>
  <c r="GE163" i="34" s="1"/>
  <c r="GM163" i="34" s="1" a="1"/>
  <c r="GM163" i="34" s="1"/>
  <c r="GE153" i="34" a="1"/>
  <c r="GE153" i="34" s="1"/>
  <c r="GM153" i="34" s="1" a="1"/>
  <c r="GM153" i="34" s="1"/>
  <c r="GE146" i="34" a="1"/>
  <c r="GE146" i="34" s="1"/>
  <c r="GM146" i="34" s="1" a="1"/>
  <c r="GM146" i="34" s="1"/>
  <c r="GE116" i="34" a="1"/>
  <c r="GE116" i="34" s="1"/>
  <c r="GM116" i="34" s="1" a="1"/>
  <c r="GM116" i="34" s="1"/>
  <c r="GE71" i="34" a="1"/>
  <c r="GE71" i="34" s="1"/>
  <c r="GM71" i="34" s="1" a="1"/>
  <c r="GM71" i="34" s="1"/>
  <c r="GE122" i="34" a="1"/>
  <c r="GE122" i="34" s="1"/>
  <c r="GM122" i="34" s="1" a="1"/>
  <c r="GM122" i="34" s="1"/>
  <c r="GE31" i="42" a="1"/>
  <c r="GE31" i="42" s="1"/>
  <c r="GM31" i="42" s="1" a="1"/>
  <c r="GM31" i="42" s="1"/>
  <c r="GE188" i="34" a="1"/>
  <c r="GE188" i="34" s="1"/>
  <c r="GM188" i="34" s="1" a="1"/>
  <c r="GM188" i="34" s="1"/>
  <c r="GE210" i="34" a="1"/>
  <c r="GE210" i="34" s="1"/>
  <c r="GM210" i="34" s="1" a="1"/>
  <c r="GM210" i="34" s="1"/>
  <c r="GE176" i="34" a="1"/>
  <c r="GE176" i="34" s="1"/>
  <c r="GM176" i="34" s="1" a="1"/>
  <c r="GM176" i="34" s="1"/>
  <c r="GE155" i="34" a="1"/>
  <c r="GE155" i="34" s="1"/>
  <c r="GM155" i="34" s="1" a="1"/>
  <c r="GM155" i="34" s="1"/>
  <c r="GE106" i="34" a="1"/>
  <c r="GE106" i="34" s="1"/>
  <c r="GM106" i="34" s="1" a="1"/>
  <c r="GM106" i="34" s="1"/>
  <c r="GE20" i="42" a="1"/>
  <c r="GE20" i="42" s="1"/>
  <c r="GM20" i="42" s="1" a="1"/>
  <c r="GM20" i="42" s="1"/>
  <c r="GE78" i="34" a="1"/>
  <c r="GE78" i="34" s="1"/>
  <c r="GM78" i="34" s="1" a="1"/>
  <c r="GM78" i="34" s="1"/>
  <c r="GE70" i="34" a="1"/>
  <c r="GE70" i="34" s="1"/>
  <c r="GM70" i="34" s="1" a="1"/>
  <c r="GM70" i="34" s="1"/>
  <c r="GE228" i="34" a="1"/>
  <c r="GE228" i="34" s="1"/>
  <c r="GM228" i="34" s="1" a="1"/>
  <c r="GM228" i="34" s="1"/>
  <c r="GE17" i="34" a="1"/>
  <c r="GE17" i="34" s="1"/>
  <c r="GM17" i="34" s="1" a="1"/>
  <c r="GM17" i="34" s="1"/>
  <c r="GE182" i="34" a="1"/>
  <c r="GE182" i="34" s="1"/>
  <c r="GM182" i="34" s="1" a="1"/>
  <c r="GM182" i="34" s="1"/>
  <c r="GE25" i="34" a="1"/>
  <c r="GE25" i="34" s="1"/>
  <c r="GM25" i="34" s="1" a="1"/>
  <c r="GM25" i="34" s="1"/>
  <c r="GE40" i="34" a="1"/>
  <c r="GE40" i="34" s="1"/>
  <c r="GM40" i="34" s="1" a="1"/>
  <c r="GM40" i="34" s="1"/>
  <c r="GE132" i="34" a="1"/>
  <c r="GE132" i="34" s="1"/>
  <c r="GM132" i="34" s="1" a="1"/>
  <c r="GM132" i="34" s="1"/>
  <c r="GE30" i="34" a="1"/>
  <c r="GE30" i="34" s="1"/>
  <c r="GM30" i="34" s="1" a="1"/>
  <c r="GM30" i="34" s="1"/>
  <c r="GE170" i="34" a="1"/>
  <c r="GE170" i="34" s="1"/>
  <c r="GM170" i="34" s="1" a="1"/>
  <c r="GM170" i="34" s="1"/>
  <c r="GE60" i="34" a="1"/>
  <c r="GE60" i="34" s="1"/>
  <c r="GM60" i="34" s="1" a="1"/>
  <c r="GM60" i="34" s="1"/>
  <c r="GE138" i="34" a="1"/>
  <c r="GE138" i="34" s="1"/>
  <c r="GM138" i="34" s="1" a="1"/>
  <c r="GM138" i="34" s="1"/>
  <c r="GE201" i="34" a="1"/>
  <c r="GE201" i="34" s="1"/>
  <c r="GM201" i="34" s="1" a="1"/>
  <c r="GM201" i="34" s="1"/>
  <c r="GE27" i="42" a="1"/>
  <c r="GE27" i="42" s="1"/>
  <c r="GM27" i="42" s="1" a="1"/>
  <c r="GM27" i="42" s="1"/>
  <c r="H183" i="43" s="1"/>
  <c r="GE26" i="34" a="1"/>
  <c r="GE26" i="34" s="1"/>
  <c r="GM26" i="34" s="1" a="1"/>
  <c r="GM26" i="34" s="1"/>
  <c r="GE90" i="34" a="1"/>
  <c r="GE90" i="34" s="1"/>
  <c r="GM90" i="34" s="1" a="1"/>
  <c r="GM90" i="34" s="1"/>
  <c r="E26" i="43"/>
  <c r="N27" i="40" l="1"/>
  <c r="O27" i="40"/>
  <c r="Q27" i="40" s="1"/>
  <c r="N32" i="40"/>
  <c r="O32" i="40"/>
  <c r="Q32" i="40" s="1"/>
  <c r="GO29" i="42"/>
  <c r="GO123" i="34"/>
  <c r="GO76" i="34"/>
  <c r="GO224" i="34"/>
  <c r="GO146" i="34"/>
  <c r="J183" i="43"/>
  <c r="GO195" i="34"/>
  <c r="GO216" i="34"/>
  <c r="F56" i="16"/>
  <c r="GO163" i="34"/>
  <c r="GO96" i="34"/>
  <c r="GO145" i="34"/>
  <c r="GO11" i="34"/>
  <c r="J161" i="43"/>
  <c r="GO178" i="34"/>
  <c r="GO45" i="34"/>
  <c r="GO31" i="42"/>
  <c r="GO13" i="34"/>
  <c r="GO183" i="34"/>
  <c r="GO221" i="34"/>
  <c r="G198" i="43"/>
  <c r="GO144" i="34"/>
  <c r="GO105" i="34"/>
  <c r="GO249" i="34"/>
  <c r="GO59" i="34"/>
  <c r="GO193" i="34"/>
  <c r="GO72" i="34"/>
  <c r="GO117" i="34"/>
  <c r="GO122" i="34"/>
  <c r="GO60" i="34"/>
  <c r="J182" i="43"/>
  <c r="GO99" i="34"/>
  <c r="GO212" i="34"/>
  <c r="J160" i="43"/>
  <c r="GO142" i="34"/>
  <c r="GO250" i="34"/>
  <c r="GO100" i="34"/>
  <c r="GO58" i="34"/>
  <c r="GO19" i="42"/>
  <c r="GO20" i="42"/>
  <c r="GO98" i="34"/>
  <c r="GO143" i="34"/>
  <c r="GO38" i="34"/>
  <c r="GO129" i="34"/>
  <c r="GO28" i="34"/>
  <c r="GO86" i="34"/>
  <c r="GO102" i="34"/>
  <c r="GO160" i="34"/>
  <c r="GO18" i="42"/>
  <c r="GO89" i="34"/>
  <c r="GO186" i="34"/>
  <c r="GO155" i="34"/>
  <c r="GO251" i="34"/>
  <c r="GO202" i="34"/>
  <c r="GO46" i="34"/>
  <c r="GO104" i="34"/>
  <c r="GO180" i="34"/>
  <c r="GO21" i="42"/>
  <c r="GO161" i="34"/>
  <c r="GO13" i="41"/>
  <c r="GO181" i="34"/>
  <c r="GO176" i="34"/>
  <c r="GO119" i="34"/>
  <c r="GO179" i="34"/>
  <c r="GO84" i="34"/>
  <c r="GO9" i="42"/>
  <c r="GO10" i="34"/>
  <c r="I12" i="43"/>
  <c r="I32" i="43" s="1"/>
  <c r="I52" i="43" s="1"/>
  <c r="GO120" i="34"/>
  <c r="GO225" i="34"/>
  <c r="GO87" i="34"/>
  <c r="GO56" i="34"/>
  <c r="GO77" i="34"/>
  <c r="J162" i="43"/>
  <c r="GO187" i="34"/>
  <c r="GO37" i="34"/>
  <c r="H11" i="16"/>
  <c r="H31" i="16" s="1"/>
  <c r="GO107" i="34"/>
  <c r="GO238" i="34"/>
  <c r="J163" i="43"/>
  <c r="GO226" i="34"/>
  <c r="I22" i="44"/>
  <c r="I42" i="44" s="1"/>
  <c r="I62" i="44" s="1"/>
  <c r="GO240" i="34"/>
  <c r="GO22" i="34"/>
  <c r="GO103" i="34"/>
  <c r="F60" i="16"/>
  <c r="F57" i="16"/>
  <c r="GO75" i="34"/>
  <c r="GO164" i="34"/>
  <c r="GO22" i="42"/>
  <c r="GO54" i="34"/>
  <c r="G62" i="16"/>
  <c r="GO14" i="34"/>
  <c r="GO12" i="34"/>
  <c r="GO222" i="34"/>
  <c r="GO208" i="34"/>
  <c r="GO126" i="34"/>
  <c r="GO64" i="34"/>
  <c r="GO138" i="34"/>
  <c r="GO242" i="34"/>
  <c r="GO141" i="34"/>
  <c r="GO23" i="42"/>
  <c r="GO203" i="34"/>
  <c r="GO154" i="34"/>
  <c r="GO248" i="34"/>
  <c r="GO110" i="34"/>
  <c r="GO65" i="34"/>
  <c r="GO121" i="34"/>
  <c r="G174" i="43"/>
  <c r="G176" i="43" s="1"/>
  <c r="GO198" i="34"/>
  <c r="GO247" i="34"/>
  <c r="GO66" i="34"/>
  <c r="GO229" i="34"/>
  <c r="GO223" i="34"/>
  <c r="GO31" i="34"/>
  <c r="GO52" i="34"/>
  <c r="GO246" i="34"/>
  <c r="GO34" i="42"/>
  <c r="GO40" i="34"/>
  <c r="GO28" i="42"/>
  <c r="GO210" i="34"/>
  <c r="GO18" i="34"/>
  <c r="GO23" i="34"/>
  <c r="H12" i="43"/>
  <c r="H32" i="43" s="1"/>
  <c r="GO109" i="34"/>
  <c r="GO172" i="34"/>
  <c r="GO156" i="34"/>
  <c r="GO173" i="34"/>
  <c r="GO239" i="34"/>
  <c r="GO252" i="34"/>
  <c r="E64" i="16"/>
  <c r="I42" i="40" s="1"/>
  <c r="GO153" i="34"/>
  <c r="GO253" i="34"/>
  <c r="GO74" i="34"/>
  <c r="GO67" i="34"/>
  <c r="GO36" i="34"/>
  <c r="GO241" i="34"/>
  <c r="GO19" i="34"/>
  <c r="GO91" i="34"/>
  <c r="GO106" i="34"/>
  <c r="GO177" i="34"/>
  <c r="GO41" i="34"/>
  <c r="GO159" i="34"/>
  <c r="GO97" i="34"/>
  <c r="GO166" i="34"/>
  <c r="GO26" i="42"/>
  <c r="GO39" i="34"/>
  <c r="H23" i="16"/>
  <c r="H43" i="16" s="1"/>
  <c r="H63" i="16" s="1"/>
  <c r="GO47" i="34"/>
  <c r="GO162" i="34"/>
  <c r="GO140" i="34"/>
  <c r="GO9" i="41"/>
  <c r="GO196" i="34"/>
  <c r="H23" i="44"/>
  <c r="H43" i="44" s="1"/>
  <c r="H63" i="44" s="1"/>
  <c r="GO85" i="34"/>
  <c r="GO43" i="34"/>
  <c r="GO115" i="34"/>
  <c r="GO30" i="34"/>
  <c r="GO114" i="34"/>
  <c r="GO148" i="34"/>
  <c r="GO21" i="34"/>
  <c r="F54" i="16"/>
  <c r="GO124" i="34"/>
  <c r="GO92" i="34"/>
  <c r="GO33" i="34"/>
  <c r="GO79" i="34"/>
  <c r="GO73" i="34"/>
  <c r="GO135" i="34"/>
  <c r="GO219" i="34"/>
  <c r="GO113" i="34"/>
  <c r="GO49" i="34"/>
  <c r="GO42" i="34"/>
  <c r="GO175" i="34"/>
  <c r="GO237" i="34"/>
  <c r="GO255" i="34"/>
  <c r="GO34" i="34"/>
  <c r="GO200" i="34"/>
  <c r="GO157" i="34"/>
  <c r="GO44" i="34"/>
  <c r="GO63" i="34"/>
  <c r="GO217" i="34"/>
  <c r="GO168" i="34"/>
  <c r="GO24" i="34"/>
  <c r="GO24" i="42"/>
  <c r="GO151" i="34"/>
  <c r="GO20" i="34"/>
  <c r="GO150" i="34"/>
  <c r="GO95" i="34"/>
  <c r="GO165" i="34"/>
  <c r="GO228" i="34"/>
  <c r="GO244" i="34"/>
  <c r="GO30" i="42"/>
  <c r="GO131" i="34"/>
  <c r="GO201" i="34"/>
  <c r="GO194" i="34"/>
  <c r="GO254" i="34"/>
  <c r="GO213" i="34"/>
  <c r="GO169" i="34"/>
  <c r="GO116" i="34"/>
  <c r="H15" i="16"/>
  <c r="GO15" i="34"/>
  <c r="GO236" i="34"/>
  <c r="GO234" i="34"/>
  <c r="GO32" i="42"/>
  <c r="I17" i="16"/>
  <c r="I23" i="16"/>
  <c r="GO48" i="34"/>
  <c r="GO136" i="34"/>
  <c r="GO233" i="34"/>
  <c r="GO139" i="34"/>
  <c r="I20" i="16"/>
  <c r="GO112" i="34"/>
  <c r="G39" i="16"/>
  <c r="K20" i="40" s="1"/>
  <c r="J164" i="43"/>
  <c r="F61" i="16"/>
  <c r="J22" i="40"/>
  <c r="G40" i="40"/>
  <c r="O29" i="40"/>
  <c r="Q29" i="40" s="1"/>
  <c r="N29" i="40"/>
  <c r="F59" i="44"/>
  <c r="F64" i="44" s="1"/>
  <c r="F44" i="44"/>
  <c r="J55" i="40"/>
  <c r="J134" i="55"/>
  <c r="G43" i="40"/>
  <c r="GO209" i="34"/>
  <c r="H13" i="16"/>
  <c r="H20" i="43"/>
  <c r="H137" i="43"/>
  <c r="H17" i="16"/>
  <c r="H20" i="16"/>
  <c r="GO8" i="34"/>
  <c r="G32" i="43"/>
  <c r="G24" i="43"/>
  <c r="GO170" i="34"/>
  <c r="GO147" i="34"/>
  <c r="GO101" i="34"/>
  <c r="GO134" i="34"/>
  <c r="GO231" i="34"/>
  <c r="GO232" i="34"/>
  <c r="GO189" i="34"/>
  <c r="I22" i="16"/>
  <c r="I23" i="44"/>
  <c r="GO137" i="34"/>
  <c r="GO13" i="42"/>
  <c r="GO11" i="42"/>
  <c r="O36" i="40"/>
  <c r="Q36" i="40" s="1"/>
  <c r="N36" i="40"/>
  <c r="I136" i="55"/>
  <c r="M62" i="40"/>
  <c r="O31" i="40"/>
  <c r="Q31" i="40" s="1"/>
  <c r="N31" i="40"/>
  <c r="G57" i="16"/>
  <c r="K18" i="40"/>
  <c r="K54" i="40"/>
  <c r="G36" i="16"/>
  <c r="G56" i="16" s="1"/>
  <c r="J116" i="55"/>
  <c r="G62" i="40"/>
  <c r="C136" i="55"/>
  <c r="G41" i="16"/>
  <c r="K22" i="40" s="1"/>
  <c r="L62" i="40"/>
  <c r="H136" i="55"/>
  <c r="H14" i="16"/>
  <c r="GO17" i="34"/>
  <c r="GO50" i="34"/>
  <c r="G42" i="44"/>
  <c r="GO53" i="34"/>
  <c r="GO184" i="34"/>
  <c r="S40" i="40"/>
  <c r="GO16" i="42"/>
  <c r="G218" i="43"/>
  <c r="G220" i="43" s="1"/>
  <c r="GO174" i="34"/>
  <c r="GO204" i="34"/>
  <c r="GO27" i="34"/>
  <c r="GO192" i="34"/>
  <c r="GO69" i="34"/>
  <c r="GO218" i="34"/>
  <c r="GO51" i="34"/>
  <c r="D136" i="55"/>
  <c r="H62" i="40"/>
  <c r="K62" i="40"/>
  <c r="G136" i="55"/>
  <c r="GO14" i="42"/>
  <c r="GO8" i="41"/>
  <c r="GO26" i="34"/>
  <c r="H14" i="43"/>
  <c r="GO8" i="42"/>
  <c r="H19" i="44"/>
  <c r="GO11" i="41"/>
  <c r="GO94" i="34"/>
  <c r="GO127" i="34"/>
  <c r="GO128" i="34"/>
  <c r="GO82" i="34"/>
  <c r="GO93" i="34"/>
  <c r="GO206" i="34"/>
  <c r="GO25" i="34"/>
  <c r="GO149" i="34"/>
  <c r="GO235" i="34"/>
  <c r="GO118" i="34"/>
  <c r="GO57" i="34"/>
  <c r="GO214" i="34"/>
  <c r="GO188" i="34"/>
  <c r="GO197" i="34"/>
  <c r="H40" i="40"/>
  <c r="I61" i="40"/>
  <c r="E46" i="16"/>
  <c r="K40" i="40"/>
  <c r="G24" i="44"/>
  <c r="G26" i="44" s="1"/>
  <c r="J62" i="40"/>
  <c r="F136" i="55"/>
  <c r="G38" i="16"/>
  <c r="K19" i="40" s="1"/>
  <c r="H22" i="44"/>
  <c r="GO12" i="41"/>
  <c r="H22" i="43"/>
  <c r="H181" i="43"/>
  <c r="H196" i="43" s="1"/>
  <c r="H22" i="16"/>
  <c r="GO215" i="34"/>
  <c r="I203" i="43"/>
  <c r="I218" i="43" s="1"/>
  <c r="I23" i="43"/>
  <c r="I43" i="43" s="1"/>
  <c r="I63" i="43" s="1"/>
  <c r="M56" i="40" s="1"/>
  <c r="J14" i="40"/>
  <c r="L136" i="55"/>
  <c r="S62" i="40"/>
  <c r="GO199" i="34"/>
  <c r="I21" i="16"/>
  <c r="GO9" i="34"/>
  <c r="H21" i="16"/>
  <c r="H16" i="16"/>
  <c r="F55" i="16"/>
  <c r="J16" i="40"/>
  <c r="GO185" i="34"/>
  <c r="I19" i="16"/>
  <c r="GO190" i="34"/>
  <c r="GO62" i="34"/>
  <c r="GO152" i="34"/>
  <c r="GO111" i="34"/>
  <c r="K24" i="40"/>
  <c r="GO25" i="42"/>
  <c r="G33" i="16"/>
  <c r="K14" i="40" s="1"/>
  <c r="G59" i="44"/>
  <c r="J40" i="40"/>
  <c r="I16" i="16"/>
  <c r="GO55" i="34"/>
  <c r="J204" i="43"/>
  <c r="GO230" i="34"/>
  <c r="GO10" i="42"/>
  <c r="GO108" i="34"/>
  <c r="GO207" i="34"/>
  <c r="GO83" i="34"/>
  <c r="I11" i="16"/>
  <c r="GO132" i="34"/>
  <c r="GO130" i="34"/>
  <c r="GO35" i="34"/>
  <c r="GO29" i="34"/>
  <c r="I39" i="44"/>
  <c r="GO167" i="34"/>
  <c r="GO182" i="34"/>
  <c r="GO32" i="34"/>
  <c r="GO81" i="34"/>
  <c r="I62" i="40"/>
  <c r="E136" i="55"/>
  <c r="L46" i="44"/>
  <c r="S61" i="40"/>
  <c r="J24" i="40"/>
  <c r="GO27" i="42"/>
  <c r="H63" i="40"/>
  <c r="J19" i="40"/>
  <c r="GO16" i="34"/>
  <c r="G154" i="43"/>
  <c r="D66" i="16"/>
  <c r="H42" i="40"/>
  <c r="H58" i="40" s="1"/>
  <c r="H64" i="40" s="1"/>
  <c r="G31" i="16"/>
  <c r="G51" i="16" s="1"/>
  <c r="G24" i="16"/>
  <c r="GO70" i="34"/>
  <c r="GO171" i="34"/>
  <c r="H23" i="43"/>
  <c r="H203" i="43"/>
  <c r="H218" i="43" s="1"/>
  <c r="GO10" i="41"/>
  <c r="GO191" i="34"/>
  <c r="GO80" i="34"/>
  <c r="I18" i="16"/>
  <c r="GO90" i="34"/>
  <c r="GO158" i="34"/>
  <c r="I15" i="16"/>
  <c r="I40" i="40"/>
  <c r="S25" i="40"/>
  <c r="S58" i="40"/>
  <c r="S64" i="40" s="1"/>
  <c r="G60" i="16"/>
  <c r="K21" i="40"/>
  <c r="F26" i="43"/>
  <c r="F51" i="16"/>
  <c r="J12" i="40"/>
  <c r="F44" i="16"/>
  <c r="O34" i="40"/>
  <c r="Q34" i="40" s="1"/>
  <c r="N34" i="40"/>
  <c r="G34" i="16"/>
  <c r="G35" i="16"/>
  <c r="K16" i="40" s="1"/>
  <c r="I14" i="43"/>
  <c r="I34" i="43" s="1"/>
  <c r="I54" i="43" s="1"/>
  <c r="M47" i="40" s="1"/>
  <c r="I13" i="16"/>
  <c r="L40" i="40"/>
  <c r="H159" i="43"/>
  <c r="H174" i="43" s="1"/>
  <c r="H21" i="43"/>
  <c r="GO12" i="42"/>
  <c r="GO88" i="34"/>
  <c r="I22" i="43"/>
  <c r="I42" i="43" s="1"/>
  <c r="I62" i="43" s="1"/>
  <c r="M55" i="40" s="1"/>
  <c r="I181" i="43"/>
  <c r="I196" i="43" s="1"/>
  <c r="GO125" i="34"/>
  <c r="I20" i="43"/>
  <c r="I40" i="43" s="1"/>
  <c r="I60" i="43" s="1"/>
  <c r="M53" i="40" s="1"/>
  <c r="I137" i="43"/>
  <c r="I152" i="43" s="1"/>
  <c r="GO205" i="34"/>
  <c r="H18" i="16"/>
  <c r="GO61" i="34"/>
  <c r="GO245" i="34"/>
  <c r="H19" i="16"/>
  <c r="I45" i="40"/>
  <c r="E64" i="43"/>
  <c r="I159" i="43"/>
  <c r="I174" i="43" s="1"/>
  <c r="I21" i="43"/>
  <c r="I41" i="43" s="1"/>
  <c r="I61" i="43" s="1"/>
  <c r="M54" i="40" s="1"/>
  <c r="GO71" i="34"/>
  <c r="GO220" i="34"/>
  <c r="GO243" i="34"/>
  <c r="GO68" i="34"/>
  <c r="GO227" i="34"/>
  <c r="I14" i="16"/>
  <c r="GO33" i="42"/>
  <c r="GO133" i="34"/>
  <c r="GO211" i="34"/>
  <c r="GO78" i="34"/>
  <c r="F52" i="43"/>
  <c r="F44" i="43"/>
  <c r="F26" i="16"/>
  <c r="J20" i="40"/>
  <c r="GO17" i="42"/>
  <c r="GO15" i="42"/>
  <c r="F26" i="44"/>
  <c r="H198" i="43" l="1"/>
  <c r="J22" i="44"/>
  <c r="G59" i="16"/>
  <c r="J203" i="43"/>
  <c r="J218" i="43" s="1"/>
  <c r="E66" i="16"/>
  <c r="I57" i="40"/>
  <c r="G53" i="16"/>
  <c r="J12" i="43"/>
  <c r="J181" i="43"/>
  <c r="J196" i="43" s="1"/>
  <c r="J17" i="16"/>
  <c r="J21" i="16"/>
  <c r="J13" i="16"/>
  <c r="H24" i="43"/>
  <c r="H26" i="43" s="1"/>
  <c r="I198" i="43"/>
  <c r="G55" i="16"/>
  <c r="J14" i="16"/>
  <c r="I63" i="40"/>
  <c r="E66" i="43"/>
  <c r="I33" i="16"/>
  <c r="M14" i="40" s="1"/>
  <c r="I39" i="16"/>
  <c r="M20" i="40" s="1"/>
  <c r="I220" i="43"/>
  <c r="G61" i="16"/>
  <c r="I42" i="16"/>
  <c r="M23" i="40" s="1"/>
  <c r="H37" i="16"/>
  <c r="H57" i="16" s="1"/>
  <c r="H35" i="16"/>
  <c r="J15" i="16"/>
  <c r="I176" i="43"/>
  <c r="H43" i="43"/>
  <c r="J43" i="43" s="1"/>
  <c r="H41" i="16"/>
  <c r="L22" i="40" s="1"/>
  <c r="I43" i="44"/>
  <c r="I63" i="44" s="1"/>
  <c r="J63" i="44" s="1"/>
  <c r="J23" i="44"/>
  <c r="H40" i="16"/>
  <c r="H60" i="16" s="1"/>
  <c r="J20" i="16"/>
  <c r="F66" i="44"/>
  <c r="F46" i="44"/>
  <c r="L24" i="40"/>
  <c r="H39" i="44"/>
  <c r="H24" i="44"/>
  <c r="J19" i="44"/>
  <c r="H152" i="43"/>
  <c r="H154" i="43" s="1"/>
  <c r="J137" i="43"/>
  <c r="J152" i="43" s="1"/>
  <c r="I43" i="16"/>
  <c r="I63" i="16" s="1"/>
  <c r="J63" i="16" s="1"/>
  <c r="I58" i="40"/>
  <c r="I64" i="40" s="1"/>
  <c r="H39" i="16"/>
  <c r="H59" i="16" s="1"/>
  <c r="J19" i="16"/>
  <c r="J159" i="43"/>
  <c r="J174" i="43" s="1"/>
  <c r="J61" i="40"/>
  <c r="F46" i="16"/>
  <c r="H42" i="16"/>
  <c r="J22" i="16"/>
  <c r="H40" i="43"/>
  <c r="J40" i="43" s="1"/>
  <c r="I37" i="16"/>
  <c r="M18" i="40" s="1"/>
  <c r="J23" i="16"/>
  <c r="O40" i="40"/>
  <c r="N40" i="40"/>
  <c r="I35" i="16"/>
  <c r="M16" i="40" s="1"/>
  <c r="I31" i="16"/>
  <c r="I51" i="16" s="1"/>
  <c r="I24" i="16"/>
  <c r="F64" i="16"/>
  <c r="I36" i="16"/>
  <c r="M17" i="40" s="1"/>
  <c r="H42" i="43"/>
  <c r="J42" i="43" s="1"/>
  <c r="J22" i="43"/>
  <c r="I64" i="43"/>
  <c r="M45" i="40"/>
  <c r="H52" i="43"/>
  <c r="I24" i="43"/>
  <c r="I26" i="43" s="1"/>
  <c r="J23" i="43"/>
  <c r="J136" i="55"/>
  <c r="G58" i="40"/>
  <c r="G57" i="40"/>
  <c r="O43" i="40"/>
  <c r="Q43" i="40" s="1"/>
  <c r="N43" i="40"/>
  <c r="J11" i="16"/>
  <c r="F64" i="43"/>
  <c r="J45" i="40"/>
  <c r="H33" i="16"/>
  <c r="L14" i="40" s="1"/>
  <c r="H38" i="16"/>
  <c r="J18" i="16"/>
  <c r="I38" i="16"/>
  <c r="M19" i="40" s="1"/>
  <c r="H42" i="44"/>
  <c r="J42" i="44" s="1"/>
  <c r="I44" i="43"/>
  <c r="G62" i="44"/>
  <c r="G64" i="44" s="1"/>
  <c r="G58" i="16"/>
  <c r="K17" i="40"/>
  <c r="J25" i="40"/>
  <c r="H34" i="43"/>
  <c r="J14" i="43"/>
  <c r="H41" i="43"/>
  <c r="J41" i="43" s="1"/>
  <c r="J21" i="43"/>
  <c r="G26" i="43"/>
  <c r="I40" i="16"/>
  <c r="M21" i="40" s="1"/>
  <c r="G26" i="16"/>
  <c r="I41" i="16"/>
  <c r="M22" i="40" s="1"/>
  <c r="I34" i="16"/>
  <c r="M15" i="40" s="1"/>
  <c r="G44" i="16"/>
  <c r="K12" i="40"/>
  <c r="G54" i="16"/>
  <c r="K15" i="40"/>
  <c r="H176" i="43"/>
  <c r="H57" i="40"/>
  <c r="J20" i="43"/>
  <c r="F46" i="43"/>
  <c r="I154" i="43"/>
  <c r="I24" i="44"/>
  <c r="H51" i="16"/>
  <c r="L12" i="40"/>
  <c r="G44" i="44"/>
  <c r="G46" i="44" s="1"/>
  <c r="H34" i="16"/>
  <c r="L15" i="40" s="1"/>
  <c r="G52" i="43"/>
  <c r="G44" i="43"/>
  <c r="G46" i="43" s="1"/>
  <c r="J32" i="43"/>
  <c r="K23" i="40"/>
  <c r="H220" i="43"/>
  <c r="I59" i="44"/>
  <c r="H24" i="16"/>
  <c r="H36" i="16"/>
  <c r="J16" i="16"/>
  <c r="H53" i="16" l="1"/>
  <c r="I62" i="16"/>
  <c r="J35" i="16"/>
  <c r="I56" i="16"/>
  <c r="I54" i="16"/>
  <c r="O22" i="40"/>
  <c r="I59" i="16"/>
  <c r="J59" i="16" s="1"/>
  <c r="G64" i="16"/>
  <c r="K42" i="40" s="1"/>
  <c r="H63" i="43"/>
  <c r="J63" i="43" s="1"/>
  <c r="J36" i="16"/>
  <c r="I60" i="16"/>
  <c r="J60" i="16" s="1"/>
  <c r="I46" i="43"/>
  <c r="H62" i="44"/>
  <c r="J62" i="44" s="1"/>
  <c r="H61" i="16"/>
  <c r="H62" i="43"/>
  <c r="L55" i="40" s="1"/>
  <c r="H44" i="16"/>
  <c r="I55" i="16"/>
  <c r="I61" i="16"/>
  <c r="I58" i="16"/>
  <c r="G66" i="44"/>
  <c r="H58" i="16"/>
  <c r="L19" i="40"/>
  <c r="J38" i="16"/>
  <c r="H44" i="43"/>
  <c r="H46" i="43" s="1"/>
  <c r="I26" i="16"/>
  <c r="H44" i="44"/>
  <c r="J39" i="44"/>
  <c r="H61" i="43"/>
  <c r="G64" i="40"/>
  <c r="L45" i="40"/>
  <c r="L21" i="40"/>
  <c r="J40" i="16"/>
  <c r="H55" i="16"/>
  <c r="L16" i="40"/>
  <c r="I44" i="16"/>
  <c r="M12" i="40"/>
  <c r="O12" i="40" s="1"/>
  <c r="H62" i="16"/>
  <c r="L23" i="40"/>
  <c r="N23" i="40" s="1"/>
  <c r="J42" i="16"/>
  <c r="M24" i="40"/>
  <c r="O24" i="40" s="1"/>
  <c r="J43" i="16"/>
  <c r="K45" i="40"/>
  <c r="G64" i="43"/>
  <c r="G66" i="43" s="1"/>
  <c r="I26" i="44"/>
  <c r="I66" i="43"/>
  <c r="M63" i="40"/>
  <c r="H56" i="16"/>
  <c r="L17" i="40"/>
  <c r="J34" i="16"/>
  <c r="H54" i="43"/>
  <c r="J34" i="43"/>
  <c r="J52" i="43"/>
  <c r="N15" i="40"/>
  <c r="O15" i="40"/>
  <c r="H26" i="16"/>
  <c r="J31" i="16"/>
  <c r="I44" i="44"/>
  <c r="I46" i="44" s="1"/>
  <c r="H54" i="16"/>
  <c r="J24" i="16"/>
  <c r="GP7" i="34" s="1"/>
  <c r="N22" i="40"/>
  <c r="J63" i="40"/>
  <c r="F66" i="43"/>
  <c r="L18" i="40"/>
  <c r="J37" i="16"/>
  <c r="I64" i="44"/>
  <c r="J43" i="44"/>
  <c r="K25" i="40"/>
  <c r="N14" i="40"/>
  <c r="J33" i="16"/>
  <c r="K61" i="40"/>
  <c r="G46" i="16"/>
  <c r="J41" i="16"/>
  <c r="I57" i="16"/>
  <c r="J57" i="16" s="1"/>
  <c r="J51" i="16"/>
  <c r="H59" i="44"/>
  <c r="J24" i="43"/>
  <c r="GP7" i="42" s="1"/>
  <c r="O14" i="40"/>
  <c r="F66" i="16"/>
  <c r="J42" i="40"/>
  <c r="H60" i="43"/>
  <c r="L20" i="40"/>
  <c r="J39" i="16"/>
  <c r="H26" i="44"/>
  <c r="J24" i="44"/>
  <c r="GP7" i="41" s="1"/>
  <c r="I53" i="16"/>
  <c r="J53" i="16" s="1"/>
  <c r="J62" i="16" l="1"/>
  <c r="L56" i="40"/>
  <c r="N56" i="40" s="1"/>
  <c r="J56" i="16"/>
  <c r="G66" i="16"/>
  <c r="Q22" i="40"/>
  <c r="J54" i="16"/>
  <c r="K58" i="40"/>
  <c r="K64" i="40" s="1"/>
  <c r="J58" i="16"/>
  <c r="J44" i="16"/>
  <c r="J62" i="43"/>
  <c r="J55" i="16"/>
  <c r="Q24" i="40"/>
  <c r="N24" i="40"/>
  <c r="H46" i="16"/>
  <c r="J61" i="16"/>
  <c r="L61" i="40"/>
  <c r="I66" i="44"/>
  <c r="Q14" i="40"/>
  <c r="Q15" i="40"/>
  <c r="O23" i="40"/>
  <c r="Q23" i="40" s="1"/>
  <c r="Q12" i="40"/>
  <c r="N18" i="40"/>
  <c r="O18" i="40"/>
  <c r="Q18" i="40" s="1"/>
  <c r="M25" i="40"/>
  <c r="N12" i="40"/>
  <c r="I46" i="16"/>
  <c r="M61" i="40"/>
  <c r="N17" i="40"/>
  <c r="H46" i="44"/>
  <c r="J44" i="44"/>
  <c r="L47" i="40"/>
  <c r="J54" i="43"/>
  <c r="K63" i="40"/>
  <c r="O17" i="40"/>
  <c r="Q17" i="40" s="1"/>
  <c r="J59" i="44"/>
  <c r="H64" i="44"/>
  <c r="O45" i="40"/>
  <c r="Q45" i="40" s="1"/>
  <c r="N45" i="40"/>
  <c r="H64" i="16"/>
  <c r="O55" i="40"/>
  <c r="N55" i="40"/>
  <c r="O16" i="40"/>
  <c r="Q16" i="40" s="1"/>
  <c r="N16" i="40"/>
  <c r="L54" i="40"/>
  <c r="J61" i="43"/>
  <c r="N20" i="40"/>
  <c r="O20" i="40"/>
  <c r="Q20" i="40" s="1"/>
  <c r="J60" i="43"/>
  <c r="L53" i="40"/>
  <c r="N21" i="40"/>
  <c r="O21" i="40"/>
  <c r="Q21" i="40" s="1"/>
  <c r="O19" i="40"/>
  <c r="Q19" i="40" s="1"/>
  <c r="N19" i="40"/>
  <c r="K57" i="40"/>
  <c r="J57" i="40"/>
  <c r="J58" i="40"/>
  <c r="J44" i="43"/>
  <c r="H64" i="43"/>
  <c r="J64" i="43" s="1"/>
  <c r="L25" i="40"/>
  <c r="I64" i="16"/>
  <c r="M42" i="40" s="1"/>
  <c r="M57" i="40" s="1"/>
  <c r="O56" i="40" l="1"/>
  <c r="Q56" i="40" s="1"/>
  <c r="Q55" i="40"/>
  <c r="I66" i="16"/>
  <c r="O53" i="40"/>
  <c r="Q53" i="40" s="1"/>
  <c r="N53" i="40"/>
  <c r="M58" i="40"/>
  <c r="M64" i="40" s="1"/>
  <c r="J64" i="40"/>
  <c r="L42" i="40"/>
  <c r="H66" i="16"/>
  <c r="J64" i="16"/>
  <c r="O47" i="40"/>
  <c r="Q47" i="40" s="1"/>
  <c r="N47" i="40"/>
  <c r="J64" i="44"/>
  <c r="H66" i="44"/>
  <c r="N25" i="40"/>
  <c r="O25" i="40"/>
  <c r="H66" i="43"/>
  <c r="L63" i="40"/>
  <c r="N54" i="40"/>
  <c r="O54" i="40"/>
  <c r="Q54" i="40" s="1"/>
  <c r="L57" i="40" l="1"/>
  <c r="O42" i="40"/>
  <c r="Q42" i="40" s="1"/>
  <c r="N42" i="40"/>
  <c r="L58" i="40"/>
  <c r="O57" i="40" l="1"/>
  <c r="N57" i="40"/>
  <c r="L64" i="40"/>
  <c r="O58" i="40"/>
  <c r="O64" i="40" s="1"/>
  <c r="N58" i="40"/>
  <c r="N64" i="40"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<sst xmlns="http://schemas.openxmlformats.org/spreadsheetml/2006/main" count="2264" uniqueCount="339">
  <si>
    <t>Labour and overhead costs for Accelerated Syncons</t>
  </si>
  <si>
    <t>Overview</t>
  </si>
  <si>
    <t>About this workbook</t>
  </si>
  <si>
    <t>This workbook is the supporting model to the 'Labour and Indirect Costs forecast for Accelerate Syncons' document.</t>
  </si>
  <si>
    <t xml:space="preserve">This model substantiates values documented in the report in relation to the ‘Labour cost and Corporate and Network Overhead Capex' for the Accelerated Syncons project. </t>
  </si>
  <si>
    <t>Tab colour meanings</t>
  </si>
  <si>
    <t>Control and reporting sheets</t>
  </si>
  <si>
    <t>Calculation sheets</t>
  </si>
  <si>
    <t>Primary input sheets</t>
  </si>
  <si>
    <t>Secondary input sheets (feed in to primary input sheets).</t>
  </si>
  <si>
    <t>Variance sheets</t>
  </si>
  <si>
    <t>Cell colour meanings</t>
  </si>
  <si>
    <t>Fixed cell - should not be changed by user</t>
  </si>
  <si>
    <t>Input cell - value can be changed by the user</t>
  </si>
  <si>
    <t>Formulas change at this point - value should not be changed by user</t>
  </si>
  <si>
    <t>Cell targeted by solver - value should not be changed by user</t>
  </si>
  <si>
    <t>Assertion/check passes</t>
  </si>
  <si>
    <t>Assertion/check fails</t>
  </si>
  <si>
    <t>Model structure</t>
  </si>
  <si>
    <t>Reference 
to report</t>
  </si>
  <si>
    <t>Header worksheets</t>
  </si>
  <si>
    <t>Description of worksheet</t>
  </si>
  <si>
    <t>Key assumptions</t>
  </si>
  <si>
    <t>This tab presents the key assumptions applied to the costs in this model.</t>
  </si>
  <si>
    <t>Historical indirect capex</t>
  </si>
  <si>
    <t>This tab presents the hardcoded values summarising the actual cost data ('cost incurred to date' i.e., 'Actuals') relating to the project. The historical capex is based on transactions recorded in Ellipse (Transgrid's enterprise resource planning system).</t>
  </si>
  <si>
    <t>Data source</t>
  </si>
  <si>
    <t>This tab presents the forecast FTEs and capex for the project developed using a bottom-up approach. The tab extracts resource rates from Transgrid's finance system and calculates internal labour costs and non-labour cost. It also presents the outsourced labour cost expected over the course of the project. Note that it does not include labour-related costs i.e., travel expenses, IT costs, recruitment and training.</t>
  </si>
  <si>
    <t>Internal_labour_inputs</t>
  </si>
  <si>
    <t>This tab summarises the inputs used in the calculation tabs relating to the internal labour FTEs and costs. It also includes some calculations pertaining to the external recruitment fee.</t>
  </si>
  <si>
    <t>Outsourced_labour_inputs</t>
  </si>
  <si>
    <t>This tab summarises the inputs used in the calculation tabs relating to the outsourced labour FTEs and costs.</t>
  </si>
  <si>
    <t>Non-labour_inputs</t>
  </si>
  <si>
    <t>This tab summarises the inputs used in the calculation tabs relating to the non-labour quantities and costs.</t>
  </si>
  <si>
    <t>Internal_labour_calcs</t>
  </si>
  <si>
    <t>This tab summarises the internal labour costs and categorises them in accordance with the various cost categories. It also splits up the internal labour costs into direct and indirect costs.</t>
  </si>
  <si>
    <t>Outsourced_labour_calcs</t>
  </si>
  <si>
    <t>This tab summarises the outsourced labour costs and categorises them in accordance with the various cost categories. It also splits up the outsourced labour costs into direct and indirect costs.</t>
  </si>
  <si>
    <t>Labour-related_calcs</t>
  </si>
  <si>
    <t>This tab forecasts the labour-related costs i.e., travel expenses, IT costs, recruitment and training.</t>
  </si>
  <si>
    <t>Non-labour_calcs</t>
  </si>
  <si>
    <t>This tab summarises the non-labour costs and categorises them in accordance with the various cost categories.</t>
  </si>
  <si>
    <t>Travel_calcs</t>
  </si>
  <si>
    <t>This tab forecasts travel related costs</t>
  </si>
  <si>
    <t>FTE&amp;roles_calcs</t>
  </si>
  <si>
    <t>This tab summarises the number of FTEs by category and is used in the calculations in other tabs of the workbook.</t>
  </si>
  <si>
    <t>Summary tables</t>
  </si>
  <si>
    <t>Summary of tables that will be used in the report. The tables are labelled according to the labels in the report.</t>
  </si>
  <si>
    <t>Notes</t>
  </si>
  <si>
    <t xml:space="preserve">This tab presents the key assumptions applied in this model. </t>
  </si>
  <si>
    <t>Dollar basis</t>
  </si>
  <si>
    <t>Item</t>
  </si>
  <si>
    <t>Unit</t>
  </si>
  <si>
    <t>Dollar basis label</t>
  </si>
  <si>
    <t>text</t>
  </si>
  <si>
    <t>$RY2026</t>
  </si>
  <si>
    <t>Model period</t>
  </si>
  <si>
    <t>Actuals</t>
  </si>
  <si>
    <t>Forecast</t>
  </si>
  <si>
    <t>Start Date</t>
  </si>
  <si>
    <t>date</t>
  </si>
  <si>
    <t>End Date</t>
  </si>
  <si>
    <t>Proportion of year</t>
  </si>
  <si>
    <t>%</t>
  </si>
  <si>
    <t>Project forecast period</t>
  </si>
  <si>
    <t>Inflation</t>
  </si>
  <si>
    <t>RY2023</t>
  </si>
  <si>
    <t>RY2024</t>
  </si>
  <si>
    <t>RY2025</t>
  </si>
  <si>
    <t>RY2026</t>
  </si>
  <si>
    <t>RY2027</t>
  </si>
  <si>
    <t>RY2028</t>
  </si>
  <si>
    <t>RY2029</t>
  </si>
  <si>
    <t>RY2030</t>
  </si>
  <si>
    <t>RY2031</t>
  </si>
  <si>
    <t>RY2032</t>
  </si>
  <si>
    <t>Actual / Forecast Inflation</t>
  </si>
  <si>
    <t>Inflation based to 2026</t>
  </si>
  <si>
    <t>factor</t>
  </si>
  <si>
    <t>Real 2026 to Mid Period</t>
  </si>
  <si>
    <t>Nominal Deflator to Real 2026</t>
  </si>
  <si>
    <t>Direct cost assumptions</t>
  </si>
  <si>
    <t>Share of costs that are direct</t>
  </si>
  <si>
    <t>Labour</t>
  </si>
  <si>
    <t>Labour-related</t>
  </si>
  <si>
    <t>Non-labour</t>
  </si>
  <si>
    <t>Cost categories</t>
  </si>
  <si>
    <t>Category</t>
  </si>
  <si>
    <t>Cost Assumption per WorkStream</t>
  </si>
  <si>
    <t>Work Stream</t>
  </si>
  <si>
    <t>Recruitment Fee Applies</t>
  </si>
  <si>
    <t>Training Cost Applies</t>
  </si>
  <si>
    <t>ICT cost applies</t>
  </si>
  <si>
    <t>1/0</t>
  </si>
  <si>
    <t>Labour costs</t>
  </si>
  <si>
    <t>Assumption</t>
  </si>
  <si>
    <t>Average total hours worked per month</t>
  </si>
  <si>
    <t>hours</t>
  </si>
  <si>
    <t xml:space="preserve">Recruitment fees </t>
  </si>
  <si>
    <t>Recruitment fees as % of annual salary</t>
  </si>
  <si>
    <t>Roles recruited using external recruiter</t>
  </si>
  <si>
    <t>Base rate dollar basis</t>
  </si>
  <si>
    <t>basis</t>
  </si>
  <si>
    <t>$FY2027 as at 30/6/27</t>
  </si>
  <si>
    <t>Base rate inflation adjustment</t>
  </si>
  <si>
    <t>Training costs</t>
  </si>
  <si>
    <t>Training cost per annum per staff</t>
  </si>
  <si>
    <t>$FY2026 as at 30/6/26</t>
  </si>
  <si>
    <t>Training cost inflation adjustment</t>
  </si>
  <si>
    <t>IT hardware costs</t>
  </si>
  <si>
    <t>IT hardware cost per annum per employee</t>
  </si>
  <si>
    <t>IT hardware costs inflation adjustment</t>
  </si>
  <si>
    <t>Travel costs</t>
  </si>
  <si>
    <t>Travel cost dollar basis</t>
  </si>
  <si>
    <t>Travel cost inflation adjustment</t>
  </si>
  <si>
    <t>See Travel costs sheet</t>
  </si>
  <si>
    <t>Dollar basis lookup</t>
  </si>
  <si>
    <t>Match Dollar Basis</t>
  </si>
  <si>
    <t>Year</t>
  </si>
  <si>
    <t>$ Real (2024)</t>
  </si>
  <si>
    <t>$ Real (2025)</t>
  </si>
  <si>
    <t>$ Real (2026)</t>
  </si>
  <si>
    <t>$ Real (2027)</t>
  </si>
  <si>
    <t>$ Real (2028)</t>
  </si>
  <si>
    <t>$ Real (2029)</t>
  </si>
  <si>
    <t>$ Real (2030)</t>
  </si>
  <si>
    <t>$ Real (2031)</t>
  </si>
  <si>
    <t>$ Nominal</t>
  </si>
  <si>
    <t>Nominal</t>
  </si>
  <si>
    <t>Labour (internal and outsourced)</t>
  </si>
  <si>
    <t>Historical ($Nominal)</t>
  </si>
  <si>
    <t>Capex category</t>
  </si>
  <si>
    <t>TOTAL</t>
  </si>
  <si>
    <t>Total</t>
  </si>
  <si>
    <t>Check</t>
  </si>
  <si>
    <t>Item details</t>
  </si>
  <si>
    <t>blank</t>
  </si>
  <si>
    <t>FTEs (internal labour) / Proportions (non-labour and contracted labour)</t>
  </si>
  <si>
    <t>Costs</t>
  </si>
  <si>
    <t>Broader cost category</t>
  </si>
  <si>
    <t>Internal or Non-Labour</t>
  </si>
  <si>
    <t>Dollar Basis (Nominal / Real FY)</t>
  </si>
  <si>
    <t>Existing or New</t>
  </si>
  <si>
    <t>Normal time / over time</t>
  </si>
  <si>
    <t>BaseRate</t>
  </si>
  <si>
    <t>Total cost</t>
  </si>
  <si>
    <t>Internal labour inputs</t>
  </si>
  <si>
    <t>Inflation adjustment</t>
  </si>
  <si>
    <t>Total costs</t>
  </si>
  <si>
    <t>Timing of work start</t>
  </si>
  <si>
    <t>Recruitment fee calculation</t>
  </si>
  <si>
    <t>Incremental FTE average over modelling period</t>
  </si>
  <si>
    <t>New?</t>
  </si>
  <si>
    <t>Overtime?</t>
  </si>
  <si>
    <t>Annual salary</t>
  </si>
  <si>
    <t>Total one-off recruitment fee (no adjustment for FTEs)</t>
  </si>
  <si>
    <t>FTE average over forecast period</t>
  </si>
  <si>
    <t>Total one-off recruitment fee (adjustment for FTEs on Project)</t>
  </si>
  <si>
    <t>Outsourced labour inputs</t>
  </si>
  <si>
    <t>Non- labour inputs</t>
  </si>
  <si>
    <t>FTEs and roles</t>
  </si>
  <si>
    <t>This tab presents the FTE calculations for labour across both historical and forecast capex.</t>
  </si>
  <si>
    <t>check</t>
  </si>
  <si>
    <t>Number of FTEs (internal and contracted labour) - Monthly</t>
  </si>
  <si>
    <t>Av forecast FTE per month</t>
  </si>
  <si>
    <t>Total FTEs per month</t>
  </si>
  <si>
    <t>Average Number of FTEs (internal and contracted labour)</t>
  </si>
  <si>
    <t>Total Average</t>
  </si>
  <si>
    <t>Average FTEs</t>
  </si>
  <si>
    <t>Number of FTEs (internal labour only) - Monthly</t>
  </si>
  <si>
    <t>Average Number of FTEs (internal labour only)</t>
  </si>
  <si>
    <t>Number of NEW FTEs (internal labour only) - Monthly</t>
  </si>
  <si>
    <t>Average Number of NEW FTEs (internal labour only)</t>
  </si>
  <si>
    <t>Number of incremental NEW FTEs (internal labour only)</t>
  </si>
  <si>
    <t xml:space="preserve"> </t>
  </si>
  <si>
    <t>Internal labour cost calculations</t>
  </si>
  <si>
    <t>This tab calculates the forecast internal labour capex and categorises the costs by cost category.</t>
  </si>
  <si>
    <t>Total direct and indirect costs</t>
  </si>
  <si>
    <t>Direct costs only</t>
  </si>
  <si>
    <t>Indirect costs only</t>
  </si>
  <si>
    <t>Labour-related cost calculations</t>
  </si>
  <si>
    <t>This tab presents the calculations for the forecast capex for training, travel expenses, recruitment and IT hardware across the different cost categories</t>
  </si>
  <si>
    <t>Training</t>
  </si>
  <si>
    <t xml:space="preserve"> Recruitment</t>
  </si>
  <si>
    <t>IT Hardware expenses</t>
  </si>
  <si>
    <t>Travel expenses for non-works delivery staff</t>
  </si>
  <si>
    <t>Total labour-related costs</t>
  </si>
  <si>
    <t>Total labour-related costs - direct</t>
  </si>
  <si>
    <t>Total labour-related costs - indirect</t>
  </si>
  <si>
    <t>Outsourced labour cost calculations</t>
  </si>
  <si>
    <t>This tab calculates the forecast outsourced labour capex and categorises the costs by cost category.</t>
  </si>
  <si>
    <t>Non-labour cost calculations</t>
  </si>
  <si>
    <t>This tab calculates the forecast non-labour capex and categorises the costs by cost category.</t>
  </si>
  <si>
    <t>This tab calculates travel costs by cost category</t>
  </si>
  <si>
    <t>Cost per trip</t>
  </si>
  <si>
    <t>Site</t>
  </si>
  <si>
    <t>Cost type</t>
  </si>
  <si>
    <t>AR1</t>
  </si>
  <si>
    <t>DNT</t>
  </si>
  <si>
    <t>KCR</t>
  </si>
  <si>
    <t>NEW</t>
  </si>
  <si>
    <t>WL1</t>
  </si>
  <si>
    <t>Office</t>
  </si>
  <si>
    <t>SYNCON FAT</t>
  </si>
  <si>
    <t>TRANS FAT</t>
  </si>
  <si>
    <t>Project Delivery Management - Project Management</t>
  </si>
  <si>
    <t>Travel Hourly Rate</t>
  </si>
  <si>
    <t>Travel Hours Per Trip</t>
  </si>
  <si>
    <t>Travel Time Allowance</t>
  </si>
  <si>
    <t>Number of nights per trip</t>
  </si>
  <si>
    <t>Allowance</t>
  </si>
  <si>
    <t>Car Hire per night</t>
  </si>
  <si>
    <t>Cost of Expenses</t>
  </si>
  <si>
    <t>Cost per trip per staff</t>
  </si>
  <si>
    <t>Project Delivery Management - Construction Management</t>
  </si>
  <si>
    <t>Daily Allowance</t>
  </si>
  <si>
    <t>Project Delivery Management - Commissioning</t>
  </si>
  <si>
    <t>Number of nights per trip (10-4 roster)</t>
  </si>
  <si>
    <t>Project Development</t>
  </si>
  <si>
    <t>Number of nights per trip (weighted average)</t>
  </si>
  <si>
    <t>Incidentals</t>
  </si>
  <si>
    <t>Accomodation</t>
  </si>
  <si>
    <t>Flight (round trip)</t>
  </si>
  <si>
    <t>Trip numbers</t>
  </si>
  <si>
    <t>No. of trips</t>
  </si>
  <si>
    <t>Level 4</t>
  </si>
  <si>
    <t>Cost Per Trip</t>
  </si>
  <si>
    <t>Forecast cost by cost category and site</t>
  </si>
  <si>
    <t>Forecast cost by cost category</t>
  </si>
  <si>
    <t>Community and Stakeholder Engagement</t>
  </si>
  <si>
    <t>Fleet</t>
  </si>
  <si>
    <t>Land and Environment</t>
  </si>
  <si>
    <t>Other Support &amp; Corporate Roles</t>
  </si>
  <si>
    <t>Project Delivery Management - Commercial Management</t>
  </si>
  <si>
    <t>Project Delivery Management - Project Controls</t>
  </si>
  <si>
    <t>Project Delivery Management - Project Engineering</t>
  </si>
  <si>
    <t>Regulatory Approvals</t>
  </si>
  <si>
    <t>Transaction Procurement Support</t>
  </si>
  <si>
    <t>This tab presents the tables for the cost allocation report</t>
  </si>
  <si>
    <t>Total costs across entire period</t>
  </si>
  <si>
    <t>Historical</t>
  </si>
  <si>
    <t xml:space="preserve">  </t>
  </si>
  <si>
    <t>Total capex (incl. historical data)</t>
  </si>
  <si>
    <t>Total capex (excl. historical data)</t>
  </si>
  <si>
    <t>Labour (internal and outsourced, direct)</t>
  </si>
  <si>
    <t>Labour-related (direct)</t>
  </si>
  <si>
    <t>Indirect</t>
  </si>
  <si>
    <t>Indirect proportion of labour</t>
  </si>
  <si>
    <t>Indirect proportion of labour-related costs</t>
  </si>
  <si>
    <t>Checks</t>
  </si>
  <si>
    <t>Indirect non-labour capex</t>
  </si>
  <si>
    <t>Total capex</t>
  </si>
  <si>
    <t>Av forecast FTE per month over reg period</t>
  </si>
  <si>
    <t>Total average over reg period</t>
  </si>
  <si>
    <t>2026 Financial Year</t>
  </si>
  <si>
    <t>$Nominal</t>
  </si>
  <si>
    <t>2026 Financial Year (01Feb-30Jun)</t>
  </si>
  <si>
    <t>Project Director (Delivery Projects - Prescribed)</t>
  </si>
  <si>
    <t>Internal Labour</t>
  </si>
  <si>
    <t>Existing</t>
  </si>
  <si>
    <t>Normal time</t>
  </si>
  <si>
    <t>Project Manager - Senior (Network Projects)</t>
  </si>
  <si>
    <t>Admin Support Officer (Network Projects)</t>
  </si>
  <si>
    <t>New</t>
  </si>
  <si>
    <t>Class B Initiatives</t>
  </si>
  <si>
    <t>Contract Manager - Senior (Commercial)</t>
  </si>
  <si>
    <t>Program Management Costs</t>
  </si>
  <si>
    <t>Project Office Rental</t>
  </si>
  <si>
    <t/>
  </si>
  <si>
    <t>Project Manager CO (Network Projects)</t>
  </si>
  <si>
    <t>Network Operations Officer (Control Centre)</t>
  </si>
  <si>
    <t>SCADA Officer (Nwk Operations Tech)</t>
  </si>
  <si>
    <t>Project Engineer - Senior CO (Network Projects)</t>
  </si>
  <si>
    <t>Project Engineer (Delivery Projects - Prescribed)</t>
  </si>
  <si>
    <t>Graduate (Network Projects)</t>
  </si>
  <si>
    <t>Project Controller (Portfolio Controls)</t>
  </si>
  <si>
    <t>Program and Risk Planner (Portfolio Controls)</t>
  </si>
  <si>
    <t>Senior Risk Manager (Portfolio Controls)</t>
  </si>
  <si>
    <t>Contract Administrator (Commercial)</t>
  </si>
  <si>
    <t>Project Controls Lead (Portfolio Controls)</t>
  </si>
  <si>
    <t>Level 4 ID Manager (Network Projects)</t>
  </si>
  <si>
    <t>Project Manager - Senior (Delivery Projects - Prescribed)</t>
  </si>
  <si>
    <t>Outsource Consultant</t>
  </si>
  <si>
    <t>Contracted Labour</t>
  </si>
  <si>
    <t>Probity Advisor</t>
  </si>
  <si>
    <t>Supply Specialist (Project Procurement)</t>
  </si>
  <si>
    <t>Group Manager (Regulatory &amp; Policy)</t>
  </si>
  <si>
    <t>HV Design Engineer - Senior (Eng&amp;Design Leadership)</t>
  </si>
  <si>
    <t>Civil Design Engineer (Eng&amp;Design Leadership)</t>
  </si>
  <si>
    <t>TL Design Engineer (Eng&amp;Design Leadership)</t>
  </si>
  <si>
    <t>Automation Design Engineer (Eng&amp;Design Leadership)</t>
  </si>
  <si>
    <t>Telecommunications Design Engineer (Eng&amp;Design Leadership)</t>
  </si>
  <si>
    <t>Design Engineer - Senior (Eng&amp;Design Leadership)</t>
  </si>
  <si>
    <t>Control Design Engineer - Senior (Secondary Design)</t>
  </si>
  <si>
    <t>Syncon SME</t>
  </si>
  <si>
    <t>Protection Design Engineer (Eng&amp;Design Leadership)</t>
  </si>
  <si>
    <t>LV System for Syncons SME</t>
  </si>
  <si>
    <t>Control System Design</t>
  </si>
  <si>
    <t>Maintenance Manager (Maintenance Engineering Substations)</t>
  </si>
  <si>
    <t>Level 5 ID Manager (Secondary Design)</t>
  </si>
  <si>
    <t>Transformer Design External Audit</t>
  </si>
  <si>
    <t>Environment Officer (Safety and Environmental Delivery)</t>
  </si>
  <si>
    <t>Property and Environment - Senior (Enviro Approval)</t>
  </si>
  <si>
    <t>Corporate &amp; Reg Affairs - Senior (Strategic Engagement Sustain&amp;Adv)</t>
  </si>
  <si>
    <t>Legal Gov &amp; Risk - Senior (Legal Affairs)</t>
  </si>
  <si>
    <t>Professional/Engineer CO (Network System Planning)</t>
  </si>
  <si>
    <t>Group Manager (Network Projects)</t>
  </si>
  <si>
    <t>Professional/Engineer CO (Asset Analytics &amp; Insights)</t>
  </si>
  <si>
    <t>Legal Gov &amp; Risk Officer (Legal Affairs)</t>
  </si>
  <si>
    <t>Insurance - Newcastle</t>
  </si>
  <si>
    <t>Insurance - Armidale</t>
  </si>
  <si>
    <t>Insurance - Kemps Creek</t>
  </si>
  <si>
    <t>Insurance - Wellington</t>
  </si>
  <si>
    <t>Insurance - Darlington Point</t>
  </si>
  <si>
    <t>Products and Public Liability Insurance</t>
  </si>
  <si>
    <t>Insurance Brokers Fee</t>
  </si>
  <si>
    <t>Legal Gov &amp; Risk Officer (Regulatory &amp; Policy)</t>
  </si>
  <si>
    <t>Governance/Commercial Manager (Energy Connect)</t>
  </si>
  <si>
    <t>Assurance Gate - External</t>
  </si>
  <si>
    <t>Overarching Business Costs</t>
  </si>
  <si>
    <t>Project Engineer (Network Projects)</t>
  </si>
  <si>
    <t>Construction Manager EA (Construction)</t>
  </si>
  <si>
    <t>Overtime</t>
  </si>
  <si>
    <t>Substation Site Manager - Senior (Construction)</t>
  </si>
  <si>
    <t>Safety Officer (Safety and Environmental Delivery)</t>
  </si>
  <si>
    <t>Safety Officer - Senior (Safety and Environmental Delivery)</t>
  </si>
  <si>
    <t>Commissioning Engineer (Construction)</t>
  </si>
  <si>
    <t>Control Technician (Construction)</t>
  </si>
  <si>
    <t>Resource Coordinator (Construction)</t>
  </si>
  <si>
    <t>Secondary Systems Technician (Construction)</t>
  </si>
  <si>
    <t>Substations Technician (Field Delivery)</t>
  </si>
  <si>
    <t>Technical Lead (Construction)</t>
  </si>
  <si>
    <t>Telecommunication Technician (Construction)</t>
  </si>
  <si>
    <t>Quarterly Vehicle Cost</t>
  </si>
  <si>
    <t>Power Worker (Field Delivery)</t>
  </si>
  <si>
    <t>Excavator Costs for KCR</t>
  </si>
  <si>
    <t>TL Site Manager - Senior (Construction)</t>
  </si>
  <si>
    <t>OK</t>
  </si>
  <si>
    <t>c-i-c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</si>
</sst>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quot;FY&quot;0"/>
    <numFmt numFmtId="167" formatCode="_(&quot;$&quot;* #,##0_);_(&quot;$&quot;* \(#,##0\);_(&quot;$&quot;* &quot;-&quot;??_);_(@_)"/>
    <numFmt numFmtId="168" formatCode="0.0%"/>
    <numFmt numFmtId="169" formatCode="_-&quot;$&quot;* #,##0_-;\-&quot;$&quot;* #,##0_-;_-&quot;$&quot;* &quot;-&quot;??_-;_-@_-"/>
    <numFmt numFmtId="170" formatCode="&quot;$&quot;#,##0"/>
    <numFmt numFmtId="171" formatCode="_(#,##0.00%_);\(#,##0.00%\);_(&quot;-&quot;_)"/>
    <numFmt numFmtId="172" formatCode="_(#,##0.0_);\(#,##0.0\);_(&quot;-&quot;_)"/>
    <numFmt numFmtId="173" formatCode="##,##0.00,,"/>
    <numFmt numFmtId="174" formatCode="##,##0.000,,"/>
    <numFmt numFmtId="175" formatCode="0;\-0;;@"/>
    <numFmt numFmtId="176" formatCode="#,##0.00,"/>
    <numFmt numFmtId="177" formatCode="0.00;\-0.00;\-"/>
    <numFmt numFmtId="178" formatCode="#,##0;\-#,##0;\-"/>
    <numFmt numFmtId="179" formatCode="_-* #,##0.000_-;\-* #,##0.000_-;_-* &quot;-&quot;??_-;_-@_-"/>
    <numFmt numFmtId="180" formatCode="0.0000"/>
    <numFmt numFmtId="181" formatCode="#,##0;\-#,##0;&quot;&quot;"/>
    <numFmt numFmtId="182" formatCode="#,##0.00;\-#,##0.00;\-"/>
    <numFmt numFmtId="183" formatCode="&quot;CY&quot;0"/>
    <numFmt numFmtId="184" formatCode="0;\-0;\-"/>
    <numFmt numFmtId="185" formatCode="_(#,##0.0%_);\(#,##0.0%\);_(&quot;-&quot;_)"/>
    <numFmt numFmtId="186" formatCode="_-* #,##0_-;\-* #,##0_-;_-* &quot;-&quot;??_-;_-@_-"/>
    <numFmt numFmtId="187" formatCode="0.0000000000000_ ;\-0.0000000000000\ "/>
    <numFmt numFmtId="188" formatCode="#,##0.0;\-#,##0.0;\-"/>
  </numFmts>
  <fonts count="91" x14ac:knownFonts="1">
    <font>
      <sz val="11"/>
      <color theme="1"/>
      <name val="Open Sans"/>
      <family val="2"/>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sz val="11"/>
      <color theme="1"/>
      <name val="Open Sans"/>
      <family val="2"/>
      <scheme val="minor"/>
    </font>
    <font>
      <u/>
      <sz val="11"/>
      <color theme="10"/>
      <name val="Arial"/>
      <family val="2"/>
    </font>
    <font>
      <u/>
      <sz val="11"/>
      <color theme="11"/>
      <name val="Arial"/>
      <family val="2"/>
    </font>
    <font>
      <sz val="11"/>
      <color theme="1"/>
      <name val="Arial"/>
      <family val="2"/>
    </font>
    <font>
      <sz val="11"/>
      <color rgb="FF006100"/>
      <name val="Open Sans"/>
      <family val="2"/>
      <scheme val="minor"/>
    </font>
    <font>
      <sz val="11"/>
      <color rgb="FF9C0006"/>
      <name val="Open Sans"/>
      <family val="2"/>
      <scheme val="minor"/>
    </font>
    <font>
      <sz val="11"/>
      <color rgb="FF9C5700"/>
      <name val="Open Sans"/>
      <family val="2"/>
      <scheme val="minor"/>
    </font>
    <font>
      <sz val="11"/>
      <color rgb="FF3F3F76"/>
      <name val="Open Sans"/>
      <family val="2"/>
      <scheme val="minor"/>
    </font>
    <font>
      <b/>
      <sz val="11"/>
      <color rgb="FF3F3F3F"/>
      <name val="Open Sans"/>
      <family val="2"/>
      <scheme val="minor"/>
    </font>
    <font>
      <b/>
      <sz val="11"/>
      <color rgb="FFFA7D00"/>
      <name val="Open Sans"/>
      <family val="2"/>
      <scheme val="minor"/>
    </font>
    <font>
      <sz val="11"/>
      <color rgb="FFFA7D00"/>
      <name val="Open Sans"/>
      <family val="2"/>
      <scheme val="minor"/>
    </font>
    <font>
      <b/>
      <sz val="11"/>
      <color theme="0"/>
      <name val="Open Sans"/>
      <family val="2"/>
      <scheme val="minor"/>
    </font>
    <font>
      <sz val="11"/>
      <color rgb="FFFF0000"/>
      <name val="Open Sans"/>
      <family val="2"/>
      <scheme val="minor"/>
    </font>
    <font>
      <i/>
      <sz val="11"/>
      <color rgb="FF7F7F7F"/>
      <name val="Open Sans"/>
      <family val="2"/>
      <scheme val="minor"/>
    </font>
    <font>
      <sz val="20"/>
      <color indexed="9"/>
      <name val="Arial"/>
      <family val="2"/>
    </font>
    <font>
      <sz val="16"/>
      <name val="Arial"/>
      <family val="2"/>
    </font>
    <font>
      <sz val="18"/>
      <color theme="3"/>
      <name val="Open Sans Light"/>
      <family val="2"/>
      <scheme val="major"/>
    </font>
    <font>
      <b/>
      <sz val="13"/>
      <color theme="3"/>
      <name val="Open Sans"/>
      <family val="2"/>
      <scheme val="minor"/>
    </font>
    <font>
      <b/>
      <sz val="11"/>
      <color theme="3"/>
      <name val="Open Sans"/>
      <family val="2"/>
      <scheme val="minor"/>
    </font>
    <font>
      <b/>
      <sz val="11"/>
      <color theme="1"/>
      <name val="Open Sans"/>
      <family val="2"/>
      <scheme val="minor"/>
    </font>
    <font>
      <sz val="11"/>
      <name val="Open Sans"/>
      <family val="2"/>
      <scheme val="minor"/>
    </font>
    <font>
      <sz val="10"/>
      <name val="Open Sans"/>
      <family val="2"/>
      <scheme val="minor"/>
    </font>
    <font>
      <sz val="18"/>
      <name val="Open Sans"/>
      <family val="2"/>
      <scheme val="minor"/>
    </font>
    <font>
      <b/>
      <sz val="18"/>
      <name val="Open Sans"/>
      <family val="2"/>
      <scheme val="minor"/>
    </font>
    <font>
      <b/>
      <sz val="11"/>
      <name val="Open Sans"/>
      <family val="2"/>
      <scheme val="minor"/>
    </font>
    <font>
      <sz val="10"/>
      <color theme="1"/>
      <name val="Open Sans"/>
      <family val="2"/>
      <scheme val="minor"/>
    </font>
    <font>
      <sz val="11"/>
      <color theme="1"/>
      <name val="Open Sans SemiBold"/>
      <family val="2"/>
    </font>
    <font>
      <sz val="11"/>
      <name val="Open Sans"/>
      <family val="2"/>
    </font>
    <font>
      <u/>
      <sz val="11"/>
      <color theme="10"/>
      <name val="Open Sans"/>
      <family val="2"/>
    </font>
    <font>
      <u/>
      <sz val="11"/>
      <color theme="11"/>
      <name val="Open Sans"/>
      <family val="2"/>
    </font>
    <font>
      <sz val="15"/>
      <color theme="3"/>
      <name val="Open Sans Light"/>
      <family val="2"/>
      <scheme val="major"/>
    </font>
    <font>
      <sz val="18"/>
      <color theme="1"/>
      <name val="Open Sans Light"/>
      <family val="2"/>
      <scheme val="major"/>
    </font>
    <font>
      <sz val="14"/>
      <color theme="1"/>
      <name val="Open Sans SemiBold"/>
      <family val="2"/>
    </font>
    <font>
      <sz val="12"/>
      <color theme="1"/>
      <name val="Open Sans SemiBold"/>
      <family val="2"/>
    </font>
    <font>
      <sz val="20"/>
      <color theme="0"/>
      <name val="Open Sans Light"/>
      <family val="2"/>
      <scheme val="major"/>
    </font>
    <font>
      <sz val="16"/>
      <color theme="0"/>
      <name val="Open Sans SemiBold"/>
      <family val="2"/>
    </font>
    <font>
      <b/>
      <sz val="20"/>
      <color indexed="9"/>
      <name val="Open Sans"/>
      <family val="2"/>
      <scheme val="minor"/>
    </font>
    <font>
      <sz val="20"/>
      <color indexed="9"/>
      <name val="Open Sans"/>
      <family val="2"/>
      <scheme val="minor"/>
    </font>
    <font>
      <sz val="16"/>
      <name val="Open Sans"/>
      <family val="2"/>
      <scheme val="minor"/>
    </font>
    <font>
      <sz val="11"/>
      <color theme="0"/>
      <name val="Open Sans"/>
      <family val="2"/>
      <scheme val="minor"/>
    </font>
    <font>
      <sz val="8"/>
      <name val="Open Sans"/>
      <family val="2"/>
    </font>
    <font>
      <sz val="10"/>
      <name val="Arial"/>
      <family val="2"/>
    </font>
    <font>
      <u/>
      <sz val="11"/>
      <color theme="10"/>
      <name val="Open Sans"/>
      <family val="2"/>
      <scheme val="minor"/>
    </font>
    <font>
      <b/>
      <sz val="10"/>
      <color theme="1"/>
      <name val="Open Sans"/>
      <family val="2"/>
      <scheme val="minor"/>
    </font>
    <font>
      <i/>
      <sz val="10"/>
      <color theme="8"/>
      <name val="Open Sans"/>
      <family val="2"/>
      <scheme val="minor"/>
    </font>
    <font>
      <b/>
      <sz val="10"/>
      <color theme="8"/>
      <name val="Open Sans"/>
      <family val="2"/>
      <scheme val="minor"/>
    </font>
    <font>
      <sz val="11"/>
      <color theme="1"/>
      <name val="Open Sans"/>
      <family val="2"/>
    </font>
    <font>
      <sz val="10"/>
      <color theme="0"/>
      <name val="Open Sans"/>
      <family val="2"/>
      <scheme val="minor"/>
    </font>
    <font>
      <i/>
      <sz val="10"/>
      <color theme="1"/>
      <name val="Open Sans"/>
      <family val="2"/>
      <scheme val="minor"/>
    </font>
    <font>
      <b/>
      <sz val="10"/>
      <color theme="0"/>
      <name val="Open Sans"/>
      <family val="2"/>
      <scheme val="minor"/>
    </font>
    <font>
      <u/>
      <sz val="10"/>
      <color theme="1"/>
      <name val="Open Sans"/>
      <family val="2"/>
      <scheme val="minor"/>
    </font>
    <font>
      <b/>
      <sz val="11"/>
      <color theme="1"/>
      <name val="Open Sans SemiBold"/>
      <family val="2"/>
    </font>
    <font>
      <b/>
      <sz val="11"/>
      <color theme="1"/>
      <name val="Open Sans"/>
      <family val="2"/>
    </font>
    <font>
      <b/>
      <sz val="10"/>
      <color rgb="FFFFFFFF"/>
      <name val="Arial"/>
      <family val="2"/>
    </font>
    <font>
      <b/>
      <sz val="10"/>
      <color rgb="FF425364"/>
      <name val="Arial"/>
      <family val="2"/>
    </font>
    <font>
      <sz val="10"/>
      <color rgb="FF425364"/>
      <name val="Arial"/>
      <family val="2"/>
    </font>
    <font>
      <sz val="10"/>
      <color theme="1"/>
      <name val="Arial"/>
      <family val="2"/>
    </font>
    <font>
      <sz val="10"/>
      <color theme="4"/>
      <name val="Arial"/>
      <family val="2"/>
    </font>
    <font>
      <b/>
      <sz val="9"/>
      <color rgb="FFFFFFFF"/>
      <name val="Arial"/>
      <family val="2"/>
    </font>
    <font>
      <sz val="10"/>
      <color rgb="FFFF0000"/>
      <name val="Open Sans"/>
      <family val="2"/>
      <scheme val="minor"/>
    </font>
    <font>
      <sz val="11"/>
      <color rgb="FF000000"/>
      <name val="Open Sans"/>
      <family val="2"/>
      <scheme val="minor"/>
    </font>
    <font>
      <sz val="10"/>
      <color theme="8"/>
      <name val="Arial"/>
      <family val="2"/>
    </font>
    <font>
      <i/>
      <sz val="10"/>
      <color rgb="FF425364"/>
      <name val="Arial"/>
      <family val="2"/>
    </font>
    <font>
      <b/>
      <sz val="10"/>
      <color theme="1"/>
      <name val="Arial"/>
      <family val="2"/>
    </font>
    <font>
      <b/>
      <sz val="10"/>
      <color indexed="9"/>
      <name val="Arial"/>
      <family val="2"/>
    </font>
    <font>
      <sz val="20"/>
      <color theme="0"/>
      <name val="Arial"/>
      <family val="2"/>
    </font>
    <font>
      <sz val="10"/>
      <color indexed="9"/>
      <name val="Arial"/>
      <family val="2"/>
    </font>
    <font>
      <sz val="16"/>
      <color theme="0"/>
      <name val="Arial"/>
      <family val="2"/>
    </font>
    <font>
      <strike/>
      <sz val="10"/>
      <color theme="8"/>
      <name val="Arial"/>
      <family val="2"/>
    </font>
    <font>
      <b/>
      <sz val="10"/>
      <color theme="8"/>
      <name val="Arial"/>
      <family val="2"/>
    </font>
    <font>
      <i/>
      <sz val="10"/>
      <color theme="1"/>
      <name val="Arial"/>
      <family val="2"/>
    </font>
    <font>
      <i/>
      <sz val="10"/>
      <color theme="8"/>
      <name val="Arial"/>
      <family val="2"/>
    </font>
    <font>
      <sz val="10"/>
      <color theme="0"/>
      <name val="Arial"/>
      <family val="2"/>
    </font>
    <font>
      <b/>
      <sz val="10"/>
      <color theme="0"/>
      <name val="Arial"/>
      <family val="2"/>
    </font>
    <font>
      <sz val="8"/>
      <color theme="5" tint="-0.499984740745262"/>
      <name val="Arial"/>
      <family val="2"/>
    </font>
    <font>
      <b/>
      <sz val="12"/>
      <color theme="1"/>
      <name val="Open Sans"/>
      <family val="2"/>
      <scheme val="minor"/>
    </font>
    <font>
      <b/>
      <sz val="12"/>
      <color theme="1"/>
      <name val="Arial"/>
      <family val="2"/>
    </font>
    <font>
      <sz val="10"/>
      <color rgb="FFFF0000"/>
      <name val="Arial"/>
      <family val="2"/>
    </font>
  </fonts>
  <fills count="40">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6"/>
        <bgColor indexed="64"/>
      </patternFill>
    </fill>
    <fill>
      <patternFill patternType="solid">
        <fgColor theme="8"/>
        <bgColor indexed="64"/>
      </patternFill>
    </fill>
    <fill>
      <patternFill patternType="solid">
        <fgColor theme="0" tint="-4.9989318521683403E-2"/>
        <bgColor indexed="64"/>
      </patternFill>
    </fill>
    <fill>
      <patternFill patternType="solid">
        <fgColor rgb="FFC6EFCE"/>
        <bgColor indexed="64"/>
      </patternFill>
    </fill>
    <fill>
      <patternFill patternType="solid">
        <fgColor rgb="FFFFC7CE"/>
        <bgColor indexed="64"/>
      </patternFill>
    </fill>
    <fill>
      <patternFill patternType="solid">
        <fgColor theme="7"/>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A897"/>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FDE9D9"/>
        <bgColor indexed="64"/>
      </patternFill>
    </fill>
    <fill>
      <patternFill patternType="solid">
        <fgColor theme="4" tint="0.79998168889431442"/>
        <bgColor indexed="64"/>
      </patternFill>
    </fill>
    <fill>
      <patternFill patternType="solid">
        <fgColor rgb="FF47A843"/>
        <bgColor indexed="64"/>
      </patternFill>
    </fill>
    <fill>
      <patternFill patternType="solid">
        <fgColor rgb="FFDF2A2A"/>
        <bgColor indexed="64"/>
      </patternFill>
    </fill>
    <fill>
      <patternFill patternType="solid">
        <fgColor theme="9" tint="0.79998168889431442"/>
        <bgColor indexed="64"/>
      </patternFill>
    </fill>
    <fill>
      <patternFill patternType="solid">
        <fgColor theme="6" tint="0.399945066682943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D9EFD8"/>
        <bgColor indexed="64"/>
      </patternFill>
    </fill>
    <fill>
      <patternFill patternType="solid">
        <fgColor rgb="FFFFFF00"/>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bottom style="thin">
        <color theme="1" tint="0.499984740745262"/>
      </bottom>
      <diagonal/>
    </border>
    <border>
      <left/>
      <right style="thin">
        <color auto="1"/>
      </right>
      <top/>
      <bottom/>
      <diagonal/>
    </border>
    <border>
      <left style="thin">
        <color auto="1"/>
      </left>
      <right/>
      <top/>
      <bottom/>
      <diagonal/>
    </border>
    <border>
      <left style="dotted">
        <color indexed="64"/>
      </left>
      <right style="thin">
        <color indexed="64"/>
      </right>
      <top style="thin">
        <color indexed="64"/>
      </top>
      <bottom style="thin">
        <color indexed="64"/>
      </bottom>
      <diagonal/>
    </border>
  </borders>
  <cellStyleXfs count="111">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1" applyNumberFormat="0" applyAlignment="0" applyProtection="0"/>
    <xf numFmtId="0" fontId="21" fillId="8" borderId="2" applyNumberFormat="0" applyAlignment="0" applyProtection="0"/>
    <xf numFmtId="0" fontId="22" fillId="8" borderId="1" applyNumberFormat="0" applyAlignment="0" applyProtection="0"/>
    <xf numFmtId="0" fontId="23" fillId="0" borderId="3" applyNumberFormat="0" applyFill="0" applyAlignment="0" applyProtection="0"/>
    <xf numFmtId="0" fontId="24" fillId="9" borderId="4" applyNumberFormat="0" applyAlignment="0" applyProtection="0"/>
    <xf numFmtId="0" fontId="25" fillId="0" borderId="0" applyNumberFormat="0" applyFill="0" applyBorder="0" applyAlignment="0" applyProtection="0"/>
    <xf numFmtId="0" fontId="16" fillId="10" borderId="5" applyNumberFormat="0" applyFont="0" applyAlignment="0" applyProtection="0"/>
    <xf numFmtId="0" fontId="26" fillId="0" borderId="0" applyNumberFormat="0" applyFill="0" applyBorder="0" applyAlignment="0" applyProtection="0"/>
    <xf numFmtId="0" fontId="45" fillId="0" borderId="0"/>
    <xf numFmtId="0" fontId="46" fillId="0" borderId="0"/>
    <xf numFmtId="0" fontId="40" fillId="0" borderId="0"/>
    <xf numFmtId="0" fontId="41" fillId="0" borderId="0" applyNumberFormat="0" applyFill="0" applyBorder="0" applyAlignment="0" applyProtection="0"/>
    <xf numFmtId="0" fontId="40" fillId="13" borderId="0"/>
    <xf numFmtId="0" fontId="40" fillId="20" borderId="0"/>
    <xf numFmtId="0" fontId="40" fillId="19" borderId="0"/>
    <xf numFmtId="0" fontId="42" fillId="0" borderId="0" applyNumberFormat="0" applyFill="0" applyBorder="0" applyAlignment="0" applyProtection="0"/>
    <xf numFmtId="0" fontId="29" fillId="0" borderId="0" applyNumberFormat="0" applyFill="0" applyBorder="0" applyAlignment="0" applyProtection="0"/>
    <xf numFmtId="0" fontId="43" fillId="0" borderId="6" applyNumberFormat="0" applyFill="0" applyAlignment="0" applyProtection="0"/>
    <xf numFmtId="0" fontId="30" fillId="0" borderId="7" applyNumberFormat="0" applyFill="0" applyAlignment="0" applyProtection="0"/>
    <xf numFmtId="0" fontId="31" fillId="0" borderId="8" applyNumberFormat="0" applyFill="0" applyAlignment="0" applyProtection="0"/>
    <xf numFmtId="0" fontId="31" fillId="0" borderId="0" applyNumberFormat="0" applyFill="0" applyBorder="0" applyAlignment="0" applyProtection="0"/>
    <xf numFmtId="0" fontId="32" fillId="0" borderId="9" applyNumberFormat="0" applyFill="0" applyAlignment="0" applyProtection="0"/>
    <xf numFmtId="0" fontId="44" fillId="0" borderId="0">
      <alignment vertical="top"/>
    </xf>
    <xf numFmtId="0" fontId="39" fillId="0" borderId="0"/>
    <xf numFmtId="0" fontId="11" fillId="0" borderId="0"/>
    <xf numFmtId="164" fontId="11" fillId="0" borderId="0" applyFont="0" applyFill="0" applyBorder="0" applyAlignment="0" applyProtection="0"/>
    <xf numFmtId="0" fontId="54" fillId="0" borderId="0"/>
    <xf numFmtId="9" fontId="54" fillId="0" borderId="0" applyFont="0" applyFill="0" applyBorder="0" applyAlignment="0" applyProtection="0"/>
    <xf numFmtId="0" fontId="55" fillId="0" borderId="0" applyNumberForma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9" fontId="59" fillId="0" borderId="0" applyFont="0" applyFill="0" applyBorder="0" applyAlignment="0" applyProtection="0"/>
    <xf numFmtId="0" fontId="10" fillId="0" borderId="0"/>
    <xf numFmtId="9" fontId="10" fillId="0" borderId="0" applyFont="0" applyFill="0" applyBorder="0" applyAlignment="0" applyProtection="0"/>
    <xf numFmtId="44" fontId="5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44" fontId="8" fillId="0" borderId="0" applyFont="0" applyFill="0" applyBorder="0" applyAlignment="0" applyProtection="0"/>
    <xf numFmtId="0" fontId="69" fillId="0" borderId="0"/>
    <xf numFmtId="0" fontId="54" fillId="0" borderId="0" applyFill="0" applyBorder="0">
      <alignment vertical="center"/>
    </xf>
    <xf numFmtId="0" fontId="70" fillId="0" borderId="0" applyFill="0" applyBorder="0">
      <alignment vertical="center"/>
    </xf>
    <xf numFmtId="171" fontId="54" fillId="24" borderId="12">
      <alignment vertical="center"/>
      <protection locked="0"/>
    </xf>
    <xf numFmtId="172" fontId="69" fillId="0" borderId="0" applyFill="0" applyBorder="0">
      <alignment vertical="center"/>
    </xf>
    <xf numFmtId="0" fontId="54" fillId="24" borderId="12">
      <alignment vertical="center"/>
      <protection locked="0"/>
    </xf>
    <xf numFmtId="172" fontId="70" fillId="0" borderId="0" applyFill="0" applyBorder="0">
      <alignment vertical="center"/>
    </xf>
    <xf numFmtId="164" fontId="54" fillId="0" borderId="0" applyFont="0" applyFill="0" applyBorder="0" applyAlignment="0" applyProtection="0"/>
    <xf numFmtId="0" fontId="73" fillId="0" borderId="0"/>
    <xf numFmtId="43" fontId="59" fillId="0" borderId="0" applyFont="0" applyFill="0" applyBorder="0" applyAlignment="0" applyProtection="0"/>
    <xf numFmtId="0" fontId="87" fillId="28" borderId="16" applyNumberFormat="0">
      <alignment horizontal="center" vertical="top"/>
      <protection locked="0"/>
    </xf>
    <xf numFmtId="0" fontId="76" fillId="29" borderId="15">
      <alignment horizontal="center" vertical="center"/>
    </xf>
    <xf numFmtId="0" fontId="88" fillId="30" borderId="0" applyNumberFormat="0" applyBorder="0" applyAlignment="0" applyProtection="0"/>
    <xf numFmtId="0" fontId="7" fillId="0" borderId="0"/>
    <xf numFmtId="0" fontId="6"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9"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4"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86" fillId="26" borderId="0" applyNumberFormat="0" applyBorder="0" applyAlignment="0" applyProtection="0">
      <alignment horizontal="center"/>
    </xf>
    <xf numFmtId="181" fontId="69" fillId="17" borderId="0" applyNumberFormat="0" applyFont="0" applyBorder="0" applyAlignment="0" applyProtection="0"/>
    <xf numFmtId="177" fontId="69" fillId="0" borderId="0" applyNumberFormat="0" applyFont="0" applyBorder="0" applyAlignment="0" applyProtection="0"/>
    <xf numFmtId="0" fontId="76" fillId="25" borderId="0" applyNumberFormat="0" applyBorder="0" applyAlignment="0" applyProtection="0">
      <alignment horizontal="left"/>
    </xf>
    <xf numFmtId="0" fontId="69" fillId="0" borderId="0" applyNumberForma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30" borderId="0" applyNumberFormat="0" applyBorder="0" applyAlignment="0" applyProtection="0"/>
    <xf numFmtId="0" fontId="3" fillId="0" borderId="0"/>
    <xf numFmtId="0" fontId="3" fillId="37" borderId="0" applyNumberFormat="0" applyBorder="0" applyAlignment="0" applyProtection="0"/>
    <xf numFmtId="0" fontId="3" fillId="35"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10" borderId="5" applyNumberFormat="0" applyFon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30"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cellStyleXfs>
  <cellXfs count="288">
    <xf numFmtId="0" fontId="0" fillId="0" borderId="0" xfId="0"/>
    <xf numFmtId="0" fontId="0" fillId="2" borderId="0" xfId="0" applyFill="1"/>
    <xf numFmtId="0" fontId="27" fillId="2" borderId="0" xfId="0" applyFont="1" applyFill="1" applyAlignment="1">
      <alignment vertical="center"/>
    </xf>
    <xf numFmtId="0" fontId="27" fillId="0" borderId="0" xfId="0" applyFont="1" applyAlignment="1">
      <alignment vertical="center"/>
    </xf>
    <xf numFmtId="0" fontId="33" fillId="0" borderId="0" xfId="0" applyFont="1"/>
    <xf numFmtId="0" fontId="28" fillId="2" borderId="0" xfId="0" applyFont="1" applyFill="1" applyAlignment="1">
      <alignment vertical="top"/>
    </xf>
    <xf numFmtId="0" fontId="33" fillId="0" borderId="0" xfId="0" applyFont="1" applyAlignment="1">
      <alignment vertical="top"/>
    </xf>
    <xf numFmtId="0" fontId="13" fillId="0" borderId="0" xfId="0" applyFont="1"/>
    <xf numFmtId="0" fontId="35" fillId="0" borderId="0" xfId="0" applyFont="1" applyAlignment="1">
      <alignment vertical="top"/>
    </xf>
    <xf numFmtId="0" fontId="36" fillId="0" borderId="0" xfId="0" applyFont="1" applyAlignment="1">
      <alignment vertical="top"/>
    </xf>
    <xf numFmtId="0" fontId="37" fillId="0" borderId="0" xfId="0" applyFont="1"/>
    <xf numFmtId="0" fontId="34" fillId="16" borderId="0" xfId="0" applyFont="1" applyFill="1"/>
    <xf numFmtId="0" fontId="34" fillId="0" borderId="0" xfId="0" applyFont="1"/>
    <xf numFmtId="0" fontId="33" fillId="12" borderId="0" xfId="0" applyFont="1" applyFill="1"/>
    <xf numFmtId="0" fontId="33" fillId="2" borderId="0" xfId="0" applyFont="1" applyFill="1"/>
    <xf numFmtId="0" fontId="33" fillId="3" borderId="0" xfId="0" applyFont="1" applyFill="1"/>
    <xf numFmtId="0" fontId="33" fillId="11" borderId="0" xfId="0" applyFont="1" applyFill="1"/>
    <xf numFmtId="0" fontId="33" fillId="14" borderId="0" xfId="0" applyFont="1" applyFill="1"/>
    <xf numFmtId="0" fontId="33" fillId="15" borderId="0" xfId="0" applyFont="1" applyFill="1"/>
    <xf numFmtId="0" fontId="37" fillId="0" borderId="0" xfId="0" applyFont="1" applyAlignment="1">
      <alignment vertical="top"/>
    </xf>
    <xf numFmtId="0" fontId="38" fillId="0" borderId="0" xfId="0" applyFont="1"/>
    <xf numFmtId="0" fontId="33" fillId="17" borderId="0" xfId="0" applyFont="1" applyFill="1"/>
    <xf numFmtId="0" fontId="33" fillId="18" borderId="0" xfId="0" applyFont="1" applyFill="1"/>
    <xf numFmtId="0" fontId="33" fillId="19" borderId="0" xfId="0" applyFont="1" applyFill="1"/>
    <xf numFmtId="0" fontId="39" fillId="0" borderId="0" xfId="0" applyFont="1"/>
    <xf numFmtId="0" fontId="44" fillId="0" borderId="0" xfId="0" applyFont="1" applyAlignment="1">
      <alignment vertical="top"/>
    </xf>
    <xf numFmtId="0" fontId="32" fillId="0" borderId="0" xfId="0" applyFont="1"/>
    <xf numFmtId="0" fontId="47" fillId="2" borderId="0" xfId="0" applyFont="1" applyFill="1" applyAlignment="1">
      <alignment vertical="center"/>
    </xf>
    <xf numFmtId="0" fontId="48" fillId="2" borderId="0" xfId="0" applyFont="1" applyFill="1" applyAlignment="1">
      <alignment vertical="center"/>
    </xf>
    <xf numFmtId="0" fontId="49" fillId="2" borderId="0" xfId="0" applyFont="1" applyFill="1" applyAlignment="1">
      <alignment vertical="center"/>
    </xf>
    <xf numFmtId="0" fontId="50" fillId="2" borderId="0" xfId="0" applyFont="1" applyFill="1" applyAlignment="1">
      <alignment vertical="center"/>
    </xf>
    <xf numFmtId="0" fontId="51" fillId="2" borderId="0" xfId="0" applyFont="1" applyFill="1" applyAlignment="1">
      <alignment vertical="top"/>
    </xf>
    <xf numFmtId="0" fontId="12" fillId="0" borderId="0" xfId="0" applyFont="1"/>
    <xf numFmtId="0" fontId="11" fillId="0" borderId="0" xfId="30"/>
    <xf numFmtId="0" fontId="11" fillId="21" borderId="0" xfId="30" applyFill="1"/>
    <xf numFmtId="0" fontId="58" fillId="0" borderId="0" xfId="30" applyFont="1"/>
    <xf numFmtId="0" fontId="61" fillId="0" borderId="0" xfId="0" applyFont="1"/>
    <xf numFmtId="166" fontId="56" fillId="0" borderId="0" xfId="0" applyNumberFormat="1" applyFont="1" applyAlignment="1">
      <alignment horizontal="center"/>
    </xf>
    <xf numFmtId="0" fontId="63" fillId="0" borderId="0" xfId="0" applyFont="1"/>
    <xf numFmtId="0" fontId="65" fillId="0" borderId="0" xfId="0" applyFont="1"/>
    <xf numFmtId="0" fontId="62" fillId="0" borderId="0" xfId="0" applyFont="1"/>
    <xf numFmtId="0" fontId="66" fillId="0" borderId="0" xfId="0" applyFont="1" applyAlignment="1">
      <alignment vertical="center" wrapText="1"/>
    </xf>
    <xf numFmtId="0" fontId="68" fillId="0" borderId="0" xfId="0" applyFont="1" applyAlignment="1">
      <alignment vertical="center" wrapText="1"/>
    </xf>
    <xf numFmtId="0" fontId="66" fillId="0" borderId="0" xfId="0" applyFont="1" applyAlignment="1">
      <alignment horizontal="center" vertical="center" wrapText="1"/>
    </xf>
    <xf numFmtId="169" fontId="32" fillId="23" borderId="0" xfId="42" applyNumberFormat="1" applyFont="1" applyFill="1" applyBorder="1" applyAlignment="1">
      <alignment horizontal="center" vertical="center"/>
    </xf>
    <xf numFmtId="0" fontId="38" fillId="0" borderId="0" xfId="0" applyFont="1" applyAlignment="1">
      <alignment vertical="top"/>
    </xf>
    <xf numFmtId="0" fontId="60" fillId="0" borderId="11" xfId="0" applyFont="1" applyBorder="1" applyAlignment="1">
      <alignment horizontal="left" vertical="top" wrapText="1" readingOrder="1"/>
    </xf>
    <xf numFmtId="0" fontId="57" fillId="0" borderId="0" xfId="0" applyFont="1" applyAlignment="1">
      <alignment vertical="top"/>
    </xf>
    <xf numFmtId="169" fontId="32" fillId="0" borderId="0" xfId="42" applyNumberFormat="1" applyFont="1" applyFill="1" applyBorder="1" applyAlignment="1">
      <alignment horizontal="center" vertical="center"/>
    </xf>
    <xf numFmtId="174" fontId="67" fillId="0" borderId="0" xfId="0" applyNumberFormat="1" applyFont="1" applyAlignment="1">
      <alignment horizontal="right" vertical="center" wrapText="1"/>
    </xf>
    <xf numFmtId="2" fontId="67" fillId="0" borderId="0" xfId="0" applyNumberFormat="1" applyFont="1" applyAlignment="1">
      <alignment horizontal="left" vertical="center" wrapText="1"/>
    </xf>
    <xf numFmtId="0" fontId="71" fillId="0" borderId="0" xfId="0" applyFont="1" applyAlignment="1">
      <alignment vertical="center" wrapText="1"/>
    </xf>
    <xf numFmtId="0" fontId="68" fillId="0" borderId="0" xfId="40" applyNumberFormat="1" applyFont="1" applyBorder="1" applyAlignment="1">
      <alignment horizontal="left" vertical="center" wrapText="1"/>
    </xf>
    <xf numFmtId="2" fontId="68" fillId="0" borderId="0" xfId="40" applyNumberFormat="1" applyFont="1" applyBorder="1" applyAlignment="1">
      <alignment horizontal="left" vertical="center" wrapText="1"/>
    </xf>
    <xf numFmtId="169" fontId="32" fillId="0" borderId="0" xfId="42" applyNumberFormat="1" applyFont="1" applyFill="1" applyBorder="1" applyAlignment="1">
      <alignment horizontal="center" vertical="top"/>
    </xf>
    <xf numFmtId="0" fontId="64" fillId="0" borderId="13" xfId="0" applyFont="1" applyBorder="1" applyAlignment="1">
      <alignment vertical="center" wrapText="1"/>
    </xf>
    <xf numFmtId="0" fontId="32" fillId="0" borderId="13" xfId="0" applyFont="1" applyBorder="1" applyAlignment="1">
      <alignment vertical="center"/>
    </xf>
    <xf numFmtId="0" fontId="64" fillId="0" borderId="13" xfId="0" applyFont="1" applyBorder="1" applyAlignment="1">
      <alignment vertical="center"/>
    </xf>
    <xf numFmtId="0" fontId="11" fillId="12" borderId="0" xfId="30" applyFill="1"/>
    <xf numFmtId="0" fontId="52" fillId="16" borderId="13" xfId="0" applyFont="1" applyFill="1" applyBorder="1"/>
    <xf numFmtId="9" fontId="74" fillId="0" borderId="0" xfId="37" applyFont="1" applyFill="1" applyBorder="1" applyAlignment="1">
      <alignment horizontal="right" vertical="center" wrapText="1"/>
    </xf>
    <xf numFmtId="0" fontId="49" fillId="26" borderId="0" xfId="0" applyFont="1" applyFill="1" applyAlignment="1">
      <alignment vertical="center"/>
    </xf>
    <xf numFmtId="175" fontId="68" fillId="0" borderId="0" xfId="40" applyNumberFormat="1" applyFont="1" applyBorder="1" applyAlignment="1">
      <alignment horizontal="left" vertical="center" wrapText="1"/>
    </xf>
    <xf numFmtId="0" fontId="72" fillId="0" borderId="0" xfId="0" applyFont="1" applyAlignment="1">
      <alignment vertical="top"/>
    </xf>
    <xf numFmtId="0" fontId="69" fillId="0" borderId="0" xfId="41" applyFont="1"/>
    <xf numFmtId="0" fontId="69" fillId="0" borderId="0" xfId="0" applyFont="1"/>
    <xf numFmtId="0" fontId="77" fillId="2" borderId="0" xfId="0" applyFont="1" applyFill="1" applyAlignment="1">
      <alignment vertical="center"/>
    </xf>
    <xf numFmtId="0" fontId="78" fillId="2" borderId="0" xfId="0" applyFont="1" applyFill="1" applyAlignment="1">
      <alignment vertical="center"/>
    </xf>
    <xf numFmtId="0" fontId="79" fillId="2" borderId="0" xfId="0" applyFont="1" applyFill="1" applyAlignment="1">
      <alignment vertical="center"/>
    </xf>
    <xf numFmtId="0" fontId="77" fillId="2" borderId="0" xfId="0" applyFont="1" applyFill="1" applyAlignment="1">
      <alignment horizontal="center" vertical="center"/>
    </xf>
    <xf numFmtId="0" fontId="79" fillId="2" borderId="0" xfId="0" applyFont="1" applyFill="1" applyAlignment="1">
      <alignment horizontal="center" vertical="center"/>
    </xf>
    <xf numFmtId="0" fontId="54" fillId="2" borderId="0" xfId="0" applyFont="1" applyFill="1" applyAlignment="1">
      <alignment vertical="top"/>
    </xf>
    <xf numFmtId="0" fontId="80" fillId="2" borderId="0" xfId="0" applyFont="1" applyFill="1" applyAlignment="1">
      <alignment vertical="center"/>
    </xf>
    <xf numFmtId="0" fontId="81" fillId="2" borderId="0" xfId="0" applyFont="1" applyFill="1" applyAlignment="1">
      <alignment vertical="top"/>
    </xf>
    <xf numFmtId="0" fontId="54" fillId="2" borderId="0" xfId="0" applyFont="1" applyFill="1" applyAlignment="1">
      <alignment horizontal="center" vertical="top"/>
    </xf>
    <xf numFmtId="0" fontId="69" fillId="2" borderId="0" xfId="0" applyFont="1" applyFill="1"/>
    <xf numFmtId="0" fontId="82" fillId="0" borderId="0" xfId="30" applyFont="1"/>
    <xf numFmtId="0" fontId="69" fillId="0" borderId="0" xfId="0" applyFont="1" applyAlignment="1">
      <alignment horizontal="center"/>
    </xf>
    <xf numFmtId="0" fontId="83" fillId="0" borderId="0" xfId="0" applyFont="1"/>
    <xf numFmtId="0" fontId="69" fillId="0" borderId="0" xfId="30" applyFont="1"/>
    <xf numFmtId="0" fontId="74" fillId="0" borderId="0" xfId="30" applyFont="1"/>
    <xf numFmtId="0" fontId="69" fillId="0" borderId="0" xfId="30" applyFont="1" applyAlignment="1">
      <alignment horizontal="center"/>
    </xf>
    <xf numFmtId="0" fontId="84" fillId="0" borderId="0" xfId="0" applyFont="1"/>
    <xf numFmtId="9" fontId="69" fillId="0" borderId="0" xfId="0" applyNumberFormat="1" applyFont="1" applyAlignment="1">
      <alignment horizontal="center"/>
    </xf>
    <xf numFmtId="9" fontId="69" fillId="0" borderId="0" xfId="0" applyNumberFormat="1" applyFont="1"/>
    <xf numFmtId="167" fontId="85" fillId="0" borderId="0" xfId="31" applyNumberFormat="1" applyFont="1" applyFill="1" applyBorder="1"/>
    <xf numFmtId="170" fontId="69" fillId="0" borderId="0" xfId="0" applyNumberFormat="1" applyFont="1"/>
    <xf numFmtId="0" fontId="76" fillId="0" borderId="0" xfId="0" applyFont="1"/>
    <xf numFmtId="17" fontId="76" fillId="0" borderId="0" xfId="41" applyNumberFormat="1" applyFont="1" applyAlignment="1">
      <alignment horizontal="center" vertical="center" textRotation="90" wrapText="1"/>
    </xf>
    <xf numFmtId="169" fontId="69" fillId="0" borderId="0" xfId="42" applyNumberFormat="1" applyFont="1" applyFill="1" applyBorder="1"/>
    <xf numFmtId="0" fontId="76" fillId="0" borderId="0" xfId="41" applyFont="1"/>
    <xf numFmtId="0" fontId="86" fillId="0" borderId="0" xfId="0" applyFont="1"/>
    <xf numFmtId="166" fontId="76" fillId="0" borderId="0" xfId="30" applyNumberFormat="1" applyFont="1"/>
    <xf numFmtId="0" fontId="78" fillId="26" borderId="0" xfId="0" applyFont="1" applyFill="1" applyAlignment="1">
      <alignment vertical="center"/>
    </xf>
    <xf numFmtId="0" fontId="27" fillId="26" borderId="0" xfId="0" applyFont="1" applyFill="1" applyAlignment="1">
      <alignment vertical="center"/>
    </xf>
    <xf numFmtId="0" fontId="52" fillId="2" borderId="14" xfId="0" applyFont="1" applyFill="1" applyBorder="1"/>
    <xf numFmtId="0" fontId="52" fillId="2" borderId="14" xfId="0" applyFont="1" applyFill="1" applyBorder="1" applyAlignment="1">
      <alignment vertical="top"/>
    </xf>
    <xf numFmtId="0" fontId="52" fillId="2" borderId="14" xfId="0" applyFont="1" applyFill="1" applyBorder="1" applyAlignment="1">
      <alignment vertical="top" wrapText="1"/>
    </xf>
    <xf numFmtId="0" fontId="52" fillId="2" borderId="10" xfId="0" applyFont="1" applyFill="1" applyBorder="1"/>
    <xf numFmtId="0" fontId="52" fillId="2" borderId="10" xfId="0" applyFont="1" applyFill="1" applyBorder="1" applyAlignment="1">
      <alignment vertical="top"/>
    </xf>
    <xf numFmtId="0" fontId="52" fillId="2" borderId="10" xfId="0" applyFont="1" applyFill="1" applyBorder="1" applyAlignment="1">
      <alignment vertical="top" wrapText="1"/>
    </xf>
    <xf numFmtId="0" fontId="52" fillId="12" borderId="10" xfId="0" applyFont="1" applyFill="1" applyBorder="1"/>
    <xf numFmtId="0" fontId="52" fillId="12" borderId="10" xfId="0" applyFont="1" applyFill="1" applyBorder="1" applyAlignment="1">
      <alignment vertical="top"/>
    </xf>
    <xf numFmtId="0" fontId="52" fillId="12" borderId="10" xfId="0" applyFont="1" applyFill="1" applyBorder="1" applyAlignment="1">
      <alignment vertical="top" wrapText="1"/>
    </xf>
    <xf numFmtId="169" fontId="69" fillId="0" borderId="0" xfId="40" applyNumberFormat="1" applyFont="1" applyFill="1"/>
    <xf numFmtId="0" fontId="69" fillId="0" borderId="0" xfId="0" applyFont="1" applyAlignment="1">
      <alignment horizontal="left" vertical="center" wrapText="1"/>
    </xf>
    <xf numFmtId="0" fontId="69" fillId="0" borderId="0" xfId="0" applyFont="1" applyAlignment="1">
      <alignment horizontal="left" vertical="center"/>
    </xf>
    <xf numFmtId="2" fontId="69" fillId="0" borderId="15" xfId="0" applyNumberFormat="1" applyFont="1" applyBorder="1" applyAlignment="1">
      <alignment horizontal="center"/>
    </xf>
    <xf numFmtId="175" fontId="67" fillId="0" borderId="0" xfId="40" applyNumberFormat="1" applyFont="1" applyFill="1" applyBorder="1" applyAlignment="1">
      <alignment horizontal="left" vertical="center" wrapText="1"/>
    </xf>
    <xf numFmtId="177" fontId="67" fillId="0" borderId="0" xfId="40" applyNumberFormat="1" applyFont="1" applyFill="1" applyBorder="1" applyAlignment="1">
      <alignment horizontal="left" vertical="center" wrapText="1"/>
    </xf>
    <xf numFmtId="177" fontId="69" fillId="0" borderId="0" xfId="0" applyNumberFormat="1" applyFont="1"/>
    <xf numFmtId="180" fontId="69" fillId="0" borderId="15" xfId="0" applyNumberFormat="1" applyFont="1" applyBorder="1" applyAlignment="1">
      <alignment horizontal="center"/>
    </xf>
    <xf numFmtId="0" fontId="69" fillId="0" borderId="15" xfId="0" applyFont="1" applyBorder="1"/>
    <xf numFmtId="0" fontId="88" fillId="22" borderId="0" xfId="57" applyFill="1"/>
    <xf numFmtId="181" fontId="69" fillId="0" borderId="0" xfId="0" applyNumberFormat="1" applyFont="1"/>
    <xf numFmtId="44" fontId="69" fillId="0" borderId="0" xfId="40" applyFont="1" applyFill="1" applyBorder="1"/>
    <xf numFmtId="182" fontId="69" fillId="0" borderId="0" xfId="0" applyNumberFormat="1" applyFont="1"/>
    <xf numFmtId="0" fontId="86" fillId="26" borderId="0" xfId="77" applyAlignment="1">
      <alignment horizontal="center"/>
    </xf>
    <xf numFmtId="0" fontId="86" fillId="26" borderId="0" xfId="77" applyAlignment="1"/>
    <xf numFmtId="0" fontId="84" fillId="0" borderId="0" xfId="0" applyFont="1" applyAlignment="1">
      <alignment horizontal="center"/>
    </xf>
    <xf numFmtId="0" fontId="86" fillId="26" borderId="0" xfId="77" applyAlignment="1">
      <alignment vertical="center"/>
    </xf>
    <xf numFmtId="0" fontId="86" fillId="26" borderId="0" xfId="77" applyAlignment="1">
      <alignment horizontal="center" vertical="center"/>
    </xf>
    <xf numFmtId="0" fontId="76" fillId="0" borderId="0" xfId="80" applyFill="1" applyAlignment="1"/>
    <xf numFmtId="0" fontId="76" fillId="25" borderId="0" xfId="80" applyBorder="1" applyAlignment="1">
      <alignment horizontal="left"/>
    </xf>
    <xf numFmtId="0" fontId="76" fillId="25" borderId="0" xfId="80" applyBorder="1" applyAlignment="1"/>
    <xf numFmtId="17" fontId="76" fillId="25" borderId="0" xfId="80" applyNumberFormat="1" applyBorder="1" applyAlignment="1">
      <alignment horizontal="left"/>
    </xf>
    <xf numFmtId="169" fontId="69" fillId="0" borderId="15" xfId="79" applyNumberFormat="1" applyFont="1" applyBorder="1" applyAlignment="1"/>
    <xf numFmtId="181" fontId="68" fillId="0" borderId="15" xfId="40" applyNumberFormat="1" applyFont="1" applyFill="1" applyBorder="1" applyAlignment="1">
      <alignment vertical="center" wrapText="1"/>
    </xf>
    <xf numFmtId="169" fontId="68" fillId="0" borderId="15" xfId="79" applyNumberFormat="1" applyFont="1" applyBorder="1" applyAlignment="1">
      <alignment horizontal="center" vertical="center" wrapText="1"/>
    </xf>
    <xf numFmtId="44" fontId="68" fillId="0" borderId="15" xfId="40" applyFont="1" applyBorder="1" applyAlignment="1">
      <alignment vertical="center" wrapText="1"/>
    </xf>
    <xf numFmtId="169" fontId="68" fillId="0" borderId="15" xfId="78" applyNumberFormat="1" applyFont="1" applyFill="1" applyBorder="1" applyAlignment="1">
      <alignment horizontal="center" vertical="center" wrapText="1"/>
    </xf>
    <xf numFmtId="14" fontId="69" fillId="17" borderId="15" xfId="78" applyNumberFormat="1" applyFont="1" applyBorder="1" applyAlignment="1">
      <alignment horizontal="center"/>
    </xf>
    <xf numFmtId="181" fontId="86" fillId="26" borderId="0" xfId="77" applyNumberFormat="1" applyBorder="1" applyAlignment="1"/>
    <xf numFmtId="181" fontId="86" fillId="26" borderId="0" xfId="77" applyNumberFormat="1" applyBorder="1" applyAlignment="1">
      <alignment horizontal="center"/>
    </xf>
    <xf numFmtId="181" fontId="86" fillId="0" borderId="0" xfId="77" applyNumberFormat="1" applyFill="1" applyBorder="1" applyAlignment="1"/>
    <xf numFmtId="0" fontId="76" fillId="25" borderId="0" xfId="80" applyBorder="1" applyAlignment="1">
      <alignment horizontal="left" wrapText="1"/>
    </xf>
    <xf numFmtId="0" fontId="76" fillId="25" borderId="0" xfId="80" applyBorder="1" applyAlignment="1">
      <alignment wrapText="1"/>
    </xf>
    <xf numFmtId="17" fontId="83" fillId="25" borderId="0" xfId="80" applyNumberFormat="1" applyFont="1" applyBorder="1" applyAlignment="1">
      <alignment horizontal="left"/>
    </xf>
    <xf numFmtId="181" fontId="76" fillId="25" borderId="0" xfId="80" applyNumberFormat="1" applyBorder="1" applyAlignment="1"/>
    <xf numFmtId="181" fontId="76" fillId="25" borderId="0" xfId="80" applyNumberFormat="1" applyBorder="1" applyAlignment="1">
      <alignment horizontal="center"/>
    </xf>
    <xf numFmtId="183" fontId="76" fillId="25" borderId="0" xfId="80" applyNumberFormat="1" applyBorder="1" applyAlignment="1">
      <alignment horizontal="left" wrapText="1"/>
    </xf>
    <xf numFmtId="181" fontId="69" fillId="0" borderId="15" xfId="78" applyNumberFormat="1" applyFont="1" applyFill="1" applyBorder="1"/>
    <xf numFmtId="182" fontId="69" fillId="0" borderId="15" xfId="78" applyNumberFormat="1" applyFont="1" applyFill="1" applyBorder="1" applyAlignment="1"/>
    <xf numFmtId="182" fontId="69" fillId="0" borderId="18" xfId="0" applyNumberFormat="1" applyFont="1" applyBorder="1"/>
    <xf numFmtId="177" fontId="69" fillId="0" borderId="15" xfId="78" applyNumberFormat="1" applyFont="1" applyFill="1" applyBorder="1"/>
    <xf numFmtId="169" fontId="69" fillId="0" borderId="15" xfId="78" applyNumberFormat="1" applyFont="1" applyFill="1" applyBorder="1"/>
    <xf numFmtId="179" fontId="69" fillId="0" borderId="20" xfId="54" applyNumberFormat="1" applyFont="1" applyFill="1" applyBorder="1" applyAlignment="1">
      <alignment horizontal="center"/>
    </xf>
    <xf numFmtId="169" fontId="69" fillId="0" borderId="20" xfId="42" applyNumberFormat="1" applyFont="1" applyFill="1" applyBorder="1" applyAlignment="1">
      <alignment horizontal="center"/>
    </xf>
    <xf numFmtId="169" fontId="69" fillId="0" borderId="12" xfId="42" applyNumberFormat="1" applyFont="1" applyFill="1" applyBorder="1" applyAlignment="1">
      <alignment horizontal="center"/>
    </xf>
    <xf numFmtId="0" fontId="54" fillId="17" borderId="15" xfId="78" applyNumberFormat="1" applyFont="1" applyBorder="1" applyAlignment="1" applyProtection="1">
      <alignment horizontal="center" vertical="center"/>
      <protection locked="0"/>
    </xf>
    <xf numFmtId="0" fontId="76" fillId="25" borderId="0" xfId="80" applyBorder="1" applyAlignment="1">
      <alignment vertical="center" wrapText="1"/>
    </xf>
    <xf numFmtId="0" fontId="76" fillId="25" borderId="0" xfId="80" applyBorder="1" applyAlignment="1">
      <alignment horizontal="center" vertical="center" wrapText="1"/>
    </xf>
    <xf numFmtId="0" fontId="54" fillId="26" borderId="0" xfId="0" applyFont="1" applyFill="1" applyAlignment="1">
      <alignment vertical="top"/>
    </xf>
    <xf numFmtId="0" fontId="69" fillId="0" borderId="0" xfId="0" applyFont="1" applyAlignment="1">
      <alignment wrapText="1"/>
    </xf>
    <xf numFmtId="182" fontId="69" fillId="0" borderId="0" xfId="0" applyNumberFormat="1" applyFont="1" applyAlignment="1">
      <alignment wrapText="1"/>
    </xf>
    <xf numFmtId="17" fontId="76" fillId="25" borderId="0" xfId="80" applyNumberFormat="1" applyBorder="1" applyAlignment="1">
      <alignment horizontal="left" wrapText="1"/>
    </xf>
    <xf numFmtId="17" fontId="76" fillId="38" borderId="0" xfId="80" applyNumberFormat="1" applyFill="1" applyBorder="1" applyAlignment="1">
      <alignment horizontal="left" wrapText="1"/>
    </xf>
    <xf numFmtId="169" fontId="76" fillId="27" borderId="0" xfId="42" applyNumberFormat="1" applyFont="1" applyFill="1" applyBorder="1" applyAlignment="1">
      <alignment horizontal="center" vertical="center" wrapText="1"/>
    </xf>
    <xf numFmtId="0" fontId="76" fillId="0" borderId="0" xfId="0" applyFont="1" applyAlignment="1">
      <alignment wrapText="1"/>
    </xf>
    <xf numFmtId="169" fontId="32" fillId="23" borderId="15" xfId="42" applyNumberFormat="1" applyFont="1" applyFill="1" applyBorder="1" applyAlignment="1">
      <alignment horizontal="center" vertical="top"/>
    </xf>
    <xf numFmtId="0" fontId="80" fillId="26" borderId="0" xfId="0" applyFont="1" applyFill="1" applyAlignment="1">
      <alignment vertical="center"/>
    </xf>
    <xf numFmtId="183" fontId="76" fillId="38" borderId="0" xfId="80" applyNumberFormat="1" applyFill="1" applyBorder="1" applyAlignment="1">
      <alignment horizontal="left" wrapText="1"/>
    </xf>
    <xf numFmtId="166" fontId="86" fillId="26" borderId="0" xfId="77" applyNumberFormat="1" applyAlignment="1">
      <alignment horizontal="center"/>
    </xf>
    <xf numFmtId="183" fontId="76" fillId="25" borderId="0" xfId="80" applyNumberFormat="1" applyBorder="1" applyAlignment="1">
      <alignment horizontal="center" vertical="center" wrapText="1"/>
    </xf>
    <xf numFmtId="166" fontId="76" fillId="25" borderId="0" xfId="80" applyNumberFormat="1" applyBorder="1" applyAlignment="1">
      <alignment horizontal="center" vertical="center" wrapText="1"/>
    </xf>
    <xf numFmtId="0" fontId="76" fillId="25" borderId="18" xfId="80" applyBorder="1" applyAlignment="1">
      <alignment horizontal="centerContinuous"/>
    </xf>
    <xf numFmtId="0" fontId="76" fillId="25" borderId="22" xfId="80" applyBorder="1" applyAlignment="1">
      <alignment horizontal="centerContinuous"/>
    </xf>
    <xf numFmtId="183" fontId="76" fillId="25" borderId="22" xfId="80" applyNumberFormat="1" applyBorder="1" applyAlignment="1">
      <alignment horizontal="center" vertical="center" wrapText="1"/>
    </xf>
    <xf numFmtId="0" fontId="76" fillId="25" borderId="22" xfId="80" quotePrefix="1" applyBorder="1" applyAlignment="1">
      <alignment horizontal="centerContinuous"/>
    </xf>
    <xf numFmtId="0" fontId="67" fillId="0" borderId="15" xfId="0" applyFont="1" applyBorder="1" applyAlignment="1">
      <alignment vertical="center" wrapText="1"/>
    </xf>
    <xf numFmtId="173" fontId="68" fillId="0" borderId="15" xfId="40" applyNumberFormat="1" applyFont="1" applyFill="1" applyBorder="1" applyAlignment="1">
      <alignment horizontal="right" vertical="center" wrapText="1"/>
    </xf>
    <xf numFmtId="173" fontId="67" fillId="0" borderId="15" xfId="40" applyNumberFormat="1" applyFont="1" applyFill="1" applyBorder="1" applyAlignment="1">
      <alignment horizontal="right" vertical="center" wrapText="1"/>
    </xf>
    <xf numFmtId="173" fontId="75" fillId="0" borderId="15" xfId="40" applyNumberFormat="1" applyFont="1" applyFill="1" applyBorder="1" applyAlignment="1">
      <alignment horizontal="center" vertical="center" wrapText="1"/>
    </xf>
    <xf numFmtId="0" fontId="68" fillId="0" borderId="15" xfId="0" applyFont="1" applyBorder="1" applyAlignment="1">
      <alignment horizontal="left" vertical="center" wrapText="1" indent="2"/>
    </xf>
    <xf numFmtId="178" fontId="68" fillId="0" borderId="15" xfId="40" applyNumberFormat="1" applyFont="1" applyFill="1" applyBorder="1" applyAlignment="1">
      <alignment horizontal="center" vertical="center" wrapText="1"/>
    </xf>
    <xf numFmtId="178" fontId="67" fillId="0" borderId="15" xfId="40" applyNumberFormat="1" applyFont="1" applyFill="1" applyBorder="1" applyAlignment="1">
      <alignment horizontal="center" vertical="center" wrapText="1"/>
    </xf>
    <xf numFmtId="176" fontId="68" fillId="0" borderId="15" xfId="40" applyNumberFormat="1" applyFont="1" applyFill="1" applyBorder="1" applyAlignment="1">
      <alignment horizontal="center" vertical="center" wrapText="1"/>
    </xf>
    <xf numFmtId="0" fontId="68" fillId="0" borderId="15" xfId="0" applyFont="1" applyBorder="1" applyAlignment="1">
      <alignment horizontal="left" vertical="center" wrapText="1" indent="4"/>
    </xf>
    <xf numFmtId="181" fontId="68" fillId="0" borderId="15" xfId="0" applyNumberFormat="1" applyFont="1" applyBorder="1" applyAlignment="1">
      <alignment horizontal="left" vertical="center" wrapText="1" indent="2"/>
    </xf>
    <xf numFmtId="6" fontId="69" fillId="23" borderId="15" xfId="78" applyNumberFormat="1" applyFont="1" applyFill="1" applyBorder="1" applyAlignment="1">
      <alignment horizontal="center"/>
    </xf>
    <xf numFmtId="0" fontId="69" fillId="0" borderId="15" xfId="0" applyFont="1" applyBorder="1" applyAlignment="1">
      <alignment horizontal="left" wrapText="1"/>
    </xf>
    <xf numFmtId="0" fontId="69" fillId="0" borderId="15" xfId="30" applyFont="1" applyBorder="1"/>
    <xf numFmtId="0" fontId="76" fillId="25" borderId="21" xfId="80" applyBorder="1" applyAlignment="1">
      <alignment horizontal="centerContinuous" vertical="center" wrapText="1"/>
    </xf>
    <xf numFmtId="0" fontId="76" fillId="25" borderId="18" xfId="80" applyBorder="1" applyAlignment="1">
      <alignment horizontal="centerContinuous" vertical="center" wrapText="1"/>
    </xf>
    <xf numFmtId="0" fontId="76" fillId="25" borderId="22" xfId="80" applyBorder="1" applyAlignment="1">
      <alignment horizontal="centerContinuous" vertical="center" wrapText="1"/>
    </xf>
    <xf numFmtId="0" fontId="76" fillId="25" borderId="0" xfId="80" applyAlignment="1"/>
    <xf numFmtId="178" fontId="69" fillId="17" borderId="15" xfId="78" applyNumberFormat="1" applyFont="1" applyBorder="1" applyAlignment="1">
      <alignment horizontal="center"/>
    </xf>
    <xf numFmtId="0" fontId="69" fillId="17" borderId="15" xfId="78" applyNumberFormat="1" applyFont="1" applyBorder="1" applyAlignment="1">
      <alignment horizontal="left"/>
    </xf>
    <xf numFmtId="0" fontId="88" fillId="0" borderId="0" xfId="57" applyFill="1"/>
    <xf numFmtId="17" fontId="76" fillId="25" borderId="0" xfId="80" applyNumberFormat="1" applyBorder="1" applyAlignment="1">
      <alignment vertical="center" wrapText="1"/>
    </xf>
    <xf numFmtId="0" fontId="76" fillId="38" borderId="0" xfId="80" applyFill="1" applyBorder="1" applyAlignment="1">
      <alignment wrapText="1"/>
    </xf>
    <xf numFmtId="175" fontId="68" fillId="0" borderId="15" xfId="40" applyNumberFormat="1" applyFont="1" applyFill="1" applyBorder="1" applyAlignment="1">
      <alignment horizontal="left" vertical="center"/>
    </xf>
    <xf numFmtId="177" fontId="68" fillId="0" borderId="15" xfId="40" applyNumberFormat="1" applyFont="1" applyFill="1" applyBorder="1" applyAlignment="1">
      <alignment horizontal="left" vertical="center"/>
    </xf>
    <xf numFmtId="168" fontId="67" fillId="0" borderId="0" xfId="37" applyNumberFormat="1" applyFont="1" applyFill="1" applyAlignment="1">
      <alignment horizontal="left" vertical="center"/>
    </xf>
    <xf numFmtId="9" fontId="0" fillId="0" borderId="0" xfId="37" applyFont="1" applyAlignment="1"/>
    <xf numFmtId="175" fontId="67" fillId="0" borderId="15" xfId="40" applyNumberFormat="1" applyFont="1" applyFill="1" applyBorder="1" applyAlignment="1">
      <alignment horizontal="left" vertical="center"/>
    </xf>
    <xf numFmtId="177" fontId="67" fillId="0" borderId="15" xfId="40" applyNumberFormat="1" applyFont="1" applyFill="1" applyBorder="1" applyAlignment="1">
      <alignment horizontal="left" vertical="center"/>
    </xf>
    <xf numFmtId="2" fontId="67" fillId="0" borderId="0" xfId="0" applyNumberFormat="1" applyFont="1" applyAlignment="1">
      <alignment horizontal="left" vertical="center"/>
    </xf>
    <xf numFmtId="2" fontId="68" fillId="0" borderId="0" xfId="40" applyNumberFormat="1" applyFont="1" applyBorder="1" applyAlignment="1">
      <alignment horizontal="left" vertical="center"/>
    </xf>
    <xf numFmtId="0" fontId="54" fillId="26" borderId="0" xfId="0" applyFont="1" applyFill="1" applyAlignment="1">
      <alignment horizontal="center" vertical="top"/>
    </xf>
    <xf numFmtId="0" fontId="79" fillId="0" borderId="0" xfId="0" applyFont="1" applyAlignment="1">
      <alignment vertical="center"/>
    </xf>
    <xf numFmtId="0" fontId="77" fillId="0" borderId="0" xfId="0" applyFont="1" applyAlignment="1">
      <alignment vertical="center"/>
    </xf>
    <xf numFmtId="0" fontId="78" fillId="0" borderId="0" xfId="0" applyFont="1" applyAlignment="1">
      <alignment vertical="center"/>
    </xf>
    <xf numFmtId="0" fontId="54" fillId="0" borderId="0" xfId="0" applyFont="1" applyAlignment="1">
      <alignment vertical="top"/>
    </xf>
    <xf numFmtId="0" fontId="80" fillId="0" borderId="0" xfId="0" applyFont="1" applyAlignment="1">
      <alignment vertical="center"/>
    </xf>
    <xf numFmtId="181" fontId="69" fillId="0" borderId="15" xfId="78" applyNumberFormat="1" applyFont="1" applyFill="1" applyBorder="1" applyAlignment="1">
      <alignment wrapText="1"/>
    </xf>
    <xf numFmtId="181" fontId="69" fillId="0" borderId="15" xfId="78" applyNumberFormat="1" applyFont="1" applyFill="1" applyBorder="1" applyAlignment="1"/>
    <xf numFmtId="169" fontId="69" fillId="0" borderId="15" xfId="78" applyNumberFormat="1" applyFont="1" applyFill="1" applyBorder="1" applyAlignment="1"/>
    <xf numFmtId="181" fontId="76" fillId="0" borderId="15" xfId="78" applyNumberFormat="1" applyFont="1" applyFill="1" applyBorder="1" applyAlignment="1"/>
    <xf numFmtId="169" fontId="76" fillId="0" borderId="15" xfId="78" applyNumberFormat="1" applyFont="1" applyFill="1" applyBorder="1" applyAlignment="1"/>
    <xf numFmtId="0" fontId="86" fillId="26" borderId="0" xfId="77" applyNumberFormat="1" applyBorder="1" applyAlignment="1">
      <alignment horizontal="left" vertical="center" wrapText="1"/>
    </xf>
    <xf numFmtId="2" fontId="86" fillId="26" borderId="0" xfId="77" applyNumberFormat="1" applyBorder="1" applyAlignment="1">
      <alignment horizontal="left" vertical="center" wrapText="1"/>
    </xf>
    <xf numFmtId="175" fontId="76" fillId="25" borderId="0" xfId="80" applyNumberFormat="1" applyBorder="1" applyAlignment="1">
      <alignment vertical="center" wrapText="1"/>
    </xf>
    <xf numFmtId="9" fontId="69" fillId="23" borderId="15" xfId="78" applyNumberFormat="1" applyFont="1" applyFill="1" applyBorder="1" applyAlignment="1">
      <alignment horizontal="center"/>
    </xf>
    <xf numFmtId="184" fontId="69" fillId="0" borderId="15" xfId="42" applyNumberFormat="1" applyFont="1" applyFill="1" applyBorder="1"/>
    <xf numFmtId="169" fontId="76" fillId="27" borderId="15" xfId="42" applyNumberFormat="1" applyFont="1" applyFill="1" applyBorder="1" applyAlignment="1">
      <alignment horizontal="center" vertical="center" wrapText="1"/>
    </xf>
    <xf numFmtId="43" fontId="69" fillId="0" borderId="15" xfId="54" applyFont="1" applyFill="1" applyBorder="1" applyAlignment="1">
      <alignment horizontal="center"/>
    </xf>
    <xf numFmtId="178" fontId="69" fillId="23" borderId="15" xfId="78" applyNumberFormat="1" applyFont="1" applyFill="1" applyBorder="1" applyAlignment="1">
      <alignment horizontal="center"/>
    </xf>
    <xf numFmtId="169" fontId="68" fillId="0" borderId="0" xfId="40" applyNumberFormat="1" applyFont="1" applyFill="1" applyBorder="1" applyAlignment="1">
      <alignment horizontal="right" vertical="center"/>
    </xf>
    <xf numFmtId="0" fontId="86" fillId="0" borderId="0" xfId="77" applyFill="1" applyAlignment="1">
      <alignment vertical="center"/>
    </xf>
    <xf numFmtId="0" fontId="89" fillId="0" borderId="0" xfId="57" applyFont="1" applyFill="1" applyAlignment="1">
      <alignment vertical="center"/>
    </xf>
    <xf numFmtId="181" fontId="86" fillId="26" borderId="0" xfId="77" applyNumberFormat="1" applyAlignment="1"/>
    <xf numFmtId="0" fontId="50" fillId="0" borderId="0" xfId="0" applyFont="1" applyAlignment="1">
      <alignment vertical="center"/>
    </xf>
    <xf numFmtId="0" fontId="51" fillId="0" borderId="0" xfId="0" applyFont="1" applyAlignment="1">
      <alignment vertical="top"/>
    </xf>
    <xf numFmtId="169" fontId="32" fillId="23" borderId="15" xfId="42" applyNumberFormat="1" applyFont="1" applyFill="1" applyBorder="1" applyAlignment="1">
      <alignment horizontal="center"/>
    </xf>
    <xf numFmtId="0" fontId="76" fillId="25" borderId="0" xfId="80" quotePrefix="1" applyBorder="1" applyAlignment="1">
      <alignment horizontal="centerContinuous"/>
    </xf>
    <xf numFmtId="183" fontId="76" fillId="25" borderId="14" xfId="80" applyNumberFormat="1" applyBorder="1" applyAlignment="1">
      <alignment horizontal="left" wrapText="1"/>
    </xf>
    <xf numFmtId="169" fontId="32" fillId="23" borderId="15" xfId="42" applyNumberFormat="1" applyFont="1" applyFill="1" applyBorder="1" applyAlignment="1">
      <alignment horizontal="center" vertical="center"/>
    </xf>
    <xf numFmtId="17" fontId="76" fillId="38" borderId="0" xfId="80" applyNumberFormat="1" applyFill="1" applyBorder="1" applyAlignment="1">
      <alignment vertical="center" wrapText="1"/>
    </xf>
    <xf numFmtId="185" fontId="54" fillId="0" borderId="15" xfId="78" applyNumberFormat="1" applyFont="1" applyFill="1" applyBorder="1" applyAlignment="1" applyProtection="1">
      <alignment horizontal="center" vertical="center"/>
      <protection locked="0"/>
    </xf>
    <xf numFmtId="14" fontId="69" fillId="23" borderId="15" xfId="78" applyNumberFormat="1" applyFont="1" applyFill="1" applyBorder="1" applyAlignment="1">
      <alignment horizontal="center"/>
    </xf>
    <xf numFmtId="181" fontId="76" fillId="0" borderId="0" xfId="78" applyNumberFormat="1" applyFont="1" applyFill="1" applyBorder="1" applyAlignment="1"/>
    <xf numFmtId="169" fontId="76" fillId="0" borderId="0" xfId="78" applyNumberFormat="1" applyFont="1" applyFill="1" applyBorder="1" applyAlignment="1"/>
    <xf numFmtId="0" fontId="41" fillId="0" borderId="0" xfId="17" applyAlignment="1">
      <alignment horizontal="left" vertical="center" wrapText="1"/>
    </xf>
    <xf numFmtId="169" fontId="68" fillId="23" borderId="15" xfId="78" applyNumberFormat="1" applyFont="1" applyFill="1" applyBorder="1" applyAlignment="1">
      <alignment horizontal="center" vertical="center" wrapText="1"/>
    </xf>
    <xf numFmtId="0" fontId="67" fillId="0" borderId="0" xfId="0" applyFont="1" applyAlignment="1">
      <alignment vertical="center" wrapText="1"/>
    </xf>
    <xf numFmtId="181" fontId="68" fillId="0" borderId="0" xfId="0" applyNumberFormat="1" applyFont="1" applyAlignment="1">
      <alignment horizontal="left" vertical="center" wrapText="1" indent="2"/>
    </xf>
    <xf numFmtId="182" fontId="69" fillId="23" borderId="15" xfId="78" applyNumberFormat="1" applyFont="1" applyFill="1" applyBorder="1" applyAlignment="1"/>
    <xf numFmtId="6" fontId="69" fillId="0" borderId="15" xfId="78" applyNumberFormat="1" applyFont="1" applyFill="1" applyBorder="1" applyAlignment="1">
      <alignment horizontal="center"/>
    </xf>
    <xf numFmtId="180" fontId="69" fillId="17" borderId="15" xfId="0" applyNumberFormat="1" applyFont="1" applyFill="1" applyBorder="1" applyAlignment="1">
      <alignment horizontal="center"/>
    </xf>
    <xf numFmtId="187" fontId="0" fillId="0" borderId="0" xfId="0" applyNumberFormat="1"/>
    <xf numFmtId="170" fontId="69" fillId="0" borderId="15" xfId="0" applyNumberFormat="1" applyFont="1" applyBorder="1" applyAlignment="1">
      <alignment horizontal="center"/>
    </xf>
    <xf numFmtId="173" fontId="68" fillId="0" borderId="17" xfId="40" applyNumberFormat="1" applyFont="1" applyFill="1" applyBorder="1" applyAlignment="1">
      <alignment horizontal="right" vertical="center" wrapText="1"/>
    </xf>
    <xf numFmtId="178" fontId="68" fillId="0" borderId="17" xfId="40" applyNumberFormat="1" applyFont="1" applyFill="1" applyBorder="1" applyAlignment="1">
      <alignment horizontal="center" vertical="center" wrapText="1"/>
    </xf>
    <xf numFmtId="178" fontId="67" fillId="0" borderId="17" xfId="40" applyNumberFormat="1" applyFont="1" applyFill="1" applyBorder="1" applyAlignment="1">
      <alignment horizontal="center" vertical="center" wrapText="1"/>
    </xf>
    <xf numFmtId="173" fontId="68" fillId="0" borderId="23" xfId="40" applyNumberFormat="1" applyFont="1" applyFill="1" applyBorder="1" applyAlignment="1">
      <alignment horizontal="right" vertical="center" wrapText="1"/>
    </xf>
    <xf numFmtId="178" fontId="68" fillId="0" borderId="23" xfId="40" applyNumberFormat="1" applyFont="1" applyFill="1" applyBorder="1" applyAlignment="1">
      <alignment horizontal="center" vertical="center" wrapText="1"/>
    </xf>
    <xf numFmtId="178" fontId="67" fillId="0" borderId="23" xfId="40" applyNumberFormat="1" applyFont="1" applyFill="1" applyBorder="1" applyAlignment="1">
      <alignment horizontal="center" vertical="center" wrapText="1"/>
    </xf>
    <xf numFmtId="183" fontId="76" fillId="25" borderId="14" xfId="80" applyNumberFormat="1" applyBorder="1" applyAlignment="1">
      <alignment horizontal="center" wrapText="1"/>
    </xf>
    <xf numFmtId="2" fontId="86" fillId="26" borderId="0" xfId="77" applyNumberFormat="1" applyAlignment="1">
      <alignment vertical="center"/>
    </xf>
    <xf numFmtId="2" fontId="69" fillId="0" borderId="0" xfId="30" applyNumberFormat="1" applyFont="1"/>
    <xf numFmtId="0" fontId="69" fillId="23" borderId="15" xfId="78" applyNumberFormat="1" applyFont="1" applyFill="1" applyBorder="1" applyAlignment="1">
      <alignment horizontal="left"/>
    </xf>
    <xf numFmtId="2" fontId="69" fillId="0" borderId="0" xfId="0" applyNumberFormat="1" applyFont="1"/>
    <xf numFmtId="181" fontId="69" fillId="23" borderId="15" xfId="78" applyNumberFormat="1" applyFont="1" applyFill="1" applyBorder="1"/>
    <xf numFmtId="177" fontId="69" fillId="23" borderId="15" xfId="78" applyNumberFormat="1" applyFont="1" applyFill="1" applyBorder="1"/>
    <xf numFmtId="169" fontId="69" fillId="23" borderId="15" xfId="78" applyNumberFormat="1" applyFont="1" applyFill="1" applyBorder="1"/>
    <xf numFmtId="178" fontId="69" fillId="23" borderId="15" xfId="78" applyNumberFormat="1" applyFont="1" applyFill="1" applyBorder="1" applyAlignment="1">
      <alignment horizontal="left"/>
    </xf>
    <xf numFmtId="178" fontId="69" fillId="0" borderId="15" xfId="0" applyNumberFormat="1" applyFont="1" applyBorder="1"/>
    <xf numFmtId="14" fontId="69" fillId="0" borderId="15" xfId="30" applyNumberFormat="1" applyFont="1" applyBorder="1"/>
    <xf numFmtId="0" fontId="69" fillId="17" borderId="15" xfId="30" applyFont="1" applyFill="1" applyBorder="1" applyAlignment="1">
      <alignment horizontal="center"/>
    </xf>
    <xf numFmtId="171" fontId="54" fillId="17" borderId="15" xfId="78" applyNumberFormat="1" applyFont="1" applyBorder="1" applyAlignment="1" applyProtection="1">
      <alignment horizontal="center" vertical="center"/>
      <protection locked="0"/>
    </xf>
    <xf numFmtId="0" fontId="2" fillId="0" borderId="0" xfId="98"/>
    <xf numFmtId="0" fontId="2" fillId="0" borderId="0" xfId="99"/>
    <xf numFmtId="180" fontId="69" fillId="23" borderId="15" xfId="0" applyNumberFormat="1" applyFont="1" applyFill="1" applyBorder="1" applyAlignment="1">
      <alignment horizontal="center"/>
    </xf>
    <xf numFmtId="43" fontId="69" fillId="0" borderId="0" xfId="0" applyNumberFormat="1" applyFont="1" applyAlignment="1">
      <alignment horizontal="center"/>
    </xf>
    <xf numFmtId="0" fontId="69" fillId="23" borderId="15" xfId="78" applyNumberFormat="1" applyFont="1" applyFill="1" applyBorder="1" applyAlignment="1">
      <alignment horizontal="center"/>
    </xf>
    <xf numFmtId="0" fontId="1" fillId="0" borderId="0" xfId="103"/>
    <xf numFmtId="186" fontId="0" fillId="0" borderId="0" xfId="104" applyNumberFormat="1" applyFont="1"/>
    <xf numFmtId="0" fontId="1" fillId="0" borderId="19" xfId="103" applyBorder="1"/>
    <xf numFmtId="0" fontId="69" fillId="17" borderId="15" xfId="30" applyFont="1" applyFill="1" applyBorder="1" applyAlignment="1">
      <alignment horizontal="center" wrapText="1"/>
    </xf>
    <xf numFmtId="0" fontId="69" fillId="17" borderId="15" xfId="30" applyFont="1" applyFill="1" applyBorder="1" applyAlignment="1">
      <alignment wrapText="1"/>
    </xf>
    <xf numFmtId="0" fontId="76" fillId="25" borderId="0" xfId="80" applyBorder="1" applyAlignment="1">
      <alignment horizontal="right" vertical="center" wrapText="1"/>
    </xf>
    <xf numFmtId="178" fontId="69" fillId="23" borderId="15" xfId="78" applyNumberFormat="1" applyFont="1" applyFill="1" applyBorder="1"/>
    <xf numFmtId="178" fontId="76" fillId="0" borderId="15" xfId="78" applyNumberFormat="1" applyFont="1" applyFill="1" applyBorder="1"/>
    <xf numFmtId="178" fontId="69" fillId="0" borderId="15" xfId="78" applyNumberFormat="1" applyFont="1" applyFill="1" applyBorder="1"/>
    <xf numFmtId="169" fontId="76" fillId="0" borderId="15" xfId="78" applyNumberFormat="1" applyFont="1" applyFill="1" applyBorder="1"/>
    <xf numFmtId="0" fontId="76" fillId="25" borderId="0" xfId="80" applyBorder="1" applyAlignment="1">
      <alignment horizontal="left" vertical="center" wrapText="1"/>
    </xf>
    <xf numFmtId="188" fontId="69" fillId="23" borderId="15" xfId="78" applyNumberFormat="1" applyFont="1" applyFill="1" applyBorder="1"/>
    <xf numFmtId="169" fontId="69" fillId="17" borderId="15" xfId="78" applyNumberFormat="1" applyFont="1" applyBorder="1"/>
    <xf numFmtId="0" fontId="76" fillId="25" borderId="0" xfId="80" applyBorder="1" applyAlignment="1">
      <alignment horizontal="centerContinuous" vertical="center" wrapText="1"/>
    </xf>
    <xf numFmtId="186" fontId="0" fillId="0" borderId="0" xfId="104" applyNumberFormat="1" applyFont="1" applyFill="1"/>
    <xf numFmtId="0" fontId="1" fillId="0" borderId="0" xfId="0" applyFont="1"/>
    <xf numFmtId="0" fontId="1" fillId="0" borderId="0" xfId="0" applyFont="1" applyAlignment="1">
      <alignment vertical="top"/>
    </xf>
    <xf numFmtId="0" fontId="1" fillId="16" borderId="13" xfId="0" applyFont="1" applyFill="1" applyBorder="1" applyAlignment="1">
      <alignment vertical="top"/>
    </xf>
    <xf numFmtId="0" fontId="1" fillId="16" borderId="13" xfId="0" applyFont="1" applyFill="1" applyBorder="1" applyAlignment="1">
      <alignment vertical="top" wrapText="1"/>
    </xf>
    <xf numFmtId="0" fontId="1" fillId="2" borderId="0" xfId="0" applyFont="1" applyFill="1"/>
    <xf numFmtId="181" fontId="90" fillId="39" borderId="15" xfId="78" applyNumberFormat="1" applyFont="1" applyFill="1" applyBorder="1"/>
    <xf numFmtId="0" fontId="76" fillId="25" borderId="0" xfId="80" applyBorder="1" applyAlignment="1">
      <alignment horizontal="centerContinuous"/>
    </xf>
  </cellXfs>
  <cellStyles count="111">
    <cellStyle name="_Blank" xfId="81" xr:uid="{1E4C3670-8104-4159-B61A-E4D5F1218712}"/>
    <cellStyle name="_Formula" xfId="79" xr:uid="{D1F4C816-A065-4136-99C8-9A255B039FE2}"/>
    <cellStyle name="_Header" xfId="77" xr:uid="{923E69B8-E737-403B-AE8A-3D4D6C7AD9CA}"/>
    <cellStyle name="_Header2" xfId="80" xr:uid="{A5CCD504-B19D-4177-9761-C7DF6A60E4A2}"/>
    <cellStyle name="_Input" xfId="78" xr:uid="{7505BBFB-2D19-4137-909E-142FA3C2FEDD}"/>
    <cellStyle name="20% - Accent1" xfId="57" builtinId="30" customBuiltin="1"/>
    <cellStyle name="20% - Accent1 2" xfId="85" xr:uid="{ED62A03A-9417-4EF4-B977-81F27620CBEE}"/>
    <cellStyle name="20% - Accent1 3" xfId="93" xr:uid="{215AF620-14F0-4A36-A9CE-9FBE1CEB18BE}"/>
    <cellStyle name="20% - Accent1 4" xfId="102" xr:uid="{63F76AC1-6212-417F-94C1-65B8E04D0BA5}"/>
    <cellStyle name="20% - Accent2 2" xfId="92" xr:uid="{9D1A646E-39F8-4DFB-86F8-9B41E8C88773}"/>
    <cellStyle name="20% - Accent2 3" xfId="108" xr:uid="{3DFAA338-9972-4B34-9ABF-BAD7BC7689D2}"/>
    <cellStyle name="20% - Accent3 2" xfId="95" xr:uid="{D62E20F7-9326-482B-9D1D-31F528956DCB}"/>
    <cellStyle name="20% - Accent3 3" xfId="110" xr:uid="{F6C7C138-1F69-4E29-8ED8-5F06DE61B560}"/>
    <cellStyle name="40% - Accent5 2" xfId="88" xr:uid="{89B8E32E-2C1E-45FA-98AD-A1622365469E}"/>
    <cellStyle name="60% - Accent2 2" xfId="91" xr:uid="{1712FAD4-E92D-4A36-B2A5-67FE14DA51D4}"/>
    <cellStyle name="60% - Accent2 3" xfId="107" xr:uid="{5E82CC1C-8F74-4764-9B81-AB909F8E1236}"/>
    <cellStyle name="60% - Accent4 2" xfId="94" xr:uid="{EF937B68-0C0F-41BE-A7E3-564590B3AB62}"/>
    <cellStyle name="60% - Accent4 3" xfId="109" xr:uid="{6B8B2188-8265-4D0D-9161-254F9C4F90B6}"/>
    <cellStyle name="60% - Accent5 2" xfId="96" xr:uid="{275563E6-5066-4A4E-8281-25CB20C625A3}"/>
    <cellStyle name="60% - Accent5 3" xfId="106" xr:uid="{7F890A24-4418-4B6B-BD7C-B56AD68F9350}"/>
    <cellStyle name="60% - Accent6 2" xfId="87" xr:uid="{DBE5557B-B6BD-4223-AF36-AC92E72D2CCC}"/>
    <cellStyle name="Bad" xfId="4" builtinId="27" hidden="1"/>
    <cellStyle name="Calculation" xfId="8" builtinId="22" hidden="1"/>
    <cellStyle name="Category" xfId="14" xr:uid="{0B7BB563-C5A4-4F2F-B66E-098B032ACF88}"/>
    <cellStyle name="Check Cell" xfId="10" builtinId="23" hidden="1"/>
    <cellStyle name="Column_Heading_1" xfId="56" xr:uid="{AA4457E5-400A-4B1C-B156-57D53DE633A6}"/>
    <cellStyle name="Comma" xfId="54" builtinId="3"/>
    <cellStyle name="Comma 2" xfId="36" xr:uid="{18D71173-3C26-4738-9C33-9E55EB9D9CFD}"/>
    <cellStyle name="Comma 2 2" xfId="64" xr:uid="{33D46309-D4B0-4792-9CAF-5FECA8AD37CC}"/>
    <cellStyle name="Comma 3" xfId="73" xr:uid="{047CC792-B9BE-4E0E-A839-0317E005A656}"/>
    <cellStyle name="Comma 4" xfId="84" xr:uid="{62D14044-349F-4722-9C02-67E72D625E68}"/>
    <cellStyle name="Comma 5" xfId="90" xr:uid="{B16BA45D-A06D-49D2-9198-96EE68408D55}"/>
    <cellStyle name="Comma 6" xfId="100" xr:uid="{21DAA688-94D4-41E9-AA33-BFD79C0141AC}"/>
    <cellStyle name="Comma 7" xfId="104" xr:uid="{F188C15C-517D-432A-AD3B-F39127B8A230}"/>
    <cellStyle name="Currency" xfId="40" builtinId="4"/>
    <cellStyle name="Currency 10" xfId="101" xr:uid="{C3D479DA-FEC4-4FF0-B2F5-48ACD7F33729}"/>
    <cellStyle name="Currency 11" xfId="105" xr:uid="{B078E48D-E5AC-402C-BF9D-4CC5F8F9C43E}"/>
    <cellStyle name="Currency 2" xfId="31" xr:uid="{3CFE6C15-A80E-4EEB-8227-C49D954E45FB}"/>
    <cellStyle name="Currency 2 2" xfId="62" xr:uid="{FAC588F1-34D1-4FD3-BE32-0056F4B80FBE}"/>
    <cellStyle name="Currency 3" xfId="42" xr:uid="{54E7B952-C7A6-4B3C-B8A9-CD23B7F52A86}"/>
    <cellStyle name="Currency 3 2" xfId="69" xr:uid="{3E78F31E-A478-481F-AE90-EF001B70B570}"/>
    <cellStyle name="Currency 4" xfId="44" xr:uid="{D7A74B9E-B51B-4AE5-84AD-A24B05C54374}"/>
    <cellStyle name="Currency 4 2" xfId="71" xr:uid="{1ADBC74E-AF71-45C1-A438-50E392CC510C}"/>
    <cellStyle name="Currency 5" xfId="52" xr:uid="{42FA3767-15F4-45DA-8D83-41F5A2C2DDF8}"/>
    <cellStyle name="Currency 5 2" xfId="72" xr:uid="{702402E6-E4BA-4280-90E0-1D1289F60E68}"/>
    <cellStyle name="Currency 6" xfId="60" xr:uid="{60E66A13-93D1-4B47-832D-B273FD41DD64}"/>
    <cellStyle name="Currency 6 2" xfId="76" xr:uid="{0BC6F4F6-A553-4B96-9389-AA289F27F4C2}"/>
    <cellStyle name="Currency 7" xfId="67" xr:uid="{F16E3738-C513-4EF7-90EA-738FF2E01899}"/>
    <cellStyle name="Currency 8" xfId="83" xr:uid="{6A1DA5FD-1B14-4BE9-BEAB-E670127B14D0}"/>
    <cellStyle name="Currency 9" xfId="89" xr:uid="{94361381-61CB-4629-A715-24BA4328302B}"/>
    <cellStyle name="Explanatory Text" xfId="13" builtinId="53" hidden="1"/>
    <cellStyle name="Followed Hyperlink" xfId="2" builtinId="9" hidden="1"/>
    <cellStyle name="Followed Hyperlink" xfId="21" builtinId="9" customBuiltin="1"/>
    <cellStyle name="Formula change cell" xfId="19" xr:uid="{E49FE87C-DBC2-45C1-9FF9-667C9CDA2707}"/>
    <cellStyle name="Good" xfId="3" builtinId="26" hidden="1"/>
    <cellStyle name="Heading 1" xfId="23" builtinId="16" hidden="1" customBuiltin="1"/>
    <cellStyle name="Heading 2" xfId="24" builtinId="17" hidden="1"/>
    <cellStyle name="Heading 3" xfId="25" builtinId="18" hidden="1"/>
    <cellStyle name="Heading 4" xfId="26" builtinId="19" hidden="1"/>
    <cellStyle name="Heading 5" xfId="46" xr:uid="{12F0EDEA-E16E-4897-8623-E6CE90455F77}"/>
    <cellStyle name="Heading 5 Assumptions" xfId="50" xr:uid="{38F54B17-1B5D-4A83-B338-381A3E06A044}"/>
    <cellStyle name="Heading 5 Input" xfId="47" xr:uid="{54D46FF5-1E37-42EB-914F-83E9775403D2}"/>
    <cellStyle name="Hyperlink" xfId="1" builtinId="8" hidden="1"/>
    <cellStyle name="Hyperlink" xfId="17" builtinId="8" customBuiltin="1"/>
    <cellStyle name="Hyperlink 2" xfId="34" xr:uid="{FDC48550-BAEC-47C0-8F62-9F541CBE981E}"/>
    <cellStyle name="Input" xfId="6" builtinId="20" hidden="1"/>
    <cellStyle name="InputCell" xfId="18" xr:uid="{2D6EF06A-4E5E-418C-864D-73935DF5F533}"/>
    <cellStyle name="LineItem" xfId="16" xr:uid="{FD098ECF-44F1-4E9E-8541-48DF2E93B46C}"/>
    <cellStyle name="Linked Cell" xfId="9" builtinId="24" hidden="1"/>
    <cellStyle name="Main heading" xfId="28" xr:uid="{D26EDA8D-059C-4EA7-8387-D6D82099B44B}"/>
    <cellStyle name="Neutral" xfId="5" builtinId="28" hidden="1"/>
    <cellStyle name="Normal" xfId="0" builtinId="0" customBuiltin="1"/>
    <cellStyle name="Normal 10" xfId="82" xr:uid="{13F92BC6-2F3F-40FA-BC65-1CBBF609EC3A}"/>
    <cellStyle name="Normal 10 2" xfId="99" xr:uid="{399655C9-21B4-49EA-B01A-EF2762980AA9}"/>
    <cellStyle name="Normal 11" xfId="86" xr:uid="{509A4290-A44C-4E86-B9FD-43C6FE36D367}"/>
    <cellStyle name="Normal 12" xfId="98" xr:uid="{E6E123CC-4A70-4843-B733-48DD1C8B7F27}"/>
    <cellStyle name="Normal 13" xfId="103" xr:uid="{3EBB50E4-0FBD-47EB-8D9C-D3FE19057D96}"/>
    <cellStyle name="Normal 138" xfId="32" xr:uid="{8788608B-F3A1-433B-B4C4-BF922DBBEB5F}"/>
    <cellStyle name="Normal 2" xfId="30" xr:uid="{9CBE5C26-A0F3-4228-9963-AE4886319434}"/>
    <cellStyle name="Normal 2 2" xfId="61" xr:uid="{EEAF3DD8-97CD-45EB-96E7-1E9A2C123DC5}"/>
    <cellStyle name="Normal 3" xfId="38" xr:uid="{1355E7F9-334A-40A4-9679-C5BA79714863}"/>
    <cellStyle name="Normal 3 2" xfId="65" xr:uid="{F9411ABE-6328-4490-9AC8-AB075A26A5E6}"/>
    <cellStyle name="Normal 4" xfId="41" xr:uid="{CDDB5A59-2212-4A3C-87F7-11FCC4AED27E}"/>
    <cellStyle name="Normal 4 2" xfId="68" xr:uid="{E880DAB4-D0C8-4E74-BDB6-29412F70751F}"/>
    <cellStyle name="Normal 5" xfId="43" xr:uid="{AED121E5-36E4-4C3F-84FC-CE302AEFDFC5}"/>
    <cellStyle name="Normal 5 2" xfId="70" xr:uid="{DB57C4B7-0E9F-42A7-80CB-5F91958315BC}"/>
    <cellStyle name="Normal 6" xfId="45" xr:uid="{EBB54EAE-CB90-4380-9210-071304F6B9B4}"/>
    <cellStyle name="Normal 7" xfId="53" xr:uid="{38A24BAF-2EE4-421E-9E81-E29CEA4FEF82}"/>
    <cellStyle name="Normal 8" xfId="58" xr:uid="{B3B5FB9D-63BC-4B35-8744-1D56D39FA12C}"/>
    <cellStyle name="Normal 8 2" xfId="74" xr:uid="{40B1EDC1-0BFA-45CD-BE50-071512CB4F19}"/>
    <cellStyle name="Normal 9" xfId="59" xr:uid="{282B3706-BEF3-4EBC-B002-971DBB42EB7D}"/>
    <cellStyle name="Normal 9 2" xfId="75" xr:uid="{802F4F3A-FD04-41F9-A040-4F4425180316}"/>
    <cellStyle name="Note" xfId="12" builtinId="10" hidden="1"/>
    <cellStyle name="Note 2" xfId="97" xr:uid="{8A4C14C8-91FB-4E00-A1DC-3F6CA859AC8A}"/>
    <cellStyle name="Number" xfId="49" xr:uid="{4525072E-5C19-4282-B92B-81C5226E10B1}"/>
    <cellStyle name="Number Input" xfId="51" xr:uid="{616CA867-9654-4893-81A4-52762056A997}"/>
    <cellStyle name="Output" xfId="7" builtinId="21" hidden="1"/>
    <cellStyle name="Percent" xfId="37" builtinId="5"/>
    <cellStyle name="Percent 2" xfId="33" xr:uid="{69F9DA26-D7BA-49F7-96FA-28CA9A22BDB4}"/>
    <cellStyle name="Percent 3" xfId="35" xr:uid="{DEE130D4-93BE-4229-8D36-763D57594B54}"/>
    <cellStyle name="Percent 3 2" xfId="63" xr:uid="{C3D6D128-ADFD-41E6-83D9-205B0180947B}"/>
    <cellStyle name="Percent 4" xfId="39" xr:uid="{D3971510-F643-4714-86A2-C901BA458757}"/>
    <cellStyle name="Percent 4 2" xfId="66" xr:uid="{39244140-CBD1-47CA-9EB6-08777D6AB6B3}"/>
    <cellStyle name="Percent Assumptions" xfId="48" xr:uid="{EE636E1D-6400-418A-942E-9CBB8827929A}"/>
    <cellStyle name="Solver cell" xfId="20" xr:uid="{C903F9E8-9AA5-4CEB-BCE0-0AFE8624550D}"/>
    <cellStyle name="Subcategory" xfId="15" xr:uid="{911AE8DC-C55F-4732-9700-18C302F7EFA7}"/>
    <cellStyle name="Subheading" xfId="29" xr:uid="{86B8D6F9-798F-4906-90AC-49764B7673C0}"/>
    <cellStyle name="Title" xfId="22" builtinId="15" hidden="1"/>
    <cellStyle name="Total" xfId="27" builtinId="25" hidden="1"/>
    <cellStyle name="User_Input" xfId="55" xr:uid="{E26472A3-9A69-4F83-BA7C-9C5173362BC7}"/>
    <cellStyle name="Warning Text" xfId="11" builtinId="11" hidden="1"/>
  </cellStyles>
  <dxfs count="179">
    <dxf>
      <font>
        <color rgb="FF9C0006"/>
      </font>
    </dxf>
    <dxf>
      <font>
        <color rgb="FF006100"/>
      </font>
    </dxf>
    <dxf>
      <font>
        <color rgb="FF9C0006"/>
      </font>
    </dxf>
    <dxf>
      <fill>
        <patternFill>
          <bgColor rgb="FFBCD7E2"/>
        </patternFill>
      </fill>
    </dxf>
    <dxf>
      <font>
        <color rgb="FF006100"/>
      </font>
      <fill>
        <patternFill>
          <bgColor rgb="FFC6EFCE"/>
        </patternFill>
      </fill>
    </dxf>
    <dxf>
      <font>
        <color rgb="FF9C0006"/>
      </font>
      <fill>
        <patternFill>
          <bgColor rgb="FFFFC7CE"/>
        </patternFill>
      </fill>
    </dxf>
    <dxf>
      <font>
        <color rgb="FF006100"/>
      </font>
    </dxf>
    <dxf>
      <font>
        <color rgb="FF9C0006"/>
      </font>
    </dxf>
    <dxf>
      <fill>
        <patternFill>
          <bgColor rgb="FFBCD7E2"/>
        </patternFill>
      </fill>
    </dxf>
    <dxf>
      <font>
        <color rgb="FF006100"/>
      </font>
      <fill>
        <patternFill>
          <bgColor rgb="FFC6EFCE"/>
        </patternFill>
      </fill>
    </dxf>
    <dxf>
      <font>
        <color rgb="FF9C0006"/>
      </font>
      <fill>
        <patternFill>
          <bgColor rgb="FFFFC7CE"/>
        </patternFill>
      </fill>
    </dxf>
    <dxf>
      <font>
        <color rgb="FF006100"/>
      </font>
    </dxf>
    <dxf>
      <font>
        <color rgb="FF9C0006"/>
      </font>
    </dxf>
    <dxf>
      <font>
        <color rgb="FF006100"/>
      </font>
    </dxf>
    <dxf>
      <font>
        <color rgb="FF9C0006"/>
      </font>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ont>
        <color rgb="FF006100"/>
      </font>
    </dxf>
    <dxf>
      <font>
        <color rgb="FF9C0006"/>
      </font>
    </dxf>
    <dxf>
      <fill>
        <patternFill>
          <bgColor rgb="FFBCD7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ill>
        <patternFill>
          <bgColor rgb="FFBCD7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006100"/>
      </font>
      <fill>
        <patternFill>
          <bgColor rgb="FFC6EFCE"/>
        </patternFill>
      </fill>
    </dxf>
    <dxf>
      <fill>
        <patternFill>
          <bgColor rgb="FFBCD7E2"/>
        </patternFill>
      </fill>
    </dxf>
    <dxf>
      <font>
        <color rgb="FF9C0006"/>
      </font>
      <fill>
        <patternFill>
          <bgColor rgb="FFFFC7CE"/>
        </patternFill>
      </fill>
    </dxf>
    <dxf>
      <fill>
        <patternFill>
          <bgColor rgb="FFBCD7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9C0006"/>
      </font>
      <fill>
        <patternFill>
          <bgColor rgb="FFFFC7CE"/>
        </patternFill>
      </fill>
    </dxf>
    <dxf>
      <font>
        <color rgb="FF006100"/>
      </font>
      <fill>
        <patternFill>
          <bgColor rgb="FFC6EFCE"/>
        </patternFill>
      </fill>
    </dxf>
    <dxf>
      <fill>
        <patternFill>
          <bgColor rgb="FFBCD7E2"/>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ill>
        <patternFill>
          <bgColor rgb="FFDFEFAF"/>
        </patternFill>
      </fill>
    </dxf>
    <dxf>
      <fill>
        <patternFill>
          <bgColor rgb="FFBCD7E2"/>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BCD7E2"/>
        </patternFill>
      </fill>
    </dxf>
    <dxf>
      <font>
        <color rgb="FF006100"/>
      </font>
      <fill>
        <patternFill>
          <bgColor rgb="FFC6EFCE"/>
        </patternFill>
      </fill>
    </dxf>
    <dxf>
      <fill>
        <patternFill>
          <bgColor rgb="FFBCD7E2"/>
        </patternFill>
      </fill>
    </dxf>
    <dxf>
      <fill>
        <patternFill>
          <bgColor rgb="FFDFEFAF"/>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DFEFAF"/>
        </patternFill>
      </fill>
    </dxf>
    <dxf>
      <fill>
        <patternFill>
          <bgColor rgb="FFBCD7E2"/>
        </patternFill>
      </fill>
    </dxf>
    <dxf>
      <fill>
        <patternFill>
          <bgColor rgb="FFDFEFAF"/>
        </patternFill>
      </fill>
    </dxf>
    <dxf>
      <font>
        <color rgb="FF006100"/>
      </font>
      <fill>
        <patternFill>
          <bgColor rgb="FFC6EFCE"/>
        </patternFill>
      </fill>
    </dxf>
    <dxf>
      <font>
        <color rgb="FF9C0006"/>
      </font>
      <fill>
        <patternFill>
          <bgColor rgb="FFFFC7CE"/>
        </patternFill>
      </fill>
    </dxf>
    <dxf>
      <fill>
        <patternFill>
          <bgColor rgb="FFBCD7E2"/>
        </patternFill>
      </fill>
    </dxf>
    <dxf>
      <fill>
        <patternFill>
          <bgColor rgb="FFBCD7E2"/>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ill>
        <patternFill>
          <bgColor rgb="FFBCD7E2"/>
        </patternFill>
      </fill>
    </dxf>
    <dxf>
      <font>
        <color rgb="FF006100"/>
      </font>
      <fill>
        <patternFill>
          <bgColor rgb="FFC6EFCE"/>
        </patternFill>
      </fill>
    </dxf>
    <dxf>
      <font>
        <color rgb="FF9C0006"/>
      </font>
      <fill>
        <patternFill>
          <bgColor rgb="FFFFC7CE"/>
        </patternFill>
      </fill>
    </dxf>
    <dxf>
      <fill>
        <patternFill>
          <bgColor rgb="FFDFEFAF"/>
        </patternFill>
      </fill>
    </dxf>
    <dxf>
      <fill>
        <patternFill>
          <bgColor rgb="FFDFEFAF"/>
        </patternFill>
      </fill>
    </dxf>
    <dxf>
      <fill>
        <patternFill>
          <bgColor rgb="FFDFEFAF"/>
        </patternFill>
      </fill>
    </dxf>
    <dxf>
      <fill>
        <patternFill>
          <bgColor rgb="FFDFEFAF"/>
        </patternFill>
      </fill>
    </dxf>
    <dxf>
      <fill>
        <patternFill>
          <bgColor rgb="FFDFEFAF"/>
        </patternFill>
      </fill>
    </dxf>
    <dxf>
      <font>
        <b/>
        <i val="0"/>
        <color theme="0"/>
      </font>
      <fill>
        <patternFill>
          <bgColor theme="4"/>
        </patternFill>
      </fill>
    </dxf>
    <dxf>
      <border>
        <left style="thin">
          <color auto="1"/>
        </left>
        <right style="thin">
          <color auto="1"/>
        </right>
        <top style="thin">
          <color auto="1"/>
        </top>
        <bottom style="thin">
          <color auto="1"/>
        </bottom>
      </border>
    </dxf>
  </dxfs>
  <tableStyles count="1" defaultTableStyle="Table Style 1" defaultPivotStyle="PivotStyleLight16">
    <tableStyle name="Table Style 1" pivot="0" count="2" xr9:uid="{40DC8C16-070A-4096-8C31-BB2DC3A90D62}">
      <tableStyleElement type="wholeTable" dxfId="178"/>
      <tableStyleElement type="headerRow" dxfId="177"/>
    </tableStyle>
  </tableStyles>
  <colors>
    <mruColors>
      <color rgb="FF47A843"/>
      <color rgb="FF00B050"/>
      <color rgb="FFBFBFBF"/>
      <color rgb="FFE83F35"/>
      <color rgb="FFFFC7CE"/>
      <color rgb="FFFCC2E0"/>
      <color rgb="FF00A897"/>
      <color rgb="FFEB7E00"/>
      <color rgb="FF5E61AB"/>
      <color rgb="FFFBB2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Transgrid">
      <a:dk1>
        <a:sysClr val="windowText" lastClr="000000"/>
      </a:dk1>
      <a:lt1>
        <a:sysClr val="window" lastClr="FFFFFF"/>
      </a:lt1>
      <a:dk2>
        <a:srgbClr val="44546A"/>
      </a:dk2>
      <a:lt2>
        <a:srgbClr val="E7E6E6"/>
      </a:lt2>
      <a:accent1>
        <a:srgbClr val="47A843"/>
      </a:accent1>
      <a:accent2>
        <a:srgbClr val="B2D83A"/>
      </a:accent2>
      <a:accent3>
        <a:srgbClr val="042352"/>
      </a:accent3>
      <a:accent4>
        <a:srgbClr val="0066BE"/>
      </a:accent4>
      <a:accent5>
        <a:srgbClr val="4D3097"/>
      </a:accent5>
      <a:accent6>
        <a:srgbClr val="DF2A2A"/>
      </a:accent6>
      <a:hlink>
        <a:srgbClr val="0066BE"/>
      </a:hlink>
      <a:folHlink>
        <a:srgbClr val="A4CAB3"/>
      </a:folHlink>
    </a:clrScheme>
    <a:fontScheme name="FE">
      <a:majorFont>
        <a:latin typeface="Open Sans Light"/>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FE Red">
      <a:srgbClr val="E83F35"/>
    </a:custClr>
    <a:custClr name="Pine">
      <a:srgbClr val="00A897"/>
    </a:custClr>
    <a:custClr name="Forest">
      <a:srgbClr val="2B555A"/>
    </a:custClr>
    <a:custClr name="Deep blue">
      <a:srgbClr val="005F95"/>
    </a:custClr>
    <a:custClr name="Grey 3">
      <a:srgbClr val="6A7177"/>
    </a:custClr>
    <a:custClr name="Dark red">
      <a:srgbClr val="A10000"/>
    </a:custClr>
    <a:custClr name="Orange 1">
      <a:srgbClr val="EB7E00"/>
    </a:custClr>
    <a:custClr name="Orange 2">
      <a:srgbClr val="FBB216"/>
    </a:custClr>
    <a:custClr name="Purple">
      <a:srgbClr val="7261AB"/>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7E9B-C6E3-4920-8749-6489771F5FFC}">
  <sheetPr codeName="Sheet2">
    <tabColor theme="7"/>
    <pageSetUpPr autoPageBreaks="0"/>
  </sheetPr>
  <dimension ref="A1:Q71"/>
  <sheetViews>
    <sheetView showGridLines="0" tabSelected="1" zoomScaleNormal="100" workbookViewId="0"/>
  </sheetViews>
  <sheetFormatPr defaultColWidth="0" defaultRowHeight="16.5" x14ac:dyDescent="0.3"/>
  <cols>
    <col min="1" max="1" width="3.6640625" style="7" customWidth="1"/>
    <col min="2" max="2" width="10.6640625" style="7" customWidth="1"/>
    <col min="3" max="3" width="1.6640625" style="7" customWidth="1"/>
    <col min="4" max="4" width="27.109375" style="7" customWidth="1"/>
    <col min="5" max="5" width="113.44140625" style="7" customWidth="1"/>
    <col min="6" max="6" width="9.6640625" style="7" bestFit="1" customWidth="1"/>
    <col min="7" max="16" width="9.21875" style="7" customWidth="1"/>
    <col min="17" max="16384" width="0" style="7" hidden="1"/>
  </cols>
  <sheetData>
    <row r="1" spans="1:17" customFormat="1" ht="35.25" customHeight="1" x14ac:dyDescent="0.3">
      <c r="A1" s="29"/>
      <c r="B1" s="27" t="s">
        <v>0</v>
      </c>
      <c r="C1" s="2"/>
      <c r="D1" s="2"/>
      <c r="E1" s="30"/>
      <c r="F1" s="30"/>
      <c r="G1" s="29"/>
      <c r="H1" s="30"/>
      <c r="I1" s="30"/>
      <c r="J1" s="30"/>
      <c r="K1" s="30"/>
      <c r="L1" s="30"/>
      <c r="M1" s="30"/>
      <c r="N1" s="30"/>
      <c r="O1" s="30"/>
      <c r="P1" s="30"/>
      <c r="Q1" s="3"/>
    </row>
    <row r="2" spans="1:17" s="1" customFormat="1" ht="26.25" customHeight="1" x14ac:dyDescent="0.3">
      <c r="A2" s="31"/>
      <c r="B2" s="28" t="s">
        <v>1</v>
      </c>
      <c r="C2" s="5"/>
      <c r="D2" s="5"/>
      <c r="E2" s="31"/>
      <c r="F2" s="31"/>
      <c r="G2" s="31"/>
      <c r="H2" s="31"/>
      <c r="I2" s="31"/>
      <c r="J2" s="31"/>
      <c r="K2" s="31"/>
      <c r="L2" s="31"/>
      <c r="M2" s="31"/>
      <c r="N2" s="31"/>
      <c r="O2" s="31"/>
      <c r="P2" s="31"/>
      <c r="Q2" s="5"/>
    </row>
    <row r="4" spans="1:17" ht="27" x14ac:dyDescent="0.3">
      <c r="A4" s="281"/>
      <c r="B4" s="25" t="s">
        <v>2</v>
      </c>
      <c r="C4" s="9"/>
      <c r="D4" s="6"/>
      <c r="E4" s="6"/>
      <c r="F4" s="6"/>
      <c r="G4" s="6"/>
      <c r="H4" s="281"/>
      <c r="I4" s="281"/>
      <c r="J4" s="281"/>
      <c r="K4" s="281"/>
      <c r="L4" s="281"/>
      <c r="M4" s="281"/>
      <c r="N4" s="281"/>
      <c r="O4" s="281"/>
      <c r="P4" s="281"/>
      <c r="Q4" s="281"/>
    </row>
    <row r="5" spans="1:17" ht="10.35" customHeight="1" x14ac:dyDescent="0.3">
      <c r="A5" s="281"/>
      <c r="B5" s="4"/>
      <c r="C5" s="4"/>
      <c r="D5" s="4"/>
      <c r="E5" s="4"/>
      <c r="F5" s="4"/>
      <c r="G5" s="4"/>
      <c r="H5" s="281"/>
      <c r="I5" s="281"/>
      <c r="J5" s="281"/>
      <c r="K5" s="281"/>
      <c r="L5" s="281"/>
      <c r="M5" s="281"/>
      <c r="N5" s="281"/>
      <c r="O5" s="281"/>
      <c r="P5" s="281"/>
      <c r="Q5" s="281"/>
    </row>
    <row r="6" spans="1:17" x14ac:dyDescent="0.3">
      <c r="A6" s="281"/>
      <c r="B6" s="281" t="s">
        <v>3</v>
      </c>
      <c r="C6" s="4"/>
      <c r="D6" s="4"/>
      <c r="E6" s="4"/>
      <c r="F6" s="4"/>
      <c r="G6" s="4"/>
      <c r="H6" s="281"/>
      <c r="I6" s="281"/>
      <c r="J6" s="281"/>
      <c r="K6" s="281"/>
      <c r="L6" s="281"/>
      <c r="M6" s="281"/>
      <c r="N6" s="281"/>
      <c r="O6" s="281"/>
      <c r="P6" s="281"/>
      <c r="Q6" s="281"/>
    </row>
    <row r="7" spans="1:17" x14ac:dyDescent="0.3">
      <c r="A7" s="281"/>
      <c r="B7" s="281" t="s">
        <v>4</v>
      </c>
      <c r="C7" s="4"/>
      <c r="D7" s="4"/>
      <c r="E7" s="4"/>
      <c r="F7" s="4"/>
      <c r="G7" s="4"/>
      <c r="H7" s="281"/>
      <c r="I7" s="281"/>
      <c r="J7" s="281"/>
      <c r="K7" s="281"/>
      <c r="L7" s="281"/>
      <c r="M7" s="281"/>
      <c r="N7" s="281"/>
      <c r="O7" s="281"/>
      <c r="P7" s="281"/>
      <c r="Q7" s="281"/>
    </row>
    <row r="8" spans="1:17" x14ac:dyDescent="0.3">
      <c r="A8" s="281"/>
      <c r="B8" s="4"/>
      <c r="C8" s="4"/>
      <c r="D8" s="4"/>
      <c r="E8" s="4"/>
      <c r="F8" s="4"/>
      <c r="G8" s="4"/>
      <c r="H8" s="281"/>
      <c r="I8" s="281"/>
      <c r="J8" s="281"/>
      <c r="K8" s="281"/>
      <c r="L8" s="281"/>
      <c r="M8" s="281"/>
      <c r="N8" s="281"/>
      <c r="O8" s="281"/>
      <c r="P8" s="281"/>
      <c r="Q8" s="281"/>
    </row>
    <row r="9" spans="1:17" x14ac:dyDescent="0.3">
      <c r="A9" s="281"/>
      <c r="B9" s="24" t="s">
        <v>5</v>
      </c>
      <c r="C9" s="10"/>
      <c r="D9" s="4"/>
      <c r="E9" s="4"/>
      <c r="F9" s="4"/>
      <c r="G9" s="4"/>
      <c r="H9" s="281"/>
      <c r="I9" s="281"/>
      <c r="J9" s="281"/>
      <c r="K9" s="281"/>
      <c r="L9" s="281"/>
      <c r="M9" s="281"/>
      <c r="N9" s="281"/>
      <c r="O9" s="281"/>
      <c r="P9" s="281"/>
      <c r="Q9" s="281"/>
    </row>
    <row r="10" spans="1:17" ht="10.35" customHeight="1" x14ac:dyDescent="0.3">
      <c r="A10" s="281"/>
      <c r="B10" s="4"/>
      <c r="C10" s="4"/>
      <c r="D10" s="4"/>
      <c r="E10" s="4"/>
      <c r="F10" s="4"/>
      <c r="G10" s="4"/>
      <c r="H10" s="281"/>
      <c r="I10" s="281"/>
      <c r="J10" s="281"/>
      <c r="K10" s="281"/>
      <c r="L10" s="281"/>
      <c r="M10" s="281"/>
      <c r="N10" s="281"/>
      <c r="O10" s="281"/>
      <c r="P10" s="281"/>
      <c r="Q10" s="281"/>
    </row>
    <row r="11" spans="1:17" x14ac:dyDescent="0.3">
      <c r="A11" s="281"/>
      <c r="B11" s="11"/>
      <c r="C11" s="12"/>
      <c r="D11" s="281" t="s">
        <v>6</v>
      </c>
      <c r="E11" s="4"/>
      <c r="F11" s="4"/>
      <c r="G11" s="4"/>
      <c r="H11" s="281"/>
      <c r="I11" s="281"/>
      <c r="J11" s="281"/>
      <c r="K11" s="281"/>
      <c r="L11" s="281"/>
      <c r="M11" s="281"/>
      <c r="N11" s="281"/>
      <c r="O11" s="281"/>
      <c r="P11" s="281"/>
      <c r="Q11" s="281"/>
    </row>
    <row r="12" spans="1:17" x14ac:dyDescent="0.3">
      <c r="A12" s="281"/>
      <c r="B12" s="13"/>
      <c r="C12" s="4"/>
      <c r="D12" s="281" t="s">
        <v>7</v>
      </c>
      <c r="E12" s="4"/>
      <c r="F12" s="4"/>
      <c r="G12" s="4"/>
      <c r="H12" s="281"/>
      <c r="I12" s="281"/>
      <c r="J12" s="281"/>
      <c r="K12" s="281"/>
      <c r="L12" s="281"/>
      <c r="M12" s="281"/>
      <c r="N12" s="281"/>
      <c r="O12" s="281"/>
      <c r="P12" s="281"/>
      <c r="Q12" s="281"/>
    </row>
    <row r="13" spans="1:17" x14ac:dyDescent="0.3">
      <c r="A13" s="281"/>
      <c r="B13" s="14"/>
      <c r="C13" s="4"/>
      <c r="D13" s="281" t="s">
        <v>8</v>
      </c>
      <c r="E13" s="4"/>
      <c r="F13" s="4"/>
      <c r="G13" s="4"/>
      <c r="H13" s="281"/>
      <c r="I13" s="281"/>
      <c r="J13" s="281"/>
      <c r="K13" s="281"/>
      <c r="L13" s="281"/>
      <c r="M13" s="281"/>
      <c r="N13" s="281"/>
      <c r="O13" s="281"/>
      <c r="P13" s="281"/>
      <c r="Q13" s="281"/>
    </row>
    <row r="14" spans="1:17" x14ac:dyDescent="0.3">
      <c r="A14" s="281"/>
      <c r="B14" s="15"/>
      <c r="C14" s="4"/>
      <c r="D14" s="281" t="s">
        <v>9</v>
      </c>
      <c r="E14" s="4"/>
      <c r="F14" s="4"/>
      <c r="G14" s="4"/>
      <c r="H14" s="281"/>
      <c r="I14" s="281"/>
      <c r="J14" s="281"/>
      <c r="K14" s="281"/>
      <c r="L14" s="281"/>
      <c r="M14" s="281"/>
      <c r="N14" s="281"/>
      <c r="O14" s="281"/>
      <c r="P14" s="281"/>
      <c r="Q14" s="281"/>
    </row>
    <row r="15" spans="1:17" x14ac:dyDescent="0.3">
      <c r="A15" s="281"/>
      <c r="B15" s="16"/>
      <c r="C15" s="4"/>
      <c r="D15" s="281" t="s">
        <v>10</v>
      </c>
      <c r="E15" s="4"/>
      <c r="F15" s="4"/>
      <c r="G15" s="4"/>
      <c r="H15" s="281"/>
      <c r="I15" s="281"/>
      <c r="J15" s="281"/>
      <c r="K15" s="281"/>
      <c r="L15" s="281"/>
      <c r="M15" s="281"/>
      <c r="N15" s="281"/>
      <c r="O15" s="281"/>
      <c r="P15" s="281"/>
      <c r="Q15" s="281"/>
    </row>
    <row r="16" spans="1:17" x14ac:dyDescent="0.3">
      <c r="A16" s="281"/>
      <c r="B16" s="4"/>
      <c r="C16" s="4"/>
      <c r="D16" s="4"/>
      <c r="E16" s="4"/>
      <c r="F16" s="4"/>
      <c r="G16" s="4"/>
      <c r="H16" s="281"/>
      <c r="I16" s="281"/>
      <c r="J16" s="281"/>
      <c r="K16" s="281"/>
      <c r="L16" s="281"/>
      <c r="M16" s="281"/>
      <c r="N16" s="281"/>
      <c r="O16" s="281"/>
      <c r="P16" s="281"/>
      <c r="Q16" s="281"/>
    </row>
    <row r="17" spans="2:7" x14ac:dyDescent="0.3">
      <c r="B17" s="24" t="s">
        <v>11</v>
      </c>
      <c r="C17" s="10"/>
      <c r="D17" s="4"/>
      <c r="E17" s="4"/>
      <c r="F17" s="4"/>
      <c r="G17" s="4"/>
    </row>
    <row r="18" spans="2:7" ht="10.35" customHeight="1" x14ac:dyDescent="0.3">
      <c r="B18" s="4"/>
      <c r="C18" s="4"/>
      <c r="D18" s="4"/>
      <c r="E18" s="4"/>
      <c r="F18" s="4"/>
      <c r="G18" s="4"/>
    </row>
    <row r="19" spans="2:7" x14ac:dyDescent="0.3">
      <c r="B19" s="4"/>
      <c r="C19" s="4"/>
      <c r="D19" s="281" t="s">
        <v>12</v>
      </c>
      <c r="E19" s="4"/>
      <c r="F19" s="4"/>
      <c r="G19" s="4"/>
    </row>
    <row r="20" spans="2:7" x14ac:dyDescent="0.3">
      <c r="B20" s="21"/>
      <c r="C20" s="4"/>
      <c r="D20" s="281" t="s">
        <v>13</v>
      </c>
      <c r="E20" s="4"/>
      <c r="F20" s="4"/>
      <c r="G20" s="4"/>
    </row>
    <row r="21" spans="2:7" x14ac:dyDescent="0.3">
      <c r="B21" s="22"/>
      <c r="C21" s="4"/>
      <c r="D21" s="281" t="s">
        <v>14</v>
      </c>
      <c r="E21" s="4"/>
      <c r="F21" s="4"/>
      <c r="G21" s="4"/>
    </row>
    <row r="22" spans="2:7" x14ac:dyDescent="0.3">
      <c r="B22" s="23"/>
      <c r="C22" s="4"/>
      <c r="D22" s="281" t="s">
        <v>15</v>
      </c>
      <c r="E22" s="4"/>
      <c r="F22" s="4"/>
      <c r="G22" s="4"/>
    </row>
    <row r="23" spans="2:7" x14ac:dyDescent="0.3">
      <c r="B23" s="17"/>
      <c r="C23" s="4"/>
      <c r="D23" s="281" t="s">
        <v>16</v>
      </c>
      <c r="E23" s="4"/>
      <c r="F23" s="4"/>
      <c r="G23" s="4"/>
    </row>
    <row r="24" spans="2:7" x14ac:dyDescent="0.3">
      <c r="B24" s="18"/>
      <c r="C24" s="4"/>
      <c r="D24" s="281" t="s">
        <v>17</v>
      </c>
      <c r="E24" s="4"/>
      <c r="F24" s="4"/>
      <c r="G24" s="4"/>
    </row>
    <row r="25" spans="2:7" x14ac:dyDescent="0.3">
      <c r="B25" s="4"/>
      <c r="C25" s="4"/>
      <c r="D25" s="4"/>
      <c r="E25" s="4"/>
      <c r="F25" s="4"/>
      <c r="G25" s="4"/>
    </row>
    <row r="26" spans="2:7" ht="10.35" customHeight="1" x14ac:dyDescent="0.3">
      <c r="B26" s="8"/>
      <c r="C26" s="9"/>
      <c r="D26" s="4"/>
      <c r="E26" s="4"/>
      <c r="F26" s="4"/>
      <c r="G26" s="4"/>
    </row>
    <row r="27" spans="2:7" ht="31.5" customHeight="1" x14ac:dyDescent="0.3">
      <c r="B27" s="25" t="s">
        <v>18</v>
      </c>
      <c r="C27" s="19"/>
      <c r="D27" s="4"/>
      <c r="E27" s="4"/>
      <c r="F27" s="4"/>
      <c r="G27" s="4"/>
    </row>
    <row r="28" spans="2:7" ht="45.75" customHeight="1" x14ac:dyDescent="0.3">
      <c r="B28" s="55" t="s">
        <v>19</v>
      </c>
      <c r="C28" s="56"/>
      <c r="D28" s="57" t="s">
        <v>20</v>
      </c>
      <c r="E28" s="57" t="s">
        <v>21</v>
      </c>
      <c r="F28" s="282"/>
      <c r="G28" s="281"/>
    </row>
    <row r="29" spans="2:7" ht="63.75" customHeight="1" x14ac:dyDescent="0.3">
      <c r="B29" s="95"/>
      <c r="C29" s="95"/>
      <c r="D29" s="96" t="s">
        <v>22</v>
      </c>
      <c r="E29" s="97" t="s">
        <v>23</v>
      </c>
      <c r="F29" s="4"/>
      <c r="G29" s="4"/>
    </row>
    <row r="30" spans="2:7" ht="63.75" customHeight="1" x14ac:dyDescent="0.3">
      <c r="B30" s="98"/>
      <c r="C30" s="98"/>
      <c r="D30" s="99" t="s">
        <v>24</v>
      </c>
      <c r="E30" s="100" t="s">
        <v>25</v>
      </c>
      <c r="F30" s="4"/>
      <c r="G30" s="4"/>
    </row>
    <row r="31" spans="2:7" ht="69.75" customHeight="1" x14ac:dyDescent="0.3">
      <c r="B31" s="98"/>
      <c r="C31" s="98"/>
      <c r="D31" s="99" t="s">
        <v>26</v>
      </c>
      <c r="E31" s="100" t="s">
        <v>27</v>
      </c>
      <c r="F31" s="4"/>
      <c r="G31" s="4"/>
    </row>
    <row r="32" spans="2:7" ht="63.75" customHeight="1" x14ac:dyDescent="0.3">
      <c r="B32" s="98"/>
      <c r="C32" s="98"/>
      <c r="D32" s="99" t="s">
        <v>28</v>
      </c>
      <c r="E32" s="100" t="s">
        <v>29</v>
      </c>
      <c r="F32" s="4"/>
      <c r="G32" s="4"/>
    </row>
    <row r="33" spans="2:7" ht="63.75" customHeight="1" x14ac:dyDescent="0.3">
      <c r="B33" s="98"/>
      <c r="C33" s="98"/>
      <c r="D33" s="99" t="s">
        <v>30</v>
      </c>
      <c r="E33" s="100" t="s">
        <v>31</v>
      </c>
      <c r="F33" s="4"/>
      <c r="G33" s="4"/>
    </row>
    <row r="34" spans="2:7" ht="63.75" customHeight="1" x14ac:dyDescent="0.3">
      <c r="B34" s="98"/>
      <c r="C34" s="98"/>
      <c r="D34" s="99" t="s">
        <v>32</v>
      </c>
      <c r="E34" s="100" t="s">
        <v>33</v>
      </c>
      <c r="F34" s="4"/>
      <c r="G34" s="4"/>
    </row>
    <row r="35" spans="2:7" ht="63.75" customHeight="1" x14ac:dyDescent="0.3">
      <c r="B35" s="101"/>
      <c r="C35" s="101"/>
      <c r="D35" s="102" t="s">
        <v>34</v>
      </c>
      <c r="E35" s="103" t="s">
        <v>35</v>
      </c>
      <c r="F35" s="4"/>
      <c r="G35" s="4"/>
    </row>
    <row r="36" spans="2:7" ht="63.75" customHeight="1" x14ac:dyDescent="0.3">
      <c r="B36" s="101"/>
      <c r="C36" s="101"/>
      <c r="D36" s="102" t="s">
        <v>36</v>
      </c>
      <c r="E36" s="103" t="s">
        <v>37</v>
      </c>
      <c r="F36" s="4"/>
      <c r="G36" s="4"/>
    </row>
    <row r="37" spans="2:7" ht="63.75" customHeight="1" x14ac:dyDescent="0.3">
      <c r="B37" s="101"/>
      <c r="C37" s="101"/>
      <c r="D37" s="102" t="s">
        <v>38</v>
      </c>
      <c r="E37" s="103" t="s">
        <v>39</v>
      </c>
      <c r="F37" s="4"/>
      <c r="G37" s="4"/>
    </row>
    <row r="38" spans="2:7" ht="63.75" customHeight="1" x14ac:dyDescent="0.3">
      <c r="B38" s="101"/>
      <c r="C38" s="101"/>
      <c r="D38" s="102" t="s">
        <v>40</v>
      </c>
      <c r="E38" s="103" t="s">
        <v>41</v>
      </c>
      <c r="F38" s="4"/>
      <c r="G38" s="4"/>
    </row>
    <row r="39" spans="2:7" ht="63.75" customHeight="1" x14ac:dyDescent="0.3">
      <c r="B39" s="101"/>
      <c r="C39" s="101"/>
      <c r="D39" s="102" t="s">
        <v>42</v>
      </c>
      <c r="E39" s="103" t="s">
        <v>43</v>
      </c>
      <c r="F39" s="4"/>
      <c r="G39" s="4"/>
    </row>
    <row r="40" spans="2:7" ht="63.75" customHeight="1" x14ac:dyDescent="0.3">
      <c r="B40" s="101"/>
      <c r="C40" s="101"/>
      <c r="D40" s="102" t="s">
        <v>44</v>
      </c>
      <c r="E40" s="103" t="s">
        <v>45</v>
      </c>
      <c r="F40" s="4"/>
      <c r="G40" s="4"/>
    </row>
    <row r="41" spans="2:7" ht="63.75" customHeight="1" x14ac:dyDescent="0.3">
      <c r="B41" s="59"/>
      <c r="C41" s="59"/>
      <c r="D41" s="283" t="s">
        <v>46</v>
      </c>
      <c r="E41" s="284" t="s">
        <v>47</v>
      </c>
      <c r="F41" s="4"/>
      <c r="G41" s="4"/>
    </row>
    <row r="42" spans="2:7" ht="27" x14ac:dyDescent="0.3">
      <c r="B42" s="25"/>
      <c r="C42" s="19"/>
      <c r="D42" s="4"/>
      <c r="E42" s="4"/>
      <c r="F42" s="4"/>
      <c r="G42" s="4"/>
    </row>
    <row r="43" spans="2:7" ht="27" x14ac:dyDescent="0.3">
      <c r="B43" s="25"/>
      <c r="C43" s="19"/>
      <c r="D43" s="4"/>
      <c r="E43" s="4"/>
      <c r="F43" s="4"/>
      <c r="G43" s="4"/>
    </row>
    <row r="44" spans="2:7" ht="27" x14ac:dyDescent="0.3">
      <c r="B44" s="25"/>
      <c r="C44" s="19"/>
      <c r="D44" s="4"/>
      <c r="E44" s="4"/>
      <c r="F44" s="4"/>
      <c r="G44" s="4"/>
    </row>
    <row r="45" spans="2:7" ht="27" x14ac:dyDescent="0.3">
      <c r="B45" s="25"/>
      <c r="C45" s="19"/>
      <c r="D45" s="4"/>
      <c r="E45" s="4"/>
      <c r="F45" s="4"/>
      <c r="G45" s="4"/>
    </row>
    <row r="46" spans="2:7" ht="27" x14ac:dyDescent="0.3">
      <c r="B46" s="25"/>
      <c r="C46" s="19"/>
      <c r="D46" s="4"/>
      <c r="E46" s="4"/>
      <c r="F46" s="4"/>
      <c r="G46" s="4"/>
    </row>
    <row r="47" spans="2:7" ht="27" x14ac:dyDescent="0.3">
      <c r="B47" s="25"/>
      <c r="C47" s="19"/>
      <c r="D47" s="4"/>
      <c r="E47" s="4"/>
      <c r="F47" s="4"/>
      <c r="G47" s="4"/>
    </row>
    <row r="48" spans="2:7" ht="27" x14ac:dyDescent="0.3">
      <c r="B48" s="25"/>
      <c r="C48" s="19"/>
      <c r="D48" s="4"/>
      <c r="E48" s="4"/>
      <c r="F48" s="4"/>
      <c r="G48" s="4"/>
    </row>
    <row r="49" spans="2:7" ht="27" x14ac:dyDescent="0.3">
      <c r="B49" s="25"/>
      <c r="C49" s="19"/>
      <c r="D49" s="4"/>
      <c r="E49" s="4"/>
      <c r="F49" s="4"/>
      <c r="G49" s="4"/>
    </row>
    <row r="50" spans="2:7" ht="27" x14ac:dyDescent="0.3">
      <c r="B50" s="25"/>
      <c r="C50" s="19"/>
      <c r="D50" s="4"/>
      <c r="E50" s="4"/>
      <c r="F50" s="4"/>
      <c r="G50" s="4"/>
    </row>
    <row r="51" spans="2:7" ht="27" x14ac:dyDescent="0.3">
      <c r="B51" s="25"/>
      <c r="C51" s="19"/>
      <c r="D51" s="4"/>
      <c r="E51" s="4"/>
      <c r="F51" s="4"/>
      <c r="G51" s="4"/>
    </row>
    <row r="52" spans="2:7" ht="27" x14ac:dyDescent="0.3">
      <c r="B52" s="25"/>
      <c r="C52" s="19"/>
      <c r="D52" s="4"/>
      <c r="E52" s="4"/>
      <c r="F52" s="4"/>
      <c r="G52" s="4"/>
    </row>
    <row r="53" spans="2:7" ht="27" x14ac:dyDescent="0.3">
      <c r="B53" s="25"/>
      <c r="C53" s="19"/>
      <c r="D53" s="4"/>
      <c r="E53" s="4"/>
      <c r="F53" s="4"/>
      <c r="G53" s="4"/>
    </row>
    <row r="54" spans="2:7" ht="27" x14ac:dyDescent="0.3">
      <c r="B54" s="25"/>
      <c r="C54" s="19"/>
      <c r="D54" s="4"/>
      <c r="E54" s="4"/>
      <c r="F54" s="4"/>
      <c r="G54" s="4"/>
    </row>
    <row r="55" spans="2:7" ht="27" x14ac:dyDescent="0.3">
      <c r="B55" s="25"/>
      <c r="C55" s="19"/>
      <c r="D55" s="4"/>
      <c r="E55" s="4"/>
      <c r="F55" s="4"/>
      <c r="G55" s="4"/>
    </row>
    <row r="56" spans="2:7" x14ac:dyDescent="0.3">
      <c r="B56" s="4"/>
      <c r="C56" s="4"/>
      <c r="D56" s="4"/>
      <c r="E56" s="4"/>
      <c r="F56" s="4"/>
      <c r="G56" s="4"/>
    </row>
    <row r="57" spans="2:7" ht="27" x14ac:dyDescent="0.3">
      <c r="B57" s="25"/>
      <c r="C57" s="9"/>
      <c r="D57" s="4"/>
      <c r="E57" s="4"/>
      <c r="F57" s="4"/>
      <c r="G57" s="4"/>
    </row>
    <row r="58" spans="2:7" ht="10.35" customHeight="1" x14ac:dyDescent="0.3">
      <c r="B58" s="8"/>
      <c r="C58" s="9"/>
      <c r="D58" s="4"/>
      <c r="E58" s="4"/>
      <c r="F58" s="4"/>
      <c r="G58" s="4"/>
    </row>
    <row r="59" spans="2:7" x14ac:dyDescent="0.3">
      <c r="B59" s="24"/>
      <c r="C59" s="26"/>
      <c r="D59" s="4"/>
      <c r="E59" s="4"/>
      <c r="F59" s="4"/>
      <c r="G59" s="4"/>
    </row>
    <row r="60" spans="2:7" x14ac:dyDescent="0.3">
      <c r="B60" s="281"/>
      <c r="C60" s="4"/>
      <c r="D60" s="4"/>
      <c r="E60" s="4"/>
      <c r="F60" s="4"/>
      <c r="G60" s="4"/>
    </row>
    <row r="61" spans="2:7" x14ac:dyDescent="0.3">
      <c r="B61" s="281"/>
      <c r="C61" s="4"/>
      <c r="D61" s="4"/>
      <c r="E61" s="4"/>
      <c r="F61" s="4"/>
      <c r="G61" s="4"/>
    </row>
    <row r="62" spans="2:7" x14ac:dyDescent="0.3">
      <c r="B62" s="281"/>
      <c r="C62" s="4"/>
      <c r="D62" s="4"/>
      <c r="E62" s="4"/>
      <c r="F62" s="4"/>
      <c r="G62" s="4"/>
    </row>
    <row r="63" spans="2:7" x14ac:dyDescent="0.3">
      <c r="B63" s="4"/>
      <c r="C63" s="4"/>
      <c r="D63" s="4"/>
      <c r="E63" s="4"/>
      <c r="F63" s="4"/>
      <c r="G63" s="4"/>
    </row>
    <row r="64" spans="2:7" x14ac:dyDescent="0.3">
      <c r="B64" s="4"/>
      <c r="C64" s="4"/>
      <c r="D64" s="4"/>
      <c r="E64" s="4"/>
      <c r="F64" s="4"/>
      <c r="G64" s="4"/>
    </row>
    <row r="65" spans="2:7" x14ac:dyDescent="0.3">
      <c r="B65" s="24"/>
      <c r="C65" s="10"/>
      <c r="D65" s="4"/>
      <c r="E65" s="4"/>
      <c r="F65" s="4"/>
      <c r="G65" s="4"/>
    </row>
    <row r="66" spans="2:7" x14ac:dyDescent="0.3">
      <c r="B66" s="281"/>
      <c r="C66" s="4"/>
      <c r="D66" s="4"/>
      <c r="E66" s="4"/>
      <c r="F66" s="4"/>
      <c r="G66" s="4"/>
    </row>
    <row r="67" spans="2:7" x14ac:dyDescent="0.3">
      <c r="B67" s="281"/>
      <c r="C67" s="4"/>
      <c r="D67" s="4"/>
      <c r="E67" s="4"/>
      <c r="F67" s="4"/>
      <c r="G67" s="4"/>
    </row>
    <row r="68" spans="2:7" x14ac:dyDescent="0.3">
      <c r="B68" s="4"/>
      <c r="C68" s="4"/>
      <c r="D68" s="4"/>
      <c r="E68" s="4"/>
      <c r="F68" s="4"/>
      <c r="G68" s="4"/>
    </row>
    <row r="69" spans="2:7" x14ac:dyDescent="0.3">
      <c r="B69" s="4"/>
      <c r="C69" s="4"/>
      <c r="D69" s="281"/>
      <c r="E69" s="281"/>
      <c r="F69" s="281"/>
      <c r="G69" s="281"/>
    </row>
    <row r="70" spans="2:7" x14ac:dyDescent="0.3">
      <c r="B70" s="4"/>
      <c r="C70" s="4"/>
      <c r="D70" s="4"/>
      <c r="E70" s="4"/>
      <c r="F70" s="4"/>
      <c r="G70" s="4"/>
    </row>
    <row r="71" spans="2:7" x14ac:dyDescent="0.3">
      <c r="B71" s="4"/>
      <c r="C71" s="4"/>
      <c r="D71" s="4"/>
      <c r="E71" s="4"/>
      <c r="F71" s="4"/>
      <c r="G71" s="4"/>
    </row>
  </sheetData>
  <phoneticPr fontId="53" type="noConversion"/>
  <pageMargins left="0.7" right="0.7" top="0.75" bottom="0.75" header="0.3" footer="0.3"/>
  <pageSetup orientation="portrait" r:id="rId1"/>
  <headerFooter>
    <oddFooter>&amp;L_x000D_&amp;1#&amp;"Aptos"&amp;10&amp;K000000 Official</oddFooter>
  </headerFooter>
  <extLst>
    <ext xmlns:x14="http://schemas.microsoft.com/office/spreadsheetml/2009/9/main" uri="{05C60535-1F16-4fd2-B633-F4F36F0B64E0}">
      <x14:sparklineGroups xmlns:xm="http://schemas.microsoft.com/office/excel/2006/main">
        <x14:sparklineGroup type="column" displayEmptyCellsAs="gap" xr2:uid="{2578E5EF-FE9B-41D8-A012-1126DCEA1B64}">
          <x14:colorSeries rgb="FF376092"/>
          <x14:colorNegative rgb="FFD00000"/>
          <x14:colorAxis rgb="FF000000"/>
          <x14:colorMarkers rgb="FFD00000"/>
          <x14:colorFirst rgb="FFD00000"/>
          <x14:colorLast rgb="FFD00000"/>
          <x14:colorHigh rgb="FFD00000"/>
          <x14:colorLow rgb="FFD00000"/>
          <x14:sparklines>
            <x14:sparkline>
              <xm:f>Overview!D69:G69</xm:f>
              <xm:sqref>B69</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3F6C-1D9A-4899-A967-C3E2003479EB}">
  <sheetPr codeName="Sheet14">
    <tabColor theme="8"/>
    <pageSetUpPr autoPageBreaks="0"/>
  </sheetPr>
  <dimension ref="A1:CQ142"/>
  <sheetViews>
    <sheetView showGridLines="0" zoomScaleNormal="100" workbookViewId="0"/>
  </sheetViews>
  <sheetFormatPr defaultRowHeight="16.5" outlineLevelCol="1" x14ac:dyDescent="0.3"/>
  <cols>
    <col min="1" max="1" width="4.21875" customWidth="1"/>
    <col min="2" max="2" width="23.109375" customWidth="1"/>
    <col min="3" max="86" width="10.44140625" customWidth="1" outlineLevel="1"/>
    <col min="87" max="89" width="10.44140625" customWidth="1"/>
    <col min="90" max="96" width="17.21875" customWidth="1"/>
  </cols>
  <sheetData>
    <row r="1" spans="1:95" s="32" customFormat="1" ht="30" x14ac:dyDescent="0.3">
      <c r="A1" s="29"/>
      <c r="B1" s="93" t="str">
        <f>Overview!$B$1</f>
        <v>Labour and overhead costs for Accelerated Syncons</v>
      </c>
      <c r="C1" s="30"/>
      <c r="D1" s="30"/>
      <c r="E1" s="30"/>
      <c r="F1" s="30"/>
      <c r="G1" s="30"/>
      <c r="H1" s="29"/>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281"/>
      <c r="CM1" s="281"/>
      <c r="CN1" s="281"/>
      <c r="CO1" s="281"/>
      <c r="CP1" s="281"/>
      <c r="CQ1" s="281"/>
    </row>
    <row r="2" spans="1:95" s="32" customFormat="1" ht="22.5" x14ac:dyDescent="0.3">
      <c r="A2" s="31"/>
      <c r="B2" s="72" t="s">
        <v>160</v>
      </c>
      <c r="C2" s="31"/>
      <c r="D2" s="31"/>
      <c r="E2" s="31"/>
      <c r="F2" s="31"/>
      <c r="G2" s="31"/>
      <c r="H2" s="31"/>
      <c r="I2" s="31"/>
      <c r="J2" s="31"/>
      <c r="K2" s="31"/>
      <c r="L2" s="31"/>
      <c r="M2" s="31"/>
      <c r="N2" s="31"/>
      <c r="O2" s="31"/>
      <c r="P2" s="31"/>
      <c r="Q2" s="31"/>
      <c r="R2" s="31"/>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1"/>
      <c r="CM2" s="281"/>
      <c r="CN2" s="281"/>
      <c r="CO2" s="281"/>
      <c r="CP2" s="281"/>
      <c r="CQ2" s="281"/>
    </row>
    <row r="3" spans="1:95" s="20" customFormat="1" ht="15" x14ac:dyDescent="0.3"/>
    <row r="4" spans="1:95" s="20" customFormat="1" ht="15" x14ac:dyDescent="0.3">
      <c r="B4" s="35" t="s">
        <v>48</v>
      </c>
    </row>
    <row r="5" spans="1:95" s="20" customFormat="1" ht="15" x14ac:dyDescent="0.3">
      <c r="B5" s="36" t="s">
        <v>161</v>
      </c>
      <c r="C5" s="36"/>
      <c r="D5" s="20" t="s">
        <v>162</v>
      </c>
    </row>
    <row r="6" spans="1:95" s="20" customFormat="1" x14ac:dyDescent="0.3">
      <c r="B6" s="36"/>
      <c r="C6" s="36"/>
      <c r="E6" s="48"/>
    </row>
    <row r="7" spans="1:95" x14ac:dyDescent="0.3">
      <c r="B7" s="6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0"/>
    </row>
    <row r="8" spans="1:95" s="188" customFormat="1" ht="18" x14ac:dyDescent="0.35">
      <c r="A8"/>
      <c r="B8" s="118" t="s">
        <v>163</v>
      </c>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row>
    <row r="10" spans="1:95" ht="51" x14ac:dyDescent="0.3">
      <c r="B10" s="136" t="s">
        <v>131</v>
      </c>
      <c r="C10" s="189">
        <f>'Data source'!K5</f>
        <v>45658</v>
      </c>
      <c r="D10" s="189">
        <f>'Data source'!L5</f>
        <v>45689</v>
      </c>
      <c r="E10" s="189">
        <f>'Data source'!M5</f>
        <v>45717</v>
      </c>
      <c r="F10" s="189">
        <f>'Data source'!N5</f>
        <v>45748</v>
      </c>
      <c r="G10" s="189">
        <f>'Data source'!O5</f>
        <v>45778</v>
      </c>
      <c r="H10" s="189">
        <f>'Data source'!P5</f>
        <v>45809</v>
      </c>
      <c r="I10" s="189">
        <f>'Data source'!Q5</f>
        <v>45839</v>
      </c>
      <c r="J10" s="189">
        <f>'Data source'!R5</f>
        <v>45870</v>
      </c>
      <c r="K10" s="189">
        <f>'Data source'!S5</f>
        <v>45901</v>
      </c>
      <c r="L10" s="189">
        <f>'Data source'!T5</f>
        <v>45931</v>
      </c>
      <c r="M10" s="189">
        <f>'Data source'!U5</f>
        <v>45962</v>
      </c>
      <c r="N10" s="189">
        <f>'Data source'!V5</f>
        <v>45992</v>
      </c>
      <c r="O10" s="189">
        <f>'Data source'!W5</f>
        <v>46023</v>
      </c>
      <c r="P10" s="189">
        <f>'Data source'!X5</f>
        <v>46054</v>
      </c>
      <c r="Q10" s="189">
        <f>'Data source'!Y5</f>
        <v>46082</v>
      </c>
      <c r="R10" s="189">
        <f>'Data source'!Z5</f>
        <v>46113</v>
      </c>
      <c r="S10" s="189">
        <f>'Data source'!AA5</f>
        <v>46143</v>
      </c>
      <c r="T10" s="189">
        <f>'Data source'!AB5</f>
        <v>46174</v>
      </c>
      <c r="U10" s="189">
        <f>'Data source'!AC5</f>
        <v>46204</v>
      </c>
      <c r="V10" s="189">
        <f>'Data source'!AD5</f>
        <v>46235</v>
      </c>
      <c r="W10" s="189">
        <f>'Data source'!AE5</f>
        <v>46266</v>
      </c>
      <c r="X10" s="189">
        <f>'Data source'!AF5</f>
        <v>46296</v>
      </c>
      <c r="Y10" s="189">
        <f>'Data source'!AG5</f>
        <v>46327</v>
      </c>
      <c r="Z10" s="189">
        <f>'Data source'!AH5</f>
        <v>46357</v>
      </c>
      <c r="AA10" s="189">
        <f>'Data source'!AI5</f>
        <v>46388</v>
      </c>
      <c r="AB10" s="189">
        <f>'Data source'!AJ5</f>
        <v>46419</v>
      </c>
      <c r="AC10" s="189">
        <f>'Data source'!AK5</f>
        <v>46447</v>
      </c>
      <c r="AD10" s="189">
        <f>'Data source'!AL5</f>
        <v>46478</v>
      </c>
      <c r="AE10" s="189">
        <f>'Data source'!AM5</f>
        <v>46508</v>
      </c>
      <c r="AF10" s="189">
        <f>'Data source'!AN5</f>
        <v>46539</v>
      </c>
      <c r="AG10" s="189">
        <f>'Data source'!AO5</f>
        <v>46569</v>
      </c>
      <c r="AH10" s="189">
        <f>'Data source'!AP5</f>
        <v>46600</v>
      </c>
      <c r="AI10" s="189">
        <f>'Data source'!AQ5</f>
        <v>46631</v>
      </c>
      <c r="AJ10" s="189">
        <f>'Data source'!AR5</f>
        <v>46661</v>
      </c>
      <c r="AK10" s="189">
        <f>'Data source'!AS5</f>
        <v>46692</v>
      </c>
      <c r="AL10" s="189">
        <f>'Data source'!AT5</f>
        <v>46722</v>
      </c>
      <c r="AM10" s="189">
        <f>'Data source'!AU5</f>
        <v>46753</v>
      </c>
      <c r="AN10" s="189">
        <f>'Data source'!AV5</f>
        <v>46784</v>
      </c>
      <c r="AO10" s="189">
        <f>'Data source'!AW5</f>
        <v>46813</v>
      </c>
      <c r="AP10" s="189">
        <f>'Data source'!AX5</f>
        <v>46844</v>
      </c>
      <c r="AQ10" s="189">
        <f>'Data source'!AY5</f>
        <v>46874</v>
      </c>
      <c r="AR10" s="189">
        <f>'Data source'!AZ5</f>
        <v>46905</v>
      </c>
      <c r="AS10" s="189">
        <f>'Data source'!BA5</f>
        <v>46935</v>
      </c>
      <c r="AT10" s="189">
        <f>'Data source'!BB5</f>
        <v>46966</v>
      </c>
      <c r="AU10" s="189">
        <f>'Data source'!BC5</f>
        <v>46997</v>
      </c>
      <c r="AV10" s="189">
        <f>'Data source'!BD5</f>
        <v>47027</v>
      </c>
      <c r="AW10" s="189">
        <f>'Data source'!BE5</f>
        <v>47058</v>
      </c>
      <c r="AX10" s="189">
        <f>'Data source'!BF5</f>
        <v>47088</v>
      </c>
      <c r="AY10" s="189">
        <f>'Data source'!BG5</f>
        <v>47119</v>
      </c>
      <c r="AZ10" s="189">
        <f>'Data source'!BH5</f>
        <v>47150</v>
      </c>
      <c r="BA10" s="189">
        <f>'Data source'!BI5</f>
        <v>47178</v>
      </c>
      <c r="BB10" s="189">
        <f>'Data source'!BJ5</f>
        <v>47209</v>
      </c>
      <c r="BC10" s="189">
        <f>'Data source'!BK5</f>
        <v>47239</v>
      </c>
      <c r="BD10" s="189">
        <f>'Data source'!BL5</f>
        <v>47270</v>
      </c>
      <c r="BE10" s="189">
        <f>'Data source'!BM5</f>
        <v>47300</v>
      </c>
      <c r="BF10" s="189">
        <f>'Data source'!BN5</f>
        <v>47331</v>
      </c>
      <c r="BG10" s="189">
        <f>'Data source'!BO5</f>
        <v>47362</v>
      </c>
      <c r="BH10" s="189">
        <f>'Data source'!BP5</f>
        <v>47392</v>
      </c>
      <c r="BI10" s="189">
        <f>'Data source'!BQ5</f>
        <v>47423</v>
      </c>
      <c r="BJ10" s="189">
        <f>'Data source'!BR5</f>
        <v>47453</v>
      </c>
      <c r="BK10" s="189">
        <f>'Data source'!BS5</f>
        <v>47514</v>
      </c>
      <c r="BL10" s="189">
        <f>'Data source'!BT5</f>
        <v>47542</v>
      </c>
      <c r="BM10" s="189">
        <f>'Data source'!BU5</f>
        <v>47573</v>
      </c>
      <c r="BN10" s="189">
        <f>'Data source'!BV5</f>
        <v>47603</v>
      </c>
      <c r="BO10" s="189">
        <f>'Data source'!BW5</f>
        <v>47634</v>
      </c>
      <c r="BP10" s="189">
        <f>'Data source'!BX5</f>
        <v>47664</v>
      </c>
      <c r="BQ10" s="189">
        <f>'Data source'!BY5</f>
        <v>47695</v>
      </c>
      <c r="BR10" s="189">
        <f>'Data source'!BZ5</f>
        <v>47726</v>
      </c>
      <c r="BS10" s="189">
        <f>'Data source'!CA5</f>
        <v>47756</v>
      </c>
      <c r="BT10" s="189">
        <f>'Data source'!CB5</f>
        <v>47787</v>
      </c>
      <c r="BU10" s="189">
        <f>'Data source'!CC5</f>
        <v>47817</v>
      </c>
      <c r="BV10" s="189">
        <f>'Data source'!CD5</f>
        <v>47848</v>
      </c>
      <c r="BW10" s="189">
        <f>'Data source'!CE5</f>
        <v>47879</v>
      </c>
      <c r="BX10" s="189">
        <f>'Data source'!CF5</f>
        <v>47907</v>
      </c>
      <c r="BY10" s="189">
        <f>'Data source'!CG5</f>
        <v>47938</v>
      </c>
      <c r="BZ10" s="189">
        <f>'Data source'!CH5</f>
        <v>47968</v>
      </c>
      <c r="CA10" s="189">
        <f>'Data source'!CI5</f>
        <v>47999</v>
      </c>
      <c r="CB10" s="189">
        <f>'Data source'!CJ5</f>
        <v>48029</v>
      </c>
      <c r="CC10" s="189">
        <f>'Data source'!CK5</f>
        <v>48060</v>
      </c>
      <c r="CD10" s="189">
        <f>'Data source'!CL5</f>
        <v>48091</v>
      </c>
      <c r="CE10" s="189">
        <f>'Data source'!CM5</f>
        <v>48121</v>
      </c>
      <c r="CF10" s="189">
        <f>'Data source'!CN5</f>
        <v>48152</v>
      </c>
      <c r="CG10" s="189">
        <f>'Data source'!CO5</f>
        <v>48182</v>
      </c>
      <c r="CH10" s="189">
        <f>'Data source'!CP5</f>
        <v>48213</v>
      </c>
      <c r="CI10" s="150" t="s">
        <v>133</v>
      </c>
      <c r="CJ10" s="150" t="s">
        <v>164</v>
      </c>
      <c r="CK10" s="150" t="s">
        <v>252</v>
      </c>
    </row>
    <row r="11" spans="1:95" x14ac:dyDescent="0.3">
      <c r="B11" s="191" t="str" cm="1">
        <f t="array" ref="B11:B23">CostCategories</f>
        <v>Community and Stakeholder Engagement</v>
      </c>
      <c r="C11" s="192">
        <f>SUMIFS(Internal_labour_inputs!K$8:K$295,Internal_labour_inputs!$B$8:$B$295,$B11)+SUMIFS(Outsourced_labour_inputs!K$7:K$297,Outsourced_labour_inputs!$B$7:$B$297,$B11)</f>
        <v>0</v>
      </c>
      <c r="D11" s="192">
        <f>SUMIFS(Internal_labour_inputs!L$8:L$295,Internal_labour_inputs!$B$8:$B$295,$B11)+SUMIFS(Outsourced_labour_inputs!L$7:L$297,Outsourced_labour_inputs!$B$7:$B$297,$B11)</f>
        <v>0</v>
      </c>
      <c r="E11" s="192">
        <f>SUMIFS(Internal_labour_inputs!M$8:M$295,Internal_labour_inputs!$B$8:$B$295,$B11)+SUMIFS(Outsourced_labour_inputs!M$7:M$297,Outsourced_labour_inputs!$B$7:$B$297,$B11)</f>
        <v>0</v>
      </c>
      <c r="F11" s="192">
        <f>SUMIFS(Internal_labour_inputs!N$8:N$295,Internal_labour_inputs!$B$8:$B$295,$B11)+SUMIFS(Outsourced_labour_inputs!N$7:N$297,Outsourced_labour_inputs!$B$7:$B$297,$B11)</f>
        <v>0</v>
      </c>
      <c r="G11" s="192">
        <f>SUMIFS(Internal_labour_inputs!O$8:O$295,Internal_labour_inputs!$B$8:$B$295,$B11)+SUMIFS(Outsourced_labour_inputs!O$7:O$297,Outsourced_labour_inputs!$B$7:$B$297,$B11)</f>
        <v>1.7529837230923523E-17</v>
      </c>
      <c r="H11" s="192">
        <f>SUMIFS(Internal_labour_inputs!P$8:P$295,Internal_labour_inputs!$B$8:$B$295,$B11)+SUMIFS(Outsourced_labour_inputs!P$7:P$297,Outsourced_labour_inputs!$B$7:$B$297,$B11)</f>
        <v>0.40947368421052638</v>
      </c>
      <c r="I11" s="192">
        <f>SUMIFS(Internal_labour_inputs!Q$8:Q$295,Internal_labour_inputs!$B$8:$B$295,$B11)+SUMIFS(Outsourced_labour_inputs!Q$7:Q$297,Outsourced_labour_inputs!$B$7:$B$297,$B11)</f>
        <v>5.5571428571428445E-2</v>
      </c>
      <c r="J11" s="192">
        <f>SUMIFS(Internal_labour_inputs!R$8:R$295,Internal_labour_inputs!$B$8:$B$295,$B11)+SUMIFS(Outsourced_labour_inputs!R$7:R$297,Outsourced_labour_inputs!$B$7:$B$297,$B11)</f>
        <v>0.2</v>
      </c>
      <c r="K11" s="192">
        <f>SUMIFS(Internal_labour_inputs!S$8:S$295,Internal_labour_inputs!$B$8:$B$295,$B11)+SUMIFS(Outsourced_labour_inputs!S$7:S$297,Outsourced_labour_inputs!$B$7:$B$297,$B11)</f>
        <v>0.37228571428571455</v>
      </c>
      <c r="L11" s="192">
        <f>SUMIFS(Internal_labour_inputs!T$8:T$295,Internal_labour_inputs!$B$8:$B$295,$B11)+SUMIFS(Outsourced_labour_inputs!T$7:T$297,Outsourced_labour_inputs!$B$7:$B$297,$B11)</f>
        <v>0.8835714285714289</v>
      </c>
      <c r="M11" s="192">
        <f>SUMIFS(Internal_labour_inputs!U$8:U$295,Internal_labour_inputs!$B$8:$B$295,$B11)+SUMIFS(Outsourced_labour_inputs!U$7:U$297,Outsourced_labour_inputs!$B$7:$B$297,$B11)</f>
        <v>0.38342857142857184</v>
      </c>
      <c r="N11" s="192">
        <f>SUMIFS(Internal_labour_inputs!V$8:V$295,Internal_labour_inputs!$B$8:$B$295,$B11)+SUMIFS(Outsourced_labour_inputs!V$7:V$297,Outsourced_labour_inputs!$B$7:$B$297,$B11)</f>
        <v>-4.6523631508101799E-17</v>
      </c>
      <c r="O11" s="192">
        <f>SUMIFS(Internal_labour_inputs!W$8:W$295,Internal_labour_inputs!$B$8:$B$295,$B11)+SUMIFS(Outsourced_labour_inputs!W$7:W$297,Outsourced_labour_inputs!$B$7:$B$297,$B11)</f>
        <v>0.66685714285714282</v>
      </c>
      <c r="P11" s="192">
        <f>SUMIFS(Internal_labour_inputs!X$8:X$295,Internal_labour_inputs!$B$8:$B$295,$B11)+SUMIFS(Outsourced_labour_inputs!X$7:X$297,Outsourced_labour_inputs!$B$7:$B$297,$B11)</f>
        <v>0.35</v>
      </c>
      <c r="Q11" s="192">
        <f>SUMIFS(Internal_labour_inputs!Y$8:Y$295,Internal_labour_inputs!$B$8:$B$295,$B11)+SUMIFS(Outsourced_labour_inputs!Y$7:Y$297,Outsourced_labour_inputs!$B$7:$B$297,$B11)</f>
        <v>0.35</v>
      </c>
      <c r="R11" s="192">
        <f>SUMIFS(Internal_labour_inputs!Z$8:Z$295,Internal_labour_inputs!$B$8:$B$295,$B11)+SUMIFS(Outsourced_labour_inputs!Z$7:Z$297,Outsourced_labour_inputs!$B$7:$B$297,$B11)</f>
        <v>0.46666666666666667</v>
      </c>
      <c r="S11" s="192">
        <f>SUMIFS(Internal_labour_inputs!AA$8:AA$295,Internal_labour_inputs!$B$8:$B$295,$B11)+SUMIFS(Outsourced_labour_inputs!AA$7:AA$297,Outsourced_labour_inputs!$B$7:$B$297,$B11)</f>
        <v>0.32236842105263158</v>
      </c>
      <c r="T11" s="192">
        <f>SUMIFS(Internal_labour_inputs!AB$8:AB$295,Internal_labour_inputs!$B$8:$B$295,$B11)+SUMIFS(Outsourced_labour_inputs!AB$7:AB$297,Outsourced_labour_inputs!$B$7:$B$297,$B11)</f>
        <v>0.32236842105263158</v>
      </c>
      <c r="U11" s="192">
        <f>SUMIFS(Internal_labour_inputs!AC$8:AC$295,Internal_labour_inputs!$B$8:$B$295,$B11)+SUMIFS(Outsourced_labour_inputs!AC$7:AC$297,Outsourced_labour_inputs!$B$7:$B$297,$B11)</f>
        <v>0.35</v>
      </c>
      <c r="V11" s="192">
        <f>SUMIFS(Internal_labour_inputs!AD$8:AD$295,Internal_labour_inputs!$B$8:$B$295,$B11)+SUMIFS(Outsourced_labour_inputs!AD$7:AD$297,Outsourced_labour_inputs!$B$7:$B$297,$B11)</f>
        <v>0.35</v>
      </c>
      <c r="W11" s="192">
        <f>SUMIFS(Internal_labour_inputs!AE$8:AE$295,Internal_labour_inputs!$B$8:$B$295,$B11)+SUMIFS(Outsourced_labour_inputs!AE$7:AE$297,Outsourced_labour_inputs!$B$7:$B$297,$B11)</f>
        <v>0.35</v>
      </c>
      <c r="X11" s="192">
        <f>SUMIFS(Internal_labour_inputs!AF$8:AF$295,Internal_labour_inputs!$B$8:$B$295,$B11)+SUMIFS(Outsourced_labour_inputs!AF$7:AF$297,Outsourced_labour_inputs!$B$7:$B$297,$B11)</f>
        <v>0.35</v>
      </c>
      <c r="Y11" s="192">
        <f>SUMIFS(Internal_labour_inputs!AG$8:AG$295,Internal_labour_inputs!$B$8:$B$295,$B11)+SUMIFS(Outsourced_labour_inputs!AG$7:AG$297,Outsourced_labour_inputs!$B$7:$B$297,$B11)</f>
        <v>0.35</v>
      </c>
      <c r="Z11" s="192">
        <f>SUMIFS(Internal_labour_inputs!AH$8:AH$295,Internal_labour_inputs!$B$8:$B$295,$B11)+SUMIFS(Outsourced_labour_inputs!AH$7:AH$297,Outsourced_labour_inputs!$B$7:$B$297,$B11)</f>
        <v>0.46666666666666667</v>
      </c>
      <c r="AA11" s="192">
        <f>SUMIFS(Internal_labour_inputs!AI$8:AI$295,Internal_labour_inputs!$B$8:$B$295,$B11)+SUMIFS(Outsourced_labour_inputs!AI$7:AI$297,Outsourced_labour_inputs!$B$7:$B$297,$B11)</f>
        <v>0</v>
      </c>
      <c r="AB11" s="192">
        <f>SUMIFS(Internal_labour_inputs!AJ$8:AJ$295,Internal_labour_inputs!$B$8:$B$295,$B11)+SUMIFS(Outsourced_labour_inputs!AJ$7:AJ$297,Outsourced_labour_inputs!$B$7:$B$297,$B11)</f>
        <v>0</v>
      </c>
      <c r="AC11" s="192">
        <f>SUMIFS(Internal_labour_inputs!AK$8:AK$295,Internal_labour_inputs!$B$8:$B$295,$B11)+SUMIFS(Outsourced_labour_inputs!AK$7:AK$297,Outsourced_labour_inputs!$B$7:$B$297,$B11)</f>
        <v>0</v>
      </c>
      <c r="AD11" s="192">
        <f>SUMIFS(Internal_labour_inputs!AL$8:AL$295,Internal_labour_inputs!$B$8:$B$295,$B11)+SUMIFS(Outsourced_labour_inputs!AL$7:AL$297,Outsourced_labour_inputs!$B$7:$B$297,$B11)</f>
        <v>0</v>
      </c>
      <c r="AE11" s="192">
        <f>SUMIFS(Internal_labour_inputs!AM$8:AM$295,Internal_labour_inputs!$B$8:$B$295,$B11)+SUMIFS(Outsourced_labour_inputs!AM$7:AM$297,Outsourced_labour_inputs!$B$7:$B$297,$B11)</f>
        <v>0</v>
      </c>
      <c r="AF11" s="192">
        <f>SUMIFS(Internal_labour_inputs!AN$8:AN$295,Internal_labour_inputs!$B$8:$B$295,$B11)+SUMIFS(Outsourced_labour_inputs!AN$7:AN$297,Outsourced_labour_inputs!$B$7:$B$297,$B11)</f>
        <v>0</v>
      </c>
      <c r="AG11" s="192">
        <f>SUMIFS(Internal_labour_inputs!AO$8:AO$295,Internal_labour_inputs!$B$8:$B$295,$B11)+SUMIFS(Outsourced_labour_inputs!AO$7:AO$297,Outsourced_labour_inputs!$B$7:$B$297,$B11)</f>
        <v>0</v>
      </c>
      <c r="AH11" s="192">
        <f>SUMIFS(Internal_labour_inputs!AP$8:AP$295,Internal_labour_inputs!$B$8:$B$295,$B11)+SUMIFS(Outsourced_labour_inputs!AP$7:AP$297,Outsourced_labour_inputs!$B$7:$B$297,$B11)</f>
        <v>0</v>
      </c>
      <c r="AI11" s="192">
        <f>SUMIFS(Internal_labour_inputs!AQ$8:AQ$295,Internal_labour_inputs!$B$8:$B$295,$B11)+SUMIFS(Outsourced_labour_inputs!AQ$7:AQ$297,Outsourced_labour_inputs!$B$7:$B$297,$B11)</f>
        <v>0</v>
      </c>
      <c r="AJ11" s="192">
        <f>SUMIFS(Internal_labour_inputs!AR$8:AR$295,Internal_labour_inputs!$B$8:$B$295,$B11)+SUMIFS(Outsourced_labour_inputs!AR$7:AR$297,Outsourced_labour_inputs!$B$7:$B$297,$B11)</f>
        <v>0</v>
      </c>
      <c r="AK11" s="192">
        <f>SUMIFS(Internal_labour_inputs!AS$8:AS$295,Internal_labour_inputs!$B$8:$B$295,$B11)+SUMIFS(Outsourced_labour_inputs!AS$7:AS$297,Outsourced_labour_inputs!$B$7:$B$297,$B11)</f>
        <v>0</v>
      </c>
      <c r="AL11" s="192">
        <f>SUMIFS(Internal_labour_inputs!AT$8:AT$295,Internal_labour_inputs!$B$8:$B$295,$B11)+SUMIFS(Outsourced_labour_inputs!AT$7:AT$297,Outsourced_labour_inputs!$B$7:$B$297,$B11)</f>
        <v>0</v>
      </c>
      <c r="AM11" s="192">
        <f>SUMIFS(Internal_labour_inputs!AU$8:AU$295,Internal_labour_inputs!$B$8:$B$295,$B11)+SUMIFS(Outsourced_labour_inputs!AU$7:AU$297,Outsourced_labour_inputs!$B$7:$B$297,$B11)</f>
        <v>0</v>
      </c>
      <c r="AN11" s="192">
        <f>SUMIFS(Internal_labour_inputs!AV$8:AV$295,Internal_labour_inputs!$B$8:$B$295,$B11)+SUMIFS(Outsourced_labour_inputs!AV$7:AV$297,Outsourced_labour_inputs!$B$7:$B$297,$B11)</f>
        <v>0</v>
      </c>
      <c r="AO11" s="192">
        <f>SUMIFS(Internal_labour_inputs!AW$8:AW$295,Internal_labour_inputs!$B$8:$B$295,$B11)+SUMIFS(Outsourced_labour_inputs!AW$7:AW$297,Outsourced_labour_inputs!$B$7:$B$297,$B11)</f>
        <v>0</v>
      </c>
      <c r="AP11" s="192">
        <f>SUMIFS(Internal_labour_inputs!AX$8:AX$295,Internal_labour_inputs!$B$8:$B$295,$B11)+SUMIFS(Outsourced_labour_inputs!AX$7:AX$297,Outsourced_labour_inputs!$B$7:$B$297,$B11)</f>
        <v>0</v>
      </c>
      <c r="AQ11" s="192">
        <f>SUMIFS(Internal_labour_inputs!AY$8:AY$295,Internal_labour_inputs!$B$8:$B$295,$B11)+SUMIFS(Outsourced_labour_inputs!AY$7:AY$297,Outsourced_labour_inputs!$B$7:$B$297,$B11)</f>
        <v>0</v>
      </c>
      <c r="AR11" s="192">
        <f>SUMIFS(Internal_labour_inputs!AZ$8:AZ$295,Internal_labour_inputs!$B$8:$B$295,$B11)+SUMIFS(Outsourced_labour_inputs!AZ$7:AZ$297,Outsourced_labour_inputs!$B$7:$B$297,$B11)</f>
        <v>0</v>
      </c>
      <c r="AS11" s="192">
        <f>SUMIFS(Internal_labour_inputs!BA$8:BA$295,Internal_labour_inputs!$B$8:$B$295,$B11)+SUMIFS(Outsourced_labour_inputs!BA$7:BA$297,Outsourced_labour_inputs!$B$7:$B$297,$B11)</f>
        <v>0</v>
      </c>
      <c r="AT11" s="192">
        <f>SUMIFS(Internal_labour_inputs!BB$8:BB$295,Internal_labour_inputs!$B$8:$B$295,$B11)+SUMIFS(Outsourced_labour_inputs!BB$7:BB$297,Outsourced_labour_inputs!$B$7:$B$297,$B11)</f>
        <v>0</v>
      </c>
      <c r="AU11" s="192">
        <f>SUMIFS(Internal_labour_inputs!BC$8:BC$295,Internal_labour_inputs!$B$8:$B$295,$B11)+SUMIFS(Outsourced_labour_inputs!BC$7:BC$297,Outsourced_labour_inputs!$B$7:$B$297,$B11)</f>
        <v>0</v>
      </c>
      <c r="AV11" s="192">
        <f>SUMIFS(Internal_labour_inputs!BD$8:BD$295,Internal_labour_inputs!$B$8:$B$295,$B11)+SUMIFS(Outsourced_labour_inputs!BD$7:BD$297,Outsourced_labour_inputs!$B$7:$B$297,$B11)</f>
        <v>0</v>
      </c>
      <c r="AW11" s="192">
        <f>SUMIFS(Internal_labour_inputs!BE$8:BE$295,Internal_labour_inputs!$B$8:$B$295,$B11)+SUMIFS(Outsourced_labour_inputs!BE$7:BE$297,Outsourced_labour_inputs!$B$7:$B$297,$B11)</f>
        <v>0</v>
      </c>
      <c r="AX11" s="192">
        <f>SUMIFS(Internal_labour_inputs!BF$8:BF$295,Internal_labour_inputs!$B$8:$B$295,$B11)+SUMIFS(Outsourced_labour_inputs!BF$7:BF$297,Outsourced_labour_inputs!$B$7:$B$297,$B11)</f>
        <v>0</v>
      </c>
      <c r="AY11" s="192">
        <f>SUMIFS(Internal_labour_inputs!BG$8:BG$295,Internal_labour_inputs!$B$8:$B$295,$B11)+SUMIFS(Outsourced_labour_inputs!BG$7:BG$297,Outsourced_labour_inputs!$B$7:$B$297,$B11)</f>
        <v>0</v>
      </c>
      <c r="AZ11" s="192">
        <f>SUMIFS(Internal_labour_inputs!BH$8:BH$295,Internal_labour_inputs!$B$8:$B$295,$B11)+SUMIFS(Outsourced_labour_inputs!BH$7:BH$297,Outsourced_labour_inputs!$B$7:$B$297,$B11)</f>
        <v>0</v>
      </c>
      <c r="BA11" s="192">
        <f>SUMIFS(Internal_labour_inputs!BI$8:BI$295,Internal_labour_inputs!$B$8:$B$295,$B11)+SUMIFS(Outsourced_labour_inputs!BI$7:BI$297,Outsourced_labour_inputs!$B$7:$B$297,$B11)</f>
        <v>0</v>
      </c>
      <c r="BB11" s="192">
        <f>SUMIFS(Internal_labour_inputs!BJ$8:BJ$295,Internal_labour_inputs!$B$8:$B$295,$B11)+SUMIFS(Outsourced_labour_inputs!BJ$7:BJ$297,Outsourced_labour_inputs!$B$7:$B$297,$B11)</f>
        <v>0</v>
      </c>
      <c r="BC11" s="192">
        <f>SUMIFS(Internal_labour_inputs!BK$8:BK$295,Internal_labour_inputs!$B$8:$B$295,$B11)+SUMIFS(Outsourced_labour_inputs!BK$7:BK$297,Outsourced_labour_inputs!$B$7:$B$297,$B11)</f>
        <v>0</v>
      </c>
      <c r="BD11" s="192">
        <f>SUMIFS(Internal_labour_inputs!BL$8:BL$295,Internal_labour_inputs!$B$8:$B$295,$B11)+SUMIFS(Outsourced_labour_inputs!BL$7:BL$297,Outsourced_labour_inputs!$B$7:$B$297,$B11)</f>
        <v>0</v>
      </c>
      <c r="BE11" s="192">
        <f>SUMIFS(Internal_labour_inputs!BM$8:BM$295,Internal_labour_inputs!$B$8:$B$295,$B11)+SUMIFS(Outsourced_labour_inputs!BM$7:BM$297,Outsourced_labour_inputs!$B$7:$B$297,$B11)</f>
        <v>0</v>
      </c>
      <c r="BF11" s="192">
        <f>SUMIFS(Internal_labour_inputs!BN$8:BN$295,Internal_labour_inputs!$B$8:$B$295,$B11)+SUMIFS(Outsourced_labour_inputs!BN$7:BN$297,Outsourced_labour_inputs!$B$7:$B$297,$B11)</f>
        <v>0</v>
      </c>
      <c r="BG11" s="192">
        <f>SUMIFS(Internal_labour_inputs!BO$8:BO$295,Internal_labour_inputs!$B$8:$B$295,$B11)+SUMIFS(Outsourced_labour_inputs!BO$7:BO$297,Outsourced_labour_inputs!$B$7:$B$297,$B11)</f>
        <v>0</v>
      </c>
      <c r="BH11" s="192">
        <f>SUMIFS(Internal_labour_inputs!BP$8:BP$295,Internal_labour_inputs!$B$8:$B$295,$B11)+SUMIFS(Outsourced_labour_inputs!BP$7:BP$297,Outsourced_labour_inputs!$B$7:$B$297,$B11)</f>
        <v>0</v>
      </c>
      <c r="BI11" s="192">
        <f>SUMIFS(Internal_labour_inputs!BQ$8:BQ$295,Internal_labour_inputs!$B$8:$B$295,$B11)+SUMIFS(Outsourced_labour_inputs!BQ$7:BQ$297,Outsourced_labour_inputs!$B$7:$B$297,$B11)</f>
        <v>0</v>
      </c>
      <c r="BJ11" s="192">
        <f>SUMIFS(Internal_labour_inputs!BR$8:BR$295,Internal_labour_inputs!$B$8:$B$295,$B11)+SUMIFS(Outsourced_labour_inputs!BR$7:BR$297,Outsourced_labour_inputs!$B$7:$B$297,$B11)</f>
        <v>0</v>
      </c>
      <c r="BK11" s="192">
        <f>SUMIFS(Internal_labour_inputs!BS$8:BS$295,Internal_labour_inputs!$B$8:$B$295,$B11)+SUMIFS(Outsourced_labour_inputs!BS$7:BS$297,Outsourced_labour_inputs!$B$7:$B$297,$B11)</f>
        <v>0</v>
      </c>
      <c r="BL11" s="192">
        <f>SUMIFS(Internal_labour_inputs!BT$8:BT$295,Internal_labour_inputs!$B$8:$B$295,$B11)+SUMIFS(Outsourced_labour_inputs!BT$7:BT$297,Outsourced_labour_inputs!$B$7:$B$297,$B11)</f>
        <v>0</v>
      </c>
      <c r="BM11" s="192">
        <f>SUMIFS(Internal_labour_inputs!BU$8:BU$295,Internal_labour_inputs!$B$8:$B$295,$B11)+SUMIFS(Outsourced_labour_inputs!BU$7:BU$297,Outsourced_labour_inputs!$B$7:$B$297,$B11)</f>
        <v>0</v>
      </c>
      <c r="BN11" s="192">
        <f>SUMIFS(Internal_labour_inputs!BV$8:BV$295,Internal_labour_inputs!$B$8:$B$295,$B11)+SUMIFS(Outsourced_labour_inputs!BV$7:BV$297,Outsourced_labour_inputs!$B$7:$B$297,$B11)</f>
        <v>0</v>
      </c>
      <c r="BO11" s="192">
        <f>SUMIFS(Internal_labour_inputs!BW$8:BW$295,Internal_labour_inputs!$B$8:$B$295,$B11)+SUMIFS(Outsourced_labour_inputs!BW$7:BW$297,Outsourced_labour_inputs!$B$7:$B$297,$B11)</f>
        <v>0</v>
      </c>
      <c r="BP11" s="192">
        <f>SUMIFS(Internal_labour_inputs!BX$8:BX$295,Internal_labour_inputs!$B$8:$B$295,$B11)+SUMIFS(Outsourced_labour_inputs!BX$7:BX$297,Outsourced_labour_inputs!$B$7:$B$297,$B11)</f>
        <v>0</v>
      </c>
      <c r="BQ11" s="192">
        <f>SUMIFS(Internal_labour_inputs!BY$8:BY$295,Internal_labour_inputs!$B$8:$B$295,$B11)+SUMIFS(Outsourced_labour_inputs!BY$7:BY$297,Outsourced_labour_inputs!$B$7:$B$297,$B11)</f>
        <v>0</v>
      </c>
      <c r="BR11" s="192">
        <f>SUMIFS(Internal_labour_inputs!BZ$8:BZ$295,Internal_labour_inputs!$B$8:$B$295,$B11)+SUMIFS(Outsourced_labour_inputs!BZ$7:BZ$297,Outsourced_labour_inputs!$B$7:$B$297,$B11)</f>
        <v>0</v>
      </c>
      <c r="BS11" s="192">
        <f>SUMIFS(Internal_labour_inputs!CA$8:CA$295,Internal_labour_inputs!$B$8:$B$295,$B11)+SUMIFS(Outsourced_labour_inputs!CA$7:CA$297,Outsourced_labour_inputs!$B$7:$B$297,$B11)</f>
        <v>0</v>
      </c>
      <c r="BT11" s="192">
        <f>SUMIFS(Internal_labour_inputs!CB$8:CB$295,Internal_labour_inputs!$B$8:$B$295,$B11)+SUMIFS(Outsourced_labour_inputs!CB$7:CB$297,Outsourced_labour_inputs!$B$7:$B$297,$B11)</f>
        <v>0</v>
      </c>
      <c r="BU11" s="192">
        <f>SUMIFS(Internal_labour_inputs!CC$8:CC$295,Internal_labour_inputs!$B$8:$B$295,$B11)+SUMIFS(Outsourced_labour_inputs!CC$7:CC$297,Outsourced_labour_inputs!$B$7:$B$297,$B11)</f>
        <v>0</v>
      </c>
      <c r="BV11" s="192">
        <f>SUMIFS(Internal_labour_inputs!CD$8:CD$295,Internal_labour_inputs!$B$8:$B$295,$B11)+SUMIFS(Outsourced_labour_inputs!CD$7:CD$297,Outsourced_labour_inputs!$B$7:$B$297,$B11)</f>
        <v>0</v>
      </c>
      <c r="BW11" s="192">
        <f>SUMIFS(Internal_labour_inputs!CE$8:CE$295,Internal_labour_inputs!$B$8:$B$295,$B11)+SUMIFS(Outsourced_labour_inputs!CE$7:CE$297,Outsourced_labour_inputs!$B$7:$B$297,$B11)</f>
        <v>0</v>
      </c>
      <c r="BX11" s="192">
        <f>SUMIFS(Internal_labour_inputs!CF$8:CF$295,Internal_labour_inputs!$B$8:$B$295,$B11)+SUMIFS(Outsourced_labour_inputs!CF$7:CF$297,Outsourced_labour_inputs!$B$7:$B$297,$B11)</f>
        <v>0</v>
      </c>
      <c r="BY11" s="192">
        <f>SUMIFS(Internal_labour_inputs!CG$8:CG$295,Internal_labour_inputs!$B$8:$B$295,$B11)+SUMIFS(Outsourced_labour_inputs!CG$7:CG$297,Outsourced_labour_inputs!$B$7:$B$297,$B11)</f>
        <v>0</v>
      </c>
      <c r="BZ11" s="192">
        <f>SUMIFS(Internal_labour_inputs!CH$8:CH$295,Internal_labour_inputs!$B$8:$B$295,$B11)+SUMIFS(Outsourced_labour_inputs!CH$7:CH$297,Outsourced_labour_inputs!$B$7:$B$297,$B11)</f>
        <v>0</v>
      </c>
      <c r="CA11" s="192">
        <f>SUMIFS(Internal_labour_inputs!CI$8:CI$295,Internal_labour_inputs!$B$8:$B$295,$B11)+SUMIFS(Outsourced_labour_inputs!CI$7:CI$297,Outsourced_labour_inputs!$B$7:$B$297,$B11)</f>
        <v>0</v>
      </c>
      <c r="CB11" s="192">
        <f>SUMIFS(Internal_labour_inputs!CJ$8:CJ$295,Internal_labour_inputs!$B$8:$B$295,$B11)+SUMIFS(Outsourced_labour_inputs!CJ$7:CJ$297,Outsourced_labour_inputs!$B$7:$B$297,$B11)</f>
        <v>0</v>
      </c>
      <c r="CC11" s="192">
        <f>SUMIFS(Internal_labour_inputs!CK$8:CK$295,Internal_labour_inputs!$B$8:$B$295,$B11)+SUMIFS(Outsourced_labour_inputs!CK$7:CK$297,Outsourced_labour_inputs!$B$7:$B$297,$B11)</f>
        <v>0</v>
      </c>
      <c r="CD11" s="192">
        <f>SUMIFS(Internal_labour_inputs!CL$8:CL$295,Internal_labour_inputs!$B$8:$B$295,$B11)+SUMIFS(Outsourced_labour_inputs!CL$7:CL$297,Outsourced_labour_inputs!$B$7:$B$297,$B11)</f>
        <v>0</v>
      </c>
      <c r="CE11" s="192">
        <f>SUMIFS(Internal_labour_inputs!CM$8:CM$295,Internal_labour_inputs!$B$8:$B$295,$B11)+SUMIFS(Outsourced_labour_inputs!CM$7:CM$297,Outsourced_labour_inputs!$B$7:$B$297,$B11)</f>
        <v>0</v>
      </c>
      <c r="CF11" s="192">
        <f>SUMIFS(Internal_labour_inputs!CN$8:CN$295,Internal_labour_inputs!$B$8:$B$295,$B11)+SUMIFS(Outsourced_labour_inputs!CN$7:CN$297,Outsourced_labour_inputs!$B$7:$B$297,$B11)</f>
        <v>0</v>
      </c>
      <c r="CG11" s="192">
        <f>SUMIFS(Internal_labour_inputs!CO$8:CO$295,Internal_labour_inputs!$B$8:$B$295,$B11)+SUMIFS(Outsourced_labour_inputs!CO$7:CO$297,Outsourced_labour_inputs!$B$7:$B$297,$B11)</f>
        <v>0</v>
      </c>
      <c r="CH11" s="192">
        <f>SUMIFS(Internal_labour_inputs!CP$8:CP$295,Internal_labour_inputs!$B$8:$B$295,$B11)+SUMIFS(Outsourced_labour_inputs!CP$7:CP$297,Outsourced_labour_inputs!$B$7:$B$297,$B11)</f>
        <v>0</v>
      </c>
      <c r="CI11" s="192">
        <f>SUM(C11:CH11)</f>
        <v>6.9992581453634086</v>
      </c>
      <c r="CJ11" s="192">
        <f t="shared" ref="CJ11:CJ16" si="0">AVERAGEIF($C$24:$CH$24,"&gt;0",C11:CH11)</f>
        <v>0.14581787802840435</v>
      </c>
      <c r="CK11" s="192">
        <f>AVERAGEIFS($X11:$CE11,$X$24:$CE$24,"&gt;0")</f>
        <v>3.7634408602150532E-2</v>
      </c>
      <c r="CL11" s="194"/>
    </row>
    <row r="12" spans="1:95" x14ac:dyDescent="0.3">
      <c r="B12" s="191" t="str">
        <v>Fleet</v>
      </c>
      <c r="C12" s="192">
        <f>SUMIFS(Internal_labour_inputs!K$8:K$295,Internal_labour_inputs!$B$8:$B$295,$B12)+SUMIFS(Outsourced_labour_inputs!K$7:K$297,Outsourced_labour_inputs!$B$7:$B$297,$B12)</f>
        <v>0</v>
      </c>
      <c r="D12" s="192">
        <f>SUMIFS(Internal_labour_inputs!L$8:L$295,Internal_labour_inputs!$B$8:$B$295,$B12)+SUMIFS(Outsourced_labour_inputs!L$7:L$297,Outsourced_labour_inputs!$B$7:$B$297,$B12)</f>
        <v>0</v>
      </c>
      <c r="E12" s="192">
        <f>SUMIFS(Internal_labour_inputs!M$8:M$295,Internal_labour_inputs!$B$8:$B$295,$B12)+SUMIFS(Outsourced_labour_inputs!M$7:M$297,Outsourced_labour_inputs!$B$7:$B$297,$B12)</f>
        <v>0</v>
      </c>
      <c r="F12" s="192">
        <f>SUMIFS(Internal_labour_inputs!N$8:N$295,Internal_labour_inputs!$B$8:$B$295,$B12)+SUMIFS(Outsourced_labour_inputs!N$7:N$297,Outsourced_labour_inputs!$B$7:$B$297,$B12)</f>
        <v>0</v>
      </c>
      <c r="G12" s="192">
        <f>SUMIFS(Internal_labour_inputs!O$8:O$295,Internal_labour_inputs!$B$8:$B$295,$B12)+SUMIFS(Outsourced_labour_inputs!O$7:O$297,Outsourced_labour_inputs!$B$7:$B$297,$B12)</f>
        <v>0</v>
      </c>
      <c r="H12" s="192">
        <f>SUMIFS(Internal_labour_inputs!P$8:P$295,Internal_labour_inputs!$B$8:$B$295,$B12)+SUMIFS(Outsourced_labour_inputs!P$7:P$297,Outsourced_labour_inputs!$B$7:$B$297,$B12)</f>
        <v>0</v>
      </c>
      <c r="I12" s="192">
        <f>SUMIFS(Internal_labour_inputs!Q$8:Q$295,Internal_labour_inputs!$B$8:$B$295,$B12)+SUMIFS(Outsourced_labour_inputs!Q$7:Q$297,Outsourced_labour_inputs!$B$7:$B$297,$B12)</f>
        <v>0</v>
      </c>
      <c r="J12" s="192">
        <f>SUMIFS(Internal_labour_inputs!R$8:R$295,Internal_labour_inputs!$B$8:$B$295,$B12)+SUMIFS(Outsourced_labour_inputs!R$7:R$297,Outsourced_labour_inputs!$B$7:$B$297,$B12)</f>
        <v>0</v>
      </c>
      <c r="K12" s="192">
        <f>SUMIFS(Internal_labour_inputs!S$8:S$295,Internal_labour_inputs!$B$8:$B$295,$B12)+SUMIFS(Outsourced_labour_inputs!S$7:S$297,Outsourced_labour_inputs!$B$7:$B$297,$B12)</f>
        <v>0</v>
      </c>
      <c r="L12" s="192">
        <f>SUMIFS(Internal_labour_inputs!T$8:T$295,Internal_labour_inputs!$B$8:$B$295,$B12)+SUMIFS(Outsourced_labour_inputs!T$7:T$297,Outsourced_labour_inputs!$B$7:$B$297,$B12)</f>
        <v>0</v>
      </c>
      <c r="M12" s="192">
        <f>SUMIFS(Internal_labour_inputs!U$8:U$295,Internal_labour_inputs!$B$8:$B$295,$B12)+SUMIFS(Outsourced_labour_inputs!U$7:U$297,Outsourced_labour_inputs!$B$7:$B$297,$B12)</f>
        <v>0</v>
      </c>
      <c r="N12" s="192">
        <f>SUMIFS(Internal_labour_inputs!V$8:V$295,Internal_labour_inputs!$B$8:$B$295,$B12)+SUMIFS(Outsourced_labour_inputs!V$7:V$297,Outsourced_labour_inputs!$B$7:$B$297,$B12)</f>
        <v>0</v>
      </c>
      <c r="O12" s="192">
        <f>SUMIFS(Internal_labour_inputs!W$8:W$295,Internal_labour_inputs!$B$8:$B$295,$B12)+SUMIFS(Outsourced_labour_inputs!W$7:W$297,Outsourced_labour_inputs!$B$7:$B$297,$B12)</f>
        <v>0</v>
      </c>
      <c r="P12" s="192">
        <f>SUMIFS(Internal_labour_inputs!X$8:X$295,Internal_labour_inputs!$B$8:$B$295,$B12)+SUMIFS(Outsourced_labour_inputs!X$7:X$297,Outsourced_labour_inputs!$B$7:$B$297,$B12)</f>
        <v>0</v>
      </c>
      <c r="Q12" s="192">
        <f>SUMIFS(Internal_labour_inputs!Y$8:Y$295,Internal_labour_inputs!$B$8:$B$295,$B12)+SUMIFS(Outsourced_labour_inputs!Y$7:Y$297,Outsourced_labour_inputs!$B$7:$B$297,$B12)</f>
        <v>0</v>
      </c>
      <c r="R12" s="192">
        <f>SUMIFS(Internal_labour_inputs!Z$8:Z$295,Internal_labour_inputs!$B$8:$B$295,$B12)+SUMIFS(Outsourced_labour_inputs!Z$7:Z$297,Outsourced_labour_inputs!$B$7:$B$297,$B12)</f>
        <v>0</v>
      </c>
      <c r="S12" s="192">
        <f>SUMIFS(Internal_labour_inputs!AA$8:AA$295,Internal_labour_inputs!$B$8:$B$295,$B12)+SUMIFS(Outsourced_labour_inputs!AA$7:AA$297,Outsourced_labour_inputs!$B$7:$B$297,$B12)</f>
        <v>0</v>
      </c>
      <c r="T12" s="192">
        <f>SUMIFS(Internal_labour_inputs!AB$8:AB$295,Internal_labour_inputs!$B$8:$B$295,$B12)+SUMIFS(Outsourced_labour_inputs!AB$7:AB$297,Outsourced_labour_inputs!$B$7:$B$297,$B12)</f>
        <v>0</v>
      </c>
      <c r="U12" s="192">
        <f>SUMIFS(Internal_labour_inputs!AC$8:AC$295,Internal_labour_inputs!$B$8:$B$295,$B12)+SUMIFS(Outsourced_labour_inputs!AC$7:AC$297,Outsourced_labour_inputs!$B$7:$B$297,$B12)</f>
        <v>0</v>
      </c>
      <c r="V12" s="192">
        <f>SUMIFS(Internal_labour_inputs!AD$8:AD$295,Internal_labour_inputs!$B$8:$B$295,$B12)+SUMIFS(Outsourced_labour_inputs!AD$7:AD$297,Outsourced_labour_inputs!$B$7:$B$297,$B12)</f>
        <v>0</v>
      </c>
      <c r="W12" s="192">
        <f>SUMIFS(Internal_labour_inputs!AE$8:AE$295,Internal_labour_inputs!$B$8:$B$295,$B12)+SUMIFS(Outsourced_labour_inputs!AE$7:AE$297,Outsourced_labour_inputs!$B$7:$B$297,$B12)</f>
        <v>0</v>
      </c>
      <c r="X12" s="192">
        <f>SUMIFS(Internal_labour_inputs!AF$8:AF$295,Internal_labour_inputs!$B$8:$B$295,$B12)+SUMIFS(Outsourced_labour_inputs!AF$7:AF$297,Outsourced_labour_inputs!$B$7:$B$297,$B12)</f>
        <v>0</v>
      </c>
      <c r="Y12" s="192">
        <f>SUMIFS(Internal_labour_inputs!AG$8:AG$295,Internal_labour_inputs!$B$8:$B$295,$B12)+SUMIFS(Outsourced_labour_inputs!AG$7:AG$297,Outsourced_labour_inputs!$B$7:$B$297,$B12)</f>
        <v>0</v>
      </c>
      <c r="Z12" s="192">
        <f>SUMIFS(Internal_labour_inputs!AH$8:AH$295,Internal_labour_inputs!$B$8:$B$295,$B12)+SUMIFS(Outsourced_labour_inputs!AH$7:AH$297,Outsourced_labour_inputs!$B$7:$B$297,$B12)</f>
        <v>0</v>
      </c>
      <c r="AA12" s="192">
        <f>SUMIFS(Internal_labour_inputs!AI$8:AI$295,Internal_labour_inputs!$B$8:$B$295,$B12)+SUMIFS(Outsourced_labour_inputs!AI$7:AI$297,Outsourced_labour_inputs!$B$7:$B$297,$B12)</f>
        <v>0</v>
      </c>
      <c r="AB12" s="192">
        <f>SUMIFS(Internal_labour_inputs!AJ$8:AJ$295,Internal_labour_inputs!$B$8:$B$295,$B12)+SUMIFS(Outsourced_labour_inputs!AJ$7:AJ$297,Outsourced_labour_inputs!$B$7:$B$297,$B12)</f>
        <v>0</v>
      </c>
      <c r="AC12" s="192">
        <f>SUMIFS(Internal_labour_inputs!AK$8:AK$295,Internal_labour_inputs!$B$8:$B$295,$B12)+SUMIFS(Outsourced_labour_inputs!AK$7:AK$297,Outsourced_labour_inputs!$B$7:$B$297,$B12)</f>
        <v>0</v>
      </c>
      <c r="AD12" s="192">
        <f>SUMIFS(Internal_labour_inputs!AL$8:AL$295,Internal_labour_inputs!$B$8:$B$295,$B12)+SUMIFS(Outsourced_labour_inputs!AL$7:AL$297,Outsourced_labour_inputs!$B$7:$B$297,$B12)</f>
        <v>0</v>
      </c>
      <c r="AE12" s="192">
        <f>SUMIFS(Internal_labour_inputs!AM$8:AM$295,Internal_labour_inputs!$B$8:$B$295,$B12)+SUMIFS(Outsourced_labour_inputs!AM$7:AM$297,Outsourced_labour_inputs!$B$7:$B$297,$B12)</f>
        <v>0</v>
      </c>
      <c r="AF12" s="192">
        <f>SUMIFS(Internal_labour_inputs!AN$8:AN$295,Internal_labour_inputs!$B$8:$B$295,$B12)+SUMIFS(Outsourced_labour_inputs!AN$7:AN$297,Outsourced_labour_inputs!$B$7:$B$297,$B12)</f>
        <v>0</v>
      </c>
      <c r="AG12" s="192">
        <f>SUMIFS(Internal_labour_inputs!AO$8:AO$295,Internal_labour_inputs!$B$8:$B$295,$B12)+SUMIFS(Outsourced_labour_inputs!AO$7:AO$297,Outsourced_labour_inputs!$B$7:$B$297,$B12)</f>
        <v>0</v>
      </c>
      <c r="AH12" s="192">
        <f>SUMIFS(Internal_labour_inputs!AP$8:AP$295,Internal_labour_inputs!$B$8:$B$295,$B12)+SUMIFS(Outsourced_labour_inputs!AP$7:AP$297,Outsourced_labour_inputs!$B$7:$B$297,$B12)</f>
        <v>0</v>
      </c>
      <c r="AI12" s="192">
        <f>SUMIFS(Internal_labour_inputs!AQ$8:AQ$295,Internal_labour_inputs!$B$8:$B$295,$B12)+SUMIFS(Outsourced_labour_inputs!AQ$7:AQ$297,Outsourced_labour_inputs!$B$7:$B$297,$B12)</f>
        <v>0</v>
      </c>
      <c r="AJ12" s="192">
        <f>SUMIFS(Internal_labour_inputs!AR$8:AR$295,Internal_labour_inputs!$B$8:$B$295,$B12)+SUMIFS(Outsourced_labour_inputs!AR$7:AR$297,Outsourced_labour_inputs!$B$7:$B$297,$B12)</f>
        <v>0</v>
      </c>
      <c r="AK12" s="192">
        <f>SUMIFS(Internal_labour_inputs!AS$8:AS$295,Internal_labour_inputs!$B$8:$B$295,$B12)+SUMIFS(Outsourced_labour_inputs!AS$7:AS$297,Outsourced_labour_inputs!$B$7:$B$297,$B12)</f>
        <v>0</v>
      </c>
      <c r="AL12" s="192">
        <f>SUMIFS(Internal_labour_inputs!AT$8:AT$295,Internal_labour_inputs!$B$8:$B$295,$B12)+SUMIFS(Outsourced_labour_inputs!AT$7:AT$297,Outsourced_labour_inputs!$B$7:$B$297,$B12)</f>
        <v>0</v>
      </c>
      <c r="AM12" s="192">
        <f>SUMIFS(Internal_labour_inputs!AU$8:AU$295,Internal_labour_inputs!$B$8:$B$295,$B12)+SUMIFS(Outsourced_labour_inputs!AU$7:AU$297,Outsourced_labour_inputs!$B$7:$B$297,$B12)</f>
        <v>0</v>
      </c>
      <c r="AN12" s="192">
        <f>SUMIFS(Internal_labour_inputs!AV$8:AV$295,Internal_labour_inputs!$B$8:$B$295,$B12)+SUMIFS(Outsourced_labour_inputs!AV$7:AV$297,Outsourced_labour_inputs!$B$7:$B$297,$B12)</f>
        <v>0</v>
      </c>
      <c r="AO12" s="192">
        <f>SUMIFS(Internal_labour_inputs!AW$8:AW$295,Internal_labour_inputs!$B$8:$B$295,$B12)+SUMIFS(Outsourced_labour_inputs!AW$7:AW$297,Outsourced_labour_inputs!$B$7:$B$297,$B12)</f>
        <v>0</v>
      </c>
      <c r="AP12" s="192">
        <f>SUMIFS(Internal_labour_inputs!AX$8:AX$295,Internal_labour_inputs!$B$8:$B$295,$B12)+SUMIFS(Outsourced_labour_inputs!AX$7:AX$297,Outsourced_labour_inputs!$B$7:$B$297,$B12)</f>
        <v>0</v>
      </c>
      <c r="AQ12" s="192">
        <f>SUMIFS(Internal_labour_inputs!AY$8:AY$295,Internal_labour_inputs!$B$8:$B$295,$B12)+SUMIFS(Outsourced_labour_inputs!AY$7:AY$297,Outsourced_labour_inputs!$B$7:$B$297,$B12)</f>
        <v>0</v>
      </c>
      <c r="AR12" s="192">
        <f>SUMIFS(Internal_labour_inputs!AZ$8:AZ$295,Internal_labour_inputs!$B$8:$B$295,$B12)+SUMIFS(Outsourced_labour_inputs!AZ$7:AZ$297,Outsourced_labour_inputs!$B$7:$B$297,$B12)</f>
        <v>0</v>
      </c>
      <c r="AS12" s="192">
        <f>SUMIFS(Internal_labour_inputs!BA$8:BA$295,Internal_labour_inputs!$B$8:$B$295,$B12)+SUMIFS(Outsourced_labour_inputs!BA$7:BA$297,Outsourced_labour_inputs!$B$7:$B$297,$B12)</f>
        <v>0</v>
      </c>
      <c r="AT12" s="192">
        <f>SUMIFS(Internal_labour_inputs!BB$8:BB$295,Internal_labour_inputs!$B$8:$B$295,$B12)+SUMIFS(Outsourced_labour_inputs!BB$7:BB$297,Outsourced_labour_inputs!$B$7:$B$297,$B12)</f>
        <v>0</v>
      </c>
      <c r="AU12" s="192">
        <f>SUMIFS(Internal_labour_inputs!BC$8:BC$295,Internal_labour_inputs!$B$8:$B$295,$B12)+SUMIFS(Outsourced_labour_inputs!BC$7:BC$297,Outsourced_labour_inputs!$B$7:$B$297,$B12)</f>
        <v>0</v>
      </c>
      <c r="AV12" s="192">
        <f>SUMIFS(Internal_labour_inputs!BD$8:BD$295,Internal_labour_inputs!$B$8:$B$295,$B12)+SUMIFS(Outsourced_labour_inputs!BD$7:BD$297,Outsourced_labour_inputs!$B$7:$B$297,$B12)</f>
        <v>0</v>
      </c>
      <c r="AW12" s="192">
        <f>SUMIFS(Internal_labour_inputs!BE$8:BE$295,Internal_labour_inputs!$B$8:$B$295,$B12)+SUMIFS(Outsourced_labour_inputs!BE$7:BE$297,Outsourced_labour_inputs!$B$7:$B$297,$B12)</f>
        <v>0</v>
      </c>
      <c r="AX12" s="192">
        <f>SUMIFS(Internal_labour_inputs!BF$8:BF$295,Internal_labour_inputs!$B$8:$B$295,$B12)+SUMIFS(Outsourced_labour_inputs!BF$7:BF$297,Outsourced_labour_inputs!$B$7:$B$297,$B12)</f>
        <v>0</v>
      </c>
      <c r="AY12" s="192">
        <f>SUMIFS(Internal_labour_inputs!BG$8:BG$295,Internal_labour_inputs!$B$8:$B$295,$B12)+SUMIFS(Outsourced_labour_inputs!BG$7:BG$297,Outsourced_labour_inputs!$B$7:$B$297,$B12)</f>
        <v>0</v>
      </c>
      <c r="AZ12" s="192">
        <f>SUMIFS(Internal_labour_inputs!BH$8:BH$295,Internal_labour_inputs!$B$8:$B$295,$B12)+SUMIFS(Outsourced_labour_inputs!BH$7:BH$297,Outsourced_labour_inputs!$B$7:$B$297,$B12)</f>
        <v>0</v>
      </c>
      <c r="BA12" s="192">
        <f>SUMIFS(Internal_labour_inputs!BI$8:BI$295,Internal_labour_inputs!$B$8:$B$295,$B12)+SUMIFS(Outsourced_labour_inputs!BI$7:BI$297,Outsourced_labour_inputs!$B$7:$B$297,$B12)</f>
        <v>0</v>
      </c>
      <c r="BB12" s="192">
        <f>SUMIFS(Internal_labour_inputs!BJ$8:BJ$295,Internal_labour_inputs!$B$8:$B$295,$B12)+SUMIFS(Outsourced_labour_inputs!BJ$7:BJ$297,Outsourced_labour_inputs!$B$7:$B$297,$B12)</f>
        <v>0</v>
      </c>
      <c r="BC12" s="192">
        <f>SUMIFS(Internal_labour_inputs!BK$8:BK$295,Internal_labour_inputs!$B$8:$B$295,$B12)+SUMIFS(Outsourced_labour_inputs!BK$7:BK$297,Outsourced_labour_inputs!$B$7:$B$297,$B12)</f>
        <v>0</v>
      </c>
      <c r="BD12" s="192">
        <f>SUMIFS(Internal_labour_inputs!BL$8:BL$295,Internal_labour_inputs!$B$8:$B$295,$B12)+SUMIFS(Outsourced_labour_inputs!BL$7:BL$297,Outsourced_labour_inputs!$B$7:$B$297,$B12)</f>
        <v>0</v>
      </c>
      <c r="BE12" s="192">
        <f>SUMIFS(Internal_labour_inputs!BM$8:BM$295,Internal_labour_inputs!$B$8:$B$295,$B12)+SUMIFS(Outsourced_labour_inputs!BM$7:BM$297,Outsourced_labour_inputs!$B$7:$B$297,$B12)</f>
        <v>0</v>
      </c>
      <c r="BF12" s="192">
        <f>SUMIFS(Internal_labour_inputs!BN$8:BN$295,Internal_labour_inputs!$B$8:$B$295,$B12)+SUMIFS(Outsourced_labour_inputs!BN$7:BN$297,Outsourced_labour_inputs!$B$7:$B$297,$B12)</f>
        <v>0</v>
      </c>
      <c r="BG12" s="192">
        <f>SUMIFS(Internal_labour_inputs!BO$8:BO$295,Internal_labour_inputs!$B$8:$B$295,$B12)+SUMIFS(Outsourced_labour_inputs!BO$7:BO$297,Outsourced_labour_inputs!$B$7:$B$297,$B12)</f>
        <v>0</v>
      </c>
      <c r="BH12" s="192">
        <f>SUMIFS(Internal_labour_inputs!BP$8:BP$295,Internal_labour_inputs!$B$8:$B$295,$B12)+SUMIFS(Outsourced_labour_inputs!BP$7:BP$297,Outsourced_labour_inputs!$B$7:$B$297,$B12)</f>
        <v>0</v>
      </c>
      <c r="BI12" s="192">
        <f>SUMIFS(Internal_labour_inputs!BQ$8:BQ$295,Internal_labour_inputs!$B$8:$B$295,$B12)+SUMIFS(Outsourced_labour_inputs!BQ$7:BQ$297,Outsourced_labour_inputs!$B$7:$B$297,$B12)</f>
        <v>0</v>
      </c>
      <c r="BJ12" s="192">
        <f>SUMIFS(Internal_labour_inputs!BR$8:BR$295,Internal_labour_inputs!$B$8:$B$295,$B12)+SUMIFS(Outsourced_labour_inputs!BR$7:BR$297,Outsourced_labour_inputs!$B$7:$B$297,$B12)</f>
        <v>0</v>
      </c>
      <c r="BK12" s="192">
        <f>SUMIFS(Internal_labour_inputs!BS$8:BS$295,Internal_labour_inputs!$B$8:$B$295,$B12)+SUMIFS(Outsourced_labour_inputs!BS$7:BS$297,Outsourced_labour_inputs!$B$7:$B$297,$B12)</f>
        <v>0</v>
      </c>
      <c r="BL12" s="192">
        <f>SUMIFS(Internal_labour_inputs!BT$8:BT$295,Internal_labour_inputs!$B$8:$B$295,$B12)+SUMIFS(Outsourced_labour_inputs!BT$7:BT$297,Outsourced_labour_inputs!$B$7:$B$297,$B12)</f>
        <v>0</v>
      </c>
      <c r="BM12" s="192">
        <f>SUMIFS(Internal_labour_inputs!BU$8:BU$295,Internal_labour_inputs!$B$8:$B$295,$B12)+SUMIFS(Outsourced_labour_inputs!BU$7:BU$297,Outsourced_labour_inputs!$B$7:$B$297,$B12)</f>
        <v>0</v>
      </c>
      <c r="BN12" s="192">
        <f>SUMIFS(Internal_labour_inputs!BV$8:BV$295,Internal_labour_inputs!$B$8:$B$295,$B12)+SUMIFS(Outsourced_labour_inputs!BV$7:BV$297,Outsourced_labour_inputs!$B$7:$B$297,$B12)</f>
        <v>0</v>
      </c>
      <c r="BO12" s="192">
        <f>SUMIFS(Internal_labour_inputs!BW$8:BW$295,Internal_labour_inputs!$B$8:$B$295,$B12)+SUMIFS(Outsourced_labour_inputs!BW$7:BW$297,Outsourced_labour_inputs!$B$7:$B$297,$B12)</f>
        <v>0</v>
      </c>
      <c r="BP12" s="192">
        <f>SUMIFS(Internal_labour_inputs!BX$8:BX$295,Internal_labour_inputs!$B$8:$B$295,$B12)+SUMIFS(Outsourced_labour_inputs!BX$7:BX$297,Outsourced_labour_inputs!$B$7:$B$297,$B12)</f>
        <v>0</v>
      </c>
      <c r="BQ12" s="192">
        <f>SUMIFS(Internal_labour_inputs!BY$8:BY$295,Internal_labour_inputs!$B$8:$B$295,$B12)+SUMIFS(Outsourced_labour_inputs!BY$7:BY$297,Outsourced_labour_inputs!$B$7:$B$297,$B12)</f>
        <v>0</v>
      </c>
      <c r="BR12" s="192">
        <f>SUMIFS(Internal_labour_inputs!BZ$8:BZ$295,Internal_labour_inputs!$B$8:$B$295,$B12)+SUMIFS(Outsourced_labour_inputs!BZ$7:BZ$297,Outsourced_labour_inputs!$B$7:$B$297,$B12)</f>
        <v>0</v>
      </c>
      <c r="BS12" s="192">
        <f>SUMIFS(Internal_labour_inputs!CA$8:CA$295,Internal_labour_inputs!$B$8:$B$295,$B12)+SUMIFS(Outsourced_labour_inputs!CA$7:CA$297,Outsourced_labour_inputs!$B$7:$B$297,$B12)</f>
        <v>0</v>
      </c>
      <c r="BT12" s="192">
        <f>SUMIFS(Internal_labour_inputs!CB$8:CB$295,Internal_labour_inputs!$B$8:$B$295,$B12)+SUMIFS(Outsourced_labour_inputs!CB$7:CB$297,Outsourced_labour_inputs!$B$7:$B$297,$B12)</f>
        <v>0</v>
      </c>
      <c r="BU12" s="192">
        <f>SUMIFS(Internal_labour_inputs!CC$8:CC$295,Internal_labour_inputs!$B$8:$B$295,$B12)+SUMIFS(Outsourced_labour_inputs!CC$7:CC$297,Outsourced_labour_inputs!$B$7:$B$297,$B12)</f>
        <v>0</v>
      </c>
      <c r="BV12" s="192">
        <f>SUMIFS(Internal_labour_inputs!CD$8:CD$295,Internal_labour_inputs!$B$8:$B$295,$B12)+SUMIFS(Outsourced_labour_inputs!CD$7:CD$297,Outsourced_labour_inputs!$B$7:$B$297,$B12)</f>
        <v>0</v>
      </c>
      <c r="BW12" s="192">
        <f>SUMIFS(Internal_labour_inputs!CE$8:CE$295,Internal_labour_inputs!$B$8:$B$295,$B12)+SUMIFS(Outsourced_labour_inputs!CE$7:CE$297,Outsourced_labour_inputs!$B$7:$B$297,$B12)</f>
        <v>0</v>
      </c>
      <c r="BX12" s="192">
        <f>SUMIFS(Internal_labour_inputs!CF$8:CF$295,Internal_labour_inputs!$B$8:$B$295,$B12)+SUMIFS(Outsourced_labour_inputs!CF$7:CF$297,Outsourced_labour_inputs!$B$7:$B$297,$B12)</f>
        <v>0</v>
      </c>
      <c r="BY12" s="192">
        <f>SUMIFS(Internal_labour_inputs!CG$8:CG$295,Internal_labour_inputs!$B$8:$B$295,$B12)+SUMIFS(Outsourced_labour_inputs!CG$7:CG$297,Outsourced_labour_inputs!$B$7:$B$297,$B12)</f>
        <v>0</v>
      </c>
      <c r="BZ12" s="192">
        <f>SUMIFS(Internal_labour_inputs!CH$8:CH$295,Internal_labour_inputs!$B$8:$B$295,$B12)+SUMIFS(Outsourced_labour_inputs!CH$7:CH$297,Outsourced_labour_inputs!$B$7:$B$297,$B12)</f>
        <v>0</v>
      </c>
      <c r="CA12" s="192">
        <f>SUMIFS(Internal_labour_inputs!CI$8:CI$295,Internal_labour_inputs!$B$8:$B$295,$B12)+SUMIFS(Outsourced_labour_inputs!CI$7:CI$297,Outsourced_labour_inputs!$B$7:$B$297,$B12)</f>
        <v>0</v>
      </c>
      <c r="CB12" s="192">
        <f>SUMIFS(Internal_labour_inputs!CJ$8:CJ$295,Internal_labour_inputs!$B$8:$B$295,$B12)+SUMIFS(Outsourced_labour_inputs!CJ$7:CJ$297,Outsourced_labour_inputs!$B$7:$B$297,$B12)</f>
        <v>0</v>
      </c>
      <c r="CC12" s="192">
        <f>SUMIFS(Internal_labour_inputs!CK$8:CK$295,Internal_labour_inputs!$B$8:$B$295,$B12)+SUMIFS(Outsourced_labour_inputs!CK$7:CK$297,Outsourced_labour_inputs!$B$7:$B$297,$B12)</f>
        <v>0</v>
      </c>
      <c r="CD12" s="192">
        <f>SUMIFS(Internal_labour_inputs!CL$8:CL$295,Internal_labour_inputs!$B$8:$B$295,$B12)+SUMIFS(Outsourced_labour_inputs!CL$7:CL$297,Outsourced_labour_inputs!$B$7:$B$297,$B12)</f>
        <v>0</v>
      </c>
      <c r="CE12" s="192">
        <f>SUMIFS(Internal_labour_inputs!CM$8:CM$295,Internal_labour_inputs!$B$8:$B$295,$B12)+SUMIFS(Outsourced_labour_inputs!CM$7:CM$297,Outsourced_labour_inputs!$B$7:$B$297,$B12)</f>
        <v>0</v>
      </c>
      <c r="CF12" s="192">
        <f>SUMIFS(Internal_labour_inputs!CN$8:CN$295,Internal_labour_inputs!$B$8:$B$295,$B12)+SUMIFS(Outsourced_labour_inputs!CN$7:CN$297,Outsourced_labour_inputs!$B$7:$B$297,$B12)</f>
        <v>0</v>
      </c>
      <c r="CG12" s="192">
        <f>SUMIFS(Internal_labour_inputs!CO$8:CO$295,Internal_labour_inputs!$B$8:$B$295,$B12)+SUMIFS(Outsourced_labour_inputs!CO$7:CO$297,Outsourced_labour_inputs!$B$7:$B$297,$B12)</f>
        <v>0</v>
      </c>
      <c r="CH12" s="192">
        <f>SUMIFS(Internal_labour_inputs!CP$8:CP$295,Internal_labour_inputs!$B$8:$B$295,$B12)+SUMIFS(Outsourced_labour_inputs!CP$7:CP$297,Outsourced_labour_inputs!$B$7:$B$297,$B12)</f>
        <v>0</v>
      </c>
      <c r="CI12" s="192">
        <f t="shared" ref="CI12:CI15" si="1">SUM(C12:CH12)</f>
        <v>0</v>
      </c>
      <c r="CJ12" s="192">
        <f t="shared" si="0"/>
        <v>0</v>
      </c>
      <c r="CK12" s="192">
        <f t="shared" ref="CK12:CK24" si="2">AVERAGEIFS($X12:$CE12,$X$24:$CE$24,"&gt;0")</f>
        <v>0</v>
      </c>
      <c r="CL12" s="194"/>
    </row>
    <row r="13" spans="1:95" x14ac:dyDescent="0.3">
      <c r="B13" s="191" t="str">
        <v>Land and Environment</v>
      </c>
      <c r="C13" s="192">
        <f>SUMIFS(Internal_labour_inputs!K$8:K$295,Internal_labour_inputs!$B$8:$B$295,$B13)+SUMIFS(Outsourced_labour_inputs!K$7:K$297,Outsourced_labour_inputs!$B$7:$B$297,$B13)</f>
        <v>0</v>
      </c>
      <c r="D13" s="192">
        <f>SUMIFS(Internal_labour_inputs!L$8:L$295,Internal_labour_inputs!$B$8:$B$295,$B13)+SUMIFS(Outsourced_labour_inputs!L$7:L$297,Outsourced_labour_inputs!$B$7:$B$297,$B13)</f>
        <v>0</v>
      </c>
      <c r="E13" s="192">
        <f>SUMIFS(Internal_labour_inputs!M$8:M$295,Internal_labour_inputs!$B$8:$B$295,$B13)+SUMIFS(Outsourced_labour_inputs!M$7:M$297,Outsourced_labour_inputs!$B$7:$B$297,$B13)</f>
        <v>0</v>
      </c>
      <c r="F13" s="192">
        <f>SUMIFS(Internal_labour_inputs!N$8:N$295,Internal_labour_inputs!$B$8:$B$295,$B13)+SUMIFS(Outsourced_labour_inputs!N$7:N$297,Outsourced_labour_inputs!$B$7:$B$297,$B13)</f>
        <v>0</v>
      </c>
      <c r="G13" s="192">
        <f>SUMIFS(Internal_labour_inputs!O$8:O$295,Internal_labour_inputs!$B$8:$B$295,$B13)+SUMIFS(Outsourced_labour_inputs!O$7:O$297,Outsourced_labour_inputs!$B$7:$B$297,$B13)</f>
        <v>0</v>
      </c>
      <c r="H13" s="192">
        <f>SUMIFS(Internal_labour_inputs!P$8:P$295,Internal_labour_inputs!$B$8:$B$295,$B13)+SUMIFS(Outsourced_labour_inputs!P$7:P$297,Outsourced_labour_inputs!$B$7:$B$297,$B13)</f>
        <v>0.15868421052631576</v>
      </c>
      <c r="I13" s="192">
        <f>SUMIFS(Internal_labour_inputs!Q$8:Q$295,Internal_labour_inputs!$B$8:$B$295,$B13)+SUMIFS(Outsourced_labour_inputs!Q$7:Q$297,Outsourced_labour_inputs!$B$7:$B$297,$B13)</f>
        <v>1.1181428571428575</v>
      </c>
      <c r="J13" s="192">
        <f>SUMIFS(Internal_labour_inputs!R$8:R$295,Internal_labour_inputs!$B$8:$B$295,$B13)+SUMIFS(Outsourced_labour_inputs!R$7:R$297,Outsourced_labour_inputs!$B$7:$B$297,$B13)</f>
        <v>0.94071428571428606</v>
      </c>
      <c r="K13" s="192">
        <f>SUMIFS(Internal_labour_inputs!S$8:S$295,Internal_labour_inputs!$B$8:$B$295,$B13)+SUMIFS(Outsourced_labour_inputs!S$7:S$297,Outsourced_labour_inputs!$B$7:$B$297,$B13)</f>
        <v>1.1078571428571431</v>
      </c>
      <c r="L13" s="192">
        <f>SUMIFS(Internal_labour_inputs!T$8:T$295,Internal_labour_inputs!$B$8:$B$295,$B13)+SUMIFS(Outsourced_labour_inputs!T$7:T$297,Outsourced_labour_inputs!$B$7:$B$297,$B13)</f>
        <v>1.3082857142857147</v>
      </c>
      <c r="M13" s="192">
        <f>SUMIFS(Internal_labour_inputs!U$8:U$295,Internal_labour_inputs!$B$8:$B$295,$B13)+SUMIFS(Outsourced_labour_inputs!U$7:U$297,Outsourced_labour_inputs!$B$7:$B$297,$B13)</f>
        <v>0.96571428571428597</v>
      </c>
      <c r="N13" s="192">
        <f>SUMIFS(Internal_labour_inputs!V$8:V$295,Internal_labour_inputs!$B$8:$B$295,$B13)+SUMIFS(Outsourced_labour_inputs!V$7:V$297,Outsourced_labour_inputs!$B$7:$B$297,$B13)</f>
        <v>1.2537142857142862</v>
      </c>
      <c r="O13" s="192">
        <f>SUMIFS(Internal_labour_inputs!W$8:W$295,Internal_labour_inputs!$B$8:$B$295,$B13)+SUMIFS(Outsourced_labour_inputs!W$7:W$297,Outsourced_labour_inputs!$B$7:$B$297,$B13)</f>
        <v>0.53980952380952385</v>
      </c>
      <c r="P13" s="192">
        <f>SUMIFS(Internal_labour_inputs!X$8:X$295,Internal_labour_inputs!$B$8:$B$295,$B13)+SUMIFS(Outsourced_labour_inputs!X$7:X$297,Outsourced_labour_inputs!$B$7:$B$297,$B13)</f>
        <v>0.75</v>
      </c>
      <c r="Q13" s="192">
        <f>SUMIFS(Internal_labour_inputs!Y$8:Y$295,Internal_labour_inputs!$B$8:$B$295,$B13)+SUMIFS(Outsourced_labour_inputs!Y$7:Y$297,Outsourced_labour_inputs!$B$7:$B$297,$B13)</f>
        <v>1.3500000000000003</v>
      </c>
      <c r="R13" s="192">
        <f>SUMIFS(Internal_labour_inputs!Z$8:Z$295,Internal_labour_inputs!$B$8:$B$295,$B13)+SUMIFS(Outsourced_labour_inputs!Z$7:Z$297,Outsourced_labour_inputs!$B$7:$B$297,$B13)</f>
        <v>1.4</v>
      </c>
      <c r="S13" s="192">
        <f>SUMIFS(Internal_labour_inputs!AA$8:AA$295,Internal_labour_inputs!$B$8:$B$295,$B13)+SUMIFS(Outsourced_labour_inputs!AA$7:AA$297,Outsourced_labour_inputs!$B$7:$B$297,$B13)</f>
        <v>3.3750000000000018</v>
      </c>
      <c r="T13" s="192">
        <f>SUMIFS(Internal_labour_inputs!AB$8:AB$295,Internal_labour_inputs!$B$8:$B$295,$B13)+SUMIFS(Outsourced_labour_inputs!AB$7:AB$297,Outsourced_labour_inputs!$B$7:$B$297,$B13)</f>
        <v>3.5065789473684221</v>
      </c>
      <c r="U13" s="192">
        <f>SUMIFS(Internal_labour_inputs!AC$8:AC$295,Internal_labour_inputs!$B$8:$B$295,$B13)+SUMIFS(Outsourced_labour_inputs!AC$7:AC$297,Outsourced_labour_inputs!$B$7:$B$297,$B13)</f>
        <v>4.1928571428571422</v>
      </c>
      <c r="V13" s="192">
        <f>SUMIFS(Internal_labour_inputs!AD$8:AD$295,Internal_labour_inputs!$B$8:$B$295,$B13)+SUMIFS(Outsourced_labour_inputs!AD$7:AD$297,Outsourced_labour_inputs!$B$7:$B$297,$B13)</f>
        <v>3.5285714285714285</v>
      </c>
      <c r="W13" s="192">
        <f>SUMIFS(Internal_labour_inputs!AE$8:AE$295,Internal_labour_inputs!$B$8:$B$295,$B13)+SUMIFS(Outsourced_labour_inputs!AE$7:AE$297,Outsourced_labour_inputs!$B$7:$B$297,$B13)</f>
        <v>3.257142857142858</v>
      </c>
      <c r="X13" s="192">
        <f>SUMIFS(Internal_labour_inputs!AF$8:AF$295,Internal_labour_inputs!$B$8:$B$295,$B13)+SUMIFS(Outsourced_labour_inputs!AF$7:AF$297,Outsourced_labour_inputs!$B$7:$B$297,$B13)</f>
        <v>3.257142857142858</v>
      </c>
      <c r="Y13" s="192">
        <f>SUMIFS(Internal_labour_inputs!AG$8:AG$295,Internal_labour_inputs!$B$8:$B$295,$B13)+SUMIFS(Outsourced_labour_inputs!AG$7:AG$297,Outsourced_labour_inputs!$B$7:$B$297,$B13)</f>
        <v>3.1142857142857143</v>
      </c>
      <c r="Z13" s="192">
        <f>SUMIFS(Internal_labour_inputs!AH$8:AH$295,Internal_labour_inputs!$B$8:$B$295,$B13)+SUMIFS(Outsourced_labour_inputs!AH$7:AH$297,Outsourced_labour_inputs!$B$7:$B$297,$B13)</f>
        <v>3.2000000000000006</v>
      </c>
      <c r="AA13" s="192">
        <f>SUMIFS(Internal_labour_inputs!AI$8:AI$295,Internal_labour_inputs!$B$8:$B$295,$B13)+SUMIFS(Outsourced_labour_inputs!AI$7:AI$297,Outsourced_labour_inputs!$B$7:$B$297,$B13)</f>
        <v>5.7523809523809533</v>
      </c>
      <c r="AB13" s="192">
        <f>SUMIFS(Internal_labour_inputs!AJ$8:AJ$295,Internal_labour_inputs!$B$8:$B$295,$B13)+SUMIFS(Outsourced_labour_inputs!AJ$7:AJ$297,Outsourced_labour_inputs!$B$7:$B$297,$B13)</f>
        <v>2.9714285714285715</v>
      </c>
      <c r="AC13" s="192">
        <f>SUMIFS(Internal_labour_inputs!AK$8:AK$295,Internal_labour_inputs!$B$8:$B$295,$B13)+SUMIFS(Outsourced_labour_inputs!AK$7:AK$297,Outsourced_labour_inputs!$B$7:$B$297,$B13)</f>
        <v>2.9714285714285715</v>
      </c>
      <c r="AD13" s="192">
        <f>SUMIFS(Internal_labour_inputs!AL$8:AL$295,Internal_labour_inputs!$B$8:$B$295,$B13)+SUMIFS(Outsourced_labour_inputs!AL$7:AL$297,Outsourced_labour_inputs!$B$7:$B$297,$B13)</f>
        <v>4.5333333333333341</v>
      </c>
      <c r="AE13" s="192">
        <f>SUMIFS(Internal_labour_inputs!AM$8:AM$295,Internal_labour_inputs!$B$8:$B$295,$B13)+SUMIFS(Outsourced_labour_inputs!AM$7:AM$297,Outsourced_labour_inputs!$B$7:$B$297,$B13)</f>
        <v>3.1578947368421053</v>
      </c>
      <c r="AF13" s="192">
        <f>SUMIFS(Internal_labour_inputs!AN$8:AN$295,Internal_labour_inputs!$B$8:$B$295,$B13)+SUMIFS(Outsourced_labour_inputs!AN$7:AN$297,Outsourced_labour_inputs!$B$7:$B$297,$B13)</f>
        <v>3.026315789473685</v>
      </c>
      <c r="AG13" s="192">
        <f>SUMIFS(Internal_labour_inputs!AO$8:AO$295,Internal_labour_inputs!$B$8:$B$295,$B13)+SUMIFS(Outsourced_labour_inputs!AO$7:AO$297,Outsourced_labour_inputs!$B$7:$B$297,$B13)</f>
        <v>3.257142857142858</v>
      </c>
      <c r="AH13" s="192">
        <f>SUMIFS(Internal_labour_inputs!AP$8:AP$295,Internal_labour_inputs!$B$8:$B$295,$B13)+SUMIFS(Outsourced_labour_inputs!AP$7:AP$297,Outsourced_labour_inputs!$B$7:$B$297,$B13)</f>
        <v>3.1142857142857143</v>
      </c>
      <c r="AI13" s="192">
        <f>SUMIFS(Internal_labour_inputs!AQ$8:AQ$295,Internal_labour_inputs!$B$8:$B$295,$B13)+SUMIFS(Outsourced_labour_inputs!AQ$7:AQ$297,Outsourced_labour_inputs!$B$7:$B$297,$B13)</f>
        <v>3.257142857142858</v>
      </c>
      <c r="AJ13" s="192">
        <f>SUMIFS(Internal_labour_inputs!AR$8:AR$295,Internal_labour_inputs!$B$8:$B$295,$B13)+SUMIFS(Outsourced_labour_inputs!AR$7:AR$297,Outsourced_labour_inputs!$B$7:$B$297,$B13)</f>
        <v>3.257142857142858</v>
      </c>
      <c r="AK13" s="192">
        <f>SUMIFS(Internal_labour_inputs!AS$8:AS$295,Internal_labour_inputs!$B$8:$B$295,$B13)+SUMIFS(Outsourced_labour_inputs!AS$7:AS$297,Outsourced_labour_inputs!$B$7:$B$297,$B13)</f>
        <v>3.4571428571428569</v>
      </c>
      <c r="AL13" s="192">
        <f>SUMIFS(Internal_labour_inputs!AT$8:AT$295,Internal_labour_inputs!$B$8:$B$295,$B13)+SUMIFS(Outsourced_labour_inputs!AT$7:AT$297,Outsourced_labour_inputs!$B$7:$B$297,$B13)</f>
        <v>3.5047619047619047</v>
      </c>
      <c r="AM13" s="192">
        <f>SUMIFS(Internal_labour_inputs!AU$8:AU$295,Internal_labour_inputs!$B$8:$B$295,$B13)+SUMIFS(Outsourced_labour_inputs!AU$7:AU$297,Outsourced_labour_inputs!$B$7:$B$297,$B13)</f>
        <v>4.9904761904761896</v>
      </c>
      <c r="AN13" s="192">
        <f>SUMIFS(Internal_labour_inputs!AV$8:AV$295,Internal_labour_inputs!$B$8:$B$295,$B13)+SUMIFS(Outsourced_labour_inputs!AV$7:AV$297,Outsourced_labour_inputs!$B$7:$B$297,$B13)</f>
        <v>2.9714285714285715</v>
      </c>
      <c r="AO13" s="192">
        <f>SUMIFS(Internal_labour_inputs!AW$8:AW$295,Internal_labour_inputs!$B$8:$B$295,$B13)+SUMIFS(Outsourced_labour_inputs!AW$7:AW$297,Outsourced_labour_inputs!$B$7:$B$297,$B13)</f>
        <v>3.399999999999999</v>
      </c>
      <c r="AP13" s="192">
        <f>SUMIFS(Internal_labour_inputs!AX$8:AX$295,Internal_labour_inputs!$B$8:$B$295,$B13)+SUMIFS(Outsourced_labour_inputs!AX$7:AX$297,Outsourced_labour_inputs!$B$7:$B$297,$B13)</f>
        <v>3.961904761904762</v>
      </c>
      <c r="AQ13" s="192">
        <f>SUMIFS(Internal_labour_inputs!AY$8:AY$295,Internal_labour_inputs!$B$8:$B$295,$B13)+SUMIFS(Outsourced_labour_inputs!AY$7:AY$297,Outsourced_labour_inputs!$B$7:$B$297,$B13)</f>
        <v>3.447368421052631</v>
      </c>
      <c r="AR13" s="192">
        <f>SUMIFS(Internal_labour_inputs!AZ$8:AZ$295,Internal_labour_inputs!$B$8:$B$295,$B13)+SUMIFS(Outsourced_labour_inputs!AZ$7:AZ$297,Outsourced_labour_inputs!$B$7:$B$297,$B13)</f>
        <v>3.447368421052631</v>
      </c>
      <c r="AS13" s="192">
        <f>SUMIFS(Internal_labour_inputs!BA$8:BA$295,Internal_labour_inputs!$B$8:$B$295,$B13)+SUMIFS(Outsourced_labour_inputs!BA$7:BA$297,Outsourced_labour_inputs!$B$7:$B$297,$B13)</f>
        <v>2.9714285714285715</v>
      </c>
      <c r="AT13" s="192">
        <f>SUMIFS(Internal_labour_inputs!BB$8:BB$295,Internal_labour_inputs!$B$8:$B$295,$B13)+SUMIFS(Outsourced_labour_inputs!BB$7:BB$297,Outsourced_labour_inputs!$B$7:$B$297,$B13)</f>
        <v>3.257142857142858</v>
      </c>
      <c r="AU13" s="192">
        <f>SUMIFS(Internal_labour_inputs!BC$8:BC$295,Internal_labour_inputs!$B$8:$B$295,$B13)+SUMIFS(Outsourced_labour_inputs!BC$7:BC$297,Outsourced_labour_inputs!$B$7:$B$297,$B13)</f>
        <v>2.4914285714285715</v>
      </c>
      <c r="AV13" s="192">
        <f>SUMIFS(Internal_labour_inputs!BD$8:BD$295,Internal_labour_inputs!$B$8:$B$295,$B13)+SUMIFS(Outsourced_labour_inputs!BD$7:BD$297,Outsourced_labour_inputs!$B$7:$B$297,$B13)</f>
        <v>2.6057142857142859</v>
      </c>
      <c r="AW13" s="192">
        <f>SUMIFS(Internal_labour_inputs!BE$8:BE$295,Internal_labour_inputs!$B$8:$B$295,$B13)+SUMIFS(Outsourced_labour_inputs!BE$7:BE$297,Outsourced_labour_inputs!$B$7:$B$297,$B13)</f>
        <v>0.72</v>
      </c>
      <c r="AX13" s="192">
        <f>SUMIFS(Internal_labour_inputs!BF$8:BF$295,Internal_labour_inputs!$B$8:$B$295,$B13)+SUMIFS(Outsourced_labour_inputs!BF$7:BF$297,Outsourced_labour_inputs!$B$7:$B$297,$B13)</f>
        <v>0.62476190476190474</v>
      </c>
      <c r="AY13" s="192">
        <f>SUMIFS(Internal_labour_inputs!BG$8:BG$295,Internal_labour_inputs!$B$8:$B$295,$B13)+SUMIFS(Outsourced_labour_inputs!BG$7:BG$297,Outsourced_labour_inputs!$B$7:$B$297,$B13)</f>
        <v>0</v>
      </c>
      <c r="AZ13" s="192">
        <f>SUMIFS(Internal_labour_inputs!BH$8:BH$295,Internal_labour_inputs!$B$8:$B$295,$B13)+SUMIFS(Outsourced_labour_inputs!BH$7:BH$297,Outsourced_labour_inputs!$B$7:$B$297,$B13)</f>
        <v>0</v>
      </c>
      <c r="BA13" s="192">
        <f>SUMIFS(Internal_labour_inputs!BI$8:BI$295,Internal_labour_inputs!$B$8:$B$295,$B13)+SUMIFS(Outsourced_labour_inputs!BI$7:BI$297,Outsourced_labour_inputs!$B$7:$B$297,$B13)</f>
        <v>0</v>
      </c>
      <c r="BB13" s="192">
        <f>SUMIFS(Internal_labour_inputs!BJ$8:BJ$295,Internal_labour_inputs!$B$8:$B$295,$B13)+SUMIFS(Outsourced_labour_inputs!BJ$7:BJ$297,Outsourced_labour_inputs!$B$7:$B$297,$B13)</f>
        <v>0</v>
      </c>
      <c r="BC13" s="192">
        <f>SUMIFS(Internal_labour_inputs!BK$8:BK$295,Internal_labour_inputs!$B$8:$B$295,$B13)+SUMIFS(Outsourced_labour_inputs!BK$7:BK$297,Outsourced_labour_inputs!$B$7:$B$297,$B13)</f>
        <v>0</v>
      </c>
      <c r="BD13" s="192">
        <f>SUMIFS(Internal_labour_inputs!BL$8:BL$295,Internal_labour_inputs!$B$8:$B$295,$B13)+SUMIFS(Outsourced_labour_inputs!BL$7:BL$297,Outsourced_labour_inputs!$B$7:$B$297,$B13)</f>
        <v>0</v>
      </c>
      <c r="BE13" s="192">
        <f>SUMIFS(Internal_labour_inputs!BM$8:BM$295,Internal_labour_inputs!$B$8:$B$295,$B13)+SUMIFS(Outsourced_labour_inputs!BM$7:BM$297,Outsourced_labour_inputs!$B$7:$B$297,$B13)</f>
        <v>0</v>
      </c>
      <c r="BF13" s="192">
        <f>SUMIFS(Internal_labour_inputs!BN$8:BN$295,Internal_labour_inputs!$B$8:$B$295,$B13)+SUMIFS(Outsourced_labour_inputs!BN$7:BN$297,Outsourced_labour_inputs!$B$7:$B$297,$B13)</f>
        <v>0</v>
      </c>
      <c r="BG13" s="192">
        <f>SUMIFS(Internal_labour_inputs!BO$8:BO$295,Internal_labour_inputs!$B$8:$B$295,$B13)+SUMIFS(Outsourced_labour_inputs!BO$7:BO$297,Outsourced_labour_inputs!$B$7:$B$297,$B13)</f>
        <v>0</v>
      </c>
      <c r="BH13" s="192">
        <f>SUMIFS(Internal_labour_inputs!BP$8:BP$295,Internal_labour_inputs!$B$8:$B$295,$B13)+SUMIFS(Outsourced_labour_inputs!BP$7:BP$297,Outsourced_labour_inputs!$B$7:$B$297,$B13)</f>
        <v>0</v>
      </c>
      <c r="BI13" s="192">
        <f>SUMIFS(Internal_labour_inputs!BQ$8:BQ$295,Internal_labour_inputs!$B$8:$B$295,$B13)+SUMIFS(Outsourced_labour_inputs!BQ$7:BQ$297,Outsourced_labour_inputs!$B$7:$B$297,$B13)</f>
        <v>0</v>
      </c>
      <c r="BJ13" s="192">
        <f>SUMIFS(Internal_labour_inputs!BR$8:BR$295,Internal_labour_inputs!$B$8:$B$295,$B13)+SUMIFS(Outsourced_labour_inputs!BR$7:BR$297,Outsourced_labour_inputs!$B$7:$B$297,$B13)</f>
        <v>0</v>
      </c>
      <c r="BK13" s="192">
        <f>SUMIFS(Internal_labour_inputs!BS$8:BS$295,Internal_labour_inputs!$B$8:$B$295,$B13)+SUMIFS(Outsourced_labour_inputs!BS$7:BS$297,Outsourced_labour_inputs!$B$7:$B$297,$B13)</f>
        <v>0</v>
      </c>
      <c r="BL13" s="192">
        <f>SUMIFS(Internal_labour_inputs!BT$8:BT$295,Internal_labour_inputs!$B$8:$B$295,$B13)+SUMIFS(Outsourced_labour_inputs!BT$7:BT$297,Outsourced_labour_inputs!$B$7:$B$297,$B13)</f>
        <v>0</v>
      </c>
      <c r="BM13" s="192">
        <f>SUMIFS(Internal_labour_inputs!BU$8:BU$295,Internal_labour_inputs!$B$8:$B$295,$B13)+SUMIFS(Outsourced_labour_inputs!BU$7:BU$297,Outsourced_labour_inputs!$B$7:$B$297,$B13)</f>
        <v>0</v>
      </c>
      <c r="BN13" s="192">
        <f>SUMIFS(Internal_labour_inputs!BV$8:BV$295,Internal_labour_inputs!$B$8:$B$295,$B13)+SUMIFS(Outsourced_labour_inputs!BV$7:BV$297,Outsourced_labour_inputs!$B$7:$B$297,$B13)</f>
        <v>0</v>
      </c>
      <c r="BO13" s="192">
        <f>SUMIFS(Internal_labour_inputs!BW$8:BW$295,Internal_labour_inputs!$B$8:$B$295,$B13)+SUMIFS(Outsourced_labour_inputs!BW$7:BW$297,Outsourced_labour_inputs!$B$7:$B$297,$B13)</f>
        <v>0</v>
      </c>
      <c r="BP13" s="192">
        <f>SUMIFS(Internal_labour_inputs!BX$8:BX$295,Internal_labour_inputs!$B$8:$B$295,$B13)+SUMIFS(Outsourced_labour_inputs!BX$7:BX$297,Outsourced_labour_inputs!$B$7:$B$297,$B13)</f>
        <v>0</v>
      </c>
      <c r="BQ13" s="192">
        <f>SUMIFS(Internal_labour_inputs!BY$8:BY$295,Internal_labour_inputs!$B$8:$B$295,$B13)+SUMIFS(Outsourced_labour_inputs!BY$7:BY$297,Outsourced_labour_inputs!$B$7:$B$297,$B13)</f>
        <v>0</v>
      </c>
      <c r="BR13" s="192">
        <f>SUMIFS(Internal_labour_inputs!BZ$8:BZ$295,Internal_labour_inputs!$B$8:$B$295,$B13)+SUMIFS(Outsourced_labour_inputs!BZ$7:BZ$297,Outsourced_labour_inputs!$B$7:$B$297,$B13)</f>
        <v>0</v>
      </c>
      <c r="BS13" s="192">
        <f>SUMIFS(Internal_labour_inputs!CA$8:CA$295,Internal_labour_inputs!$B$8:$B$295,$B13)+SUMIFS(Outsourced_labour_inputs!CA$7:CA$297,Outsourced_labour_inputs!$B$7:$B$297,$B13)</f>
        <v>0</v>
      </c>
      <c r="BT13" s="192">
        <f>SUMIFS(Internal_labour_inputs!CB$8:CB$295,Internal_labour_inputs!$B$8:$B$295,$B13)+SUMIFS(Outsourced_labour_inputs!CB$7:CB$297,Outsourced_labour_inputs!$B$7:$B$297,$B13)</f>
        <v>0</v>
      </c>
      <c r="BU13" s="192">
        <f>SUMIFS(Internal_labour_inputs!CC$8:CC$295,Internal_labour_inputs!$B$8:$B$295,$B13)+SUMIFS(Outsourced_labour_inputs!CC$7:CC$297,Outsourced_labour_inputs!$B$7:$B$297,$B13)</f>
        <v>0</v>
      </c>
      <c r="BV13" s="192">
        <f>SUMIFS(Internal_labour_inputs!CD$8:CD$295,Internal_labour_inputs!$B$8:$B$295,$B13)+SUMIFS(Outsourced_labour_inputs!CD$7:CD$297,Outsourced_labour_inputs!$B$7:$B$297,$B13)</f>
        <v>0</v>
      </c>
      <c r="BW13" s="192">
        <f>SUMIFS(Internal_labour_inputs!CE$8:CE$295,Internal_labour_inputs!$B$8:$B$295,$B13)+SUMIFS(Outsourced_labour_inputs!CE$7:CE$297,Outsourced_labour_inputs!$B$7:$B$297,$B13)</f>
        <v>0</v>
      </c>
      <c r="BX13" s="192">
        <f>SUMIFS(Internal_labour_inputs!CF$8:CF$295,Internal_labour_inputs!$B$8:$B$295,$B13)+SUMIFS(Outsourced_labour_inputs!CF$7:CF$297,Outsourced_labour_inputs!$B$7:$B$297,$B13)</f>
        <v>0</v>
      </c>
      <c r="BY13" s="192">
        <f>SUMIFS(Internal_labour_inputs!CG$8:CG$295,Internal_labour_inputs!$B$8:$B$295,$B13)+SUMIFS(Outsourced_labour_inputs!CG$7:CG$297,Outsourced_labour_inputs!$B$7:$B$297,$B13)</f>
        <v>0</v>
      </c>
      <c r="BZ13" s="192">
        <f>SUMIFS(Internal_labour_inputs!CH$8:CH$295,Internal_labour_inputs!$B$8:$B$295,$B13)+SUMIFS(Outsourced_labour_inputs!CH$7:CH$297,Outsourced_labour_inputs!$B$7:$B$297,$B13)</f>
        <v>0</v>
      </c>
      <c r="CA13" s="192">
        <f>SUMIFS(Internal_labour_inputs!CI$8:CI$295,Internal_labour_inputs!$B$8:$B$295,$B13)+SUMIFS(Outsourced_labour_inputs!CI$7:CI$297,Outsourced_labour_inputs!$B$7:$B$297,$B13)</f>
        <v>0</v>
      </c>
      <c r="CB13" s="192">
        <f>SUMIFS(Internal_labour_inputs!CJ$8:CJ$295,Internal_labour_inputs!$B$8:$B$295,$B13)+SUMIFS(Outsourced_labour_inputs!CJ$7:CJ$297,Outsourced_labour_inputs!$B$7:$B$297,$B13)</f>
        <v>0</v>
      </c>
      <c r="CC13" s="192">
        <f>SUMIFS(Internal_labour_inputs!CK$8:CK$295,Internal_labour_inputs!$B$8:$B$295,$B13)+SUMIFS(Outsourced_labour_inputs!CK$7:CK$297,Outsourced_labour_inputs!$B$7:$B$297,$B13)</f>
        <v>0</v>
      </c>
      <c r="CD13" s="192">
        <f>SUMIFS(Internal_labour_inputs!CL$8:CL$295,Internal_labour_inputs!$B$8:$B$295,$B13)+SUMIFS(Outsourced_labour_inputs!CL$7:CL$297,Outsourced_labour_inputs!$B$7:$B$297,$B13)</f>
        <v>0</v>
      </c>
      <c r="CE13" s="192">
        <f>SUMIFS(Internal_labour_inputs!CM$8:CM$295,Internal_labour_inputs!$B$8:$B$295,$B13)+SUMIFS(Outsourced_labour_inputs!CM$7:CM$297,Outsourced_labour_inputs!$B$7:$B$297,$B13)</f>
        <v>0</v>
      </c>
      <c r="CF13" s="192">
        <f>SUMIFS(Internal_labour_inputs!CN$8:CN$295,Internal_labour_inputs!$B$8:$B$295,$B13)+SUMIFS(Outsourced_labour_inputs!CN$7:CN$297,Outsourced_labour_inputs!$B$7:$B$297,$B13)</f>
        <v>0</v>
      </c>
      <c r="CG13" s="192">
        <f>SUMIFS(Internal_labour_inputs!CO$8:CO$295,Internal_labour_inputs!$B$8:$B$295,$B13)+SUMIFS(Outsourced_labour_inputs!CO$7:CO$297,Outsourced_labour_inputs!$B$7:$B$297,$B13)</f>
        <v>0</v>
      </c>
      <c r="CH13" s="192">
        <f>SUMIFS(Internal_labour_inputs!CP$8:CP$295,Internal_labour_inputs!$B$8:$B$295,$B13)+SUMIFS(Outsourced_labour_inputs!CP$7:CP$297,Outsourced_labour_inputs!$B$7:$B$297,$B13)</f>
        <v>0</v>
      </c>
      <c r="CI13" s="192">
        <f t="shared" si="1"/>
        <v>115.47392481203009</v>
      </c>
      <c r="CJ13" s="192">
        <f t="shared" si="0"/>
        <v>2.4057067669172936</v>
      </c>
      <c r="CK13" s="192">
        <f t="shared" si="2"/>
        <v>2.7974468429137365</v>
      </c>
      <c r="CL13" s="194"/>
    </row>
    <row r="14" spans="1:95" x14ac:dyDescent="0.3">
      <c r="B14" s="191" t="str">
        <v>Other Support &amp; Corporate Roles</v>
      </c>
      <c r="C14" s="192">
        <f>SUMIFS(Internal_labour_inputs!K$8:K$295,Internal_labour_inputs!$B$8:$B$295,$B14)+SUMIFS(Outsourced_labour_inputs!K$7:K$297,Outsourced_labour_inputs!$B$7:$B$297,$B14)</f>
        <v>0</v>
      </c>
      <c r="D14" s="192">
        <f>SUMIFS(Internal_labour_inputs!L$8:L$295,Internal_labour_inputs!$B$8:$B$295,$B14)+SUMIFS(Outsourced_labour_inputs!L$7:L$297,Outsourced_labour_inputs!$B$7:$B$297,$B14)</f>
        <v>0</v>
      </c>
      <c r="E14" s="192">
        <f>SUMIFS(Internal_labour_inputs!M$8:M$295,Internal_labour_inputs!$B$8:$B$295,$B14)+SUMIFS(Outsourced_labour_inputs!M$7:M$297,Outsourced_labour_inputs!$B$7:$B$297,$B14)</f>
        <v>0</v>
      </c>
      <c r="F14" s="192">
        <f>SUMIFS(Internal_labour_inputs!N$8:N$295,Internal_labour_inputs!$B$8:$B$295,$B14)+SUMIFS(Outsourced_labour_inputs!N$7:N$297,Outsourced_labour_inputs!$B$7:$B$297,$B14)</f>
        <v>0</v>
      </c>
      <c r="G14" s="192">
        <f>SUMIFS(Internal_labour_inputs!O$8:O$295,Internal_labour_inputs!$B$8:$B$295,$B14)+SUMIFS(Outsourced_labour_inputs!O$7:O$297,Outsourced_labour_inputs!$B$7:$B$297,$B14)</f>
        <v>0</v>
      </c>
      <c r="H14" s="192">
        <f>SUMIFS(Internal_labour_inputs!P$8:P$295,Internal_labour_inputs!$B$8:$B$295,$B14)+SUMIFS(Outsourced_labour_inputs!P$7:P$297,Outsourced_labour_inputs!$B$7:$B$297,$B14)</f>
        <v>0</v>
      </c>
      <c r="I14" s="192">
        <f>SUMIFS(Internal_labour_inputs!Q$8:Q$295,Internal_labour_inputs!$B$8:$B$295,$B14)+SUMIFS(Outsourced_labour_inputs!Q$7:Q$297,Outsourced_labour_inputs!$B$7:$B$297,$B14)</f>
        <v>0.15714285714285714</v>
      </c>
      <c r="J14" s="192">
        <f>SUMIFS(Internal_labour_inputs!R$8:R$295,Internal_labour_inputs!$B$8:$B$295,$B14)+SUMIFS(Outsourced_labour_inputs!R$7:R$297,Outsourced_labour_inputs!$B$7:$B$297,$B14)</f>
        <v>0.93571428571428572</v>
      </c>
      <c r="K14" s="192">
        <f>SUMIFS(Internal_labour_inputs!S$8:S$295,Internal_labour_inputs!$B$8:$B$295,$B14)+SUMIFS(Outsourced_labour_inputs!S$7:S$297,Outsourced_labour_inputs!$B$7:$B$297,$B14)</f>
        <v>1.4928571428571431</v>
      </c>
      <c r="L14" s="192">
        <f>SUMIFS(Internal_labour_inputs!T$8:T$295,Internal_labour_inputs!$B$8:$B$295,$B14)+SUMIFS(Outsourced_labour_inputs!T$7:T$297,Outsourced_labour_inputs!$B$7:$B$297,$B14)</f>
        <v>1.7749999999999999</v>
      </c>
      <c r="M14" s="192">
        <f>SUMIFS(Internal_labour_inputs!U$8:U$295,Internal_labour_inputs!$B$8:$B$295,$B14)+SUMIFS(Outsourced_labour_inputs!U$7:U$297,Outsourced_labour_inputs!$B$7:$B$297,$B14)</f>
        <v>0.87499999999999989</v>
      </c>
      <c r="N14" s="192">
        <f>SUMIFS(Internal_labour_inputs!V$8:V$295,Internal_labour_inputs!$B$8:$B$295,$B14)+SUMIFS(Outsourced_labour_inputs!V$7:V$297,Outsourced_labour_inputs!$B$7:$B$297,$B14)</f>
        <v>2.9857142857142858</v>
      </c>
      <c r="O14" s="192">
        <f>SUMIFS(Internal_labour_inputs!W$8:W$295,Internal_labour_inputs!$B$8:$B$295,$B14)+SUMIFS(Outsourced_labour_inputs!W$7:W$297,Outsourced_labour_inputs!$B$7:$B$297,$B14)</f>
        <v>1.857142857142857</v>
      </c>
      <c r="P14" s="192">
        <f>SUMIFS(Internal_labour_inputs!X$8:X$295,Internal_labour_inputs!$B$8:$B$295,$B14)+SUMIFS(Outsourced_labour_inputs!X$7:X$297,Outsourced_labour_inputs!$B$7:$B$297,$B14)</f>
        <v>11.38482123008381</v>
      </c>
      <c r="Q14" s="192">
        <f>SUMIFS(Internal_labour_inputs!Y$8:Y$295,Internal_labour_inputs!$B$8:$B$295,$B14)+SUMIFS(Outsourced_labour_inputs!Y$7:Y$297,Outsourced_labour_inputs!$B$7:$B$297,$B14)</f>
        <v>12.320775311956609</v>
      </c>
      <c r="R14" s="192">
        <f>SUMIFS(Internal_labour_inputs!Z$8:Z$295,Internal_labour_inputs!$B$8:$B$295,$B14)+SUMIFS(Outsourced_labour_inputs!Z$7:Z$297,Outsourced_labour_inputs!$B$7:$B$297,$B14)</f>
        <v>18.335764252380081</v>
      </c>
      <c r="S14" s="192">
        <f>SUMIFS(Internal_labour_inputs!AA$8:AA$295,Internal_labour_inputs!$B$8:$B$295,$B14)+SUMIFS(Outsourced_labour_inputs!AA$7:AA$297,Outsourced_labour_inputs!$B$7:$B$297,$B14)</f>
        <v>11.583335507728892</v>
      </c>
      <c r="T14" s="192">
        <f>SUMIFS(Internal_labour_inputs!AB$8:AB$295,Internal_labour_inputs!$B$8:$B$295,$B14)+SUMIFS(Outsourced_labour_inputs!AB$7:AB$297,Outsourced_labour_inputs!$B$7:$B$297,$B14)</f>
        <v>11.771507527028142</v>
      </c>
      <c r="U14" s="192">
        <f>SUMIFS(Internal_labour_inputs!AC$8:AC$295,Internal_labour_inputs!$B$8:$B$295,$B14)+SUMIFS(Outsourced_labour_inputs!AC$7:AC$297,Outsourced_labour_inputs!$B$7:$B$297,$B14)</f>
        <v>14.243614410433183</v>
      </c>
      <c r="V14" s="192">
        <f>SUMIFS(Internal_labour_inputs!AD$8:AD$295,Internal_labour_inputs!$B$8:$B$295,$B14)+SUMIFS(Outsourced_labour_inputs!AD$7:AD$297,Outsourced_labour_inputs!$B$7:$B$297,$B14)</f>
        <v>12.480032334593337</v>
      </c>
      <c r="W14" s="192">
        <f>SUMIFS(Internal_labour_inputs!AE$8:AE$295,Internal_labour_inputs!$B$8:$B$295,$B14)+SUMIFS(Outsourced_labour_inputs!AE$7:AE$297,Outsourced_labour_inputs!$B$7:$B$297,$B14)</f>
        <v>15.232377497237902</v>
      </c>
      <c r="X14" s="192">
        <f>SUMIFS(Internal_labour_inputs!AF$8:AF$295,Internal_labour_inputs!$B$8:$B$295,$B14)+SUMIFS(Outsourced_labour_inputs!AF$7:AF$297,Outsourced_labour_inputs!$B$7:$B$297,$B14)</f>
        <v>11.579179616144637</v>
      </c>
      <c r="Y14" s="192">
        <f>SUMIFS(Internal_labour_inputs!AG$8:AG$295,Internal_labour_inputs!$B$8:$B$295,$B14)+SUMIFS(Outsourced_labour_inputs!AG$7:AG$297,Outsourced_labour_inputs!$B$7:$B$297,$B14)</f>
        <v>11.09894922125468</v>
      </c>
      <c r="Z14" s="192">
        <f>SUMIFS(Internal_labour_inputs!AH$8:AH$295,Internal_labour_inputs!$B$8:$B$295,$B14)+SUMIFS(Outsourced_labour_inputs!AH$7:AH$297,Outsourced_labour_inputs!$B$7:$B$297,$B14)</f>
        <v>14.09669095330502</v>
      </c>
      <c r="AA14" s="192">
        <f>SUMIFS(Internal_labour_inputs!AI$8:AI$295,Internal_labour_inputs!$B$8:$B$295,$B14)+SUMIFS(Outsourced_labour_inputs!AI$7:AI$297,Outsourced_labour_inputs!$B$7:$B$297,$B14)</f>
        <v>20.108482394828584</v>
      </c>
      <c r="AB14" s="192">
        <f>SUMIFS(Internal_labour_inputs!AJ$8:AJ$295,Internal_labour_inputs!$B$8:$B$295,$B14)+SUMIFS(Outsourced_labour_inputs!AJ$7:AJ$297,Outsourced_labour_inputs!$B$7:$B$297,$B14)</f>
        <v>11.692790295535339</v>
      </c>
      <c r="AC14" s="192">
        <f>SUMIFS(Internal_labour_inputs!AK$8:AK$295,Internal_labour_inputs!$B$8:$B$295,$B14)+SUMIFS(Outsourced_labour_inputs!AK$7:AK$297,Outsourced_labour_inputs!$B$7:$B$297,$B14)</f>
        <v>13.163894435284144</v>
      </c>
      <c r="AD14" s="192">
        <f>SUMIFS(Internal_labour_inputs!AL$8:AL$295,Internal_labour_inputs!$B$8:$B$295,$B14)+SUMIFS(Outsourced_labour_inputs!AL$7:AL$297,Outsourced_labour_inputs!$B$7:$B$297,$B14)</f>
        <v>15.752913635087866</v>
      </c>
      <c r="AE14" s="192">
        <f>SUMIFS(Internal_labour_inputs!AM$8:AM$295,Internal_labour_inputs!$B$8:$B$295,$B14)+SUMIFS(Outsourced_labour_inputs!AM$7:AM$297,Outsourced_labour_inputs!$B$7:$B$297,$B14)</f>
        <v>9.8631577033842479</v>
      </c>
      <c r="AF14" s="192">
        <f>SUMIFS(Internal_labour_inputs!AN$8:AN$295,Internal_labour_inputs!$B$8:$B$295,$B14)+SUMIFS(Outsourced_labour_inputs!AN$7:AN$297,Outsourced_labour_inputs!$B$7:$B$297,$B14)</f>
        <v>11.20805079951519</v>
      </c>
      <c r="AG14" s="192">
        <f>SUMIFS(Internal_labour_inputs!AO$8:AO$295,Internal_labour_inputs!$B$8:$B$295,$B14)+SUMIFS(Outsourced_labour_inputs!AO$7:AO$297,Outsourced_labour_inputs!$B$7:$B$297,$B14)</f>
        <v>9.9256443184316847</v>
      </c>
      <c r="AH14" s="192">
        <f>SUMIFS(Internal_labour_inputs!AP$8:AP$295,Internal_labour_inputs!$B$8:$B$295,$B14)+SUMIFS(Outsourced_labour_inputs!AP$7:AP$297,Outsourced_labour_inputs!$B$7:$B$297,$B14)</f>
        <v>9.9256443184316847</v>
      </c>
      <c r="AI14" s="192">
        <f>SUMIFS(Internal_labour_inputs!AQ$8:AQ$295,Internal_labour_inputs!$B$8:$B$295,$B14)+SUMIFS(Outsourced_labour_inputs!AQ$7:AQ$297,Outsourced_labour_inputs!$B$7:$B$297,$B14)</f>
        <v>12.613323295773816</v>
      </c>
      <c r="AJ14" s="192">
        <f>SUMIFS(Internal_labour_inputs!AR$8:AR$295,Internal_labour_inputs!$B$8:$B$295,$B14)+SUMIFS(Outsourced_labour_inputs!AR$7:AR$297,Outsourced_labour_inputs!$B$7:$B$297,$B14)</f>
        <v>10.138108522963259</v>
      </c>
      <c r="AK14" s="192">
        <f>SUMIFS(Internal_labour_inputs!AS$8:AS$295,Internal_labour_inputs!$B$8:$B$295,$B14)+SUMIFS(Outsourced_labour_inputs!AS$7:AS$297,Outsourced_labour_inputs!$B$7:$B$297,$B14)</f>
        <v>10.818865213941045</v>
      </c>
      <c r="AL14" s="192">
        <f>SUMIFS(Internal_labour_inputs!AT$8:AT$295,Internal_labour_inputs!$B$8:$B$295,$B14)+SUMIFS(Outsourced_labour_inputs!AT$7:AT$297,Outsourced_labour_inputs!$B$7:$B$297,$B14)</f>
        <v>11.015346692554361</v>
      </c>
      <c r="AM14" s="192">
        <f>SUMIFS(Internal_labour_inputs!AU$8:AU$295,Internal_labour_inputs!$B$8:$B$295,$B14)+SUMIFS(Outsourced_labour_inputs!AU$7:AU$297,Outsourced_labour_inputs!$B$7:$B$297,$B14)</f>
        <v>18.392015649494684</v>
      </c>
      <c r="AN14" s="192">
        <f>SUMIFS(Internal_labour_inputs!AV$8:AV$295,Internal_labour_inputs!$B$8:$B$295,$B14)+SUMIFS(Outsourced_labour_inputs!AV$7:AV$297,Outsourced_labour_inputs!$B$7:$B$297,$B14)</f>
        <v>12.249661359486014</v>
      </c>
      <c r="AO14" s="192">
        <f>SUMIFS(Internal_labour_inputs!AW$8:AW$295,Internal_labour_inputs!$B$8:$B$295,$B14)+SUMIFS(Outsourced_labour_inputs!AW$7:AW$297,Outsourced_labour_inputs!$B$7:$B$297,$B14)</f>
        <v>14.251543502811781</v>
      </c>
      <c r="AP14" s="192">
        <f>SUMIFS(Internal_labour_inputs!AX$8:AX$295,Internal_labour_inputs!$B$8:$B$295,$B14)+SUMIFS(Outsourced_labour_inputs!AX$7:AX$297,Outsourced_labour_inputs!$B$7:$B$297,$B14)</f>
        <v>12.204240727082709</v>
      </c>
      <c r="AQ14" s="192">
        <f>SUMIFS(Internal_labour_inputs!AY$8:AY$295,Internal_labour_inputs!$B$8:$B$295,$B14)+SUMIFS(Outsourced_labour_inputs!AY$7:AY$297,Outsourced_labour_inputs!$B$7:$B$297,$B14)</f>
        <v>12.804053226274009</v>
      </c>
      <c r="AR14" s="192">
        <f>SUMIFS(Internal_labour_inputs!AZ$8:AZ$295,Internal_labour_inputs!$B$8:$B$295,$B14)+SUMIFS(Outsourced_labour_inputs!AZ$7:AZ$297,Outsourced_labour_inputs!$B$7:$B$297,$B14)</f>
        <v>9.5239340780011563</v>
      </c>
      <c r="AS14" s="192">
        <f>SUMIFS(Internal_labour_inputs!BA$8:BA$295,Internal_labour_inputs!$B$8:$B$295,$B14)+SUMIFS(Outsourced_labour_inputs!BA$7:BA$297,Outsourced_labour_inputs!$B$7:$B$297,$B14)</f>
        <v>7.8278090163913765</v>
      </c>
      <c r="AT14" s="192">
        <f>SUMIFS(Internal_labour_inputs!BB$8:BB$295,Internal_labour_inputs!$B$8:$B$295,$B14)+SUMIFS(Outsourced_labour_inputs!BB$7:BB$297,Outsourced_labour_inputs!$B$7:$B$297,$B14)</f>
        <v>9.9327559653889832</v>
      </c>
      <c r="AU14" s="192">
        <f>SUMIFS(Internal_labour_inputs!BC$8:BC$295,Internal_labour_inputs!$B$8:$B$295,$B14)+SUMIFS(Outsourced_labour_inputs!BC$7:BC$297,Outsourced_labour_inputs!$B$7:$B$297,$B14)</f>
        <v>8.5778090163913774</v>
      </c>
      <c r="AV14" s="192">
        <f>SUMIFS(Internal_labour_inputs!BD$8:BD$295,Internal_labour_inputs!$B$8:$B$295,$B14)+SUMIFS(Outsourced_labour_inputs!BD$7:BD$297,Outsourced_labour_inputs!$B$7:$B$297,$B14)</f>
        <v>8.1235634615312051</v>
      </c>
      <c r="AW14" s="192">
        <f>SUMIFS(Internal_labour_inputs!BE$8:BE$295,Internal_labour_inputs!$B$8:$B$295,$B14)+SUMIFS(Outsourced_labour_inputs!BE$7:BE$297,Outsourced_labour_inputs!$B$7:$B$297,$B14)</f>
        <v>11.412169716708153</v>
      </c>
      <c r="AX14" s="192">
        <f>SUMIFS(Internal_labour_inputs!BF$8:BF$295,Internal_labour_inputs!$B$8:$B$295,$B14)+SUMIFS(Outsourced_labour_inputs!BF$7:BF$297,Outsourced_labour_inputs!$B$7:$B$297,$B14)</f>
        <v>10.686650172019155</v>
      </c>
      <c r="AY14" s="192">
        <f>SUMIFS(Internal_labour_inputs!BG$8:BG$295,Internal_labour_inputs!$B$8:$B$295,$B14)+SUMIFS(Outsourced_labour_inputs!BG$7:BG$297,Outsourced_labour_inputs!$B$7:$B$297,$B14)</f>
        <v>13.922061684108472</v>
      </c>
      <c r="AZ14" s="192">
        <f>SUMIFS(Internal_labour_inputs!BH$8:BH$295,Internal_labour_inputs!$B$8:$B$295,$B14)+SUMIFS(Outsourced_labour_inputs!BH$7:BH$297,Outsourced_labour_inputs!$B$7:$B$297,$B14)</f>
        <v>8.5265062548950183</v>
      </c>
      <c r="BA14" s="192">
        <f>SUMIFS(Internal_labour_inputs!BI$8:BI$295,Internal_labour_inputs!$B$8:$B$295,$B14)+SUMIFS(Outsourced_labour_inputs!BI$7:BI$297,Outsourced_labour_inputs!$B$7:$B$297,$B14)</f>
        <v>8.3451147290769594</v>
      </c>
      <c r="BB14" s="192">
        <f>SUMIFS(Internal_labour_inputs!BJ$8:BJ$295,Internal_labour_inputs!$B$8:$B$295,$B14)+SUMIFS(Outsourced_labour_inputs!BJ$7:BJ$297,Outsourced_labour_inputs!$B$7:$B$297,$B14)</f>
        <v>9.7866412973539241</v>
      </c>
      <c r="BC14" s="192">
        <f>SUMIFS(Internal_labour_inputs!BK$8:BK$295,Internal_labour_inputs!$B$8:$B$295,$B14)+SUMIFS(Outsourced_labour_inputs!BK$7:BK$297,Outsourced_labour_inputs!$B$7:$B$297,$B14)</f>
        <v>0</v>
      </c>
      <c r="BD14" s="192">
        <f>SUMIFS(Internal_labour_inputs!BL$8:BL$295,Internal_labour_inputs!$B$8:$B$295,$B14)+SUMIFS(Outsourced_labour_inputs!BL$7:BL$297,Outsourced_labour_inputs!$B$7:$B$297,$B14)</f>
        <v>0</v>
      </c>
      <c r="BE14" s="192">
        <f>SUMIFS(Internal_labour_inputs!BM$8:BM$295,Internal_labour_inputs!$B$8:$B$295,$B14)+SUMIFS(Outsourced_labour_inputs!BM$7:BM$297,Outsourced_labour_inputs!$B$7:$B$297,$B14)</f>
        <v>0</v>
      </c>
      <c r="BF14" s="192">
        <f>SUMIFS(Internal_labour_inputs!BN$8:BN$295,Internal_labour_inputs!$B$8:$B$295,$B14)+SUMIFS(Outsourced_labour_inputs!BN$7:BN$297,Outsourced_labour_inputs!$B$7:$B$297,$B14)</f>
        <v>0</v>
      </c>
      <c r="BG14" s="192">
        <f>SUMIFS(Internal_labour_inputs!BO$8:BO$295,Internal_labour_inputs!$B$8:$B$295,$B14)+SUMIFS(Outsourced_labour_inputs!BO$7:BO$297,Outsourced_labour_inputs!$B$7:$B$297,$B14)</f>
        <v>0</v>
      </c>
      <c r="BH14" s="192">
        <f>SUMIFS(Internal_labour_inputs!BP$8:BP$295,Internal_labour_inputs!$B$8:$B$295,$B14)+SUMIFS(Outsourced_labour_inputs!BP$7:BP$297,Outsourced_labour_inputs!$B$7:$B$297,$B14)</f>
        <v>0</v>
      </c>
      <c r="BI14" s="192">
        <f>SUMIFS(Internal_labour_inputs!BQ$8:BQ$295,Internal_labour_inputs!$B$8:$B$295,$B14)+SUMIFS(Outsourced_labour_inputs!BQ$7:BQ$297,Outsourced_labour_inputs!$B$7:$B$297,$B14)</f>
        <v>0</v>
      </c>
      <c r="BJ14" s="192">
        <f>SUMIFS(Internal_labour_inputs!BR$8:BR$295,Internal_labour_inputs!$B$8:$B$295,$B14)+SUMIFS(Outsourced_labour_inputs!BR$7:BR$297,Outsourced_labour_inputs!$B$7:$B$297,$B14)</f>
        <v>0</v>
      </c>
      <c r="BK14" s="192">
        <f>SUMIFS(Internal_labour_inputs!BS$8:BS$295,Internal_labour_inputs!$B$8:$B$295,$B14)+SUMIFS(Outsourced_labour_inputs!BS$7:BS$297,Outsourced_labour_inputs!$B$7:$B$297,$B14)</f>
        <v>0</v>
      </c>
      <c r="BL14" s="192">
        <f>SUMIFS(Internal_labour_inputs!BT$8:BT$295,Internal_labour_inputs!$B$8:$B$295,$B14)+SUMIFS(Outsourced_labour_inputs!BT$7:BT$297,Outsourced_labour_inputs!$B$7:$B$297,$B14)</f>
        <v>0</v>
      </c>
      <c r="BM14" s="192">
        <f>SUMIFS(Internal_labour_inputs!BU$8:BU$295,Internal_labour_inputs!$B$8:$B$295,$B14)+SUMIFS(Outsourced_labour_inputs!BU$7:BU$297,Outsourced_labour_inputs!$B$7:$B$297,$B14)</f>
        <v>0</v>
      </c>
      <c r="BN14" s="192">
        <f>SUMIFS(Internal_labour_inputs!BV$8:BV$295,Internal_labour_inputs!$B$8:$B$295,$B14)+SUMIFS(Outsourced_labour_inputs!BV$7:BV$297,Outsourced_labour_inputs!$B$7:$B$297,$B14)</f>
        <v>0</v>
      </c>
      <c r="BO14" s="192">
        <f>SUMIFS(Internal_labour_inputs!BW$8:BW$295,Internal_labour_inputs!$B$8:$B$295,$B14)+SUMIFS(Outsourced_labour_inputs!BW$7:BW$297,Outsourced_labour_inputs!$B$7:$B$297,$B14)</f>
        <v>0</v>
      </c>
      <c r="BP14" s="192">
        <f>SUMIFS(Internal_labour_inputs!BX$8:BX$295,Internal_labour_inputs!$B$8:$B$295,$B14)+SUMIFS(Outsourced_labour_inputs!BX$7:BX$297,Outsourced_labour_inputs!$B$7:$B$297,$B14)</f>
        <v>0</v>
      </c>
      <c r="BQ14" s="192">
        <f>SUMIFS(Internal_labour_inputs!BY$8:BY$295,Internal_labour_inputs!$B$8:$B$295,$B14)+SUMIFS(Outsourced_labour_inputs!BY$7:BY$297,Outsourced_labour_inputs!$B$7:$B$297,$B14)</f>
        <v>0</v>
      </c>
      <c r="BR14" s="192">
        <f>SUMIFS(Internal_labour_inputs!BZ$8:BZ$295,Internal_labour_inputs!$B$8:$B$295,$B14)+SUMIFS(Outsourced_labour_inputs!BZ$7:BZ$297,Outsourced_labour_inputs!$B$7:$B$297,$B14)</f>
        <v>0</v>
      </c>
      <c r="BS14" s="192">
        <f>SUMIFS(Internal_labour_inputs!CA$8:CA$295,Internal_labour_inputs!$B$8:$B$295,$B14)+SUMIFS(Outsourced_labour_inputs!CA$7:CA$297,Outsourced_labour_inputs!$B$7:$B$297,$B14)</f>
        <v>0</v>
      </c>
      <c r="BT14" s="192">
        <f>SUMIFS(Internal_labour_inputs!CB$8:CB$295,Internal_labour_inputs!$B$8:$B$295,$B14)+SUMIFS(Outsourced_labour_inputs!CB$7:CB$297,Outsourced_labour_inputs!$B$7:$B$297,$B14)</f>
        <v>0</v>
      </c>
      <c r="BU14" s="192">
        <f>SUMIFS(Internal_labour_inputs!CC$8:CC$295,Internal_labour_inputs!$B$8:$B$295,$B14)+SUMIFS(Outsourced_labour_inputs!CC$7:CC$297,Outsourced_labour_inputs!$B$7:$B$297,$B14)</f>
        <v>0</v>
      </c>
      <c r="BV14" s="192">
        <f>SUMIFS(Internal_labour_inputs!CD$8:CD$295,Internal_labour_inputs!$B$8:$B$295,$B14)+SUMIFS(Outsourced_labour_inputs!CD$7:CD$297,Outsourced_labour_inputs!$B$7:$B$297,$B14)</f>
        <v>0</v>
      </c>
      <c r="BW14" s="192">
        <f>SUMIFS(Internal_labour_inputs!CE$8:CE$295,Internal_labour_inputs!$B$8:$B$295,$B14)+SUMIFS(Outsourced_labour_inputs!CE$7:CE$297,Outsourced_labour_inputs!$B$7:$B$297,$B14)</f>
        <v>0</v>
      </c>
      <c r="BX14" s="192">
        <f>SUMIFS(Internal_labour_inputs!CF$8:CF$295,Internal_labour_inputs!$B$8:$B$295,$B14)+SUMIFS(Outsourced_labour_inputs!CF$7:CF$297,Outsourced_labour_inputs!$B$7:$B$297,$B14)</f>
        <v>0</v>
      </c>
      <c r="BY14" s="192">
        <f>SUMIFS(Internal_labour_inputs!CG$8:CG$295,Internal_labour_inputs!$B$8:$B$295,$B14)+SUMIFS(Outsourced_labour_inputs!CG$7:CG$297,Outsourced_labour_inputs!$B$7:$B$297,$B14)</f>
        <v>0</v>
      </c>
      <c r="BZ14" s="192">
        <f>SUMIFS(Internal_labour_inputs!CH$8:CH$295,Internal_labour_inputs!$B$8:$B$295,$B14)+SUMIFS(Outsourced_labour_inputs!CH$7:CH$297,Outsourced_labour_inputs!$B$7:$B$297,$B14)</f>
        <v>0</v>
      </c>
      <c r="CA14" s="192">
        <f>SUMIFS(Internal_labour_inputs!CI$8:CI$295,Internal_labour_inputs!$B$8:$B$295,$B14)+SUMIFS(Outsourced_labour_inputs!CI$7:CI$297,Outsourced_labour_inputs!$B$7:$B$297,$B14)</f>
        <v>0</v>
      </c>
      <c r="CB14" s="192">
        <f>SUMIFS(Internal_labour_inputs!CJ$8:CJ$295,Internal_labour_inputs!$B$8:$B$295,$B14)+SUMIFS(Outsourced_labour_inputs!CJ$7:CJ$297,Outsourced_labour_inputs!$B$7:$B$297,$B14)</f>
        <v>0</v>
      </c>
      <c r="CC14" s="192">
        <f>SUMIFS(Internal_labour_inputs!CK$8:CK$295,Internal_labour_inputs!$B$8:$B$295,$B14)+SUMIFS(Outsourced_labour_inputs!CK$7:CK$297,Outsourced_labour_inputs!$B$7:$B$297,$B14)</f>
        <v>0</v>
      </c>
      <c r="CD14" s="192">
        <f>SUMIFS(Internal_labour_inputs!CL$8:CL$295,Internal_labour_inputs!$B$8:$B$295,$B14)+SUMIFS(Outsourced_labour_inputs!CL$7:CL$297,Outsourced_labour_inputs!$B$7:$B$297,$B14)</f>
        <v>0</v>
      </c>
      <c r="CE14" s="192">
        <f>SUMIFS(Internal_labour_inputs!CM$8:CM$295,Internal_labour_inputs!$B$8:$B$295,$B14)+SUMIFS(Outsourced_labour_inputs!CM$7:CM$297,Outsourced_labour_inputs!$B$7:$B$297,$B14)</f>
        <v>0</v>
      </c>
      <c r="CF14" s="192">
        <f>SUMIFS(Internal_labour_inputs!CN$8:CN$295,Internal_labour_inputs!$B$8:$B$295,$B14)+SUMIFS(Outsourced_labour_inputs!CN$7:CN$297,Outsourced_labour_inputs!$B$7:$B$297,$B14)</f>
        <v>0</v>
      </c>
      <c r="CG14" s="192">
        <f>SUMIFS(Internal_labour_inputs!CO$8:CO$295,Internal_labour_inputs!$B$8:$B$295,$B14)+SUMIFS(Outsourced_labour_inputs!CO$7:CO$297,Outsourced_labour_inputs!$B$7:$B$297,$B14)</f>
        <v>0</v>
      </c>
      <c r="CH14" s="192">
        <f>SUMIFS(Internal_labour_inputs!CP$8:CP$295,Internal_labour_inputs!$B$8:$B$295,$B14)+SUMIFS(Outsourced_labour_inputs!CP$7:CP$297,Outsourced_labour_inputs!$B$7:$B$297,$B14)</f>
        <v>0</v>
      </c>
      <c r="CI14" s="192">
        <f t="shared" si="1"/>
        <v>476.99837077346388</v>
      </c>
      <c r="CJ14" s="192">
        <f t="shared" si="0"/>
        <v>9.9374660577804974</v>
      </c>
      <c r="CK14" s="192">
        <f t="shared" si="2"/>
        <v>11.598953912046793</v>
      </c>
      <c r="CL14" s="194"/>
    </row>
    <row r="15" spans="1:95" x14ac:dyDescent="0.3">
      <c r="B15" s="191" t="str">
        <v>Project Delivery Management - Commercial Management</v>
      </c>
      <c r="C15" s="192">
        <f>SUMIFS(Internal_labour_inputs!K$8:K$295,Internal_labour_inputs!$B$8:$B$295,$B15)+SUMIFS(Outsourced_labour_inputs!K$7:K$297,Outsourced_labour_inputs!$B$7:$B$297,$B15)</f>
        <v>0</v>
      </c>
      <c r="D15" s="192">
        <f>SUMIFS(Internal_labour_inputs!L$8:L$295,Internal_labour_inputs!$B$8:$B$295,$B15)+SUMIFS(Outsourced_labour_inputs!L$7:L$297,Outsourced_labour_inputs!$B$7:$B$297,$B15)</f>
        <v>0</v>
      </c>
      <c r="E15" s="192">
        <f>SUMIFS(Internal_labour_inputs!M$8:M$295,Internal_labour_inputs!$B$8:$B$295,$B15)+SUMIFS(Outsourced_labour_inputs!M$7:M$297,Outsourced_labour_inputs!$B$7:$B$297,$B15)</f>
        <v>0</v>
      </c>
      <c r="F15" s="192">
        <f>SUMIFS(Internal_labour_inputs!N$8:N$295,Internal_labour_inputs!$B$8:$B$295,$B15)+SUMIFS(Outsourced_labour_inputs!N$7:N$297,Outsourced_labour_inputs!$B$7:$B$297,$B15)</f>
        <v>0</v>
      </c>
      <c r="G15" s="192">
        <f>SUMIFS(Internal_labour_inputs!O$8:O$295,Internal_labour_inputs!$B$8:$B$295,$B15)+SUMIFS(Outsourced_labour_inputs!O$7:O$297,Outsourced_labour_inputs!$B$7:$B$297,$B15)</f>
        <v>0</v>
      </c>
      <c r="H15" s="192">
        <f>SUMIFS(Internal_labour_inputs!P$8:P$295,Internal_labour_inputs!$B$8:$B$295,$B15)+SUMIFS(Outsourced_labour_inputs!P$7:P$297,Outsourced_labour_inputs!$B$7:$B$297,$B15)</f>
        <v>0</v>
      </c>
      <c r="I15" s="192">
        <f>SUMIFS(Internal_labour_inputs!Q$8:Q$295,Internal_labour_inputs!$B$8:$B$295,$B15)+SUMIFS(Outsourced_labour_inputs!Q$7:Q$297,Outsourced_labour_inputs!$B$7:$B$297,$B15)</f>
        <v>0</v>
      </c>
      <c r="J15" s="192">
        <f>SUMIFS(Internal_labour_inputs!R$8:R$295,Internal_labour_inputs!$B$8:$B$295,$B15)+SUMIFS(Outsourced_labour_inputs!R$7:R$297,Outsourced_labour_inputs!$B$7:$B$297,$B15)</f>
        <v>0</v>
      </c>
      <c r="K15" s="192">
        <f>SUMIFS(Internal_labour_inputs!S$8:S$295,Internal_labour_inputs!$B$8:$B$295,$B15)+SUMIFS(Outsourced_labour_inputs!S$7:S$297,Outsourced_labour_inputs!$B$7:$B$297,$B15)</f>
        <v>0</v>
      </c>
      <c r="L15" s="192">
        <f>SUMIFS(Internal_labour_inputs!T$8:T$295,Internal_labour_inputs!$B$8:$B$295,$B15)+SUMIFS(Outsourced_labour_inputs!T$7:T$297,Outsourced_labour_inputs!$B$7:$B$297,$B15)</f>
        <v>0</v>
      </c>
      <c r="M15" s="192">
        <f>SUMIFS(Internal_labour_inputs!U$8:U$295,Internal_labour_inputs!$B$8:$B$295,$B15)+SUMIFS(Outsourced_labour_inputs!U$7:U$297,Outsourced_labour_inputs!$B$7:$B$297,$B15)</f>
        <v>0</v>
      </c>
      <c r="N15" s="192">
        <f>SUMIFS(Internal_labour_inputs!V$8:V$295,Internal_labour_inputs!$B$8:$B$295,$B15)+SUMIFS(Outsourced_labour_inputs!V$7:V$297,Outsourced_labour_inputs!$B$7:$B$297,$B15)</f>
        <v>0.8666666666666667</v>
      </c>
      <c r="O15" s="192">
        <f>SUMIFS(Internal_labour_inputs!W$8:W$295,Internal_labour_inputs!$B$8:$B$295,$B15)+SUMIFS(Outsourced_labour_inputs!W$7:W$297,Outsourced_labour_inputs!$B$7:$B$297,$B15)</f>
        <v>1.4666666666666666</v>
      </c>
      <c r="P15" s="192">
        <f>SUMIFS(Internal_labour_inputs!X$8:X$295,Internal_labour_inputs!$B$8:$B$295,$B15)+SUMIFS(Outsourced_labour_inputs!X$7:X$297,Outsourced_labour_inputs!$B$7:$B$297,$B15)</f>
        <v>3</v>
      </c>
      <c r="Q15" s="192">
        <f>SUMIFS(Internal_labour_inputs!Y$8:Y$295,Internal_labour_inputs!$B$8:$B$295,$B15)+SUMIFS(Outsourced_labour_inputs!Y$7:Y$297,Outsourced_labour_inputs!$B$7:$B$297,$B15)</f>
        <v>7</v>
      </c>
      <c r="R15" s="192">
        <f>SUMIFS(Internal_labour_inputs!Z$8:Z$295,Internal_labour_inputs!$B$8:$B$295,$B15)+SUMIFS(Outsourced_labour_inputs!Z$7:Z$297,Outsourced_labour_inputs!$B$7:$B$297,$B15)</f>
        <v>7</v>
      </c>
      <c r="S15" s="192">
        <f>SUMIFS(Internal_labour_inputs!AA$8:AA$295,Internal_labour_inputs!$B$8:$B$295,$B15)+SUMIFS(Outsourced_labour_inputs!AA$7:AA$297,Outsourced_labour_inputs!$B$7:$B$297,$B15)</f>
        <v>6.4473684210526301</v>
      </c>
      <c r="T15" s="192">
        <f>SUMIFS(Internal_labour_inputs!AB$8:AB$295,Internal_labour_inputs!$B$8:$B$295,$B15)+SUMIFS(Outsourced_labour_inputs!AB$7:AB$297,Outsourced_labour_inputs!$B$7:$B$297,$B15)</f>
        <v>6.4473684210526301</v>
      </c>
      <c r="U15" s="192">
        <f>SUMIFS(Internal_labour_inputs!AC$8:AC$295,Internal_labour_inputs!$B$8:$B$295,$B15)+SUMIFS(Outsourced_labour_inputs!AC$7:AC$297,Outsourced_labour_inputs!$B$7:$B$297,$B15)</f>
        <v>7</v>
      </c>
      <c r="V15" s="192">
        <f>SUMIFS(Internal_labour_inputs!AD$8:AD$295,Internal_labour_inputs!$B$8:$B$295,$B15)+SUMIFS(Outsourced_labour_inputs!AD$7:AD$297,Outsourced_labour_inputs!$B$7:$B$297,$B15)</f>
        <v>7</v>
      </c>
      <c r="W15" s="192">
        <f>SUMIFS(Internal_labour_inputs!AE$8:AE$295,Internal_labour_inputs!$B$8:$B$295,$B15)+SUMIFS(Outsourced_labour_inputs!AE$7:AE$297,Outsourced_labour_inputs!$B$7:$B$297,$B15)</f>
        <v>7</v>
      </c>
      <c r="X15" s="192">
        <f>SUMIFS(Internal_labour_inputs!AF$8:AF$295,Internal_labour_inputs!$B$8:$B$295,$B15)+SUMIFS(Outsourced_labour_inputs!AF$7:AF$297,Outsourced_labour_inputs!$B$7:$B$297,$B15)</f>
        <v>7</v>
      </c>
      <c r="Y15" s="192">
        <f>SUMIFS(Internal_labour_inputs!AG$8:AG$295,Internal_labour_inputs!$B$8:$B$295,$B15)+SUMIFS(Outsourced_labour_inputs!AG$7:AG$297,Outsourced_labour_inputs!$B$7:$B$297,$B15)</f>
        <v>7</v>
      </c>
      <c r="Z15" s="192">
        <f>SUMIFS(Internal_labour_inputs!AH$8:AH$295,Internal_labour_inputs!$B$8:$B$295,$B15)+SUMIFS(Outsourced_labour_inputs!AH$7:AH$297,Outsourced_labour_inputs!$B$7:$B$297,$B15)</f>
        <v>7</v>
      </c>
      <c r="AA15" s="192">
        <f>SUMIFS(Internal_labour_inputs!AI$8:AI$295,Internal_labour_inputs!$B$8:$B$295,$B15)+SUMIFS(Outsourced_labour_inputs!AI$7:AI$297,Outsourced_labour_inputs!$B$7:$B$297,$B15)</f>
        <v>7</v>
      </c>
      <c r="AB15" s="192">
        <f>SUMIFS(Internal_labour_inputs!AJ$8:AJ$295,Internal_labour_inputs!$B$8:$B$295,$B15)+SUMIFS(Outsourced_labour_inputs!AJ$7:AJ$297,Outsourced_labour_inputs!$B$7:$B$297,$B15)</f>
        <v>7</v>
      </c>
      <c r="AC15" s="192">
        <f>SUMIFS(Internal_labour_inputs!AK$8:AK$295,Internal_labour_inputs!$B$8:$B$295,$B15)+SUMIFS(Outsourced_labour_inputs!AK$7:AK$297,Outsourced_labour_inputs!$B$7:$B$297,$B15)</f>
        <v>7</v>
      </c>
      <c r="AD15" s="192">
        <f>SUMIFS(Internal_labour_inputs!AL$8:AL$295,Internal_labour_inputs!$B$8:$B$295,$B15)+SUMIFS(Outsourced_labour_inputs!AL$7:AL$297,Outsourced_labour_inputs!$B$7:$B$297,$B15)</f>
        <v>7</v>
      </c>
      <c r="AE15" s="192">
        <f>SUMIFS(Internal_labour_inputs!AM$8:AM$295,Internal_labour_inputs!$B$8:$B$295,$B15)+SUMIFS(Outsourced_labour_inputs!AM$7:AM$297,Outsourced_labour_inputs!$B$7:$B$297,$B15)</f>
        <v>7</v>
      </c>
      <c r="AF15" s="192">
        <f>SUMIFS(Internal_labour_inputs!AN$8:AN$295,Internal_labour_inputs!$B$8:$B$295,$B15)+SUMIFS(Outsourced_labour_inputs!AN$7:AN$297,Outsourced_labour_inputs!$B$7:$B$297,$B15)</f>
        <v>7</v>
      </c>
      <c r="AG15" s="192">
        <f>SUMIFS(Internal_labour_inputs!AO$8:AO$295,Internal_labour_inputs!$B$8:$B$295,$B15)+SUMIFS(Outsourced_labour_inputs!AO$7:AO$297,Outsourced_labour_inputs!$B$7:$B$297,$B15)</f>
        <v>7</v>
      </c>
      <c r="AH15" s="192">
        <f>SUMIFS(Internal_labour_inputs!AP$8:AP$295,Internal_labour_inputs!$B$8:$B$295,$B15)+SUMIFS(Outsourced_labour_inputs!AP$7:AP$297,Outsourced_labour_inputs!$B$7:$B$297,$B15)</f>
        <v>7</v>
      </c>
      <c r="AI15" s="192">
        <f>SUMIFS(Internal_labour_inputs!AQ$8:AQ$295,Internal_labour_inputs!$B$8:$B$295,$B15)+SUMIFS(Outsourced_labour_inputs!AQ$7:AQ$297,Outsourced_labour_inputs!$B$7:$B$297,$B15)</f>
        <v>7</v>
      </c>
      <c r="AJ15" s="192">
        <f>SUMIFS(Internal_labour_inputs!AR$8:AR$295,Internal_labour_inputs!$B$8:$B$295,$B15)+SUMIFS(Outsourced_labour_inputs!AR$7:AR$297,Outsourced_labour_inputs!$B$7:$B$297,$B15)</f>
        <v>7</v>
      </c>
      <c r="AK15" s="192">
        <f>SUMIFS(Internal_labour_inputs!AS$8:AS$295,Internal_labour_inputs!$B$8:$B$295,$B15)+SUMIFS(Outsourced_labour_inputs!AS$7:AS$297,Outsourced_labour_inputs!$B$7:$B$297,$B15)</f>
        <v>7</v>
      </c>
      <c r="AL15" s="192">
        <f>SUMIFS(Internal_labour_inputs!AT$8:AT$295,Internal_labour_inputs!$B$8:$B$295,$B15)+SUMIFS(Outsourced_labour_inputs!AT$7:AT$297,Outsourced_labour_inputs!$B$7:$B$297,$B15)</f>
        <v>7</v>
      </c>
      <c r="AM15" s="192">
        <f>SUMIFS(Internal_labour_inputs!AU$8:AU$295,Internal_labour_inputs!$B$8:$B$295,$B15)+SUMIFS(Outsourced_labour_inputs!AU$7:AU$297,Outsourced_labour_inputs!$B$7:$B$297,$B15)</f>
        <v>7</v>
      </c>
      <c r="AN15" s="192">
        <f>SUMIFS(Internal_labour_inputs!AV$8:AV$295,Internal_labour_inputs!$B$8:$B$295,$B15)+SUMIFS(Outsourced_labour_inputs!AV$7:AV$297,Outsourced_labour_inputs!$B$7:$B$297,$B15)</f>
        <v>7</v>
      </c>
      <c r="AO15" s="192">
        <f>SUMIFS(Internal_labour_inputs!AW$8:AW$295,Internal_labour_inputs!$B$8:$B$295,$B15)+SUMIFS(Outsourced_labour_inputs!AW$7:AW$297,Outsourced_labour_inputs!$B$7:$B$297,$B15)</f>
        <v>7</v>
      </c>
      <c r="AP15" s="192">
        <f>SUMIFS(Internal_labour_inputs!AX$8:AX$295,Internal_labour_inputs!$B$8:$B$295,$B15)+SUMIFS(Outsourced_labour_inputs!AX$7:AX$297,Outsourced_labour_inputs!$B$7:$B$297,$B15)</f>
        <v>7</v>
      </c>
      <c r="AQ15" s="192">
        <f>SUMIFS(Internal_labour_inputs!AY$8:AY$295,Internal_labour_inputs!$B$8:$B$295,$B15)+SUMIFS(Outsourced_labour_inputs!AY$7:AY$297,Outsourced_labour_inputs!$B$7:$B$297,$B15)</f>
        <v>7</v>
      </c>
      <c r="AR15" s="192">
        <f>SUMIFS(Internal_labour_inputs!AZ$8:AZ$295,Internal_labour_inputs!$B$8:$B$295,$B15)+SUMIFS(Outsourced_labour_inputs!AZ$7:AZ$297,Outsourced_labour_inputs!$B$7:$B$297,$B15)</f>
        <v>7</v>
      </c>
      <c r="AS15" s="192">
        <f>SUMIFS(Internal_labour_inputs!BA$8:BA$295,Internal_labour_inputs!$B$8:$B$295,$B15)+SUMIFS(Outsourced_labour_inputs!BA$7:BA$297,Outsourced_labour_inputs!$B$7:$B$297,$B15)</f>
        <v>7</v>
      </c>
      <c r="AT15" s="192">
        <f>SUMIFS(Internal_labour_inputs!BB$8:BB$295,Internal_labour_inputs!$B$8:$B$295,$B15)+SUMIFS(Outsourced_labour_inputs!BB$7:BB$297,Outsourced_labour_inputs!$B$7:$B$297,$B15)</f>
        <v>7</v>
      </c>
      <c r="AU15" s="192">
        <f>SUMIFS(Internal_labour_inputs!BC$8:BC$295,Internal_labour_inputs!$B$8:$B$295,$B15)+SUMIFS(Outsourced_labour_inputs!BC$7:BC$297,Outsourced_labour_inputs!$B$7:$B$297,$B15)</f>
        <v>7</v>
      </c>
      <c r="AV15" s="192">
        <f>SUMIFS(Internal_labour_inputs!BD$8:BD$295,Internal_labour_inputs!$B$8:$B$295,$B15)+SUMIFS(Outsourced_labour_inputs!BD$7:BD$297,Outsourced_labour_inputs!$B$7:$B$297,$B15)</f>
        <v>7</v>
      </c>
      <c r="AW15" s="192">
        <f>SUMIFS(Internal_labour_inputs!BE$8:BE$295,Internal_labour_inputs!$B$8:$B$295,$B15)+SUMIFS(Outsourced_labour_inputs!BE$7:BE$297,Outsourced_labour_inputs!$B$7:$B$297,$B15)</f>
        <v>6</v>
      </c>
      <c r="AX15" s="192">
        <f>SUMIFS(Internal_labour_inputs!BF$8:BF$295,Internal_labour_inputs!$B$8:$B$295,$B15)+SUMIFS(Outsourced_labour_inputs!BF$7:BF$297,Outsourced_labour_inputs!$B$7:$B$297,$B15)</f>
        <v>7</v>
      </c>
      <c r="AY15" s="192">
        <f>SUMIFS(Internal_labour_inputs!BG$8:BG$295,Internal_labour_inputs!$B$8:$B$295,$B15)+SUMIFS(Outsourced_labour_inputs!BG$7:BG$297,Outsourced_labour_inputs!$B$7:$B$297,$B15)</f>
        <v>3</v>
      </c>
      <c r="AZ15" s="192">
        <f>SUMIFS(Internal_labour_inputs!BH$8:BH$295,Internal_labour_inputs!$B$8:$B$295,$B15)+SUMIFS(Outsourced_labour_inputs!BH$7:BH$297,Outsourced_labour_inputs!$B$7:$B$297,$B15)</f>
        <v>3</v>
      </c>
      <c r="BA15" s="192">
        <f>SUMIFS(Internal_labour_inputs!BI$8:BI$295,Internal_labour_inputs!$B$8:$B$295,$B15)+SUMIFS(Outsourced_labour_inputs!BI$7:BI$297,Outsourced_labour_inputs!$B$7:$B$297,$B15)</f>
        <v>0</v>
      </c>
      <c r="BB15" s="192">
        <f>SUMIFS(Internal_labour_inputs!BJ$8:BJ$295,Internal_labour_inputs!$B$8:$B$295,$B15)+SUMIFS(Outsourced_labour_inputs!BJ$7:BJ$297,Outsourced_labour_inputs!$B$7:$B$297,$B15)</f>
        <v>0</v>
      </c>
      <c r="BC15" s="192">
        <f>SUMIFS(Internal_labour_inputs!BK$8:BK$295,Internal_labour_inputs!$B$8:$B$295,$B15)+SUMIFS(Outsourced_labour_inputs!BK$7:BK$297,Outsourced_labour_inputs!$B$7:$B$297,$B15)</f>
        <v>0</v>
      </c>
      <c r="BD15" s="192">
        <f>SUMIFS(Internal_labour_inputs!BL$8:BL$295,Internal_labour_inputs!$B$8:$B$295,$B15)+SUMIFS(Outsourced_labour_inputs!BL$7:BL$297,Outsourced_labour_inputs!$B$7:$B$297,$B15)</f>
        <v>0</v>
      </c>
      <c r="BE15" s="192">
        <f>SUMIFS(Internal_labour_inputs!BM$8:BM$295,Internal_labour_inputs!$B$8:$B$295,$B15)+SUMIFS(Outsourced_labour_inputs!BM$7:BM$297,Outsourced_labour_inputs!$B$7:$B$297,$B15)</f>
        <v>0</v>
      </c>
      <c r="BF15" s="192">
        <f>SUMIFS(Internal_labour_inputs!BN$8:BN$295,Internal_labour_inputs!$B$8:$B$295,$B15)+SUMIFS(Outsourced_labour_inputs!BN$7:BN$297,Outsourced_labour_inputs!$B$7:$B$297,$B15)</f>
        <v>0</v>
      </c>
      <c r="BG15" s="192">
        <f>SUMIFS(Internal_labour_inputs!BO$8:BO$295,Internal_labour_inputs!$B$8:$B$295,$B15)+SUMIFS(Outsourced_labour_inputs!BO$7:BO$297,Outsourced_labour_inputs!$B$7:$B$297,$B15)</f>
        <v>0</v>
      </c>
      <c r="BH15" s="192">
        <f>SUMIFS(Internal_labour_inputs!BP$8:BP$295,Internal_labour_inputs!$B$8:$B$295,$B15)+SUMIFS(Outsourced_labour_inputs!BP$7:BP$297,Outsourced_labour_inputs!$B$7:$B$297,$B15)</f>
        <v>0</v>
      </c>
      <c r="BI15" s="192">
        <f>SUMIFS(Internal_labour_inputs!BQ$8:BQ$295,Internal_labour_inputs!$B$8:$B$295,$B15)+SUMIFS(Outsourced_labour_inputs!BQ$7:BQ$297,Outsourced_labour_inputs!$B$7:$B$297,$B15)</f>
        <v>0</v>
      </c>
      <c r="BJ15" s="192">
        <f>SUMIFS(Internal_labour_inputs!BR$8:BR$295,Internal_labour_inputs!$B$8:$B$295,$B15)+SUMIFS(Outsourced_labour_inputs!BR$7:BR$297,Outsourced_labour_inputs!$B$7:$B$297,$B15)</f>
        <v>0</v>
      </c>
      <c r="BK15" s="192">
        <f>SUMIFS(Internal_labour_inputs!BS$8:BS$295,Internal_labour_inputs!$B$8:$B$295,$B15)+SUMIFS(Outsourced_labour_inputs!BS$7:BS$297,Outsourced_labour_inputs!$B$7:$B$297,$B15)</f>
        <v>0</v>
      </c>
      <c r="BL15" s="192">
        <f>SUMIFS(Internal_labour_inputs!BT$8:BT$295,Internal_labour_inputs!$B$8:$B$295,$B15)+SUMIFS(Outsourced_labour_inputs!BT$7:BT$297,Outsourced_labour_inputs!$B$7:$B$297,$B15)</f>
        <v>0</v>
      </c>
      <c r="BM15" s="192">
        <f>SUMIFS(Internal_labour_inputs!BU$8:BU$295,Internal_labour_inputs!$B$8:$B$295,$B15)+SUMIFS(Outsourced_labour_inputs!BU$7:BU$297,Outsourced_labour_inputs!$B$7:$B$297,$B15)</f>
        <v>0</v>
      </c>
      <c r="BN15" s="192">
        <f>SUMIFS(Internal_labour_inputs!BV$8:BV$295,Internal_labour_inputs!$B$8:$B$295,$B15)+SUMIFS(Outsourced_labour_inputs!BV$7:BV$297,Outsourced_labour_inputs!$B$7:$B$297,$B15)</f>
        <v>0</v>
      </c>
      <c r="BO15" s="192">
        <f>SUMIFS(Internal_labour_inputs!BW$8:BW$295,Internal_labour_inputs!$B$8:$B$295,$B15)+SUMIFS(Outsourced_labour_inputs!BW$7:BW$297,Outsourced_labour_inputs!$B$7:$B$297,$B15)</f>
        <v>0</v>
      </c>
      <c r="BP15" s="192">
        <f>SUMIFS(Internal_labour_inputs!BX$8:BX$295,Internal_labour_inputs!$B$8:$B$295,$B15)+SUMIFS(Outsourced_labour_inputs!BX$7:BX$297,Outsourced_labour_inputs!$B$7:$B$297,$B15)</f>
        <v>0</v>
      </c>
      <c r="BQ15" s="192">
        <f>SUMIFS(Internal_labour_inputs!BY$8:BY$295,Internal_labour_inputs!$B$8:$B$295,$B15)+SUMIFS(Outsourced_labour_inputs!BY$7:BY$297,Outsourced_labour_inputs!$B$7:$B$297,$B15)</f>
        <v>0</v>
      </c>
      <c r="BR15" s="192">
        <f>SUMIFS(Internal_labour_inputs!BZ$8:BZ$295,Internal_labour_inputs!$B$8:$B$295,$B15)+SUMIFS(Outsourced_labour_inputs!BZ$7:BZ$297,Outsourced_labour_inputs!$B$7:$B$297,$B15)</f>
        <v>0</v>
      </c>
      <c r="BS15" s="192">
        <f>SUMIFS(Internal_labour_inputs!CA$8:CA$295,Internal_labour_inputs!$B$8:$B$295,$B15)+SUMIFS(Outsourced_labour_inputs!CA$7:CA$297,Outsourced_labour_inputs!$B$7:$B$297,$B15)</f>
        <v>0</v>
      </c>
      <c r="BT15" s="192">
        <f>SUMIFS(Internal_labour_inputs!CB$8:CB$295,Internal_labour_inputs!$B$8:$B$295,$B15)+SUMIFS(Outsourced_labour_inputs!CB$7:CB$297,Outsourced_labour_inputs!$B$7:$B$297,$B15)</f>
        <v>0</v>
      </c>
      <c r="BU15" s="192">
        <f>SUMIFS(Internal_labour_inputs!CC$8:CC$295,Internal_labour_inputs!$B$8:$B$295,$B15)+SUMIFS(Outsourced_labour_inputs!CC$7:CC$297,Outsourced_labour_inputs!$B$7:$B$297,$B15)</f>
        <v>0</v>
      </c>
      <c r="BV15" s="192">
        <f>SUMIFS(Internal_labour_inputs!CD$8:CD$295,Internal_labour_inputs!$B$8:$B$295,$B15)+SUMIFS(Outsourced_labour_inputs!CD$7:CD$297,Outsourced_labour_inputs!$B$7:$B$297,$B15)</f>
        <v>0</v>
      </c>
      <c r="BW15" s="192">
        <f>SUMIFS(Internal_labour_inputs!CE$8:CE$295,Internal_labour_inputs!$B$8:$B$295,$B15)+SUMIFS(Outsourced_labour_inputs!CE$7:CE$297,Outsourced_labour_inputs!$B$7:$B$297,$B15)</f>
        <v>0</v>
      </c>
      <c r="BX15" s="192">
        <f>SUMIFS(Internal_labour_inputs!CF$8:CF$295,Internal_labour_inputs!$B$8:$B$295,$B15)+SUMIFS(Outsourced_labour_inputs!CF$7:CF$297,Outsourced_labour_inputs!$B$7:$B$297,$B15)</f>
        <v>0</v>
      </c>
      <c r="BY15" s="192">
        <f>SUMIFS(Internal_labour_inputs!CG$8:CG$295,Internal_labour_inputs!$B$8:$B$295,$B15)+SUMIFS(Outsourced_labour_inputs!CG$7:CG$297,Outsourced_labour_inputs!$B$7:$B$297,$B15)</f>
        <v>0</v>
      </c>
      <c r="BZ15" s="192">
        <f>SUMIFS(Internal_labour_inputs!CH$8:CH$295,Internal_labour_inputs!$B$8:$B$295,$B15)+SUMIFS(Outsourced_labour_inputs!CH$7:CH$297,Outsourced_labour_inputs!$B$7:$B$297,$B15)</f>
        <v>0</v>
      </c>
      <c r="CA15" s="192">
        <f>SUMIFS(Internal_labour_inputs!CI$8:CI$295,Internal_labour_inputs!$B$8:$B$295,$B15)+SUMIFS(Outsourced_labour_inputs!CI$7:CI$297,Outsourced_labour_inputs!$B$7:$B$297,$B15)</f>
        <v>0</v>
      </c>
      <c r="CB15" s="192">
        <f>SUMIFS(Internal_labour_inputs!CJ$8:CJ$295,Internal_labour_inputs!$B$8:$B$295,$B15)+SUMIFS(Outsourced_labour_inputs!CJ$7:CJ$297,Outsourced_labour_inputs!$B$7:$B$297,$B15)</f>
        <v>0</v>
      </c>
      <c r="CC15" s="192">
        <f>SUMIFS(Internal_labour_inputs!CK$8:CK$295,Internal_labour_inputs!$B$8:$B$295,$B15)+SUMIFS(Outsourced_labour_inputs!CK$7:CK$297,Outsourced_labour_inputs!$B$7:$B$297,$B15)</f>
        <v>0</v>
      </c>
      <c r="CD15" s="192">
        <f>SUMIFS(Internal_labour_inputs!CL$8:CL$295,Internal_labour_inputs!$B$8:$B$295,$B15)+SUMIFS(Outsourced_labour_inputs!CL$7:CL$297,Outsourced_labour_inputs!$B$7:$B$297,$B15)</f>
        <v>0</v>
      </c>
      <c r="CE15" s="192">
        <f>SUMIFS(Internal_labour_inputs!CM$8:CM$295,Internal_labour_inputs!$B$8:$B$295,$B15)+SUMIFS(Outsourced_labour_inputs!CM$7:CM$297,Outsourced_labour_inputs!$B$7:$B$297,$B15)</f>
        <v>0</v>
      </c>
      <c r="CF15" s="192">
        <f>SUMIFS(Internal_labour_inputs!CN$8:CN$295,Internal_labour_inputs!$B$8:$B$295,$B15)+SUMIFS(Outsourced_labour_inputs!CN$7:CN$297,Outsourced_labour_inputs!$B$7:$B$297,$B15)</f>
        <v>0</v>
      </c>
      <c r="CG15" s="192">
        <f>SUMIFS(Internal_labour_inputs!CO$8:CO$295,Internal_labour_inputs!$B$8:$B$295,$B15)+SUMIFS(Outsourced_labour_inputs!CO$7:CO$297,Outsourced_labour_inputs!$B$7:$B$297,$B15)</f>
        <v>0</v>
      </c>
      <c r="CH15" s="192">
        <f>SUMIFS(Internal_labour_inputs!CP$8:CP$295,Internal_labour_inputs!$B$8:$B$295,$B15)+SUMIFS(Outsourced_labour_inputs!CP$7:CP$297,Outsourced_labour_inputs!$B$7:$B$297,$B15)</f>
        <v>0</v>
      </c>
      <c r="CI15" s="192">
        <f t="shared" si="1"/>
        <v>247.22807017543857</v>
      </c>
      <c r="CJ15" s="192">
        <f t="shared" si="0"/>
        <v>5.1505847953216373</v>
      </c>
      <c r="CK15" s="192">
        <f t="shared" si="2"/>
        <v>6.258064516129032</v>
      </c>
      <c r="CL15" s="194"/>
    </row>
    <row r="16" spans="1:95" x14ac:dyDescent="0.3">
      <c r="B16" s="191" t="str">
        <v>Project Delivery Management - Commissioning</v>
      </c>
      <c r="C16" s="192">
        <f>SUMIFS(Internal_labour_inputs!K$8:K$295,Internal_labour_inputs!$B$8:$B$295,$B16)+SUMIFS(Outsourced_labour_inputs!K$7:K$297,Outsourced_labour_inputs!$B$7:$B$297,$B16)</f>
        <v>0</v>
      </c>
      <c r="D16" s="192">
        <f>SUMIFS(Internal_labour_inputs!L$8:L$295,Internal_labour_inputs!$B$8:$B$295,$B16)+SUMIFS(Outsourced_labour_inputs!L$7:L$297,Outsourced_labour_inputs!$B$7:$B$297,$B16)</f>
        <v>0</v>
      </c>
      <c r="E16" s="192">
        <f>SUMIFS(Internal_labour_inputs!M$8:M$295,Internal_labour_inputs!$B$8:$B$295,$B16)+SUMIFS(Outsourced_labour_inputs!M$7:M$297,Outsourced_labour_inputs!$B$7:$B$297,$B16)</f>
        <v>0</v>
      </c>
      <c r="F16" s="192">
        <f>SUMIFS(Internal_labour_inputs!N$8:N$295,Internal_labour_inputs!$B$8:$B$295,$B16)+SUMIFS(Outsourced_labour_inputs!N$7:N$297,Outsourced_labour_inputs!$B$7:$B$297,$B16)</f>
        <v>0</v>
      </c>
      <c r="G16" s="192">
        <f>SUMIFS(Internal_labour_inputs!O$8:O$295,Internal_labour_inputs!$B$8:$B$295,$B16)+SUMIFS(Outsourced_labour_inputs!O$7:O$297,Outsourced_labour_inputs!$B$7:$B$297,$B16)</f>
        <v>0</v>
      </c>
      <c r="H16" s="192">
        <f>SUMIFS(Internal_labour_inputs!P$8:P$295,Internal_labour_inputs!$B$8:$B$295,$B16)+SUMIFS(Outsourced_labour_inputs!P$7:P$297,Outsourced_labour_inputs!$B$7:$B$297,$B16)</f>
        <v>0</v>
      </c>
      <c r="I16" s="192">
        <f>SUMIFS(Internal_labour_inputs!Q$8:Q$295,Internal_labour_inputs!$B$8:$B$295,$B16)+SUMIFS(Outsourced_labour_inputs!Q$7:Q$297,Outsourced_labour_inputs!$B$7:$B$297,$B16)</f>
        <v>0</v>
      </c>
      <c r="J16" s="192">
        <f>SUMIFS(Internal_labour_inputs!R$8:R$295,Internal_labour_inputs!$B$8:$B$295,$B16)+SUMIFS(Outsourced_labour_inputs!R$7:R$297,Outsourced_labour_inputs!$B$7:$B$297,$B16)</f>
        <v>0</v>
      </c>
      <c r="K16" s="192">
        <f>SUMIFS(Internal_labour_inputs!S$8:S$295,Internal_labour_inputs!$B$8:$B$295,$B16)+SUMIFS(Outsourced_labour_inputs!S$7:S$297,Outsourced_labour_inputs!$B$7:$B$297,$B16)</f>
        <v>0</v>
      </c>
      <c r="L16" s="192">
        <f>SUMIFS(Internal_labour_inputs!T$8:T$295,Internal_labour_inputs!$B$8:$B$295,$B16)+SUMIFS(Outsourced_labour_inputs!T$7:T$297,Outsourced_labour_inputs!$B$7:$B$297,$B16)</f>
        <v>0</v>
      </c>
      <c r="M16" s="192">
        <f>SUMIFS(Internal_labour_inputs!U$8:U$295,Internal_labour_inputs!$B$8:$B$295,$B16)+SUMIFS(Outsourced_labour_inputs!U$7:U$297,Outsourced_labour_inputs!$B$7:$B$297,$B16)</f>
        <v>0</v>
      </c>
      <c r="N16" s="192">
        <f>SUMIFS(Internal_labour_inputs!V$8:V$295,Internal_labour_inputs!$B$8:$B$295,$B16)+SUMIFS(Outsourced_labour_inputs!V$7:V$297,Outsourced_labour_inputs!$B$7:$B$297,$B16)</f>
        <v>0</v>
      </c>
      <c r="O16" s="192">
        <f>SUMIFS(Internal_labour_inputs!W$8:W$295,Internal_labour_inputs!$B$8:$B$295,$B16)+SUMIFS(Outsourced_labour_inputs!W$7:W$297,Outsourced_labour_inputs!$B$7:$B$297,$B16)</f>
        <v>0</v>
      </c>
      <c r="P16" s="192">
        <f>SUMIFS(Internal_labour_inputs!X$8:X$295,Internal_labour_inputs!$B$8:$B$295,$B16)+SUMIFS(Outsourced_labour_inputs!X$7:X$297,Outsourced_labour_inputs!$B$7:$B$297,$B16)</f>
        <v>0</v>
      </c>
      <c r="Q16" s="192">
        <f>SUMIFS(Internal_labour_inputs!Y$8:Y$295,Internal_labour_inputs!$B$8:$B$295,$B16)+SUMIFS(Outsourced_labour_inputs!Y$7:Y$297,Outsourced_labour_inputs!$B$7:$B$297,$B16)</f>
        <v>1.6928571428571426</v>
      </c>
      <c r="R16" s="192">
        <f>SUMIFS(Internal_labour_inputs!Z$8:Z$295,Internal_labour_inputs!$B$8:$B$295,$B16)+SUMIFS(Outsourced_labour_inputs!Z$7:Z$297,Outsourced_labour_inputs!$B$7:$B$297,$B16)</f>
        <v>1</v>
      </c>
      <c r="S16" s="192">
        <f>SUMIFS(Internal_labour_inputs!AA$8:AA$295,Internal_labour_inputs!$B$8:$B$295,$B16)+SUMIFS(Outsourced_labour_inputs!AA$7:AA$297,Outsourced_labour_inputs!$B$7:$B$297,$B16)</f>
        <v>3.072368421052631</v>
      </c>
      <c r="T16" s="192">
        <f>SUMIFS(Internal_labour_inputs!AB$8:AB$295,Internal_labour_inputs!$B$8:$B$295,$B16)+SUMIFS(Outsourced_labour_inputs!AB$7:AB$297,Outsourced_labour_inputs!$B$7:$B$297,$B16)</f>
        <v>7.6710526315789469</v>
      </c>
      <c r="U16" s="192">
        <f>SUMIFS(Internal_labour_inputs!AC$8:AC$295,Internal_labour_inputs!$B$8:$B$295,$B16)+SUMIFS(Outsourced_labour_inputs!AC$7:AC$297,Outsourced_labour_inputs!$B$7:$B$297,$B16)</f>
        <v>11.72142857142857</v>
      </c>
      <c r="V16" s="192">
        <f>SUMIFS(Internal_labour_inputs!AD$8:AD$295,Internal_labour_inputs!$B$8:$B$295,$B16)+SUMIFS(Outsourced_labour_inputs!AD$7:AD$297,Outsourced_labour_inputs!$B$7:$B$297,$B16)</f>
        <v>11.835714285714284</v>
      </c>
      <c r="W16" s="192">
        <f>SUMIFS(Internal_labour_inputs!AE$8:AE$295,Internal_labour_inputs!$B$8:$B$295,$B16)+SUMIFS(Outsourced_labour_inputs!AE$7:AE$297,Outsourced_labour_inputs!$B$7:$B$297,$B16)</f>
        <v>15.94285714285714</v>
      </c>
      <c r="X16" s="192">
        <f>SUMIFS(Internal_labour_inputs!AF$8:AF$295,Internal_labour_inputs!$B$8:$B$295,$B16)+SUMIFS(Outsourced_labour_inputs!AF$7:AF$297,Outsourced_labour_inputs!$B$7:$B$297,$B16)</f>
        <v>26.535714285714288</v>
      </c>
      <c r="Y16" s="192">
        <f>SUMIFS(Internal_labour_inputs!AG$8:AG$295,Internal_labour_inputs!$B$8:$B$295,$B16)+SUMIFS(Outsourced_labour_inputs!AG$7:AG$297,Outsourced_labour_inputs!$B$7:$B$297,$B16)</f>
        <v>23.392857142857146</v>
      </c>
      <c r="Z16" s="192">
        <f>SUMIFS(Internal_labour_inputs!AH$8:AH$295,Internal_labour_inputs!$B$8:$B$295,$B16)+SUMIFS(Outsourced_labour_inputs!AH$7:AH$297,Outsourced_labour_inputs!$B$7:$B$297,$B16)</f>
        <v>25.104761904761894</v>
      </c>
      <c r="AA16" s="192">
        <f>SUMIFS(Internal_labour_inputs!AI$8:AI$295,Internal_labour_inputs!$B$8:$B$295,$B16)+SUMIFS(Outsourced_labour_inputs!AI$7:AI$297,Outsourced_labour_inputs!$B$7:$B$297,$B16)</f>
        <v>37.828571428571422</v>
      </c>
      <c r="AB16" s="192">
        <f>SUMIFS(Internal_labour_inputs!AJ$8:AJ$295,Internal_labour_inputs!$B$8:$B$295,$B16)+SUMIFS(Outsourced_labour_inputs!AJ$7:AJ$297,Outsourced_labour_inputs!$B$7:$B$297,$B16)</f>
        <v>30.907142857142858</v>
      </c>
      <c r="AC16" s="192">
        <f>SUMIFS(Internal_labour_inputs!AK$8:AK$295,Internal_labour_inputs!$B$8:$B$295,$B16)+SUMIFS(Outsourced_labour_inputs!AK$7:AK$297,Outsourced_labour_inputs!$B$7:$B$297,$B16)</f>
        <v>19.492857142857137</v>
      </c>
      <c r="AD16" s="192">
        <f>SUMIFS(Internal_labour_inputs!AL$8:AL$295,Internal_labour_inputs!$B$8:$B$295,$B16)+SUMIFS(Outsourced_labour_inputs!AL$7:AL$297,Outsourced_labour_inputs!$B$7:$B$297,$B16)</f>
        <v>26.333333333333325</v>
      </c>
      <c r="AE16" s="192">
        <f>SUMIFS(Internal_labour_inputs!AM$8:AM$295,Internal_labour_inputs!$B$8:$B$295,$B16)+SUMIFS(Outsourced_labour_inputs!AM$7:AM$297,Outsourced_labour_inputs!$B$7:$B$297,$B16)</f>
        <v>19.743421052631586</v>
      </c>
      <c r="AF16" s="192">
        <f>SUMIFS(Internal_labour_inputs!AN$8:AN$295,Internal_labour_inputs!$B$8:$B$295,$B16)+SUMIFS(Outsourced_labour_inputs!AN$7:AN$297,Outsourced_labour_inputs!$B$7:$B$297,$B16)</f>
        <v>21.631578947368425</v>
      </c>
      <c r="AG16" s="192">
        <f>SUMIFS(Internal_labour_inputs!AO$8:AO$295,Internal_labour_inputs!$B$8:$B$295,$B16)+SUMIFS(Outsourced_labour_inputs!AO$7:AO$297,Outsourced_labour_inputs!$B$7:$B$297,$B16)</f>
        <v>19.799999999999994</v>
      </c>
      <c r="AH16" s="192">
        <f>SUMIFS(Internal_labour_inputs!AP$8:AP$295,Internal_labour_inputs!$B$8:$B$295,$B16)+SUMIFS(Outsourced_labour_inputs!AP$7:AP$297,Outsourced_labour_inputs!$B$7:$B$297,$B16)</f>
        <v>23.121428571428567</v>
      </c>
      <c r="AI16" s="192">
        <f>SUMIFS(Internal_labour_inputs!AQ$8:AQ$295,Internal_labour_inputs!$B$8:$B$295,$B16)+SUMIFS(Outsourced_labour_inputs!AQ$7:AQ$297,Outsourced_labour_inputs!$B$7:$B$297,$B16)</f>
        <v>19.635714285714283</v>
      </c>
      <c r="AJ16" s="192">
        <f>SUMIFS(Internal_labour_inputs!AR$8:AR$295,Internal_labour_inputs!$B$8:$B$295,$B16)+SUMIFS(Outsourced_labour_inputs!AR$7:AR$297,Outsourced_labour_inputs!$B$7:$B$297,$B16)</f>
        <v>24.421428571428567</v>
      </c>
      <c r="AK16" s="192">
        <f>SUMIFS(Internal_labour_inputs!AS$8:AS$295,Internal_labour_inputs!$B$8:$B$295,$B16)+SUMIFS(Outsourced_labour_inputs!AS$7:AS$297,Outsourced_labour_inputs!$B$7:$B$297,$B16)</f>
        <v>22.80714285714285</v>
      </c>
      <c r="AL16" s="192">
        <f>SUMIFS(Internal_labour_inputs!AT$8:AT$295,Internal_labour_inputs!$B$8:$B$295,$B16)+SUMIFS(Outsourced_labour_inputs!AT$7:AT$297,Outsourced_labour_inputs!$B$7:$B$297,$B16)</f>
        <v>24.933333333333334</v>
      </c>
      <c r="AM16" s="192">
        <f>SUMIFS(Internal_labour_inputs!AU$8:AU$295,Internal_labour_inputs!$B$8:$B$295,$B16)+SUMIFS(Outsourced_labour_inputs!AU$7:AU$297,Outsourced_labour_inputs!$B$7:$B$297,$B16)</f>
        <v>27.276190476190468</v>
      </c>
      <c r="AN16" s="192">
        <f>SUMIFS(Internal_labour_inputs!AV$8:AV$295,Internal_labour_inputs!$B$8:$B$295,$B16)+SUMIFS(Outsourced_labour_inputs!AV$7:AV$297,Outsourced_labour_inputs!$B$7:$B$297,$B16)</f>
        <v>22.449999999999992</v>
      </c>
      <c r="AO16" s="192">
        <f>SUMIFS(Internal_labour_inputs!AW$8:AW$295,Internal_labour_inputs!$B$8:$B$295,$B16)+SUMIFS(Outsourced_labour_inputs!AW$7:AW$297,Outsourced_labour_inputs!$B$7:$B$297,$B16)</f>
        <v>18.671428571428564</v>
      </c>
      <c r="AP16" s="192">
        <f>SUMIFS(Internal_labour_inputs!AX$8:AX$295,Internal_labour_inputs!$B$8:$B$295,$B16)+SUMIFS(Outsourced_labour_inputs!AX$7:AX$297,Outsourced_labour_inputs!$B$7:$B$297,$B16)</f>
        <v>31.799999999999986</v>
      </c>
      <c r="AQ16" s="192">
        <f>SUMIFS(Internal_labour_inputs!AY$8:AY$295,Internal_labour_inputs!$B$8:$B$295,$B16)+SUMIFS(Outsourced_labour_inputs!AY$7:AY$297,Outsourced_labour_inputs!$B$7:$B$297,$B16)</f>
        <v>22.914473684210531</v>
      </c>
      <c r="AR16" s="192">
        <f>SUMIFS(Internal_labour_inputs!AZ$8:AZ$295,Internal_labour_inputs!$B$8:$B$295,$B16)+SUMIFS(Outsourced_labour_inputs!AZ$7:AZ$297,Outsourced_labour_inputs!$B$7:$B$297,$B16)</f>
        <v>23.835526315789476</v>
      </c>
      <c r="AS16" s="192">
        <f>SUMIFS(Internal_labour_inputs!BA$8:BA$295,Internal_labour_inputs!$B$8:$B$295,$B16)+SUMIFS(Outsourced_labour_inputs!BA$7:BA$297,Outsourced_labour_inputs!$B$7:$B$297,$B16)</f>
        <v>24.95</v>
      </c>
      <c r="AT16" s="192">
        <f>SUMIFS(Internal_labour_inputs!BB$8:BB$295,Internal_labour_inputs!$B$8:$B$295,$B16)+SUMIFS(Outsourced_labour_inputs!BB$7:BB$297,Outsourced_labour_inputs!$B$7:$B$297,$B16)</f>
        <v>22.00714285714286</v>
      </c>
      <c r="AU16" s="192">
        <f>SUMIFS(Internal_labour_inputs!BC$8:BC$295,Internal_labour_inputs!$B$8:$B$295,$B16)+SUMIFS(Outsourced_labour_inputs!BC$7:BC$297,Outsourced_labour_inputs!$B$7:$B$297,$B16)</f>
        <v>22.385714285714283</v>
      </c>
      <c r="AV16" s="192">
        <f>SUMIFS(Internal_labour_inputs!BD$8:BD$295,Internal_labour_inputs!$B$8:$B$295,$B16)+SUMIFS(Outsourced_labour_inputs!BD$7:BD$297,Outsourced_labour_inputs!$B$7:$B$297,$B16)</f>
        <v>14.99285714285714</v>
      </c>
      <c r="AW16" s="192">
        <f>SUMIFS(Internal_labour_inputs!BE$8:BE$295,Internal_labour_inputs!$B$8:$B$295,$B16)+SUMIFS(Outsourced_labour_inputs!BE$7:BE$297,Outsourced_labour_inputs!$B$7:$B$297,$B16)</f>
        <v>26.285714285714288</v>
      </c>
      <c r="AX16" s="192">
        <f>SUMIFS(Internal_labour_inputs!BF$8:BF$295,Internal_labour_inputs!$B$8:$B$295,$B16)+SUMIFS(Outsourced_labour_inputs!BF$7:BF$297,Outsourced_labour_inputs!$B$7:$B$297,$B16)</f>
        <v>2.7428571428571429</v>
      </c>
      <c r="AY16" s="192">
        <f>SUMIFS(Internal_labour_inputs!BG$8:BG$295,Internal_labour_inputs!$B$8:$B$295,$B16)+SUMIFS(Outsourced_labour_inputs!BG$7:BG$297,Outsourced_labour_inputs!$B$7:$B$297,$B16)</f>
        <v>8.5714285714285712</v>
      </c>
      <c r="AZ16" s="192">
        <f>SUMIFS(Internal_labour_inputs!BH$8:BH$295,Internal_labour_inputs!$B$8:$B$295,$B16)+SUMIFS(Outsourced_labour_inputs!BH$7:BH$297,Outsourced_labour_inputs!$B$7:$B$297,$B16)</f>
        <v>0</v>
      </c>
      <c r="BA16" s="192">
        <f>SUMIFS(Internal_labour_inputs!BI$8:BI$295,Internal_labour_inputs!$B$8:$B$295,$B16)+SUMIFS(Outsourced_labour_inputs!BI$7:BI$297,Outsourced_labour_inputs!$B$7:$B$297,$B16)</f>
        <v>0</v>
      </c>
      <c r="BB16" s="192">
        <f>SUMIFS(Internal_labour_inputs!BJ$8:BJ$295,Internal_labour_inputs!$B$8:$B$295,$B16)+SUMIFS(Outsourced_labour_inputs!BJ$7:BJ$297,Outsourced_labour_inputs!$B$7:$B$297,$B16)</f>
        <v>0</v>
      </c>
      <c r="BC16" s="192">
        <f>SUMIFS(Internal_labour_inputs!BK$8:BK$295,Internal_labour_inputs!$B$8:$B$295,$B16)+SUMIFS(Outsourced_labour_inputs!BK$7:BK$297,Outsourced_labour_inputs!$B$7:$B$297,$B16)</f>
        <v>0</v>
      </c>
      <c r="BD16" s="192">
        <f>SUMIFS(Internal_labour_inputs!BL$8:BL$295,Internal_labour_inputs!$B$8:$B$295,$B16)+SUMIFS(Outsourced_labour_inputs!BL$7:BL$297,Outsourced_labour_inputs!$B$7:$B$297,$B16)</f>
        <v>0</v>
      </c>
      <c r="BE16" s="192">
        <f>SUMIFS(Internal_labour_inputs!BM$8:BM$295,Internal_labour_inputs!$B$8:$B$295,$B16)+SUMIFS(Outsourced_labour_inputs!BM$7:BM$297,Outsourced_labour_inputs!$B$7:$B$297,$B16)</f>
        <v>0</v>
      </c>
      <c r="BF16" s="192">
        <f>SUMIFS(Internal_labour_inputs!BN$8:BN$295,Internal_labour_inputs!$B$8:$B$295,$B16)+SUMIFS(Outsourced_labour_inputs!BN$7:BN$297,Outsourced_labour_inputs!$B$7:$B$297,$B16)</f>
        <v>0</v>
      </c>
      <c r="BG16" s="192">
        <f>SUMIFS(Internal_labour_inputs!BO$8:BO$295,Internal_labour_inputs!$B$8:$B$295,$B16)+SUMIFS(Outsourced_labour_inputs!BO$7:BO$297,Outsourced_labour_inputs!$B$7:$B$297,$B16)</f>
        <v>0</v>
      </c>
      <c r="BH16" s="192">
        <f>SUMIFS(Internal_labour_inputs!BP$8:BP$295,Internal_labour_inputs!$B$8:$B$295,$B16)+SUMIFS(Outsourced_labour_inputs!BP$7:BP$297,Outsourced_labour_inputs!$B$7:$B$297,$B16)</f>
        <v>0</v>
      </c>
      <c r="BI16" s="192">
        <f>SUMIFS(Internal_labour_inputs!BQ$8:BQ$295,Internal_labour_inputs!$B$8:$B$295,$B16)+SUMIFS(Outsourced_labour_inputs!BQ$7:BQ$297,Outsourced_labour_inputs!$B$7:$B$297,$B16)</f>
        <v>0</v>
      </c>
      <c r="BJ16" s="192">
        <f>SUMIFS(Internal_labour_inputs!BR$8:BR$295,Internal_labour_inputs!$B$8:$B$295,$B16)+SUMIFS(Outsourced_labour_inputs!BR$7:BR$297,Outsourced_labour_inputs!$B$7:$B$297,$B16)</f>
        <v>0</v>
      </c>
      <c r="BK16" s="192">
        <f>SUMIFS(Internal_labour_inputs!BS$8:BS$295,Internal_labour_inputs!$B$8:$B$295,$B16)+SUMIFS(Outsourced_labour_inputs!BS$7:BS$297,Outsourced_labour_inputs!$B$7:$B$297,$B16)</f>
        <v>0</v>
      </c>
      <c r="BL16" s="192">
        <f>SUMIFS(Internal_labour_inputs!BT$8:BT$295,Internal_labour_inputs!$B$8:$B$295,$B16)+SUMIFS(Outsourced_labour_inputs!BT$7:BT$297,Outsourced_labour_inputs!$B$7:$B$297,$B16)</f>
        <v>0</v>
      </c>
      <c r="BM16" s="192">
        <f>SUMIFS(Internal_labour_inputs!BU$8:BU$295,Internal_labour_inputs!$B$8:$B$295,$B16)+SUMIFS(Outsourced_labour_inputs!BU$7:BU$297,Outsourced_labour_inputs!$B$7:$B$297,$B16)</f>
        <v>0</v>
      </c>
      <c r="BN16" s="192">
        <f>SUMIFS(Internal_labour_inputs!BV$8:BV$295,Internal_labour_inputs!$B$8:$B$295,$B16)+SUMIFS(Outsourced_labour_inputs!BV$7:BV$297,Outsourced_labour_inputs!$B$7:$B$297,$B16)</f>
        <v>0</v>
      </c>
      <c r="BO16" s="192">
        <f>SUMIFS(Internal_labour_inputs!BW$8:BW$295,Internal_labour_inputs!$B$8:$B$295,$B16)+SUMIFS(Outsourced_labour_inputs!BW$7:BW$297,Outsourced_labour_inputs!$B$7:$B$297,$B16)</f>
        <v>0</v>
      </c>
      <c r="BP16" s="192">
        <f>SUMIFS(Internal_labour_inputs!BX$8:BX$295,Internal_labour_inputs!$B$8:$B$295,$B16)+SUMIFS(Outsourced_labour_inputs!BX$7:BX$297,Outsourced_labour_inputs!$B$7:$B$297,$B16)</f>
        <v>0</v>
      </c>
      <c r="BQ16" s="192">
        <f>SUMIFS(Internal_labour_inputs!BY$8:BY$295,Internal_labour_inputs!$B$8:$B$295,$B16)+SUMIFS(Outsourced_labour_inputs!BY$7:BY$297,Outsourced_labour_inputs!$B$7:$B$297,$B16)</f>
        <v>0</v>
      </c>
      <c r="BR16" s="192">
        <f>SUMIFS(Internal_labour_inputs!BZ$8:BZ$295,Internal_labour_inputs!$B$8:$B$295,$B16)+SUMIFS(Outsourced_labour_inputs!BZ$7:BZ$297,Outsourced_labour_inputs!$B$7:$B$297,$B16)</f>
        <v>0</v>
      </c>
      <c r="BS16" s="192">
        <f>SUMIFS(Internal_labour_inputs!CA$8:CA$295,Internal_labour_inputs!$B$8:$B$295,$B16)+SUMIFS(Outsourced_labour_inputs!CA$7:CA$297,Outsourced_labour_inputs!$B$7:$B$297,$B16)</f>
        <v>0</v>
      </c>
      <c r="BT16" s="192">
        <f>SUMIFS(Internal_labour_inputs!CB$8:CB$295,Internal_labour_inputs!$B$8:$B$295,$B16)+SUMIFS(Outsourced_labour_inputs!CB$7:CB$297,Outsourced_labour_inputs!$B$7:$B$297,$B16)</f>
        <v>0</v>
      </c>
      <c r="BU16" s="192">
        <f>SUMIFS(Internal_labour_inputs!CC$8:CC$295,Internal_labour_inputs!$B$8:$B$295,$B16)+SUMIFS(Outsourced_labour_inputs!CC$7:CC$297,Outsourced_labour_inputs!$B$7:$B$297,$B16)</f>
        <v>0</v>
      </c>
      <c r="BV16" s="192">
        <f>SUMIFS(Internal_labour_inputs!CD$8:CD$295,Internal_labour_inputs!$B$8:$B$295,$B16)+SUMIFS(Outsourced_labour_inputs!CD$7:CD$297,Outsourced_labour_inputs!$B$7:$B$297,$B16)</f>
        <v>0</v>
      </c>
      <c r="BW16" s="192">
        <f>SUMIFS(Internal_labour_inputs!CE$8:CE$295,Internal_labour_inputs!$B$8:$B$295,$B16)+SUMIFS(Outsourced_labour_inputs!CE$7:CE$297,Outsourced_labour_inputs!$B$7:$B$297,$B16)</f>
        <v>0</v>
      </c>
      <c r="BX16" s="192">
        <f>SUMIFS(Internal_labour_inputs!CF$8:CF$295,Internal_labour_inputs!$B$8:$B$295,$B16)+SUMIFS(Outsourced_labour_inputs!CF$7:CF$297,Outsourced_labour_inputs!$B$7:$B$297,$B16)</f>
        <v>0</v>
      </c>
      <c r="BY16" s="192">
        <f>SUMIFS(Internal_labour_inputs!CG$8:CG$295,Internal_labour_inputs!$B$8:$B$295,$B16)+SUMIFS(Outsourced_labour_inputs!CG$7:CG$297,Outsourced_labour_inputs!$B$7:$B$297,$B16)</f>
        <v>0</v>
      </c>
      <c r="BZ16" s="192">
        <f>SUMIFS(Internal_labour_inputs!CH$8:CH$295,Internal_labour_inputs!$B$8:$B$295,$B16)+SUMIFS(Outsourced_labour_inputs!CH$7:CH$297,Outsourced_labour_inputs!$B$7:$B$297,$B16)</f>
        <v>0</v>
      </c>
      <c r="CA16" s="192">
        <f>SUMIFS(Internal_labour_inputs!CI$8:CI$295,Internal_labour_inputs!$B$8:$B$295,$B16)+SUMIFS(Outsourced_labour_inputs!CI$7:CI$297,Outsourced_labour_inputs!$B$7:$B$297,$B16)</f>
        <v>0</v>
      </c>
      <c r="CB16" s="192">
        <f>SUMIFS(Internal_labour_inputs!CJ$8:CJ$295,Internal_labour_inputs!$B$8:$B$295,$B16)+SUMIFS(Outsourced_labour_inputs!CJ$7:CJ$297,Outsourced_labour_inputs!$B$7:$B$297,$B16)</f>
        <v>0</v>
      </c>
      <c r="CC16" s="192">
        <f>SUMIFS(Internal_labour_inputs!CK$8:CK$295,Internal_labour_inputs!$B$8:$B$295,$B16)+SUMIFS(Outsourced_labour_inputs!CK$7:CK$297,Outsourced_labour_inputs!$B$7:$B$297,$B16)</f>
        <v>0</v>
      </c>
      <c r="CD16" s="192">
        <f>SUMIFS(Internal_labour_inputs!CL$8:CL$295,Internal_labour_inputs!$B$8:$B$295,$B16)+SUMIFS(Outsourced_labour_inputs!CL$7:CL$297,Outsourced_labour_inputs!$B$7:$B$297,$B16)</f>
        <v>0</v>
      </c>
      <c r="CE16" s="192">
        <f>SUMIFS(Internal_labour_inputs!CM$8:CM$295,Internal_labour_inputs!$B$8:$B$295,$B16)+SUMIFS(Outsourced_labour_inputs!CM$7:CM$297,Outsourced_labour_inputs!$B$7:$B$297,$B16)</f>
        <v>0</v>
      </c>
      <c r="CF16" s="192">
        <f>SUMIFS(Internal_labour_inputs!CN$8:CN$295,Internal_labour_inputs!$B$8:$B$295,$B16)+SUMIFS(Outsourced_labour_inputs!CN$7:CN$297,Outsourced_labour_inputs!$B$7:$B$297,$B16)</f>
        <v>0</v>
      </c>
      <c r="CG16" s="192">
        <f>SUMIFS(Internal_labour_inputs!CO$8:CO$295,Internal_labour_inputs!$B$8:$B$295,$B16)+SUMIFS(Outsourced_labour_inputs!CO$7:CO$297,Outsourced_labour_inputs!$B$7:$B$297,$B16)</f>
        <v>0</v>
      </c>
      <c r="CH16" s="192">
        <f>SUMIFS(Internal_labour_inputs!CP$8:CP$295,Internal_labour_inputs!$B$8:$B$295,$B16)+SUMIFS(Outsourced_labour_inputs!CP$7:CP$297,Outsourced_labour_inputs!$B$7:$B$297,$B16)</f>
        <v>0</v>
      </c>
      <c r="CI16" s="192">
        <f t="shared" ref="CI16" si="3">SUM(C16:CH16)</f>
        <v>687.50889724310775</v>
      </c>
      <c r="CJ16" s="192">
        <f t="shared" si="0"/>
        <v>14.323102025898079</v>
      </c>
      <c r="CK16" s="192">
        <f t="shared" si="2"/>
        <v>20.470084485407067</v>
      </c>
      <c r="CL16" s="194"/>
    </row>
    <row r="17" spans="1:93" x14ac:dyDescent="0.3">
      <c r="B17" s="191" t="str">
        <v>Project Delivery Management - Construction Management</v>
      </c>
      <c r="C17" s="192">
        <f>SUMIFS(Internal_labour_inputs!K$8:K$295,Internal_labour_inputs!$B$8:$B$295,$B17)+SUMIFS(Outsourced_labour_inputs!K$7:K$297,Outsourced_labour_inputs!$B$7:$B$297,$B17)</f>
        <v>0</v>
      </c>
      <c r="D17" s="192">
        <f>SUMIFS(Internal_labour_inputs!L$8:L$295,Internal_labour_inputs!$B$8:$B$295,$B17)+SUMIFS(Outsourced_labour_inputs!L$7:L$297,Outsourced_labour_inputs!$B$7:$B$297,$B17)</f>
        <v>0</v>
      </c>
      <c r="E17" s="192">
        <f>SUMIFS(Internal_labour_inputs!M$8:M$295,Internal_labour_inputs!$B$8:$B$295,$B17)+SUMIFS(Outsourced_labour_inputs!M$7:M$297,Outsourced_labour_inputs!$B$7:$B$297,$B17)</f>
        <v>0</v>
      </c>
      <c r="F17" s="192">
        <f>SUMIFS(Internal_labour_inputs!N$8:N$295,Internal_labour_inputs!$B$8:$B$295,$B17)+SUMIFS(Outsourced_labour_inputs!N$7:N$297,Outsourced_labour_inputs!$B$7:$B$297,$B17)</f>
        <v>0</v>
      </c>
      <c r="G17" s="192">
        <f>SUMIFS(Internal_labour_inputs!O$8:O$295,Internal_labour_inputs!$B$8:$B$295,$B17)+SUMIFS(Outsourced_labour_inputs!O$7:O$297,Outsourced_labour_inputs!$B$7:$B$297,$B17)</f>
        <v>0</v>
      </c>
      <c r="H17" s="192">
        <f>SUMIFS(Internal_labour_inputs!P$8:P$295,Internal_labour_inputs!$B$8:$B$295,$B17)+SUMIFS(Outsourced_labour_inputs!P$7:P$297,Outsourced_labour_inputs!$B$7:$B$297,$B17)</f>
        <v>0</v>
      </c>
      <c r="I17" s="192">
        <f>SUMIFS(Internal_labour_inputs!Q$8:Q$295,Internal_labour_inputs!$B$8:$B$295,$B17)+SUMIFS(Outsourced_labour_inputs!Q$7:Q$297,Outsourced_labour_inputs!$B$7:$B$297,$B17)</f>
        <v>0</v>
      </c>
      <c r="J17" s="192">
        <f>SUMIFS(Internal_labour_inputs!R$8:R$295,Internal_labour_inputs!$B$8:$B$295,$B17)+SUMIFS(Outsourced_labour_inputs!R$7:R$297,Outsourced_labour_inputs!$B$7:$B$297,$B17)</f>
        <v>0</v>
      </c>
      <c r="K17" s="192">
        <f>SUMIFS(Internal_labour_inputs!S$8:S$295,Internal_labour_inputs!$B$8:$B$295,$B17)+SUMIFS(Outsourced_labour_inputs!S$7:S$297,Outsourced_labour_inputs!$B$7:$B$297,$B17)</f>
        <v>0</v>
      </c>
      <c r="L17" s="192">
        <f>SUMIFS(Internal_labour_inputs!T$8:T$295,Internal_labour_inputs!$B$8:$B$295,$B17)+SUMIFS(Outsourced_labour_inputs!T$7:T$297,Outsourced_labour_inputs!$B$7:$B$297,$B17)</f>
        <v>0</v>
      </c>
      <c r="M17" s="192">
        <f>SUMIFS(Internal_labour_inputs!U$8:U$295,Internal_labour_inputs!$B$8:$B$295,$B17)+SUMIFS(Outsourced_labour_inputs!U$7:U$297,Outsourced_labour_inputs!$B$7:$B$297,$B17)</f>
        <v>0</v>
      </c>
      <c r="N17" s="192">
        <f>SUMIFS(Internal_labour_inputs!V$8:V$295,Internal_labour_inputs!$B$8:$B$295,$B17)+SUMIFS(Outsourced_labour_inputs!V$7:V$297,Outsourced_labour_inputs!$B$7:$B$297,$B17)</f>
        <v>0</v>
      </c>
      <c r="O17" s="192">
        <f>SUMIFS(Internal_labour_inputs!W$8:W$295,Internal_labour_inputs!$B$8:$B$295,$B17)+SUMIFS(Outsourced_labour_inputs!W$7:W$297,Outsourced_labour_inputs!$B$7:$B$297,$B17)</f>
        <v>0</v>
      </c>
      <c r="P17" s="192">
        <f>SUMIFS(Internal_labour_inputs!X$8:X$295,Internal_labour_inputs!$B$8:$B$295,$B17)+SUMIFS(Outsourced_labour_inputs!X$7:X$297,Outsourced_labour_inputs!$B$7:$B$297,$B17)</f>
        <v>1</v>
      </c>
      <c r="Q17" s="192">
        <f>SUMIFS(Internal_labour_inputs!Y$8:Y$295,Internal_labour_inputs!$B$8:$B$295,$B17)+SUMIFS(Outsourced_labour_inputs!Y$7:Y$297,Outsourced_labour_inputs!$B$7:$B$297,$B17)</f>
        <v>6.5357142857142847</v>
      </c>
      <c r="R17" s="192">
        <f>SUMIFS(Internal_labour_inputs!Z$8:Z$295,Internal_labour_inputs!$B$8:$B$295,$B17)+SUMIFS(Outsourced_labour_inputs!Z$7:Z$297,Outsourced_labour_inputs!$B$7:$B$297,$B17)</f>
        <v>8.7142857142857135</v>
      </c>
      <c r="S17" s="192">
        <f>SUMIFS(Internal_labour_inputs!AA$8:AA$295,Internal_labour_inputs!$B$8:$B$295,$B17)+SUMIFS(Outsourced_labour_inputs!AA$7:AA$297,Outsourced_labour_inputs!$B$7:$B$297,$B17)</f>
        <v>12.434210526315793</v>
      </c>
      <c r="T17" s="192">
        <f>SUMIFS(Internal_labour_inputs!AB$8:AB$295,Internal_labour_inputs!$B$8:$B$295,$B17)+SUMIFS(Outsourced_labour_inputs!AB$7:AB$297,Outsourced_labour_inputs!$B$7:$B$297,$B17)</f>
        <v>12.763157894736841</v>
      </c>
      <c r="U17" s="192">
        <f>SUMIFS(Internal_labour_inputs!AC$8:AC$295,Internal_labour_inputs!$B$8:$B$295,$B17)+SUMIFS(Outsourced_labour_inputs!AC$7:AC$297,Outsourced_labour_inputs!$B$7:$B$297,$B17)</f>
        <v>16.071428571428569</v>
      </c>
      <c r="V17" s="192">
        <f>SUMIFS(Internal_labour_inputs!AD$8:AD$295,Internal_labour_inputs!$B$8:$B$295,$B17)+SUMIFS(Outsourced_labour_inputs!AD$7:AD$297,Outsourced_labour_inputs!$B$7:$B$297,$B17)</f>
        <v>15.771428571428572</v>
      </c>
      <c r="W17" s="192">
        <f>SUMIFS(Internal_labour_inputs!AE$8:AE$295,Internal_labour_inputs!$B$8:$B$295,$B17)+SUMIFS(Outsourced_labour_inputs!AE$7:AE$297,Outsourced_labour_inputs!$B$7:$B$297,$B17)</f>
        <v>18.74285714285714</v>
      </c>
      <c r="X17" s="192">
        <f>SUMIFS(Internal_labour_inputs!AF$8:AF$295,Internal_labour_inputs!$B$8:$B$295,$B17)+SUMIFS(Outsourced_labour_inputs!AF$7:AF$297,Outsourced_labour_inputs!$B$7:$B$297,$B17)</f>
        <v>18.74285714285714</v>
      </c>
      <c r="Y17" s="192">
        <f>SUMIFS(Internal_labour_inputs!AG$8:AG$295,Internal_labour_inputs!$B$8:$B$295,$B17)+SUMIFS(Outsourced_labour_inputs!AG$7:AG$297,Outsourced_labour_inputs!$B$7:$B$297,$B17)</f>
        <v>18.171428571428571</v>
      </c>
      <c r="Z17" s="192">
        <f>SUMIFS(Internal_labour_inputs!AH$8:AH$295,Internal_labour_inputs!$B$8:$B$295,$B17)+SUMIFS(Outsourced_labour_inputs!AH$7:AH$297,Outsourced_labour_inputs!$B$7:$B$297,$B17)</f>
        <v>20.447619047619057</v>
      </c>
      <c r="AA17" s="192">
        <f>SUMIFS(Internal_labour_inputs!AI$8:AI$295,Internal_labour_inputs!$B$8:$B$295,$B17)+SUMIFS(Outsourced_labour_inputs!AI$7:AI$297,Outsourced_labour_inputs!$B$7:$B$297,$B17)</f>
        <v>31.933333333333334</v>
      </c>
      <c r="AB17" s="192">
        <f>SUMIFS(Internal_labour_inputs!AJ$8:AJ$295,Internal_labour_inputs!$B$8:$B$295,$B17)+SUMIFS(Outsourced_labour_inputs!AJ$7:AJ$297,Outsourced_labour_inputs!$B$7:$B$297,$B17)</f>
        <v>19.085714285714289</v>
      </c>
      <c r="AC17" s="192">
        <f>SUMIFS(Internal_labour_inputs!AK$8:AK$295,Internal_labour_inputs!$B$8:$B$295,$B17)+SUMIFS(Outsourced_labour_inputs!AK$7:AK$297,Outsourced_labour_inputs!$B$7:$B$297,$B17)</f>
        <v>19.085714285714289</v>
      </c>
      <c r="AD17" s="192">
        <f>SUMIFS(Internal_labour_inputs!AL$8:AL$295,Internal_labour_inputs!$B$8:$B$295,$B17)+SUMIFS(Outsourced_labour_inputs!AL$7:AL$297,Outsourced_labour_inputs!$B$7:$B$297,$B17)</f>
        <v>24.180952380952384</v>
      </c>
      <c r="AE17" s="192">
        <f>SUMIFS(Internal_labour_inputs!AM$8:AM$295,Internal_labour_inputs!$B$8:$B$295,$B17)+SUMIFS(Outsourced_labour_inputs!AM$7:AM$297,Outsourced_labour_inputs!$B$7:$B$297,$B17)</f>
        <v>17.934210526315791</v>
      </c>
      <c r="AF17" s="192">
        <f>SUMIFS(Internal_labour_inputs!AN$8:AN$295,Internal_labour_inputs!$B$8:$B$295,$B17)+SUMIFS(Outsourced_labour_inputs!AN$7:AN$297,Outsourced_labour_inputs!$B$7:$B$297,$B17)</f>
        <v>17.407894736842106</v>
      </c>
      <c r="AG17" s="192">
        <f>SUMIFS(Internal_labour_inputs!AO$8:AO$295,Internal_labour_inputs!$B$8:$B$295,$B17)+SUMIFS(Outsourced_labour_inputs!AO$7:AO$297,Outsourced_labour_inputs!$B$7:$B$297,$B17)</f>
        <v>18.742857142857137</v>
      </c>
      <c r="AH17" s="192">
        <f>SUMIFS(Internal_labour_inputs!AP$8:AP$295,Internal_labour_inputs!$B$8:$B$295,$B17)+SUMIFS(Outsourced_labour_inputs!AP$7:AP$297,Outsourced_labour_inputs!$B$7:$B$297,$B17)</f>
        <v>18.171428571428571</v>
      </c>
      <c r="AI17" s="192">
        <f>SUMIFS(Internal_labour_inputs!AQ$8:AQ$295,Internal_labour_inputs!$B$8:$B$295,$B17)+SUMIFS(Outsourced_labour_inputs!AQ$7:AQ$297,Outsourced_labour_inputs!$B$7:$B$297,$B17)</f>
        <v>18.742857142857137</v>
      </c>
      <c r="AJ17" s="192">
        <f>SUMIFS(Internal_labour_inputs!AR$8:AR$295,Internal_labour_inputs!$B$8:$B$295,$B17)+SUMIFS(Outsourced_labour_inputs!AR$7:AR$297,Outsourced_labour_inputs!$B$7:$B$297,$B17)</f>
        <v>18.742857142857137</v>
      </c>
      <c r="AK17" s="192">
        <f>SUMIFS(Internal_labour_inputs!AS$8:AS$295,Internal_labour_inputs!$B$8:$B$295,$B17)+SUMIFS(Outsourced_labour_inputs!AS$7:AS$297,Outsourced_labour_inputs!$B$7:$B$297,$B17)</f>
        <v>19.542857142857144</v>
      </c>
      <c r="AL17" s="192">
        <f>SUMIFS(Internal_labour_inputs!AT$8:AT$295,Internal_labour_inputs!$B$8:$B$295,$B17)+SUMIFS(Outsourced_labour_inputs!AT$7:AT$297,Outsourced_labour_inputs!$B$7:$B$297,$B17)</f>
        <v>20.06666666666667</v>
      </c>
      <c r="AM17" s="192">
        <f>SUMIFS(Internal_labour_inputs!AU$8:AU$295,Internal_labour_inputs!$B$8:$B$295,$B17)+SUMIFS(Outsourced_labour_inputs!AU$7:AU$297,Outsourced_labour_inputs!$B$7:$B$297,$B17)</f>
        <v>26.009523809523809</v>
      </c>
      <c r="AN17" s="192">
        <f>SUMIFS(Internal_labour_inputs!AV$8:AV$295,Internal_labour_inputs!$B$8:$B$295,$B17)+SUMIFS(Outsourced_labour_inputs!AV$7:AV$297,Outsourced_labour_inputs!$B$7:$B$297,$B17)</f>
        <v>17.600000000000001</v>
      </c>
      <c r="AO17" s="192">
        <f>SUMIFS(Internal_labour_inputs!AW$8:AW$295,Internal_labour_inputs!$B$8:$B$295,$B17)+SUMIFS(Outsourced_labour_inputs!AW$7:AW$297,Outsourced_labour_inputs!$B$7:$B$297,$B17)</f>
        <v>19.314285714285713</v>
      </c>
      <c r="AP17" s="192">
        <f>SUMIFS(Internal_labour_inputs!AX$8:AX$295,Internal_labour_inputs!$B$8:$B$295,$B17)+SUMIFS(Outsourced_labour_inputs!AX$7:AX$297,Outsourced_labour_inputs!$B$7:$B$297,$B17)</f>
        <v>21.895238095238099</v>
      </c>
      <c r="AQ17" s="192">
        <f>SUMIFS(Internal_labour_inputs!AY$8:AY$295,Internal_labour_inputs!$B$8:$B$295,$B17)+SUMIFS(Outsourced_labour_inputs!AY$7:AY$297,Outsourced_labour_inputs!$B$7:$B$297,$B17)</f>
        <v>19.131578947368418</v>
      </c>
      <c r="AR17" s="192">
        <f>SUMIFS(Internal_labour_inputs!AZ$8:AZ$295,Internal_labour_inputs!$B$8:$B$295,$B17)+SUMIFS(Outsourced_labour_inputs!AZ$7:AZ$297,Outsourced_labour_inputs!$B$7:$B$297,$B17)</f>
        <v>19.131578947368418</v>
      </c>
      <c r="AS17" s="192">
        <f>SUMIFS(Internal_labour_inputs!BA$8:BA$295,Internal_labour_inputs!$B$8:$B$295,$B17)+SUMIFS(Outsourced_labour_inputs!BA$7:BA$297,Outsourced_labour_inputs!$B$7:$B$297,$B17)</f>
        <v>17.600000000000001</v>
      </c>
      <c r="AT17" s="192">
        <f>SUMIFS(Internal_labour_inputs!BB$8:BB$295,Internal_labour_inputs!$B$8:$B$295,$B17)+SUMIFS(Outsourced_labour_inputs!BB$7:BB$297,Outsourced_labour_inputs!$B$7:$B$297,$B17)</f>
        <v>18.742857142857137</v>
      </c>
      <c r="AU17" s="192">
        <f>SUMIFS(Internal_labour_inputs!BC$8:BC$295,Internal_labour_inputs!$B$8:$B$295,$B17)+SUMIFS(Outsourced_labour_inputs!BC$7:BC$297,Outsourced_labour_inputs!$B$7:$B$297,$B17)</f>
        <v>20.140952380952385</v>
      </c>
      <c r="AV17" s="192">
        <f>SUMIFS(Internal_labour_inputs!BD$8:BD$295,Internal_labour_inputs!$B$8:$B$295,$B17)+SUMIFS(Outsourced_labour_inputs!BD$7:BD$297,Outsourced_labour_inputs!$B$7:$B$297,$B17)</f>
        <v>15.388571428571426</v>
      </c>
      <c r="AW17" s="192">
        <f>SUMIFS(Internal_labour_inputs!BE$8:BE$295,Internal_labour_inputs!$B$8:$B$295,$B17)+SUMIFS(Outsourced_labour_inputs!BE$7:BE$297,Outsourced_labour_inputs!$B$7:$B$297,$B17)</f>
        <v>21.359999999999996</v>
      </c>
      <c r="AX17" s="192">
        <f>SUMIFS(Internal_labour_inputs!BF$8:BF$295,Internal_labour_inputs!$B$8:$B$295,$B17)+SUMIFS(Outsourced_labour_inputs!BF$7:BF$297,Outsourced_labour_inputs!$B$7:$B$297,$B17)</f>
        <v>5.7504761904761894</v>
      </c>
      <c r="AY17" s="192">
        <f>SUMIFS(Internal_labour_inputs!BG$8:BG$295,Internal_labour_inputs!$B$8:$B$295,$B17)+SUMIFS(Outsourced_labour_inputs!BG$7:BG$297,Outsourced_labour_inputs!$B$7:$B$297,$B17)</f>
        <v>8.3809523809523814</v>
      </c>
      <c r="AZ17" s="192">
        <f>SUMIFS(Internal_labour_inputs!BH$8:BH$295,Internal_labour_inputs!$B$8:$B$295,$B17)+SUMIFS(Outsourced_labour_inputs!BH$7:BH$297,Outsourced_labour_inputs!$B$7:$B$297,$B17)</f>
        <v>1</v>
      </c>
      <c r="BA17" s="192">
        <f>SUMIFS(Internal_labour_inputs!BI$8:BI$295,Internal_labour_inputs!$B$8:$B$295,$B17)+SUMIFS(Outsourced_labour_inputs!BI$7:BI$297,Outsourced_labour_inputs!$B$7:$B$297,$B17)</f>
        <v>0</v>
      </c>
      <c r="BB17" s="192">
        <f>SUMIFS(Internal_labour_inputs!BJ$8:BJ$295,Internal_labour_inputs!$B$8:$B$295,$B17)+SUMIFS(Outsourced_labour_inputs!BJ$7:BJ$297,Outsourced_labour_inputs!$B$7:$B$297,$B17)</f>
        <v>0</v>
      </c>
      <c r="BC17" s="192">
        <f>SUMIFS(Internal_labour_inputs!BK$8:BK$295,Internal_labour_inputs!$B$8:$B$295,$B17)+SUMIFS(Outsourced_labour_inputs!BK$7:BK$297,Outsourced_labour_inputs!$B$7:$B$297,$B17)</f>
        <v>0</v>
      </c>
      <c r="BD17" s="192">
        <f>SUMIFS(Internal_labour_inputs!BL$8:BL$295,Internal_labour_inputs!$B$8:$B$295,$B17)+SUMIFS(Outsourced_labour_inputs!BL$7:BL$297,Outsourced_labour_inputs!$B$7:$B$297,$B17)</f>
        <v>0</v>
      </c>
      <c r="BE17" s="192">
        <f>SUMIFS(Internal_labour_inputs!BM$8:BM$295,Internal_labour_inputs!$B$8:$B$295,$B17)+SUMIFS(Outsourced_labour_inputs!BM$7:BM$297,Outsourced_labour_inputs!$B$7:$B$297,$B17)</f>
        <v>0</v>
      </c>
      <c r="BF17" s="192">
        <f>SUMIFS(Internal_labour_inputs!BN$8:BN$295,Internal_labour_inputs!$B$8:$B$295,$B17)+SUMIFS(Outsourced_labour_inputs!BN$7:BN$297,Outsourced_labour_inputs!$B$7:$B$297,$B17)</f>
        <v>0</v>
      </c>
      <c r="BG17" s="192">
        <f>SUMIFS(Internal_labour_inputs!BO$8:BO$295,Internal_labour_inputs!$B$8:$B$295,$B17)+SUMIFS(Outsourced_labour_inputs!BO$7:BO$297,Outsourced_labour_inputs!$B$7:$B$297,$B17)</f>
        <v>0</v>
      </c>
      <c r="BH17" s="192">
        <f>SUMIFS(Internal_labour_inputs!BP$8:BP$295,Internal_labour_inputs!$B$8:$B$295,$B17)+SUMIFS(Outsourced_labour_inputs!BP$7:BP$297,Outsourced_labour_inputs!$B$7:$B$297,$B17)</f>
        <v>0</v>
      </c>
      <c r="BI17" s="192">
        <f>SUMIFS(Internal_labour_inputs!BQ$8:BQ$295,Internal_labour_inputs!$B$8:$B$295,$B17)+SUMIFS(Outsourced_labour_inputs!BQ$7:BQ$297,Outsourced_labour_inputs!$B$7:$B$297,$B17)</f>
        <v>0</v>
      </c>
      <c r="BJ17" s="192">
        <f>SUMIFS(Internal_labour_inputs!BR$8:BR$295,Internal_labour_inputs!$B$8:$B$295,$B17)+SUMIFS(Outsourced_labour_inputs!BR$7:BR$297,Outsourced_labour_inputs!$B$7:$B$297,$B17)</f>
        <v>0</v>
      </c>
      <c r="BK17" s="192">
        <f>SUMIFS(Internal_labour_inputs!BS$8:BS$295,Internal_labour_inputs!$B$8:$B$295,$B17)+SUMIFS(Outsourced_labour_inputs!BS$7:BS$297,Outsourced_labour_inputs!$B$7:$B$297,$B17)</f>
        <v>0</v>
      </c>
      <c r="BL17" s="192">
        <f>SUMIFS(Internal_labour_inputs!BT$8:BT$295,Internal_labour_inputs!$B$8:$B$295,$B17)+SUMIFS(Outsourced_labour_inputs!BT$7:BT$297,Outsourced_labour_inputs!$B$7:$B$297,$B17)</f>
        <v>0</v>
      </c>
      <c r="BM17" s="192">
        <f>SUMIFS(Internal_labour_inputs!BU$8:BU$295,Internal_labour_inputs!$B$8:$B$295,$B17)+SUMIFS(Outsourced_labour_inputs!BU$7:BU$297,Outsourced_labour_inputs!$B$7:$B$297,$B17)</f>
        <v>0</v>
      </c>
      <c r="BN17" s="192">
        <f>SUMIFS(Internal_labour_inputs!BV$8:BV$295,Internal_labour_inputs!$B$8:$B$295,$B17)+SUMIFS(Outsourced_labour_inputs!BV$7:BV$297,Outsourced_labour_inputs!$B$7:$B$297,$B17)</f>
        <v>0</v>
      </c>
      <c r="BO17" s="192">
        <f>SUMIFS(Internal_labour_inputs!BW$8:BW$295,Internal_labour_inputs!$B$8:$B$295,$B17)+SUMIFS(Outsourced_labour_inputs!BW$7:BW$297,Outsourced_labour_inputs!$B$7:$B$297,$B17)</f>
        <v>0</v>
      </c>
      <c r="BP17" s="192">
        <f>SUMIFS(Internal_labour_inputs!BX$8:BX$295,Internal_labour_inputs!$B$8:$B$295,$B17)+SUMIFS(Outsourced_labour_inputs!BX$7:BX$297,Outsourced_labour_inputs!$B$7:$B$297,$B17)</f>
        <v>0</v>
      </c>
      <c r="BQ17" s="192">
        <f>SUMIFS(Internal_labour_inputs!BY$8:BY$295,Internal_labour_inputs!$B$8:$B$295,$B17)+SUMIFS(Outsourced_labour_inputs!BY$7:BY$297,Outsourced_labour_inputs!$B$7:$B$297,$B17)</f>
        <v>0</v>
      </c>
      <c r="BR17" s="192">
        <f>SUMIFS(Internal_labour_inputs!BZ$8:BZ$295,Internal_labour_inputs!$B$8:$B$295,$B17)+SUMIFS(Outsourced_labour_inputs!BZ$7:BZ$297,Outsourced_labour_inputs!$B$7:$B$297,$B17)</f>
        <v>0</v>
      </c>
      <c r="BS17" s="192">
        <f>SUMIFS(Internal_labour_inputs!CA$8:CA$295,Internal_labour_inputs!$B$8:$B$295,$B17)+SUMIFS(Outsourced_labour_inputs!CA$7:CA$297,Outsourced_labour_inputs!$B$7:$B$297,$B17)</f>
        <v>0</v>
      </c>
      <c r="BT17" s="192">
        <f>SUMIFS(Internal_labour_inputs!CB$8:CB$295,Internal_labour_inputs!$B$8:$B$295,$B17)+SUMIFS(Outsourced_labour_inputs!CB$7:CB$297,Outsourced_labour_inputs!$B$7:$B$297,$B17)</f>
        <v>0</v>
      </c>
      <c r="BU17" s="192">
        <f>SUMIFS(Internal_labour_inputs!CC$8:CC$295,Internal_labour_inputs!$B$8:$B$295,$B17)+SUMIFS(Outsourced_labour_inputs!CC$7:CC$297,Outsourced_labour_inputs!$B$7:$B$297,$B17)</f>
        <v>0</v>
      </c>
      <c r="BV17" s="192">
        <f>SUMIFS(Internal_labour_inputs!CD$8:CD$295,Internal_labour_inputs!$B$8:$B$295,$B17)+SUMIFS(Outsourced_labour_inputs!CD$7:CD$297,Outsourced_labour_inputs!$B$7:$B$297,$B17)</f>
        <v>0</v>
      </c>
      <c r="BW17" s="192">
        <f>SUMIFS(Internal_labour_inputs!CE$8:CE$295,Internal_labour_inputs!$B$8:$B$295,$B17)+SUMIFS(Outsourced_labour_inputs!CE$7:CE$297,Outsourced_labour_inputs!$B$7:$B$297,$B17)</f>
        <v>0</v>
      </c>
      <c r="BX17" s="192">
        <f>SUMIFS(Internal_labour_inputs!CF$8:CF$295,Internal_labour_inputs!$B$8:$B$295,$B17)+SUMIFS(Outsourced_labour_inputs!CF$7:CF$297,Outsourced_labour_inputs!$B$7:$B$297,$B17)</f>
        <v>0</v>
      </c>
      <c r="BY17" s="192">
        <f>SUMIFS(Internal_labour_inputs!CG$8:CG$295,Internal_labour_inputs!$B$8:$B$295,$B17)+SUMIFS(Outsourced_labour_inputs!CG$7:CG$297,Outsourced_labour_inputs!$B$7:$B$297,$B17)</f>
        <v>0</v>
      </c>
      <c r="BZ17" s="192">
        <f>SUMIFS(Internal_labour_inputs!CH$8:CH$295,Internal_labour_inputs!$B$8:$B$295,$B17)+SUMIFS(Outsourced_labour_inputs!CH$7:CH$297,Outsourced_labour_inputs!$B$7:$B$297,$B17)</f>
        <v>0</v>
      </c>
      <c r="CA17" s="192">
        <f>SUMIFS(Internal_labour_inputs!CI$8:CI$295,Internal_labour_inputs!$B$8:$B$295,$B17)+SUMIFS(Outsourced_labour_inputs!CI$7:CI$297,Outsourced_labour_inputs!$B$7:$B$297,$B17)</f>
        <v>0</v>
      </c>
      <c r="CB17" s="192">
        <f>SUMIFS(Internal_labour_inputs!CJ$8:CJ$295,Internal_labour_inputs!$B$8:$B$295,$B17)+SUMIFS(Outsourced_labour_inputs!CJ$7:CJ$297,Outsourced_labour_inputs!$B$7:$B$297,$B17)</f>
        <v>0</v>
      </c>
      <c r="CC17" s="192">
        <f>SUMIFS(Internal_labour_inputs!CK$8:CK$295,Internal_labour_inputs!$B$8:$B$295,$B17)+SUMIFS(Outsourced_labour_inputs!CK$7:CK$297,Outsourced_labour_inputs!$B$7:$B$297,$B17)</f>
        <v>0</v>
      </c>
      <c r="CD17" s="192">
        <f>SUMIFS(Internal_labour_inputs!CL$8:CL$295,Internal_labour_inputs!$B$8:$B$295,$B17)+SUMIFS(Outsourced_labour_inputs!CL$7:CL$297,Outsourced_labour_inputs!$B$7:$B$297,$B17)</f>
        <v>0</v>
      </c>
      <c r="CE17" s="192">
        <f>SUMIFS(Internal_labour_inputs!CM$8:CM$295,Internal_labour_inputs!$B$8:$B$295,$B17)+SUMIFS(Outsourced_labour_inputs!CM$7:CM$297,Outsourced_labour_inputs!$B$7:$B$297,$B17)</f>
        <v>0</v>
      </c>
      <c r="CF17" s="192">
        <f>SUMIFS(Internal_labour_inputs!CN$8:CN$295,Internal_labour_inputs!$B$8:$B$295,$B17)+SUMIFS(Outsourced_labour_inputs!CN$7:CN$297,Outsourced_labour_inputs!$B$7:$B$297,$B17)</f>
        <v>0</v>
      </c>
      <c r="CG17" s="192">
        <f>SUMIFS(Internal_labour_inputs!CO$8:CO$295,Internal_labour_inputs!$B$8:$B$295,$B17)+SUMIFS(Outsourced_labour_inputs!CO$7:CO$297,Outsourced_labour_inputs!$B$7:$B$297,$B17)</f>
        <v>0</v>
      </c>
      <c r="CH17" s="192">
        <f>SUMIFS(Internal_labour_inputs!CP$8:CP$295,Internal_labour_inputs!$B$8:$B$295,$B17)+SUMIFS(Outsourced_labour_inputs!CP$7:CP$297,Outsourced_labour_inputs!$B$7:$B$297,$B17)</f>
        <v>0</v>
      </c>
      <c r="CI17" s="192">
        <f t="shared" ref="CI17:CI21" si="4">SUM(C17:CH17)</f>
        <v>624.47834586466172</v>
      </c>
      <c r="CJ17" s="192">
        <f t="shared" ref="CJ17:CJ21" si="5">AVERAGEIF($C$24:$CH$24,"&gt;0",C17:CH17)</f>
        <v>13.009965538847119</v>
      </c>
      <c r="CK17" s="192">
        <f t="shared" si="2"/>
        <v>17.17565365025467</v>
      </c>
      <c r="CL17" s="194"/>
    </row>
    <row r="18" spans="1:93" x14ac:dyDescent="0.3">
      <c r="B18" s="191" t="str">
        <v>Project Delivery Management - Project Controls</v>
      </c>
      <c r="C18" s="192">
        <f>SUMIFS(Internal_labour_inputs!K$8:K$295,Internal_labour_inputs!$B$8:$B$295,$B18)+SUMIFS(Outsourced_labour_inputs!K$7:K$297,Outsourced_labour_inputs!$B$7:$B$297,$B18)</f>
        <v>0</v>
      </c>
      <c r="D18" s="192">
        <f>SUMIFS(Internal_labour_inputs!L$8:L$295,Internal_labour_inputs!$B$8:$B$295,$B18)+SUMIFS(Outsourced_labour_inputs!L$7:L$297,Outsourced_labour_inputs!$B$7:$B$297,$B18)</f>
        <v>0</v>
      </c>
      <c r="E18" s="192">
        <f>SUMIFS(Internal_labour_inputs!M$8:M$295,Internal_labour_inputs!$B$8:$B$295,$B18)+SUMIFS(Outsourced_labour_inputs!M$7:M$297,Outsourced_labour_inputs!$B$7:$B$297,$B18)</f>
        <v>0</v>
      </c>
      <c r="F18" s="192">
        <f>SUMIFS(Internal_labour_inputs!N$8:N$295,Internal_labour_inputs!$B$8:$B$295,$B18)+SUMIFS(Outsourced_labour_inputs!N$7:N$297,Outsourced_labour_inputs!$B$7:$B$297,$B18)</f>
        <v>0</v>
      </c>
      <c r="G18" s="192">
        <f>SUMIFS(Internal_labour_inputs!O$8:O$295,Internal_labour_inputs!$B$8:$B$295,$B18)+SUMIFS(Outsourced_labour_inputs!O$7:O$297,Outsourced_labour_inputs!$B$7:$B$297,$B18)</f>
        <v>0</v>
      </c>
      <c r="H18" s="192">
        <f>SUMIFS(Internal_labour_inputs!P$8:P$295,Internal_labour_inputs!$B$8:$B$295,$B18)+SUMIFS(Outsourced_labour_inputs!P$7:P$297,Outsourced_labour_inputs!$B$7:$B$297,$B18)</f>
        <v>0</v>
      </c>
      <c r="I18" s="192">
        <f>SUMIFS(Internal_labour_inputs!Q$8:Q$295,Internal_labour_inputs!$B$8:$B$295,$B18)+SUMIFS(Outsourced_labour_inputs!Q$7:Q$297,Outsourced_labour_inputs!$B$7:$B$297,$B18)</f>
        <v>0</v>
      </c>
      <c r="J18" s="192">
        <f>SUMIFS(Internal_labour_inputs!R$8:R$295,Internal_labour_inputs!$B$8:$B$295,$B18)+SUMIFS(Outsourced_labour_inputs!R$7:R$297,Outsourced_labour_inputs!$B$7:$B$297,$B18)</f>
        <v>0.05</v>
      </c>
      <c r="K18" s="192">
        <f>SUMIFS(Internal_labour_inputs!S$8:S$295,Internal_labour_inputs!$B$8:$B$295,$B18)+SUMIFS(Outsourced_labour_inputs!S$7:S$297,Outsourced_labour_inputs!$B$7:$B$297,$B18)</f>
        <v>0.05</v>
      </c>
      <c r="L18" s="192">
        <f>SUMIFS(Internal_labour_inputs!T$8:T$295,Internal_labour_inputs!$B$8:$B$295,$B18)+SUMIFS(Outsourced_labour_inputs!T$7:T$297,Outsourced_labour_inputs!$B$7:$B$297,$B18)</f>
        <v>0</v>
      </c>
      <c r="M18" s="192">
        <f>SUMIFS(Internal_labour_inputs!U$8:U$295,Internal_labour_inputs!$B$8:$B$295,$B18)+SUMIFS(Outsourced_labour_inputs!U$7:U$297,Outsourced_labour_inputs!$B$7:$B$297,$B18)</f>
        <v>0.1</v>
      </c>
      <c r="N18" s="192">
        <f>SUMIFS(Internal_labour_inputs!V$8:V$295,Internal_labour_inputs!$B$8:$B$295,$B18)+SUMIFS(Outsourced_labour_inputs!V$7:V$297,Outsourced_labour_inputs!$B$7:$B$297,$B18)</f>
        <v>1.1000000000000001</v>
      </c>
      <c r="O18" s="192">
        <f>SUMIFS(Internal_labour_inputs!W$8:W$295,Internal_labour_inputs!$B$8:$B$295,$B18)+SUMIFS(Outsourced_labour_inputs!W$7:W$297,Outsourced_labour_inputs!$B$7:$B$297,$B18)</f>
        <v>4.2095238095238097</v>
      </c>
      <c r="P18" s="192">
        <f>SUMIFS(Internal_labour_inputs!X$8:X$295,Internal_labour_inputs!$B$8:$B$295,$B18)+SUMIFS(Outsourced_labour_inputs!X$7:X$297,Outsourced_labour_inputs!$B$7:$B$297,$B18)</f>
        <v>11.928571428571429</v>
      </c>
      <c r="Q18" s="192">
        <f>SUMIFS(Internal_labour_inputs!Y$8:Y$295,Internal_labour_inputs!$B$8:$B$295,$B18)+SUMIFS(Outsourced_labour_inputs!Y$7:Y$297,Outsourced_labour_inputs!$B$7:$B$297,$B18)</f>
        <v>11.928571428571429</v>
      </c>
      <c r="R18" s="192">
        <f>SUMIFS(Internal_labour_inputs!Z$8:Z$295,Internal_labour_inputs!$B$8:$B$295,$B18)+SUMIFS(Outsourced_labour_inputs!Z$7:Z$297,Outsourced_labour_inputs!$B$7:$B$297,$B18)</f>
        <v>12.904761904761905</v>
      </c>
      <c r="S18" s="192">
        <f>SUMIFS(Internal_labour_inputs!AA$8:AA$295,Internal_labour_inputs!$B$8:$B$295,$B18)+SUMIFS(Outsourced_labour_inputs!AA$7:AA$297,Outsourced_labour_inputs!$B$7:$B$297,$B18)</f>
        <v>10.986842105263156</v>
      </c>
      <c r="T18" s="192">
        <f>SUMIFS(Internal_labour_inputs!AB$8:AB$295,Internal_labour_inputs!$B$8:$B$295,$B18)+SUMIFS(Outsourced_labour_inputs!AB$7:AB$297,Outsourced_labour_inputs!$B$7:$B$297,$B18)</f>
        <v>10.986842105263156</v>
      </c>
      <c r="U18" s="192">
        <f>SUMIFS(Internal_labour_inputs!AC$8:AC$295,Internal_labour_inputs!$B$8:$B$295,$B18)+SUMIFS(Outsourced_labour_inputs!AC$7:AC$297,Outsourced_labour_inputs!$B$7:$B$297,$B18)</f>
        <v>11.928571428571429</v>
      </c>
      <c r="V18" s="192">
        <f>SUMIFS(Internal_labour_inputs!AD$8:AD$295,Internal_labour_inputs!$B$8:$B$295,$B18)+SUMIFS(Outsourced_labour_inputs!AD$7:AD$297,Outsourced_labour_inputs!$B$7:$B$297,$B18)</f>
        <v>11.928571428571429</v>
      </c>
      <c r="W18" s="192">
        <f>SUMIFS(Internal_labour_inputs!AE$8:AE$295,Internal_labour_inputs!$B$8:$B$295,$B18)+SUMIFS(Outsourced_labour_inputs!AE$7:AE$297,Outsourced_labour_inputs!$B$7:$B$297,$B18)</f>
        <v>11.928571428571429</v>
      </c>
      <c r="X18" s="192">
        <f>SUMIFS(Internal_labour_inputs!AF$8:AF$295,Internal_labour_inputs!$B$8:$B$295,$B18)+SUMIFS(Outsourced_labour_inputs!AF$7:AF$297,Outsourced_labour_inputs!$B$7:$B$297,$B18)</f>
        <v>11.928571428571429</v>
      </c>
      <c r="Y18" s="192">
        <f>SUMIFS(Internal_labour_inputs!AG$8:AG$295,Internal_labour_inputs!$B$8:$B$295,$B18)+SUMIFS(Outsourced_labour_inputs!AG$7:AG$297,Outsourced_labour_inputs!$B$7:$B$297,$B18)</f>
        <v>11.928571428571429</v>
      </c>
      <c r="Z18" s="192">
        <f>SUMIFS(Internal_labour_inputs!AH$8:AH$295,Internal_labour_inputs!$B$8:$B$295,$B18)+SUMIFS(Outsourced_labour_inputs!AH$7:AH$297,Outsourced_labour_inputs!$B$7:$B$297,$B18)</f>
        <v>12.904761904761905</v>
      </c>
      <c r="AA18" s="192">
        <f>SUMIFS(Internal_labour_inputs!AI$8:AI$295,Internal_labour_inputs!$B$8:$B$295,$B18)+SUMIFS(Outsourced_labour_inputs!AI$7:AI$297,Outsourced_labour_inputs!$B$7:$B$297,$B18)</f>
        <v>12.904761904761905</v>
      </c>
      <c r="AB18" s="192">
        <f>SUMIFS(Internal_labour_inputs!AJ$8:AJ$295,Internal_labour_inputs!$B$8:$B$295,$B18)+SUMIFS(Outsourced_labour_inputs!AJ$7:AJ$297,Outsourced_labour_inputs!$B$7:$B$297,$B18)</f>
        <v>11.928571428571429</v>
      </c>
      <c r="AC18" s="192">
        <f>SUMIFS(Internal_labour_inputs!AK$8:AK$295,Internal_labour_inputs!$B$8:$B$295,$B18)+SUMIFS(Outsourced_labour_inputs!AK$7:AK$297,Outsourced_labour_inputs!$B$7:$B$297,$B18)</f>
        <v>11.928571428571429</v>
      </c>
      <c r="AD18" s="192">
        <f>SUMIFS(Internal_labour_inputs!AL$8:AL$295,Internal_labour_inputs!$B$8:$B$295,$B18)+SUMIFS(Outsourced_labour_inputs!AL$7:AL$297,Outsourced_labour_inputs!$B$7:$B$297,$B18)</f>
        <v>12.904761904761905</v>
      </c>
      <c r="AE18" s="192">
        <f>SUMIFS(Internal_labour_inputs!AM$8:AM$295,Internal_labour_inputs!$B$8:$B$295,$B18)+SUMIFS(Outsourced_labour_inputs!AM$7:AM$297,Outsourced_labour_inputs!$B$7:$B$297,$B18)</f>
        <v>11.69736842105263</v>
      </c>
      <c r="AF18" s="192">
        <f>SUMIFS(Internal_labour_inputs!AN$8:AN$295,Internal_labour_inputs!$B$8:$B$295,$B18)+SUMIFS(Outsourced_labour_inputs!AN$7:AN$297,Outsourced_labour_inputs!$B$7:$B$297,$B18)</f>
        <v>11.69736842105263</v>
      </c>
      <c r="AG18" s="192">
        <f>SUMIFS(Internal_labour_inputs!AO$8:AO$295,Internal_labour_inputs!$B$8:$B$295,$B18)+SUMIFS(Outsourced_labour_inputs!AO$7:AO$297,Outsourced_labour_inputs!$B$7:$B$297,$B18)</f>
        <v>11.928571428571429</v>
      </c>
      <c r="AH18" s="192">
        <f>SUMIFS(Internal_labour_inputs!AP$8:AP$295,Internal_labour_inputs!$B$8:$B$295,$B18)+SUMIFS(Outsourced_labour_inputs!AP$7:AP$297,Outsourced_labour_inputs!$B$7:$B$297,$B18)</f>
        <v>11.928571428571429</v>
      </c>
      <c r="AI18" s="192">
        <f>SUMIFS(Internal_labour_inputs!AQ$8:AQ$295,Internal_labour_inputs!$B$8:$B$295,$B18)+SUMIFS(Outsourced_labour_inputs!AQ$7:AQ$297,Outsourced_labour_inputs!$B$7:$B$297,$B18)</f>
        <v>11.928571428571429</v>
      </c>
      <c r="AJ18" s="192">
        <f>SUMIFS(Internal_labour_inputs!AR$8:AR$295,Internal_labour_inputs!$B$8:$B$295,$B18)+SUMIFS(Outsourced_labour_inputs!AR$7:AR$297,Outsourced_labour_inputs!$B$7:$B$297,$B18)</f>
        <v>11.928571428571429</v>
      </c>
      <c r="AK18" s="192">
        <f>SUMIFS(Internal_labour_inputs!AS$8:AS$295,Internal_labour_inputs!$B$8:$B$295,$B18)+SUMIFS(Outsourced_labour_inputs!AS$7:AS$297,Outsourced_labour_inputs!$B$7:$B$297,$B18)</f>
        <v>11.928571428571429</v>
      </c>
      <c r="AL18" s="192">
        <f>SUMIFS(Internal_labour_inputs!AT$8:AT$295,Internal_labour_inputs!$B$8:$B$295,$B18)+SUMIFS(Outsourced_labour_inputs!AT$7:AT$297,Outsourced_labour_inputs!$B$7:$B$297,$B18)</f>
        <v>12.904761904761905</v>
      </c>
      <c r="AM18" s="192">
        <f>SUMIFS(Internal_labour_inputs!AU$8:AU$295,Internal_labour_inputs!$B$8:$B$295,$B18)+SUMIFS(Outsourced_labour_inputs!AU$7:AU$297,Outsourced_labour_inputs!$B$7:$B$297,$B18)</f>
        <v>12.904761904761905</v>
      </c>
      <c r="AN18" s="192">
        <f>SUMIFS(Internal_labour_inputs!AV$8:AV$295,Internal_labour_inputs!$B$8:$B$295,$B18)+SUMIFS(Outsourced_labour_inputs!AV$7:AV$297,Outsourced_labour_inputs!$B$7:$B$297,$B18)</f>
        <v>11.928571428571429</v>
      </c>
      <c r="AO18" s="192">
        <f>SUMIFS(Internal_labour_inputs!AW$8:AW$295,Internal_labour_inputs!$B$8:$B$295,$B18)+SUMIFS(Outsourced_labour_inputs!AW$7:AW$297,Outsourced_labour_inputs!$B$7:$B$297,$B18)</f>
        <v>11.928571428571429</v>
      </c>
      <c r="AP18" s="192">
        <f>SUMIFS(Internal_labour_inputs!AX$8:AX$295,Internal_labour_inputs!$B$8:$B$295,$B18)+SUMIFS(Outsourced_labour_inputs!AX$7:AX$297,Outsourced_labour_inputs!$B$7:$B$297,$B18)</f>
        <v>12.904761904761905</v>
      </c>
      <c r="AQ18" s="192">
        <f>SUMIFS(Internal_labour_inputs!AY$8:AY$295,Internal_labour_inputs!$B$8:$B$295,$B18)+SUMIFS(Outsourced_labour_inputs!AY$7:AY$297,Outsourced_labour_inputs!$B$7:$B$297,$B18)</f>
        <v>11.381578947368419</v>
      </c>
      <c r="AR18" s="192">
        <f>SUMIFS(Internal_labour_inputs!AZ$8:AZ$295,Internal_labour_inputs!$B$8:$B$295,$B18)+SUMIFS(Outsourced_labour_inputs!AZ$7:AZ$297,Outsourced_labour_inputs!$B$7:$B$297,$B18)</f>
        <v>11.381578947368419</v>
      </c>
      <c r="AS18" s="192">
        <f>SUMIFS(Internal_labour_inputs!BA$8:BA$295,Internal_labour_inputs!$B$8:$B$295,$B18)+SUMIFS(Outsourced_labour_inputs!BA$7:BA$297,Outsourced_labour_inputs!$B$7:$B$297,$B18)</f>
        <v>11.928571428571429</v>
      </c>
      <c r="AT18" s="192">
        <f>SUMIFS(Internal_labour_inputs!BB$8:BB$295,Internal_labour_inputs!$B$8:$B$295,$B18)+SUMIFS(Outsourced_labour_inputs!BB$7:BB$297,Outsourced_labour_inputs!$B$7:$B$297,$B18)</f>
        <v>11.928571428571429</v>
      </c>
      <c r="AU18" s="192">
        <f>SUMIFS(Internal_labour_inputs!BC$8:BC$295,Internal_labour_inputs!$B$8:$B$295,$B18)+SUMIFS(Outsourced_labour_inputs!BC$7:BC$297,Outsourced_labour_inputs!$B$7:$B$297,$B18)</f>
        <v>11.928571428571429</v>
      </c>
      <c r="AV18" s="192">
        <f>SUMIFS(Internal_labour_inputs!BD$8:BD$295,Internal_labour_inputs!$B$8:$B$295,$B18)+SUMIFS(Outsourced_labour_inputs!BD$7:BD$297,Outsourced_labour_inputs!$B$7:$B$297,$B18)</f>
        <v>11.928571428571429</v>
      </c>
      <c r="AW18" s="192">
        <f>SUMIFS(Internal_labour_inputs!BE$8:BE$295,Internal_labour_inputs!$B$8:$B$295,$B18)+SUMIFS(Outsourced_labour_inputs!BE$7:BE$297,Outsourced_labour_inputs!$B$7:$B$297,$B18)</f>
        <v>11.928571428571429</v>
      </c>
      <c r="AX18" s="192">
        <f>SUMIFS(Internal_labour_inputs!BF$8:BF$295,Internal_labour_inputs!$B$8:$B$295,$B18)+SUMIFS(Outsourced_labour_inputs!BF$7:BF$297,Outsourced_labour_inputs!$B$7:$B$297,$B18)</f>
        <v>13.904761904761905</v>
      </c>
      <c r="AY18" s="192">
        <f>SUMIFS(Internal_labour_inputs!BG$8:BG$295,Internal_labour_inputs!$B$8:$B$295,$B18)+SUMIFS(Outsourced_labour_inputs!BG$7:BG$297,Outsourced_labour_inputs!$B$7:$B$297,$B18)</f>
        <v>6.666666666666667</v>
      </c>
      <c r="AZ18" s="192">
        <f>SUMIFS(Internal_labour_inputs!BH$8:BH$295,Internal_labour_inputs!$B$8:$B$295,$B18)+SUMIFS(Outsourced_labour_inputs!BH$7:BH$297,Outsourced_labour_inputs!$B$7:$B$297,$B18)</f>
        <v>6.5</v>
      </c>
      <c r="BA18" s="192">
        <f>SUMIFS(Internal_labour_inputs!BI$8:BI$295,Internal_labour_inputs!$B$8:$B$295,$B18)+SUMIFS(Outsourced_labour_inputs!BI$7:BI$297,Outsourced_labour_inputs!$B$7:$B$297,$B18)</f>
        <v>0</v>
      </c>
      <c r="BB18" s="192">
        <f>SUMIFS(Internal_labour_inputs!BJ$8:BJ$295,Internal_labour_inputs!$B$8:$B$295,$B18)+SUMIFS(Outsourced_labour_inputs!BJ$7:BJ$297,Outsourced_labour_inputs!$B$7:$B$297,$B18)</f>
        <v>0</v>
      </c>
      <c r="BC18" s="192">
        <f>SUMIFS(Internal_labour_inputs!BK$8:BK$295,Internal_labour_inputs!$B$8:$B$295,$B18)+SUMIFS(Outsourced_labour_inputs!BK$7:BK$297,Outsourced_labour_inputs!$B$7:$B$297,$B18)</f>
        <v>0</v>
      </c>
      <c r="BD18" s="192">
        <f>SUMIFS(Internal_labour_inputs!BL$8:BL$295,Internal_labour_inputs!$B$8:$B$295,$B18)+SUMIFS(Outsourced_labour_inputs!BL$7:BL$297,Outsourced_labour_inputs!$B$7:$B$297,$B18)</f>
        <v>0</v>
      </c>
      <c r="BE18" s="192">
        <f>SUMIFS(Internal_labour_inputs!BM$8:BM$295,Internal_labour_inputs!$B$8:$B$295,$B18)+SUMIFS(Outsourced_labour_inputs!BM$7:BM$297,Outsourced_labour_inputs!$B$7:$B$297,$B18)</f>
        <v>0</v>
      </c>
      <c r="BF18" s="192">
        <f>SUMIFS(Internal_labour_inputs!BN$8:BN$295,Internal_labour_inputs!$B$8:$B$295,$B18)+SUMIFS(Outsourced_labour_inputs!BN$7:BN$297,Outsourced_labour_inputs!$B$7:$B$297,$B18)</f>
        <v>0</v>
      </c>
      <c r="BG18" s="192">
        <f>SUMIFS(Internal_labour_inputs!BO$8:BO$295,Internal_labour_inputs!$B$8:$B$295,$B18)+SUMIFS(Outsourced_labour_inputs!BO$7:BO$297,Outsourced_labour_inputs!$B$7:$B$297,$B18)</f>
        <v>0</v>
      </c>
      <c r="BH18" s="192">
        <f>SUMIFS(Internal_labour_inputs!BP$8:BP$295,Internal_labour_inputs!$B$8:$B$295,$B18)+SUMIFS(Outsourced_labour_inputs!BP$7:BP$297,Outsourced_labour_inputs!$B$7:$B$297,$B18)</f>
        <v>0</v>
      </c>
      <c r="BI18" s="192">
        <f>SUMIFS(Internal_labour_inputs!BQ$8:BQ$295,Internal_labour_inputs!$B$8:$B$295,$B18)+SUMIFS(Outsourced_labour_inputs!BQ$7:BQ$297,Outsourced_labour_inputs!$B$7:$B$297,$B18)</f>
        <v>0</v>
      </c>
      <c r="BJ18" s="192">
        <f>SUMIFS(Internal_labour_inputs!BR$8:BR$295,Internal_labour_inputs!$B$8:$B$295,$B18)+SUMIFS(Outsourced_labour_inputs!BR$7:BR$297,Outsourced_labour_inputs!$B$7:$B$297,$B18)</f>
        <v>0</v>
      </c>
      <c r="BK18" s="192">
        <f>SUMIFS(Internal_labour_inputs!BS$8:BS$295,Internal_labour_inputs!$B$8:$B$295,$B18)+SUMIFS(Outsourced_labour_inputs!BS$7:BS$297,Outsourced_labour_inputs!$B$7:$B$297,$B18)</f>
        <v>0</v>
      </c>
      <c r="BL18" s="192">
        <f>SUMIFS(Internal_labour_inputs!BT$8:BT$295,Internal_labour_inputs!$B$8:$B$295,$B18)+SUMIFS(Outsourced_labour_inputs!BT$7:BT$297,Outsourced_labour_inputs!$B$7:$B$297,$B18)</f>
        <v>0</v>
      </c>
      <c r="BM18" s="192">
        <f>SUMIFS(Internal_labour_inputs!BU$8:BU$295,Internal_labour_inputs!$B$8:$B$295,$B18)+SUMIFS(Outsourced_labour_inputs!BU$7:BU$297,Outsourced_labour_inputs!$B$7:$B$297,$B18)</f>
        <v>0</v>
      </c>
      <c r="BN18" s="192">
        <f>SUMIFS(Internal_labour_inputs!BV$8:BV$295,Internal_labour_inputs!$B$8:$B$295,$B18)+SUMIFS(Outsourced_labour_inputs!BV$7:BV$297,Outsourced_labour_inputs!$B$7:$B$297,$B18)</f>
        <v>0</v>
      </c>
      <c r="BO18" s="192">
        <f>SUMIFS(Internal_labour_inputs!BW$8:BW$295,Internal_labour_inputs!$B$8:$B$295,$B18)+SUMIFS(Outsourced_labour_inputs!BW$7:BW$297,Outsourced_labour_inputs!$B$7:$B$297,$B18)</f>
        <v>0</v>
      </c>
      <c r="BP18" s="192">
        <f>SUMIFS(Internal_labour_inputs!BX$8:BX$295,Internal_labour_inputs!$B$8:$B$295,$B18)+SUMIFS(Outsourced_labour_inputs!BX$7:BX$297,Outsourced_labour_inputs!$B$7:$B$297,$B18)</f>
        <v>0</v>
      </c>
      <c r="BQ18" s="192">
        <f>SUMIFS(Internal_labour_inputs!BY$8:BY$295,Internal_labour_inputs!$B$8:$B$295,$B18)+SUMIFS(Outsourced_labour_inputs!BY$7:BY$297,Outsourced_labour_inputs!$B$7:$B$297,$B18)</f>
        <v>0</v>
      </c>
      <c r="BR18" s="192">
        <f>SUMIFS(Internal_labour_inputs!BZ$8:BZ$295,Internal_labour_inputs!$B$8:$B$295,$B18)+SUMIFS(Outsourced_labour_inputs!BZ$7:BZ$297,Outsourced_labour_inputs!$B$7:$B$297,$B18)</f>
        <v>0</v>
      </c>
      <c r="BS18" s="192">
        <f>SUMIFS(Internal_labour_inputs!CA$8:CA$295,Internal_labour_inputs!$B$8:$B$295,$B18)+SUMIFS(Outsourced_labour_inputs!CA$7:CA$297,Outsourced_labour_inputs!$B$7:$B$297,$B18)</f>
        <v>0</v>
      </c>
      <c r="BT18" s="192">
        <f>SUMIFS(Internal_labour_inputs!CB$8:CB$295,Internal_labour_inputs!$B$8:$B$295,$B18)+SUMIFS(Outsourced_labour_inputs!CB$7:CB$297,Outsourced_labour_inputs!$B$7:$B$297,$B18)</f>
        <v>0</v>
      </c>
      <c r="BU18" s="192">
        <f>SUMIFS(Internal_labour_inputs!CC$8:CC$295,Internal_labour_inputs!$B$8:$B$295,$B18)+SUMIFS(Outsourced_labour_inputs!CC$7:CC$297,Outsourced_labour_inputs!$B$7:$B$297,$B18)</f>
        <v>0</v>
      </c>
      <c r="BV18" s="192">
        <f>SUMIFS(Internal_labour_inputs!CD$8:CD$295,Internal_labour_inputs!$B$8:$B$295,$B18)+SUMIFS(Outsourced_labour_inputs!CD$7:CD$297,Outsourced_labour_inputs!$B$7:$B$297,$B18)</f>
        <v>0</v>
      </c>
      <c r="BW18" s="192">
        <f>SUMIFS(Internal_labour_inputs!CE$8:CE$295,Internal_labour_inputs!$B$8:$B$295,$B18)+SUMIFS(Outsourced_labour_inputs!CE$7:CE$297,Outsourced_labour_inputs!$B$7:$B$297,$B18)</f>
        <v>0</v>
      </c>
      <c r="BX18" s="192">
        <f>SUMIFS(Internal_labour_inputs!CF$8:CF$295,Internal_labour_inputs!$B$8:$B$295,$B18)+SUMIFS(Outsourced_labour_inputs!CF$7:CF$297,Outsourced_labour_inputs!$B$7:$B$297,$B18)</f>
        <v>0</v>
      </c>
      <c r="BY18" s="192">
        <f>SUMIFS(Internal_labour_inputs!CG$8:CG$295,Internal_labour_inputs!$B$8:$B$295,$B18)+SUMIFS(Outsourced_labour_inputs!CG$7:CG$297,Outsourced_labour_inputs!$B$7:$B$297,$B18)</f>
        <v>0</v>
      </c>
      <c r="BZ18" s="192">
        <f>SUMIFS(Internal_labour_inputs!CH$8:CH$295,Internal_labour_inputs!$B$8:$B$295,$B18)+SUMIFS(Outsourced_labour_inputs!CH$7:CH$297,Outsourced_labour_inputs!$B$7:$B$297,$B18)</f>
        <v>0</v>
      </c>
      <c r="CA18" s="192">
        <f>SUMIFS(Internal_labour_inputs!CI$8:CI$295,Internal_labour_inputs!$B$8:$B$295,$B18)+SUMIFS(Outsourced_labour_inputs!CI$7:CI$297,Outsourced_labour_inputs!$B$7:$B$297,$B18)</f>
        <v>0</v>
      </c>
      <c r="CB18" s="192">
        <f>SUMIFS(Internal_labour_inputs!CJ$8:CJ$295,Internal_labour_inputs!$B$8:$B$295,$B18)+SUMIFS(Outsourced_labour_inputs!CJ$7:CJ$297,Outsourced_labour_inputs!$B$7:$B$297,$B18)</f>
        <v>0</v>
      </c>
      <c r="CC18" s="192">
        <f>SUMIFS(Internal_labour_inputs!CK$8:CK$295,Internal_labour_inputs!$B$8:$B$295,$B18)+SUMIFS(Outsourced_labour_inputs!CK$7:CK$297,Outsourced_labour_inputs!$B$7:$B$297,$B18)</f>
        <v>0</v>
      </c>
      <c r="CD18" s="192">
        <f>SUMIFS(Internal_labour_inputs!CL$8:CL$295,Internal_labour_inputs!$B$8:$B$295,$B18)+SUMIFS(Outsourced_labour_inputs!CL$7:CL$297,Outsourced_labour_inputs!$B$7:$B$297,$B18)</f>
        <v>0</v>
      </c>
      <c r="CE18" s="192">
        <f>SUMIFS(Internal_labour_inputs!CM$8:CM$295,Internal_labour_inputs!$B$8:$B$295,$B18)+SUMIFS(Outsourced_labour_inputs!CM$7:CM$297,Outsourced_labour_inputs!$B$7:$B$297,$B18)</f>
        <v>0</v>
      </c>
      <c r="CF18" s="192">
        <f>SUMIFS(Internal_labour_inputs!CN$8:CN$295,Internal_labour_inputs!$B$8:$B$295,$B18)+SUMIFS(Outsourced_labour_inputs!CN$7:CN$297,Outsourced_labour_inputs!$B$7:$B$297,$B18)</f>
        <v>0</v>
      </c>
      <c r="CG18" s="192">
        <f>SUMIFS(Internal_labour_inputs!CO$8:CO$295,Internal_labour_inputs!$B$8:$B$295,$B18)+SUMIFS(Outsourced_labour_inputs!CO$7:CO$297,Outsourced_labour_inputs!$B$7:$B$297,$B18)</f>
        <v>0</v>
      </c>
      <c r="CH18" s="192">
        <f>SUMIFS(Internal_labour_inputs!CP$8:CP$295,Internal_labour_inputs!$B$8:$B$295,$B18)+SUMIFS(Outsourced_labour_inputs!CP$7:CP$297,Outsourced_labour_inputs!$B$7:$B$297,$B18)</f>
        <v>0</v>
      </c>
      <c r="CI18" s="192">
        <f t="shared" si="4"/>
        <v>441.54586466165432</v>
      </c>
      <c r="CJ18" s="192">
        <f t="shared" si="5"/>
        <v>9.1988721804511311</v>
      </c>
      <c r="CK18" s="192">
        <f t="shared" si="2"/>
        <v>11.016614115934999</v>
      </c>
      <c r="CL18" s="194"/>
    </row>
    <row r="19" spans="1:93" x14ac:dyDescent="0.3">
      <c r="B19" s="191" t="str">
        <v>Project Delivery Management - Project Engineering</v>
      </c>
      <c r="C19" s="192">
        <f>SUMIFS(Internal_labour_inputs!K$8:K$295,Internal_labour_inputs!$B$8:$B$295,$B19)+SUMIFS(Outsourced_labour_inputs!K$7:K$297,Outsourced_labour_inputs!$B$7:$B$297,$B19)</f>
        <v>0</v>
      </c>
      <c r="D19" s="192">
        <f>SUMIFS(Internal_labour_inputs!L$8:L$295,Internal_labour_inputs!$B$8:$B$295,$B19)+SUMIFS(Outsourced_labour_inputs!L$7:L$297,Outsourced_labour_inputs!$B$7:$B$297,$B19)</f>
        <v>0</v>
      </c>
      <c r="E19" s="192">
        <f>SUMIFS(Internal_labour_inputs!M$8:M$295,Internal_labour_inputs!$B$8:$B$295,$B19)+SUMIFS(Outsourced_labour_inputs!M$7:M$297,Outsourced_labour_inputs!$B$7:$B$297,$B19)</f>
        <v>0</v>
      </c>
      <c r="F19" s="192">
        <f>SUMIFS(Internal_labour_inputs!N$8:N$295,Internal_labour_inputs!$B$8:$B$295,$B19)+SUMIFS(Outsourced_labour_inputs!N$7:N$297,Outsourced_labour_inputs!$B$7:$B$297,$B19)</f>
        <v>0</v>
      </c>
      <c r="G19" s="192">
        <f>SUMIFS(Internal_labour_inputs!O$8:O$295,Internal_labour_inputs!$B$8:$B$295,$B19)+SUMIFS(Outsourced_labour_inputs!O$7:O$297,Outsourced_labour_inputs!$B$7:$B$297,$B19)</f>
        <v>0</v>
      </c>
      <c r="H19" s="192">
        <f>SUMIFS(Internal_labour_inputs!P$8:P$295,Internal_labour_inputs!$B$8:$B$295,$B19)+SUMIFS(Outsourced_labour_inputs!P$7:P$297,Outsourced_labour_inputs!$B$7:$B$297,$B19)</f>
        <v>0</v>
      </c>
      <c r="I19" s="192">
        <f>SUMIFS(Internal_labour_inputs!Q$8:Q$295,Internal_labour_inputs!$B$8:$B$295,$B19)+SUMIFS(Outsourced_labour_inputs!Q$7:Q$297,Outsourced_labour_inputs!$B$7:$B$297,$B19)</f>
        <v>0</v>
      </c>
      <c r="J19" s="192">
        <f>SUMIFS(Internal_labour_inputs!R$8:R$295,Internal_labour_inputs!$B$8:$B$295,$B19)+SUMIFS(Outsourced_labour_inputs!R$7:R$297,Outsourced_labour_inputs!$B$7:$B$297,$B19)</f>
        <v>0</v>
      </c>
      <c r="K19" s="192">
        <f>SUMIFS(Internal_labour_inputs!S$8:S$295,Internal_labour_inputs!$B$8:$B$295,$B19)+SUMIFS(Outsourced_labour_inputs!S$7:S$297,Outsourced_labour_inputs!$B$7:$B$297,$B19)</f>
        <v>0</v>
      </c>
      <c r="L19" s="192">
        <f>SUMIFS(Internal_labour_inputs!T$8:T$295,Internal_labour_inputs!$B$8:$B$295,$B19)+SUMIFS(Outsourced_labour_inputs!T$7:T$297,Outsourced_labour_inputs!$B$7:$B$297,$B19)</f>
        <v>0</v>
      </c>
      <c r="M19" s="192">
        <f>SUMIFS(Internal_labour_inputs!U$8:U$295,Internal_labour_inputs!$B$8:$B$295,$B19)+SUMIFS(Outsourced_labour_inputs!U$7:U$297,Outsourced_labour_inputs!$B$7:$B$297,$B19)</f>
        <v>0</v>
      </c>
      <c r="N19" s="192">
        <f>SUMIFS(Internal_labour_inputs!V$8:V$295,Internal_labour_inputs!$B$8:$B$295,$B19)+SUMIFS(Outsourced_labour_inputs!V$7:V$297,Outsourced_labour_inputs!$B$7:$B$297,$B19)</f>
        <v>0.8</v>
      </c>
      <c r="O19" s="192">
        <f>SUMIFS(Internal_labour_inputs!W$8:W$295,Internal_labour_inputs!$B$8:$B$295,$B19)+SUMIFS(Outsourced_labour_inputs!W$7:W$297,Outsourced_labour_inputs!$B$7:$B$297,$B19)</f>
        <v>4.0666666666666664</v>
      </c>
      <c r="P19" s="192">
        <f>SUMIFS(Internal_labour_inputs!X$8:X$295,Internal_labour_inputs!$B$8:$B$295,$B19)+SUMIFS(Outsourced_labour_inputs!X$7:X$297,Outsourced_labour_inputs!$B$7:$B$297,$B19)</f>
        <v>3</v>
      </c>
      <c r="Q19" s="192">
        <f>SUMIFS(Internal_labour_inputs!Y$8:Y$295,Internal_labour_inputs!$B$8:$B$295,$B19)+SUMIFS(Outsourced_labour_inputs!Y$7:Y$297,Outsourced_labour_inputs!$B$7:$B$297,$B19)</f>
        <v>3.0833333333333335</v>
      </c>
      <c r="R19" s="192">
        <f>SUMIFS(Internal_labour_inputs!Z$8:Z$295,Internal_labour_inputs!$B$8:$B$295,$B19)+SUMIFS(Outsourced_labour_inputs!Z$7:Z$297,Outsourced_labour_inputs!$B$7:$B$297,$B19)</f>
        <v>1.0833333333333333</v>
      </c>
      <c r="S19" s="192">
        <f>SUMIFS(Internal_labour_inputs!AA$8:AA$295,Internal_labour_inputs!$B$8:$B$295,$B19)+SUMIFS(Outsourced_labour_inputs!AA$7:AA$297,Outsourced_labour_inputs!$B$7:$B$297,$B19)</f>
        <v>1.0043859649122806</v>
      </c>
      <c r="T19" s="192">
        <f>SUMIFS(Internal_labour_inputs!AB$8:AB$295,Internal_labour_inputs!$B$8:$B$295,$B19)+SUMIFS(Outsourced_labour_inputs!AB$7:AB$297,Outsourced_labour_inputs!$B$7:$B$297,$B19)</f>
        <v>1.0043859649122806</v>
      </c>
      <c r="U19" s="192">
        <f>SUMIFS(Internal_labour_inputs!AC$8:AC$295,Internal_labour_inputs!$B$8:$B$295,$B19)+SUMIFS(Outsourced_labour_inputs!AC$7:AC$297,Outsourced_labour_inputs!$B$7:$B$297,$B19)</f>
        <v>1.0833333333333333</v>
      </c>
      <c r="V19" s="192">
        <f>SUMIFS(Internal_labour_inputs!AD$8:AD$295,Internal_labour_inputs!$B$8:$B$295,$B19)+SUMIFS(Outsourced_labour_inputs!AD$7:AD$297,Outsourced_labour_inputs!$B$7:$B$297,$B19)</f>
        <v>1.0833333333333333</v>
      </c>
      <c r="W19" s="192">
        <f>SUMIFS(Internal_labour_inputs!AE$8:AE$295,Internal_labour_inputs!$B$8:$B$295,$B19)+SUMIFS(Outsourced_labour_inputs!AE$7:AE$297,Outsourced_labour_inputs!$B$7:$B$297,$B19)</f>
        <v>1.0833333333333333</v>
      </c>
      <c r="X19" s="192">
        <f>SUMIFS(Internal_labour_inputs!AF$8:AF$295,Internal_labour_inputs!$B$8:$B$295,$B19)+SUMIFS(Outsourced_labour_inputs!AF$7:AF$297,Outsourced_labour_inputs!$B$7:$B$297,$B19)</f>
        <v>1.0833333333333333</v>
      </c>
      <c r="Y19" s="192">
        <f>SUMIFS(Internal_labour_inputs!AG$8:AG$295,Internal_labour_inputs!$B$8:$B$295,$B19)+SUMIFS(Outsourced_labour_inputs!AG$7:AG$297,Outsourced_labour_inputs!$B$7:$B$297,$B19)</f>
        <v>1.0833333333333333</v>
      </c>
      <c r="Z19" s="192">
        <f>SUMIFS(Internal_labour_inputs!AH$8:AH$295,Internal_labour_inputs!$B$8:$B$295,$B19)+SUMIFS(Outsourced_labour_inputs!AH$7:AH$297,Outsourced_labour_inputs!$B$7:$B$297,$B19)</f>
        <v>1.0833333333333333</v>
      </c>
      <c r="AA19" s="192">
        <f>SUMIFS(Internal_labour_inputs!AI$8:AI$295,Internal_labour_inputs!$B$8:$B$295,$B19)+SUMIFS(Outsourced_labour_inputs!AI$7:AI$297,Outsourced_labour_inputs!$B$7:$B$297,$B19)</f>
        <v>1.0833333333333333</v>
      </c>
      <c r="AB19" s="192">
        <f>SUMIFS(Internal_labour_inputs!AJ$8:AJ$295,Internal_labour_inputs!$B$8:$B$295,$B19)+SUMIFS(Outsourced_labour_inputs!AJ$7:AJ$297,Outsourced_labour_inputs!$B$7:$B$297,$B19)</f>
        <v>1.0833333333333333</v>
      </c>
      <c r="AC19" s="192">
        <f>SUMIFS(Internal_labour_inputs!AK$8:AK$295,Internal_labour_inputs!$B$8:$B$295,$B19)+SUMIFS(Outsourced_labour_inputs!AK$7:AK$297,Outsourced_labour_inputs!$B$7:$B$297,$B19)</f>
        <v>1</v>
      </c>
      <c r="AD19" s="192">
        <f>SUMIFS(Internal_labour_inputs!AL$8:AL$295,Internal_labour_inputs!$B$8:$B$295,$B19)+SUMIFS(Outsourced_labour_inputs!AL$7:AL$297,Outsourced_labour_inputs!$B$7:$B$297,$B19)</f>
        <v>1</v>
      </c>
      <c r="AE19" s="192">
        <f>SUMIFS(Internal_labour_inputs!AM$8:AM$295,Internal_labour_inputs!$B$8:$B$295,$B19)+SUMIFS(Outsourced_labour_inputs!AM$7:AM$297,Outsourced_labour_inputs!$B$7:$B$297,$B19)</f>
        <v>1</v>
      </c>
      <c r="AF19" s="192">
        <f>SUMIFS(Internal_labour_inputs!AN$8:AN$295,Internal_labour_inputs!$B$8:$B$295,$B19)+SUMIFS(Outsourced_labour_inputs!AN$7:AN$297,Outsourced_labour_inputs!$B$7:$B$297,$B19)</f>
        <v>1</v>
      </c>
      <c r="AG19" s="192">
        <f>SUMIFS(Internal_labour_inputs!AO$8:AO$295,Internal_labour_inputs!$B$8:$B$295,$B19)+SUMIFS(Outsourced_labour_inputs!AO$7:AO$297,Outsourced_labour_inputs!$B$7:$B$297,$B19)</f>
        <v>1</v>
      </c>
      <c r="AH19" s="192">
        <f>SUMIFS(Internal_labour_inputs!AP$8:AP$295,Internal_labour_inputs!$B$8:$B$295,$B19)+SUMIFS(Outsourced_labour_inputs!AP$7:AP$297,Outsourced_labour_inputs!$B$7:$B$297,$B19)</f>
        <v>1</v>
      </c>
      <c r="AI19" s="192">
        <f>SUMIFS(Internal_labour_inputs!AQ$8:AQ$295,Internal_labour_inputs!$B$8:$B$295,$B19)+SUMIFS(Outsourced_labour_inputs!AQ$7:AQ$297,Outsourced_labour_inputs!$B$7:$B$297,$B19)</f>
        <v>1</v>
      </c>
      <c r="AJ19" s="192">
        <f>SUMIFS(Internal_labour_inputs!AR$8:AR$295,Internal_labour_inputs!$B$8:$B$295,$B19)+SUMIFS(Outsourced_labour_inputs!AR$7:AR$297,Outsourced_labour_inputs!$B$7:$B$297,$B19)</f>
        <v>1</v>
      </c>
      <c r="AK19" s="192">
        <f>SUMIFS(Internal_labour_inputs!AS$8:AS$295,Internal_labour_inputs!$B$8:$B$295,$B19)+SUMIFS(Outsourced_labour_inputs!AS$7:AS$297,Outsourced_labour_inputs!$B$7:$B$297,$B19)</f>
        <v>1</v>
      </c>
      <c r="AL19" s="192">
        <f>SUMIFS(Internal_labour_inputs!AT$8:AT$295,Internal_labour_inputs!$B$8:$B$295,$B19)+SUMIFS(Outsourced_labour_inputs!AT$7:AT$297,Outsourced_labour_inputs!$B$7:$B$297,$B19)</f>
        <v>1</v>
      </c>
      <c r="AM19" s="192">
        <f>SUMIFS(Internal_labour_inputs!AU$8:AU$295,Internal_labour_inputs!$B$8:$B$295,$B19)+SUMIFS(Outsourced_labour_inputs!AU$7:AU$297,Outsourced_labour_inputs!$B$7:$B$297,$B19)</f>
        <v>1</v>
      </c>
      <c r="AN19" s="192">
        <f>SUMIFS(Internal_labour_inputs!AV$8:AV$295,Internal_labour_inputs!$B$8:$B$295,$B19)+SUMIFS(Outsourced_labour_inputs!AV$7:AV$297,Outsourced_labour_inputs!$B$7:$B$297,$B19)</f>
        <v>1</v>
      </c>
      <c r="AO19" s="192">
        <f>SUMIFS(Internal_labour_inputs!AW$8:AW$295,Internal_labour_inputs!$B$8:$B$295,$B19)+SUMIFS(Outsourced_labour_inputs!AW$7:AW$297,Outsourced_labour_inputs!$B$7:$B$297,$B19)</f>
        <v>1</v>
      </c>
      <c r="AP19" s="192">
        <f>SUMIFS(Internal_labour_inputs!AX$8:AX$295,Internal_labour_inputs!$B$8:$B$295,$B19)+SUMIFS(Outsourced_labour_inputs!AX$7:AX$297,Outsourced_labour_inputs!$B$7:$B$297,$B19)</f>
        <v>1</v>
      </c>
      <c r="AQ19" s="192">
        <f>SUMIFS(Internal_labour_inputs!AY$8:AY$295,Internal_labour_inputs!$B$8:$B$295,$B19)+SUMIFS(Outsourced_labour_inputs!AY$7:AY$297,Outsourced_labour_inputs!$B$7:$B$297,$B19)</f>
        <v>1</v>
      </c>
      <c r="AR19" s="192">
        <f>SUMIFS(Internal_labour_inputs!AZ$8:AZ$295,Internal_labour_inputs!$B$8:$B$295,$B19)+SUMIFS(Outsourced_labour_inputs!AZ$7:AZ$297,Outsourced_labour_inputs!$B$7:$B$297,$B19)</f>
        <v>1</v>
      </c>
      <c r="AS19" s="192">
        <f>SUMIFS(Internal_labour_inputs!BA$8:BA$295,Internal_labour_inputs!$B$8:$B$295,$B19)+SUMIFS(Outsourced_labour_inputs!BA$7:BA$297,Outsourced_labour_inputs!$B$7:$B$297,$B19)</f>
        <v>1</v>
      </c>
      <c r="AT19" s="192">
        <f>SUMIFS(Internal_labour_inputs!BB$8:BB$295,Internal_labour_inputs!$B$8:$B$295,$B19)+SUMIFS(Outsourced_labour_inputs!BB$7:BB$297,Outsourced_labour_inputs!$B$7:$B$297,$B19)</f>
        <v>1</v>
      </c>
      <c r="AU19" s="192">
        <f>SUMIFS(Internal_labour_inputs!BC$8:BC$295,Internal_labour_inputs!$B$8:$B$295,$B19)+SUMIFS(Outsourced_labour_inputs!BC$7:BC$297,Outsourced_labour_inputs!$B$7:$B$297,$B19)</f>
        <v>1</v>
      </c>
      <c r="AV19" s="192">
        <f>SUMIFS(Internal_labour_inputs!BD$8:BD$295,Internal_labour_inputs!$B$8:$B$295,$B19)+SUMIFS(Outsourced_labour_inputs!BD$7:BD$297,Outsourced_labour_inputs!$B$7:$B$297,$B19)</f>
        <v>1</v>
      </c>
      <c r="AW19" s="192">
        <f>SUMIFS(Internal_labour_inputs!BE$8:BE$295,Internal_labour_inputs!$B$8:$B$295,$B19)+SUMIFS(Outsourced_labour_inputs!BE$7:BE$297,Outsourced_labour_inputs!$B$7:$B$297,$B19)</f>
        <v>1</v>
      </c>
      <c r="AX19" s="192">
        <f>SUMIFS(Internal_labour_inputs!BF$8:BF$295,Internal_labour_inputs!$B$8:$B$295,$B19)+SUMIFS(Outsourced_labour_inputs!BF$7:BF$297,Outsourced_labour_inputs!$B$7:$B$297,$B19)</f>
        <v>1</v>
      </c>
      <c r="AY19" s="192">
        <f>SUMIFS(Internal_labour_inputs!BG$8:BG$295,Internal_labour_inputs!$B$8:$B$295,$B19)+SUMIFS(Outsourced_labour_inputs!BG$7:BG$297,Outsourced_labour_inputs!$B$7:$B$297,$B19)</f>
        <v>1</v>
      </c>
      <c r="AZ19" s="192">
        <f>SUMIFS(Internal_labour_inputs!BH$8:BH$295,Internal_labour_inputs!$B$8:$B$295,$B19)+SUMIFS(Outsourced_labour_inputs!BH$7:BH$297,Outsourced_labour_inputs!$B$7:$B$297,$B19)</f>
        <v>1</v>
      </c>
      <c r="BA19" s="192">
        <f>SUMIFS(Internal_labour_inputs!BI$8:BI$295,Internal_labour_inputs!$B$8:$B$295,$B19)+SUMIFS(Outsourced_labour_inputs!BI$7:BI$297,Outsourced_labour_inputs!$B$7:$B$297,$B19)</f>
        <v>0</v>
      </c>
      <c r="BB19" s="192">
        <f>SUMIFS(Internal_labour_inputs!BJ$8:BJ$295,Internal_labour_inputs!$B$8:$B$295,$B19)+SUMIFS(Outsourced_labour_inputs!BJ$7:BJ$297,Outsourced_labour_inputs!$B$7:$B$297,$B19)</f>
        <v>0</v>
      </c>
      <c r="BC19" s="192">
        <f>SUMIFS(Internal_labour_inputs!BK$8:BK$295,Internal_labour_inputs!$B$8:$B$295,$B19)+SUMIFS(Outsourced_labour_inputs!BK$7:BK$297,Outsourced_labour_inputs!$B$7:$B$297,$B19)</f>
        <v>0</v>
      </c>
      <c r="BD19" s="192">
        <f>SUMIFS(Internal_labour_inputs!BL$8:BL$295,Internal_labour_inputs!$B$8:$B$295,$B19)+SUMIFS(Outsourced_labour_inputs!BL$7:BL$297,Outsourced_labour_inputs!$B$7:$B$297,$B19)</f>
        <v>0</v>
      </c>
      <c r="BE19" s="192">
        <f>SUMIFS(Internal_labour_inputs!BM$8:BM$295,Internal_labour_inputs!$B$8:$B$295,$B19)+SUMIFS(Outsourced_labour_inputs!BM$7:BM$297,Outsourced_labour_inputs!$B$7:$B$297,$B19)</f>
        <v>0</v>
      </c>
      <c r="BF19" s="192">
        <f>SUMIFS(Internal_labour_inputs!BN$8:BN$295,Internal_labour_inputs!$B$8:$B$295,$B19)+SUMIFS(Outsourced_labour_inputs!BN$7:BN$297,Outsourced_labour_inputs!$B$7:$B$297,$B19)</f>
        <v>0</v>
      </c>
      <c r="BG19" s="192">
        <f>SUMIFS(Internal_labour_inputs!BO$8:BO$295,Internal_labour_inputs!$B$8:$B$295,$B19)+SUMIFS(Outsourced_labour_inputs!BO$7:BO$297,Outsourced_labour_inputs!$B$7:$B$297,$B19)</f>
        <v>0</v>
      </c>
      <c r="BH19" s="192">
        <f>SUMIFS(Internal_labour_inputs!BP$8:BP$295,Internal_labour_inputs!$B$8:$B$295,$B19)+SUMIFS(Outsourced_labour_inputs!BP$7:BP$297,Outsourced_labour_inputs!$B$7:$B$297,$B19)</f>
        <v>0</v>
      </c>
      <c r="BI19" s="192">
        <f>SUMIFS(Internal_labour_inputs!BQ$8:BQ$295,Internal_labour_inputs!$B$8:$B$295,$B19)+SUMIFS(Outsourced_labour_inputs!BQ$7:BQ$297,Outsourced_labour_inputs!$B$7:$B$297,$B19)</f>
        <v>0</v>
      </c>
      <c r="BJ19" s="192">
        <f>SUMIFS(Internal_labour_inputs!BR$8:BR$295,Internal_labour_inputs!$B$8:$B$295,$B19)+SUMIFS(Outsourced_labour_inputs!BR$7:BR$297,Outsourced_labour_inputs!$B$7:$B$297,$B19)</f>
        <v>0</v>
      </c>
      <c r="BK19" s="192">
        <f>SUMIFS(Internal_labour_inputs!BS$8:BS$295,Internal_labour_inputs!$B$8:$B$295,$B19)+SUMIFS(Outsourced_labour_inputs!BS$7:BS$297,Outsourced_labour_inputs!$B$7:$B$297,$B19)</f>
        <v>0</v>
      </c>
      <c r="BL19" s="192">
        <f>SUMIFS(Internal_labour_inputs!BT$8:BT$295,Internal_labour_inputs!$B$8:$B$295,$B19)+SUMIFS(Outsourced_labour_inputs!BT$7:BT$297,Outsourced_labour_inputs!$B$7:$B$297,$B19)</f>
        <v>0</v>
      </c>
      <c r="BM19" s="192">
        <f>SUMIFS(Internal_labour_inputs!BU$8:BU$295,Internal_labour_inputs!$B$8:$B$295,$B19)+SUMIFS(Outsourced_labour_inputs!BU$7:BU$297,Outsourced_labour_inputs!$B$7:$B$297,$B19)</f>
        <v>0</v>
      </c>
      <c r="BN19" s="192">
        <f>SUMIFS(Internal_labour_inputs!BV$8:BV$295,Internal_labour_inputs!$B$8:$B$295,$B19)+SUMIFS(Outsourced_labour_inputs!BV$7:BV$297,Outsourced_labour_inputs!$B$7:$B$297,$B19)</f>
        <v>0</v>
      </c>
      <c r="BO19" s="192">
        <f>SUMIFS(Internal_labour_inputs!BW$8:BW$295,Internal_labour_inputs!$B$8:$B$295,$B19)+SUMIFS(Outsourced_labour_inputs!BW$7:BW$297,Outsourced_labour_inputs!$B$7:$B$297,$B19)</f>
        <v>0</v>
      </c>
      <c r="BP19" s="192">
        <f>SUMIFS(Internal_labour_inputs!BX$8:BX$295,Internal_labour_inputs!$B$8:$B$295,$B19)+SUMIFS(Outsourced_labour_inputs!BX$7:BX$297,Outsourced_labour_inputs!$B$7:$B$297,$B19)</f>
        <v>0</v>
      </c>
      <c r="BQ19" s="192">
        <f>SUMIFS(Internal_labour_inputs!BY$8:BY$295,Internal_labour_inputs!$B$8:$B$295,$B19)+SUMIFS(Outsourced_labour_inputs!BY$7:BY$297,Outsourced_labour_inputs!$B$7:$B$297,$B19)</f>
        <v>0</v>
      </c>
      <c r="BR19" s="192">
        <f>SUMIFS(Internal_labour_inputs!BZ$8:BZ$295,Internal_labour_inputs!$B$8:$B$295,$B19)+SUMIFS(Outsourced_labour_inputs!BZ$7:BZ$297,Outsourced_labour_inputs!$B$7:$B$297,$B19)</f>
        <v>0</v>
      </c>
      <c r="BS19" s="192">
        <f>SUMIFS(Internal_labour_inputs!CA$8:CA$295,Internal_labour_inputs!$B$8:$B$295,$B19)+SUMIFS(Outsourced_labour_inputs!CA$7:CA$297,Outsourced_labour_inputs!$B$7:$B$297,$B19)</f>
        <v>0</v>
      </c>
      <c r="BT19" s="192">
        <f>SUMIFS(Internal_labour_inputs!CB$8:CB$295,Internal_labour_inputs!$B$8:$B$295,$B19)+SUMIFS(Outsourced_labour_inputs!CB$7:CB$297,Outsourced_labour_inputs!$B$7:$B$297,$B19)</f>
        <v>0</v>
      </c>
      <c r="BU19" s="192">
        <f>SUMIFS(Internal_labour_inputs!CC$8:CC$295,Internal_labour_inputs!$B$8:$B$295,$B19)+SUMIFS(Outsourced_labour_inputs!CC$7:CC$297,Outsourced_labour_inputs!$B$7:$B$297,$B19)</f>
        <v>0</v>
      </c>
      <c r="BV19" s="192">
        <f>SUMIFS(Internal_labour_inputs!CD$8:CD$295,Internal_labour_inputs!$B$8:$B$295,$B19)+SUMIFS(Outsourced_labour_inputs!CD$7:CD$297,Outsourced_labour_inputs!$B$7:$B$297,$B19)</f>
        <v>0</v>
      </c>
      <c r="BW19" s="192">
        <f>SUMIFS(Internal_labour_inputs!CE$8:CE$295,Internal_labour_inputs!$B$8:$B$295,$B19)+SUMIFS(Outsourced_labour_inputs!CE$7:CE$297,Outsourced_labour_inputs!$B$7:$B$297,$B19)</f>
        <v>0</v>
      </c>
      <c r="BX19" s="192">
        <f>SUMIFS(Internal_labour_inputs!CF$8:CF$295,Internal_labour_inputs!$B$8:$B$295,$B19)+SUMIFS(Outsourced_labour_inputs!CF$7:CF$297,Outsourced_labour_inputs!$B$7:$B$297,$B19)</f>
        <v>0</v>
      </c>
      <c r="BY19" s="192">
        <f>SUMIFS(Internal_labour_inputs!CG$8:CG$295,Internal_labour_inputs!$B$8:$B$295,$B19)+SUMIFS(Outsourced_labour_inputs!CG$7:CG$297,Outsourced_labour_inputs!$B$7:$B$297,$B19)</f>
        <v>0</v>
      </c>
      <c r="BZ19" s="192">
        <f>SUMIFS(Internal_labour_inputs!CH$8:CH$295,Internal_labour_inputs!$B$8:$B$295,$B19)+SUMIFS(Outsourced_labour_inputs!CH$7:CH$297,Outsourced_labour_inputs!$B$7:$B$297,$B19)</f>
        <v>0</v>
      </c>
      <c r="CA19" s="192">
        <f>SUMIFS(Internal_labour_inputs!CI$8:CI$295,Internal_labour_inputs!$B$8:$B$295,$B19)+SUMIFS(Outsourced_labour_inputs!CI$7:CI$297,Outsourced_labour_inputs!$B$7:$B$297,$B19)</f>
        <v>0</v>
      </c>
      <c r="CB19" s="192">
        <f>SUMIFS(Internal_labour_inputs!CJ$8:CJ$295,Internal_labour_inputs!$B$8:$B$295,$B19)+SUMIFS(Outsourced_labour_inputs!CJ$7:CJ$297,Outsourced_labour_inputs!$B$7:$B$297,$B19)</f>
        <v>0</v>
      </c>
      <c r="CC19" s="192">
        <f>SUMIFS(Internal_labour_inputs!CK$8:CK$295,Internal_labour_inputs!$B$8:$B$295,$B19)+SUMIFS(Outsourced_labour_inputs!CK$7:CK$297,Outsourced_labour_inputs!$B$7:$B$297,$B19)</f>
        <v>0</v>
      </c>
      <c r="CD19" s="192">
        <f>SUMIFS(Internal_labour_inputs!CL$8:CL$295,Internal_labour_inputs!$B$8:$B$295,$B19)+SUMIFS(Outsourced_labour_inputs!CL$7:CL$297,Outsourced_labour_inputs!$B$7:$B$297,$B19)</f>
        <v>0</v>
      </c>
      <c r="CE19" s="192">
        <f>SUMIFS(Internal_labour_inputs!CM$8:CM$295,Internal_labour_inputs!$B$8:$B$295,$B19)+SUMIFS(Outsourced_labour_inputs!CM$7:CM$297,Outsourced_labour_inputs!$B$7:$B$297,$B19)</f>
        <v>0</v>
      </c>
      <c r="CF19" s="192">
        <f>SUMIFS(Internal_labour_inputs!CN$8:CN$295,Internal_labour_inputs!$B$8:$B$295,$B19)+SUMIFS(Outsourced_labour_inputs!CN$7:CN$297,Outsourced_labour_inputs!$B$7:$B$297,$B19)</f>
        <v>0</v>
      </c>
      <c r="CG19" s="192">
        <f>SUMIFS(Internal_labour_inputs!CO$8:CO$295,Internal_labour_inputs!$B$8:$B$295,$B19)+SUMIFS(Outsourced_labour_inputs!CO$7:CO$297,Outsourced_labour_inputs!$B$7:$B$297,$B19)</f>
        <v>0</v>
      </c>
      <c r="CH19" s="192">
        <f>SUMIFS(Internal_labour_inputs!CP$8:CP$295,Internal_labour_inputs!$B$8:$B$295,$B19)+SUMIFS(Outsourced_labour_inputs!CP$7:CP$297,Outsourced_labour_inputs!$B$7:$B$297,$B19)</f>
        <v>0</v>
      </c>
      <c r="CI19" s="192">
        <f t="shared" si="4"/>
        <v>46.70877192982455</v>
      </c>
      <c r="CJ19" s="192">
        <f t="shared" si="5"/>
        <v>0.97309941520467813</v>
      </c>
      <c r="CK19" s="192">
        <f t="shared" si="2"/>
        <v>0.94892473118279563</v>
      </c>
      <c r="CL19" s="194"/>
    </row>
    <row r="20" spans="1:93" x14ac:dyDescent="0.3">
      <c r="B20" s="191" t="str">
        <v>Project Delivery Management - Project Management</v>
      </c>
      <c r="C20" s="192">
        <f>SUMIFS(Internal_labour_inputs!K$8:K$295,Internal_labour_inputs!$B$8:$B$295,$B20)+SUMIFS(Outsourced_labour_inputs!K$7:K$297,Outsourced_labour_inputs!$B$7:$B$297,$B20)</f>
        <v>0</v>
      </c>
      <c r="D20" s="192">
        <f>SUMIFS(Internal_labour_inputs!L$8:L$295,Internal_labour_inputs!$B$8:$B$295,$B20)+SUMIFS(Outsourced_labour_inputs!L$7:L$297,Outsourced_labour_inputs!$B$7:$B$297,$B20)</f>
        <v>0</v>
      </c>
      <c r="E20" s="192">
        <f>SUMIFS(Internal_labour_inputs!M$8:M$295,Internal_labour_inputs!$B$8:$B$295,$B20)+SUMIFS(Outsourced_labour_inputs!M$7:M$297,Outsourced_labour_inputs!$B$7:$B$297,$B20)</f>
        <v>0</v>
      </c>
      <c r="F20" s="192">
        <f>SUMIFS(Internal_labour_inputs!N$8:N$295,Internal_labour_inputs!$B$8:$B$295,$B20)+SUMIFS(Outsourced_labour_inputs!N$7:N$297,Outsourced_labour_inputs!$B$7:$B$297,$B20)</f>
        <v>0</v>
      </c>
      <c r="G20" s="192">
        <f>SUMIFS(Internal_labour_inputs!O$8:O$295,Internal_labour_inputs!$B$8:$B$295,$B20)+SUMIFS(Outsourced_labour_inputs!O$7:O$297,Outsourced_labour_inputs!$B$7:$B$297,$B20)</f>
        <v>0</v>
      </c>
      <c r="H20" s="192">
        <f>SUMIFS(Internal_labour_inputs!P$8:P$295,Internal_labour_inputs!$B$8:$B$295,$B20)+SUMIFS(Outsourced_labour_inputs!P$7:P$297,Outsourced_labour_inputs!$B$7:$B$297,$B20)</f>
        <v>2.3026315789473686</v>
      </c>
      <c r="I20" s="192">
        <f>SUMIFS(Internal_labour_inputs!Q$8:Q$295,Internal_labour_inputs!$B$8:$B$295,$B20)+SUMIFS(Outsourced_labour_inputs!Q$7:Q$297,Outsourced_labour_inputs!$B$7:$B$297,$B20)</f>
        <v>3.5500000000000003</v>
      </c>
      <c r="J20" s="192">
        <f>SUMIFS(Internal_labour_inputs!R$8:R$295,Internal_labour_inputs!$B$8:$B$295,$B20)+SUMIFS(Outsourced_labour_inputs!R$7:R$297,Outsourced_labour_inputs!$B$7:$B$297,$B20)</f>
        <v>3</v>
      </c>
      <c r="K20" s="192">
        <f>SUMIFS(Internal_labour_inputs!S$8:S$295,Internal_labour_inputs!$B$8:$B$295,$B20)+SUMIFS(Outsourced_labour_inputs!S$7:S$297,Outsourced_labour_inputs!$B$7:$B$297,$B20)</f>
        <v>2.6168571428571434</v>
      </c>
      <c r="L20" s="192">
        <f>SUMIFS(Internal_labour_inputs!T$8:T$295,Internal_labour_inputs!$B$8:$B$295,$B20)+SUMIFS(Outsourced_labour_inputs!T$7:T$297,Outsourced_labour_inputs!$B$7:$B$297,$B20)</f>
        <v>4.072571428571429</v>
      </c>
      <c r="M20" s="192">
        <f>SUMIFS(Internal_labour_inputs!U$8:U$295,Internal_labour_inputs!$B$8:$B$295,$B20)+SUMIFS(Outsourced_labour_inputs!U$7:U$297,Outsourced_labour_inputs!$B$7:$B$297,$B20)</f>
        <v>4.35042857142858</v>
      </c>
      <c r="N20" s="192">
        <f>SUMIFS(Internal_labour_inputs!V$8:V$295,Internal_labour_inputs!$B$8:$B$295,$B20)+SUMIFS(Outsourced_labour_inputs!V$7:V$297,Outsourced_labour_inputs!$B$7:$B$297,$B20)</f>
        <v>8.8234285714285736</v>
      </c>
      <c r="O20" s="192">
        <f>SUMIFS(Internal_labour_inputs!W$8:W$295,Internal_labour_inputs!$B$8:$B$295,$B20)+SUMIFS(Outsourced_labour_inputs!W$7:W$297,Outsourced_labour_inputs!$B$7:$B$297,$B20)</f>
        <v>13.091999999999999</v>
      </c>
      <c r="P20" s="192">
        <f>SUMIFS(Internal_labour_inputs!X$8:X$295,Internal_labour_inputs!$B$8:$B$295,$B20)+SUMIFS(Outsourced_labour_inputs!X$7:X$297,Outsourced_labour_inputs!$B$7:$B$297,$B20)</f>
        <v>15</v>
      </c>
      <c r="Q20" s="192">
        <f>SUMIFS(Internal_labour_inputs!Y$8:Y$295,Internal_labour_inputs!$B$8:$B$295,$B20)+SUMIFS(Outsourced_labour_inputs!Y$7:Y$297,Outsourced_labour_inputs!$B$7:$B$297,$B20)</f>
        <v>20</v>
      </c>
      <c r="R20" s="192">
        <f>SUMIFS(Internal_labour_inputs!Z$8:Z$295,Internal_labour_inputs!$B$8:$B$295,$B20)+SUMIFS(Outsourced_labour_inputs!Z$7:Z$297,Outsourced_labour_inputs!$B$7:$B$297,$B20)</f>
        <v>23.666666666666664</v>
      </c>
      <c r="S20" s="192">
        <f>SUMIFS(Internal_labour_inputs!AA$8:AA$295,Internal_labour_inputs!$B$8:$B$295,$B20)+SUMIFS(Outsourced_labour_inputs!AA$7:AA$297,Outsourced_labour_inputs!$B$7:$B$297,$B20)</f>
        <v>20.263157894736842</v>
      </c>
      <c r="T20" s="192">
        <f>SUMIFS(Internal_labour_inputs!AB$8:AB$295,Internal_labour_inputs!$B$8:$B$295,$B20)+SUMIFS(Outsourced_labour_inputs!AB$7:AB$297,Outsourced_labour_inputs!$B$7:$B$297,$B20)</f>
        <v>20.263157894736842</v>
      </c>
      <c r="U20" s="192">
        <f>SUMIFS(Internal_labour_inputs!AC$8:AC$295,Internal_labour_inputs!$B$8:$B$295,$B20)+SUMIFS(Outsourced_labour_inputs!AC$7:AC$297,Outsourced_labour_inputs!$B$7:$B$297,$B20)</f>
        <v>22</v>
      </c>
      <c r="V20" s="192">
        <f>SUMIFS(Internal_labour_inputs!AD$8:AD$295,Internal_labour_inputs!$B$8:$B$295,$B20)+SUMIFS(Outsourced_labour_inputs!AD$7:AD$297,Outsourced_labour_inputs!$B$7:$B$297,$B20)</f>
        <v>22</v>
      </c>
      <c r="W20" s="192">
        <f>SUMIFS(Internal_labour_inputs!AE$8:AE$295,Internal_labour_inputs!$B$8:$B$295,$B20)+SUMIFS(Outsourced_labour_inputs!AE$7:AE$297,Outsourced_labour_inputs!$B$7:$B$297,$B20)</f>
        <v>22</v>
      </c>
      <c r="X20" s="192">
        <f>SUMIFS(Internal_labour_inputs!AF$8:AF$295,Internal_labour_inputs!$B$8:$B$295,$B20)+SUMIFS(Outsourced_labour_inputs!AF$7:AF$297,Outsourced_labour_inputs!$B$7:$B$297,$B20)</f>
        <v>22</v>
      </c>
      <c r="Y20" s="192">
        <f>SUMIFS(Internal_labour_inputs!AG$8:AG$295,Internal_labour_inputs!$B$8:$B$295,$B20)+SUMIFS(Outsourced_labour_inputs!AG$7:AG$297,Outsourced_labour_inputs!$B$7:$B$297,$B20)</f>
        <v>22</v>
      </c>
      <c r="Z20" s="192">
        <f>SUMIFS(Internal_labour_inputs!AH$8:AH$295,Internal_labour_inputs!$B$8:$B$295,$B20)+SUMIFS(Outsourced_labour_inputs!AH$7:AH$297,Outsourced_labour_inputs!$B$7:$B$297,$B20)</f>
        <v>22</v>
      </c>
      <c r="AA20" s="192">
        <f>SUMIFS(Internal_labour_inputs!AI$8:AI$295,Internal_labour_inputs!$B$8:$B$295,$B20)+SUMIFS(Outsourced_labour_inputs!AI$7:AI$297,Outsourced_labour_inputs!$B$7:$B$297,$B20)</f>
        <v>22</v>
      </c>
      <c r="AB20" s="192">
        <f>SUMIFS(Internal_labour_inputs!AJ$8:AJ$295,Internal_labour_inputs!$B$8:$B$295,$B20)+SUMIFS(Outsourced_labour_inputs!AJ$7:AJ$297,Outsourced_labour_inputs!$B$7:$B$297,$B20)</f>
        <v>22</v>
      </c>
      <c r="AC20" s="192">
        <f>SUMIFS(Internal_labour_inputs!AK$8:AK$295,Internal_labour_inputs!$B$8:$B$295,$B20)+SUMIFS(Outsourced_labour_inputs!AK$7:AK$297,Outsourced_labour_inputs!$B$7:$B$297,$B20)</f>
        <v>22</v>
      </c>
      <c r="AD20" s="192">
        <f>SUMIFS(Internal_labour_inputs!AL$8:AL$295,Internal_labour_inputs!$B$8:$B$295,$B20)+SUMIFS(Outsourced_labour_inputs!AL$7:AL$297,Outsourced_labour_inputs!$B$7:$B$297,$B20)</f>
        <v>22</v>
      </c>
      <c r="AE20" s="192">
        <f>SUMIFS(Internal_labour_inputs!AM$8:AM$295,Internal_labour_inputs!$B$8:$B$295,$B20)+SUMIFS(Outsourced_labour_inputs!AM$7:AM$297,Outsourced_labour_inputs!$B$7:$B$297,$B20)</f>
        <v>21.960526315789473</v>
      </c>
      <c r="AF20" s="192">
        <f>SUMIFS(Internal_labour_inputs!AN$8:AN$295,Internal_labour_inputs!$B$8:$B$295,$B20)+SUMIFS(Outsourced_labour_inputs!AN$7:AN$297,Outsourced_labour_inputs!$B$7:$B$297,$B20)</f>
        <v>21.960526315789473</v>
      </c>
      <c r="AG20" s="192">
        <f>SUMIFS(Internal_labour_inputs!AO$8:AO$295,Internal_labour_inputs!$B$8:$B$295,$B20)+SUMIFS(Outsourced_labour_inputs!AO$7:AO$297,Outsourced_labour_inputs!$B$7:$B$297,$B20)</f>
        <v>22</v>
      </c>
      <c r="AH20" s="192">
        <f>SUMIFS(Internal_labour_inputs!AP$8:AP$295,Internal_labour_inputs!$B$8:$B$295,$B20)+SUMIFS(Outsourced_labour_inputs!AP$7:AP$297,Outsourced_labour_inputs!$B$7:$B$297,$B20)</f>
        <v>22</v>
      </c>
      <c r="AI20" s="192">
        <f>SUMIFS(Internal_labour_inputs!AQ$8:AQ$295,Internal_labour_inputs!$B$8:$B$295,$B20)+SUMIFS(Outsourced_labour_inputs!AQ$7:AQ$297,Outsourced_labour_inputs!$B$7:$B$297,$B20)</f>
        <v>22</v>
      </c>
      <c r="AJ20" s="192">
        <f>SUMIFS(Internal_labour_inputs!AR$8:AR$295,Internal_labour_inputs!$B$8:$B$295,$B20)+SUMIFS(Outsourced_labour_inputs!AR$7:AR$297,Outsourced_labour_inputs!$B$7:$B$297,$B20)</f>
        <v>22</v>
      </c>
      <c r="AK20" s="192">
        <f>SUMIFS(Internal_labour_inputs!AS$8:AS$295,Internal_labour_inputs!$B$8:$B$295,$B20)+SUMIFS(Outsourced_labour_inputs!AS$7:AS$297,Outsourced_labour_inputs!$B$7:$B$297,$B20)</f>
        <v>22</v>
      </c>
      <c r="AL20" s="192">
        <f>SUMIFS(Internal_labour_inputs!AT$8:AT$295,Internal_labour_inputs!$B$8:$B$295,$B20)+SUMIFS(Outsourced_labour_inputs!AT$7:AT$297,Outsourced_labour_inputs!$B$7:$B$297,$B20)</f>
        <v>22</v>
      </c>
      <c r="AM20" s="192">
        <f>SUMIFS(Internal_labour_inputs!AU$8:AU$295,Internal_labour_inputs!$B$8:$B$295,$B20)+SUMIFS(Outsourced_labour_inputs!AU$7:AU$297,Outsourced_labour_inputs!$B$7:$B$297,$B20)</f>
        <v>22</v>
      </c>
      <c r="AN20" s="192">
        <f>SUMIFS(Internal_labour_inputs!AV$8:AV$295,Internal_labour_inputs!$B$8:$B$295,$B20)+SUMIFS(Outsourced_labour_inputs!AV$7:AV$297,Outsourced_labour_inputs!$B$7:$B$297,$B20)</f>
        <v>22</v>
      </c>
      <c r="AO20" s="192">
        <f>SUMIFS(Internal_labour_inputs!AW$8:AW$295,Internal_labour_inputs!$B$8:$B$295,$B20)+SUMIFS(Outsourced_labour_inputs!AW$7:AW$297,Outsourced_labour_inputs!$B$7:$B$297,$B20)</f>
        <v>22</v>
      </c>
      <c r="AP20" s="192">
        <f>SUMIFS(Internal_labour_inputs!AX$8:AX$295,Internal_labour_inputs!$B$8:$B$295,$B20)+SUMIFS(Outsourced_labour_inputs!AX$7:AX$297,Outsourced_labour_inputs!$B$7:$B$297,$B20)</f>
        <v>22</v>
      </c>
      <c r="AQ20" s="192">
        <f>SUMIFS(Internal_labour_inputs!AY$8:AY$295,Internal_labour_inputs!$B$8:$B$295,$B20)+SUMIFS(Outsourced_labour_inputs!AY$7:AY$297,Outsourced_labour_inputs!$B$7:$B$297,$B20)</f>
        <v>21.802631578947366</v>
      </c>
      <c r="AR20" s="192">
        <f>SUMIFS(Internal_labour_inputs!AZ$8:AZ$295,Internal_labour_inputs!$B$8:$B$295,$B20)+SUMIFS(Outsourced_labour_inputs!AZ$7:AZ$297,Outsourced_labour_inputs!$B$7:$B$297,$B20)</f>
        <v>21.802631578947366</v>
      </c>
      <c r="AS20" s="192">
        <f>SUMIFS(Internal_labour_inputs!BA$8:BA$295,Internal_labour_inputs!$B$8:$B$295,$B20)+SUMIFS(Outsourced_labour_inputs!BA$7:BA$297,Outsourced_labour_inputs!$B$7:$B$297,$B20)</f>
        <v>22</v>
      </c>
      <c r="AT20" s="192">
        <f>SUMIFS(Internal_labour_inputs!BB$8:BB$295,Internal_labour_inputs!$B$8:$B$295,$B20)+SUMIFS(Outsourced_labour_inputs!BB$7:BB$297,Outsourced_labour_inputs!$B$7:$B$297,$B20)</f>
        <v>22</v>
      </c>
      <c r="AU20" s="192">
        <f>SUMIFS(Internal_labour_inputs!BC$8:BC$295,Internal_labour_inputs!$B$8:$B$295,$B20)+SUMIFS(Outsourced_labour_inputs!BC$7:BC$297,Outsourced_labour_inputs!$B$7:$B$297,$B20)</f>
        <v>22</v>
      </c>
      <c r="AV20" s="192">
        <f>SUMIFS(Internal_labour_inputs!BD$8:BD$295,Internal_labour_inputs!$B$8:$B$295,$B20)+SUMIFS(Outsourced_labour_inputs!BD$7:BD$297,Outsourced_labour_inputs!$B$7:$B$297,$B20)</f>
        <v>22</v>
      </c>
      <c r="AW20" s="192">
        <f>SUMIFS(Internal_labour_inputs!BE$8:BE$295,Internal_labour_inputs!$B$8:$B$295,$B20)+SUMIFS(Outsourced_labour_inputs!BE$7:BE$297,Outsourced_labour_inputs!$B$7:$B$297,$B20)</f>
        <v>20.5</v>
      </c>
      <c r="AX20" s="192">
        <f>SUMIFS(Internal_labour_inputs!BF$8:BF$295,Internal_labour_inputs!$B$8:$B$295,$B20)+SUMIFS(Outsourced_labour_inputs!BF$7:BF$297,Outsourced_labour_inputs!$B$7:$B$297,$B20)</f>
        <v>22</v>
      </c>
      <c r="AY20" s="192">
        <f>SUMIFS(Internal_labour_inputs!BG$8:BG$295,Internal_labour_inputs!$B$8:$B$295,$B20)+SUMIFS(Outsourced_labour_inputs!BG$7:BG$297,Outsourced_labour_inputs!$B$7:$B$297,$B20)</f>
        <v>15.333333333333334</v>
      </c>
      <c r="AZ20" s="192">
        <f>SUMIFS(Internal_labour_inputs!BH$8:BH$295,Internal_labour_inputs!$B$8:$B$295,$B20)+SUMIFS(Outsourced_labour_inputs!BH$7:BH$297,Outsourced_labour_inputs!$B$7:$B$297,$B20)</f>
        <v>15</v>
      </c>
      <c r="BA20" s="192">
        <f>SUMIFS(Internal_labour_inputs!BI$8:BI$295,Internal_labour_inputs!$B$8:$B$295,$B20)+SUMIFS(Outsourced_labour_inputs!BI$7:BI$297,Outsourced_labour_inputs!$B$7:$B$297,$B20)</f>
        <v>16.980952380952381</v>
      </c>
      <c r="BB20" s="192">
        <f>SUMIFS(Internal_labour_inputs!BJ$8:BJ$295,Internal_labour_inputs!$B$8:$B$295,$B20)+SUMIFS(Outsourced_labour_inputs!BJ$7:BJ$297,Outsourced_labour_inputs!$B$7:$B$297,$B20)</f>
        <v>0</v>
      </c>
      <c r="BC20" s="192">
        <f>SUMIFS(Internal_labour_inputs!BK$8:BK$295,Internal_labour_inputs!$B$8:$B$295,$B20)+SUMIFS(Outsourced_labour_inputs!BK$7:BK$297,Outsourced_labour_inputs!$B$7:$B$297,$B20)</f>
        <v>0</v>
      </c>
      <c r="BD20" s="192">
        <f>SUMIFS(Internal_labour_inputs!BL$8:BL$295,Internal_labour_inputs!$B$8:$B$295,$B20)+SUMIFS(Outsourced_labour_inputs!BL$7:BL$297,Outsourced_labour_inputs!$B$7:$B$297,$B20)</f>
        <v>0</v>
      </c>
      <c r="BE20" s="192">
        <f>SUMIFS(Internal_labour_inputs!BM$8:BM$295,Internal_labour_inputs!$B$8:$B$295,$B20)+SUMIFS(Outsourced_labour_inputs!BM$7:BM$297,Outsourced_labour_inputs!$B$7:$B$297,$B20)</f>
        <v>0</v>
      </c>
      <c r="BF20" s="192">
        <f>SUMIFS(Internal_labour_inputs!BN$8:BN$295,Internal_labour_inputs!$B$8:$B$295,$B20)+SUMIFS(Outsourced_labour_inputs!BN$7:BN$297,Outsourced_labour_inputs!$B$7:$B$297,$B20)</f>
        <v>0</v>
      </c>
      <c r="BG20" s="192">
        <f>SUMIFS(Internal_labour_inputs!BO$8:BO$295,Internal_labour_inputs!$B$8:$B$295,$B20)+SUMIFS(Outsourced_labour_inputs!BO$7:BO$297,Outsourced_labour_inputs!$B$7:$B$297,$B20)</f>
        <v>0</v>
      </c>
      <c r="BH20" s="192">
        <f>SUMIFS(Internal_labour_inputs!BP$8:BP$295,Internal_labour_inputs!$B$8:$B$295,$B20)+SUMIFS(Outsourced_labour_inputs!BP$7:BP$297,Outsourced_labour_inputs!$B$7:$B$297,$B20)</f>
        <v>0</v>
      </c>
      <c r="BI20" s="192">
        <f>SUMIFS(Internal_labour_inputs!BQ$8:BQ$295,Internal_labour_inputs!$B$8:$B$295,$B20)+SUMIFS(Outsourced_labour_inputs!BQ$7:BQ$297,Outsourced_labour_inputs!$B$7:$B$297,$B20)</f>
        <v>0</v>
      </c>
      <c r="BJ20" s="192">
        <f>SUMIFS(Internal_labour_inputs!BR$8:BR$295,Internal_labour_inputs!$B$8:$B$295,$B20)+SUMIFS(Outsourced_labour_inputs!BR$7:BR$297,Outsourced_labour_inputs!$B$7:$B$297,$B20)</f>
        <v>0</v>
      </c>
      <c r="BK20" s="192">
        <f>SUMIFS(Internal_labour_inputs!BS$8:BS$295,Internal_labour_inputs!$B$8:$B$295,$B20)+SUMIFS(Outsourced_labour_inputs!BS$7:BS$297,Outsourced_labour_inputs!$B$7:$B$297,$B20)</f>
        <v>0</v>
      </c>
      <c r="BL20" s="192">
        <f>SUMIFS(Internal_labour_inputs!BT$8:BT$295,Internal_labour_inputs!$B$8:$B$295,$B20)+SUMIFS(Outsourced_labour_inputs!BT$7:BT$297,Outsourced_labour_inputs!$B$7:$B$297,$B20)</f>
        <v>0</v>
      </c>
      <c r="BM20" s="192">
        <f>SUMIFS(Internal_labour_inputs!BU$8:BU$295,Internal_labour_inputs!$B$8:$B$295,$B20)+SUMIFS(Outsourced_labour_inputs!BU$7:BU$297,Outsourced_labour_inputs!$B$7:$B$297,$B20)</f>
        <v>0</v>
      </c>
      <c r="BN20" s="192">
        <f>SUMIFS(Internal_labour_inputs!BV$8:BV$295,Internal_labour_inputs!$B$8:$B$295,$B20)+SUMIFS(Outsourced_labour_inputs!BV$7:BV$297,Outsourced_labour_inputs!$B$7:$B$297,$B20)</f>
        <v>0</v>
      </c>
      <c r="BO20" s="192">
        <f>SUMIFS(Internal_labour_inputs!BW$8:BW$295,Internal_labour_inputs!$B$8:$B$295,$B20)+SUMIFS(Outsourced_labour_inputs!BW$7:BW$297,Outsourced_labour_inputs!$B$7:$B$297,$B20)</f>
        <v>0</v>
      </c>
      <c r="BP20" s="192">
        <f>SUMIFS(Internal_labour_inputs!BX$8:BX$295,Internal_labour_inputs!$B$8:$B$295,$B20)+SUMIFS(Outsourced_labour_inputs!BX$7:BX$297,Outsourced_labour_inputs!$B$7:$B$297,$B20)</f>
        <v>0</v>
      </c>
      <c r="BQ20" s="192">
        <f>SUMIFS(Internal_labour_inputs!BY$8:BY$295,Internal_labour_inputs!$B$8:$B$295,$B20)+SUMIFS(Outsourced_labour_inputs!BY$7:BY$297,Outsourced_labour_inputs!$B$7:$B$297,$B20)</f>
        <v>0</v>
      </c>
      <c r="BR20" s="192">
        <f>SUMIFS(Internal_labour_inputs!BZ$8:BZ$295,Internal_labour_inputs!$B$8:$B$295,$B20)+SUMIFS(Outsourced_labour_inputs!BZ$7:BZ$297,Outsourced_labour_inputs!$B$7:$B$297,$B20)</f>
        <v>0</v>
      </c>
      <c r="BS20" s="192">
        <f>SUMIFS(Internal_labour_inputs!CA$8:CA$295,Internal_labour_inputs!$B$8:$B$295,$B20)+SUMIFS(Outsourced_labour_inputs!CA$7:CA$297,Outsourced_labour_inputs!$B$7:$B$297,$B20)</f>
        <v>0</v>
      </c>
      <c r="BT20" s="192">
        <f>SUMIFS(Internal_labour_inputs!CB$8:CB$295,Internal_labour_inputs!$B$8:$B$295,$B20)+SUMIFS(Outsourced_labour_inputs!CB$7:CB$297,Outsourced_labour_inputs!$B$7:$B$297,$B20)</f>
        <v>0</v>
      </c>
      <c r="BU20" s="192">
        <f>SUMIFS(Internal_labour_inputs!CC$8:CC$295,Internal_labour_inputs!$B$8:$B$295,$B20)+SUMIFS(Outsourced_labour_inputs!CC$7:CC$297,Outsourced_labour_inputs!$B$7:$B$297,$B20)</f>
        <v>0</v>
      </c>
      <c r="BV20" s="192">
        <f>SUMIFS(Internal_labour_inputs!CD$8:CD$295,Internal_labour_inputs!$B$8:$B$295,$B20)+SUMIFS(Outsourced_labour_inputs!CD$7:CD$297,Outsourced_labour_inputs!$B$7:$B$297,$B20)</f>
        <v>0</v>
      </c>
      <c r="BW20" s="192">
        <f>SUMIFS(Internal_labour_inputs!CE$8:CE$295,Internal_labour_inputs!$B$8:$B$295,$B20)+SUMIFS(Outsourced_labour_inputs!CE$7:CE$297,Outsourced_labour_inputs!$B$7:$B$297,$B20)</f>
        <v>0</v>
      </c>
      <c r="BX20" s="192">
        <f>SUMIFS(Internal_labour_inputs!CF$8:CF$295,Internal_labour_inputs!$B$8:$B$295,$B20)+SUMIFS(Outsourced_labour_inputs!CF$7:CF$297,Outsourced_labour_inputs!$B$7:$B$297,$B20)</f>
        <v>0</v>
      </c>
      <c r="BY20" s="192">
        <f>SUMIFS(Internal_labour_inputs!CG$8:CG$295,Internal_labour_inputs!$B$8:$B$295,$B20)+SUMIFS(Outsourced_labour_inputs!CG$7:CG$297,Outsourced_labour_inputs!$B$7:$B$297,$B20)</f>
        <v>0</v>
      </c>
      <c r="BZ20" s="192">
        <f>SUMIFS(Internal_labour_inputs!CH$8:CH$295,Internal_labour_inputs!$B$8:$B$295,$B20)+SUMIFS(Outsourced_labour_inputs!CH$7:CH$297,Outsourced_labour_inputs!$B$7:$B$297,$B20)</f>
        <v>0</v>
      </c>
      <c r="CA20" s="192">
        <f>SUMIFS(Internal_labour_inputs!CI$8:CI$295,Internal_labour_inputs!$B$8:$B$295,$B20)+SUMIFS(Outsourced_labour_inputs!CI$7:CI$297,Outsourced_labour_inputs!$B$7:$B$297,$B20)</f>
        <v>0</v>
      </c>
      <c r="CB20" s="192">
        <f>SUMIFS(Internal_labour_inputs!CJ$8:CJ$295,Internal_labour_inputs!$B$8:$B$295,$B20)+SUMIFS(Outsourced_labour_inputs!CJ$7:CJ$297,Outsourced_labour_inputs!$B$7:$B$297,$B20)</f>
        <v>0</v>
      </c>
      <c r="CC20" s="192">
        <f>SUMIFS(Internal_labour_inputs!CK$8:CK$295,Internal_labour_inputs!$B$8:$B$295,$B20)+SUMIFS(Outsourced_labour_inputs!CK$7:CK$297,Outsourced_labour_inputs!$B$7:$B$297,$B20)</f>
        <v>0</v>
      </c>
      <c r="CD20" s="192">
        <f>SUMIFS(Internal_labour_inputs!CL$8:CL$295,Internal_labour_inputs!$B$8:$B$295,$B20)+SUMIFS(Outsourced_labour_inputs!CL$7:CL$297,Outsourced_labour_inputs!$B$7:$B$297,$B20)</f>
        <v>0</v>
      </c>
      <c r="CE20" s="192">
        <f>SUMIFS(Internal_labour_inputs!CM$8:CM$295,Internal_labour_inputs!$B$8:$B$295,$B20)+SUMIFS(Outsourced_labour_inputs!CM$7:CM$297,Outsourced_labour_inputs!$B$7:$B$297,$B20)</f>
        <v>0</v>
      </c>
      <c r="CF20" s="192">
        <f>SUMIFS(Internal_labour_inputs!CN$8:CN$295,Internal_labour_inputs!$B$8:$B$295,$B20)+SUMIFS(Outsourced_labour_inputs!CN$7:CN$297,Outsourced_labour_inputs!$B$7:$B$297,$B20)</f>
        <v>0</v>
      </c>
      <c r="CG20" s="192">
        <f>SUMIFS(Internal_labour_inputs!CO$8:CO$295,Internal_labour_inputs!$B$8:$B$295,$B20)+SUMIFS(Outsourced_labour_inputs!CO$7:CO$297,Outsourced_labour_inputs!$B$7:$B$297,$B20)</f>
        <v>0</v>
      </c>
      <c r="CH20" s="192">
        <f>SUMIFS(Internal_labour_inputs!CP$8:CP$295,Internal_labour_inputs!$B$8:$B$295,$B20)+SUMIFS(Outsourced_labour_inputs!CP$7:CP$297,Outsourced_labour_inputs!$B$7:$B$297,$B20)</f>
        <v>0</v>
      </c>
      <c r="CI20" s="192">
        <f t="shared" si="4"/>
        <v>846.34150125313306</v>
      </c>
      <c r="CJ20" s="192">
        <f t="shared" si="5"/>
        <v>17.632114609440272</v>
      </c>
      <c r="CK20" s="192">
        <f t="shared" si="2"/>
        <v>20.623890371089015</v>
      </c>
      <c r="CL20" s="194"/>
    </row>
    <row r="21" spans="1:93" x14ac:dyDescent="0.3">
      <c r="B21" s="191" t="str">
        <v>Project Development</v>
      </c>
      <c r="C21" s="192">
        <f>SUMIFS(Internal_labour_inputs!K$8:K$295,Internal_labour_inputs!$B$8:$B$295,$B21)+SUMIFS(Outsourced_labour_inputs!K$7:K$297,Outsourced_labour_inputs!$B$7:$B$297,$B21)</f>
        <v>0</v>
      </c>
      <c r="D21" s="192">
        <f>SUMIFS(Internal_labour_inputs!L$8:L$295,Internal_labour_inputs!$B$8:$B$295,$B21)+SUMIFS(Outsourced_labour_inputs!L$7:L$297,Outsourced_labour_inputs!$B$7:$B$297,$B21)</f>
        <v>0</v>
      </c>
      <c r="E21" s="192">
        <f>SUMIFS(Internal_labour_inputs!M$8:M$295,Internal_labour_inputs!$B$8:$B$295,$B21)+SUMIFS(Outsourced_labour_inputs!M$7:M$297,Outsourced_labour_inputs!$B$7:$B$297,$B21)</f>
        <v>0</v>
      </c>
      <c r="F21" s="192">
        <f>SUMIFS(Internal_labour_inputs!N$8:N$295,Internal_labour_inputs!$B$8:$B$295,$B21)+SUMIFS(Outsourced_labour_inputs!N$7:N$297,Outsourced_labour_inputs!$B$7:$B$297,$B21)</f>
        <v>0</v>
      </c>
      <c r="G21" s="192">
        <f>SUMIFS(Internal_labour_inputs!O$8:O$295,Internal_labour_inputs!$B$8:$B$295,$B21)+SUMIFS(Outsourced_labour_inputs!O$7:O$297,Outsourced_labour_inputs!$B$7:$B$297,$B21)</f>
        <v>0</v>
      </c>
      <c r="H21" s="192">
        <f>SUMIFS(Internal_labour_inputs!P$8:P$295,Internal_labour_inputs!$B$8:$B$295,$B21)+SUMIFS(Outsourced_labour_inputs!P$7:P$297,Outsourced_labour_inputs!$B$7:$B$297,$B21)</f>
        <v>0.3582894736842106</v>
      </c>
      <c r="I21" s="192">
        <f>SUMIFS(Internal_labour_inputs!Q$8:Q$295,Internal_labour_inputs!$B$8:$B$295,$B21)+SUMIFS(Outsourced_labour_inputs!Q$7:Q$297,Outsourced_labour_inputs!$B$7:$B$297,$B21)</f>
        <v>2.152285714285715</v>
      </c>
      <c r="J21" s="192">
        <f>SUMIFS(Internal_labour_inputs!R$8:R$295,Internal_labour_inputs!$B$8:$B$295,$B21)+SUMIFS(Outsourced_labour_inputs!R$7:R$297,Outsourced_labour_inputs!$B$7:$B$297,$B21)</f>
        <v>2.0611428571428569</v>
      </c>
      <c r="K21" s="192">
        <f>SUMIFS(Internal_labour_inputs!S$8:S$295,Internal_labour_inputs!$B$8:$B$295,$B21)+SUMIFS(Outsourced_labour_inputs!S$7:S$297,Outsourced_labour_inputs!$B$7:$B$297,$B21)</f>
        <v>1.4079999999999999</v>
      </c>
      <c r="L21" s="192">
        <f>SUMIFS(Internal_labour_inputs!T$8:T$295,Internal_labour_inputs!$B$8:$B$295,$B21)+SUMIFS(Outsourced_labour_inputs!T$7:T$297,Outsourced_labour_inputs!$B$7:$B$297,$B21)</f>
        <v>1.0841428571428571</v>
      </c>
      <c r="M21" s="192">
        <f>SUMIFS(Internal_labour_inputs!U$8:U$295,Internal_labour_inputs!$B$8:$B$295,$B21)+SUMIFS(Outsourced_labour_inputs!U$7:U$297,Outsourced_labour_inputs!$B$7:$B$297,$B21)</f>
        <v>0.89371428571428568</v>
      </c>
      <c r="N21" s="192">
        <f>SUMIFS(Internal_labour_inputs!V$8:V$295,Internal_labour_inputs!$B$8:$B$295,$B21)+SUMIFS(Outsourced_labour_inputs!V$7:V$297,Outsourced_labour_inputs!$B$7:$B$297,$B21)</f>
        <v>1.1963809523809525</v>
      </c>
      <c r="O21" s="192">
        <f>SUMIFS(Internal_labour_inputs!W$8:W$295,Internal_labour_inputs!$B$8:$B$295,$B21)+SUMIFS(Outsourced_labour_inputs!W$7:W$297,Outsourced_labour_inputs!$B$7:$B$297,$B21)</f>
        <v>1.1758095238095236</v>
      </c>
      <c r="P21" s="192">
        <f>SUMIFS(Internal_labour_inputs!X$8:X$295,Internal_labour_inputs!$B$8:$B$295,$B21)+SUMIFS(Outsourced_labour_inputs!X$7:X$297,Outsourced_labour_inputs!$B$7:$B$297,$B21)</f>
        <v>7.7142857142857153</v>
      </c>
      <c r="Q21" s="192">
        <f>SUMIFS(Internal_labour_inputs!Y$8:Y$295,Internal_labour_inputs!$B$8:$B$295,$B21)+SUMIFS(Outsourced_labour_inputs!Y$7:Y$297,Outsourced_labour_inputs!$B$7:$B$297,$B21)</f>
        <v>8.6142857142857139</v>
      </c>
      <c r="R21" s="192">
        <f>SUMIFS(Internal_labour_inputs!Z$8:Z$295,Internal_labour_inputs!$B$8:$B$295,$B21)+SUMIFS(Outsourced_labour_inputs!Z$7:Z$297,Outsourced_labour_inputs!$B$7:$B$297,$B21)</f>
        <v>13.419047619047619</v>
      </c>
      <c r="S21" s="192">
        <f>SUMIFS(Internal_labour_inputs!AA$8:AA$295,Internal_labour_inputs!$B$8:$B$295,$B21)+SUMIFS(Outsourced_labour_inputs!AA$7:AA$297,Outsourced_labour_inputs!$B$7:$B$297,$B21)</f>
        <v>14.243421052631582</v>
      </c>
      <c r="T21" s="192">
        <f>SUMIFS(Internal_labour_inputs!AB$8:AB$295,Internal_labour_inputs!$B$8:$B$295,$B21)+SUMIFS(Outsourced_labour_inputs!AB$7:AB$297,Outsourced_labour_inputs!$B$7:$B$297,$B21)</f>
        <v>18.434210526315795</v>
      </c>
      <c r="U21" s="192">
        <f>SUMIFS(Internal_labour_inputs!AC$8:AC$295,Internal_labour_inputs!$B$8:$B$295,$B21)+SUMIFS(Outsourced_labour_inputs!AC$7:AC$297,Outsourced_labour_inputs!$B$7:$B$297,$B21)</f>
        <v>17.599999999999998</v>
      </c>
      <c r="V21" s="192">
        <f>SUMIFS(Internal_labour_inputs!AD$8:AD$295,Internal_labour_inputs!$B$8:$B$295,$B21)+SUMIFS(Outsourced_labour_inputs!AD$7:AD$297,Outsourced_labour_inputs!$B$7:$B$297,$B21)</f>
        <v>14</v>
      </c>
      <c r="W21" s="192">
        <f>SUMIFS(Internal_labour_inputs!AE$8:AE$295,Internal_labour_inputs!$B$8:$B$295,$B21)+SUMIFS(Outsourced_labour_inputs!AE$7:AE$297,Outsourced_labour_inputs!$B$7:$B$297,$B21)</f>
        <v>10.7</v>
      </c>
      <c r="X21" s="192">
        <f>SUMIFS(Internal_labour_inputs!AF$8:AF$295,Internal_labour_inputs!$B$8:$B$295,$B21)+SUMIFS(Outsourced_labour_inputs!AF$7:AF$297,Outsourced_labour_inputs!$B$7:$B$297,$B21)</f>
        <v>9.1</v>
      </c>
      <c r="Y21" s="192">
        <f>SUMIFS(Internal_labour_inputs!AG$8:AG$295,Internal_labour_inputs!$B$8:$B$295,$B21)+SUMIFS(Outsourced_labour_inputs!AG$7:AG$297,Outsourced_labour_inputs!$B$7:$B$297,$B21)</f>
        <v>7.8000000000000007</v>
      </c>
      <c r="Z21" s="192">
        <f>SUMIFS(Internal_labour_inputs!AH$8:AH$295,Internal_labour_inputs!$B$8:$B$295,$B21)+SUMIFS(Outsourced_labour_inputs!AH$7:AH$297,Outsourced_labour_inputs!$B$7:$B$297,$B21)</f>
        <v>4.3333333333333339</v>
      </c>
      <c r="AA21" s="192">
        <f>SUMIFS(Internal_labour_inputs!AI$8:AI$295,Internal_labour_inputs!$B$8:$B$295,$B21)+SUMIFS(Outsourced_labour_inputs!AI$7:AI$297,Outsourced_labour_inputs!$B$7:$B$297,$B21)</f>
        <v>8.8666666666666654</v>
      </c>
      <c r="AB21" s="192">
        <f>SUMIFS(Internal_labour_inputs!AJ$8:AJ$295,Internal_labour_inputs!$B$8:$B$295,$B21)+SUMIFS(Outsourced_labour_inputs!AJ$7:AJ$297,Outsourced_labour_inputs!$B$7:$B$297,$B21)</f>
        <v>3.65</v>
      </c>
      <c r="AC21" s="192">
        <f>SUMIFS(Internal_labour_inputs!AK$8:AK$295,Internal_labour_inputs!$B$8:$B$295,$B21)+SUMIFS(Outsourced_labour_inputs!AK$7:AK$297,Outsourced_labour_inputs!$B$7:$B$297,$B21)</f>
        <v>2.15</v>
      </c>
      <c r="AD21" s="192">
        <f>SUMIFS(Internal_labour_inputs!AL$8:AL$295,Internal_labour_inputs!$B$8:$B$295,$B21)+SUMIFS(Outsourced_labour_inputs!AL$7:AL$297,Outsourced_labour_inputs!$B$7:$B$297,$B21)</f>
        <v>4.4000000000000004</v>
      </c>
      <c r="AE21" s="192">
        <f>SUMIFS(Internal_labour_inputs!AM$8:AM$295,Internal_labour_inputs!$B$8:$B$295,$B21)+SUMIFS(Outsourced_labour_inputs!AM$7:AM$297,Outsourced_labour_inputs!$B$7:$B$297,$B21)</f>
        <v>2.9934210526315788</v>
      </c>
      <c r="AF21" s="192">
        <f>SUMIFS(Internal_labour_inputs!AN$8:AN$295,Internal_labour_inputs!$B$8:$B$295,$B21)+SUMIFS(Outsourced_labour_inputs!AN$7:AN$297,Outsourced_labour_inputs!$B$7:$B$297,$B21)</f>
        <v>2.3486842105263155</v>
      </c>
      <c r="AG21" s="192">
        <f>SUMIFS(Internal_labour_inputs!AO$8:AO$295,Internal_labour_inputs!$B$8:$B$295,$B21)+SUMIFS(Outsourced_labour_inputs!AO$7:AO$297,Outsourced_labour_inputs!$B$7:$B$297,$B21)</f>
        <v>2.35</v>
      </c>
      <c r="AH21" s="192">
        <f>SUMIFS(Internal_labour_inputs!AP$8:AP$295,Internal_labour_inputs!$B$8:$B$295,$B21)+SUMIFS(Outsourced_labour_inputs!AP$7:AP$297,Outsourced_labour_inputs!$B$7:$B$297,$B21)</f>
        <v>1.95</v>
      </c>
      <c r="AI21" s="192">
        <f>SUMIFS(Internal_labour_inputs!AQ$8:AQ$295,Internal_labour_inputs!$B$8:$B$295,$B21)+SUMIFS(Outsourced_labour_inputs!AQ$7:AQ$297,Outsourced_labour_inputs!$B$7:$B$297,$B21)</f>
        <v>1.95</v>
      </c>
      <c r="AJ21" s="192">
        <f>SUMIFS(Internal_labour_inputs!AR$8:AR$295,Internal_labour_inputs!$B$8:$B$295,$B21)+SUMIFS(Outsourced_labour_inputs!AR$7:AR$297,Outsourced_labour_inputs!$B$7:$B$297,$B21)</f>
        <v>1.9</v>
      </c>
      <c r="AK21" s="192">
        <f>SUMIFS(Internal_labour_inputs!AS$8:AS$295,Internal_labour_inputs!$B$8:$B$295,$B21)+SUMIFS(Outsourced_labour_inputs!AS$7:AS$297,Outsourced_labour_inputs!$B$7:$B$297,$B21)</f>
        <v>0.6</v>
      </c>
      <c r="AL21" s="192">
        <f>SUMIFS(Internal_labour_inputs!AT$8:AT$295,Internal_labour_inputs!$B$8:$B$295,$B21)+SUMIFS(Outsourced_labour_inputs!AT$7:AT$297,Outsourced_labour_inputs!$B$7:$B$297,$B21)</f>
        <v>0.8</v>
      </c>
      <c r="AM21" s="192">
        <f>SUMIFS(Internal_labour_inputs!AU$8:AU$295,Internal_labour_inputs!$B$8:$B$295,$B21)+SUMIFS(Outsourced_labour_inputs!AU$7:AU$297,Outsourced_labour_inputs!$B$7:$B$297,$B21)</f>
        <v>0.8</v>
      </c>
      <c r="AN21" s="192">
        <f>SUMIFS(Internal_labour_inputs!AV$8:AV$295,Internal_labour_inputs!$B$8:$B$295,$B21)+SUMIFS(Outsourced_labour_inputs!AV$7:AV$297,Outsourced_labour_inputs!$B$7:$B$297,$B21)</f>
        <v>0.6</v>
      </c>
      <c r="AO21" s="192">
        <f>SUMIFS(Internal_labour_inputs!AW$8:AW$295,Internal_labour_inputs!$B$8:$B$295,$B21)+SUMIFS(Outsourced_labour_inputs!AW$7:AW$297,Outsourced_labour_inputs!$B$7:$B$297,$B21)</f>
        <v>0.6</v>
      </c>
      <c r="AP21" s="192">
        <f>SUMIFS(Internal_labour_inputs!AX$8:AX$295,Internal_labour_inputs!$B$8:$B$295,$B21)+SUMIFS(Outsourced_labour_inputs!AX$7:AX$297,Outsourced_labour_inputs!$B$7:$B$297,$B21)</f>
        <v>0.8</v>
      </c>
      <c r="AQ21" s="192">
        <f>SUMIFS(Internal_labour_inputs!AY$8:AY$295,Internal_labour_inputs!$B$8:$B$295,$B21)+SUMIFS(Outsourced_labour_inputs!AY$7:AY$297,Outsourced_labour_inputs!$B$7:$B$297,$B21)</f>
        <v>0.55263157894736847</v>
      </c>
      <c r="AR21" s="192">
        <f>SUMIFS(Internal_labour_inputs!AZ$8:AZ$295,Internal_labour_inputs!$B$8:$B$295,$B21)+SUMIFS(Outsourced_labour_inputs!AZ$7:AZ$297,Outsourced_labour_inputs!$B$7:$B$297,$B21)</f>
        <v>0.55263157894736847</v>
      </c>
      <c r="AS21" s="192">
        <f>SUMIFS(Internal_labour_inputs!BA$8:BA$295,Internal_labour_inputs!$B$8:$B$295,$B21)+SUMIFS(Outsourced_labour_inputs!BA$7:BA$297,Outsourced_labour_inputs!$B$7:$B$297,$B21)</f>
        <v>0.6</v>
      </c>
      <c r="AT21" s="192">
        <f>SUMIFS(Internal_labour_inputs!BB$8:BB$295,Internal_labour_inputs!$B$8:$B$295,$B21)+SUMIFS(Outsourced_labour_inputs!BB$7:BB$297,Outsourced_labour_inputs!$B$7:$B$297,$B21)</f>
        <v>0.6</v>
      </c>
      <c r="AU21" s="192">
        <f>SUMIFS(Internal_labour_inputs!BC$8:BC$295,Internal_labour_inputs!$B$8:$B$295,$B21)+SUMIFS(Outsourced_labour_inputs!BC$7:BC$297,Outsourced_labour_inputs!$B$7:$B$297,$B21)</f>
        <v>0.6</v>
      </c>
      <c r="AV21" s="192">
        <f>SUMIFS(Internal_labour_inputs!BD$8:BD$295,Internal_labour_inputs!$B$8:$B$295,$B21)+SUMIFS(Outsourced_labour_inputs!BD$7:BD$297,Outsourced_labour_inputs!$B$7:$B$297,$B21)</f>
        <v>0.6</v>
      </c>
      <c r="AW21" s="192">
        <f>SUMIFS(Internal_labour_inputs!BE$8:BE$295,Internal_labour_inputs!$B$8:$B$295,$B21)+SUMIFS(Outsourced_labour_inputs!BE$7:BE$297,Outsourced_labour_inputs!$B$7:$B$297,$B21)</f>
        <v>0.6</v>
      </c>
      <c r="AX21" s="192">
        <f>SUMIFS(Internal_labour_inputs!BF$8:BF$295,Internal_labour_inputs!$B$8:$B$295,$B21)+SUMIFS(Outsourced_labour_inputs!BF$7:BF$297,Outsourced_labour_inputs!$B$7:$B$297,$B21)</f>
        <v>0.8</v>
      </c>
      <c r="AY21" s="192">
        <f>SUMIFS(Internal_labour_inputs!BG$8:BG$295,Internal_labour_inputs!$B$8:$B$295,$B21)+SUMIFS(Outsourced_labour_inputs!BG$7:BG$297,Outsourced_labour_inputs!$B$7:$B$297,$B21)</f>
        <v>0.8</v>
      </c>
      <c r="AZ21" s="192">
        <f>SUMIFS(Internal_labour_inputs!BH$8:BH$295,Internal_labour_inputs!$B$8:$B$295,$B21)+SUMIFS(Outsourced_labour_inputs!BH$7:BH$297,Outsourced_labour_inputs!$B$7:$B$297,$B21)</f>
        <v>0.6</v>
      </c>
      <c r="BA21" s="192">
        <f>SUMIFS(Internal_labour_inputs!BI$8:BI$295,Internal_labour_inputs!$B$8:$B$295,$B21)+SUMIFS(Outsourced_labour_inputs!BI$7:BI$297,Outsourced_labour_inputs!$B$7:$B$297,$B21)</f>
        <v>0</v>
      </c>
      <c r="BB21" s="192">
        <f>SUMIFS(Internal_labour_inputs!BJ$8:BJ$295,Internal_labour_inputs!$B$8:$B$295,$B21)+SUMIFS(Outsourced_labour_inputs!BJ$7:BJ$297,Outsourced_labour_inputs!$B$7:$B$297,$B21)</f>
        <v>0</v>
      </c>
      <c r="BC21" s="192">
        <f>SUMIFS(Internal_labour_inputs!BK$8:BK$295,Internal_labour_inputs!$B$8:$B$295,$B21)+SUMIFS(Outsourced_labour_inputs!BK$7:BK$297,Outsourced_labour_inputs!$B$7:$B$297,$B21)</f>
        <v>0</v>
      </c>
      <c r="BD21" s="192">
        <f>SUMIFS(Internal_labour_inputs!BL$8:BL$295,Internal_labour_inputs!$B$8:$B$295,$B21)+SUMIFS(Outsourced_labour_inputs!BL$7:BL$297,Outsourced_labour_inputs!$B$7:$B$297,$B21)</f>
        <v>0</v>
      </c>
      <c r="BE21" s="192">
        <f>SUMIFS(Internal_labour_inputs!BM$8:BM$295,Internal_labour_inputs!$B$8:$B$295,$B21)+SUMIFS(Outsourced_labour_inputs!BM$7:BM$297,Outsourced_labour_inputs!$B$7:$B$297,$B21)</f>
        <v>0</v>
      </c>
      <c r="BF21" s="192">
        <f>SUMIFS(Internal_labour_inputs!BN$8:BN$295,Internal_labour_inputs!$B$8:$B$295,$B21)+SUMIFS(Outsourced_labour_inputs!BN$7:BN$297,Outsourced_labour_inputs!$B$7:$B$297,$B21)</f>
        <v>0</v>
      </c>
      <c r="BG21" s="192">
        <f>SUMIFS(Internal_labour_inputs!BO$8:BO$295,Internal_labour_inputs!$B$8:$B$295,$B21)+SUMIFS(Outsourced_labour_inputs!BO$7:BO$297,Outsourced_labour_inputs!$B$7:$B$297,$B21)</f>
        <v>0</v>
      </c>
      <c r="BH21" s="192">
        <f>SUMIFS(Internal_labour_inputs!BP$8:BP$295,Internal_labour_inputs!$B$8:$B$295,$B21)+SUMIFS(Outsourced_labour_inputs!BP$7:BP$297,Outsourced_labour_inputs!$B$7:$B$297,$B21)</f>
        <v>0</v>
      </c>
      <c r="BI21" s="192">
        <f>SUMIFS(Internal_labour_inputs!BQ$8:BQ$295,Internal_labour_inputs!$B$8:$B$295,$B21)+SUMIFS(Outsourced_labour_inputs!BQ$7:BQ$297,Outsourced_labour_inputs!$B$7:$B$297,$B21)</f>
        <v>0</v>
      </c>
      <c r="BJ21" s="192">
        <f>SUMIFS(Internal_labour_inputs!BR$8:BR$295,Internal_labour_inputs!$B$8:$B$295,$B21)+SUMIFS(Outsourced_labour_inputs!BR$7:BR$297,Outsourced_labour_inputs!$B$7:$B$297,$B21)</f>
        <v>0</v>
      </c>
      <c r="BK21" s="192">
        <f>SUMIFS(Internal_labour_inputs!BS$8:BS$295,Internal_labour_inputs!$B$8:$B$295,$B21)+SUMIFS(Outsourced_labour_inputs!BS$7:BS$297,Outsourced_labour_inputs!$B$7:$B$297,$B21)</f>
        <v>0</v>
      </c>
      <c r="BL21" s="192">
        <f>SUMIFS(Internal_labour_inputs!BT$8:BT$295,Internal_labour_inputs!$B$8:$B$295,$B21)+SUMIFS(Outsourced_labour_inputs!BT$7:BT$297,Outsourced_labour_inputs!$B$7:$B$297,$B21)</f>
        <v>0</v>
      </c>
      <c r="BM21" s="192">
        <f>SUMIFS(Internal_labour_inputs!BU$8:BU$295,Internal_labour_inputs!$B$8:$B$295,$B21)+SUMIFS(Outsourced_labour_inputs!BU$7:BU$297,Outsourced_labour_inputs!$B$7:$B$297,$B21)</f>
        <v>0</v>
      </c>
      <c r="BN21" s="192">
        <f>SUMIFS(Internal_labour_inputs!BV$8:BV$295,Internal_labour_inputs!$B$8:$B$295,$B21)+SUMIFS(Outsourced_labour_inputs!BV$7:BV$297,Outsourced_labour_inputs!$B$7:$B$297,$B21)</f>
        <v>0</v>
      </c>
      <c r="BO21" s="192">
        <f>SUMIFS(Internal_labour_inputs!BW$8:BW$295,Internal_labour_inputs!$B$8:$B$295,$B21)+SUMIFS(Outsourced_labour_inputs!BW$7:BW$297,Outsourced_labour_inputs!$B$7:$B$297,$B21)</f>
        <v>0</v>
      </c>
      <c r="BP21" s="192">
        <f>SUMIFS(Internal_labour_inputs!BX$8:BX$295,Internal_labour_inputs!$B$8:$B$295,$B21)+SUMIFS(Outsourced_labour_inputs!BX$7:BX$297,Outsourced_labour_inputs!$B$7:$B$297,$B21)</f>
        <v>0</v>
      </c>
      <c r="BQ21" s="192">
        <f>SUMIFS(Internal_labour_inputs!BY$8:BY$295,Internal_labour_inputs!$B$8:$B$295,$B21)+SUMIFS(Outsourced_labour_inputs!BY$7:BY$297,Outsourced_labour_inputs!$B$7:$B$297,$B21)</f>
        <v>0</v>
      </c>
      <c r="BR21" s="192">
        <f>SUMIFS(Internal_labour_inputs!BZ$8:BZ$295,Internal_labour_inputs!$B$8:$B$295,$B21)+SUMIFS(Outsourced_labour_inputs!BZ$7:BZ$297,Outsourced_labour_inputs!$B$7:$B$297,$B21)</f>
        <v>0</v>
      </c>
      <c r="BS21" s="192">
        <f>SUMIFS(Internal_labour_inputs!CA$8:CA$295,Internal_labour_inputs!$B$8:$B$295,$B21)+SUMIFS(Outsourced_labour_inputs!CA$7:CA$297,Outsourced_labour_inputs!$B$7:$B$297,$B21)</f>
        <v>0</v>
      </c>
      <c r="BT21" s="192">
        <f>SUMIFS(Internal_labour_inputs!CB$8:CB$295,Internal_labour_inputs!$B$8:$B$295,$B21)+SUMIFS(Outsourced_labour_inputs!CB$7:CB$297,Outsourced_labour_inputs!$B$7:$B$297,$B21)</f>
        <v>0</v>
      </c>
      <c r="BU21" s="192">
        <f>SUMIFS(Internal_labour_inputs!CC$8:CC$295,Internal_labour_inputs!$B$8:$B$295,$B21)+SUMIFS(Outsourced_labour_inputs!CC$7:CC$297,Outsourced_labour_inputs!$B$7:$B$297,$B21)</f>
        <v>0</v>
      </c>
      <c r="BV21" s="192">
        <f>SUMIFS(Internal_labour_inputs!CD$8:CD$295,Internal_labour_inputs!$B$8:$B$295,$B21)+SUMIFS(Outsourced_labour_inputs!CD$7:CD$297,Outsourced_labour_inputs!$B$7:$B$297,$B21)</f>
        <v>0</v>
      </c>
      <c r="BW21" s="192">
        <f>SUMIFS(Internal_labour_inputs!CE$8:CE$295,Internal_labour_inputs!$B$8:$B$295,$B21)+SUMIFS(Outsourced_labour_inputs!CE$7:CE$297,Outsourced_labour_inputs!$B$7:$B$297,$B21)</f>
        <v>0</v>
      </c>
      <c r="BX21" s="192">
        <f>SUMIFS(Internal_labour_inputs!CF$8:CF$295,Internal_labour_inputs!$B$8:$B$295,$B21)+SUMIFS(Outsourced_labour_inputs!CF$7:CF$297,Outsourced_labour_inputs!$B$7:$B$297,$B21)</f>
        <v>0</v>
      </c>
      <c r="BY21" s="192">
        <f>SUMIFS(Internal_labour_inputs!CG$8:CG$295,Internal_labour_inputs!$B$8:$B$295,$B21)+SUMIFS(Outsourced_labour_inputs!CG$7:CG$297,Outsourced_labour_inputs!$B$7:$B$297,$B21)</f>
        <v>0</v>
      </c>
      <c r="BZ21" s="192">
        <f>SUMIFS(Internal_labour_inputs!CH$8:CH$295,Internal_labour_inputs!$B$8:$B$295,$B21)+SUMIFS(Outsourced_labour_inputs!CH$7:CH$297,Outsourced_labour_inputs!$B$7:$B$297,$B21)</f>
        <v>0</v>
      </c>
      <c r="CA21" s="192">
        <f>SUMIFS(Internal_labour_inputs!CI$8:CI$295,Internal_labour_inputs!$B$8:$B$295,$B21)+SUMIFS(Outsourced_labour_inputs!CI$7:CI$297,Outsourced_labour_inputs!$B$7:$B$297,$B21)</f>
        <v>0</v>
      </c>
      <c r="CB21" s="192">
        <f>SUMIFS(Internal_labour_inputs!CJ$8:CJ$295,Internal_labour_inputs!$B$8:$B$295,$B21)+SUMIFS(Outsourced_labour_inputs!CJ$7:CJ$297,Outsourced_labour_inputs!$B$7:$B$297,$B21)</f>
        <v>0</v>
      </c>
      <c r="CC21" s="192">
        <f>SUMIFS(Internal_labour_inputs!CK$8:CK$295,Internal_labour_inputs!$B$8:$B$295,$B21)+SUMIFS(Outsourced_labour_inputs!CK$7:CK$297,Outsourced_labour_inputs!$B$7:$B$297,$B21)</f>
        <v>0</v>
      </c>
      <c r="CD21" s="192">
        <f>SUMIFS(Internal_labour_inputs!CL$8:CL$295,Internal_labour_inputs!$B$8:$B$295,$B21)+SUMIFS(Outsourced_labour_inputs!CL$7:CL$297,Outsourced_labour_inputs!$B$7:$B$297,$B21)</f>
        <v>0</v>
      </c>
      <c r="CE21" s="192">
        <f>SUMIFS(Internal_labour_inputs!CM$8:CM$295,Internal_labour_inputs!$B$8:$B$295,$B21)+SUMIFS(Outsourced_labour_inputs!CM$7:CM$297,Outsourced_labour_inputs!$B$7:$B$297,$B21)</f>
        <v>0</v>
      </c>
      <c r="CF21" s="192">
        <f>SUMIFS(Internal_labour_inputs!CN$8:CN$295,Internal_labour_inputs!$B$8:$B$295,$B21)+SUMIFS(Outsourced_labour_inputs!CN$7:CN$297,Outsourced_labour_inputs!$B$7:$B$297,$B21)</f>
        <v>0</v>
      </c>
      <c r="CG21" s="192">
        <f>SUMIFS(Internal_labour_inputs!CO$8:CO$295,Internal_labour_inputs!$B$8:$B$295,$B21)+SUMIFS(Outsourced_labour_inputs!CO$7:CO$297,Outsourced_labour_inputs!$B$7:$B$297,$B21)</f>
        <v>0</v>
      </c>
      <c r="CH21" s="192">
        <f>SUMIFS(Internal_labour_inputs!CP$8:CP$295,Internal_labour_inputs!$B$8:$B$295,$B21)+SUMIFS(Outsourced_labour_inputs!CP$7:CP$297,Outsourced_labour_inputs!$B$7:$B$297,$B21)</f>
        <v>0</v>
      </c>
      <c r="CI21" s="192">
        <f t="shared" si="4"/>
        <v>179.35238471177951</v>
      </c>
      <c r="CJ21" s="192">
        <f t="shared" si="5"/>
        <v>3.7365080148287397</v>
      </c>
      <c r="CK21" s="192">
        <f t="shared" si="2"/>
        <v>2.0741086587436333</v>
      </c>
      <c r="CL21" s="194"/>
    </row>
    <row r="22" spans="1:93" x14ac:dyDescent="0.3">
      <c r="B22" s="191" t="str">
        <v>Regulatory Approvals</v>
      </c>
      <c r="C22" s="192">
        <f>SUMIFS(Internal_labour_inputs!K$8:K$295,Internal_labour_inputs!$B$8:$B$295,$B22)+SUMIFS(Outsourced_labour_inputs!K$7:K$297,Outsourced_labour_inputs!$B$7:$B$297,$B22)</f>
        <v>0</v>
      </c>
      <c r="D22" s="192">
        <f>SUMIFS(Internal_labour_inputs!L$8:L$295,Internal_labour_inputs!$B$8:$B$295,$B22)+SUMIFS(Outsourced_labour_inputs!L$7:L$297,Outsourced_labour_inputs!$B$7:$B$297,$B22)</f>
        <v>0</v>
      </c>
      <c r="E22" s="192">
        <f>SUMIFS(Internal_labour_inputs!M$8:M$295,Internal_labour_inputs!$B$8:$B$295,$B22)+SUMIFS(Outsourced_labour_inputs!M$7:M$297,Outsourced_labour_inputs!$B$7:$B$297,$B22)</f>
        <v>0</v>
      </c>
      <c r="F22" s="192">
        <f>SUMIFS(Internal_labour_inputs!N$8:N$295,Internal_labour_inputs!$B$8:$B$295,$B22)+SUMIFS(Outsourced_labour_inputs!N$7:N$297,Outsourced_labour_inputs!$B$7:$B$297,$B22)</f>
        <v>0</v>
      </c>
      <c r="G22" s="192">
        <f>SUMIFS(Internal_labour_inputs!O$8:O$295,Internal_labour_inputs!$B$8:$B$295,$B22)+SUMIFS(Outsourced_labour_inputs!O$7:O$297,Outsourced_labour_inputs!$B$7:$B$297,$B22)</f>
        <v>0</v>
      </c>
      <c r="H22" s="192">
        <f>SUMIFS(Internal_labour_inputs!P$8:P$295,Internal_labour_inputs!$B$8:$B$295,$B22)+SUMIFS(Outsourced_labour_inputs!P$7:P$297,Outsourced_labour_inputs!$B$7:$B$297,$B22)</f>
        <v>4.6052631578947366E-2</v>
      </c>
      <c r="I22" s="192">
        <f>SUMIFS(Internal_labour_inputs!Q$8:Q$295,Internal_labour_inputs!$B$8:$B$295,$B22)+SUMIFS(Outsourced_labour_inputs!Q$7:Q$297,Outsourced_labour_inputs!$B$7:$B$297,$B22)</f>
        <v>0.57499999999999996</v>
      </c>
      <c r="J22" s="192">
        <f>SUMIFS(Internal_labour_inputs!R$8:R$295,Internal_labour_inputs!$B$8:$B$295,$B22)+SUMIFS(Outsourced_labour_inputs!R$7:R$297,Outsourced_labour_inputs!$B$7:$B$297,$B22)</f>
        <v>0.60000000000000009</v>
      </c>
      <c r="K22" s="192">
        <f>SUMIFS(Internal_labour_inputs!S$8:S$295,Internal_labour_inputs!$B$8:$B$295,$B22)+SUMIFS(Outsourced_labour_inputs!S$7:S$297,Outsourced_labour_inputs!$B$7:$B$297,$B22)</f>
        <v>0.67500000000000004</v>
      </c>
      <c r="L22" s="192">
        <f>SUMIFS(Internal_labour_inputs!T$8:T$295,Internal_labour_inputs!$B$8:$B$295,$B22)+SUMIFS(Outsourced_labour_inputs!T$7:T$297,Outsourced_labour_inputs!$B$7:$B$297,$B22)</f>
        <v>1.375</v>
      </c>
      <c r="M22" s="192">
        <f>SUMIFS(Internal_labour_inputs!U$8:U$295,Internal_labour_inputs!$B$8:$B$295,$B22)+SUMIFS(Outsourced_labour_inputs!U$7:U$297,Outsourced_labour_inputs!$B$7:$B$297,$B22)</f>
        <v>1.3</v>
      </c>
      <c r="N22" s="192">
        <f>SUMIFS(Internal_labour_inputs!V$8:V$295,Internal_labour_inputs!$B$8:$B$295,$B22)+SUMIFS(Outsourced_labour_inputs!V$7:V$297,Outsourced_labour_inputs!$B$7:$B$297,$B22)</f>
        <v>1.2000000000000002</v>
      </c>
      <c r="O22" s="192">
        <f>SUMIFS(Internal_labour_inputs!W$8:W$295,Internal_labour_inputs!$B$8:$B$295,$B22)+SUMIFS(Outsourced_labour_inputs!W$7:W$297,Outsourced_labour_inputs!$B$7:$B$297,$B22)</f>
        <v>2.6666666666666665</v>
      </c>
      <c r="P22" s="192">
        <f>SUMIFS(Internal_labour_inputs!X$8:X$295,Internal_labour_inputs!$B$8:$B$295,$B22)+SUMIFS(Outsourced_labour_inputs!X$7:X$297,Outsourced_labour_inputs!$B$7:$B$297,$B22)</f>
        <v>2.7250000000000001</v>
      </c>
      <c r="Q22" s="192">
        <f>SUMIFS(Internal_labour_inputs!Y$8:Y$295,Internal_labour_inputs!$B$8:$B$295,$B22)+SUMIFS(Outsourced_labour_inputs!Y$7:Y$297,Outsourced_labour_inputs!$B$7:$B$297,$B22)</f>
        <v>2.7250000000000001</v>
      </c>
      <c r="R22" s="192">
        <f>SUMIFS(Internal_labour_inputs!Z$8:Z$295,Internal_labour_inputs!$B$8:$B$295,$B22)+SUMIFS(Outsourced_labour_inputs!Z$7:Z$297,Outsourced_labour_inputs!$B$7:$B$297,$B22)</f>
        <v>0.92499999999999993</v>
      </c>
      <c r="S22" s="192">
        <f>SUMIFS(Internal_labour_inputs!AA$8:AA$295,Internal_labour_inputs!$B$8:$B$295,$B22)+SUMIFS(Outsourced_labour_inputs!AA$7:AA$297,Outsourced_labour_inputs!$B$7:$B$297,$B22)</f>
        <v>0.67763157894736836</v>
      </c>
      <c r="T22" s="192">
        <f>SUMIFS(Internal_labour_inputs!AB$8:AB$295,Internal_labour_inputs!$B$8:$B$295,$B22)+SUMIFS(Outsourced_labour_inputs!AB$7:AB$297,Outsourced_labour_inputs!$B$7:$B$297,$B22)</f>
        <v>0.67763157894736836</v>
      </c>
      <c r="U22" s="192">
        <f>SUMIFS(Internal_labour_inputs!AC$8:AC$295,Internal_labour_inputs!$B$8:$B$295,$B22)+SUMIFS(Outsourced_labour_inputs!AC$7:AC$297,Outsourced_labour_inputs!$B$7:$B$297,$B22)</f>
        <v>0.625</v>
      </c>
      <c r="V22" s="192">
        <f>SUMIFS(Internal_labour_inputs!AD$8:AD$295,Internal_labour_inputs!$B$8:$B$295,$B22)+SUMIFS(Outsourced_labour_inputs!AD$7:AD$297,Outsourced_labour_inputs!$B$7:$B$297,$B22)</f>
        <v>0.625</v>
      </c>
      <c r="W22" s="192">
        <f>SUMIFS(Internal_labour_inputs!AE$8:AE$295,Internal_labour_inputs!$B$8:$B$295,$B22)+SUMIFS(Outsourced_labour_inputs!AE$7:AE$297,Outsourced_labour_inputs!$B$7:$B$297,$B22)</f>
        <v>0.625</v>
      </c>
      <c r="X22" s="192">
        <f>SUMIFS(Internal_labour_inputs!AF$8:AF$295,Internal_labour_inputs!$B$8:$B$295,$B22)+SUMIFS(Outsourced_labour_inputs!AF$7:AF$297,Outsourced_labour_inputs!$B$7:$B$297,$B22)</f>
        <v>0.5</v>
      </c>
      <c r="Y22" s="192">
        <f>SUMIFS(Internal_labour_inputs!AG$8:AG$295,Internal_labour_inputs!$B$8:$B$295,$B22)+SUMIFS(Outsourced_labour_inputs!AG$7:AG$297,Outsourced_labour_inputs!$B$7:$B$297,$B22)</f>
        <v>0.5</v>
      </c>
      <c r="Z22" s="192">
        <f>SUMIFS(Internal_labour_inputs!AH$8:AH$295,Internal_labour_inputs!$B$8:$B$295,$B22)+SUMIFS(Outsourced_labour_inputs!AH$7:AH$297,Outsourced_labour_inputs!$B$7:$B$297,$B22)</f>
        <v>0</v>
      </c>
      <c r="AA22" s="192">
        <f>SUMIFS(Internal_labour_inputs!AI$8:AI$295,Internal_labour_inputs!$B$8:$B$295,$B22)+SUMIFS(Outsourced_labour_inputs!AI$7:AI$297,Outsourced_labour_inputs!$B$7:$B$297,$B22)</f>
        <v>0</v>
      </c>
      <c r="AB22" s="192">
        <f>SUMIFS(Internal_labour_inputs!AJ$8:AJ$295,Internal_labour_inputs!$B$8:$B$295,$B22)+SUMIFS(Outsourced_labour_inputs!AJ$7:AJ$297,Outsourced_labour_inputs!$B$7:$B$297,$B22)</f>
        <v>0</v>
      </c>
      <c r="AC22" s="192">
        <f>SUMIFS(Internal_labour_inputs!AK$8:AK$295,Internal_labour_inputs!$B$8:$B$295,$B22)+SUMIFS(Outsourced_labour_inputs!AK$7:AK$297,Outsourced_labour_inputs!$B$7:$B$297,$B22)</f>
        <v>0</v>
      </c>
      <c r="AD22" s="192">
        <f>SUMIFS(Internal_labour_inputs!AL$8:AL$295,Internal_labour_inputs!$B$8:$B$295,$B22)+SUMIFS(Outsourced_labour_inputs!AL$7:AL$297,Outsourced_labour_inputs!$B$7:$B$297,$B22)</f>
        <v>0</v>
      </c>
      <c r="AE22" s="192">
        <f>SUMIFS(Internal_labour_inputs!AM$8:AM$295,Internal_labour_inputs!$B$8:$B$295,$B22)+SUMIFS(Outsourced_labour_inputs!AM$7:AM$297,Outsourced_labour_inputs!$B$7:$B$297,$B22)</f>
        <v>0</v>
      </c>
      <c r="AF22" s="192">
        <f>SUMIFS(Internal_labour_inputs!AN$8:AN$295,Internal_labour_inputs!$B$8:$B$295,$B22)+SUMIFS(Outsourced_labour_inputs!AN$7:AN$297,Outsourced_labour_inputs!$B$7:$B$297,$B22)</f>
        <v>0</v>
      </c>
      <c r="AG22" s="192">
        <f>SUMIFS(Internal_labour_inputs!AO$8:AO$295,Internal_labour_inputs!$B$8:$B$295,$B22)+SUMIFS(Outsourced_labour_inputs!AO$7:AO$297,Outsourced_labour_inputs!$B$7:$B$297,$B22)</f>
        <v>0</v>
      </c>
      <c r="AH22" s="192">
        <f>SUMIFS(Internal_labour_inputs!AP$8:AP$295,Internal_labour_inputs!$B$8:$B$295,$B22)+SUMIFS(Outsourced_labour_inputs!AP$7:AP$297,Outsourced_labour_inputs!$B$7:$B$297,$B22)</f>
        <v>0</v>
      </c>
      <c r="AI22" s="192">
        <f>SUMIFS(Internal_labour_inputs!AQ$8:AQ$295,Internal_labour_inputs!$B$8:$B$295,$B22)+SUMIFS(Outsourced_labour_inputs!AQ$7:AQ$297,Outsourced_labour_inputs!$B$7:$B$297,$B22)</f>
        <v>0</v>
      </c>
      <c r="AJ22" s="192">
        <f>SUMIFS(Internal_labour_inputs!AR$8:AR$295,Internal_labour_inputs!$B$8:$B$295,$B22)+SUMIFS(Outsourced_labour_inputs!AR$7:AR$297,Outsourced_labour_inputs!$B$7:$B$297,$B22)</f>
        <v>0</v>
      </c>
      <c r="AK22" s="192">
        <f>SUMIFS(Internal_labour_inputs!AS$8:AS$295,Internal_labour_inputs!$B$8:$B$295,$B22)+SUMIFS(Outsourced_labour_inputs!AS$7:AS$297,Outsourced_labour_inputs!$B$7:$B$297,$B22)</f>
        <v>0</v>
      </c>
      <c r="AL22" s="192">
        <f>SUMIFS(Internal_labour_inputs!AT$8:AT$295,Internal_labour_inputs!$B$8:$B$295,$B22)+SUMIFS(Outsourced_labour_inputs!AT$7:AT$297,Outsourced_labour_inputs!$B$7:$B$297,$B22)</f>
        <v>0</v>
      </c>
      <c r="AM22" s="192">
        <f>SUMIFS(Internal_labour_inputs!AU$8:AU$295,Internal_labour_inputs!$B$8:$B$295,$B22)+SUMIFS(Outsourced_labour_inputs!AU$7:AU$297,Outsourced_labour_inputs!$B$7:$B$297,$B22)</f>
        <v>0</v>
      </c>
      <c r="AN22" s="192">
        <f>SUMIFS(Internal_labour_inputs!AV$8:AV$295,Internal_labour_inputs!$B$8:$B$295,$B22)+SUMIFS(Outsourced_labour_inputs!AV$7:AV$297,Outsourced_labour_inputs!$B$7:$B$297,$B22)</f>
        <v>0</v>
      </c>
      <c r="AO22" s="192">
        <f>SUMIFS(Internal_labour_inputs!AW$8:AW$295,Internal_labour_inputs!$B$8:$B$295,$B22)+SUMIFS(Outsourced_labour_inputs!AW$7:AW$297,Outsourced_labour_inputs!$B$7:$B$297,$B22)</f>
        <v>0</v>
      </c>
      <c r="AP22" s="192">
        <f>SUMIFS(Internal_labour_inputs!AX$8:AX$295,Internal_labour_inputs!$B$8:$B$295,$B22)+SUMIFS(Outsourced_labour_inputs!AX$7:AX$297,Outsourced_labour_inputs!$B$7:$B$297,$B22)</f>
        <v>0</v>
      </c>
      <c r="AQ22" s="192">
        <f>SUMIFS(Internal_labour_inputs!AY$8:AY$295,Internal_labour_inputs!$B$8:$B$295,$B22)+SUMIFS(Outsourced_labour_inputs!AY$7:AY$297,Outsourced_labour_inputs!$B$7:$B$297,$B22)</f>
        <v>0</v>
      </c>
      <c r="AR22" s="192">
        <f>SUMIFS(Internal_labour_inputs!AZ$8:AZ$295,Internal_labour_inputs!$B$8:$B$295,$B22)+SUMIFS(Outsourced_labour_inputs!AZ$7:AZ$297,Outsourced_labour_inputs!$B$7:$B$297,$B22)</f>
        <v>0</v>
      </c>
      <c r="AS22" s="192">
        <f>SUMIFS(Internal_labour_inputs!BA$8:BA$295,Internal_labour_inputs!$B$8:$B$295,$B22)+SUMIFS(Outsourced_labour_inputs!BA$7:BA$297,Outsourced_labour_inputs!$B$7:$B$297,$B22)</f>
        <v>0</v>
      </c>
      <c r="AT22" s="192">
        <f>SUMIFS(Internal_labour_inputs!BB$8:BB$295,Internal_labour_inputs!$B$8:$B$295,$B22)+SUMIFS(Outsourced_labour_inputs!BB$7:BB$297,Outsourced_labour_inputs!$B$7:$B$297,$B22)</f>
        <v>0</v>
      </c>
      <c r="AU22" s="192">
        <f>SUMIFS(Internal_labour_inputs!BC$8:BC$295,Internal_labour_inputs!$B$8:$B$295,$B22)+SUMIFS(Outsourced_labour_inputs!BC$7:BC$297,Outsourced_labour_inputs!$B$7:$B$297,$B22)</f>
        <v>0</v>
      </c>
      <c r="AV22" s="192">
        <f>SUMIFS(Internal_labour_inputs!BD$8:BD$295,Internal_labour_inputs!$B$8:$B$295,$B22)+SUMIFS(Outsourced_labour_inputs!BD$7:BD$297,Outsourced_labour_inputs!$B$7:$B$297,$B22)</f>
        <v>0</v>
      </c>
      <c r="AW22" s="192">
        <f>SUMIFS(Internal_labour_inputs!BE$8:BE$295,Internal_labour_inputs!$B$8:$B$295,$B22)+SUMIFS(Outsourced_labour_inputs!BE$7:BE$297,Outsourced_labour_inputs!$B$7:$B$297,$B22)</f>
        <v>0</v>
      </c>
      <c r="AX22" s="192">
        <f>SUMIFS(Internal_labour_inputs!BF$8:BF$295,Internal_labour_inputs!$B$8:$B$295,$B22)+SUMIFS(Outsourced_labour_inputs!BF$7:BF$297,Outsourced_labour_inputs!$B$7:$B$297,$B22)</f>
        <v>0</v>
      </c>
      <c r="AY22" s="192">
        <f>SUMIFS(Internal_labour_inputs!BG$8:BG$295,Internal_labour_inputs!$B$8:$B$295,$B22)+SUMIFS(Outsourced_labour_inputs!BG$7:BG$297,Outsourced_labour_inputs!$B$7:$B$297,$B22)</f>
        <v>0</v>
      </c>
      <c r="AZ22" s="192">
        <f>SUMIFS(Internal_labour_inputs!BH$8:BH$295,Internal_labour_inputs!$B$8:$B$295,$B22)+SUMIFS(Outsourced_labour_inputs!BH$7:BH$297,Outsourced_labour_inputs!$B$7:$B$297,$B22)</f>
        <v>0</v>
      </c>
      <c r="BA22" s="192">
        <f>SUMIFS(Internal_labour_inputs!BI$8:BI$295,Internal_labour_inputs!$B$8:$B$295,$B22)+SUMIFS(Outsourced_labour_inputs!BI$7:BI$297,Outsourced_labour_inputs!$B$7:$B$297,$B22)</f>
        <v>0</v>
      </c>
      <c r="BB22" s="192">
        <f>SUMIFS(Internal_labour_inputs!BJ$8:BJ$295,Internal_labour_inputs!$B$8:$B$295,$B22)+SUMIFS(Outsourced_labour_inputs!BJ$7:BJ$297,Outsourced_labour_inputs!$B$7:$B$297,$B22)</f>
        <v>0</v>
      </c>
      <c r="BC22" s="192">
        <f>SUMIFS(Internal_labour_inputs!BK$8:BK$295,Internal_labour_inputs!$B$8:$B$295,$B22)+SUMIFS(Outsourced_labour_inputs!BK$7:BK$297,Outsourced_labour_inputs!$B$7:$B$297,$B22)</f>
        <v>0</v>
      </c>
      <c r="BD22" s="192">
        <f>SUMIFS(Internal_labour_inputs!BL$8:BL$295,Internal_labour_inputs!$B$8:$B$295,$B22)+SUMIFS(Outsourced_labour_inputs!BL$7:BL$297,Outsourced_labour_inputs!$B$7:$B$297,$B22)</f>
        <v>0</v>
      </c>
      <c r="BE22" s="192">
        <f>SUMIFS(Internal_labour_inputs!BM$8:BM$295,Internal_labour_inputs!$B$8:$B$295,$B22)+SUMIFS(Outsourced_labour_inputs!BM$7:BM$297,Outsourced_labour_inputs!$B$7:$B$297,$B22)</f>
        <v>0</v>
      </c>
      <c r="BF22" s="192">
        <f>SUMIFS(Internal_labour_inputs!BN$8:BN$295,Internal_labour_inputs!$B$8:$B$295,$B22)+SUMIFS(Outsourced_labour_inputs!BN$7:BN$297,Outsourced_labour_inputs!$B$7:$B$297,$B22)</f>
        <v>0</v>
      </c>
      <c r="BG22" s="192">
        <f>SUMIFS(Internal_labour_inputs!BO$8:BO$295,Internal_labour_inputs!$B$8:$B$295,$B22)+SUMIFS(Outsourced_labour_inputs!BO$7:BO$297,Outsourced_labour_inputs!$B$7:$B$297,$B22)</f>
        <v>0</v>
      </c>
      <c r="BH22" s="192">
        <f>SUMIFS(Internal_labour_inputs!BP$8:BP$295,Internal_labour_inputs!$B$8:$B$295,$B22)+SUMIFS(Outsourced_labour_inputs!BP$7:BP$297,Outsourced_labour_inputs!$B$7:$B$297,$B22)</f>
        <v>0</v>
      </c>
      <c r="BI22" s="192">
        <f>SUMIFS(Internal_labour_inputs!BQ$8:BQ$295,Internal_labour_inputs!$B$8:$B$295,$B22)+SUMIFS(Outsourced_labour_inputs!BQ$7:BQ$297,Outsourced_labour_inputs!$B$7:$B$297,$B22)</f>
        <v>0</v>
      </c>
      <c r="BJ22" s="192">
        <f>SUMIFS(Internal_labour_inputs!BR$8:BR$295,Internal_labour_inputs!$B$8:$B$295,$B22)+SUMIFS(Outsourced_labour_inputs!BR$7:BR$297,Outsourced_labour_inputs!$B$7:$B$297,$B22)</f>
        <v>0</v>
      </c>
      <c r="BK22" s="192">
        <f>SUMIFS(Internal_labour_inputs!BS$8:BS$295,Internal_labour_inputs!$B$8:$B$295,$B22)+SUMIFS(Outsourced_labour_inputs!BS$7:BS$297,Outsourced_labour_inputs!$B$7:$B$297,$B22)</f>
        <v>0</v>
      </c>
      <c r="BL22" s="192">
        <f>SUMIFS(Internal_labour_inputs!BT$8:BT$295,Internal_labour_inputs!$B$8:$B$295,$B22)+SUMIFS(Outsourced_labour_inputs!BT$7:BT$297,Outsourced_labour_inputs!$B$7:$B$297,$B22)</f>
        <v>0</v>
      </c>
      <c r="BM22" s="192">
        <f>SUMIFS(Internal_labour_inputs!BU$8:BU$295,Internal_labour_inputs!$B$8:$B$295,$B22)+SUMIFS(Outsourced_labour_inputs!BU$7:BU$297,Outsourced_labour_inputs!$B$7:$B$297,$B22)</f>
        <v>0</v>
      </c>
      <c r="BN22" s="192">
        <f>SUMIFS(Internal_labour_inputs!BV$8:BV$295,Internal_labour_inputs!$B$8:$B$295,$B22)+SUMIFS(Outsourced_labour_inputs!BV$7:BV$297,Outsourced_labour_inputs!$B$7:$B$297,$B22)</f>
        <v>0</v>
      </c>
      <c r="BO22" s="192">
        <f>SUMIFS(Internal_labour_inputs!BW$8:BW$295,Internal_labour_inputs!$B$8:$B$295,$B22)+SUMIFS(Outsourced_labour_inputs!BW$7:BW$297,Outsourced_labour_inputs!$B$7:$B$297,$B22)</f>
        <v>0</v>
      </c>
      <c r="BP22" s="192">
        <f>SUMIFS(Internal_labour_inputs!BX$8:BX$295,Internal_labour_inputs!$B$8:$B$295,$B22)+SUMIFS(Outsourced_labour_inputs!BX$7:BX$297,Outsourced_labour_inputs!$B$7:$B$297,$B22)</f>
        <v>0</v>
      </c>
      <c r="BQ22" s="192">
        <f>SUMIFS(Internal_labour_inputs!BY$8:BY$295,Internal_labour_inputs!$B$8:$B$295,$B22)+SUMIFS(Outsourced_labour_inputs!BY$7:BY$297,Outsourced_labour_inputs!$B$7:$B$297,$B22)</f>
        <v>0</v>
      </c>
      <c r="BR22" s="192">
        <f>SUMIFS(Internal_labour_inputs!BZ$8:BZ$295,Internal_labour_inputs!$B$8:$B$295,$B22)+SUMIFS(Outsourced_labour_inputs!BZ$7:BZ$297,Outsourced_labour_inputs!$B$7:$B$297,$B22)</f>
        <v>0</v>
      </c>
      <c r="BS22" s="192">
        <f>SUMIFS(Internal_labour_inputs!CA$8:CA$295,Internal_labour_inputs!$B$8:$B$295,$B22)+SUMIFS(Outsourced_labour_inputs!CA$7:CA$297,Outsourced_labour_inputs!$B$7:$B$297,$B22)</f>
        <v>0</v>
      </c>
      <c r="BT22" s="192">
        <f>SUMIFS(Internal_labour_inputs!CB$8:CB$295,Internal_labour_inputs!$B$8:$B$295,$B22)+SUMIFS(Outsourced_labour_inputs!CB$7:CB$297,Outsourced_labour_inputs!$B$7:$B$297,$B22)</f>
        <v>0</v>
      </c>
      <c r="BU22" s="192">
        <f>SUMIFS(Internal_labour_inputs!CC$8:CC$295,Internal_labour_inputs!$B$8:$B$295,$B22)+SUMIFS(Outsourced_labour_inputs!CC$7:CC$297,Outsourced_labour_inputs!$B$7:$B$297,$B22)</f>
        <v>0</v>
      </c>
      <c r="BV22" s="192">
        <f>SUMIFS(Internal_labour_inputs!CD$8:CD$295,Internal_labour_inputs!$B$8:$B$295,$B22)+SUMIFS(Outsourced_labour_inputs!CD$7:CD$297,Outsourced_labour_inputs!$B$7:$B$297,$B22)</f>
        <v>0</v>
      </c>
      <c r="BW22" s="192">
        <f>SUMIFS(Internal_labour_inputs!CE$8:CE$295,Internal_labour_inputs!$B$8:$B$295,$B22)+SUMIFS(Outsourced_labour_inputs!CE$7:CE$297,Outsourced_labour_inputs!$B$7:$B$297,$B22)</f>
        <v>0</v>
      </c>
      <c r="BX22" s="192">
        <f>SUMIFS(Internal_labour_inputs!CF$8:CF$295,Internal_labour_inputs!$B$8:$B$295,$B22)+SUMIFS(Outsourced_labour_inputs!CF$7:CF$297,Outsourced_labour_inputs!$B$7:$B$297,$B22)</f>
        <v>0</v>
      </c>
      <c r="BY22" s="192">
        <f>SUMIFS(Internal_labour_inputs!CG$8:CG$295,Internal_labour_inputs!$B$8:$B$295,$B22)+SUMIFS(Outsourced_labour_inputs!CG$7:CG$297,Outsourced_labour_inputs!$B$7:$B$297,$B22)</f>
        <v>0</v>
      </c>
      <c r="BZ22" s="192">
        <f>SUMIFS(Internal_labour_inputs!CH$8:CH$295,Internal_labour_inputs!$B$8:$B$295,$B22)+SUMIFS(Outsourced_labour_inputs!CH$7:CH$297,Outsourced_labour_inputs!$B$7:$B$297,$B22)</f>
        <v>0</v>
      </c>
      <c r="CA22" s="192">
        <f>SUMIFS(Internal_labour_inputs!CI$8:CI$295,Internal_labour_inputs!$B$8:$B$295,$B22)+SUMIFS(Outsourced_labour_inputs!CI$7:CI$297,Outsourced_labour_inputs!$B$7:$B$297,$B22)</f>
        <v>0</v>
      </c>
      <c r="CB22" s="192">
        <f>SUMIFS(Internal_labour_inputs!CJ$8:CJ$295,Internal_labour_inputs!$B$8:$B$295,$B22)+SUMIFS(Outsourced_labour_inputs!CJ$7:CJ$297,Outsourced_labour_inputs!$B$7:$B$297,$B22)</f>
        <v>0</v>
      </c>
      <c r="CC22" s="192">
        <f>SUMIFS(Internal_labour_inputs!CK$8:CK$295,Internal_labour_inputs!$B$8:$B$295,$B22)+SUMIFS(Outsourced_labour_inputs!CK$7:CK$297,Outsourced_labour_inputs!$B$7:$B$297,$B22)</f>
        <v>0</v>
      </c>
      <c r="CD22" s="192">
        <f>SUMIFS(Internal_labour_inputs!CL$8:CL$295,Internal_labour_inputs!$B$8:$B$295,$B22)+SUMIFS(Outsourced_labour_inputs!CL$7:CL$297,Outsourced_labour_inputs!$B$7:$B$297,$B22)</f>
        <v>0</v>
      </c>
      <c r="CE22" s="192">
        <f>SUMIFS(Internal_labour_inputs!CM$8:CM$295,Internal_labour_inputs!$B$8:$B$295,$B22)+SUMIFS(Outsourced_labour_inputs!CM$7:CM$297,Outsourced_labour_inputs!$B$7:$B$297,$B22)</f>
        <v>0</v>
      </c>
      <c r="CF22" s="192">
        <f>SUMIFS(Internal_labour_inputs!CN$8:CN$295,Internal_labour_inputs!$B$8:$B$295,$B22)+SUMIFS(Outsourced_labour_inputs!CN$7:CN$297,Outsourced_labour_inputs!$B$7:$B$297,$B22)</f>
        <v>0</v>
      </c>
      <c r="CG22" s="192">
        <f>SUMIFS(Internal_labour_inputs!CO$8:CO$295,Internal_labour_inputs!$B$8:$B$295,$B22)+SUMIFS(Outsourced_labour_inputs!CO$7:CO$297,Outsourced_labour_inputs!$B$7:$B$297,$B22)</f>
        <v>0</v>
      </c>
      <c r="CH22" s="192">
        <f>SUMIFS(Internal_labour_inputs!CP$8:CP$295,Internal_labour_inputs!$B$8:$B$295,$B22)+SUMIFS(Outsourced_labour_inputs!CP$7:CP$297,Outsourced_labour_inputs!$B$7:$B$297,$B22)</f>
        <v>0</v>
      </c>
      <c r="CI22" s="192">
        <f t="shared" ref="CI22:CI24" si="6">SUM(C22:CH22)</f>
        <v>19.042982456140351</v>
      </c>
      <c r="CJ22" s="192">
        <f t="shared" ref="CJ22:CJ24" si="7">AVERAGEIF($C$24:$CH$24,"&gt;0",C22:CH22)</f>
        <v>0.39672880116959064</v>
      </c>
      <c r="CK22" s="192">
        <f t="shared" si="2"/>
        <v>3.2258064516129031E-2</v>
      </c>
      <c r="CL22" s="194"/>
    </row>
    <row r="23" spans="1:93" x14ac:dyDescent="0.3">
      <c r="B23" s="191" t="str">
        <v>Transaction Procurement Support</v>
      </c>
      <c r="C23" s="192">
        <f>SUMIFS(Internal_labour_inputs!K$8:K$295,Internal_labour_inputs!$B$8:$B$295,$B23)+SUMIFS(Outsourced_labour_inputs!K$7:K$297,Outsourced_labour_inputs!$B$7:$B$297,$B23)</f>
        <v>0</v>
      </c>
      <c r="D23" s="192">
        <f>SUMIFS(Internal_labour_inputs!L$8:L$295,Internal_labour_inputs!$B$8:$B$295,$B23)+SUMIFS(Outsourced_labour_inputs!L$7:L$297,Outsourced_labour_inputs!$B$7:$B$297,$B23)</f>
        <v>0</v>
      </c>
      <c r="E23" s="192">
        <f>SUMIFS(Internal_labour_inputs!M$8:M$295,Internal_labour_inputs!$B$8:$B$295,$B23)+SUMIFS(Outsourced_labour_inputs!M$7:M$297,Outsourced_labour_inputs!$B$7:$B$297,$B23)</f>
        <v>0</v>
      </c>
      <c r="F23" s="192">
        <f>SUMIFS(Internal_labour_inputs!N$8:N$295,Internal_labour_inputs!$B$8:$B$295,$B23)+SUMIFS(Outsourced_labour_inputs!N$7:N$297,Outsourced_labour_inputs!$B$7:$B$297,$B23)</f>
        <v>0</v>
      </c>
      <c r="G23" s="192">
        <f>SUMIFS(Internal_labour_inputs!O$8:O$295,Internal_labour_inputs!$B$8:$B$295,$B23)+SUMIFS(Outsourced_labour_inputs!O$7:O$297,Outsourced_labour_inputs!$B$7:$B$297,$B23)</f>
        <v>0</v>
      </c>
      <c r="H23" s="192">
        <f>SUMIFS(Internal_labour_inputs!P$8:P$295,Internal_labour_inputs!$B$8:$B$295,$B23)+SUMIFS(Outsourced_labour_inputs!P$7:P$297,Outsourced_labour_inputs!$B$7:$B$297,$B23)</f>
        <v>0</v>
      </c>
      <c r="I23" s="192">
        <f>SUMIFS(Internal_labour_inputs!Q$8:Q$295,Internal_labour_inputs!$B$8:$B$295,$B23)+SUMIFS(Outsourced_labour_inputs!Q$7:Q$297,Outsourced_labour_inputs!$B$7:$B$297,$B23)</f>
        <v>0.7</v>
      </c>
      <c r="J23" s="192">
        <f>SUMIFS(Internal_labour_inputs!R$8:R$295,Internal_labour_inputs!$B$8:$B$295,$B23)+SUMIFS(Outsourced_labour_inputs!R$7:R$297,Outsourced_labour_inputs!$B$7:$B$297,$B23)</f>
        <v>0.55000000000000004</v>
      </c>
      <c r="K23" s="192">
        <f>SUMIFS(Internal_labour_inputs!S$8:S$295,Internal_labour_inputs!$B$8:$B$295,$B23)+SUMIFS(Outsourced_labour_inputs!S$7:S$297,Outsourced_labour_inputs!$B$7:$B$297,$B23)</f>
        <v>0.3</v>
      </c>
      <c r="L23" s="192">
        <f>SUMIFS(Internal_labour_inputs!T$8:T$295,Internal_labour_inputs!$B$8:$B$295,$B23)+SUMIFS(Outsourced_labour_inputs!T$7:T$297,Outsourced_labour_inputs!$B$7:$B$297,$B23)</f>
        <v>0.75</v>
      </c>
      <c r="M23" s="192">
        <f>SUMIFS(Internal_labour_inputs!U$8:U$295,Internal_labour_inputs!$B$8:$B$295,$B23)+SUMIFS(Outsourced_labour_inputs!U$7:U$297,Outsourced_labour_inputs!$B$7:$B$297,$B23)</f>
        <v>0.4</v>
      </c>
      <c r="N23" s="192">
        <f>SUMIFS(Internal_labour_inputs!V$8:V$295,Internal_labour_inputs!$B$8:$B$295,$B23)+SUMIFS(Outsourced_labour_inputs!V$7:V$297,Outsourced_labour_inputs!$B$7:$B$297,$B23)</f>
        <v>0.4</v>
      </c>
      <c r="O23" s="192">
        <f>SUMIFS(Internal_labour_inputs!W$8:W$295,Internal_labour_inputs!$B$8:$B$295,$B23)+SUMIFS(Outsourced_labour_inputs!W$7:W$297,Outsourced_labour_inputs!$B$7:$B$297,$B23)</f>
        <v>0.53333333333333333</v>
      </c>
      <c r="P23" s="192">
        <f>SUMIFS(Internal_labour_inputs!X$8:X$295,Internal_labour_inputs!$B$8:$B$295,$B23)+SUMIFS(Outsourced_labour_inputs!X$7:X$297,Outsourced_labour_inputs!$B$7:$B$297,$B23)</f>
        <v>1.318791891520803</v>
      </c>
      <c r="Q23" s="192">
        <f>SUMIFS(Internal_labour_inputs!Y$8:Y$295,Internal_labour_inputs!$B$8:$B$295,$B23)+SUMIFS(Outsourced_labour_inputs!Y$7:Y$297,Outsourced_labour_inputs!$B$7:$B$297,$B23)</f>
        <v>1.2187918915208029</v>
      </c>
      <c r="R23" s="192">
        <f>SUMIFS(Internal_labour_inputs!Z$8:Z$295,Internal_labour_inputs!$B$8:$B$295,$B23)+SUMIFS(Outsourced_labour_inputs!Z$7:Z$297,Outsourced_labour_inputs!$B$7:$B$297,$B23)</f>
        <v>1.3228328836250607</v>
      </c>
      <c r="S23" s="192">
        <f>SUMIFS(Internal_labour_inputs!AA$8:AA$295,Internal_labour_inputs!$B$8:$B$295,$B23)+SUMIFS(Outsourced_labour_inputs!AA$7:AA$297,Outsourced_labour_inputs!$B$7:$B$297,$B23)</f>
        <v>0.49177631578947367</v>
      </c>
      <c r="T23" s="192">
        <f>SUMIFS(Internal_labour_inputs!AB$8:AB$295,Internal_labour_inputs!$B$8:$B$295,$B23)+SUMIFS(Outsourced_labour_inputs!AB$7:AB$297,Outsourced_labour_inputs!$B$7:$B$297,$B23)</f>
        <v>0.49177631578947367</v>
      </c>
      <c r="U23" s="192">
        <f>SUMIFS(Internal_labour_inputs!AC$8:AC$295,Internal_labour_inputs!$B$8:$B$295,$B23)+SUMIFS(Outsourced_labour_inputs!AC$7:AC$297,Outsourced_labour_inputs!$B$7:$B$297,$B23)</f>
        <v>0.53125</v>
      </c>
      <c r="V23" s="192">
        <f>SUMIFS(Internal_labour_inputs!AD$8:AD$295,Internal_labour_inputs!$B$8:$B$295,$B23)+SUMIFS(Outsourced_labour_inputs!AD$7:AD$297,Outsourced_labour_inputs!$B$7:$B$297,$B23)</f>
        <v>0.53125</v>
      </c>
      <c r="W23" s="192">
        <f>SUMIFS(Internal_labour_inputs!AE$8:AE$295,Internal_labour_inputs!$B$8:$B$295,$B23)+SUMIFS(Outsourced_labour_inputs!AE$7:AE$297,Outsourced_labour_inputs!$B$7:$B$297,$B23)</f>
        <v>0.53125</v>
      </c>
      <c r="X23" s="192">
        <f>SUMIFS(Internal_labour_inputs!AF$8:AF$295,Internal_labour_inputs!$B$8:$B$295,$B23)+SUMIFS(Outsourced_labour_inputs!AF$7:AF$297,Outsourced_labour_inputs!$B$7:$B$297,$B23)</f>
        <v>0.53125</v>
      </c>
      <c r="Y23" s="192">
        <f>SUMIFS(Internal_labour_inputs!AG$8:AG$295,Internal_labour_inputs!$B$8:$B$295,$B23)+SUMIFS(Outsourced_labour_inputs!AG$7:AG$297,Outsourced_labour_inputs!$B$7:$B$297,$B23)</f>
        <v>0.53125</v>
      </c>
      <c r="Z23" s="192">
        <f>SUMIFS(Internal_labour_inputs!AH$8:AH$295,Internal_labour_inputs!$B$8:$B$295,$B23)+SUMIFS(Outsourced_labour_inputs!AH$7:AH$297,Outsourced_labour_inputs!$B$7:$B$297,$B23)</f>
        <v>0.69791666666666663</v>
      </c>
      <c r="AA23" s="192">
        <f>SUMIFS(Internal_labour_inputs!AI$8:AI$295,Internal_labour_inputs!$B$8:$B$295,$B23)+SUMIFS(Outsourced_labour_inputs!AI$7:AI$297,Outsourced_labour_inputs!$B$7:$B$297,$B23)</f>
        <v>0.69791666666666663</v>
      </c>
      <c r="AB23" s="192">
        <f>SUMIFS(Internal_labour_inputs!AJ$8:AJ$295,Internal_labour_inputs!$B$8:$B$295,$B23)+SUMIFS(Outsourced_labour_inputs!AJ$7:AJ$297,Outsourced_labour_inputs!$B$7:$B$297,$B23)</f>
        <v>0.53125</v>
      </c>
      <c r="AC23" s="192">
        <f>SUMIFS(Internal_labour_inputs!AK$8:AK$295,Internal_labour_inputs!$B$8:$B$295,$B23)+SUMIFS(Outsourced_labour_inputs!AK$7:AK$297,Outsourced_labour_inputs!$B$7:$B$297,$B23)</f>
        <v>0.53125</v>
      </c>
      <c r="AD23" s="192">
        <f>SUMIFS(Internal_labour_inputs!AL$8:AL$295,Internal_labour_inputs!$B$8:$B$295,$B23)+SUMIFS(Outsourced_labour_inputs!AL$7:AL$297,Outsourced_labour_inputs!$B$7:$B$297,$B23)</f>
        <v>0.69791666666666663</v>
      </c>
      <c r="AE23" s="192">
        <f>SUMIFS(Internal_labour_inputs!AM$8:AM$295,Internal_labour_inputs!$B$8:$B$295,$B23)+SUMIFS(Outsourced_labour_inputs!AM$7:AM$297,Outsourced_labour_inputs!$B$7:$B$297,$B23)</f>
        <v>0.49177631578947367</v>
      </c>
      <c r="AF23" s="192">
        <f>SUMIFS(Internal_labour_inputs!AN$8:AN$295,Internal_labour_inputs!$B$8:$B$295,$B23)+SUMIFS(Outsourced_labour_inputs!AN$7:AN$297,Outsourced_labour_inputs!$B$7:$B$297,$B23)</f>
        <v>0.49177631578947367</v>
      </c>
      <c r="AG23" s="192">
        <f>SUMIFS(Internal_labour_inputs!AO$8:AO$295,Internal_labour_inputs!$B$8:$B$295,$B23)+SUMIFS(Outsourced_labour_inputs!AO$7:AO$297,Outsourced_labour_inputs!$B$7:$B$297,$B23)</f>
        <v>0.53125</v>
      </c>
      <c r="AH23" s="192">
        <f>SUMIFS(Internal_labour_inputs!AP$8:AP$295,Internal_labour_inputs!$B$8:$B$295,$B23)+SUMIFS(Outsourced_labour_inputs!AP$7:AP$297,Outsourced_labour_inputs!$B$7:$B$297,$B23)</f>
        <v>0.53125</v>
      </c>
      <c r="AI23" s="192">
        <f>SUMIFS(Internal_labour_inputs!AQ$8:AQ$295,Internal_labour_inputs!$B$8:$B$295,$B23)+SUMIFS(Outsourced_labour_inputs!AQ$7:AQ$297,Outsourced_labour_inputs!$B$7:$B$297,$B23)</f>
        <v>0.53125</v>
      </c>
      <c r="AJ23" s="192">
        <f>SUMIFS(Internal_labour_inputs!AR$8:AR$295,Internal_labour_inputs!$B$8:$B$295,$B23)+SUMIFS(Outsourced_labour_inputs!AR$7:AR$297,Outsourced_labour_inputs!$B$7:$B$297,$B23)</f>
        <v>0.53125</v>
      </c>
      <c r="AK23" s="192">
        <f>SUMIFS(Internal_labour_inputs!AS$8:AS$295,Internal_labour_inputs!$B$8:$B$295,$B23)+SUMIFS(Outsourced_labour_inputs!AS$7:AS$297,Outsourced_labour_inputs!$B$7:$B$297,$B23)</f>
        <v>0.53125</v>
      </c>
      <c r="AL23" s="192">
        <f>SUMIFS(Internal_labour_inputs!AT$8:AT$295,Internal_labour_inputs!$B$8:$B$295,$B23)+SUMIFS(Outsourced_labour_inputs!AT$7:AT$297,Outsourced_labour_inputs!$B$7:$B$297,$B23)</f>
        <v>0.69791666666666663</v>
      </c>
      <c r="AM23" s="192">
        <f>SUMIFS(Internal_labour_inputs!AU$8:AU$295,Internal_labour_inputs!$B$8:$B$295,$B23)+SUMIFS(Outsourced_labour_inputs!AU$7:AU$297,Outsourced_labour_inputs!$B$7:$B$297,$B23)</f>
        <v>0.69791666666666663</v>
      </c>
      <c r="AN23" s="192">
        <f>SUMIFS(Internal_labour_inputs!AV$8:AV$295,Internal_labour_inputs!$B$8:$B$295,$B23)+SUMIFS(Outsourced_labour_inputs!AV$7:AV$297,Outsourced_labour_inputs!$B$7:$B$297,$B23)</f>
        <v>0.53125</v>
      </c>
      <c r="AO23" s="192">
        <f>SUMIFS(Internal_labour_inputs!AW$8:AW$295,Internal_labour_inputs!$B$8:$B$295,$B23)+SUMIFS(Outsourced_labour_inputs!AW$7:AW$297,Outsourced_labour_inputs!$B$7:$B$297,$B23)</f>
        <v>0.53125</v>
      </c>
      <c r="AP23" s="192">
        <f>SUMIFS(Internal_labour_inputs!AX$8:AX$295,Internal_labour_inputs!$B$8:$B$295,$B23)+SUMIFS(Outsourced_labour_inputs!AX$7:AX$297,Outsourced_labour_inputs!$B$7:$B$297,$B23)</f>
        <v>0.69791666666666663</v>
      </c>
      <c r="AQ23" s="192">
        <f>SUMIFS(Internal_labour_inputs!AY$8:AY$295,Internal_labour_inputs!$B$8:$B$295,$B23)+SUMIFS(Outsourced_labour_inputs!AY$7:AY$297,Outsourced_labour_inputs!$B$7:$B$297,$B23)</f>
        <v>0.49177631578947367</v>
      </c>
      <c r="AR23" s="192">
        <f>SUMIFS(Internal_labour_inputs!AZ$8:AZ$295,Internal_labour_inputs!$B$8:$B$295,$B23)+SUMIFS(Outsourced_labour_inputs!AZ$7:AZ$297,Outsourced_labour_inputs!$B$7:$B$297,$B23)</f>
        <v>0.49177631578947367</v>
      </c>
      <c r="AS23" s="192">
        <f>SUMIFS(Internal_labour_inputs!BA$8:BA$295,Internal_labour_inputs!$B$8:$B$295,$B23)+SUMIFS(Outsourced_labour_inputs!BA$7:BA$297,Outsourced_labour_inputs!$B$7:$B$297,$B23)</f>
        <v>0.53125</v>
      </c>
      <c r="AT23" s="192">
        <f>SUMIFS(Internal_labour_inputs!BB$8:BB$295,Internal_labour_inputs!$B$8:$B$295,$B23)+SUMIFS(Outsourced_labour_inputs!BB$7:BB$297,Outsourced_labour_inputs!$B$7:$B$297,$B23)</f>
        <v>0.53125</v>
      </c>
      <c r="AU23" s="192">
        <f>SUMIFS(Internal_labour_inputs!BC$8:BC$295,Internal_labour_inputs!$B$8:$B$295,$B23)+SUMIFS(Outsourced_labour_inputs!BC$7:BC$297,Outsourced_labour_inputs!$B$7:$B$297,$B23)</f>
        <v>3.125E-2</v>
      </c>
      <c r="AV23" s="192">
        <f>SUMIFS(Internal_labour_inputs!BD$8:BD$295,Internal_labour_inputs!$B$8:$B$295,$B23)+SUMIFS(Outsourced_labour_inputs!BD$7:BD$297,Outsourced_labour_inputs!$B$7:$B$297,$B23)</f>
        <v>0</v>
      </c>
      <c r="AW23" s="192">
        <f>SUMIFS(Internal_labour_inputs!BE$8:BE$295,Internal_labour_inputs!$B$8:$B$295,$B23)+SUMIFS(Outsourced_labour_inputs!BE$7:BE$297,Outsourced_labour_inputs!$B$7:$B$297,$B23)</f>
        <v>0</v>
      </c>
      <c r="AX23" s="192">
        <f>SUMIFS(Internal_labour_inputs!BF$8:BF$295,Internal_labour_inputs!$B$8:$B$295,$B23)+SUMIFS(Outsourced_labour_inputs!BF$7:BF$297,Outsourced_labour_inputs!$B$7:$B$297,$B23)</f>
        <v>0</v>
      </c>
      <c r="AY23" s="192">
        <f>SUMIFS(Internal_labour_inputs!BG$8:BG$295,Internal_labour_inputs!$B$8:$B$295,$B23)+SUMIFS(Outsourced_labour_inputs!BG$7:BG$297,Outsourced_labour_inputs!$B$7:$B$297,$B23)</f>
        <v>0</v>
      </c>
      <c r="AZ23" s="192">
        <f>SUMIFS(Internal_labour_inputs!BH$8:BH$295,Internal_labour_inputs!$B$8:$B$295,$B23)+SUMIFS(Outsourced_labour_inputs!BH$7:BH$297,Outsourced_labour_inputs!$B$7:$B$297,$B23)</f>
        <v>0</v>
      </c>
      <c r="BA23" s="192">
        <f>SUMIFS(Internal_labour_inputs!BI$8:BI$295,Internal_labour_inputs!$B$8:$B$295,$B23)+SUMIFS(Outsourced_labour_inputs!BI$7:BI$297,Outsourced_labour_inputs!$B$7:$B$297,$B23)</f>
        <v>0</v>
      </c>
      <c r="BB23" s="192">
        <f>SUMIFS(Internal_labour_inputs!BJ$8:BJ$295,Internal_labour_inputs!$B$8:$B$295,$B23)+SUMIFS(Outsourced_labour_inputs!BJ$7:BJ$297,Outsourced_labour_inputs!$B$7:$B$297,$B23)</f>
        <v>0</v>
      </c>
      <c r="BC23" s="192">
        <f>SUMIFS(Internal_labour_inputs!BK$8:BK$295,Internal_labour_inputs!$B$8:$B$295,$B23)+SUMIFS(Outsourced_labour_inputs!BK$7:BK$297,Outsourced_labour_inputs!$B$7:$B$297,$B23)</f>
        <v>0</v>
      </c>
      <c r="BD23" s="192">
        <f>SUMIFS(Internal_labour_inputs!BL$8:BL$295,Internal_labour_inputs!$B$8:$B$295,$B23)+SUMIFS(Outsourced_labour_inputs!BL$7:BL$297,Outsourced_labour_inputs!$B$7:$B$297,$B23)</f>
        <v>0</v>
      </c>
      <c r="BE23" s="192">
        <f>SUMIFS(Internal_labour_inputs!BM$8:BM$295,Internal_labour_inputs!$B$8:$B$295,$B23)+SUMIFS(Outsourced_labour_inputs!BM$7:BM$297,Outsourced_labour_inputs!$B$7:$B$297,$B23)</f>
        <v>0</v>
      </c>
      <c r="BF23" s="192">
        <f>SUMIFS(Internal_labour_inputs!BN$8:BN$295,Internal_labour_inputs!$B$8:$B$295,$B23)+SUMIFS(Outsourced_labour_inputs!BN$7:BN$297,Outsourced_labour_inputs!$B$7:$B$297,$B23)</f>
        <v>0</v>
      </c>
      <c r="BG23" s="192">
        <f>SUMIFS(Internal_labour_inputs!BO$8:BO$295,Internal_labour_inputs!$B$8:$B$295,$B23)+SUMIFS(Outsourced_labour_inputs!BO$7:BO$297,Outsourced_labour_inputs!$B$7:$B$297,$B23)</f>
        <v>0</v>
      </c>
      <c r="BH23" s="192">
        <f>SUMIFS(Internal_labour_inputs!BP$8:BP$295,Internal_labour_inputs!$B$8:$B$295,$B23)+SUMIFS(Outsourced_labour_inputs!BP$7:BP$297,Outsourced_labour_inputs!$B$7:$B$297,$B23)</f>
        <v>0</v>
      </c>
      <c r="BI23" s="192">
        <f>SUMIFS(Internal_labour_inputs!BQ$8:BQ$295,Internal_labour_inputs!$B$8:$B$295,$B23)+SUMIFS(Outsourced_labour_inputs!BQ$7:BQ$297,Outsourced_labour_inputs!$B$7:$B$297,$B23)</f>
        <v>0</v>
      </c>
      <c r="BJ23" s="192">
        <f>SUMIFS(Internal_labour_inputs!BR$8:BR$295,Internal_labour_inputs!$B$8:$B$295,$B23)+SUMIFS(Outsourced_labour_inputs!BR$7:BR$297,Outsourced_labour_inputs!$B$7:$B$297,$B23)</f>
        <v>0</v>
      </c>
      <c r="BK23" s="192">
        <f>SUMIFS(Internal_labour_inputs!BS$8:BS$295,Internal_labour_inputs!$B$8:$B$295,$B23)+SUMIFS(Outsourced_labour_inputs!BS$7:BS$297,Outsourced_labour_inputs!$B$7:$B$297,$B23)</f>
        <v>0</v>
      </c>
      <c r="BL23" s="192">
        <f>SUMIFS(Internal_labour_inputs!BT$8:BT$295,Internal_labour_inputs!$B$8:$B$295,$B23)+SUMIFS(Outsourced_labour_inputs!BT$7:BT$297,Outsourced_labour_inputs!$B$7:$B$297,$B23)</f>
        <v>0</v>
      </c>
      <c r="BM23" s="192">
        <f>SUMIFS(Internal_labour_inputs!BU$8:BU$295,Internal_labour_inputs!$B$8:$B$295,$B23)+SUMIFS(Outsourced_labour_inputs!BU$7:BU$297,Outsourced_labour_inputs!$B$7:$B$297,$B23)</f>
        <v>0</v>
      </c>
      <c r="BN23" s="192">
        <f>SUMIFS(Internal_labour_inputs!BV$8:BV$295,Internal_labour_inputs!$B$8:$B$295,$B23)+SUMIFS(Outsourced_labour_inputs!BV$7:BV$297,Outsourced_labour_inputs!$B$7:$B$297,$B23)</f>
        <v>0</v>
      </c>
      <c r="BO23" s="192">
        <f>SUMIFS(Internal_labour_inputs!BW$8:BW$295,Internal_labour_inputs!$B$8:$B$295,$B23)+SUMIFS(Outsourced_labour_inputs!BW$7:BW$297,Outsourced_labour_inputs!$B$7:$B$297,$B23)</f>
        <v>0</v>
      </c>
      <c r="BP23" s="192">
        <f>SUMIFS(Internal_labour_inputs!BX$8:BX$295,Internal_labour_inputs!$B$8:$B$295,$B23)+SUMIFS(Outsourced_labour_inputs!BX$7:BX$297,Outsourced_labour_inputs!$B$7:$B$297,$B23)</f>
        <v>0</v>
      </c>
      <c r="BQ23" s="192">
        <f>SUMIFS(Internal_labour_inputs!BY$8:BY$295,Internal_labour_inputs!$B$8:$B$295,$B23)+SUMIFS(Outsourced_labour_inputs!BY$7:BY$297,Outsourced_labour_inputs!$B$7:$B$297,$B23)</f>
        <v>0</v>
      </c>
      <c r="BR23" s="192">
        <f>SUMIFS(Internal_labour_inputs!BZ$8:BZ$295,Internal_labour_inputs!$B$8:$B$295,$B23)+SUMIFS(Outsourced_labour_inputs!BZ$7:BZ$297,Outsourced_labour_inputs!$B$7:$B$297,$B23)</f>
        <v>0</v>
      </c>
      <c r="BS23" s="192">
        <f>SUMIFS(Internal_labour_inputs!CA$8:CA$295,Internal_labour_inputs!$B$8:$B$295,$B23)+SUMIFS(Outsourced_labour_inputs!CA$7:CA$297,Outsourced_labour_inputs!$B$7:$B$297,$B23)</f>
        <v>0</v>
      </c>
      <c r="BT23" s="192">
        <f>SUMIFS(Internal_labour_inputs!CB$8:CB$295,Internal_labour_inputs!$B$8:$B$295,$B23)+SUMIFS(Outsourced_labour_inputs!CB$7:CB$297,Outsourced_labour_inputs!$B$7:$B$297,$B23)</f>
        <v>0</v>
      </c>
      <c r="BU23" s="192">
        <f>SUMIFS(Internal_labour_inputs!CC$8:CC$295,Internal_labour_inputs!$B$8:$B$295,$B23)+SUMIFS(Outsourced_labour_inputs!CC$7:CC$297,Outsourced_labour_inputs!$B$7:$B$297,$B23)</f>
        <v>0</v>
      </c>
      <c r="BV23" s="192">
        <f>SUMIFS(Internal_labour_inputs!CD$8:CD$295,Internal_labour_inputs!$B$8:$B$295,$B23)+SUMIFS(Outsourced_labour_inputs!CD$7:CD$297,Outsourced_labour_inputs!$B$7:$B$297,$B23)</f>
        <v>0</v>
      </c>
      <c r="BW23" s="192">
        <f>SUMIFS(Internal_labour_inputs!CE$8:CE$295,Internal_labour_inputs!$B$8:$B$295,$B23)+SUMIFS(Outsourced_labour_inputs!CE$7:CE$297,Outsourced_labour_inputs!$B$7:$B$297,$B23)</f>
        <v>0</v>
      </c>
      <c r="BX23" s="192">
        <f>SUMIFS(Internal_labour_inputs!CF$8:CF$295,Internal_labour_inputs!$B$8:$B$295,$B23)+SUMIFS(Outsourced_labour_inputs!CF$7:CF$297,Outsourced_labour_inputs!$B$7:$B$297,$B23)</f>
        <v>0</v>
      </c>
      <c r="BY23" s="192">
        <f>SUMIFS(Internal_labour_inputs!CG$8:CG$295,Internal_labour_inputs!$B$8:$B$295,$B23)+SUMIFS(Outsourced_labour_inputs!CG$7:CG$297,Outsourced_labour_inputs!$B$7:$B$297,$B23)</f>
        <v>0</v>
      </c>
      <c r="BZ23" s="192">
        <f>SUMIFS(Internal_labour_inputs!CH$8:CH$295,Internal_labour_inputs!$B$8:$B$295,$B23)+SUMIFS(Outsourced_labour_inputs!CH$7:CH$297,Outsourced_labour_inputs!$B$7:$B$297,$B23)</f>
        <v>0</v>
      </c>
      <c r="CA23" s="192">
        <f>SUMIFS(Internal_labour_inputs!CI$8:CI$295,Internal_labour_inputs!$B$8:$B$295,$B23)+SUMIFS(Outsourced_labour_inputs!CI$7:CI$297,Outsourced_labour_inputs!$B$7:$B$297,$B23)</f>
        <v>0</v>
      </c>
      <c r="CB23" s="192">
        <f>SUMIFS(Internal_labour_inputs!CJ$8:CJ$295,Internal_labour_inputs!$B$8:$B$295,$B23)+SUMIFS(Outsourced_labour_inputs!CJ$7:CJ$297,Outsourced_labour_inputs!$B$7:$B$297,$B23)</f>
        <v>0</v>
      </c>
      <c r="CC23" s="192">
        <f>SUMIFS(Internal_labour_inputs!CK$8:CK$295,Internal_labour_inputs!$B$8:$B$295,$B23)+SUMIFS(Outsourced_labour_inputs!CK$7:CK$297,Outsourced_labour_inputs!$B$7:$B$297,$B23)</f>
        <v>0</v>
      </c>
      <c r="CD23" s="192">
        <f>SUMIFS(Internal_labour_inputs!CL$8:CL$295,Internal_labour_inputs!$B$8:$B$295,$B23)+SUMIFS(Outsourced_labour_inputs!CL$7:CL$297,Outsourced_labour_inputs!$B$7:$B$297,$B23)</f>
        <v>0</v>
      </c>
      <c r="CE23" s="192">
        <f>SUMIFS(Internal_labour_inputs!CM$8:CM$295,Internal_labour_inputs!$B$8:$B$295,$B23)+SUMIFS(Outsourced_labour_inputs!CM$7:CM$297,Outsourced_labour_inputs!$B$7:$B$297,$B23)</f>
        <v>0</v>
      </c>
      <c r="CF23" s="192">
        <f>SUMIFS(Internal_labour_inputs!CN$8:CN$295,Internal_labour_inputs!$B$8:$B$295,$B23)+SUMIFS(Outsourced_labour_inputs!CN$7:CN$297,Outsourced_labour_inputs!$B$7:$B$297,$B23)</f>
        <v>0</v>
      </c>
      <c r="CG23" s="192">
        <f>SUMIFS(Internal_labour_inputs!CO$8:CO$295,Internal_labour_inputs!$B$8:$B$295,$B23)+SUMIFS(Outsourced_labour_inputs!CO$7:CO$297,Outsourced_labour_inputs!$B$7:$B$297,$B23)</f>
        <v>0</v>
      </c>
      <c r="CH23" s="192">
        <f>SUMIFS(Internal_labour_inputs!CP$8:CP$295,Internal_labour_inputs!$B$8:$B$295,$B23)+SUMIFS(Outsourced_labour_inputs!CP$7:CP$297,Outsourced_labour_inputs!$B$7:$B$297,$B23)</f>
        <v>0</v>
      </c>
      <c r="CI23" s="192">
        <f t="shared" si="6"/>
        <v>23.163157894736845</v>
      </c>
      <c r="CJ23" s="192">
        <f t="shared" si="7"/>
        <v>0.48256578947368428</v>
      </c>
      <c r="CK23" s="192">
        <f t="shared" si="2"/>
        <v>0.42232597623089979</v>
      </c>
      <c r="CL23" s="194"/>
    </row>
    <row r="24" spans="1:93" s="39" customFormat="1" x14ac:dyDescent="0.3">
      <c r="A24"/>
      <c r="B24" s="195" t="s">
        <v>165</v>
      </c>
      <c r="C24" s="196">
        <f t="shared" ref="C24:AH24" si="8">SUM(C11:C23)</f>
        <v>0</v>
      </c>
      <c r="D24" s="196">
        <f t="shared" si="8"/>
        <v>0</v>
      </c>
      <c r="E24" s="196">
        <f t="shared" si="8"/>
        <v>0</v>
      </c>
      <c r="F24" s="196">
        <f t="shared" si="8"/>
        <v>0</v>
      </c>
      <c r="G24" s="196">
        <f t="shared" si="8"/>
        <v>1.7529837230923523E-17</v>
      </c>
      <c r="H24" s="196">
        <f t="shared" si="8"/>
        <v>3.2751315789473687</v>
      </c>
      <c r="I24" s="196">
        <f t="shared" si="8"/>
        <v>8.3081428571428582</v>
      </c>
      <c r="J24" s="196">
        <f t="shared" si="8"/>
        <v>8.3375714285714295</v>
      </c>
      <c r="K24" s="196">
        <f t="shared" si="8"/>
        <v>8.0228571428571431</v>
      </c>
      <c r="L24" s="196">
        <f t="shared" si="8"/>
        <v>11.248571428571431</v>
      </c>
      <c r="M24" s="196">
        <f t="shared" si="8"/>
        <v>9.2682857142857245</v>
      </c>
      <c r="N24" s="196">
        <f t="shared" si="8"/>
        <v>18.625904761904764</v>
      </c>
      <c r="O24" s="196">
        <f t="shared" si="8"/>
        <v>30.274476190476189</v>
      </c>
      <c r="P24" s="196">
        <f t="shared" si="8"/>
        <v>58.17147026446176</v>
      </c>
      <c r="Q24" s="196">
        <f t="shared" si="8"/>
        <v>76.819329108239316</v>
      </c>
      <c r="R24" s="196">
        <f t="shared" si="8"/>
        <v>90.238359040767037</v>
      </c>
      <c r="S24" s="196">
        <f t="shared" si="8"/>
        <v>84.901866209483302</v>
      </c>
      <c r="T24" s="196">
        <f t="shared" si="8"/>
        <v>94.340038228782547</v>
      </c>
      <c r="U24" s="196">
        <f t="shared" si="8"/>
        <v>107.34748345805221</v>
      </c>
      <c r="V24" s="196">
        <f t="shared" si="8"/>
        <v>101.13390138221239</v>
      </c>
      <c r="W24" s="196">
        <f t="shared" si="8"/>
        <v>107.3933894019998</v>
      </c>
      <c r="X24" s="196">
        <f t="shared" si="8"/>
        <v>112.60804866376367</v>
      </c>
      <c r="Y24" s="196">
        <f t="shared" si="8"/>
        <v>106.97067541173087</v>
      </c>
      <c r="Z24" s="196">
        <f t="shared" si="8"/>
        <v>111.33508381044787</v>
      </c>
      <c r="AA24" s="196">
        <f t="shared" si="8"/>
        <v>148.17544668054288</v>
      </c>
      <c r="AB24" s="196">
        <f t="shared" si="8"/>
        <v>110.85023077172582</v>
      </c>
      <c r="AC24" s="196">
        <f t="shared" si="8"/>
        <v>99.323715863855583</v>
      </c>
      <c r="AD24" s="196">
        <f t="shared" si="8"/>
        <v>118.80321125413549</v>
      </c>
      <c r="AE24" s="196">
        <f t="shared" si="8"/>
        <v>95.84177612443689</v>
      </c>
      <c r="AF24" s="196">
        <f t="shared" si="8"/>
        <v>97.772195536357302</v>
      </c>
      <c r="AG24" s="196">
        <f t="shared" si="8"/>
        <v>96.535465747003101</v>
      </c>
      <c r="AH24" s="196">
        <f t="shared" si="8"/>
        <v>98.742608604145971</v>
      </c>
      <c r="AI24" s="196">
        <f t="shared" ref="AI24:BN24" si="9">SUM(AI11:AI23)</f>
        <v>98.65885901005953</v>
      </c>
      <c r="AJ24" s="196">
        <f t="shared" si="9"/>
        <v>100.91935852296325</v>
      </c>
      <c r="AK24" s="196">
        <f t="shared" si="9"/>
        <v>99.685829499655313</v>
      </c>
      <c r="AL24" s="196">
        <f t="shared" si="9"/>
        <v>103.92278716874483</v>
      </c>
      <c r="AM24" s="196">
        <f t="shared" si="9"/>
        <v>121.07088469711374</v>
      </c>
      <c r="AN24" s="196">
        <f t="shared" si="9"/>
        <v>98.330911359485995</v>
      </c>
      <c r="AO24" s="196">
        <f t="shared" si="9"/>
        <v>98.697079217097482</v>
      </c>
      <c r="AP24" s="196">
        <f t="shared" si="9"/>
        <v>114.26406215565413</v>
      </c>
      <c r="AQ24" s="196">
        <f t="shared" si="9"/>
        <v>100.52609269995823</v>
      </c>
      <c r="AR24" s="196">
        <f t="shared" si="9"/>
        <v>98.167026183264326</v>
      </c>
      <c r="AS24" s="196">
        <f t="shared" si="9"/>
        <v>96.409059016391367</v>
      </c>
      <c r="AT24" s="196">
        <f t="shared" si="9"/>
        <v>96.999720251103255</v>
      </c>
      <c r="AU24" s="196">
        <f t="shared" si="9"/>
        <v>96.155725683058037</v>
      </c>
      <c r="AV24" s="196">
        <f t="shared" si="9"/>
        <v>83.639277747245472</v>
      </c>
      <c r="AW24" s="196">
        <f t="shared" si="9"/>
        <v>99.806455430993864</v>
      </c>
      <c r="AX24" s="196">
        <f t="shared" si="9"/>
        <v>64.509507314876302</v>
      </c>
      <c r="AY24" s="196">
        <f t="shared" si="9"/>
        <v>57.674442636489417</v>
      </c>
      <c r="AZ24" s="196">
        <f t="shared" si="9"/>
        <v>35.62650625489502</v>
      </c>
      <c r="BA24" s="196">
        <f t="shared" si="9"/>
        <v>25.326067110029342</v>
      </c>
      <c r="BB24" s="196">
        <f t="shared" si="9"/>
        <v>9.7866412973539241</v>
      </c>
      <c r="BC24" s="196">
        <f t="shared" si="9"/>
        <v>0</v>
      </c>
      <c r="BD24" s="196">
        <f t="shared" si="9"/>
        <v>0</v>
      </c>
      <c r="BE24" s="196">
        <f t="shared" si="9"/>
        <v>0</v>
      </c>
      <c r="BF24" s="196">
        <f t="shared" si="9"/>
        <v>0</v>
      </c>
      <c r="BG24" s="196">
        <f t="shared" si="9"/>
        <v>0</v>
      </c>
      <c r="BH24" s="196">
        <f t="shared" si="9"/>
        <v>0</v>
      </c>
      <c r="BI24" s="196">
        <f t="shared" si="9"/>
        <v>0</v>
      </c>
      <c r="BJ24" s="196">
        <f t="shared" si="9"/>
        <v>0</v>
      </c>
      <c r="BK24" s="196">
        <f t="shared" si="9"/>
        <v>0</v>
      </c>
      <c r="BL24" s="196">
        <f t="shared" si="9"/>
        <v>0</v>
      </c>
      <c r="BM24" s="196">
        <f t="shared" si="9"/>
        <v>0</v>
      </c>
      <c r="BN24" s="196">
        <f t="shared" si="9"/>
        <v>0</v>
      </c>
      <c r="BO24" s="196">
        <f t="shared" ref="BO24:CH24" si="10">SUM(BO11:BO23)</f>
        <v>0</v>
      </c>
      <c r="BP24" s="196">
        <f t="shared" si="10"/>
        <v>0</v>
      </c>
      <c r="BQ24" s="196">
        <f t="shared" si="10"/>
        <v>0</v>
      </c>
      <c r="BR24" s="196">
        <f t="shared" si="10"/>
        <v>0</v>
      </c>
      <c r="BS24" s="196">
        <f t="shared" si="10"/>
        <v>0</v>
      </c>
      <c r="BT24" s="196">
        <f t="shared" si="10"/>
        <v>0</v>
      </c>
      <c r="BU24" s="196">
        <f t="shared" si="10"/>
        <v>0</v>
      </c>
      <c r="BV24" s="196">
        <f t="shared" si="10"/>
        <v>0</v>
      </c>
      <c r="BW24" s="196">
        <f t="shared" si="10"/>
        <v>0</v>
      </c>
      <c r="BX24" s="196">
        <f t="shared" si="10"/>
        <v>0</v>
      </c>
      <c r="BY24" s="196">
        <f t="shared" si="10"/>
        <v>0</v>
      </c>
      <c r="BZ24" s="196">
        <f t="shared" si="10"/>
        <v>0</v>
      </c>
      <c r="CA24" s="196">
        <f t="shared" si="10"/>
        <v>0</v>
      </c>
      <c r="CB24" s="196">
        <f t="shared" si="10"/>
        <v>0</v>
      </c>
      <c r="CC24" s="196">
        <f t="shared" si="10"/>
        <v>0</v>
      </c>
      <c r="CD24" s="196">
        <f t="shared" si="10"/>
        <v>0</v>
      </c>
      <c r="CE24" s="196">
        <f t="shared" si="10"/>
        <v>0</v>
      </c>
      <c r="CF24" s="196">
        <f t="shared" si="10"/>
        <v>0</v>
      </c>
      <c r="CG24" s="196">
        <f t="shared" si="10"/>
        <v>0</v>
      </c>
      <c r="CH24" s="196">
        <f t="shared" si="10"/>
        <v>0</v>
      </c>
      <c r="CI24" s="192">
        <f t="shared" si="6"/>
        <v>3714.8415299213334</v>
      </c>
      <c r="CJ24" s="192">
        <f t="shared" si="7"/>
        <v>77.392531873361108</v>
      </c>
      <c r="CK24" s="192">
        <f t="shared" si="2"/>
        <v>93.455959733050904</v>
      </c>
    </row>
    <row r="25" spans="1:93" s="39" customFormat="1" x14ac:dyDescent="0.3">
      <c r="A25"/>
      <c r="B25" s="108"/>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50"/>
    </row>
    <row r="26" spans="1:93" s="39" customFormat="1" x14ac:dyDescent="0.3">
      <c r="A26"/>
      <c r="B26" s="206" t="s">
        <v>134</v>
      </c>
      <c r="C26" s="44" t="str" cm="1">
        <f t="array" ref="C26">IF(ROUND(SUM(C11:CH23),0)=ROUND(SUM(_xlfn._xlws.FILTER('Data source'!$K$6:$CP$286,('Data source'!$D$6:$D$286="Internal Labour")+('Data source'!$D$6:$D$286="Contracted Labour"))),0),"OK","ERROR")</f>
        <v>OK</v>
      </c>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50"/>
    </row>
    <row r="27" spans="1:93" s="39" customFormat="1" x14ac:dyDescent="0.3">
      <c r="A27"/>
      <c r="B27" s="108"/>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50"/>
    </row>
    <row r="28" spans="1:93" s="113" customFormat="1" ht="18" x14ac:dyDescent="0.35">
      <c r="A28"/>
      <c r="B28" s="118" t="s">
        <v>166</v>
      </c>
      <c r="C28" s="210"/>
      <c r="D28" s="211"/>
      <c r="E28" s="211"/>
      <c r="F28" s="211"/>
      <c r="G28" s="211"/>
      <c r="H28" s="211"/>
      <c r="I28" s="211"/>
      <c r="J28" s="211"/>
      <c r="K28" s="211"/>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x14ac:dyDescent="0.3">
      <c r="B29" s="62"/>
      <c r="C29" s="52"/>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x14ac:dyDescent="0.3">
      <c r="B30" s="137"/>
      <c r="C30" s="137" cm="1">
        <f t="array" ref="C30:I31">'Key assumptions'!$H$17:$N$18</f>
        <v>46054</v>
      </c>
      <c r="D30" s="137">
        <v>46296</v>
      </c>
      <c r="E30" s="137">
        <v>46661</v>
      </c>
      <c r="F30" s="137">
        <v>47027</v>
      </c>
      <c r="G30" s="137">
        <v>47392</v>
      </c>
      <c r="H30" s="137">
        <v>47757</v>
      </c>
      <c r="I30" s="137">
        <v>48122</v>
      </c>
      <c r="J30" s="137"/>
      <c r="K30" s="137"/>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row>
    <row r="31" spans="1:93" x14ac:dyDescent="0.3">
      <c r="B31" s="137"/>
      <c r="C31" s="137">
        <v>46295</v>
      </c>
      <c r="D31" s="137">
        <v>46660</v>
      </c>
      <c r="E31" s="137">
        <v>47026</v>
      </c>
      <c r="F31" s="137">
        <v>47391</v>
      </c>
      <c r="G31" s="137">
        <v>47756</v>
      </c>
      <c r="H31" s="137">
        <v>48121</v>
      </c>
      <c r="I31" s="137">
        <v>48487</v>
      </c>
      <c r="J31" s="137"/>
      <c r="K31" s="137"/>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row>
    <row r="32" spans="1:93" ht="51.6" customHeight="1" x14ac:dyDescent="0.3">
      <c r="B32" s="136" t="s">
        <v>131</v>
      </c>
      <c r="C32" s="150" t="str" cm="1">
        <f t="array" ref="C32:I32">model_forecastperiod</f>
        <v>RY2026
01Feb-30Sep</v>
      </c>
      <c r="D32" s="150" t="str">
        <v>RY2027</v>
      </c>
      <c r="E32" s="150" t="str">
        <v>RY2028</v>
      </c>
      <c r="F32" s="150" t="str">
        <v>RY2029</v>
      </c>
      <c r="G32" s="150" t="str">
        <v>RY2030</v>
      </c>
      <c r="H32" s="150" t="str">
        <v>RY2031</v>
      </c>
      <c r="I32" s="150" t="str">
        <v>RY2032</v>
      </c>
      <c r="J32" s="150" t="s">
        <v>167</v>
      </c>
      <c r="K32" s="150" t="s">
        <v>253</v>
      </c>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0"/>
    </row>
    <row r="33" spans="1:90" x14ac:dyDescent="0.3">
      <c r="B33" s="191" t="str">
        <f>$B11</f>
        <v>Community and Stakeholder Engagement</v>
      </c>
      <c r="C33" s="192" cm="1">
        <f t="array" ref="C33">IFERROR(AVERAGE(_xlfn._xlws.FILTER($C11:$CH11,($C$10:$CH$10&gt;=C$30)*($C$10:$CH$10&lt;=C$31))),0)</f>
        <v>0.35767543859649126</v>
      </c>
      <c r="D33" s="192" cm="1">
        <f t="array" ref="D33">IFERROR(AVERAGE(_xlfn._xlws.FILTER($C11:$CH11,($C$10:$CH$10&gt;=D$30)*($C$10:$CH$10&lt;=D$31))),0)</f>
        <v>9.722222222222221E-2</v>
      </c>
      <c r="E33" s="192" cm="1">
        <f t="array" ref="E33">IFERROR(AVERAGE(_xlfn._xlws.FILTER($C11:$CH11,($C$10:$CH$10&gt;=E$30)*($C$10:$CH$10&lt;=E$31))),0)</f>
        <v>0</v>
      </c>
      <c r="F33" s="192" cm="1">
        <f t="array" ref="F33">IFERROR(AVERAGE(_xlfn._xlws.FILTER($C11:$CH11,($C$10:$CH$10&gt;=F$30)*($C$10:$CH$10&lt;=F$31))),0)</f>
        <v>0</v>
      </c>
      <c r="G33" s="192" cm="1">
        <f t="array" ref="G33">IFERROR(AVERAGE(_xlfn._xlws.FILTER($C11:$CH11,($C$10:$CH$10&gt;=G$30)*($C$10:$CH$10&lt;=G$31))),0)</f>
        <v>0</v>
      </c>
      <c r="H33" s="192" cm="1">
        <f t="array" ref="H33">IFERROR(AVERAGE(_xlfn._xlws.FILTER($C11:$CH11,($C$10:$CH$10&gt;=H$30)*($C$10:$CH$10&lt;=H$31))),0)</f>
        <v>0</v>
      </c>
      <c r="I33" s="192" cm="1">
        <f t="array" ref="I33">IFERROR(AVERAGE(_xlfn._xlws.FILTER($C11:$CH11,($C$10:$CH$10&gt;=I$30)*($C$10:$CH$10&lt;=I$31))),0)</f>
        <v>0</v>
      </c>
      <c r="J33" s="192">
        <f>CJ11</f>
        <v>0.14581787802840435</v>
      </c>
      <c r="K33" s="192">
        <f>CK11</f>
        <v>3.7634408602150532E-2</v>
      </c>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7"/>
    </row>
    <row r="34" spans="1:90" x14ac:dyDescent="0.3">
      <c r="B34" s="191" t="str">
        <f t="shared" ref="B34:B45" si="11">$B12</f>
        <v>Fleet</v>
      </c>
      <c r="C34" s="192" cm="1">
        <f t="array" ref="C34">IFERROR(AVERAGE(_xlfn._xlws.FILTER($C12:$CH12,($C$10:$CH$10&gt;=C$30)*($C$10:$CH$10&lt;=C$31))),0)</f>
        <v>0</v>
      </c>
      <c r="D34" s="192" cm="1">
        <f t="array" ref="D34">IFERROR(AVERAGE(_xlfn._xlws.FILTER($C12:$CH12,($C$10:$CH$10&gt;=D$30)*($C$10:$CH$10&lt;=D$31))),0)</f>
        <v>0</v>
      </c>
      <c r="E34" s="192" cm="1">
        <f t="array" ref="E34">IFERROR(AVERAGE(_xlfn._xlws.FILTER($C12:$CH12,($C$10:$CH$10&gt;=E$30)*($C$10:$CH$10&lt;=E$31))),0)</f>
        <v>0</v>
      </c>
      <c r="F34" s="192" cm="1">
        <f t="array" ref="F34">IFERROR(AVERAGE(_xlfn._xlws.FILTER($C12:$CH12,($C$10:$CH$10&gt;=F$30)*($C$10:$CH$10&lt;=F$31))),0)</f>
        <v>0</v>
      </c>
      <c r="G34" s="192" cm="1">
        <f t="array" ref="G34">IFERROR(AVERAGE(_xlfn._xlws.FILTER($C12:$CH12,($C$10:$CH$10&gt;=G$30)*($C$10:$CH$10&lt;=G$31))),0)</f>
        <v>0</v>
      </c>
      <c r="H34" s="192" cm="1">
        <f t="array" ref="H34">IFERROR(AVERAGE(_xlfn._xlws.FILTER($C12:$CH12,($C$10:$CH$10&gt;=H$30)*($C$10:$CH$10&lt;=H$31))),0)</f>
        <v>0</v>
      </c>
      <c r="I34" s="192" cm="1">
        <f t="array" ref="I34">IFERROR(AVERAGE(_xlfn._xlws.FILTER($C12:$CH12,($C$10:$CH$10&gt;=I$30)*($C$10:$CH$10&lt;=I$31))),0)</f>
        <v>0</v>
      </c>
      <c r="J34" s="192">
        <f t="shared" ref="J34:K45" si="12">CJ12</f>
        <v>0</v>
      </c>
      <c r="K34" s="192">
        <f t="shared" si="12"/>
        <v>0</v>
      </c>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7"/>
    </row>
    <row r="35" spans="1:90" x14ac:dyDescent="0.3">
      <c r="B35" s="191" t="str">
        <f t="shared" si="11"/>
        <v>Land and Environment</v>
      </c>
      <c r="C35" s="192" cm="1">
        <f t="array" ref="C35">IFERROR(AVERAGE(_xlfn._xlws.FILTER($C13:$CH13,($C$10:$CH$10&gt;=C$30)*($C$10:$CH$10&lt;=C$31))),0)</f>
        <v>2.6700187969924816</v>
      </c>
      <c r="D35" s="192" cm="1">
        <f t="array" ref="D35">IFERROR(AVERAGE(_xlfn._xlws.FILTER($C13:$CH13,($C$10:$CH$10&gt;=D$30)*($C$10:$CH$10&lt;=D$31))),0)</f>
        <v>3.4677318295739354</v>
      </c>
      <c r="E35" s="192" cm="1">
        <f t="array" ref="E35">IFERROR(AVERAGE(_xlfn._xlws.FILTER($C13:$CH13,($C$10:$CH$10&gt;=E$30)*($C$10:$CH$10&lt;=E$31))),0)</f>
        <v>3.4297994987468674</v>
      </c>
      <c r="F35" s="192" cm="1">
        <f t="array" ref="F35">IFERROR(AVERAGE(_xlfn._xlws.FILTER($C13:$CH13,($C$10:$CH$10&gt;=F$30)*($C$10:$CH$10&lt;=F$31))),0)</f>
        <v>0.32920634920634922</v>
      </c>
      <c r="G35" s="192" cm="1">
        <f t="array" ref="G35">IFERROR(AVERAGE(_xlfn._xlws.FILTER($C13:$CH13,($C$10:$CH$10&gt;=G$30)*($C$10:$CH$10&lt;=G$31))),0)</f>
        <v>0</v>
      </c>
      <c r="H35" s="192" cm="1">
        <f t="array" ref="H35">IFERROR(AVERAGE(_xlfn._xlws.FILTER($C13:$CH13,($C$10:$CH$10&gt;=H$30)*($C$10:$CH$10&lt;=H$31))),0)</f>
        <v>0</v>
      </c>
      <c r="I35" s="192" cm="1">
        <f t="array" ref="I35">IFERROR(AVERAGE(_xlfn._xlws.FILTER($C13:$CH13,($C$10:$CH$10&gt;=I$30)*($C$10:$CH$10&lt;=I$31))),0)</f>
        <v>0</v>
      </c>
      <c r="J35" s="192">
        <f t="shared" si="12"/>
        <v>2.4057067669172936</v>
      </c>
      <c r="K35" s="192">
        <f t="shared" si="12"/>
        <v>2.7974468429137365</v>
      </c>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7"/>
    </row>
    <row r="36" spans="1:90" x14ac:dyDescent="0.3">
      <c r="B36" s="191" t="str">
        <f t="shared" si="11"/>
        <v>Other Support &amp; Corporate Roles</v>
      </c>
      <c r="C36" s="192" cm="1">
        <f t="array" ref="C36">IFERROR(AVERAGE(_xlfn._xlws.FILTER($C14:$CH14,($C$10:$CH$10&gt;=C$30)*($C$10:$CH$10&lt;=C$31))),0)</f>
        <v>13.419028508930243</v>
      </c>
      <c r="D36" s="192" cm="1">
        <f t="array" ref="D36">IFERROR(AVERAGE(_xlfn._xlws.FILTER($C14:$CH14,($C$10:$CH$10&gt;=D$30)*($C$10:$CH$10&lt;=D$31))),0)</f>
        <v>12.585726748914743</v>
      </c>
      <c r="E36" s="192" cm="1">
        <f t="array" ref="E36">IFERROR(AVERAGE(_xlfn._xlws.FILTER($C14:$CH14,($C$10:$CH$10&gt;=E$30)*($C$10:$CH$10&lt;=E$31))),0)</f>
        <v>11.478011914231729</v>
      </c>
      <c r="F36" s="192" cm="1">
        <f t="array" ref="F36">IFERROR(AVERAGE(_xlfn._xlws.FILTER($C14:$CH14,($C$10:$CH$10&gt;=F$30)*($C$10:$CH$10&lt;=F$31))),0)</f>
        <v>5.9002256096410735</v>
      </c>
      <c r="G36" s="192" cm="1">
        <f t="array" ref="G36">IFERROR(AVERAGE(_xlfn._xlws.FILTER($C14:$CH14,($C$10:$CH$10&gt;=G$30)*($C$10:$CH$10&lt;=G$31))),0)</f>
        <v>0</v>
      </c>
      <c r="H36" s="192" cm="1">
        <f t="array" ref="H36">IFERROR(AVERAGE(_xlfn._xlws.FILTER($C14:$CH14,($C$10:$CH$10&gt;=H$30)*($C$10:$CH$10&lt;=H$31))),0)</f>
        <v>0</v>
      </c>
      <c r="I36" s="192" cm="1">
        <f t="array" ref="I36">IFERROR(AVERAGE(_xlfn._xlws.FILTER($C14:$CH14,($C$10:$CH$10&gt;=I$30)*($C$10:$CH$10&lt;=I$31))),0)</f>
        <v>0</v>
      </c>
      <c r="J36" s="192">
        <f t="shared" si="12"/>
        <v>9.9374660577804974</v>
      </c>
      <c r="K36" s="192">
        <f t="shared" si="12"/>
        <v>11.598953912046793</v>
      </c>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7"/>
    </row>
    <row r="37" spans="1:90" x14ac:dyDescent="0.3">
      <c r="B37" s="191" t="str">
        <f t="shared" si="11"/>
        <v>Project Delivery Management - Commercial Management</v>
      </c>
      <c r="C37" s="192" cm="1">
        <f t="array" ref="C37">IFERROR(AVERAGE(_xlfn._xlws.FILTER($C15:$CH15,($C$10:$CH$10&gt;=C$30)*($C$10:$CH$10&lt;=C$31))),0)</f>
        <v>6.3618421052631575</v>
      </c>
      <c r="D37" s="192" cm="1">
        <f t="array" ref="D37">IFERROR(AVERAGE(_xlfn._xlws.FILTER($C15:$CH15,($C$10:$CH$10&gt;=D$30)*($C$10:$CH$10&lt;=D$31))),0)</f>
        <v>7</v>
      </c>
      <c r="E37" s="192" cm="1">
        <f t="array" ref="E37">IFERROR(AVERAGE(_xlfn._xlws.FILTER($C15:$CH15,($C$10:$CH$10&gt;=E$30)*($C$10:$CH$10&lt;=E$31))),0)</f>
        <v>7</v>
      </c>
      <c r="F37" s="192" cm="1">
        <f t="array" ref="F37">IFERROR(AVERAGE(_xlfn._xlws.FILTER($C15:$CH15,($C$10:$CH$10&gt;=F$30)*($C$10:$CH$10&lt;=F$31))),0)</f>
        <v>2.1666666666666665</v>
      </c>
      <c r="G37" s="192" cm="1">
        <f t="array" ref="G37">IFERROR(AVERAGE(_xlfn._xlws.FILTER($C15:$CH15,($C$10:$CH$10&gt;=G$30)*($C$10:$CH$10&lt;=G$31))),0)</f>
        <v>0</v>
      </c>
      <c r="H37" s="192" cm="1">
        <f t="array" ref="H37">IFERROR(AVERAGE(_xlfn._xlws.FILTER($C15:$CH15,($C$10:$CH$10&gt;=H$30)*($C$10:$CH$10&lt;=H$31))),0)</f>
        <v>0</v>
      </c>
      <c r="I37" s="192" cm="1">
        <f t="array" ref="I37">IFERROR(AVERAGE(_xlfn._xlws.FILTER($C15:$CH15,($C$10:$CH$10&gt;=I$30)*($C$10:$CH$10&lt;=I$31))),0)</f>
        <v>0</v>
      </c>
      <c r="J37" s="192">
        <f t="shared" si="12"/>
        <v>5.1505847953216373</v>
      </c>
      <c r="K37" s="192">
        <f t="shared" si="12"/>
        <v>6.258064516129032</v>
      </c>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7"/>
    </row>
    <row r="38" spans="1:90" x14ac:dyDescent="0.3">
      <c r="B38" s="191" t="str">
        <f t="shared" si="11"/>
        <v>Project Delivery Management - Commissioning</v>
      </c>
      <c r="C38" s="192" cm="1">
        <f t="array" ref="C38">IFERROR(AVERAGE(_xlfn._xlws.FILTER($C16:$CH16,($C$10:$CH$10&gt;=C$30)*($C$10:$CH$10&lt;=C$31))),0)</f>
        <v>6.6170347744360889</v>
      </c>
      <c r="D38" s="192" cm="1">
        <f t="array" ref="D38">IFERROR(AVERAGE(_xlfn._xlws.FILTER($C16:$CH16,($C$10:$CH$10&gt;=D$30)*($C$10:$CH$10&lt;=D$31))),0)</f>
        <v>24.460615079365081</v>
      </c>
      <c r="E38" s="192" cm="1">
        <f t="array" ref="E38">IFERROR(AVERAGE(_xlfn._xlws.FILTER($C16:$CH16,($C$10:$CH$10&gt;=E$30)*($C$10:$CH$10&lt;=E$31))),0)</f>
        <v>24.037698412698408</v>
      </c>
      <c r="F38" s="192" cm="1">
        <f t="array" ref="F38">IFERROR(AVERAGE(_xlfn._xlws.FILTER($C16:$CH16,($C$10:$CH$10&gt;=F$30)*($C$10:$CH$10&lt;=F$31))),0)</f>
        <v>4.3827380952380945</v>
      </c>
      <c r="G38" s="192" cm="1">
        <f t="array" ref="G38">IFERROR(AVERAGE(_xlfn._xlws.FILTER($C16:$CH16,($C$10:$CH$10&gt;=G$30)*($C$10:$CH$10&lt;=G$31))),0)</f>
        <v>0</v>
      </c>
      <c r="H38" s="192" cm="1">
        <f t="array" ref="H38">IFERROR(AVERAGE(_xlfn._xlws.FILTER($C16:$CH16,($C$10:$CH$10&gt;=H$30)*($C$10:$CH$10&lt;=H$31))),0)</f>
        <v>0</v>
      </c>
      <c r="I38" s="192" cm="1">
        <f t="array" ref="I38">IFERROR(AVERAGE(_xlfn._xlws.FILTER($C16:$CH16,($C$10:$CH$10&gt;=I$30)*($C$10:$CH$10&lt;=I$31))),0)</f>
        <v>0</v>
      </c>
      <c r="J38" s="192">
        <f t="shared" si="12"/>
        <v>14.323102025898079</v>
      </c>
      <c r="K38" s="192">
        <f t="shared" si="12"/>
        <v>20.470084485407067</v>
      </c>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7"/>
    </row>
    <row r="39" spans="1:90" x14ac:dyDescent="0.3">
      <c r="B39" s="191" t="str">
        <f t="shared" si="11"/>
        <v>Project Delivery Management - Construction Management</v>
      </c>
      <c r="C39" s="192" cm="1">
        <f t="array" ref="C39">IFERROR(AVERAGE(_xlfn._xlws.FILTER($C17:$CH17,($C$10:$CH$10&gt;=C$30)*($C$10:$CH$10&lt;=C$31))),0)</f>
        <v>11.504135338345865</v>
      </c>
      <c r="D39" s="192" cm="1">
        <f t="array" ref="D39">IFERROR(AVERAGE(_xlfn._xlws.FILTER($C17:$CH17,($C$10:$CH$10&gt;=D$30)*($C$10:$CH$10&lt;=D$31))),0)</f>
        <v>20.220572263993315</v>
      </c>
      <c r="E39" s="192" cm="1">
        <f t="array" ref="E39">IFERROR(AVERAGE(_xlfn._xlws.FILTER($C17:$CH17,($C$10:$CH$10&gt;=E$30)*($C$10:$CH$10&lt;=E$31))),0)</f>
        <v>19.826532999164574</v>
      </c>
      <c r="F39" s="192" cm="1">
        <f t="array" ref="F39">IFERROR(AVERAGE(_xlfn._xlws.FILTER($C17:$CH17,($C$10:$CH$10&gt;=F$30)*($C$10:$CH$10&lt;=F$31))),0)</f>
        <v>4.3233333333333333</v>
      </c>
      <c r="G39" s="192" cm="1">
        <f t="array" ref="G39">IFERROR(AVERAGE(_xlfn._xlws.FILTER($C17:$CH17,($C$10:$CH$10&gt;=G$30)*($C$10:$CH$10&lt;=G$31))),0)</f>
        <v>0</v>
      </c>
      <c r="H39" s="192" cm="1">
        <f t="array" ref="H39">IFERROR(AVERAGE(_xlfn._xlws.FILTER($C17:$CH17,($C$10:$CH$10&gt;=H$30)*($C$10:$CH$10&lt;=H$31))),0)</f>
        <v>0</v>
      </c>
      <c r="I39" s="192" cm="1">
        <f t="array" ref="I39">IFERROR(AVERAGE(_xlfn._xlws.FILTER($C17:$CH17,($C$10:$CH$10&gt;=I$30)*($C$10:$CH$10&lt;=I$31))),0)</f>
        <v>0</v>
      </c>
      <c r="J39" s="192">
        <f t="shared" si="12"/>
        <v>13.009965538847119</v>
      </c>
      <c r="K39" s="192">
        <f t="shared" si="12"/>
        <v>17.17565365025467</v>
      </c>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7"/>
    </row>
    <row r="40" spans="1:90" x14ac:dyDescent="0.3">
      <c r="B40" s="191" t="str">
        <f t="shared" si="11"/>
        <v>Project Delivery Management - Project Controls</v>
      </c>
      <c r="C40" s="192" cm="1">
        <f t="array" ref="C40">IFERROR(AVERAGE(_xlfn._xlws.FILTER($C18:$CH18,($C$10:$CH$10&gt;=C$30)*($C$10:$CH$10&lt;=C$31))),0)</f>
        <v>11.815162907268171</v>
      </c>
      <c r="D40" s="192" cm="1">
        <f t="array" ref="D40">IFERROR(AVERAGE(_xlfn._xlws.FILTER($C18:$CH18,($C$10:$CH$10&gt;=D$30)*($C$10:$CH$10&lt;=D$31))),0)</f>
        <v>12.134085213032579</v>
      </c>
      <c r="E40" s="192" cm="1">
        <f t="array" ref="E40">IFERROR(AVERAGE(_xlfn._xlws.FILTER($C18:$CH18,($C$10:$CH$10&gt;=E$30)*($C$10:$CH$10&lt;=E$31))),0)</f>
        <v>12.081453634085213</v>
      </c>
      <c r="F40" s="192" cm="1">
        <f t="array" ref="F40">IFERROR(AVERAGE(_xlfn._xlws.FILTER($C18:$CH18,($C$10:$CH$10&gt;=F$30)*($C$10:$CH$10&lt;=F$31))),0)</f>
        <v>4.2440476190476186</v>
      </c>
      <c r="G40" s="192" cm="1">
        <f t="array" ref="G40">IFERROR(AVERAGE(_xlfn._xlws.FILTER($C18:$CH18,($C$10:$CH$10&gt;=G$30)*($C$10:$CH$10&lt;=G$31))),0)</f>
        <v>0</v>
      </c>
      <c r="H40" s="192" cm="1">
        <f t="array" ref="H40">IFERROR(AVERAGE(_xlfn._xlws.FILTER($C18:$CH18,($C$10:$CH$10&gt;=H$30)*($C$10:$CH$10&lt;=H$31))),0)</f>
        <v>0</v>
      </c>
      <c r="I40" s="192" cm="1">
        <f t="array" ref="I40">IFERROR(AVERAGE(_xlfn._xlws.FILTER($C18:$CH18,($C$10:$CH$10&gt;=I$30)*($C$10:$CH$10&lt;=I$31))),0)</f>
        <v>0</v>
      </c>
      <c r="J40" s="192">
        <f t="shared" si="12"/>
        <v>9.1988721804511311</v>
      </c>
      <c r="K40" s="192">
        <f t="shared" si="12"/>
        <v>11.016614115934999</v>
      </c>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7"/>
    </row>
    <row r="41" spans="1:90" x14ac:dyDescent="0.3">
      <c r="B41" s="191" t="str">
        <f t="shared" si="11"/>
        <v>Project Delivery Management - Project Engineering</v>
      </c>
      <c r="C41" s="192" cm="1">
        <f t="array" ref="C41">IFERROR(AVERAGE(_xlfn._xlws.FILTER($C19:$CH19,($C$10:$CH$10&gt;=C$30)*($C$10:$CH$10&lt;=C$31))),0)</f>
        <v>1.5531798245614037</v>
      </c>
      <c r="D41" s="192" cm="1">
        <f t="array" ref="D41">IFERROR(AVERAGE(_xlfn._xlws.FILTER($C19:$CH19,($C$10:$CH$10&gt;=D$30)*($C$10:$CH$10&lt;=D$31))),0)</f>
        <v>1.0347222222222221</v>
      </c>
      <c r="E41" s="192" cm="1">
        <f t="array" ref="E41">IFERROR(AVERAGE(_xlfn._xlws.FILTER($C19:$CH19,($C$10:$CH$10&gt;=E$30)*($C$10:$CH$10&lt;=E$31))),0)</f>
        <v>1</v>
      </c>
      <c r="F41" s="192" cm="1">
        <f t="array" ref="F41">IFERROR(AVERAGE(_xlfn._xlws.FILTER($C19:$CH19,($C$10:$CH$10&gt;=F$30)*($C$10:$CH$10&lt;=F$31))),0)</f>
        <v>0.41666666666666669</v>
      </c>
      <c r="G41" s="192" cm="1">
        <f t="array" ref="G41">IFERROR(AVERAGE(_xlfn._xlws.FILTER($C19:$CH19,($C$10:$CH$10&gt;=G$30)*($C$10:$CH$10&lt;=G$31))),0)</f>
        <v>0</v>
      </c>
      <c r="H41" s="192" cm="1">
        <f t="array" ref="H41">IFERROR(AVERAGE(_xlfn._xlws.FILTER($C19:$CH19,($C$10:$CH$10&gt;=H$30)*($C$10:$CH$10&lt;=H$31))),0)</f>
        <v>0</v>
      </c>
      <c r="I41" s="192" cm="1">
        <f t="array" ref="I41">IFERROR(AVERAGE(_xlfn._xlws.FILTER($C19:$CH19,($C$10:$CH$10&gt;=I$30)*($C$10:$CH$10&lt;=I$31))),0)</f>
        <v>0</v>
      </c>
      <c r="J41" s="192">
        <f t="shared" si="12"/>
        <v>0.97309941520467813</v>
      </c>
      <c r="K41" s="192">
        <f t="shared" si="12"/>
        <v>0.94892473118279563</v>
      </c>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7"/>
    </row>
    <row r="42" spans="1:90" x14ac:dyDescent="0.3">
      <c r="B42" s="191" t="str">
        <f t="shared" si="11"/>
        <v>Project Delivery Management - Project Management</v>
      </c>
      <c r="C42" s="192" cm="1">
        <f t="array" ref="C42">IFERROR(AVERAGE(_xlfn._xlws.FILTER($C20:$CH20,($C$10:$CH$10&gt;=C$30)*($C$10:$CH$10&lt;=C$31))),0)</f>
        <v>20.649122807017545</v>
      </c>
      <c r="D42" s="192" cm="1">
        <f t="array" ref="D42">IFERROR(AVERAGE(_xlfn._xlws.FILTER($C20:$CH20,($C$10:$CH$10&gt;=D$30)*($C$10:$CH$10&lt;=D$31))),0)</f>
        <v>21.993421052631579</v>
      </c>
      <c r="E42" s="192" cm="1">
        <f t="array" ref="E42">IFERROR(AVERAGE(_xlfn._xlws.FILTER($C20:$CH20,($C$10:$CH$10&gt;=E$30)*($C$10:$CH$10&lt;=E$31))),0)</f>
        <v>21.967105263157894</v>
      </c>
      <c r="F42" s="192" cm="1">
        <f t="array" ref="F42">IFERROR(AVERAGE(_xlfn._xlws.FILTER($C20:$CH20,($C$10:$CH$10&gt;=F$30)*($C$10:$CH$10&lt;=F$31))),0)</f>
        <v>9.3178571428571431</v>
      </c>
      <c r="G42" s="192" cm="1">
        <f t="array" ref="G42">IFERROR(AVERAGE(_xlfn._xlws.FILTER($C20:$CH20,($C$10:$CH$10&gt;=G$30)*($C$10:$CH$10&lt;=G$31))),0)</f>
        <v>0</v>
      </c>
      <c r="H42" s="192" cm="1">
        <f t="array" ref="H42">IFERROR(AVERAGE(_xlfn._xlws.FILTER($C20:$CH20,($C$10:$CH$10&gt;=H$30)*($C$10:$CH$10&lt;=H$31))),0)</f>
        <v>0</v>
      </c>
      <c r="I42" s="192" cm="1">
        <f t="array" ref="I42">IFERROR(AVERAGE(_xlfn._xlws.FILTER($C20:$CH20,($C$10:$CH$10&gt;=I$30)*($C$10:$CH$10&lt;=I$31))),0)</f>
        <v>0</v>
      </c>
      <c r="J42" s="192">
        <f t="shared" si="12"/>
        <v>17.632114609440272</v>
      </c>
      <c r="K42" s="192">
        <f t="shared" si="12"/>
        <v>20.623890371089015</v>
      </c>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7"/>
    </row>
    <row r="43" spans="1:90" x14ac:dyDescent="0.3">
      <c r="B43" s="191" t="str">
        <f t="shared" si="11"/>
        <v>Project Development</v>
      </c>
      <c r="C43" s="192" cm="1">
        <f t="array" ref="C43">IFERROR(AVERAGE(_xlfn._xlws.FILTER($C21:$CH21,($C$10:$CH$10&gt;=C$30)*($C$10:$CH$10&lt;=C$31))),0)</f>
        <v>13.090656328320803</v>
      </c>
      <c r="D43" s="192" cm="1">
        <f t="array" ref="D43">IFERROR(AVERAGE(_xlfn._xlws.FILTER($C21:$CH21,($C$10:$CH$10&gt;=D$30)*($C$10:$CH$10&lt;=D$31))),0)</f>
        <v>4.3243421052631579</v>
      </c>
      <c r="E43" s="192" cm="1">
        <f t="array" ref="E43">IFERROR(AVERAGE(_xlfn._xlws.FILTER($C21:$CH21,($C$10:$CH$10&gt;=E$30)*($C$10:$CH$10&lt;=E$31))),0)</f>
        <v>0.75043859649122791</v>
      </c>
      <c r="F43" s="192" cm="1">
        <f t="array" ref="F43">IFERROR(AVERAGE(_xlfn._xlws.FILTER($C21:$CH21,($C$10:$CH$10&gt;=F$30)*($C$10:$CH$10&lt;=F$31))),0)</f>
        <v>0.28333333333333333</v>
      </c>
      <c r="G43" s="192" cm="1">
        <f t="array" ref="G43">IFERROR(AVERAGE(_xlfn._xlws.FILTER($C21:$CH21,($C$10:$CH$10&gt;=G$30)*($C$10:$CH$10&lt;=G$31))),0)</f>
        <v>0</v>
      </c>
      <c r="H43" s="192" cm="1">
        <f t="array" ref="H43">IFERROR(AVERAGE(_xlfn._xlws.FILTER($C21:$CH21,($C$10:$CH$10&gt;=H$30)*($C$10:$CH$10&lt;=H$31))),0)</f>
        <v>0</v>
      </c>
      <c r="I43" s="192" cm="1">
        <f t="array" ref="I43">IFERROR(AVERAGE(_xlfn._xlws.FILTER($C21:$CH21,($C$10:$CH$10&gt;=I$30)*($C$10:$CH$10&lt;=I$31))),0)</f>
        <v>0</v>
      </c>
      <c r="J43" s="192">
        <f t="shared" si="12"/>
        <v>3.7365080148287397</v>
      </c>
      <c r="K43" s="192">
        <f t="shared" si="12"/>
        <v>2.0741086587436333</v>
      </c>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7"/>
    </row>
    <row r="44" spans="1:90" x14ac:dyDescent="0.3">
      <c r="B44" s="191" t="str">
        <f t="shared" si="11"/>
        <v>Regulatory Approvals</v>
      </c>
      <c r="C44" s="192" cm="1">
        <f t="array" ref="C44">IFERROR(AVERAGE(_xlfn._xlws.FILTER($C22:$CH22,($C$10:$CH$10&gt;=C$30)*($C$10:$CH$10&lt;=C$31))),0)</f>
        <v>1.200657894736842</v>
      </c>
      <c r="D44" s="192" cm="1">
        <f t="array" ref="D44">IFERROR(AVERAGE(_xlfn._xlws.FILTER($C22:$CH22,($C$10:$CH$10&gt;=D$30)*($C$10:$CH$10&lt;=D$31))),0)</f>
        <v>8.3333333333333329E-2</v>
      </c>
      <c r="E44" s="192" cm="1">
        <f t="array" ref="E44">IFERROR(AVERAGE(_xlfn._xlws.FILTER($C22:$CH22,($C$10:$CH$10&gt;=E$30)*($C$10:$CH$10&lt;=E$31))),0)</f>
        <v>0</v>
      </c>
      <c r="F44" s="192" cm="1">
        <f t="array" ref="F44">IFERROR(AVERAGE(_xlfn._xlws.FILTER($C22:$CH22,($C$10:$CH$10&gt;=F$30)*($C$10:$CH$10&lt;=F$31))),0)</f>
        <v>0</v>
      </c>
      <c r="G44" s="192" cm="1">
        <f t="array" ref="G44">IFERROR(AVERAGE(_xlfn._xlws.FILTER($C22:$CH22,($C$10:$CH$10&gt;=G$30)*($C$10:$CH$10&lt;=G$31))),0)</f>
        <v>0</v>
      </c>
      <c r="H44" s="192" cm="1">
        <f t="array" ref="H44">IFERROR(AVERAGE(_xlfn._xlws.FILTER($C22:$CH22,($C$10:$CH$10&gt;=H$30)*($C$10:$CH$10&lt;=H$31))),0)</f>
        <v>0</v>
      </c>
      <c r="I44" s="192" cm="1">
        <f t="array" ref="I44">IFERROR(AVERAGE(_xlfn._xlws.FILTER($C22:$CH22,($C$10:$CH$10&gt;=I$30)*($C$10:$CH$10&lt;=I$31))),0)</f>
        <v>0</v>
      </c>
      <c r="J44" s="192">
        <f t="shared" si="12"/>
        <v>0.39672880116959064</v>
      </c>
      <c r="K44" s="192">
        <f t="shared" si="12"/>
        <v>3.2258064516129031E-2</v>
      </c>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7"/>
    </row>
    <row r="45" spans="1:90" x14ac:dyDescent="0.3">
      <c r="B45" s="191" t="str">
        <f t="shared" si="11"/>
        <v>Transaction Procurement Support</v>
      </c>
      <c r="C45" s="192" cm="1">
        <f t="array" ref="C45">IFERROR(AVERAGE(_xlfn._xlws.FILTER($C23:$CH23,($C$10:$CH$10&gt;=C$30)*($C$10:$CH$10&lt;=C$31))),0)</f>
        <v>0.80471491228070169</v>
      </c>
      <c r="D45" s="192" cm="1">
        <f t="array" ref="D45">IFERROR(AVERAGE(_xlfn._xlws.FILTER($C23:$CH23,($C$10:$CH$10&gt;=D$30)*($C$10:$CH$10&lt;=D$31))),0)</f>
        <v>0.56633771929824561</v>
      </c>
      <c r="E45" s="192" cm="1">
        <f t="array" ref="E45">IFERROR(AVERAGE(_xlfn._xlws.FILTER($C23:$CH23,($C$10:$CH$10&gt;=E$30)*($C$10:$CH$10&lt;=E$31))),0)</f>
        <v>0.52467105263157887</v>
      </c>
      <c r="F45" s="192" cm="1">
        <f t="array" ref="F45">IFERROR(AVERAGE(_xlfn._xlws.FILTER($C23:$CH23,($C$10:$CH$10&gt;=F$30)*($C$10:$CH$10&lt;=F$31))),0)</f>
        <v>0</v>
      </c>
      <c r="G45" s="192" cm="1">
        <f t="array" ref="G45">IFERROR(AVERAGE(_xlfn._xlws.FILTER($C23:$CH23,($C$10:$CH$10&gt;=G$30)*($C$10:$CH$10&lt;=G$31))),0)</f>
        <v>0</v>
      </c>
      <c r="H45" s="192" cm="1">
        <f t="array" ref="H45">IFERROR(AVERAGE(_xlfn._xlws.FILTER($C23:$CH23,($C$10:$CH$10&gt;=H$30)*($C$10:$CH$10&lt;=H$31))),0)</f>
        <v>0</v>
      </c>
      <c r="I45" s="192" cm="1">
        <f t="array" ref="I45">IFERROR(AVERAGE(_xlfn._xlws.FILTER($C23:$CH23,($C$10:$CH$10&gt;=I$30)*($C$10:$CH$10&lt;=I$31))),0)</f>
        <v>0</v>
      </c>
      <c r="J45" s="192">
        <f t="shared" si="12"/>
        <v>0.48256578947368428</v>
      </c>
      <c r="K45" s="192">
        <f t="shared" si="12"/>
        <v>0.42232597623089979</v>
      </c>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7"/>
    </row>
    <row r="46" spans="1:90" x14ac:dyDescent="0.3">
      <c r="B46" s="195" t="s">
        <v>168</v>
      </c>
      <c r="C46" s="196">
        <f>SUM(C33:C45)</f>
        <v>90.043229636749786</v>
      </c>
      <c r="D46" s="196">
        <f t="shared" ref="D46:J46" si="13">SUM(D33:D45)</f>
        <v>107.96810978985042</v>
      </c>
      <c r="E46" s="196">
        <f t="shared" si="13"/>
        <v>102.09571137120747</v>
      </c>
      <c r="F46" s="196">
        <f t="shared" si="13"/>
        <v>31.364074815990278</v>
      </c>
      <c r="G46" s="196">
        <f t="shared" si="13"/>
        <v>0</v>
      </c>
      <c r="H46" s="196">
        <f t="shared" si="13"/>
        <v>0</v>
      </c>
      <c r="I46" s="196">
        <f t="shared" si="13"/>
        <v>0</v>
      </c>
      <c r="J46" s="196">
        <f t="shared" si="13"/>
        <v>77.392531873361136</v>
      </c>
      <c r="K46" s="196">
        <f t="shared" ref="K46" si="14">SUM(K33:K45)</f>
        <v>93.455959733050932</v>
      </c>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7"/>
    </row>
    <row r="47" spans="1:90" x14ac:dyDescent="0.3">
      <c r="B47" s="109"/>
      <c r="C47" s="109"/>
      <c r="D47" s="109"/>
      <c r="E47" s="109"/>
      <c r="F47" s="109"/>
      <c r="G47" s="109"/>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0"/>
    </row>
    <row r="48" spans="1:90" s="188" customFormat="1" ht="18" x14ac:dyDescent="0.35">
      <c r="A48"/>
      <c r="B48" s="118" t="s">
        <v>169</v>
      </c>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row>
    <row r="50" spans="1:90" ht="51" x14ac:dyDescent="0.3">
      <c r="B50" s="136" t="s">
        <v>131</v>
      </c>
      <c r="C50" s="228">
        <f>'Data source'!K5</f>
        <v>45658</v>
      </c>
      <c r="D50" s="228">
        <f>'Data source'!L5</f>
        <v>45689</v>
      </c>
      <c r="E50" s="228">
        <f>'Data source'!M5</f>
        <v>45717</v>
      </c>
      <c r="F50" s="228">
        <f>'Data source'!N5</f>
        <v>45748</v>
      </c>
      <c r="G50" s="228">
        <f>'Data source'!O5</f>
        <v>45778</v>
      </c>
      <c r="H50" s="228">
        <f>'Data source'!P5</f>
        <v>45809</v>
      </c>
      <c r="I50" s="228">
        <f>'Data source'!Q5</f>
        <v>45839</v>
      </c>
      <c r="J50" s="228">
        <f>'Data source'!R5</f>
        <v>45870</v>
      </c>
      <c r="K50" s="228">
        <f>'Data source'!S5</f>
        <v>45901</v>
      </c>
      <c r="L50" s="228">
        <f>'Data source'!T5</f>
        <v>45931</v>
      </c>
      <c r="M50" s="228">
        <f>'Data source'!U5</f>
        <v>45962</v>
      </c>
      <c r="N50" s="228">
        <f>'Data source'!V5</f>
        <v>45992</v>
      </c>
      <c r="O50" s="228">
        <f>'Data source'!W5</f>
        <v>46023</v>
      </c>
      <c r="P50" s="228">
        <f>'Data source'!X5</f>
        <v>46054</v>
      </c>
      <c r="Q50" s="228">
        <f>'Data source'!Y5</f>
        <v>46082</v>
      </c>
      <c r="R50" s="228">
        <f>'Data source'!Z5</f>
        <v>46113</v>
      </c>
      <c r="S50" s="228">
        <f>'Data source'!AA5</f>
        <v>46143</v>
      </c>
      <c r="T50" s="228">
        <f>'Data source'!AB5</f>
        <v>46174</v>
      </c>
      <c r="U50" s="228">
        <f>'Data source'!AC5</f>
        <v>46204</v>
      </c>
      <c r="V50" s="228">
        <f>'Data source'!AD5</f>
        <v>46235</v>
      </c>
      <c r="W50" s="228">
        <f>'Data source'!AE5</f>
        <v>46266</v>
      </c>
      <c r="X50" s="228">
        <f>'Data source'!AF5</f>
        <v>46296</v>
      </c>
      <c r="Y50" s="228">
        <f>'Data source'!AG5</f>
        <v>46327</v>
      </c>
      <c r="Z50" s="228">
        <f>'Data source'!AH5</f>
        <v>46357</v>
      </c>
      <c r="AA50" s="228">
        <f>'Data source'!AI5</f>
        <v>46388</v>
      </c>
      <c r="AB50" s="228">
        <f>'Data source'!AJ5</f>
        <v>46419</v>
      </c>
      <c r="AC50" s="228">
        <f>'Data source'!AK5</f>
        <v>46447</v>
      </c>
      <c r="AD50" s="228">
        <f>'Data source'!AL5</f>
        <v>46478</v>
      </c>
      <c r="AE50" s="228">
        <f>'Data source'!AM5</f>
        <v>46508</v>
      </c>
      <c r="AF50" s="228">
        <f>'Data source'!AN5</f>
        <v>46539</v>
      </c>
      <c r="AG50" s="228">
        <f>'Data source'!AO5</f>
        <v>46569</v>
      </c>
      <c r="AH50" s="228">
        <f>'Data source'!AP5</f>
        <v>46600</v>
      </c>
      <c r="AI50" s="228">
        <f>'Data source'!AQ5</f>
        <v>46631</v>
      </c>
      <c r="AJ50" s="228">
        <f>'Data source'!AR5</f>
        <v>46661</v>
      </c>
      <c r="AK50" s="228">
        <f>'Data source'!AS5</f>
        <v>46692</v>
      </c>
      <c r="AL50" s="228">
        <f>'Data source'!AT5</f>
        <v>46722</v>
      </c>
      <c r="AM50" s="228">
        <f>'Data source'!AU5</f>
        <v>46753</v>
      </c>
      <c r="AN50" s="228">
        <f>'Data source'!AV5</f>
        <v>46784</v>
      </c>
      <c r="AO50" s="228">
        <f>'Data source'!AW5</f>
        <v>46813</v>
      </c>
      <c r="AP50" s="228">
        <f>'Data source'!AX5</f>
        <v>46844</v>
      </c>
      <c r="AQ50" s="228">
        <f>'Data source'!AY5</f>
        <v>46874</v>
      </c>
      <c r="AR50" s="228">
        <f>'Data source'!AZ5</f>
        <v>46905</v>
      </c>
      <c r="AS50" s="228">
        <f>'Data source'!BA5</f>
        <v>46935</v>
      </c>
      <c r="AT50" s="228">
        <f>'Data source'!BB5</f>
        <v>46966</v>
      </c>
      <c r="AU50" s="228">
        <f>'Data source'!BC5</f>
        <v>46997</v>
      </c>
      <c r="AV50" s="228">
        <f>'Data source'!BD5</f>
        <v>47027</v>
      </c>
      <c r="AW50" s="228">
        <f>'Data source'!BE5</f>
        <v>47058</v>
      </c>
      <c r="AX50" s="228">
        <f>'Data source'!BF5</f>
        <v>47088</v>
      </c>
      <c r="AY50" s="228">
        <f>'Data source'!BG5</f>
        <v>47119</v>
      </c>
      <c r="AZ50" s="228">
        <f>'Data source'!BH5</f>
        <v>47150</v>
      </c>
      <c r="BA50" s="228">
        <f>'Data source'!BI5</f>
        <v>47178</v>
      </c>
      <c r="BB50" s="228">
        <f>'Data source'!BJ5</f>
        <v>47209</v>
      </c>
      <c r="BC50" s="228">
        <f>'Data source'!BK5</f>
        <v>47239</v>
      </c>
      <c r="BD50" s="228">
        <f>'Data source'!BL5</f>
        <v>47270</v>
      </c>
      <c r="BE50" s="228">
        <f>'Data source'!BM5</f>
        <v>47300</v>
      </c>
      <c r="BF50" s="228">
        <f>'Data source'!BN5</f>
        <v>47331</v>
      </c>
      <c r="BG50" s="228">
        <f>'Data source'!BO5</f>
        <v>47362</v>
      </c>
      <c r="BH50" s="228">
        <f>'Data source'!BP5</f>
        <v>47392</v>
      </c>
      <c r="BI50" s="228">
        <f>'Data source'!BQ5</f>
        <v>47423</v>
      </c>
      <c r="BJ50" s="228">
        <f>'Data source'!BR5</f>
        <v>47453</v>
      </c>
      <c r="BK50" s="228">
        <f>'Data source'!BS5</f>
        <v>47514</v>
      </c>
      <c r="BL50" s="228">
        <f>'Data source'!BT5</f>
        <v>47542</v>
      </c>
      <c r="BM50" s="228">
        <f>'Data source'!BU5</f>
        <v>47573</v>
      </c>
      <c r="BN50" s="228">
        <f>'Data source'!BV5</f>
        <v>47603</v>
      </c>
      <c r="BO50" s="228">
        <f>'Data source'!BW5</f>
        <v>47634</v>
      </c>
      <c r="BP50" s="228">
        <f>'Data source'!BX5</f>
        <v>47664</v>
      </c>
      <c r="BQ50" s="228">
        <f>'Data source'!BY5</f>
        <v>47695</v>
      </c>
      <c r="BR50" s="228">
        <f>'Data source'!BZ5</f>
        <v>47726</v>
      </c>
      <c r="BS50" s="228">
        <f>'Data source'!CA5</f>
        <v>47756</v>
      </c>
      <c r="BT50" s="228">
        <f>'Data source'!CB5</f>
        <v>47787</v>
      </c>
      <c r="BU50" s="228">
        <f>'Data source'!CC5</f>
        <v>47817</v>
      </c>
      <c r="BV50" s="228">
        <f>'Data source'!CD5</f>
        <v>47848</v>
      </c>
      <c r="BW50" s="228">
        <f>'Data source'!CE5</f>
        <v>47879</v>
      </c>
      <c r="BX50" s="228">
        <f>'Data source'!CF5</f>
        <v>47907</v>
      </c>
      <c r="BY50" s="228">
        <f>'Data source'!CG5</f>
        <v>47938</v>
      </c>
      <c r="BZ50" s="228">
        <f>'Data source'!CH5</f>
        <v>47968</v>
      </c>
      <c r="CA50" s="228">
        <f>'Data source'!CI5</f>
        <v>47999</v>
      </c>
      <c r="CB50" s="228">
        <f>'Data source'!CJ5</f>
        <v>48029</v>
      </c>
      <c r="CC50" s="228">
        <f>'Data source'!CK5</f>
        <v>48060</v>
      </c>
      <c r="CD50" s="228">
        <f>'Data source'!CL5</f>
        <v>48091</v>
      </c>
      <c r="CE50" s="228">
        <f>'Data source'!CM5</f>
        <v>48121</v>
      </c>
      <c r="CF50" s="228">
        <f>'Data source'!CN5</f>
        <v>48152</v>
      </c>
      <c r="CG50" s="228">
        <f>'Data source'!CO5</f>
        <v>48182</v>
      </c>
      <c r="CH50" s="228">
        <f>'Data source'!CP5</f>
        <v>48213</v>
      </c>
      <c r="CI50" s="150" t="s">
        <v>133</v>
      </c>
      <c r="CJ50" s="150" t="s">
        <v>164</v>
      </c>
      <c r="CK50" s="150" t="s">
        <v>252</v>
      </c>
    </row>
    <row r="51" spans="1:90" x14ac:dyDescent="0.3">
      <c r="B51" s="191" t="str">
        <f>$B11</f>
        <v>Community and Stakeholder Engagement</v>
      </c>
      <c r="C51" s="192">
        <f>SUMIFS(Internal_labour_inputs!K$8:K$295,Internal_labour_inputs!$B$8:$B$295,$B51)</f>
        <v>0</v>
      </c>
      <c r="D51" s="192">
        <f>SUMIFS(Internal_labour_inputs!L$8:L$295,Internal_labour_inputs!$B$8:$B$295,$B51)</f>
        <v>0</v>
      </c>
      <c r="E51" s="192">
        <f>SUMIFS(Internal_labour_inputs!M$8:M$295,Internal_labour_inputs!$B$8:$B$295,$B51)</f>
        <v>0</v>
      </c>
      <c r="F51" s="192">
        <f>SUMIFS(Internal_labour_inputs!N$8:N$295,Internal_labour_inputs!$B$8:$B$295,$B51)</f>
        <v>0</v>
      </c>
      <c r="G51" s="192">
        <f>SUMIFS(Internal_labour_inputs!O$8:O$295,Internal_labour_inputs!$B$8:$B$295,$B51)</f>
        <v>1.7529837230923523E-17</v>
      </c>
      <c r="H51" s="192">
        <f>SUMIFS(Internal_labour_inputs!P$8:P$295,Internal_labour_inputs!$B$8:$B$295,$B51)</f>
        <v>0.40947368421052638</v>
      </c>
      <c r="I51" s="192">
        <f>SUMIFS(Internal_labour_inputs!Q$8:Q$295,Internal_labour_inputs!$B$8:$B$295,$B51)</f>
        <v>5.5571428571428445E-2</v>
      </c>
      <c r="J51" s="192">
        <f>SUMIFS(Internal_labour_inputs!R$8:R$295,Internal_labour_inputs!$B$8:$B$295,$B51)</f>
        <v>0.2</v>
      </c>
      <c r="K51" s="192">
        <f>SUMIFS(Internal_labour_inputs!S$8:S$295,Internal_labour_inputs!$B$8:$B$295,$B51)</f>
        <v>0.37228571428571455</v>
      </c>
      <c r="L51" s="192">
        <f>SUMIFS(Internal_labour_inputs!T$8:T$295,Internal_labour_inputs!$B$8:$B$295,$B51)</f>
        <v>0.8835714285714289</v>
      </c>
      <c r="M51" s="192">
        <f>SUMIFS(Internal_labour_inputs!U$8:U$295,Internal_labour_inputs!$B$8:$B$295,$B51)</f>
        <v>0.38342857142857184</v>
      </c>
      <c r="N51" s="192">
        <f>SUMIFS(Internal_labour_inputs!V$8:V$295,Internal_labour_inputs!$B$8:$B$295,$B51)</f>
        <v>-4.6523631508101799E-17</v>
      </c>
      <c r="O51" s="192">
        <f>SUMIFS(Internal_labour_inputs!W$8:W$295,Internal_labour_inputs!$B$8:$B$295,$B51)</f>
        <v>0.66685714285714282</v>
      </c>
      <c r="P51" s="192">
        <f>SUMIFS(Internal_labour_inputs!X$8:X$295,Internal_labour_inputs!$B$8:$B$295,$B51)</f>
        <v>0.35</v>
      </c>
      <c r="Q51" s="192">
        <f>SUMIFS(Internal_labour_inputs!Y$8:Y$295,Internal_labour_inputs!$B$8:$B$295,$B51)</f>
        <v>0.35</v>
      </c>
      <c r="R51" s="192">
        <f>SUMIFS(Internal_labour_inputs!Z$8:Z$295,Internal_labour_inputs!$B$8:$B$295,$B51)</f>
        <v>0.46666666666666667</v>
      </c>
      <c r="S51" s="192">
        <f>SUMIFS(Internal_labour_inputs!AA$8:AA$295,Internal_labour_inputs!$B$8:$B$295,$B51)</f>
        <v>0.32236842105263158</v>
      </c>
      <c r="T51" s="192">
        <f>SUMIFS(Internal_labour_inputs!AB$8:AB$295,Internal_labour_inputs!$B$8:$B$295,$B51)</f>
        <v>0.32236842105263158</v>
      </c>
      <c r="U51" s="192">
        <f>SUMIFS(Internal_labour_inputs!AC$8:AC$295,Internal_labour_inputs!$B$8:$B$295,$B51)</f>
        <v>0.35</v>
      </c>
      <c r="V51" s="192">
        <f>SUMIFS(Internal_labour_inputs!AD$8:AD$295,Internal_labour_inputs!$B$8:$B$295,$B51)</f>
        <v>0.35</v>
      </c>
      <c r="W51" s="192">
        <f>SUMIFS(Internal_labour_inputs!AE$8:AE$295,Internal_labour_inputs!$B$8:$B$295,$B51)</f>
        <v>0.35</v>
      </c>
      <c r="X51" s="192">
        <f>SUMIFS(Internal_labour_inputs!AF$8:AF$295,Internal_labour_inputs!$B$8:$B$295,$B51)</f>
        <v>0.35</v>
      </c>
      <c r="Y51" s="192">
        <f>SUMIFS(Internal_labour_inputs!AG$8:AG$295,Internal_labour_inputs!$B$8:$B$295,$B51)</f>
        <v>0.35</v>
      </c>
      <c r="Z51" s="192">
        <f>SUMIFS(Internal_labour_inputs!AH$8:AH$295,Internal_labour_inputs!$B$8:$B$295,$B51)</f>
        <v>0.46666666666666667</v>
      </c>
      <c r="AA51" s="192">
        <f>SUMIFS(Internal_labour_inputs!AI$8:AI$295,Internal_labour_inputs!$B$8:$B$295,$B51)</f>
        <v>0</v>
      </c>
      <c r="AB51" s="192">
        <f>SUMIFS(Internal_labour_inputs!AJ$8:AJ$295,Internal_labour_inputs!$B$8:$B$295,$B51)</f>
        <v>0</v>
      </c>
      <c r="AC51" s="192">
        <f>SUMIFS(Internal_labour_inputs!AK$8:AK$295,Internal_labour_inputs!$B$8:$B$295,$B51)</f>
        <v>0</v>
      </c>
      <c r="AD51" s="192">
        <f>SUMIFS(Internal_labour_inputs!AL$8:AL$295,Internal_labour_inputs!$B$8:$B$295,$B51)</f>
        <v>0</v>
      </c>
      <c r="AE51" s="192">
        <f>SUMIFS(Internal_labour_inputs!AM$8:AM$295,Internal_labour_inputs!$B$8:$B$295,$B51)</f>
        <v>0</v>
      </c>
      <c r="AF51" s="192">
        <f>SUMIFS(Internal_labour_inputs!AN$8:AN$295,Internal_labour_inputs!$B$8:$B$295,$B51)</f>
        <v>0</v>
      </c>
      <c r="AG51" s="192">
        <f>SUMIFS(Internal_labour_inputs!AO$8:AO$295,Internal_labour_inputs!$B$8:$B$295,$B51)</f>
        <v>0</v>
      </c>
      <c r="AH51" s="192">
        <f>SUMIFS(Internal_labour_inputs!AP$8:AP$295,Internal_labour_inputs!$B$8:$B$295,$B51)</f>
        <v>0</v>
      </c>
      <c r="AI51" s="192">
        <f>SUMIFS(Internal_labour_inputs!AQ$8:AQ$295,Internal_labour_inputs!$B$8:$B$295,$B51)</f>
        <v>0</v>
      </c>
      <c r="AJ51" s="192">
        <f>SUMIFS(Internal_labour_inputs!AR$8:AR$295,Internal_labour_inputs!$B$8:$B$295,$B51)</f>
        <v>0</v>
      </c>
      <c r="AK51" s="192">
        <f>SUMIFS(Internal_labour_inputs!AS$8:AS$295,Internal_labour_inputs!$B$8:$B$295,$B51)</f>
        <v>0</v>
      </c>
      <c r="AL51" s="192">
        <f>SUMIFS(Internal_labour_inputs!AT$8:AT$295,Internal_labour_inputs!$B$8:$B$295,$B51)</f>
        <v>0</v>
      </c>
      <c r="AM51" s="192">
        <f>SUMIFS(Internal_labour_inputs!AU$8:AU$295,Internal_labour_inputs!$B$8:$B$295,$B51)</f>
        <v>0</v>
      </c>
      <c r="AN51" s="192">
        <f>SUMIFS(Internal_labour_inputs!AV$8:AV$295,Internal_labour_inputs!$B$8:$B$295,$B51)</f>
        <v>0</v>
      </c>
      <c r="AO51" s="192">
        <f>SUMIFS(Internal_labour_inputs!AW$8:AW$295,Internal_labour_inputs!$B$8:$B$295,$B51)</f>
        <v>0</v>
      </c>
      <c r="AP51" s="192">
        <f>SUMIFS(Internal_labour_inputs!AX$8:AX$295,Internal_labour_inputs!$B$8:$B$295,$B51)</f>
        <v>0</v>
      </c>
      <c r="AQ51" s="192">
        <f>SUMIFS(Internal_labour_inputs!AY$8:AY$295,Internal_labour_inputs!$B$8:$B$295,$B51)</f>
        <v>0</v>
      </c>
      <c r="AR51" s="192">
        <f>SUMIFS(Internal_labour_inputs!AZ$8:AZ$295,Internal_labour_inputs!$B$8:$B$295,$B51)</f>
        <v>0</v>
      </c>
      <c r="AS51" s="192">
        <f>SUMIFS(Internal_labour_inputs!BA$8:BA$295,Internal_labour_inputs!$B$8:$B$295,$B51)</f>
        <v>0</v>
      </c>
      <c r="AT51" s="192">
        <f>SUMIFS(Internal_labour_inputs!BB$8:BB$295,Internal_labour_inputs!$B$8:$B$295,$B51)</f>
        <v>0</v>
      </c>
      <c r="AU51" s="192">
        <f>SUMIFS(Internal_labour_inputs!BC$8:BC$295,Internal_labour_inputs!$B$8:$B$295,$B51)</f>
        <v>0</v>
      </c>
      <c r="AV51" s="192">
        <f>SUMIFS(Internal_labour_inputs!BD$8:BD$295,Internal_labour_inputs!$B$8:$B$295,$B51)</f>
        <v>0</v>
      </c>
      <c r="AW51" s="192">
        <f>SUMIFS(Internal_labour_inputs!BE$8:BE$295,Internal_labour_inputs!$B$8:$B$295,$B51)</f>
        <v>0</v>
      </c>
      <c r="AX51" s="192">
        <f>SUMIFS(Internal_labour_inputs!BF$8:BF$295,Internal_labour_inputs!$B$8:$B$295,$B51)</f>
        <v>0</v>
      </c>
      <c r="AY51" s="192">
        <f>SUMIFS(Internal_labour_inputs!BG$8:BG$295,Internal_labour_inputs!$B$8:$B$295,$B51)</f>
        <v>0</v>
      </c>
      <c r="AZ51" s="192">
        <f>SUMIFS(Internal_labour_inputs!BH$8:BH$295,Internal_labour_inputs!$B$8:$B$295,$B51)</f>
        <v>0</v>
      </c>
      <c r="BA51" s="192">
        <f>SUMIFS(Internal_labour_inputs!BI$8:BI$295,Internal_labour_inputs!$B$8:$B$295,$B51)</f>
        <v>0</v>
      </c>
      <c r="BB51" s="192">
        <f>SUMIFS(Internal_labour_inputs!BJ$8:BJ$295,Internal_labour_inputs!$B$8:$B$295,$B51)</f>
        <v>0</v>
      </c>
      <c r="BC51" s="192">
        <f>SUMIFS(Internal_labour_inputs!BK$8:BK$295,Internal_labour_inputs!$B$8:$B$295,$B51)</f>
        <v>0</v>
      </c>
      <c r="BD51" s="192">
        <f>SUMIFS(Internal_labour_inputs!BL$8:BL$295,Internal_labour_inputs!$B$8:$B$295,$B51)</f>
        <v>0</v>
      </c>
      <c r="BE51" s="192">
        <f>SUMIFS(Internal_labour_inputs!BM$8:BM$295,Internal_labour_inputs!$B$8:$B$295,$B51)</f>
        <v>0</v>
      </c>
      <c r="BF51" s="192">
        <f>SUMIFS(Internal_labour_inputs!BN$8:BN$295,Internal_labour_inputs!$B$8:$B$295,$B51)</f>
        <v>0</v>
      </c>
      <c r="BG51" s="192">
        <f>SUMIFS(Internal_labour_inputs!BO$8:BO$295,Internal_labour_inputs!$B$8:$B$295,$B51)</f>
        <v>0</v>
      </c>
      <c r="BH51" s="192">
        <f>SUMIFS(Internal_labour_inputs!BP$8:BP$295,Internal_labour_inputs!$B$8:$B$295,$B51)</f>
        <v>0</v>
      </c>
      <c r="BI51" s="192">
        <f>SUMIFS(Internal_labour_inputs!BQ$8:BQ$295,Internal_labour_inputs!$B$8:$B$295,$B51)</f>
        <v>0</v>
      </c>
      <c r="BJ51" s="192">
        <f>SUMIFS(Internal_labour_inputs!BR$8:BR$295,Internal_labour_inputs!$B$8:$B$295,$B51)</f>
        <v>0</v>
      </c>
      <c r="BK51" s="192">
        <f>SUMIFS(Internal_labour_inputs!BS$8:BS$295,Internal_labour_inputs!$B$8:$B$295,$B51)</f>
        <v>0</v>
      </c>
      <c r="BL51" s="192">
        <f>SUMIFS(Internal_labour_inputs!BT$8:BT$295,Internal_labour_inputs!$B$8:$B$295,$B51)</f>
        <v>0</v>
      </c>
      <c r="BM51" s="192">
        <f>SUMIFS(Internal_labour_inputs!BU$8:BU$295,Internal_labour_inputs!$B$8:$B$295,$B51)</f>
        <v>0</v>
      </c>
      <c r="BN51" s="192">
        <f>SUMIFS(Internal_labour_inputs!BV$8:BV$295,Internal_labour_inputs!$B$8:$B$295,$B51)</f>
        <v>0</v>
      </c>
      <c r="BO51" s="192">
        <f>SUMIFS(Internal_labour_inputs!BW$8:BW$295,Internal_labour_inputs!$B$8:$B$295,$B51)</f>
        <v>0</v>
      </c>
      <c r="BP51" s="192">
        <f>SUMIFS(Internal_labour_inputs!BX$8:BX$295,Internal_labour_inputs!$B$8:$B$295,$B51)</f>
        <v>0</v>
      </c>
      <c r="BQ51" s="192">
        <f>SUMIFS(Internal_labour_inputs!BY$8:BY$295,Internal_labour_inputs!$B$8:$B$295,$B51)</f>
        <v>0</v>
      </c>
      <c r="BR51" s="192">
        <f>SUMIFS(Internal_labour_inputs!BZ$8:BZ$295,Internal_labour_inputs!$B$8:$B$295,$B51)</f>
        <v>0</v>
      </c>
      <c r="BS51" s="192">
        <f>SUMIFS(Internal_labour_inputs!CA$8:CA$295,Internal_labour_inputs!$B$8:$B$295,$B51)</f>
        <v>0</v>
      </c>
      <c r="BT51" s="192">
        <f>SUMIFS(Internal_labour_inputs!CB$8:CB$295,Internal_labour_inputs!$B$8:$B$295,$B51)</f>
        <v>0</v>
      </c>
      <c r="BU51" s="192">
        <f>SUMIFS(Internal_labour_inputs!CC$8:CC$295,Internal_labour_inputs!$B$8:$B$295,$B51)</f>
        <v>0</v>
      </c>
      <c r="BV51" s="192">
        <f>SUMIFS(Internal_labour_inputs!CD$8:CD$295,Internal_labour_inputs!$B$8:$B$295,$B51)</f>
        <v>0</v>
      </c>
      <c r="BW51" s="192">
        <f>SUMIFS(Internal_labour_inputs!CE$8:CE$295,Internal_labour_inputs!$B$8:$B$295,$B51)</f>
        <v>0</v>
      </c>
      <c r="BX51" s="192">
        <f>SUMIFS(Internal_labour_inputs!CF$8:CF$295,Internal_labour_inputs!$B$8:$B$295,$B51)</f>
        <v>0</v>
      </c>
      <c r="BY51" s="192">
        <f>SUMIFS(Internal_labour_inputs!CG$8:CG$295,Internal_labour_inputs!$B$8:$B$295,$B51)</f>
        <v>0</v>
      </c>
      <c r="BZ51" s="192">
        <f>SUMIFS(Internal_labour_inputs!CH$8:CH$295,Internal_labour_inputs!$B$8:$B$295,$B51)</f>
        <v>0</v>
      </c>
      <c r="CA51" s="192">
        <f>SUMIFS(Internal_labour_inputs!CI$8:CI$295,Internal_labour_inputs!$B$8:$B$295,$B51)</f>
        <v>0</v>
      </c>
      <c r="CB51" s="192">
        <f>SUMIFS(Internal_labour_inputs!CJ$8:CJ$295,Internal_labour_inputs!$B$8:$B$295,$B51)</f>
        <v>0</v>
      </c>
      <c r="CC51" s="192">
        <f>SUMIFS(Internal_labour_inputs!CK$8:CK$295,Internal_labour_inputs!$B$8:$B$295,$B51)</f>
        <v>0</v>
      </c>
      <c r="CD51" s="192">
        <f>SUMIFS(Internal_labour_inputs!CL$8:CL$295,Internal_labour_inputs!$B$8:$B$295,$B51)</f>
        <v>0</v>
      </c>
      <c r="CE51" s="192">
        <f>SUMIFS(Internal_labour_inputs!CM$8:CM$295,Internal_labour_inputs!$B$8:$B$295,$B51)</f>
        <v>0</v>
      </c>
      <c r="CF51" s="192">
        <f>SUMIFS(Internal_labour_inputs!CN$8:CN$295,Internal_labour_inputs!$B$8:$B$295,$B51)</f>
        <v>0</v>
      </c>
      <c r="CG51" s="192">
        <f>SUMIFS(Internal_labour_inputs!CO$8:CO$295,Internal_labour_inputs!$B$8:$B$295,$B51)</f>
        <v>0</v>
      </c>
      <c r="CH51" s="192">
        <f>SUMIFS(Internal_labour_inputs!CP$8:CP$295,Internal_labour_inputs!$B$8:$B$295,$B51)</f>
        <v>0</v>
      </c>
      <c r="CI51" s="192">
        <f t="shared" ref="CI51:CI64" si="15">SUM(C51:CH51)</f>
        <v>6.9992581453634086</v>
      </c>
      <c r="CJ51" s="192">
        <f>AVERAGEIF($C$64:$CH$64,"&gt;0",C51:CH51)</f>
        <v>0.14581787802840435</v>
      </c>
      <c r="CK51" s="192">
        <f>AVERAGEIFS($X51:$CE51,$X$64:$CE$64,"&gt;0")</f>
        <v>3.7634408602150532E-2</v>
      </c>
      <c r="CL51" s="194"/>
    </row>
    <row r="52" spans="1:90" x14ac:dyDescent="0.3">
      <c r="B52" s="191" t="str">
        <f t="shared" ref="B52:B63" si="16">$B12</f>
        <v>Fleet</v>
      </c>
      <c r="C52" s="192">
        <f>SUMIFS(Internal_labour_inputs!K$8:K$295,Internal_labour_inputs!$B$8:$B$295,$B52)</f>
        <v>0</v>
      </c>
      <c r="D52" s="192">
        <f>SUMIFS(Internal_labour_inputs!L$8:L$295,Internal_labour_inputs!$B$8:$B$295,$B52)</f>
        <v>0</v>
      </c>
      <c r="E52" s="192">
        <f>SUMIFS(Internal_labour_inputs!M$8:M$295,Internal_labour_inputs!$B$8:$B$295,$B52)</f>
        <v>0</v>
      </c>
      <c r="F52" s="192">
        <f>SUMIFS(Internal_labour_inputs!N$8:N$295,Internal_labour_inputs!$B$8:$B$295,$B52)</f>
        <v>0</v>
      </c>
      <c r="G52" s="192">
        <f>SUMIFS(Internal_labour_inputs!O$8:O$295,Internal_labour_inputs!$B$8:$B$295,$B52)</f>
        <v>0</v>
      </c>
      <c r="H52" s="192">
        <f>SUMIFS(Internal_labour_inputs!P$8:P$295,Internal_labour_inputs!$B$8:$B$295,$B52)</f>
        <v>0</v>
      </c>
      <c r="I52" s="192">
        <f>SUMIFS(Internal_labour_inputs!Q$8:Q$295,Internal_labour_inputs!$B$8:$B$295,$B52)</f>
        <v>0</v>
      </c>
      <c r="J52" s="192">
        <f>SUMIFS(Internal_labour_inputs!R$8:R$295,Internal_labour_inputs!$B$8:$B$295,$B52)</f>
        <v>0</v>
      </c>
      <c r="K52" s="192">
        <f>SUMIFS(Internal_labour_inputs!S$8:S$295,Internal_labour_inputs!$B$8:$B$295,$B52)</f>
        <v>0</v>
      </c>
      <c r="L52" s="192">
        <f>SUMIFS(Internal_labour_inputs!T$8:T$295,Internal_labour_inputs!$B$8:$B$295,$B52)</f>
        <v>0</v>
      </c>
      <c r="M52" s="192">
        <f>SUMIFS(Internal_labour_inputs!U$8:U$295,Internal_labour_inputs!$B$8:$B$295,$B52)</f>
        <v>0</v>
      </c>
      <c r="N52" s="192">
        <f>SUMIFS(Internal_labour_inputs!V$8:V$295,Internal_labour_inputs!$B$8:$B$295,$B52)</f>
        <v>0</v>
      </c>
      <c r="O52" s="192">
        <f>SUMIFS(Internal_labour_inputs!W$8:W$295,Internal_labour_inputs!$B$8:$B$295,$B52)</f>
        <v>0</v>
      </c>
      <c r="P52" s="192">
        <f>SUMIFS(Internal_labour_inputs!X$8:X$295,Internal_labour_inputs!$B$8:$B$295,$B52)</f>
        <v>0</v>
      </c>
      <c r="Q52" s="192">
        <f>SUMIFS(Internal_labour_inputs!Y$8:Y$295,Internal_labour_inputs!$B$8:$B$295,$B52)</f>
        <v>0</v>
      </c>
      <c r="R52" s="192">
        <f>SUMIFS(Internal_labour_inputs!Z$8:Z$295,Internal_labour_inputs!$B$8:$B$295,$B52)</f>
        <v>0</v>
      </c>
      <c r="S52" s="192">
        <f>SUMIFS(Internal_labour_inputs!AA$8:AA$295,Internal_labour_inputs!$B$8:$B$295,$B52)</f>
        <v>0</v>
      </c>
      <c r="T52" s="192">
        <f>SUMIFS(Internal_labour_inputs!AB$8:AB$295,Internal_labour_inputs!$B$8:$B$295,$B52)</f>
        <v>0</v>
      </c>
      <c r="U52" s="192">
        <f>SUMIFS(Internal_labour_inputs!AC$8:AC$295,Internal_labour_inputs!$B$8:$B$295,$B52)</f>
        <v>0</v>
      </c>
      <c r="V52" s="192">
        <f>SUMIFS(Internal_labour_inputs!AD$8:AD$295,Internal_labour_inputs!$B$8:$B$295,$B52)</f>
        <v>0</v>
      </c>
      <c r="W52" s="192">
        <f>SUMIFS(Internal_labour_inputs!AE$8:AE$295,Internal_labour_inputs!$B$8:$B$295,$B52)</f>
        <v>0</v>
      </c>
      <c r="X52" s="192">
        <f>SUMIFS(Internal_labour_inputs!AF$8:AF$295,Internal_labour_inputs!$B$8:$B$295,$B52)</f>
        <v>0</v>
      </c>
      <c r="Y52" s="192">
        <f>SUMIFS(Internal_labour_inputs!AG$8:AG$295,Internal_labour_inputs!$B$8:$B$295,$B52)</f>
        <v>0</v>
      </c>
      <c r="Z52" s="192">
        <f>SUMIFS(Internal_labour_inputs!AH$8:AH$295,Internal_labour_inputs!$B$8:$B$295,$B52)</f>
        <v>0</v>
      </c>
      <c r="AA52" s="192">
        <f>SUMIFS(Internal_labour_inputs!AI$8:AI$295,Internal_labour_inputs!$B$8:$B$295,$B52)</f>
        <v>0</v>
      </c>
      <c r="AB52" s="192">
        <f>SUMIFS(Internal_labour_inputs!AJ$8:AJ$295,Internal_labour_inputs!$B$8:$B$295,$B52)</f>
        <v>0</v>
      </c>
      <c r="AC52" s="192">
        <f>SUMIFS(Internal_labour_inputs!AK$8:AK$295,Internal_labour_inputs!$B$8:$B$295,$B52)</f>
        <v>0</v>
      </c>
      <c r="AD52" s="192">
        <f>SUMIFS(Internal_labour_inputs!AL$8:AL$295,Internal_labour_inputs!$B$8:$B$295,$B52)</f>
        <v>0</v>
      </c>
      <c r="AE52" s="192">
        <f>SUMIFS(Internal_labour_inputs!AM$8:AM$295,Internal_labour_inputs!$B$8:$B$295,$B52)</f>
        <v>0</v>
      </c>
      <c r="AF52" s="192">
        <f>SUMIFS(Internal_labour_inputs!AN$8:AN$295,Internal_labour_inputs!$B$8:$B$295,$B52)</f>
        <v>0</v>
      </c>
      <c r="AG52" s="192">
        <f>SUMIFS(Internal_labour_inputs!AO$8:AO$295,Internal_labour_inputs!$B$8:$B$295,$B52)</f>
        <v>0</v>
      </c>
      <c r="AH52" s="192">
        <f>SUMIFS(Internal_labour_inputs!AP$8:AP$295,Internal_labour_inputs!$B$8:$B$295,$B52)</f>
        <v>0</v>
      </c>
      <c r="AI52" s="192">
        <f>SUMIFS(Internal_labour_inputs!AQ$8:AQ$295,Internal_labour_inputs!$B$8:$B$295,$B52)</f>
        <v>0</v>
      </c>
      <c r="AJ52" s="192">
        <f>SUMIFS(Internal_labour_inputs!AR$8:AR$295,Internal_labour_inputs!$B$8:$B$295,$B52)</f>
        <v>0</v>
      </c>
      <c r="AK52" s="192">
        <f>SUMIFS(Internal_labour_inputs!AS$8:AS$295,Internal_labour_inputs!$B$8:$B$295,$B52)</f>
        <v>0</v>
      </c>
      <c r="AL52" s="192">
        <f>SUMIFS(Internal_labour_inputs!AT$8:AT$295,Internal_labour_inputs!$B$8:$B$295,$B52)</f>
        <v>0</v>
      </c>
      <c r="AM52" s="192">
        <f>SUMIFS(Internal_labour_inputs!AU$8:AU$295,Internal_labour_inputs!$B$8:$B$295,$B52)</f>
        <v>0</v>
      </c>
      <c r="AN52" s="192">
        <f>SUMIFS(Internal_labour_inputs!AV$8:AV$295,Internal_labour_inputs!$B$8:$B$295,$B52)</f>
        <v>0</v>
      </c>
      <c r="AO52" s="192">
        <f>SUMIFS(Internal_labour_inputs!AW$8:AW$295,Internal_labour_inputs!$B$8:$B$295,$B52)</f>
        <v>0</v>
      </c>
      <c r="AP52" s="192">
        <f>SUMIFS(Internal_labour_inputs!AX$8:AX$295,Internal_labour_inputs!$B$8:$B$295,$B52)</f>
        <v>0</v>
      </c>
      <c r="AQ52" s="192">
        <f>SUMIFS(Internal_labour_inputs!AY$8:AY$295,Internal_labour_inputs!$B$8:$B$295,$B52)</f>
        <v>0</v>
      </c>
      <c r="AR52" s="192">
        <f>SUMIFS(Internal_labour_inputs!AZ$8:AZ$295,Internal_labour_inputs!$B$8:$B$295,$B52)</f>
        <v>0</v>
      </c>
      <c r="AS52" s="192">
        <f>SUMIFS(Internal_labour_inputs!BA$8:BA$295,Internal_labour_inputs!$B$8:$B$295,$B52)</f>
        <v>0</v>
      </c>
      <c r="AT52" s="192">
        <f>SUMIFS(Internal_labour_inputs!BB$8:BB$295,Internal_labour_inputs!$B$8:$B$295,$B52)</f>
        <v>0</v>
      </c>
      <c r="AU52" s="192">
        <f>SUMIFS(Internal_labour_inputs!BC$8:BC$295,Internal_labour_inputs!$B$8:$B$295,$B52)</f>
        <v>0</v>
      </c>
      <c r="AV52" s="192">
        <f>SUMIFS(Internal_labour_inputs!BD$8:BD$295,Internal_labour_inputs!$B$8:$B$295,$B52)</f>
        <v>0</v>
      </c>
      <c r="AW52" s="192">
        <f>SUMIFS(Internal_labour_inputs!BE$8:BE$295,Internal_labour_inputs!$B$8:$B$295,$B52)</f>
        <v>0</v>
      </c>
      <c r="AX52" s="192">
        <f>SUMIFS(Internal_labour_inputs!BF$8:BF$295,Internal_labour_inputs!$B$8:$B$295,$B52)</f>
        <v>0</v>
      </c>
      <c r="AY52" s="192">
        <f>SUMIFS(Internal_labour_inputs!BG$8:BG$295,Internal_labour_inputs!$B$8:$B$295,$B52)</f>
        <v>0</v>
      </c>
      <c r="AZ52" s="192">
        <f>SUMIFS(Internal_labour_inputs!BH$8:BH$295,Internal_labour_inputs!$B$8:$B$295,$B52)</f>
        <v>0</v>
      </c>
      <c r="BA52" s="192">
        <f>SUMIFS(Internal_labour_inputs!BI$8:BI$295,Internal_labour_inputs!$B$8:$B$295,$B52)</f>
        <v>0</v>
      </c>
      <c r="BB52" s="192">
        <f>SUMIFS(Internal_labour_inputs!BJ$8:BJ$295,Internal_labour_inputs!$B$8:$B$295,$B52)</f>
        <v>0</v>
      </c>
      <c r="BC52" s="192">
        <f>SUMIFS(Internal_labour_inputs!BK$8:BK$295,Internal_labour_inputs!$B$8:$B$295,$B52)</f>
        <v>0</v>
      </c>
      <c r="BD52" s="192">
        <f>SUMIFS(Internal_labour_inputs!BL$8:BL$295,Internal_labour_inputs!$B$8:$B$295,$B52)</f>
        <v>0</v>
      </c>
      <c r="BE52" s="192">
        <f>SUMIFS(Internal_labour_inputs!BM$8:BM$295,Internal_labour_inputs!$B$8:$B$295,$B52)</f>
        <v>0</v>
      </c>
      <c r="BF52" s="192">
        <f>SUMIFS(Internal_labour_inputs!BN$8:BN$295,Internal_labour_inputs!$B$8:$B$295,$B52)</f>
        <v>0</v>
      </c>
      <c r="BG52" s="192">
        <f>SUMIFS(Internal_labour_inputs!BO$8:BO$295,Internal_labour_inputs!$B$8:$B$295,$B52)</f>
        <v>0</v>
      </c>
      <c r="BH52" s="192">
        <f>SUMIFS(Internal_labour_inputs!BP$8:BP$295,Internal_labour_inputs!$B$8:$B$295,$B52)</f>
        <v>0</v>
      </c>
      <c r="BI52" s="192">
        <f>SUMIFS(Internal_labour_inputs!BQ$8:BQ$295,Internal_labour_inputs!$B$8:$B$295,$B52)</f>
        <v>0</v>
      </c>
      <c r="BJ52" s="192">
        <f>SUMIFS(Internal_labour_inputs!BR$8:BR$295,Internal_labour_inputs!$B$8:$B$295,$B52)</f>
        <v>0</v>
      </c>
      <c r="BK52" s="192">
        <f>SUMIFS(Internal_labour_inputs!BS$8:BS$295,Internal_labour_inputs!$B$8:$B$295,$B52)</f>
        <v>0</v>
      </c>
      <c r="BL52" s="192">
        <f>SUMIFS(Internal_labour_inputs!BT$8:BT$295,Internal_labour_inputs!$B$8:$B$295,$B52)</f>
        <v>0</v>
      </c>
      <c r="BM52" s="192">
        <f>SUMIFS(Internal_labour_inputs!BU$8:BU$295,Internal_labour_inputs!$B$8:$B$295,$B52)</f>
        <v>0</v>
      </c>
      <c r="BN52" s="192">
        <f>SUMIFS(Internal_labour_inputs!BV$8:BV$295,Internal_labour_inputs!$B$8:$B$295,$B52)</f>
        <v>0</v>
      </c>
      <c r="BO52" s="192">
        <f>SUMIFS(Internal_labour_inputs!BW$8:BW$295,Internal_labour_inputs!$B$8:$B$295,$B52)</f>
        <v>0</v>
      </c>
      <c r="BP52" s="192">
        <f>SUMIFS(Internal_labour_inputs!BX$8:BX$295,Internal_labour_inputs!$B$8:$B$295,$B52)</f>
        <v>0</v>
      </c>
      <c r="BQ52" s="192">
        <f>SUMIFS(Internal_labour_inputs!BY$8:BY$295,Internal_labour_inputs!$B$8:$B$295,$B52)</f>
        <v>0</v>
      </c>
      <c r="BR52" s="192">
        <f>SUMIFS(Internal_labour_inputs!BZ$8:BZ$295,Internal_labour_inputs!$B$8:$B$295,$B52)</f>
        <v>0</v>
      </c>
      <c r="BS52" s="192">
        <f>SUMIFS(Internal_labour_inputs!CA$8:CA$295,Internal_labour_inputs!$B$8:$B$295,$B52)</f>
        <v>0</v>
      </c>
      <c r="BT52" s="192">
        <f>SUMIFS(Internal_labour_inputs!CB$8:CB$295,Internal_labour_inputs!$B$8:$B$295,$B52)</f>
        <v>0</v>
      </c>
      <c r="BU52" s="192">
        <f>SUMIFS(Internal_labour_inputs!CC$8:CC$295,Internal_labour_inputs!$B$8:$B$295,$B52)</f>
        <v>0</v>
      </c>
      <c r="BV52" s="192">
        <f>SUMIFS(Internal_labour_inputs!CD$8:CD$295,Internal_labour_inputs!$B$8:$B$295,$B52)</f>
        <v>0</v>
      </c>
      <c r="BW52" s="192">
        <f>SUMIFS(Internal_labour_inputs!CE$8:CE$295,Internal_labour_inputs!$B$8:$B$295,$B52)</f>
        <v>0</v>
      </c>
      <c r="BX52" s="192">
        <f>SUMIFS(Internal_labour_inputs!CF$8:CF$295,Internal_labour_inputs!$B$8:$B$295,$B52)</f>
        <v>0</v>
      </c>
      <c r="BY52" s="192">
        <f>SUMIFS(Internal_labour_inputs!CG$8:CG$295,Internal_labour_inputs!$B$8:$B$295,$B52)</f>
        <v>0</v>
      </c>
      <c r="BZ52" s="192">
        <f>SUMIFS(Internal_labour_inputs!CH$8:CH$295,Internal_labour_inputs!$B$8:$B$295,$B52)</f>
        <v>0</v>
      </c>
      <c r="CA52" s="192">
        <f>SUMIFS(Internal_labour_inputs!CI$8:CI$295,Internal_labour_inputs!$B$8:$B$295,$B52)</f>
        <v>0</v>
      </c>
      <c r="CB52" s="192">
        <f>SUMIFS(Internal_labour_inputs!CJ$8:CJ$295,Internal_labour_inputs!$B$8:$B$295,$B52)</f>
        <v>0</v>
      </c>
      <c r="CC52" s="192">
        <f>SUMIFS(Internal_labour_inputs!CK$8:CK$295,Internal_labour_inputs!$B$8:$B$295,$B52)</f>
        <v>0</v>
      </c>
      <c r="CD52" s="192">
        <f>SUMIFS(Internal_labour_inputs!CL$8:CL$295,Internal_labour_inputs!$B$8:$B$295,$B52)</f>
        <v>0</v>
      </c>
      <c r="CE52" s="192">
        <f>SUMIFS(Internal_labour_inputs!CM$8:CM$295,Internal_labour_inputs!$B$8:$B$295,$B52)</f>
        <v>0</v>
      </c>
      <c r="CF52" s="192">
        <f>SUMIFS(Internal_labour_inputs!CN$8:CN$295,Internal_labour_inputs!$B$8:$B$295,$B52)</f>
        <v>0</v>
      </c>
      <c r="CG52" s="192">
        <f>SUMIFS(Internal_labour_inputs!CO$8:CO$295,Internal_labour_inputs!$B$8:$B$295,$B52)</f>
        <v>0</v>
      </c>
      <c r="CH52" s="192">
        <f>SUMIFS(Internal_labour_inputs!CP$8:CP$295,Internal_labour_inputs!$B$8:$B$295,$B52)</f>
        <v>0</v>
      </c>
      <c r="CI52" s="192">
        <f t="shared" ref="CI52:CI63" si="17">SUM(C52:CH52)</f>
        <v>0</v>
      </c>
      <c r="CJ52" s="192">
        <f t="shared" ref="CJ52:CJ63" si="18">AVERAGEIF($C$64:$CH$64,"&gt;0",C52:CH52)</f>
        <v>0</v>
      </c>
      <c r="CK52" s="192">
        <f t="shared" ref="CK52:CK63" si="19">AVERAGEIFS($X52:$CE52,$X$64:$CE$64,"&gt;0")</f>
        <v>0</v>
      </c>
      <c r="CL52" s="194"/>
    </row>
    <row r="53" spans="1:90" x14ac:dyDescent="0.3">
      <c r="B53" s="191" t="str">
        <f t="shared" si="16"/>
        <v>Land and Environment</v>
      </c>
      <c r="C53" s="192">
        <f>SUMIFS(Internal_labour_inputs!K$8:K$295,Internal_labour_inputs!$B$8:$B$295,$B53)</f>
        <v>0</v>
      </c>
      <c r="D53" s="192">
        <f>SUMIFS(Internal_labour_inputs!L$8:L$295,Internal_labour_inputs!$B$8:$B$295,$B53)</f>
        <v>0</v>
      </c>
      <c r="E53" s="192">
        <f>SUMIFS(Internal_labour_inputs!M$8:M$295,Internal_labour_inputs!$B$8:$B$295,$B53)</f>
        <v>0</v>
      </c>
      <c r="F53" s="192">
        <f>SUMIFS(Internal_labour_inputs!N$8:N$295,Internal_labour_inputs!$B$8:$B$295,$B53)</f>
        <v>0</v>
      </c>
      <c r="G53" s="192">
        <f>SUMIFS(Internal_labour_inputs!O$8:O$295,Internal_labour_inputs!$B$8:$B$295,$B53)</f>
        <v>0</v>
      </c>
      <c r="H53" s="192">
        <f>SUMIFS(Internal_labour_inputs!P$8:P$295,Internal_labour_inputs!$B$8:$B$295,$B53)</f>
        <v>0.15868421052631576</v>
      </c>
      <c r="I53" s="192">
        <f>SUMIFS(Internal_labour_inputs!Q$8:Q$295,Internal_labour_inputs!$B$8:$B$295,$B53)</f>
        <v>1.1181428571428575</v>
      </c>
      <c r="J53" s="192">
        <f>SUMIFS(Internal_labour_inputs!R$8:R$295,Internal_labour_inputs!$B$8:$B$295,$B53)</f>
        <v>0.94071428571428606</v>
      </c>
      <c r="K53" s="192">
        <f>SUMIFS(Internal_labour_inputs!S$8:S$295,Internal_labour_inputs!$B$8:$B$295,$B53)</f>
        <v>1.1078571428571431</v>
      </c>
      <c r="L53" s="192">
        <f>SUMIFS(Internal_labour_inputs!T$8:T$295,Internal_labour_inputs!$B$8:$B$295,$B53)</f>
        <v>1.3082857142857147</v>
      </c>
      <c r="M53" s="192">
        <f>SUMIFS(Internal_labour_inputs!U$8:U$295,Internal_labour_inputs!$B$8:$B$295,$B53)</f>
        <v>0.96571428571428597</v>
      </c>
      <c r="N53" s="192">
        <f>SUMIFS(Internal_labour_inputs!V$8:V$295,Internal_labour_inputs!$B$8:$B$295,$B53)</f>
        <v>1.2537142857142862</v>
      </c>
      <c r="O53" s="192">
        <f>SUMIFS(Internal_labour_inputs!W$8:W$295,Internal_labour_inputs!$B$8:$B$295,$B53)</f>
        <v>0.53980952380952385</v>
      </c>
      <c r="P53" s="192">
        <f>SUMIFS(Internal_labour_inputs!X$8:X$295,Internal_labour_inputs!$B$8:$B$295,$B53)</f>
        <v>0.75</v>
      </c>
      <c r="Q53" s="192">
        <f>SUMIFS(Internal_labour_inputs!Y$8:Y$295,Internal_labour_inputs!$B$8:$B$295,$B53)</f>
        <v>1.3500000000000003</v>
      </c>
      <c r="R53" s="192">
        <f>SUMIFS(Internal_labour_inputs!Z$8:Z$295,Internal_labour_inputs!$B$8:$B$295,$B53)</f>
        <v>1.4</v>
      </c>
      <c r="S53" s="192">
        <f>SUMIFS(Internal_labour_inputs!AA$8:AA$295,Internal_labour_inputs!$B$8:$B$295,$B53)</f>
        <v>3.3750000000000018</v>
      </c>
      <c r="T53" s="192">
        <f>SUMIFS(Internal_labour_inputs!AB$8:AB$295,Internal_labour_inputs!$B$8:$B$295,$B53)</f>
        <v>3.5065789473684221</v>
      </c>
      <c r="U53" s="192">
        <f>SUMIFS(Internal_labour_inputs!AC$8:AC$295,Internal_labour_inputs!$B$8:$B$295,$B53)</f>
        <v>4.1928571428571422</v>
      </c>
      <c r="V53" s="192">
        <f>SUMIFS(Internal_labour_inputs!AD$8:AD$295,Internal_labour_inputs!$B$8:$B$295,$B53)</f>
        <v>3.5285714285714285</v>
      </c>
      <c r="W53" s="192">
        <f>SUMIFS(Internal_labour_inputs!AE$8:AE$295,Internal_labour_inputs!$B$8:$B$295,$B53)</f>
        <v>3.257142857142858</v>
      </c>
      <c r="X53" s="192">
        <f>SUMIFS(Internal_labour_inputs!AF$8:AF$295,Internal_labour_inputs!$B$8:$B$295,$B53)</f>
        <v>3.257142857142858</v>
      </c>
      <c r="Y53" s="192">
        <f>SUMIFS(Internal_labour_inputs!AG$8:AG$295,Internal_labour_inputs!$B$8:$B$295,$B53)</f>
        <v>3.1142857142857143</v>
      </c>
      <c r="Z53" s="192">
        <f>SUMIFS(Internal_labour_inputs!AH$8:AH$295,Internal_labour_inputs!$B$8:$B$295,$B53)</f>
        <v>3.2000000000000006</v>
      </c>
      <c r="AA53" s="192">
        <f>SUMIFS(Internal_labour_inputs!AI$8:AI$295,Internal_labour_inputs!$B$8:$B$295,$B53)</f>
        <v>5.7523809523809533</v>
      </c>
      <c r="AB53" s="192">
        <f>SUMIFS(Internal_labour_inputs!AJ$8:AJ$295,Internal_labour_inputs!$B$8:$B$295,$B53)</f>
        <v>2.9714285714285715</v>
      </c>
      <c r="AC53" s="192">
        <f>SUMIFS(Internal_labour_inputs!AK$8:AK$295,Internal_labour_inputs!$B$8:$B$295,$B53)</f>
        <v>2.9714285714285715</v>
      </c>
      <c r="AD53" s="192">
        <f>SUMIFS(Internal_labour_inputs!AL$8:AL$295,Internal_labour_inputs!$B$8:$B$295,$B53)</f>
        <v>4.5333333333333341</v>
      </c>
      <c r="AE53" s="192">
        <f>SUMIFS(Internal_labour_inputs!AM$8:AM$295,Internal_labour_inputs!$B$8:$B$295,$B53)</f>
        <v>3.1578947368421053</v>
      </c>
      <c r="AF53" s="192">
        <f>SUMIFS(Internal_labour_inputs!AN$8:AN$295,Internal_labour_inputs!$B$8:$B$295,$B53)</f>
        <v>3.026315789473685</v>
      </c>
      <c r="AG53" s="192">
        <f>SUMIFS(Internal_labour_inputs!AO$8:AO$295,Internal_labour_inputs!$B$8:$B$295,$B53)</f>
        <v>3.257142857142858</v>
      </c>
      <c r="AH53" s="192">
        <f>SUMIFS(Internal_labour_inputs!AP$8:AP$295,Internal_labour_inputs!$B$8:$B$295,$B53)</f>
        <v>3.1142857142857143</v>
      </c>
      <c r="AI53" s="192">
        <f>SUMIFS(Internal_labour_inputs!AQ$8:AQ$295,Internal_labour_inputs!$B$8:$B$295,$B53)</f>
        <v>3.257142857142858</v>
      </c>
      <c r="AJ53" s="192">
        <f>SUMIFS(Internal_labour_inputs!AR$8:AR$295,Internal_labour_inputs!$B$8:$B$295,$B53)</f>
        <v>3.257142857142858</v>
      </c>
      <c r="AK53" s="192">
        <f>SUMIFS(Internal_labour_inputs!AS$8:AS$295,Internal_labour_inputs!$B$8:$B$295,$B53)</f>
        <v>3.4571428571428569</v>
      </c>
      <c r="AL53" s="192">
        <f>SUMIFS(Internal_labour_inputs!AT$8:AT$295,Internal_labour_inputs!$B$8:$B$295,$B53)</f>
        <v>3.5047619047619047</v>
      </c>
      <c r="AM53" s="192">
        <f>SUMIFS(Internal_labour_inputs!AU$8:AU$295,Internal_labour_inputs!$B$8:$B$295,$B53)</f>
        <v>4.9904761904761896</v>
      </c>
      <c r="AN53" s="192">
        <f>SUMIFS(Internal_labour_inputs!AV$8:AV$295,Internal_labour_inputs!$B$8:$B$295,$B53)</f>
        <v>2.9714285714285715</v>
      </c>
      <c r="AO53" s="192">
        <f>SUMIFS(Internal_labour_inputs!AW$8:AW$295,Internal_labour_inputs!$B$8:$B$295,$B53)</f>
        <v>3.399999999999999</v>
      </c>
      <c r="AP53" s="192">
        <f>SUMIFS(Internal_labour_inputs!AX$8:AX$295,Internal_labour_inputs!$B$8:$B$295,$B53)</f>
        <v>3.961904761904762</v>
      </c>
      <c r="AQ53" s="192">
        <f>SUMIFS(Internal_labour_inputs!AY$8:AY$295,Internal_labour_inputs!$B$8:$B$295,$B53)</f>
        <v>3.447368421052631</v>
      </c>
      <c r="AR53" s="192">
        <f>SUMIFS(Internal_labour_inputs!AZ$8:AZ$295,Internal_labour_inputs!$B$8:$B$295,$B53)</f>
        <v>3.447368421052631</v>
      </c>
      <c r="AS53" s="192">
        <f>SUMIFS(Internal_labour_inputs!BA$8:BA$295,Internal_labour_inputs!$B$8:$B$295,$B53)</f>
        <v>2.9714285714285715</v>
      </c>
      <c r="AT53" s="192">
        <f>SUMIFS(Internal_labour_inputs!BB$8:BB$295,Internal_labour_inputs!$B$8:$B$295,$B53)</f>
        <v>3.257142857142858</v>
      </c>
      <c r="AU53" s="192">
        <f>SUMIFS(Internal_labour_inputs!BC$8:BC$295,Internal_labour_inputs!$B$8:$B$295,$B53)</f>
        <v>2.4914285714285715</v>
      </c>
      <c r="AV53" s="192">
        <f>SUMIFS(Internal_labour_inputs!BD$8:BD$295,Internal_labour_inputs!$B$8:$B$295,$B53)</f>
        <v>2.6057142857142859</v>
      </c>
      <c r="AW53" s="192">
        <f>SUMIFS(Internal_labour_inputs!BE$8:BE$295,Internal_labour_inputs!$B$8:$B$295,$B53)</f>
        <v>0.72</v>
      </c>
      <c r="AX53" s="192">
        <f>SUMIFS(Internal_labour_inputs!BF$8:BF$295,Internal_labour_inputs!$B$8:$B$295,$B53)</f>
        <v>0.62476190476190474</v>
      </c>
      <c r="AY53" s="192">
        <f>SUMIFS(Internal_labour_inputs!BG$8:BG$295,Internal_labour_inputs!$B$8:$B$295,$B53)</f>
        <v>0</v>
      </c>
      <c r="AZ53" s="192">
        <f>SUMIFS(Internal_labour_inputs!BH$8:BH$295,Internal_labour_inputs!$B$8:$B$295,$B53)</f>
        <v>0</v>
      </c>
      <c r="BA53" s="192">
        <f>SUMIFS(Internal_labour_inputs!BI$8:BI$295,Internal_labour_inputs!$B$8:$B$295,$B53)</f>
        <v>0</v>
      </c>
      <c r="BB53" s="192">
        <f>SUMIFS(Internal_labour_inputs!BJ$8:BJ$295,Internal_labour_inputs!$B$8:$B$295,$B53)</f>
        <v>0</v>
      </c>
      <c r="BC53" s="192">
        <f>SUMIFS(Internal_labour_inputs!BK$8:BK$295,Internal_labour_inputs!$B$8:$B$295,$B53)</f>
        <v>0</v>
      </c>
      <c r="BD53" s="192">
        <f>SUMIFS(Internal_labour_inputs!BL$8:BL$295,Internal_labour_inputs!$B$8:$B$295,$B53)</f>
        <v>0</v>
      </c>
      <c r="BE53" s="192">
        <f>SUMIFS(Internal_labour_inputs!BM$8:BM$295,Internal_labour_inputs!$B$8:$B$295,$B53)</f>
        <v>0</v>
      </c>
      <c r="BF53" s="192">
        <f>SUMIFS(Internal_labour_inputs!BN$8:BN$295,Internal_labour_inputs!$B$8:$B$295,$B53)</f>
        <v>0</v>
      </c>
      <c r="BG53" s="192">
        <f>SUMIFS(Internal_labour_inputs!BO$8:BO$295,Internal_labour_inputs!$B$8:$B$295,$B53)</f>
        <v>0</v>
      </c>
      <c r="BH53" s="192">
        <f>SUMIFS(Internal_labour_inputs!BP$8:BP$295,Internal_labour_inputs!$B$8:$B$295,$B53)</f>
        <v>0</v>
      </c>
      <c r="BI53" s="192">
        <f>SUMIFS(Internal_labour_inputs!BQ$8:BQ$295,Internal_labour_inputs!$B$8:$B$295,$B53)</f>
        <v>0</v>
      </c>
      <c r="BJ53" s="192">
        <f>SUMIFS(Internal_labour_inputs!BR$8:BR$295,Internal_labour_inputs!$B$8:$B$295,$B53)</f>
        <v>0</v>
      </c>
      <c r="BK53" s="192">
        <f>SUMIFS(Internal_labour_inputs!BS$8:BS$295,Internal_labour_inputs!$B$8:$B$295,$B53)</f>
        <v>0</v>
      </c>
      <c r="BL53" s="192">
        <f>SUMIFS(Internal_labour_inputs!BT$8:BT$295,Internal_labour_inputs!$B$8:$B$295,$B53)</f>
        <v>0</v>
      </c>
      <c r="BM53" s="192">
        <f>SUMIFS(Internal_labour_inputs!BU$8:BU$295,Internal_labour_inputs!$B$8:$B$295,$B53)</f>
        <v>0</v>
      </c>
      <c r="BN53" s="192">
        <f>SUMIFS(Internal_labour_inputs!BV$8:BV$295,Internal_labour_inputs!$B$8:$B$295,$B53)</f>
        <v>0</v>
      </c>
      <c r="BO53" s="192">
        <f>SUMIFS(Internal_labour_inputs!BW$8:BW$295,Internal_labour_inputs!$B$8:$B$295,$B53)</f>
        <v>0</v>
      </c>
      <c r="BP53" s="192">
        <f>SUMIFS(Internal_labour_inputs!BX$8:BX$295,Internal_labour_inputs!$B$8:$B$295,$B53)</f>
        <v>0</v>
      </c>
      <c r="BQ53" s="192">
        <f>SUMIFS(Internal_labour_inputs!BY$8:BY$295,Internal_labour_inputs!$B$8:$B$295,$B53)</f>
        <v>0</v>
      </c>
      <c r="BR53" s="192">
        <f>SUMIFS(Internal_labour_inputs!BZ$8:BZ$295,Internal_labour_inputs!$B$8:$B$295,$B53)</f>
        <v>0</v>
      </c>
      <c r="BS53" s="192">
        <f>SUMIFS(Internal_labour_inputs!CA$8:CA$295,Internal_labour_inputs!$B$8:$B$295,$B53)</f>
        <v>0</v>
      </c>
      <c r="BT53" s="192">
        <f>SUMIFS(Internal_labour_inputs!CB$8:CB$295,Internal_labour_inputs!$B$8:$B$295,$B53)</f>
        <v>0</v>
      </c>
      <c r="BU53" s="192">
        <f>SUMIFS(Internal_labour_inputs!CC$8:CC$295,Internal_labour_inputs!$B$8:$B$295,$B53)</f>
        <v>0</v>
      </c>
      <c r="BV53" s="192">
        <f>SUMIFS(Internal_labour_inputs!CD$8:CD$295,Internal_labour_inputs!$B$8:$B$295,$B53)</f>
        <v>0</v>
      </c>
      <c r="BW53" s="192">
        <f>SUMIFS(Internal_labour_inputs!CE$8:CE$295,Internal_labour_inputs!$B$8:$B$295,$B53)</f>
        <v>0</v>
      </c>
      <c r="BX53" s="192">
        <f>SUMIFS(Internal_labour_inputs!CF$8:CF$295,Internal_labour_inputs!$B$8:$B$295,$B53)</f>
        <v>0</v>
      </c>
      <c r="BY53" s="192">
        <f>SUMIFS(Internal_labour_inputs!CG$8:CG$295,Internal_labour_inputs!$B$8:$B$295,$B53)</f>
        <v>0</v>
      </c>
      <c r="BZ53" s="192">
        <f>SUMIFS(Internal_labour_inputs!CH$8:CH$295,Internal_labour_inputs!$B$8:$B$295,$B53)</f>
        <v>0</v>
      </c>
      <c r="CA53" s="192">
        <f>SUMIFS(Internal_labour_inputs!CI$8:CI$295,Internal_labour_inputs!$B$8:$B$295,$B53)</f>
        <v>0</v>
      </c>
      <c r="CB53" s="192">
        <f>SUMIFS(Internal_labour_inputs!CJ$8:CJ$295,Internal_labour_inputs!$B$8:$B$295,$B53)</f>
        <v>0</v>
      </c>
      <c r="CC53" s="192">
        <f>SUMIFS(Internal_labour_inputs!CK$8:CK$295,Internal_labour_inputs!$B$8:$B$295,$B53)</f>
        <v>0</v>
      </c>
      <c r="CD53" s="192">
        <f>SUMIFS(Internal_labour_inputs!CL$8:CL$295,Internal_labour_inputs!$B$8:$B$295,$B53)</f>
        <v>0</v>
      </c>
      <c r="CE53" s="192">
        <f>SUMIFS(Internal_labour_inputs!CM$8:CM$295,Internal_labour_inputs!$B$8:$B$295,$B53)</f>
        <v>0</v>
      </c>
      <c r="CF53" s="192">
        <f>SUMIFS(Internal_labour_inputs!CN$8:CN$295,Internal_labour_inputs!$B$8:$B$295,$B53)</f>
        <v>0</v>
      </c>
      <c r="CG53" s="192">
        <f>SUMIFS(Internal_labour_inputs!CO$8:CO$295,Internal_labour_inputs!$B$8:$B$295,$B53)</f>
        <v>0</v>
      </c>
      <c r="CH53" s="192">
        <f>SUMIFS(Internal_labour_inputs!CP$8:CP$295,Internal_labour_inputs!$B$8:$B$295,$B53)</f>
        <v>0</v>
      </c>
      <c r="CI53" s="192">
        <f t="shared" si="17"/>
        <v>115.47392481203009</v>
      </c>
      <c r="CJ53" s="192">
        <f t="shared" si="18"/>
        <v>2.4057067669172936</v>
      </c>
      <c r="CK53" s="192">
        <f t="shared" si="19"/>
        <v>2.7974468429137365</v>
      </c>
      <c r="CL53" s="194"/>
    </row>
    <row r="54" spans="1:90" x14ac:dyDescent="0.3">
      <c r="B54" s="191" t="str">
        <f t="shared" si="16"/>
        <v>Other Support &amp; Corporate Roles</v>
      </c>
      <c r="C54" s="192">
        <f>SUMIFS(Internal_labour_inputs!K$8:K$295,Internal_labour_inputs!$B$8:$B$295,$B54)</f>
        <v>0</v>
      </c>
      <c r="D54" s="192">
        <f>SUMIFS(Internal_labour_inputs!L$8:L$295,Internal_labour_inputs!$B$8:$B$295,$B54)</f>
        <v>0</v>
      </c>
      <c r="E54" s="192">
        <f>SUMIFS(Internal_labour_inputs!M$8:M$295,Internal_labour_inputs!$B$8:$B$295,$B54)</f>
        <v>0</v>
      </c>
      <c r="F54" s="192">
        <f>SUMIFS(Internal_labour_inputs!N$8:N$295,Internal_labour_inputs!$B$8:$B$295,$B54)</f>
        <v>0</v>
      </c>
      <c r="G54" s="192">
        <f>SUMIFS(Internal_labour_inputs!O$8:O$295,Internal_labour_inputs!$B$8:$B$295,$B54)</f>
        <v>0</v>
      </c>
      <c r="H54" s="192">
        <f>SUMIFS(Internal_labour_inputs!P$8:P$295,Internal_labour_inputs!$B$8:$B$295,$B54)</f>
        <v>0</v>
      </c>
      <c r="I54" s="192">
        <f>SUMIFS(Internal_labour_inputs!Q$8:Q$295,Internal_labour_inputs!$B$8:$B$295,$B54)</f>
        <v>0.15714285714285714</v>
      </c>
      <c r="J54" s="192">
        <f>SUMIFS(Internal_labour_inputs!R$8:R$295,Internal_labour_inputs!$B$8:$B$295,$B54)</f>
        <v>0.93571428571428572</v>
      </c>
      <c r="K54" s="192">
        <f>SUMIFS(Internal_labour_inputs!S$8:S$295,Internal_labour_inputs!$B$8:$B$295,$B54)</f>
        <v>1.4928571428571431</v>
      </c>
      <c r="L54" s="192">
        <f>SUMIFS(Internal_labour_inputs!T$8:T$295,Internal_labour_inputs!$B$8:$B$295,$B54)</f>
        <v>1.7749999999999999</v>
      </c>
      <c r="M54" s="192">
        <f>SUMIFS(Internal_labour_inputs!U$8:U$295,Internal_labour_inputs!$B$8:$B$295,$B54)</f>
        <v>0.87499999999999989</v>
      </c>
      <c r="N54" s="192">
        <f>SUMIFS(Internal_labour_inputs!V$8:V$295,Internal_labour_inputs!$B$8:$B$295,$B54)</f>
        <v>2.9857142857142858</v>
      </c>
      <c r="O54" s="192">
        <f>SUMIFS(Internal_labour_inputs!W$8:W$295,Internal_labour_inputs!$B$8:$B$295,$B54)</f>
        <v>1.857142857142857</v>
      </c>
      <c r="P54" s="192">
        <f>SUMIFS(Internal_labour_inputs!X$8:X$295,Internal_labour_inputs!$B$8:$B$295,$B54)</f>
        <v>11.38482123008381</v>
      </c>
      <c r="Q54" s="192">
        <f>SUMIFS(Internal_labour_inputs!Y$8:Y$295,Internal_labour_inputs!$B$8:$B$295,$B54)</f>
        <v>12.320775311956609</v>
      </c>
      <c r="R54" s="192">
        <f>SUMIFS(Internal_labour_inputs!Z$8:Z$295,Internal_labour_inputs!$B$8:$B$295,$B54)</f>
        <v>18.335764252380081</v>
      </c>
      <c r="S54" s="192">
        <f>SUMIFS(Internal_labour_inputs!AA$8:AA$295,Internal_labour_inputs!$B$8:$B$295,$B54)</f>
        <v>11.583335507728892</v>
      </c>
      <c r="T54" s="192">
        <f>SUMIFS(Internal_labour_inputs!AB$8:AB$295,Internal_labour_inputs!$B$8:$B$295,$B54)</f>
        <v>11.771507527028142</v>
      </c>
      <c r="U54" s="192">
        <f>SUMIFS(Internal_labour_inputs!AC$8:AC$295,Internal_labour_inputs!$B$8:$B$295,$B54)</f>
        <v>14.243614410433183</v>
      </c>
      <c r="V54" s="192">
        <f>SUMIFS(Internal_labour_inputs!AD$8:AD$295,Internal_labour_inputs!$B$8:$B$295,$B54)</f>
        <v>12.480032334593337</v>
      </c>
      <c r="W54" s="192">
        <f>SUMIFS(Internal_labour_inputs!AE$8:AE$295,Internal_labour_inputs!$B$8:$B$295,$B54)</f>
        <v>15.232377497237902</v>
      </c>
      <c r="X54" s="192">
        <f>SUMIFS(Internal_labour_inputs!AF$8:AF$295,Internal_labour_inputs!$B$8:$B$295,$B54)</f>
        <v>11.579179616144637</v>
      </c>
      <c r="Y54" s="192">
        <f>SUMIFS(Internal_labour_inputs!AG$8:AG$295,Internal_labour_inputs!$B$8:$B$295,$B54)</f>
        <v>11.09894922125468</v>
      </c>
      <c r="Z54" s="192">
        <f>SUMIFS(Internal_labour_inputs!AH$8:AH$295,Internal_labour_inputs!$B$8:$B$295,$B54)</f>
        <v>14.09669095330502</v>
      </c>
      <c r="AA54" s="192">
        <f>SUMIFS(Internal_labour_inputs!AI$8:AI$295,Internal_labour_inputs!$B$8:$B$295,$B54)</f>
        <v>20.108482394828584</v>
      </c>
      <c r="AB54" s="192">
        <f>SUMIFS(Internal_labour_inputs!AJ$8:AJ$295,Internal_labour_inputs!$B$8:$B$295,$B54)</f>
        <v>11.692790295535339</v>
      </c>
      <c r="AC54" s="192">
        <f>SUMIFS(Internal_labour_inputs!AK$8:AK$295,Internal_labour_inputs!$B$8:$B$295,$B54)</f>
        <v>13.163894435284144</v>
      </c>
      <c r="AD54" s="192">
        <f>SUMIFS(Internal_labour_inputs!AL$8:AL$295,Internal_labour_inputs!$B$8:$B$295,$B54)</f>
        <v>15.752913635087866</v>
      </c>
      <c r="AE54" s="192">
        <f>SUMIFS(Internal_labour_inputs!AM$8:AM$295,Internal_labour_inputs!$B$8:$B$295,$B54)</f>
        <v>9.8631577033842479</v>
      </c>
      <c r="AF54" s="192">
        <f>SUMIFS(Internal_labour_inputs!AN$8:AN$295,Internal_labour_inputs!$B$8:$B$295,$B54)</f>
        <v>11.20805079951519</v>
      </c>
      <c r="AG54" s="192">
        <f>SUMIFS(Internal_labour_inputs!AO$8:AO$295,Internal_labour_inputs!$B$8:$B$295,$B54)</f>
        <v>9.9256443184316847</v>
      </c>
      <c r="AH54" s="192">
        <f>SUMIFS(Internal_labour_inputs!AP$8:AP$295,Internal_labour_inputs!$B$8:$B$295,$B54)</f>
        <v>9.9256443184316847</v>
      </c>
      <c r="AI54" s="192">
        <f>SUMIFS(Internal_labour_inputs!AQ$8:AQ$295,Internal_labour_inputs!$B$8:$B$295,$B54)</f>
        <v>12.613323295773816</v>
      </c>
      <c r="AJ54" s="192">
        <f>SUMIFS(Internal_labour_inputs!AR$8:AR$295,Internal_labour_inputs!$B$8:$B$295,$B54)</f>
        <v>10.138108522963259</v>
      </c>
      <c r="AK54" s="192">
        <f>SUMIFS(Internal_labour_inputs!AS$8:AS$295,Internal_labour_inputs!$B$8:$B$295,$B54)</f>
        <v>10.818865213941045</v>
      </c>
      <c r="AL54" s="192">
        <f>SUMIFS(Internal_labour_inputs!AT$8:AT$295,Internal_labour_inputs!$B$8:$B$295,$B54)</f>
        <v>11.015346692554361</v>
      </c>
      <c r="AM54" s="192">
        <f>SUMIFS(Internal_labour_inputs!AU$8:AU$295,Internal_labour_inputs!$B$8:$B$295,$B54)</f>
        <v>18.392015649494684</v>
      </c>
      <c r="AN54" s="192">
        <f>SUMIFS(Internal_labour_inputs!AV$8:AV$295,Internal_labour_inputs!$B$8:$B$295,$B54)</f>
        <v>12.249661359486014</v>
      </c>
      <c r="AO54" s="192">
        <f>SUMIFS(Internal_labour_inputs!AW$8:AW$295,Internal_labour_inputs!$B$8:$B$295,$B54)</f>
        <v>14.251543502811781</v>
      </c>
      <c r="AP54" s="192">
        <f>SUMIFS(Internal_labour_inputs!AX$8:AX$295,Internal_labour_inputs!$B$8:$B$295,$B54)</f>
        <v>12.204240727082709</v>
      </c>
      <c r="AQ54" s="192">
        <f>SUMIFS(Internal_labour_inputs!AY$8:AY$295,Internal_labour_inputs!$B$8:$B$295,$B54)</f>
        <v>12.804053226274009</v>
      </c>
      <c r="AR54" s="192">
        <f>SUMIFS(Internal_labour_inputs!AZ$8:AZ$295,Internal_labour_inputs!$B$8:$B$295,$B54)</f>
        <v>9.5239340780011563</v>
      </c>
      <c r="AS54" s="192">
        <f>SUMIFS(Internal_labour_inputs!BA$8:BA$295,Internal_labour_inputs!$B$8:$B$295,$B54)</f>
        <v>7.8278090163913765</v>
      </c>
      <c r="AT54" s="192">
        <f>SUMIFS(Internal_labour_inputs!BB$8:BB$295,Internal_labour_inputs!$B$8:$B$295,$B54)</f>
        <v>9.9327559653889832</v>
      </c>
      <c r="AU54" s="192">
        <f>SUMIFS(Internal_labour_inputs!BC$8:BC$295,Internal_labour_inputs!$B$8:$B$295,$B54)</f>
        <v>8.5778090163913774</v>
      </c>
      <c r="AV54" s="192">
        <f>SUMIFS(Internal_labour_inputs!BD$8:BD$295,Internal_labour_inputs!$B$8:$B$295,$B54)</f>
        <v>8.1235634615312051</v>
      </c>
      <c r="AW54" s="192">
        <f>SUMIFS(Internal_labour_inputs!BE$8:BE$295,Internal_labour_inputs!$B$8:$B$295,$B54)</f>
        <v>11.412169716708153</v>
      </c>
      <c r="AX54" s="192">
        <f>SUMIFS(Internal_labour_inputs!BF$8:BF$295,Internal_labour_inputs!$B$8:$B$295,$B54)</f>
        <v>10.686650172019155</v>
      </c>
      <c r="AY54" s="192">
        <f>SUMIFS(Internal_labour_inputs!BG$8:BG$295,Internal_labour_inputs!$B$8:$B$295,$B54)</f>
        <v>13.922061684108472</v>
      </c>
      <c r="AZ54" s="192">
        <f>SUMIFS(Internal_labour_inputs!BH$8:BH$295,Internal_labour_inputs!$B$8:$B$295,$B54)</f>
        <v>8.5265062548950183</v>
      </c>
      <c r="BA54" s="192">
        <f>SUMIFS(Internal_labour_inputs!BI$8:BI$295,Internal_labour_inputs!$B$8:$B$295,$B54)</f>
        <v>8.3451147290769594</v>
      </c>
      <c r="BB54" s="192">
        <f>SUMIFS(Internal_labour_inputs!BJ$8:BJ$295,Internal_labour_inputs!$B$8:$B$295,$B54)</f>
        <v>9.7866412973539241</v>
      </c>
      <c r="BC54" s="192">
        <f>SUMIFS(Internal_labour_inputs!BK$8:BK$295,Internal_labour_inputs!$B$8:$B$295,$B54)</f>
        <v>0</v>
      </c>
      <c r="BD54" s="192">
        <f>SUMIFS(Internal_labour_inputs!BL$8:BL$295,Internal_labour_inputs!$B$8:$B$295,$B54)</f>
        <v>0</v>
      </c>
      <c r="BE54" s="192">
        <f>SUMIFS(Internal_labour_inputs!BM$8:BM$295,Internal_labour_inputs!$B$8:$B$295,$B54)</f>
        <v>0</v>
      </c>
      <c r="BF54" s="192">
        <f>SUMIFS(Internal_labour_inputs!BN$8:BN$295,Internal_labour_inputs!$B$8:$B$295,$B54)</f>
        <v>0</v>
      </c>
      <c r="BG54" s="192">
        <f>SUMIFS(Internal_labour_inputs!BO$8:BO$295,Internal_labour_inputs!$B$8:$B$295,$B54)</f>
        <v>0</v>
      </c>
      <c r="BH54" s="192">
        <f>SUMIFS(Internal_labour_inputs!BP$8:BP$295,Internal_labour_inputs!$B$8:$B$295,$B54)</f>
        <v>0</v>
      </c>
      <c r="BI54" s="192">
        <f>SUMIFS(Internal_labour_inputs!BQ$8:BQ$295,Internal_labour_inputs!$B$8:$B$295,$B54)</f>
        <v>0</v>
      </c>
      <c r="BJ54" s="192">
        <f>SUMIFS(Internal_labour_inputs!BR$8:BR$295,Internal_labour_inputs!$B$8:$B$295,$B54)</f>
        <v>0</v>
      </c>
      <c r="BK54" s="192">
        <f>SUMIFS(Internal_labour_inputs!BS$8:BS$295,Internal_labour_inputs!$B$8:$B$295,$B54)</f>
        <v>0</v>
      </c>
      <c r="BL54" s="192">
        <f>SUMIFS(Internal_labour_inputs!BT$8:BT$295,Internal_labour_inputs!$B$8:$B$295,$B54)</f>
        <v>0</v>
      </c>
      <c r="BM54" s="192">
        <f>SUMIFS(Internal_labour_inputs!BU$8:BU$295,Internal_labour_inputs!$B$8:$B$295,$B54)</f>
        <v>0</v>
      </c>
      <c r="BN54" s="192">
        <f>SUMIFS(Internal_labour_inputs!BV$8:BV$295,Internal_labour_inputs!$B$8:$B$295,$B54)</f>
        <v>0</v>
      </c>
      <c r="BO54" s="192">
        <f>SUMIFS(Internal_labour_inputs!BW$8:BW$295,Internal_labour_inputs!$B$8:$B$295,$B54)</f>
        <v>0</v>
      </c>
      <c r="BP54" s="192">
        <f>SUMIFS(Internal_labour_inputs!BX$8:BX$295,Internal_labour_inputs!$B$8:$B$295,$B54)</f>
        <v>0</v>
      </c>
      <c r="BQ54" s="192">
        <f>SUMIFS(Internal_labour_inputs!BY$8:BY$295,Internal_labour_inputs!$B$8:$B$295,$B54)</f>
        <v>0</v>
      </c>
      <c r="BR54" s="192">
        <f>SUMIFS(Internal_labour_inputs!BZ$8:BZ$295,Internal_labour_inputs!$B$8:$B$295,$B54)</f>
        <v>0</v>
      </c>
      <c r="BS54" s="192">
        <f>SUMIFS(Internal_labour_inputs!CA$8:CA$295,Internal_labour_inputs!$B$8:$B$295,$B54)</f>
        <v>0</v>
      </c>
      <c r="BT54" s="192">
        <f>SUMIFS(Internal_labour_inputs!CB$8:CB$295,Internal_labour_inputs!$B$8:$B$295,$B54)</f>
        <v>0</v>
      </c>
      <c r="BU54" s="192">
        <f>SUMIFS(Internal_labour_inputs!CC$8:CC$295,Internal_labour_inputs!$B$8:$B$295,$B54)</f>
        <v>0</v>
      </c>
      <c r="BV54" s="192">
        <f>SUMIFS(Internal_labour_inputs!CD$8:CD$295,Internal_labour_inputs!$B$8:$B$295,$B54)</f>
        <v>0</v>
      </c>
      <c r="BW54" s="192">
        <f>SUMIFS(Internal_labour_inputs!CE$8:CE$295,Internal_labour_inputs!$B$8:$B$295,$B54)</f>
        <v>0</v>
      </c>
      <c r="BX54" s="192">
        <f>SUMIFS(Internal_labour_inputs!CF$8:CF$295,Internal_labour_inputs!$B$8:$B$295,$B54)</f>
        <v>0</v>
      </c>
      <c r="BY54" s="192">
        <f>SUMIFS(Internal_labour_inputs!CG$8:CG$295,Internal_labour_inputs!$B$8:$B$295,$B54)</f>
        <v>0</v>
      </c>
      <c r="BZ54" s="192">
        <f>SUMIFS(Internal_labour_inputs!CH$8:CH$295,Internal_labour_inputs!$B$8:$B$295,$B54)</f>
        <v>0</v>
      </c>
      <c r="CA54" s="192">
        <f>SUMIFS(Internal_labour_inputs!CI$8:CI$295,Internal_labour_inputs!$B$8:$B$295,$B54)</f>
        <v>0</v>
      </c>
      <c r="CB54" s="192">
        <f>SUMIFS(Internal_labour_inputs!CJ$8:CJ$295,Internal_labour_inputs!$B$8:$B$295,$B54)</f>
        <v>0</v>
      </c>
      <c r="CC54" s="192">
        <f>SUMIFS(Internal_labour_inputs!CK$8:CK$295,Internal_labour_inputs!$B$8:$B$295,$B54)</f>
        <v>0</v>
      </c>
      <c r="CD54" s="192">
        <f>SUMIFS(Internal_labour_inputs!CL$8:CL$295,Internal_labour_inputs!$B$8:$B$295,$B54)</f>
        <v>0</v>
      </c>
      <c r="CE54" s="192">
        <f>SUMIFS(Internal_labour_inputs!CM$8:CM$295,Internal_labour_inputs!$B$8:$B$295,$B54)</f>
        <v>0</v>
      </c>
      <c r="CF54" s="192">
        <f>SUMIFS(Internal_labour_inputs!CN$8:CN$295,Internal_labour_inputs!$B$8:$B$295,$B54)</f>
        <v>0</v>
      </c>
      <c r="CG54" s="192">
        <f>SUMIFS(Internal_labour_inputs!CO$8:CO$295,Internal_labour_inputs!$B$8:$B$295,$B54)</f>
        <v>0</v>
      </c>
      <c r="CH54" s="192">
        <f>SUMIFS(Internal_labour_inputs!CP$8:CP$295,Internal_labour_inputs!$B$8:$B$295,$B54)</f>
        <v>0</v>
      </c>
      <c r="CI54" s="192">
        <f t="shared" si="17"/>
        <v>476.99837077346388</v>
      </c>
      <c r="CJ54" s="192">
        <f t="shared" si="18"/>
        <v>9.9374660577804974</v>
      </c>
      <c r="CK54" s="192">
        <f t="shared" si="19"/>
        <v>11.598953912046793</v>
      </c>
      <c r="CL54" s="194"/>
    </row>
    <row r="55" spans="1:90" x14ac:dyDescent="0.3">
      <c r="B55" s="191" t="str">
        <f t="shared" si="16"/>
        <v>Project Delivery Management - Commercial Management</v>
      </c>
      <c r="C55" s="192">
        <f>SUMIFS(Internal_labour_inputs!K$8:K$295,Internal_labour_inputs!$B$8:$B$295,$B55)</f>
        <v>0</v>
      </c>
      <c r="D55" s="192">
        <f>SUMIFS(Internal_labour_inputs!L$8:L$295,Internal_labour_inputs!$B$8:$B$295,$B55)</f>
        <v>0</v>
      </c>
      <c r="E55" s="192">
        <f>SUMIFS(Internal_labour_inputs!M$8:M$295,Internal_labour_inputs!$B$8:$B$295,$B55)</f>
        <v>0</v>
      </c>
      <c r="F55" s="192">
        <f>SUMIFS(Internal_labour_inputs!N$8:N$295,Internal_labour_inputs!$B$8:$B$295,$B55)</f>
        <v>0</v>
      </c>
      <c r="G55" s="192">
        <f>SUMIFS(Internal_labour_inputs!O$8:O$295,Internal_labour_inputs!$B$8:$B$295,$B55)</f>
        <v>0</v>
      </c>
      <c r="H55" s="192">
        <f>SUMIFS(Internal_labour_inputs!P$8:P$295,Internal_labour_inputs!$B$8:$B$295,$B55)</f>
        <v>0</v>
      </c>
      <c r="I55" s="192">
        <f>SUMIFS(Internal_labour_inputs!Q$8:Q$295,Internal_labour_inputs!$B$8:$B$295,$B55)</f>
        <v>0</v>
      </c>
      <c r="J55" s="192">
        <f>SUMIFS(Internal_labour_inputs!R$8:R$295,Internal_labour_inputs!$B$8:$B$295,$B55)</f>
        <v>0</v>
      </c>
      <c r="K55" s="192">
        <f>SUMIFS(Internal_labour_inputs!S$8:S$295,Internal_labour_inputs!$B$8:$B$295,$B55)</f>
        <v>0</v>
      </c>
      <c r="L55" s="192">
        <f>SUMIFS(Internal_labour_inputs!T$8:T$295,Internal_labour_inputs!$B$8:$B$295,$B55)</f>
        <v>0</v>
      </c>
      <c r="M55" s="192">
        <f>SUMIFS(Internal_labour_inputs!U$8:U$295,Internal_labour_inputs!$B$8:$B$295,$B55)</f>
        <v>0</v>
      </c>
      <c r="N55" s="192">
        <f>SUMIFS(Internal_labour_inputs!V$8:V$295,Internal_labour_inputs!$B$8:$B$295,$B55)</f>
        <v>0.8666666666666667</v>
      </c>
      <c r="O55" s="192">
        <f>SUMIFS(Internal_labour_inputs!W$8:W$295,Internal_labour_inputs!$B$8:$B$295,$B55)</f>
        <v>1.4666666666666666</v>
      </c>
      <c r="P55" s="192">
        <f>SUMIFS(Internal_labour_inputs!X$8:X$295,Internal_labour_inputs!$B$8:$B$295,$B55)</f>
        <v>3</v>
      </c>
      <c r="Q55" s="192">
        <f>SUMIFS(Internal_labour_inputs!Y$8:Y$295,Internal_labour_inputs!$B$8:$B$295,$B55)</f>
        <v>7</v>
      </c>
      <c r="R55" s="192">
        <f>SUMIFS(Internal_labour_inputs!Z$8:Z$295,Internal_labour_inputs!$B$8:$B$295,$B55)</f>
        <v>7</v>
      </c>
      <c r="S55" s="192">
        <f>SUMIFS(Internal_labour_inputs!AA$8:AA$295,Internal_labour_inputs!$B$8:$B$295,$B55)</f>
        <v>6.4473684210526301</v>
      </c>
      <c r="T55" s="192">
        <f>SUMIFS(Internal_labour_inputs!AB$8:AB$295,Internal_labour_inputs!$B$8:$B$295,$B55)</f>
        <v>6.4473684210526301</v>
      </c>
      <c r="U55" s="192">
        <f>SUMIFS(Internal_labour_inputs!AC$8:AC$295,Internal_labour_inputs!$B$8:$B$295,$B55)</f>
        <v>7</v>
      </c>
      <c r="V55" s="192">
        <f>SUMIFS(Internal_labour_inputs!AD$8:AD$295,Internal_labour_inputs!$B$8:$B$295,$B55)</f>
        <v>7</v>
      </c>
      <c r="W55" s="192">
        <f>SUMIFS(Internal_labour_inputs!AE$8:AE$295,Internal_labour_inputs!$B$8:$B$295,$B55)</f>
        <v>7</v>
      </c>
      <c r="X55" s="192">
        <f>SUMIFS(Internal_labour_inputs!AF$8:AF$295,Internal_labour_inputs!$B$8:$B$295,$B55)</f>
        <v>7</v>
      </c>
      <c r="Y55" s="192">
        <f>SUMIFS(Internal_labour_inputs!AG$8:AG$295,Internal_labour_inputs!$B$8:$B$295,$B55)</f>
        <v>7</v>
      </c>
      <c r="Z55" s="192">
        <f>SUMIFS(Internal_labour_inputs!AH$8:AH$295,Internal_labour_inputs!$B$8:$B$295,$B55)</f>
        <v>7</v>
      </c>
      <c r="AA55" s="192">
        <f>SUMIFS(Internal_labour_inputs!AI$8:AI$295,Internal_labour_inputs!$B$8:$B$295,$B55)</f>
        <v>7</v>
      </c>
      <c r="AB55" s="192">
        <f>SUMIFS(Internal_labour_inputs!AJ$8:AJ$295,Internal_labour_inputs!$B$8:$B$295,$B55)</f>
        <v>7</v>
      </c>
      <c r="AC55" s="192">
        <f>SUMIFS(Internal_labour_inputs!AK$8:AK$295,Internal_labour_inputs!$B$8:$B$295,$B55)</f>
        <v>7</v>
      </c>
      <c r="AD55" s="192">
        <f>SUMIFS(Internal_labour_inputs!AL$8:AL$295,Internal_labour_inputs!$B$8:$B$295,$B55)</f>
        <v>7</v>
      </c>
      <c r="AE55" s="192">
        <f>SUMIFS(Internal_labour_inputs!AM$8:AM$295,Internal_labour_inputs!$B$8:$B$295,$B55)</f>
        <v>7</v>
      </c>
      <c r="AF55" s="192">
        <f>SUMIFS(Internal_labour_inputs!AN$8:AN$295,Internal_labour_inputs!$B$8:$B$295,$B55)</f>
        <v>7</v>
      </c>
      <c r="AG55" s="192">
        <f>SUMIFS(Internal_labour_inputs!AO$8:AO$295,Internal_labour_inputs!$B$8:$B$295,$B55)</f>
        <v>7</v>
      </c>
      <c r="AH55" s="192">
        <f>SUMIFS(Internal_labour_inputs!AP$8:AP$295,Internal_labour_inputs!$B$8:$B$295,$B55)</f>
        <v>7</v>
      </c>
      <c r="AI55" s="192">
        <f>SUMIFS(Internal_labour_inputs!AQ$8:AQ$295,Internal_labour_inputs!$B$8:$B$295,$B55)</f>
        <v>7</v>
      </c>
      <c r="AJ55" s="192">
        <f>SUMIFS(Internal_labour_inputs!AR$8:AR$295,Internal_labour_inputs!$B$8:$B$295,$B55)</f>
        <v>7</v>
      </c>
      <c r="AK55" s="192">
        <f>SUMIFS(Internal_labour_inputs!AS$8:AS$295,Internal_labour_inputs!$B$8:$B$295,$B55)</f>
        <v>7</v>
      </c>
      <c r="AL55" s="192">
        <f>SUMIFS(Internal_labour_inputs!AT$8:AT$295,Internal_labour_inputs!$B$8:$B$295,$B55)</f>
        <v>7</v>
      </c>
      <c r="AM55" s="192">
        <f>SUMIFS(Internal_labour_inputs!AU$8:AU$295,Internal_labour_inputs!$B$8:$B$295,$B55)</f>
        <v>7</v>
      </c>
      <c r="AN55" s="192">
        <f>SUMIFS(Internal_labour_inputs!AV$8:AV$295,Internal_labour_inputs!$B$8:$B$295,$B55)</f>
        <v>7</v>
      </c>
      <c r="AO55" s="192">
        <f>SUMIFS(Internal_labour_inputs!AW$8:AW$295,Internal_labour_inputs!$B$8:$B$295,$B55)</f>
        <v>7</v>
      </c>
      <c r="AP55" s="192">
        <f>SUMIFS(Internal_labour_inputs!AX$8:AX$295,Internal_labour_inputs!$B$8:$B$295,$B55)</f>
        <v>7</v>
      </c>
      <c r="AQ55" s="192">
        <f>SUMIFS(Internal_labour_inputs!AY$8:AY$295,Internal_labour_inputs!$B$8:$B$295,$B55)</f>
        <v>7</v>
      </c>
      <c r="AR55" s="192">
        <f>SUMIFS(Internal_labour_inputs!AZ$8:AZ$295,Internal_labour_inputs!$B$8:$B$295,$B55)</f>
        <v>7</v>
      </c>
      <c r="AS55" s="192">
        <f>SUMIFS(Internal_labour_inputs!BA$8:BA$295,Internal_labour_inputs!$B$8:$B$295,$B55)</f>
        <v>7</v>
      </c>
      <c r="AT55" s="192">
        <f>SUMIFS(Internal_labour_inputs!BB$8:BB$295,Internal_labour_inputs!$B$8:$B$295,$B55)</f>
        <v>7</v>
      </c>
      <c r="AU55" s="192">
        <f>SUMIFS(Internal_labour_inputs!BC$8:BC$295,Internal_labour_inputs!$B$8:$B$295,$B55)</f>
        <v>7</v>
      </c>
      <c r="AV55" s="192">
        <f>SUMIFS(Internal_labour_inputs!BD$8:BD$295,Internal_labour_inputs!$B$8:$B$295,$B55)</f>
        <v>7</v>
      </c>
      <c r="AW55" s="192">
        <f>SUMIFS(Internal_labour_inputs!BE$8:BE$295,Internal_labour_inputs!$B$8:$B$295,$B55)</f>
        <v>6</v>
      </c>
      <c r="AX55" s="192">
        <f>SUMIFS(Internal_labour_inputs!BF$8:BF$295,Internal_labour_inputs!$B$8:$B$295,$B55)</f>
        <v>7</v>
      </c>
      <c r="AY55" s="192">
        <f>SUMIFS(Internal_labour_inputs!BG$8:BG$295,Internal_labour_inputs!$B$8:$B$295,$B55)</f>
        <v>3</v>
      </c>
      <c r="AZ55" s="192">
        <f>SUMIFS(Internal_labour_inputs!BH$8:BH$295,Internal_labour_inputs!$B$8:$B$295,$B55)</f>
        <v>3</v>
      </c>
      <c r="BA55" s="192">
        <f>SUMIFS(Internal_labour_inputs!BI$8:BI$295,Internal_labour_inputs!$B$8:$B$295,$B55)</f>
        <v>0</v>
      </c>
      <c r="BB55" s="192">
        <f>SUMIFS(Internal_labour_inputs!BJ$8:BJ$295,Internal_labour_inputs!$B$8:$B$295,$B55)</f>
        <v>0</v>
      </c>
      <c r="BC55" s="192">
        <f>SUMIFS(Internal_labour_inputs!BK$8:BK$295,Internal_labour_inputs!$B$8:$B$295,$B55)</f>
        <v>0</v>
      </c>
      <c r="BD55" s="192">
        <f>SUMIFS(Internal_labour_inputs!BL$8:BL$295,Internal_labour_inputs!$B$8:$B$295,$B55)</f>
        <v>0</v>
      </c>
      <c r="BE55" s="192">
        <f>SUMIFS(Internal_labour_inputs!BM$8:BM$295,Internal_labour_inputs!$B$8:$B$295,$B55)</f>
        <v>0</v>
      </c>
      <c r="BF55" s="192">
        <f>SUMIFS(Internal_labour_inputs!BN$8:BN$295,Internal_labour_inputs!$B$8:$B$295,$B55)</f>
        <v>0</v>
      </c>
      <c r="BG55" s="192">
        <f>SUMIFS(Internal_labour_inputs!BO$8:BO$295,Internal_labour_inputs!$B$8:$B$295,$B55)</f>
        <v>0</v>
      </c>
      <c r="BH55" s="192">
        <f>SUMIFS(Internal_labour_inputs!BP$8:BP$295,Internal_labour_inputs!$B$8:$B$295,$B55)</f>
        <v>0</v>
      </c>
      <c r="BI55" s="192">
        <f>SUMIFS(Internal_labour_inputs!BQ$8:BQ$295,Internal_labour_inputs!$B$8:$B$295,$B55)</f>
        <v>0</v>
      </c>
      <c r="BJ55" s="192">
        <f>SUMIFS(Internal_labour_inputs!BR$8:BR$295,Internal_labour_inputs!$B$8:$B$295,$B55)</f>
        <v>0</v>
      </c>
      <c r="BK55" s="192">
        <f>SUMIFS(Internal_labour_inputs!BS$8:BS$295,Internal_labour_inputs!$B$8:$B$295,$B55)</f>
        <v>0</v>
      </c>
      <c r="BL55" s="192">
        <f>SUMIFS(Internal_labour_inputs!BT$8:BT$295,Internal_labour_inputs!$B$8:$B$295,$B55)</f>
        <v>0</v>
      </c>
      <c r="BM55" s="192">
        <f>SUMIFS(Internal_labour_inputs!BU$8:BU$295,Internal_labour_inputs!$B$8:$B$295,$B55)</f>
        <v>0</v>
      </c>
      <c r="BN55" s="192">
        <f>SUMIFS(Internal_labour_inputs!BV$8:BV$295,Internal_labour_inputs!$B$8:$B$295,$B55)</f>
        <v>0</v>
      </c>
      <c r="BO55" s="192">
        <f>SUMIFS(Internal_labour_inputs!BW$8:BW$295,Internal_labour_inputs!$B$8:$B$295,$B55)</f>
        <v>0</v>
      </c>
      <c r="BP55" s="192">
        <f>SUMIFS(Internal_labour_inputs!BX$8:BX$295,Internal_labour_inputs!$B$8:$B$295,$B55)</f>
        <v>0</v>
      </c>
      <c r="BQ55" s="192">
        <f>SUMIFS(Internal_labour_inputs!BY$8:BY$295,Internal_labour_inputs!$B$8:$B$295,$B55)</f>
        <v>0</v>
      </c>
      <c r="BR55" s="192">
        <f>SUMIFS(Internal_labour_inputs!BZ$8:BZ$295,Internal_labour_inputs!$B$8:$B$295,$B55)</f>
        <v>0</v>
      </c>
      <c r="BS55" s="192">
        <f>SUMIFS(Internal_labour_inputs!CA$8:CA$295,Internal_labour_inputs!$B$8:$B$295,$B55)</f>
        <v>0</v>
      </c>
      <c r="BT55" s="192">
        <f>SUMIFS(Internal_labour_inputs!CB$8:CB$295,Internal_labour_inputs!$B$8:$B$295,$B55)</f>
        <v>0</v>
      </c>
      <c r="BU55" s="192">
        <f>SUMIFS(Internal_labour_inputs!CC$8:CC$295,Internal_labour_inputs!$B$8:$B$295,$B55)</f>
        <v>0</v>
      </c>
      <c r="BV55" s="192">
        <f>SUMIFS(Internal_labour_inputs!CD$8:CD$295,Internal_labour_inputs!$B$8:$B$295,$B55)</f>
        <v>0</v>
      </c>
      <c r="BW55" s="192">
        <f>SUMIFS(Internal_labour_inputs!CE$8:CE$295,Internal_labour_inputs!$B$8:$B$295,$B55)</f>
        <v>0</v>
      </c>
      <c r="BX55" s="192">
        <f>SUMIFS(Internal_labour_inputs!CF$8:CF$295,Internal_labour_inputs!$B$8:$B$295,$B55)</f>
        <v>0</v>
      </c>
      <c r="BY55" s="192">
        <f>SUMIFS(Internal_labour_inputs!CG$8:CG$295,Internal_labour_inputs!$B$8:$B$295,$B55)</f>
        <v>0</v>
      </c>
      <c r="BZ55" s="192">
        <f>SUMIFS(Internal_labour_inputs!CH$8:CH$295,Internal_labour_inputs!$B$8:$B$295,$B55)</f>
        <v>0</v>
      </c>
      <c r="CA55" s="192">
        <f>SUMIFS(Internal_labour_inputs!CI$8:CI$295,Internal_labour_inputs!$B$8:$B$295,$B55)</f>
        <v>0</v>
      </c>
      <c r="CB55" s="192">
        <f>SUMIFS(Internal_labour_inputs!CJ$8:CJ$295,Internal_labour_inputs!$B$8:$B$295,$B55)</f>
        <v>0</v>
      </c>
      <c r="CC55" s="192">
        <f>SUMIFS(Internal_labour_inputs!CK$8:CK$295,Internal_labour_inputs!$B$8:$B$295,$B55)</f>
        <v>0</v>
      </c>
      <c r="CD55" s="192">
        <f>SUMIFS(Internal_labour_inputs!CL$8:CL$295,Internal_labour_inputs!$B$8:$B$295,$B55)</f>
        <v>0</v>
      </c>
      <c r="CE55" s="192">
        <f>SUMIFS(Internal_labour_inputs!CM$8:CM$295,Internal_labour_inputs!$B$8:$B$295,$B55)</f>
        <v>0</v>
      </c>
      <c r="CF55" s="192">
        <f>SUMIFS(Internal_labour_inputs!CN$8:CN$295,Internal_labour_inputs!$B$8:$B$295,$B55)</f>
        <v>0</v>
      </c>
      <c r="CG55" s="192">
        <f>SUMIFS(Internal_labour_inputs!CO$8:CO$295,Internal_labour_inputs!$B$8:$B$295,$B55)</f>
        <v>0</v>
      </c>
      <c r="CH55" s="192">
        <f>SUMIFS(Internal_labour_inputs!CP$8:CP$295,Internal_labour_inputs!$B$8:$B$295,$B55)</f>
        <v>0</v>
      </c>
      <c r="CI55" s="192">
        <f t="shared" si="17"/>
        <v>247.22807017543857</v>
      </c>
      <c r="CJ55" s="192">
        <f t="shared" si="18"/>
        <v>5.1505847953216373</v>
      </c>
      <c r="CK55" s="192">
        <f t="shared" si="19"/>
        <v>6.258064516129032</v>
      </c>
      <c r="CL55" s="194"/>
    </row>
    <row r="56" spans="1:90" x14ac:dyDescent="0.3">
      <c r="B56" s="191" t="str">
        <f t="shared" si="16"/>
        <v>Project Delivery Management - Commissioning</v>
      </c>
      <c r="C56" s="192">
        <f>SUMIFS(Internal_labour_inputs!K$8:K$295,Internal_labour_inputs!$B$8:$B$295,$B56)</f>
        <v>0</v>
      </c>
      <c r="D56" s="192">
        <f>SUMIFS(Internal_labour_inputs!L$8:L$295,Internal_labour_inputs!$B$8:$B$295,$B56)</f>
        <v>0</v>
      </c>
      <c r="E56" s="192">
        <f>SUMIFS(Internal_labour_inputs!M$8:M$295,Internal_labour_inputs!$B$8:$B$295,$B56)</f>
        <v>0</v>
      </c>
      <c r="F56" s="192">
        <f>SUMIFS(Internal_labour_inputs!N$8:N$295,Internal_labour_inputs!$B$8:$B$295,$B56)</f>
        <v>0</v>
      </c>
      <c r="G56" s="192">
        <f>SUMIFS(Internal_labour_inputs!O$8:O$295,Internal_labour_inputs!$B$8:$B$295,$B56)</f>
        <v>0</v>
      </c>
      <c r="H56" s="192">
        <f>SUMIFS(Internal_labour_inputs!P$8:P$295,Internal_labour_inputs!$B$8:$B$295,$B56)</f>
        <v>0</v>
      </c>
      <c r="I56" s="192">
        <f>SUMIFS(Internal_labour_inputs!Q$8:Q$295,Internal_labour_inputs!$B$8:$B$295,$B56)</f>
        <v>0</v>
      </c>
      <c r="J56" s="192">
        <f>SUMIFS(Internal_labour_inputs!R$8:R$295,Internal_labour_inputs!$B$8:$B$295,$B56)</f>
        <v>0</v>
      </c>
      <c r="K56" s="192">
        <f>SUMIFS(Internal_labour_inputs!S$8:S$295,Internal_labour_inputs!$B$8:$B$295,$B56)</f>
        <v>0</v>
      </c>
      <c r="L56" s="192">
        <f>SUMIFS(Internal_labour_inputs!T$8:T$295,Internal_labour_inputs!$B$8:$B$295,$B56)</f>
        <v>0</v>
      </c>
      <c r="M56" s="192">
        <f>SUMIFS(Internal_labour_inputs!U$8:U$295,Internal_labour_inputs!$B$8:$B$295,$B56)</f>
        <v>0</v>
      </c>
      <c r="N56" s="192">
        <f>SUMIFS(Internal_labour_inputs!V$8:V$295,Internal_labour_inputs!$B$8:$B$295,$B56)</f>
        <v>0</v>
      </c>
      <c r="O56" s="192">
        <f>SUMIFS(Internal_labour_inputs!W$8:W$295,Internal_labour_inputs!$B$8:$B$295,$B56)</f>
        <v>0</v>
      </c>
      <c r="P56" s="192">
        <f>SUMIFS(Internal_labour_inputs!X$8:X$295,Internal_labour_inputs!$B$8:$B$295,$B56)</f>
        <v>0</v>
      </c>
      <c r="Q56" s="192">
        <f>SUMIFS(Internal_labour_inputs!Y$8:Y$295,Internal_labour_inputs!$B$8:$B$295,$B56)</f>
        <v>1.6928571428571426</v>
      </c>
      <c r="R56" s="192">
        <f>SUMIFS(Internal_labour_inputs!Z$8:Z$295,Internal_labour_inputs!$B$8:$B$295,$B56)</f>
        <v>1</v>
      </c>
      <c r="S56" s="192">
        <f>SUMIFS(Internal_labour_inputs!AA$8:AA$295,Internal_labour_inputs!$B$8:$B$295,$B56)</f>
        <v>3.072368421052631</v>
      </c>
      <c r="T56" s="192">
        <f>SUMIFS(Internal_labour_inputs!AB$8:AB$295,Internal_labour_inputs!$B$8:$B$295,$B56)</f>
        <v>7.6710526315789469</v>
      </c>
      <c r="U56" s="192">
        <f>SUMIFS(Internal_labour_inputs!AC$8:AC$295,Internal_labour_inputs!$B$8:$B$295,$B56)</f>
        <v>11.72142857142857</v>
      </c>
      <c r="V56" s="192">
        <f>SUMIFS(Internal_labour_inputs!AD$8:AD$295,Internal_labour_inputs!$B$8:$B$295,$B56)</f>
        <v>11.835714285714284</v>
      </c>
      <c r="W56" s="192">
        <f>SUMIFS(Internal_labour_inputs!AE$8:AE$295,Internal_labour_inputs!$B$8:$B$295,$B56)</f>
        <v>15.94285714285714</v>
      </c>
      <c r="X56" s="192">
        <f>SUMIFS(Internal_labour_inputs!AF$8:AF$295,Internal_labour_inputs!$B$8:$B$295,$B56)</f>
        <v>26.535714285714288</v>
      </c>
      <c r="Y56" s="192">
        <f>SUMIFS(Internal_labour_inputs!AG$8:AG$295,Internal_labour_inputs!$B$8:$B$295,$B56)</f>
        <v>23.392857142857146</v>
      </c>
      <c r="Z56" s="192">
        <f>SUMIFS(Internal_labour_inputs!AH$8:AH$295,Internal_labour_inputs!$B$8:$B$295,$B56)</f>
        <v>25.104761904761894</v>
      </c>
      <c r="AA56" s="192">
        <f>SUMIFS(Internal_labour_inputs!AI$8:AI$295,Internal_labour_inputs!$B$8:$B$295,$B56)</f>
        <v>37.828571428571422</v>
      </c>
      <c r="AB56" s="192">
        <f>SUMIFS(Internal_labour_inputs!AJ$8:AJ$295,Internal_labour_inputs!$B$8:$B$295,$B56)</f>
        <v>30.907142857142858</v>
      </c>
      <c r="AC56" s="192">
        <f>SUMIFS(Internal_labour_inputs!AK$8:AK$295,Internal_labour_inputs!$B$8:$B$295,$B56)</f>
        <v>19.492857142857137</v>
      </c>
      <c r="AD56" s="192">
        <f>SUMIFS(Internal_labour_inputs!AL$8:AL$295,Internal_labour_inputs!$B$8:$B$295,$B56)</f>
        <v>26.333333333333325</v>
      </c>
      <c r="AE56" s="192">
        <f>SUMIFS(Internal_labour_inputs!AM$8:AM$295,Internal_labour_inputs!$B$8:$B$295,$B56)</f>
        <v>19.743421052631586</v>
      </c>
      <c r="AF56" s="192">
        <f>SUMIFS(Internal_labour_inputs!AN$8:AN$295,Internal_labour_inputs!$B$8:$B$295,$B56)</f>
        <v>21.631578947368425</v>
      </c>
      <c r="AG56" s="192">
        <f>SUMIFS(Internal_labour_inputs!AO$8:AO$295,Internal_labour_inputs!$B$8:$B$295,$B56)</f>
        <v>19.799999999999994</v>
      </c>
      <c r="AH56" s="192">
        <f>SUMIFS(Internal_labour_inputs!AP$8:AP$295,Internal_labour_inputs!$B$8:$B$295,$B56)</f>
        <v>23.121428571428567</v>
      </c>
      <c r="AI56" s="192">
        <f>SUMIFS(Internal_labour_inputs!AQ$8:AQ$295,Internal_labour_inputs!$B$8:$B$295,$B56)</f>
        <v>19.635714285714283</v>
      </c>
      <c r="AJ56" s="192">
        <f>SUMIFS(Internal_labour_inputs!AR$8:AR$295,Internal_labour_inputs!$B$8:$B$295,$B56)</f>
        <v>24.421428571428567</v>
      </c>
      <c r="AK56" s="192">
        <f>SUMIFS(Internal_labour_inputs!AS$8:AS$295,Internal_labour_inputs!$B$8:$B$295,$B56)</f>
        <v>22.80714285714285</v>
      </c>
      <c r="AL56" s="192">
        <f>SUMIFS(Internal_labour_inputs!AT$8:AT$295,Internal_labour_inputs!$B$8:$B$295,$B56)</f>
        <v>24.933333333333334</v>
      </c>
      <c r="AM56" s="192">
        <f>SUMIFS(Internal_labour_inputs!AU$8:AU$295,Internal_labour_inputs!$B$8:$B$295,$B56)</f>
        <v>27.276190476190468</v>
      </c>
      <c r="AN56" s="192">
        <f>SUMIFS(Internal_labour_inputs!AV$8:AV$295,Internal_labour_inputs!$B$8:$B$295,$B56)</f>
        <v>22.449999999999992</v>
      </c>
      <c r="AO56" s="192">
        <f>SUMIFS(Internal_labour_inputs!AW$8:AW$295,Internal_labour_inputs!$B$8:$B$295,$B56)</f>
        <v>18.671428571428564</v>
      </c>
      <c r="AP56" s="192">
        <f>SUMIFS(Internal_labour_inputs!AX$8:AX$295,Internal_labour_inputs!$B$8:$B$295,$B56)</f>
        <v>31.799999999999986</v>
      </c>
      <c r="AQ56" s="192">
        <f>SUMIFS(Internal_labour_inputs!AY$8:AY$295,Internal_labour_inputs!$B$8:$B$295,$B56)</f>
        <v>22.914473684210531</v>
      </c>
      <c r="AR56" s="192">
        <f>SUMIFS(Internal_labour_inputs!AZ$8:AZ$295,Internal_labour_inputs!$B$8:$B$295,$B56)</f>
        <v>23.835526315789476</v>
      </c>
      <c r="AS56" s="192">
        <f>SUMIFS(Internal_labour_inputs!BA$8:BA$295,Internal_labour_inputs!$B$8:$B$295,$B56)</f>
        <v>24.95</v>
      </c>
      <c r="AT56" s="192">
        <f>SUMIFS(Internal_labour_inputs!BB$8:BB$295,Internal_labour_inputs!$B$8:$B$295,$B56)</f>
        <v>22.00714285714286</v>
      </c>
      <c r="AU56" s="192">
        <f>SUMIFS(Internal_labour_inputs!BC$8:BC$295,Internal_labour_inputs!$B$8:$B$295,$B56)</f>
        <v>22.385714285714283</v>
      </c>
      <c r="AV56" s="192">
        <f>SUMIFS(Internal_labour_inputs!BD$8:BD$295,Internal_labour_inputs!$B$8:$B$295,$B56)</f>
        <v>14.99285714285714</v>
      </c>
      <c r="AW56" s="192">
        <f>SUMIFS(Internal_labour_inputs!BE$8:BE$295,Internal_labour_inputs!$B$8:$B$295,$B56)</f>
        <v>26.285714285714288</v>
      </c>
      <c r="AX56" s="192">
        <f>SUMIFS(Internal_labour_inputs!BF$8:BF$295,Internal_labour_inputs!$B$8:$B$295,$B56)</f>
        <v>2.7428571428571429</v>
      </c>
      <c r="AY56" s="192">
        <f>SUMIFS(Internal_labour_inputs!BG$8:BG$295,Internal_labour_inputs!$B$8:$B$295,$B56)</f>
        <v>8.5714285714285712</v>
      </c>
      <c r="AZ56" s="192">
        <f>SUMIFS(Internal_labour_inputs!BH$8:BH$295,Internal_labour_inputs!$B$8:$B$295,$B56)</f>
        <v>0</v>
      </c>
      <c r="BA56" s="192">
        <f>SUMIFS(Internal_labour_inputs!BI$8:BI$295,Internal_labour_inputs!$B$8:$B$295,$B56)</f>
        <v>0</v>
      </c>
      <c r="BB56" s="192">
        <f>SUMIFS(Internal_labour_inputs!BJ$8:BJ$295,Internal_labour_inputs!$B$8:$B$295,$B56)</f>
        <v>0</v>
      </c>
      <c r="BC56" s="192">
        <f>SUMIFS(Internal_labour_inputs!BK$8:BK$295,Internal_labour_inputs!$B$8:$B$295,$B56)</f>
        <v>0</v>
      </c>
      <c r="BD56" s="192">
        <f>SUMIFS(Internal_labour_inputs!BL$8:BL$295,Internal_labour_inputs!$B$8:$B$295,$B56)</f>
        <v>0</v>
      </c>
      <c r="BE56" s="192">
        <f>SUMIFS(Internal_labour_inputs!BM$8:BM$295,Internal_labour_inputs!$B$8:$B$295,$B56)</f>
        <v>0</v>
      </c>
      <c r="BF56" s="192">
        <f>SUMIFS(Internal_labour_inputs!BN$8:BN$295,Internal_labour_inputs!$B$8:$B$295,$B56)</f>
        <v>0</v>
      </c>
      <c r="BG56" s="192">
        <f>SUMIFS(Internal_labour_inputs!BO$8:BO$295,Internal_labour_inputs!$B$8:$B$295,$B56)</f>
        <v>0</v>
      </c>
      <c r="BH56" s="192">
        <f>SUMIFS(Internal_labour_inputs!BP$8:BP$295,Internal_labour_inputs!$B$8:$B$295,$B56)</f>
        <v>0</v>
      </c>
      <c r="BI56" s="192">
        <f>SUMIFS(Internal_labour_inputs!BQ$8:BQ$295,Internal_labour_inputs!$B$8:$B$295,$B56)</f>
        <v>0</v>
      </c>
      <c r="BJ56" s="192">
        <f>SUMIFS(Internal_labour_inputs!BR$8:BR$295,Internal_labour_inputs!$B$8:$B$295,$B56)</f>
        <v>0</v>
      </c>
      <c r="BK56" s="192">
        <f>SUMIFS(Internal_labour_inputs!BS$8:BS$295,Internal_labour_inputs!$B$8:$B$295,$B56)</f>
        <v>0</v>
      </c>
      <c r="BL56" s="192">
        <f>SUMIFS(Internal_labour_inputs!BT$8:BT$295,Internal_labour_inputs!$B$8:$B$295,$B56)</f>
        <v>0</v>
      </c>
      <c r="BM56" s="192">
        <f>SUMIFS(Internal_labour_inputs!BU$8:BU$295,Internal_labour_inputs!$B$8:$B$295,$B56)</f>
        <v>0</v>
      </c>
      <c r="BN56" s="192">
        <f>SUMIFS(Internal_labour_inputs!BV$8:BV$295,Internal_labour_inputs!$B$8:$B$295,$B56)</f>
        <v>0</v>
      </c>
      <c r="BO56" s="192">
        <f>SUMIFS(Internal_labour_inputs!BW$8:BW$295,Internal_labour_inputs!$B$8:$B$295,$B56)</f>
        <v>0</v>
      </c>
      <c r="BP56" s="192">
        <f>SUMIFS(Internal_labour_inputs!BX$8:BX$295,Internal_labour_inputs!$B$8:$B$295,$B56)</f>
        <v>0</v>
      </c>
      <c r="BQ56" s="192">
        <f>SUMIFS(Internal_labour_inputs!BY$8:BY$295,Internal_labour_inputs!$B$8:$B$295,$B56)</f>
        <v>0</v>
      </c>
      <c r="BR56" s="192">
        <f>SUMIFS(Internal_labour_inputs!BZ$8:BZ$295,Internal_labour_inputs!$B$8:$B$295,$B56)</f>
        <v>0</v>
      </c>
      <c r="BS56" s="192">
        <f>SUMIFS(Internal_labour_inputs!CA$8:CA$295,Internal_labour_inputs!$B$8:$B$295,$B56)</f>
        <v>0</v>
      </c>
      <c r="BT56" s="192">
        <f>SUMIFS(Internal_labour_inputs!CB$8:CB$295,Internal_labour_inputs!$B$8:$B$295,$B56)</f>
        <v>0</v>
      </c>
      <c r="BU56" s="192">
        <f>SUMIFS(Internal_labour_inputs!CC$8:CC$295,Internal_labour_inputs!$B$8:$B$295,$B56)</f>
        <v>0</v>
      </c>
      <c r="BV56" s="192">
        <f>SUMIFS(Internal_labour_inputs!CD$8:CD$295,Internal_labour_inputs!$B$8:$B$295,$B56)</f>
        <v>0</v>
      </c>
      <c r="BW56" s="192">
        <f>SUMIFS(Internal_labour_inputs!CE$8:CE$295,Internal_labour_inputs!$B$8:$B$295,$B56)</f>
        <v>0</v>
      </c>
      <c r="BX56" s="192">
        <f>SUMIFS(Internal_labour_inputs!CF$8:CF$295,Internal_labour_inputs!$B$8:$B$295,$B56)</f>
        <v>0</v>
      </c>
      <c r="BY56" s="192">
        <f>SUMIFS(Internal_labour_inputs!CG$8:CG$295,Internal_labour_inputs!$B$8:$B$295,$B56)</f>
        <v>0</v>
      </c>
      <c r="BZ56" s="192">
        <f>SUMIFS(Internal_labour_inputs!CH$8:CH$295,Internal_labour_inputs!$B$8:$B$295,$B56)</f>
        <v>0</v>
      </c>
      <c r="CA56" s="192">
        <f>SUMIFS(Internal_labour_inputs!CI$8:CI$295,Internal_labour_inputs!$B$8:$B$295,$B56)</f>
        <v>0</v>
      </c>
      <c r="CB56" s="192">
        <f>SUMIFS(Internal_labour_inputs!CJ$8:CJ$295,Internal_labour_inputs!$B$8:$B$295,$B56)</f>
        <v>0</v>
      </c>
      <c r="CC56" s="192">
        <f>SUMIFS(Internal_labour_inputs!CK$8:CK$295,Internal_labour_inputs!$B$8:$B$295,$B56)</f>
        <v>0</v>
      </c>
      <c r="CD56" s="192">
        <f>SUMIFS(Internal_labour_inputs!CL$8:CL$295,Internal_labour_inputs!$B$8:$B$295,$B56)</f>
        <v>0</v>
      </c>
      <c r="CE56" s="192">
        <f>SUMIFS(Internal_labour_inputs!CM$8:CM$295,Internal_labour_inputs!$B$8:$B$295,$B56)</f>
        <v>0</v>
      </c>
      <c r="CF56" s="192">
        <f>SUMIFS(Internal_labour_inputs!CN$8:CN$295,Internal_labour_inputs!$B$8:$B$295,$B56)</f>
        <v>0</v>
      </c>
      <c r="CG56" s="192">
        <f>SUMIFS(Internal_labour_inputs!CO$8:CO$295,Internal_labour_inputs!$B$8:$B$295,$B56)</f>
        <v>0</v>
      </c>
      <c r="CH56" s="192">
        <f>SUMIFS(Internal_labour_inputs!CP$8:CP$295,Internal_labour_inputs!$B$8:$B$295,$B56)</f>
        <v>0</v>
      </c>
      <c r="CI56" s="192">
        <f t="shared" si="17"/>
        <v>687.50889724310775</v>
      </c>
      <c r="CJ56" s="192">
        <f t="shared" si="18"/>
        <v>14.323102025898079</v>
      </c>
      <c r="CK56" s="192">
        <f t="shared" si="19"/>
        <v>20.470084485407067</v>
      </c>
      <c r="CL56" s="194"/>
    </row>
    <row r="57" spans="1:90" x14ac:dyDescent="0.3">
      <c r="B57" s="191" t="str">
        <f t="shared" si="16"/>
        <v>Project Delivery Management - Construction Management</v>
      </c>
      <c r="C57" s="192">
        <f>SUMIFS(Internal_labour_inputs!K$8:K$295,Internal_labour_inputs!$B$8:$B$295,$B57)</f>
        <v>0</v>
      </c>
      <c r="D57" s="192">
        <f>SUMIFS(Internal_labour_inputs!L$8:L$295,Internal_labour_inputs!$B$8:$B$295,$B57)</f>
        <v>0</v>
      </c>
      <c r="E57" s="192">
        <f>SUMIFS(Internal_labour_inputs!M$8:M$295,Internal_labour_inputs!$B$8:$B$295,$B57)</f>
        <v>0</v>
      </c>
      <c r="F57" s="192">
        <f>SUMIFS(Internal_labour_inputs!N$8:N$295,Internal_labour_inputs!$B$8:$B$295,$B57)</f>
        <v>0</v>
      </c>
      <c r="G57" s="192">
        <f>SUMIFS(Internal_labour_inputs!O$8:O$295,Internal_labour_inputs!$B$8:$B$295,$B57)</f>
        <v>0</v>
      </c>
      <c r="H57" s="192">
        <f>SUMIFS(Internal_labour_inputs!P$8:P$295,Internal_labour_inputs!$B$8:$B$295,$B57)</f>
        <v>0</v>
      </c>
      <c r="I57" s="192">
        <f>SUMIFS(Internal_labour_inputs!Q$8:Q$295,Internal_labour_inputs!$B$8:$B$295,$B57)</f>
        <v>0</v>
      </c>
      <c r="J57" s="192">
        <f>SUMIFS(Internal_labour_inputs!R$8:R$295,Internal_labour_inputs!$B$8:$B$295,$B57)</f>
        <v>0</v>
      </c>
      <c r="K57" s="192">
        <f>SUMIFS(Internal_labour_inputs!S$8:S$295,Internal_labour_inputs!$B$8:$B$295,$B57)</f>
        <v>0</v>
      </c>
      <c r="L57" s="192">
        <f>SUMIFS(Internal_labour_inputs!T$8:T$295,Internal_labour_inputs!$B$8:$B$295,$B57)</f>
        <v>0</v>
      </c>
      <c r="M57" s="192">
        <f>SUMIFS(Internal_labour_inputs!U$8:U$295,Internal_labour_inputs!$B$8:$B$295,$B57)</f>
        <v>0</v>
      </c>
      <c r="N57" s="192">
        <f>SUMIFS(Internal_labour_inputs!V$8:V$295,Internal_labour_inputs!$B$8:$B$295,$B57)</f>
        <v>0</v>
      </c>
      <c r="O57" s="192">
        <f>SUMIFS(Internal_labour_inputs!W$8:W$295,Internal_labour_inputs!$B$8:$B$295,$B57)</f>
        <v>0</v>
      </c>
      <c r="P57" s="192">
        <f>SUMIFS(Internal_labour_inputs!X$8:X$295,Internal_labour_inputs!$B$8:$B$295,$B57)</f>
        <v>1</v>
      </c>
      <c r="Q57" s="192">
        <f>SUMIFS(Internal_labour_inputs!Y$8:Y$295,Internal_labour_inputs!$B$8:$B$295,$B57)</f>
        <v>6.5357142857142847</v>
      </c>
      <c r="R57" s="192">
        <f>SUMIFS(Internal_labour_inputs!Z$8:Z$295,Internal_labour_inputs!$B$8:$B$295,$B57)</f>
        <v>8.7142857142857135</v>
      </c>
      <c r="S57" s="192">
        <f>SUMIFS(Internal_labour_inputs!AA$8:AA$295,Internal_labour_inputs!$B$8:$B$295,$B57)</f>
        <v>12.434210526315793</v>
      </c>
      <c r="T57" s="192">
        <f>SUMIFS(Internal_labour_inputs!AB$8:AB$295,Internal_labour_inputs!$B$8:$B$295,$B57)</f>
        <v>12.763157894736841</v>
      </c>
      <c r="U57" s="192">
        <f>SUMIFS(Internal_labour_inputs!AC$8:AC$295,Internal_labour_inputs!$B$8:$B$295,$B57)</f>
        <v>16.071428571428569</v>
      </c>
      <c r="V57" s="192">
        <f>SUMIFS(Internal_labour_inputs!AD$8:AD$295,Internal_labour_inputs!$B$8:$B$295,$B57)</f>
        <v>15.771428571428572</v>
      </c>
      <c r="W57" s="192">
        <f>SUMIFS(Internal_labour_inputs!AE$8:AE$295,Internal_labour_inputs!$B$8:$B$295,$B57)</f>
        <v>18.74285714285714</v>
      </c>
      <c r="X57" s="192">
        <f>SUMIFS(Internal_labour_inputs!AF$8:AF$295,Internal_labour_inputs!$B$8:$B$295,$B57)</f>
        <v>18.74285714285714</v>
      </c>
      <c r="Y57" s="192">
        <f>SUMIFS(Internal_labour_inputs!AG$8:AG$295,Internal_labour_inputs!$B$8:$B$295,$B57)</f>
        <v>18.171428571428571</v>
      </c>
      <c r="Z57" s="192">
        <f>SUMIFS(Internal_labour_inputs!AH$8:AH$295,Internal_labour_inputs!$B$8:$B$295,$B57)</f>
        <v>20.447619047619057</v>
      </c>
      <c r="AA57" s="192">
        <f>SUMIFS(Internal_labour_inputs!AI$8:AI$295,Internal_labour_inputs!$B$8:$B$295,$B57)</f>
        <v>31.933333333333334</v>
      </c>
      <c r="AB57" s="192">
        <f>SUMIFS(Internal_labour_inputs!AJ$8:AJ$295,Internal_labour_inputs!$B$8:$B$295,$B57)</f>
        <v>19.085714285714289</v>
      </c>
      <c r="AC57" s="192">
        <f>SUMIFS(Internal_labour_inputs!AK$8:AK$295,Internal_labour_inputs!$B$8:$B$295,$B57)</f>
        <v>19.085714285714289</v>
      </c>
      <c r="AD57" s="192">
        <f>SUMIFS(Internal_labour_inputs!AL$8:AL$295,Internal_labour_inputs!$B$8:$B$295,$B57)</f>
        <v>24.180952380952384</v>
      </c>
      <c r="AE57" s="192">
        <f>SUMIFS(Internal_labour_inputs!AM$8:AM$295,Internal_labour_inputs!$B$8:$B$295,$B57)</f>
        <v>17.934210526315791</v>
      </c>
      <c r="AF57" s="192">
        <f>SUMIFS(Internal_labour_inputs!AN$8:AN$295,Internal_labour_inputs!$B$8:$B$295,$B57)</f>
        <v>17.407894736842106</v>
      </c>
      <c r="AG57" s="192">
        <f>SUMIFS(Internal_labour_inputs!AO$8:AO$295,Internal_labour_inputs!$B$8:$B$295,$B57)</f>
        <v>18.742857142857137</v>
      </c>
      <c r="AH57" s="192">
        <f>SUMIFS(Internal_labour_inputs!AP$8:AP$295,Internal_labour_inputs!$B$8:$B$295,$B57)</f>
        <v>18.171428571428571</v>
      </c>
      <c r="AI57" s="192">
        <f>SUMIFS(Internal_labour_inputs!AQ$8:AQ$295,Internal_labour_inputs!$B$8:$B$295,$B57)</f>
        <v>18.742857142857137</v>
      </c>
      <c r="AJ57" s="192">
        <f>SUMIFS(Internal_labour_inputs!AR$8:AR$295,Internal_labour_inputs!$B$8:$B$295,$B57)</f>
        <v>18.742857142857137</v>
      </c>
      <c r="AK57" s="192">
        <f>SUMIFS(Internal_labour_inputs!AS$8:AS$295,Internal_labour_inputs!$B$8:$B$295,$B57)</f>
        <v>19.542857142857144</v>
      </c>
      <c r="AL57" s="192">
        <f>SUMIFS(Internal_labour_inputs!AT$8:AT$295,Internal_labour_inputs!$B$8:$B$295,$B57)</f>
        <v>20.06666666666667</v>
      </c>
      <c r="AM57" s="192">
        <f>SUMIFS(Internal_labour_inputs!AU$8:AU$295,Internal_labour_inputs!$B$8:$B$295,$B57)</f>
        <v>26.009523809523809</v>
      </c>
      <c r="AN57" s="192">
        <f>SUMIFS(Internal_labour_inputs!AV$8:AV$295,Internal_labour_inputs!$B$8:$B$295,$B57)</f>
        <v>17.600000000000001</v>
      </c>
      <c r="AO57" s="192">
        <f>SUMIFS(Internal_labour_inputs!AW$8:AW$295,Internal_labour_inputs!$B$8:$B$295,$B57)</f>
        <v>19.314285714285713</v>
      </c>
      <c r="AP57" s="192">
        <f>SUMIFS(Internal_labour_inputs!AX$8:AX$295,Internal_labour_inputs!$B$8:$B$295,$B57)</f>
        <v>21.895238095238099</v>
      </c>
      <c r="AQ57" s="192">
        <f>SUMIFS(Internal_labour_inputs!AY$8:AY$295,Internal_labour_inputs!$B$8:$B$295,$B57)</f>
        <v>19.131578947368418</v>
      </c>
      <c r="AR57" s="192">
        <f>SUMIFS(Internal_labour_inputs!AZ$8:AZ$295,Internal_labour_inputs!$B$8:$B$295,$B57)</f>
        <v>19.131578947368418</v>
      </c>
      <c r="AS57" s="192">
        <f>SUMIFS(Internal_labour_inputs!BA$8:BA$295,Internal_labour_inputs!$B$8:$B$295,$B57)</f>
        <v>17.600000000000001</v>
      </c>
      <c r="AT57" s="192">
        <f>SUMIFS(Internal_labour_inputs!BB$8:BB$295,Internal_labour_inputs!$B$8:$B$295,$B57)</f>
        <v>18.742857142857137</v>
      </c>
      <c r="AU57" s="192">
        <f>SUMIFS(Internal_labour_inputs!BC$8:BC$295,Internal_labour_inputs!$B$8:$B$295,$B57)</f>
        <v>20.140952380952385</v>
      </c>
      <c r="AV57" s="192">
        <f>SUMIFS(Internal_labour_inputs!BD$8:BD$295,Internal_labour_inputs!$B$8:$B$295,$B57)</f>
        <v>15.388571428571426</v>
      </c>
      <c r="AW57" s="192">
        <f>SUMIFS(Internal_labour_inputs!BE$8:BE$295,Internal_labour_inputs!$B$8:$B$295,$B57)</f>
        <v>21.359999999999996</v>
      </c>
      <c r="AX57" s="192">
        <f>SUMIFS(Internal_labour_inputs!BF$8:BF$295,Internal_labour_inputs!$B$8:$B$295,$B57)</f>
        <v>5.7504761904761894</v>
      </c>
      <c r="AY57" s="192">
        <f>SUMIFS(Internal_labour_inputs!BG$8:BG$295,Internal_labour_inputs!$B$8:$B$295,$B57)</f>
        <v>8.3809523809523814</v>
      </c>
      <c r="AZ57" s="192">
        <f>SUMIFS(Internal_labour_inputs!BH$8:BH$295,Internal_labour_inputs!$B$8:$B$295,$B57)</f>
        <v>1</v>
      </c>
      <c r="BA57" s="192">
        <f>SUMIFS(Internal_labour_inputs!BI$8:BI$295,Internal_labour_inputs!$B$8:$B$295,$B57)</f>
        <v>0</v>
      </c>
      <c r="BB57" s="192">
        <f>SUMIFS(Internal_labour_inputs!BJ$8:BJ$295,Internal_labour_inputs!$B$8:$B$295,$B57)</f>
        <v>0</v>
      </c>
      <c r="BC57" s="192">
        <f>SUMIFS(Internal_labour_inputs!BK$8:BK$295,Internal_labour_inputs!$B$8:$B$295,$B57)</f>
        <v>0</v>
      </c>
      <c r="BD57" s="192">
        <f>SUMIFS(Internal_labour_inputs!BL$8:BL$295,Internal_labour_inputs!$B$8:$B$295,$B57)</f>
        <v>0</v>
      </c>
      <c r="BE57" s="192">
        <f>SUMIFS(Internal_labour_inputs!BM$8:BM$295,Internal_labour_inputs!$B$8:$B$295,$B57)</f>
        <v>0</v>
      </c>
      <c r="BF57" s="192">
        <f>SUMIFS(Internal_labour_inputs!BN$8:BN$295,Internal_labour_inputs!$B$8:$B$295,$B57)</f>
        <v>0</v>
      </c>
      <c r="BG57" s="192">
        <f>SUMIFS(Internal_labour_inputs!BO$8:BO$295,Internal_labour_inputs!$B$8:$B$295,$B57)</f>
        <v>0</v>
      </c>
      <c r="BH57" s="192">
        <f>SUMIFS(Internal_labour_inputs!BP$8:BP$295,Internal_labour_inputs!$B$8:$B$295,$B57)</f>
        <v>0</v>
      </c>
      <c r="BI57" s="192">
        <f>SUMIFS(Internal_labour_inputs!BQ$8:BQ$295,Internal_labour_inputs!$B$8:$B$295,$B57)</f>
        <v>0</v>
      </c>
      <c r="BJ57" s="192">
        <f>SUMIFS(Internal_labour_inputs!BR$8:BR$295,Internal_labour_inputs!$B$8:$B$295,$B57)</f>
        <v>0</v>
      </c>
      <c r="BK57" s="192">
        <f>SUMIFS(Internal_labour_inputs!BS$8:BS$295,Internal_labour_inputs!$B$8:$B$295,$B57)</f>
        <v>0</v>
      </c>
      <c r="BL57" s="192">
        <f>SUMIFS(Internal_labour_inputs!BT$8:BT$295,Internal_labour_inputs!$B$8:$B$295,$B57)</f>
        <v>0</v>
      </c>
      <c r="BM57" s="192">
        <f>SUMIFS(Internal_labour_inputs!BU$8:BU$295,Internal_labour_inputs!$B$8:$B$295,$B57)</f>
        <v>0</v>
      </c>
      <c r="BN57" s="192">
        <f>SUMIFS(Internal_labour_inputs!BV$8:BV$295,Internal_labour_inputs!$B$8:$B$295,$B57)</f>
        <v>0</v>
      </c>
      <c r="BO57" s="192">
        <f>SUMIFS(Internal_labour_inputs!BW$8:BW$295,Internal_labour_inputs!$B$8:$B$295,$B57)</f>
        <v>0</v>
      </c>
      <c r="BP57" s="192">
        <f>SUMIFS(Internal_labour_inputs!BX$8:BX$295,Internal_labour_inputs!$B$8:$B$295,$B57)</f>
        <v>0</v>
      </c>
      <c r="BQ57" s="192">
        <f>SUMIFS(Internal_labour_inputs!BY$8:BY$295,Internal_labour_inputs!$B$8:$B$295,$B57)</f>
        <v>0</v>
      </c>
      <c r="BR57" s="192">
        <f>SUMIFS(Internal_labour_inputs!BZ$8:BZ$295,Internal_labour_inputs!$B$8:$B$295,$B57)</f>
        <v>0</v>
      </c>
      <c r="BS57" s="192">
        <f>SUMIFS(Internal_labour_inputs!CA$8:CA$295,Internal_labour_inputs!$B$8:$B$295,$B57)</f>
        <v>0</v>
      </c>
      <c r="BT57" s="192">
        <f>SUMIFS(Internal_labour_inputs!CB$8:CB$295,Internal_labour_inputs!$B$8:$B$295,$B57)</f>
        <v>0</v>
      </c>
      <c r="BU57" s="192">
        <f>SUMIFS(Internal_labour_inputs!CC$8:CC$295,Internal_labour_inputs!$B$8:$B$295,$B57)</f>
        <v>0</v>
      </c>
      <c r="BV57" s="192">
        <f>SUMIFS(Internal_labour_inputs!CD$8:CD$295,Internal_labour_inputs!$B$8:$B$295,$B57)</f>
        <v>0</v>
      </c>
      <c r="BW57" s="192">
        <f>SUMIFS(Internal_labour_inputs!CE$8:CE$295,Internal_labour_inputs!$B$8:$B$295,$B57)</f>
        <v>0</v>
      </c>
      <c r="BX57" s="192">
        <f>SUMIFS(Internal_labour_inputs!CF$8:CF$295,Internal_labour_inputs!$B$8:$B$295,$B57)</f>
        <v>0</v>
      </c>
      <c r="BY57" s="192">
        <f>SUMIFS(Internal_labour_inputs!CG$8:CG$295,Internal_labour_inputs!$B$8:$B$295,$B57)</f>
        <v>0</v>
      </c>
      <c r="BZ57" s="192">
        <f>SUMIFS(Internal_labour_inputs!CH$8:CH$295,Internal_labour_inputs!$B$8:$B$295,$B57)</f>
        <v>0</v>
      </c>
      <c r="CA57" s="192">
        <f>SUMIFS(Internal_labour_inputs!CI$8:CI$295,Internal_labour_inputs!$B$8:$B$295,$B57)</f>
        <v>0</v>
      </c>
      <c r="CB57" s="192">
        <f>SUMIFS(Internal_labour_inputs!CJ$8:CJ$295,Internal_labour_inputs!$B$8:$B$295,$B57)</f>
        <v>0</v>
      </c>
      <c r="CC57" s="192">
        <f>SUMIFS(Internal_labour_inputs!CK$8:CK$295,Internal_labour_inputs!$B$8:$B$295,$B57)</f>
        <v>0</v>
      </c>
      <c r="CD57" s="192">
        <f>SUMIFS(Internal_labour_inputs!CL$8:CL$295,Internal_labour_inputs!$B$8:$B$295,$B57)</f>
        <v>0</v>
      </c>
      <c r="CE57" s="192">
        <f>SUMIFS(Internal_labour_inputs!CM$8:CM$295,Internal_labour_inputs!$B$8:$B$295,$B57)</f>
        <v>0</v>
      </c>
      <c r="CF57" s="192">
        <f>SUMIFS(Internal_labour_inputs!CN$8:CN$295,Internal_labour_inputs!$B$8:$B$295,$B57)</f>
        <v>0</v>
      </c>
      <c r="CG57" s="192">
        <f>SUMIFS(Internal_labour_inputs!CO$8:CO$295,Internal_labour_inputs!$B$8:$B$295,$B57)</f>
        <v>0</v>
      </c>
      <c r="CH57" s="192">
        <f>SUMIFS(Internal_labour_inputs!CP$8:CP$295,Internal_labour_inputs!$B$8:$B$295,$B57)</f>
        <v>0</v>
      </c>
      <c r="CI57" s="192">
        <f t="shared" si="17"/>
        <v>624.47834586466172</v>
      </c>
      <c r="CJ57" s="192">
        <f t="shared" si="18"/>
        <v>13.009965538847119</v>
      </c>
      <c r="CK57" s="192">
        <f t="shared" si="19"/>
        <v>17.17565365025467</v>
      </c>
      <c r="CL57" s="194"/>
    </row>
    <row r="58" spans="1:90" x14ac:dyDescent="0.3">
      <c r="B58" s="191" t="str">
        <f t="shared" si="16"/>
        <v>Project Delivery Management - Project Controls</v>
      </c>
      <c r="C58" s="192">
        <f>SUMIFS(Internal_labour_inputs!K$8:K$295,Internal_labour_inputs!$B$8:$B$295,$B58)</f>
        <v>0</v>
      </c>
      <c r="D58" s="192">
        <f>SUMIFS(Internal_labour_inputs!L$8:L$295,Internal_labour_inputs!$B$8:$B$295,$B58)</f>
        <v>0</v>
      </c>
      <c r="E58" s="192">
        <f>SUMIFS(Internal_labour_inputs!M$8:M$295,Internal_labour_inputs!$B$8:$B$295,$B58)</f>
        <v>0</v>
      </c>
      <c r="F58" s="192">
        <f>SUMIFS(Internal_labour_inputs!N$8:N$295,Internal_labour_inputs!$B$8:$B$295,$B58)</f>
        <v>0</v>
      </c>
      <c r="G58" s="192">
        <f>SUMIFS(Internal_labour_inputs!O$8:O$295,Internal_labour_inputs!$B$8:$B$295,$B58)</f>
        <v>0</v>
      </c>
      <c r="H58" s="192">
        <f>SUMIFS(Internal_labour_inputs!P$8:P$295,Internal_labour_inputs!$B$8:$B$295,$B58)</f>
        <v>0</v>
      </c>
      <c r="I58" s="192">
        <f>SUMIFS(Internal_labour_inputs!Q$8:Q$295,Internal_labour_inputs!$B$8:$B$295,$B58)</f>
        <v>0</v>
      </c>
      <c r="J58" s="192">
        <f>SUMIFS(Internal_labour_inputs!R$8:R$295,Internal_labour_inputs!$B$8:$B$295,$B58)</f>
        <v>0.05</v>
      </c>
      <c r="K58" s="192">
        <f>SUMIFS(Internal_labour_inputs!S$8:S$295,Internal_labour_inputs!$B$8:$B$295,$B58)</f>
        <v>0.05</v>
      </c>
      <c r="L58" s="192">
        <f>SUMIFS(Internal_labour_inputs!T$8:T$295,Internal_labour_inputs!$B$8:$B$295,$B58)</f>
        <v>0</v>
      </c>
      <c r="M58" s="192">
        <f>SUMIFS(Internal_labour_inputs!U$8:U$295,Internal_labour_inputs!$B$8:$B$295,$B58)</f>
        <v>0.1</v>
      </c>
      <c r="N58" s="192">
        <f>SUMIFS(Internal_labour_inputs!V$8:V$295,Internal_labour_inputs!$B$8:$B$295,$B58)</f>
        <v>1.1000000000000001</v>
      </c>
      <c r="O58" s="192">
        <f>SUMIFS(Internal_labour_inputs!W$8:W$295,Internal_labour_inputs!$B$8:$B$295,$B58)</f>
        <v>4.2095238095238097</v>
      </c>
      <c r="P58" s="192">
        <f>SUMIFS(Internal_labour_inputs!X$8:X$295,Internal_labour_inputs!$B$8:$B$295,$B58)</f>
        <v>11.928571428571429</v>
      </c>
      <c r="Q58" s="192">
        <f>SUMIFS(Internal_labour_inputs!Y$8:Y$295,Internal_labour_inputs!$B$8:$B$295,$B58)</f>
        <v>11.928571428571429</v>
      </c>
      <c r="R58" s="192">
        <f>SUMIFS(Internal_labour_inputs!Z$8:Z$295,Internal_labour_inputs!$B$8:$B$295,$B58)</f>
        <v>12.904761904761905</v>
      </c>
      <c r="S58" s="192">
        <f>SUMIFS(Internal_labour_inputs!AA$8:AA$295,Internal_labour_inputs!$B$8:$B$295,$B58)</f>
        <v>10.986842105263156</v>
      </c>
      <c r="T58" s="192">
        <f>SUMIFS(Internal_labour_inputs!AB$8:AB$295,Internal_labour_inputs!$B$8:$B$295,$B58)</f>
        <v>10.986842105263156</v>
      </c>
      <c r="U58" s="192">
        <f>SUMIFS(Internal_labour_inputs!AC$8:AC$295,Internal_labour_inputs!$B$8:$B$295,$B58)</f>
        <v>11.928571428571429</v>
      </c>
      <c r="V58" s="192">
        <f>SUMIFS(Internal_labour_inputs!AD$8:AD$295,Internal_labour_inputs!$B$8:$B$295,$B58)</f>
        <v>11.928571428571429</v>
      </c>
      <c r="W58" s="192">
        <f>SUMIFS(Internal_labour_inputs!AE$8:AE$295,Internal_labour_inputs!$B$8:$B$295,$B58)</f>
        <v>11.928571428571429</v>
      </c>
      <c r="X58" s="192">
        <f>SUMIFS(Internal_labour_inputs!AF$8:AF$295,Internal_labour_inputs!$B$8:$B$295,$B58)</f>
        <v>11.928571428571429</v>
      </c>
      <c r="Y58" s="192">
        <f>SUMIFS(Internal_labour_inputs!AG$8:AG$295,Internal_labour_inputs!$B$8:$B$295,$B58)</f>
        <v>11.928571428571429</v>
      </c>
      <c r="Z58" s="192">
        <f>SUMIFS(Internal_labour_inputs!AH$8:AH$295,Internal_labour_inputs!$B$8:$B$295,$B58)</f>
        <v>12.904761904761905</v>
      </c>
      <c r="AA58" s="192">
        <f>SUMIFS(Internal_labour_inputs!AI$8:AI$295,Internal_labour_inputs!$B$8:$B$295,$B58)</f>
        <v>12.904761904761905</v>
      </c>
      <c r="AB58" s="192">
        <f>SUMIFS(Internal_labour_inputs!AJ$8:AJ$295,Internal_labour_inputs!$B$8:$B$295,$B58)</f>
        <v>11.928571428571429</v>
      </c>
      <c r="AC58" s="192">
        <f>SUMIFS(Internal_labour_inputs!AK$8:AK$295,Internal_labour_inputs!$B$8:$B$295,$B58)</f>
        <v>11.928571428571429</v>
      </c>
      <c r="AD58" s="192">
        <f>SUMIFS(Internal_labour_inputs!AL$8:AL$295,Internal_labour_inputs!$B$8:$B$295,$B58)</f>
        <v>12.904761904761905</v>
      </c>
      <c r="AE58" s="192">
        <f>SUMIFS(Internal_labour_inputs!AM$8:AM$295,Internal_labour_inputs!$B$8:$B$295,$B58)</f>
        <v>11.69736842105263</v>
      </c>
      <c r="AF58" s="192">
        <f>SUMIFS(Internal_labour_inputs!AN$8:AN$295,Internal_labour_inputs!$B$8:$B$295,$B58)</f>
        <v>11.69736842105263</v>
      </c>
      <c r="AG58" s="192">
        <f>SUMIFS(Internal_labour_inputs!AO$8:AO$295,Internal_labour_inputs!$B$8:$B$295,$B58)</f>
        <v>11.928571428571429</v>
      </c>
      <c r="AH58" s="192">
        <f>SUMIFS(Internal_labour_inputs!AP$8:AP$295,Internal_labour_inputs!$B$8:$B$295,$B58)</f>
        <v>11.928571428571429</v>
      </c>
      <c r="AI58" s="192">
        <f>SUMIFS(Internal_labour_inputs!AQ$8:AQ$295,Internal_labour_inputs!$B$8:$B$295,$B58)</f>
        <v>11.928571428571429</v>
      </c>
      <c r="AJ58" s="192">
        <f>SUMIFS(Internal_labour_inputs!AR$8:AR$295,Internal_labour_inputs!$B$8:$B$295,$B58)</f>
        <v>11.928571428571429</v>
      </c>
      <c r="AK58" s="192">
        <f>SUMIFS(Internal_labour_inputs!AS$8:AS$295,Internal_labour_inputs!$B$8:$B$295,$B58)</f>
        <v>11.928571428571429</v>
      </c>
      <c r="AL58" s="192">
        <f>SUMIFS(Internal_labour_inputs!AT$8:AT$295,Internal_labour_inputs!$B$8:$B$295,$B58)</f>
        <v>12.904761904761905</v>
      </c>
      <c r="AM58" s="192">
        <f>SUMIFS(Internal_labour_inputs!AU$8:AU$295,Internal_labour_inputs!$B$8:$B$295,$B58)</f>
        <v>12.904761904761905</v>
      </c>
      <c r="AN58" s="192">
        <f>SUMIFS(Internal_labour_inputs!AV$8:AV$295,Internal_labour_inputs!$B$8:$B$295,$B58)</f>
        <v>11.928571428571429</v>
      </c>
      <c r="AO58" s="192">
        <f>SUMIFS(Internal_labour_inputs!AW$8:AW$295,Internal_labour_inputs!$B$8:$B$295,$B58)</f>
        <v>11.928571428571429</v>
      </c>
      <c r="AP58" s="192">
        <f>SUMIFS(Internal_labour_inputs!AX$8:AX$295,Internal_labour_inputs!$B$8:$B$295,$B58)</f>
        <v>12.904761904761905</v>
      </c>
      <c r="AQ58" s="192">
        <f>SUMIFS(Internal_labour_inputs!AY$8:AY$295,Internal_labour_inputs!$B$8:$B$295,$B58)</f>
        <v>11.381578947368419</v>
      </c>
      <c r="AR58" s="192">
        <f>SUMIFS(Internal_labour_inputs!AZ$8:AZ$295,Internal_labour_inputs!$B$8:$B$295,$B58)</f>
        <v>11.381578947368419</v>
      </c>
      <c r="AS58" s="192">
        <f>SUMIFS(Internal_labour_inputs!BA$8:BA$295,Internal_labour_inputs!$B$8:$B$295,$B58)</f>
        <v>11.928571428571429</v>
      </c>
      <c r="AT58" s="192">
        <f>SUMIFS(Internal_labour_inputs!BB$8:BB$295,Internal_labour_inputs!$B$8:$B$295,$B58)</f>
        <v>11.928571428571429</v>
      </c>
      <c r="AU58" s="192">
        <f>SUMIFS(Internal_labour_inputs!BC$8:BC$295,Internal_labour_inputs!$B$8:$B$295,$B58)</f>
        <v>11.928571428571429</v>
      </c>
      <c r="AV58" s="192">
        <f>SUMIFS(Internal_labour_inputs!BD$8:BD$295,Internal_labour_inputs!$B$8:$B$295,$B58)</f>
        <v>11.928571428571429</v>
      </c>
      <c r="AW58" s="192">
        <f>SUMIFS(Internal_labour_inputs!BE$8:BE$295,Internal_labour_inputs!$B$8:$B$295,$B58)</f>
        <v>11.928571428571429</v>
      </c>
      <c r="AX58" s="192">
        <f>SUMIFS(Internal_labour_inputs!BF$8:BF$295,Internal_labour_inputs!$B$8:$B$295,$B58)</f>
        <v>13.904761904761905</v>
      </c>
      <c r="AY58" s="192">
        <f>SUMIFS(Internal_labour_inputs!BG$8:BG$295,Internal_labour_inputs!$B$8:$B$295,$B58)</f>
        <v>6.666666666666667</v>
      </c>
      <c r="AZ58" s="192">
        <f>SUMIFS(Internal_labour_inputs!BH$8:BH$295,Internal_labour_inputs!$B$8:$B$295,$B58)</f>
        <v>6.5</v>
      </c>
      <c r="BA58" s="192">
        <f>SUMIFS(Internal_labour_inputs!BI$8:BI$295,Internal_labour_inputs!$B$8:$B$295,$B58)</f>
        <v>0</v>
      </c>
      <c r="BB58" s="192">
        <f>SUMIFS(Internal_labour_inputs!BJ$8:BJ$295,Internal_labour_inputs!$B$8:$B$295,$B58)</f>
        <v>0</v>
      </c>
      <c r="BC58" s="192">
        <f>SUMIFS(Internal_labour_inputs!BK$8:BK$295,Internal_labour_inputs!$B$8:$B$295,$B58)</f>
        <v>0</v>
      </c>
      <c r="BD58" s="192">
        <f>SUMIFS(Internal_labour_inputs!BL$8:BL$295,Internal_labour_inputs!$B$8:$B$295,$B58)</f>
        <v>0</v>
      </c>
      <c r="BE58" s="192">
        <f>SUMIFS(Internal_labour_inputs!BM$8:BM$295,Internal_labour_inputs!$B$8:$B$295,$B58)</f>
        <v>0</v>
      </c>
      <c r="BF58" s="192">
        <f>SUMIFS(Internal_labour_inputs!BN$8:BN$295,Internal_labour_inputs!$B$8:$B$295,$B58)</f>
        <v>0</v>
      </c>
      <c r="BG58" s="192">
        <f>SUMIFS(Internal_labour_inputs!BO$8:BO$295,Internal_labour_inputs!$B$8:$B$295,$B58)</f>
        <v>0</v>
      </c>
      <c r="BH58" s="192">
        <f>SUMIFS(Internal_labour_inputs!BP$8:BP$295,Internal_labour_inputs!$B$8:$B$295,$B58)</f>
        <v>0</v>
      </c>
      <c r="BI58" s="192">
        <f>SUMIFS(Internal_labour_inputs!BQ$8:BQ$295,Internal_labour_inputs!$B$8:$B$295,$B58)</f>
        <v>0</v>
      </c>
      <c r="BJ58" s="192">
        <f>SUMIFS(Internal_labour_inputs!BR$8:BR$295,Internal_labour_inputs!$B$8:$B$295,$B58)</f>
        <v>0</v>
      </c>
      <c r="BK58" s="192">
        <f>SUMIFS(Internal_labour_inputs!BS$8:BS$295,Internal_labour_inputs!$B$8:$B$295,$B58)</f>
        <v>0</v>
      </c>
      <c r="BL58" s="192">
        <f>SUMIFS(Internal_labour_inputs!BT$8:BT$295,Internal_labour_inputs!$B$8:$B$295,$B58)</f>
        <v>0</v>
      </c>
      <c r="BM58" s="192">
        <f>SUMIFS(Internal_labour_inputs!BU$8:BU$295,Internal_labour_inputs!$B$8:$B$295,$B58)</f>
        <v>0</v>
      </c>
      <c r="BN58" s="192">
        <f>SUMIFS(Internal_labour_inputs!BV$8:BV$295,Internal_labour_inputs!$B$8:$B$295,$B58)</f>
        <v>0</v>
      </c>
      <c r="BO58" s="192">
        <f>SUMIFS(Internal_labour_inputs!BW$8:BW$295,Internal_labour_inputs!$B$8:$B$295,$B58)</f>
        <v>0</v>
      </c>
      <c r="BP58" s="192">
        <f>SUMIFS(Internal_labour_inputs!BX$8:BX$295,Internal_labour_inputs!$B$8:$B$295,$B58)</f>
        <v>0</v>
      </c>
      <c r="BQ58" s="192">
        <f>SUMIFS(Internal_labour_inputs!BY$8:BY$295,Internal_labour_inputs!$B$8:$B$295,$B58)</f>
        <v>0</v>
      </c>
      <c r="BR58" s="192">
        <f>SUMIFS(Internal_labour_inputs!BZ$8:BZ$295,Internal_labour_inputs!$B$8:$B$295,$B58)</f>
        <v>0</v>
      </c>
      <c r="BS58" s="192">
        <f>SUMIFS(Internal_labour_inputs!CA$8:CA$295,Internal_labour_inputs!$B$8:$B$295,$B58)</f>
        <v>0</v>
      </c>
      <c r="BT58" s="192">
        <f>SUMIFS(Internal_labour_inputs!CB$8:CB$295,Internal_labour_inputs!$B$8:$B$295,$B58)</f>
        <v>0</v>
      </c>
      <c r="BU58" s="192">
        <f>SUMIFS(Internal_labour_inputs!CC$8:CC$295,Internal_labour_inputs!$B$8:$B$295,$B58)</f>
        <v>0</v>
      </c>
      <c r="BV58" s="192">
        <f>SUMIFS(Internal_labour_inputs!CD$8:CD$295,Internal_labour_inputs!$B$8:$B$295,$B58)</f>
        <v>0</v>
      </c>
      <c r="BW58" s="192">
        <f>SUMIFS(Internal_labour_inputs!CE$8:CE$295,Internal_labour_inputs!$B$8:$B$295,$B58)</f>
        <v>0</v>
      </c>
      <c r="BX58" s="192">
        <f>SUMIFS(Internal_labour_inputs!CF$8:CF$295,Internal_labour_inputs!$B$8:$B$295,$B58)</f>
        <v>0</v>
      </c>
      <c r="BY58" s="192">
        <f>SUMIFS(Internal_labour_inputs!CG$8:CG$295,Internal_labour_inputs!$B$8:$B$295,$B58)</f>
        <v>0</v>
      </c>
      <c r="BZ58" s="192">
        <f>SUMIFS(Internal_labour_inputs!CH$8:CH$295,Internal_labour_inputs!$B$8:$B$295,$B58)</f>
        <v>0</v>
      </c>
      <c r="CA58" s="192">
        <f>SUMIFS(Internal_labour_inputs!CI$8:CI$295,Internal_labour_inputs!$B$8:$B$295,$B58)</f>
        <v>0</v>
      </c>
      <c r="CB58" s="192">
        <f>SUMIFS(Internal_labour_inputs!CJ$8:CJ$295,Internal_labour_inputs!$B$8:$B$295,$B58)</f>
        <v>0</v>
      </c>
      <c r="CC58" s="192">
        <f>SUMIFS(Internal_labour_inputs!CK$8:CK$295,Internal_labour_inputs!$B$8:$B$295,$B58)</f>
        <v>0</v>
      </c>
      <c r="CD58" s="192">
        <f>SUMIFS(Internal_labour_inputs!CL$8:CL$295,Internal_labour_inputs!$B$8:$B$295,$B58)</f>
        <v>0</v>
      </c>
      <c r="CE58" s="192">
        <f>SUMIFS(Internal_labour_inputs!CM$8:CM$295,Internal_labour_inputs!$B$8:$B$295,$B58)</f>
        <v>0</v>
      </c>
      <c r="CF58" s="192">
        <f>SUMIFS(Internal_labour_inputs!CN$8:CN$295,Internal_labour_inputs!$B$8:$B$295,$B58)</f>
        <v>0</v>
      </c>
      <c r="CG58" s="192">
        <f>SUMIFS(Internal_labour_inputs!CO$8:CO$295,Internal_labour_inputs!$B$8:$B$295,$B58)</f>
        <v>0</v>
      </c>
      <c r="CH58" s="192">
        <f>SUMIFS(Internal_labour_inputs!CP$8:CP$295,Internal_labour_inputs!$B$8:$B$295,$B58)</f>
        <v>0</v>
      </c>
      <c r="CI58" s="192">
        <f t="shared" si="17"/>
        <v>441.54586466165432</v>
      </c>
      <c r="CJ58" s="192">
        <f t="shared" si="18"/>
        <v>9.1988721804511311</v>
      </c>
      <c r="CK58" s="192">
        <f t="shared" si="19"/>
        <v>11.016614115934999</v>
      </c>
      <c r="CL58" s="194"/>
    </row>
    <row r="59" spans="1:90" x14ac:dyDescent="0.3">
      <c r="B59" s="191" t="str">
        <f t="shared" si="16"/>
        <v>Project Delivery Management - Project Engineering</v>
      </c>
      <c r="C59" s="192">
        <f>SUMIFS(Internal_labour_inputs!K$8:K$295,Internal_labour_inputs!$B$8:$B$295,$B59)</f>
        <v>0</v>
      </c>
      <c r="D59" s="192">
        <f>SUMIFS(Internal_labour_inputs!L$8:L$295,Internal_labour_inputs!$B$8:$B$295,$B59)</f>
        <v>0</v>
      </c>
      <c r="E59" s="192">
        <f>SUMIFS(Internal_labour_inputs!M$8:M$295,Internal_labour_inputs!$B$8:$B$295,$B59)</f>
        <v>0</v>
      </c>
      <c r="F59" s="192">
        <f>SUMIFS(Internal_labour_inputs!N$8:N$295,Internal_labour_inputs!$B$8:$B$295,$B59)</f>
        <v>0</v>
      </c>
      <c r="G59" s="192">
        <f>SUMIFS(Internal_labour_inputs!O$8:O$295,Internal_labour_inputs!$B$8:$B$295,$B59)</f>
        <v>0</v>
      </c>
      <c r="H59" s="192">
        <f>SUMIFS(Internal_labour_inputs!P$8:P$295,Internal_labour_inputs!$B$8:$B$295,$B59)</f>
        <v>0</v>
      </c>
      <c r="I59" s="192">
        <f>SUMIFS(Internal_labour_inputs!Q$8:Q$295,Internal_labour_inputs!$B$8:$B$295,$B59)</f>
        <v>0</v>
      </c>
      <c r="J59" s="192">
        <f>SUMIFS(Internal_labour_inputs!R$8:R$295,Internal_labour_inputs!$B$8:$B$295,$B59)</f>
        <v>0</v>
      </c>
      <c r="K59" s="192">
        <f>SUMIFS(Internal_labour_inputs!S$8:S$295,Internal_labour_inputs!$B$8:$B$295,$B59)</f>
        <v>0</v>
      </c>
      <c r="L59" s="192">
        <f>SUMIFS(Internal_labour_inputs!T$8:T$295,Internal_labour_inputs!$B$8:$B$295,$B59)</f>
        <v>0</v>
      </c>
      <c r="M59" s="192">
        <f>SUMIFS(Internal_labour_inputs!U$8:U$295,Internal_labour_inputs!$B$8:$B$295,$B59)</f>
        <v>0</v>
      </c>
      <c r="N59" s="192">
        <f>SUMIFS(Internal_labour_inputs!V$8:V$295,Internal_labour_inputs!$B$8:$B$295,$B59)</f>
        <v>0.8</v>
      </c>
      <c r="O59" s="192">
        <f>SUMIFS(Internal_labour_inputs!W$8:W$295,Internal_labour_inputs!$B$8:$B$295,$B59)</f>
        <v>4.0666666666666664</v>
      </c>
      <c r="P59" s="192">
        <f>SUMIFS(Internal_labour_inputs!X$8:X$295,Internal_labour_inputs!$B$8:$B$295,$B59)</f>
        <v>3</v>
      </c>
      <c r="Q59" s="192">
        <f>SUMIFS(Internal_labour_inputs!Y$8:Y$295,Internal_labour_inputs!$B$8:$B$295,$B59)</f>
        <v>3</v>
      </c>
      <c r="R59" s="192">
        <f>SUMIFS(Internal_labour_inputs!Z$8:Z$295,Internal_labour_inputs!$B$8:$B$295,$B59)</f>
        <v>1</v>
      </c>
      <c r="S59" s="192">
        <f>SUMIFS(Internal_labour_inputs!AA$8:AA$295,Internal_labour_inputs!$B$8:$B$295,$B59)</f>
        <v>0.92105263157894735</v>
      </c>
      <c r="T59" s="192">
        <f>SUMIFS(Internal_labour_inputs!AB$8:AB$295,Internal_labour_inputs!$B$8:$B$295,$B59)</f>
        <v>0.92105263157894735</v>
      </c>
      <c r="U59" s="192">
        <f>SUMIFS(Internal_labour_inputs!AC$8:AC$295,Internal_labour_inputs!$B$8:$B$295,$B59)</f>
        <v>1</v>
      </c>
      <c r="V59" s="192">
        <f>SUMIFS(Internal_labour_inputs!AD$8:AD$295,Internal_labour_inputs!$B$8:$B$295,$B59)</f>
        <v>1</v>
      </c>
      <c r="W59" s="192">
        <f>SUMIFS(Internal_labour_inputs!AE$8:AE$295,Internal_labour_inputs!$B$8:$B$295,$B59)</f>
        <v>1</v>
      </c>
      <c r="X59" s="192">
        <f>SUMIFS(Internal_labour_inputs!AF$8:AF$295,Internal_labour_inputs!$B$8:$B$295,$B59)</f>
        <v>1</v>
      </c>
      <c r="Y59" s="192">
        <f>SUMIFS(Internal_labour_inputs!AG$8:AG$295,Internal_labour_inputs!$B$8:$B$295,$B59)</f>
        <v>1</v>
      </c>
      <c r="Z59" s="192">
        <f>SUMIFS(Internal_labour_inputs!AH$8:AH$295,Internal_labour_inputs!$B$8:$B$295,$B59)</f>
        <v>1</v>
      </c>
      <c r="AA59" s="192">
        <f>SUMIFS(Internal_labour_inputs!AI$8:AI$295,Internal_labour_inputs!$B$8:$B$295,$B59)</f>
        <v>1</v>
      </c>
      <c r="AB59" s="192">
        <f>SUMIFS(Internal_labour_inputs!AJ$8:AJ$295,Internal_labour_inputs!$B$8:$B$295,$B59)</f>
        <v>1</v>
      </c>
      <c r="AC59" s="192">
        <f>SUMIFS(Internal_labour_inputs!AK$8:AK$295,Internal_labour_inputs!$B$8:$B$295,$B59)</f>
        <v>1</v>
      </c>
      <c r="AD59" s="192">
        <f>SUMIFS(Internal_labour_inputs!AL$8:AL$295,Internal_labour_inputs!$B$8:$B$295,$B59)</f>
        <v>1</v>
      </c>
      <c r="AE59" s="192">
        <f>SUMIFS(Internal_labour_inputs!AM$8:AM$295,Internal_labour_inputs!$B$8:$B$295,$B59)</f>
        <v>1</v>
      </c>
      <c r="AF59" s="192">
        <f>SUMIFS(Internal_labour_inputs!AN$8:AN$295,Internal_labour_inputs!$B$8:$B$295,$B59)</f>
        <v>1</v>
      </c>
      <c r="AG59" s="192">
        <f>SUMIFS(Internal_labour_inputs!AO$8:AO$295,Internal_labour_inputs!$B$8:$B$295,$B59)</f>
        <v>1</v>
      </c>
      <c r="AH59" s="192">
        <f>SUMIFS(Internal_labour_inputs!AP$8:AP$295,Internal_labour_inputs!$B$8:$B$295,$B59)</f>
        <v>1</v>
      </c>
      <c r="AI59" s="192">
        <f>SUMIFS(Internal_labour_inputs!AQ$8:AQ$295,Internal_labour_inputs!$B$8:$B$295,$B59)</f>
        <v>1</v>
      </c>
      <c r="AJ59" s="192">
        <f>SUMIFS(Internal_labour_inputs!AR$8:AR$295,Internal_labour_inputs!$B$8:$B$295,$B59)</f>
        <v>1</v>
      </c>
      <c r="AK59" s="192">
        <f>SUMIFS(Internal_labour_inputs!AS$8:AS$295,Internal_labour_inputs!$B$8:$B$295,$B59)</f>
        <v>1</v>
      </c>
      <c r="AL59" s="192">
        <f>SUMIFS(Internal_labour_inputs!AT$8:AT$295,Internal_labour_inputs!$B$8:$B$295,$B59)</f>
        <v>1</v>
      </c>
      <c r="AM59" s="192">
        <f>SUMIFS(Internal_labour_inputs!AU$8:AU$295,Internal_labour_inputs!$B$8:$B$295,$B59)</f>
        <v>1</v>
      </c>
      <c r="AN59" s="192">
        <f>SUMIFS(Internal_labour_inputs!AV$8:AV$295,Internal_labour_inputs!$B$8:$B$295,$B59)</f>
        <v>1</v>
      </c>
      <c r="AO59" s="192">
        <f>SUMIFS(Internal_labour_inputs!AW$8:AW$295,Internal_labour_inputs!$B$8:$B$295,$B59)</f>
        <v>1</v>
      </c>
      <c r="AP59" s="192">
        <f>SUMIFS(Internal_labour_inputs!AX$8:AX$295,Internal_labour_inputs!$B$8:$B$295,$B59)</f>
        <v>1</v>
      </c>
      <c r="AQ59" s="192">
        <f>SUMIFS(Internal_labour_inputs!AY$8:AY$295,Internal_labour_inputs!$B$8:$B$295,$B59)</f>
        <v>1</v>
      </c>
      <c r="AR59" s="192">
        <f>SUMIFS(Internal_labour_inputs!AZ$8:AZ$295,Internal_labour_inputs!$B$8:$B$295,$B59)</f>
        <v>1</v>
      </c>
      <c r="AS59" s="192">
        <f>SUMIFS(Internal_labour_inputs!BA$8:BA$295,Internal_labour_inputs!$B$8:$B$295,$B59)</f>
        <v>1</v>
      </c>
      <c r="AT59" s="192">
        <f>SUMIFS(Internal_labour_inputs!BB$8:BB$295,Internal_labour_inputs!$B$8:$B$295,$B59)</f>
        <v>1</v>
      </c>
      <c r="AU59" s="192">
        <f>SUMIFS(Internal_labour_inputs!BC$8:BC$295,Internal_labour_inputs!$B$8:$B$295,$B59)</f>
        <v>1</v>
      </c>
      <c r="AV59" s="192">
        <f>SUMIFS(Internal_labour_inputs!BD$8:BD$295,Internal_labour_inputs!$B$8:$B$295,$B59)</f>
        <v>1</v>
      </c>
      <c r="AW59" s="192">
        <f>SUMIFS(Internal_labour_inputs!BE$8:BE$295,Internal_labour_inputs!$B$8:$B$295,$B59)</f>
        <v>1</v>
      </c>
      <c r="AX59" s="192">
        <f>SUMIFS(Internal_labour_inputs!BF$8:BF$295,Internal_labour_inputs!$B$8:$B$295,$B59)</f>
        <v>1</v>
      </c>
      <c r="AY59" s="192">
        <f>SUMIFS(Internal_labour_inputs!BG$8:BG$295,Internal_labour_inputs!$B$8:$B$295,$B59)</f>
        <v>1</v>
      </c>
      <c r="AZ59" s="192">
        <f>SUMIFS(Internal_labour_inputs!BH$8:BH$295,Internal_labour_inputs!$B$8:$B$295,$B59)</f>
        <v>1</v>
      </c>
      <c r="BA59" s="192">
        <f>SUMIFS(Internal_labour_inputs!BI$8:BI$295,Internal_labour_inputs!$B$8:$B$295,$B59)</f>
        <v>0</v>
      </c>
      <c r="BB59" s="192">
        <f>SUMIFS(Internal_labour_inputs!BJ$8:BJ$295,Internal_labour_inputs!$B$8:$B$295,$B59)</f>
        <v>0</v>
      </c>
      <c r="BC59" s="192">
        <f>SUMIFS(Internal_labour_inputs!BK$8:BK$295,Internal_labour_inputs!$B$8:$B$295,$B59)</f>
        <v>0</v>
      </c>
      <c r="BD59" s="192">
        <f>SUMIFS(Internal_labour_inputs!BL$8:BL$295,Internal_labour_inputs!$B$8:$B$295,$B59)</f>
        <v>0</v>
      </c>
      <c r="BE59" s="192">
        <f>SUMIFS(Internal_labour_inputs!BM$8:BM$295,Internal_labour_inputs!$B$8:$B$295,$B59)</f>
        <v>0</v>
      </c>
      <c r="BF59" s="192">
        <f>SUMIFS(Internal_labour_inputs!BN$8:BN$295,Internal_labour_inputs!$B$8:$B$295,$B59)</f>
        <v>0</v>
      </c>
      <c r="BG59" s="192">
        <f>SUMIFS(Internal_labour_inputs!BO$8:BO$295,Internal_labour_inputs!$B$8:$B$295,$B59)</f>
        <v>0</v>
      </c>
      <c r="BH59" s="192">
        <f>SUMIFS(Internal_labour_inputs!BP$8:BP$295,Internal_labour_inputs!$B$8:$B$295,$B59)</f>
        <v>0</v>
      </c>
      <c r="BI59" s="192">
        <f>SUMIFS(Internal_labour_inputs!BQ$8:BQ$295,Internal_labour_inputs!$B$8:$B$295,$B59)</f>
        <v>0</v>
      </c>
      <c r="BJ59" s="192">
        <f>SUMIFS(Internal_labour_inputs!BR$8:BR$295,Internal_labour_inputs!$B$8:$B$295,$B59)</f>
        <v>0</v>
      </c>
      <c r="BK59" s="192">
        <f>SUMIFS(Internal_labour_inputs!BS$8:BS$295,Internal_labour_inputs!$B$8:$B$295,$B59)</f>
        <v>0</v>
      </c>
      <c r="BL59" s="192">
        <f>SUMIFS(Internal_labour_inputs!BT$8:BT$295,Internal_labour_inputs!$B$8:$B$295,$B59)</f>
        <v>0</v>
      </c>
      <c r="BM59" s="192">
        <f>SUMIFS(Internal_labour_inputs!BU$8:BU$295,Internal_labour_inputs!$B$8:$B$295,$B59)</f>
        <v>0</v>
      </c>
      <c r="BN59" s="192">
        <f>SUMIFS(Internal_labour_inputs!BV$8:BV$295,Internal_labour_inputs!$B$8:$B$295,$B59)</f>
        <v>0</v>
      </c>
      <c r="BO59" s="192">
        <f>SUMIFS(Internal_labour_inputs!BW$8:BW$295,Internal_labour_inputs!$B$8:$B$295,$B59)</f>
        <v>0</v>
      </c>
      <c r="BP59" s="192">
        <f>SUMIFS(Internal_labour_inputs!BX$8:BX$295,Internal_labour_inputs!$B$8:$B$295,$B59)</f>
        <v>0</v>
      </c>
      <c r="BQ59" s="192">
        <f>SUMIFS(Internal_labour_inputs!BY$8:BY$295,Internal_labour_inputs!$B$8:$B$295,$B59)</f>
        <v>0</v>
      </c>
      <c r="BR59" s="192">
        <f>SUMIFS(Internal_labour_inputs!BZ$8:BZ$295,Internal_labour_inputs!$B$8:$B$295,$B59)</f>
        <v>0</v>
      </c>
      <c r="BS59" s="192">
        <f>SUMIFS(Internal_labour_inputs!CA$8:CA$295,Internal_labour_inputs!$B$8:$B$295,$B59)</f>
        <v>0</v>
      </c>
      <c r="BT59" s="192">
        <f>SUMIFS(Internal_labour_inputs!CB$8:CB$295,Internal_labour_inputs!$B$8:$B$295,$B59)</f>
        <v>0</v>
      </c>
      <c r="BU59" s="192">
        <f>SUMIFS(Internal_labour_inputs!CC$8:CC$295,Internal_labour_inputs!$B$8:$B$295,$B59)</f>
        <v>0</v>
      </c>
      <c r="BV59" s="192">
        <f>SUMIFS(Internal_labour_inputs!CD$8:CD$295,Internal_labour_inputs!$B$8:$B$295,$B59)</f>
        <v>0</v>
      </c>
      <c r="BW59" s="192">
        <f>SUMIFS(Internal_labour_inputs!CE$8:CE$295,Internal_labour_inputs!$B$8:$B$295,$B59)</f>
        <v>0</v>
      </c>
      <c r="BX59" s="192">
        <f>SUMIFS(Internal_labour_inputs!CF$8:CF$295,Internal_labour_inputs!$B$8:$B$295,$B59)</f>
        <v>0</v>
      </c>
      <c r="BY59" s="192">
        <f>SUMIFS(Internal_labour_inputs!CG$8:CG$295,Internal_labour_inputs!$B$8:$B$295,$B59)</f>
        <v>0</v>
      </c>
      <c r="BZ59" s="192">
        <f>SUMIFS(Internal_labour_inputs!CH$8:CH$295,Internal_labour_inputs!$B$8:$B$295,$B59)</f>
        <v>0</v>
      </c>
      <c r="CA59" s="192">
        <f>SUMIFS(Internal_labour_inputs!CI$8:CI$295,Internal_labour_inputs!$B$8:$B$295,$B59)</f>
        <v>0</v>
      </c>
      <c r="CB59" s="192">
        <f>SUMIFS(Internal_labour_inputs!CJ$8:CJ$295,Internal_labour_inputs!$B$8:$B$295,$B59)</f>
        <v>0</v>
      </c>
      <c r="CC59" s="192">
        <f>SUMIFS(Internal_labour_inputs!CK$8:CK$295,Internal_labour_inputs!$B$8:$B$295,$B59)</f>
        <v>0</v>
      </c>
      <c r="CD59" s="192">
        <f>SUMIFS(Internal_labour_inputs!CL$8:CL$295,Internal_labour_inputs!$B$8:$B$295,$B59)</f>
        <v>0</v>
      </c>
      <c r="CE59" s="192">
        <f>SUMIFS(Internal_labour_inputs!CM$8:CM$295,Internal_labour_inputs!$B$8:$B$295,$B59)</f>
        <v>0</v>
      </c>
      <c r="CF59" s="192">
        <f>SUMIFS(Internal_labour_inputs!CN$8:CN$295,Internal_labour_inputs!$B$8:$B$295,$B59)</f>
        <v>0</v>
      </c>
      <c r="CG59" s="192">
        <f>SUMIFS(Internal_labour_inputs!CO$8:CO$295,Internal_labour_inputs!$B$8:$B$295,$B59)</f>
        <v>0</v>
      </c>
      <c r="CH59" s="192">
        <f>SUMIFS(Internal_labour_inputs!CP$8:CP$295,Internal_labour_inputs!$B$8:$B$295,$B59)</f>
        <v>0</v>
      </c>
      <c r="CI59" s="192">
        <f t="shared" si="17"/>
        <v>45.708771929824564</v>
      </c>
      <c r="CJ59" s="192">
        <f t="shared" si="18"/>
        <v>0.95226608187134509</v>
      </c>
      <c r="CK59" s="192">
        <f t="shared" si="19"/>
        <v>0.93548387096774188</v>
      </c>
      <c r="CL59" s="194"/>
    </row>
    <row r="60" spans="1:90" x14ac:dyDescent="0.3">
      <c r="B60" s="191" t="str">
        <f t="shared" si="16"/>
        <v>Project Delivery Management - Project Management</v>
      </c>
      <c r="C60" s="192">
        <f>SUMIFS(Internal_labour_inputs!K$8:K$295,Internal_labour_inputs!$B$8:$B$295,$B60)</f>
        <v>0</v>
      </c>
      <c r="D60" s="192">
        <f>SUMIFS(Internal_labour_inputs!L$8:L$295,Internal_labour_inputs!$B$8:$B$295,$B60)</f>
        <v>0</v>
      </c>
      <c r="E60" s="192">
        <f>SUMIFS(Internal_labour_inputs!M$8:M$295,Internal_labour_inputs!$B$8:$B$295,$B60)</f>
        <v>0</v>
      </c>
      <c r="F60" s="192">
        <f>SUMIFS(Internal_labour_inputs!N$8:N$295,Internal_labour_inputs!$B$8:$B$295,$B60)</f>
        <v>0</v>
      </c>
      <c r="G60" s="192">
        <f>SUMIFS(Internal_labour_inputs!O$8:O$295,Internal_labour_inputs!$B$8:$B$295,$B60)</f>
        <v>0</v>
      </c>
      <c r="H60" s="192">
        <f>SUMIFS(Internal_labour_inputs!P$8:P$295,Internal_labour_inputs!$B$8:$B$295,$B60)</f>
        <v>2.3026315789473686</v>
      </c>
      <c r="I60" s="192">
        <f>SUMIFS(Internal_labour_inputs!Q$8:Q$295,Internal_labour_inputs!$B$8:$B$295,$B60)</f>
        <v>3.5500000000000003</v>
      </c>
      <c r="J60" s="192">
        <f>SUMIFS(Internal_labour_inputs!R$8:R$295,Internal_labour_inputs!$B$8:$B$295,$B60)</f>
        <v>3</v>
      </c>
      <c r="K60" s="192">
        <f>SUMIFS(Internal_labour_inputs!S$8:S$295,Internal_labour_inputs!$B$8:$B$295,$B60)</f>
        <v>2.6168571428571434</v>
      </c>
      <c r="L60" s="192">
        <f>SUMIFS(Internal_labour_inputs!T$8:T$295,Internal_labour_inputs!$B$8:$B$295,$B60)</f>
        <v>4.072571428571429</v>
      </c>
      <c r="M60" s="192">
        <f>SUMIFS(Internal_labour_inputs!U$8:U$295,Internal_labour_inputs!$B$8:$B$295,$B60)</f>
        <v>4.35042857142858</v>
      </c>
      <c r="N60" s="192">
        <f>SUMIFS(Internal_labour_inputs!V$8:V$295,Internal_labour_inputs!$B$8:$B$295,$B60)</f>
        <v>8.8234285714285736</v>
      </c>
      <c r="O60" s="192">
        <f>SUMIFS(Internal_labour_inputs!W$8:W$295,Internal_labour_inputs!$B$8:$B$295,$B60)</f>
        <v>13.091999999999999</v>
      </c>
      <c r="P60" s="192">
        <f>SUMIFS(Internal_labour_inputs!X$8:X$295,Internal_labour_inputs!$B$8:$B$295,$B60)</f>
        <v>15</v>
      </c>
      <c r="Q60" s="192">
        <f>SUMIFS(Internal_labour_inputs!Y$8:Y$295,Internal_labour_inputs!$B$8:$B$295,$B60)</f>
        <v>20</v>
      </c>
      <c r="R60" s="192">
        <f>SUMIFS(Internal_labour_inputs!Z$8:Z$295,Internal_labour_inputs!$B$8:$B$295,$B60)</f>
        <v>23.666666666666664</v>
      </c>
      <c r="S60" s="192">
        <f>SUMIFS(Internal_labour_inputs!AA$8:AA$295,Internal_labour_inputs!$B$8:$B$295,$B60)</f>
        <v>20.263157894736842</v>
      </c>
      <c r="T60" s="192">
        <f>SUMIFS(Internal_labour_inputs!AB$8:AB$295,Internal_labour_inputs!$B$8:$B$295,$B60)</f>
        <v>20.263157894736842</v>
      </c>
      <c r="U60" s="192">
        <f>SUMIFS(Internal_labour_inputs!AC$8:AC$295,Internal_labour_inputs!$B$8:$B$295,$B60)</f>
        <v>22</v>
      </c>
      <c r="V60" s="192">
        <f>SUMIFS(Internal_labour_inputs!AD$8:AD$295,Internal_labour_inputs!$B$8:$B$295,$B60)</f>
        <v>22</v>
      </c>
      <c r="W60" s="192">
        <f>SUMIFS(Internal_labour_inputs!AE$8:AE$295,Internal_labour_inputs!$B$8:$B$295,$B60)</f>
        <v>22</v>
      </c>
      <c r="X60" s="192">
        <f>SUMIFS(Internal_labour_inputs!AF$8:AF$295,Internal_labour_inputs!$B$8:$B$295,$B60)</f>
        <v>22</v>
      </c>
      <c r="Y60" s="192">
        <f>SUMIFS(Internal_labour_inputs!AG$8:AG$295,Internal_labour_inputs!$B$8:$B$295,$B60)</f>
        <v>22</v>
      </c>
      <c r="Z60" s="192">
        <f>SUMIFS(Internal_labour_inputs!AH$8:AH$295,Internal_labour_inputs!$B$8:$B$295,$B60)</f>
        <v>22</v>
      </c>
      <c r="AA60" s="192">
        <f>SUMIFS(Internal_labour_inputs!AI$8:AI$295,Internal_labour_inputs!$B$8:$B$295,$B60)</f>
        <v>22</v>
      </c>
      <c r="AB60" s="192">
        <f>SUMIFS(Internal_labour_inputs!AJ$8:AJ$295,Internal_labour_inputs!$B$8:$B$295,$B60)</f>
        <v>22</v>
      </c>
      <c r="AC60" s="192">
        <f>SUMIFS(Internal_labour_inputs!AK$8:AK$295,Internal_labour_inputs!$B$8:$B$295,$B60)</f>
        <v>22</v>
      </c>
      <c r="AD60" s="192">
        <f>SUMIFS(Internal_labour_inputs!AL$8:AL$295,Internal_labour_inputs!$B$8:$B$295,$B60)</f>
        <v>22</v>
      </c>
      <c r="AE60" s="192">
        <f>SUMIFS(Internal_labour_inputs!AM$8:AM$295,Internal_labour_inputs!$B$8:$B$295,$B60)</f>
        <v>21.960526315789473</v>
      </c>
      <c r="AF60" s="192">
        <f>SUMIFS(Internal_labour_inputs!AN$8:AN$295,Internal_labour_inputs!$B$8:$B$295,$B60)</f>
        <v>21.960526315789473</v>
      </c>
      <c r="AG60" s="192">
        <f>SUMIFS(Internal_labour_inputs!AO$8:AO$295,Internal_labour_inputs!$B$8:$B$295,$B60)</f>
        <v>22</v>
      </c>
      <c r="AH60" s="192">
        <f>SUMIFS(Internal_labour_inputs!AP$8:AP$295,Internal_labour_inputs!$B$8:$B$295,$B60)</f>
        <v>22</v>
      </c>
      <c r="AI60" s="192">
        <f>SUMIFS(Internal_labour_inputs!AQ$8:AQ$295,Internal_labour_inputs!$B$8:$B$295,$B60)</f>
        <v>22</v>
      </c>
      <c r="AJ60" s="192">
        <f>SUMIFS(Internal_labour_inputs!AR$8:AR$295,Internal_labour_inputs!$B$8:$B$295,$B60)</f>
        <v>22</v>
      </c>
      <c r="AK60" s="192">
        <f>SUMIFS(Internal_labour_inputs!AS$8:AS$295,Internal_labour_inputs!$B$8:$B$295,$B60)</f>
        <v>22</v>
      </c>
      <c r="AL60" s="192">
        <f>SUMIFS(Internal_labour_inputs!AT$8:AT$295,Internal_labour_inputs!$B$8:$B$295,$B60)</f>
        <v>22</v>
      </c>
      <c r="AM60" s="192">
        <f>SUMIFS(Internal_labour_inputs!AU$8:AU$295,Internal_labour_inputs!$B$8:$B$295,$B60)</f>
        <v>22</v>
      </c>
      <c r="AN60" s="192">
        <f>SUMIFS(Internal_labour_inputs!AV$8:AV$295,Internal_labour_inputs!$B$8:$B$295,$B60)</f>
        <v>22</v>
      </c>
      <c r="AO60" s="192">
        <f>SUMIFS(Internal_labour_inputs!AW$8:AW$295,Internal_labour_inputs!$B$8:$B$295,$B60)</f>
        <v>22</v>
      </c>
      <c r="AP60" s="192">
        <f>SUMIFS(Internal_labour_inputs!AX$8:AX$295,Internal_labour_inputs!$B$8:$B$295,$B60)</f>
        <v>22</v>
      </c>
      <c r="AQ60" s="192">
        <f>SUMIFS(Internal_labour_inputs!AY$8:AY$295,Internal_labour_inputs!$B$8:$B$295,$B60)</f>
        <v>21.802631578947366</v>
      </c>
      <c r="AR60" s="192">
        <f>SUMIFS(Internal_labour_inputs!AZ$8:AZ$295,Internal_labour_inputs!$B$8:$B$295,$B60)</f>
        <v>21.802631578947366</v>
      </c>
      <c r="AS60" s="192">
        <f>SUMIFS(Internal_labour_inputs!BA$8:BA$295,Internal_labour_inputs!$B$8:$B$295,$B60)</f>
        <v>22</v>
      </c>
      <c r="AT60" s="192">
        <f>SUMIFS(Internal_labour_inputs!BB$8:BB$295,Internal_labour_inputs!$B$8:$B$295,$B60)</f>
        <v>22</v>
      </c>
      <c r="AU60" s="192">
        <f>SUMIFS(Internal_labour_inputs!BC$8:BC$295,Internal_labour_inputs!$B$8:$B$295,$B60)</f>
        <v>22</v>
      </c>
      <c r="AV60" s="192">
        <f>SUMIFS(Internal_labour_inputs!BD$8:BD$295,Internal_labour_inputs!$B$8:$B$295,$B60)</f>
        <v>22</v>
      </c>
      <c r="AW60" s="192">
        <f>SUMIFS(Internal_labour_inputs!BE$8:BE$295,Internal_labour_inputs!$B$8:$B$295,$B60)</f>
        <v>20.5</v>
      </c>
      <c r="AX60" s="192">
        <f>SUMIFS(Internal_labour_inputs!BF$8:BF$295,Internal_labour_inputs!$B$8:$B$295,$B60)</f>
        <v>22</v>
      </c>
      <c r="AY60" s="192">
        <f>SUMIFS(Internal_labour_inputs!BG$8:BG$295,Internal_labour_inputs!$B$8:$B$295,$B60)</f>
        <v>15.333333333333334</v>
      </c>
      <c r="AZ60" s="192">
        <f>SUMIFS(Internal_labour_inputs!BH$8:BH$295,Internal_labour_inputs!$B$8:$B$295,$B60)</f>
        <v>15</v>
      </c>
      <c r="BA60" s="192">
        <f>SUMIFS(Internal_labour_inputs!BI$8:BI$295,Internal_labour_inputs!$B$8:$B$295,$B60)</f>
        <v>16.980952380952381</v>
      </c>
      <c r="BB60" s="192">
        <f>SUMIFS(Internal_labour_inputs!BJ$8:BJ$295,Internal_labour_inputs!$B$8:$B$295,$B60)</f>
        <v>0</v>
      </c>
      <c r="BC60" s="192">
        <f>SUMIFS(Internal_labour_inputs!BK$8:BK$295,Internal_labour_inputs!$B$8:$B$295,$B60)</f>
        <v>0</v>
      </c>
      <c r="BD60" s="192">
        <f>SUMIFS(Internal_labour_inputs!BL$8:BL$295,Internal_labour_inputs!$B$8:$B$295,$B60)</f>
        <v>0</v>
      </c>
      <c r="BE60" s="192">
        <f>SUMIFS(Internal_labour_inputs!BM$8:BM$295,Internal_labour_inputs!$B$8:$B$295,$B60)</f>
        <v>0</v>
      </c>
      <c r="BF60" s="192">
        <f>SUMIFS(Internal_labour_inputs!BN$8:BN$295,Internal_labour_inputs!$B$8:$B$295,$B60)</f>
        <v>0</v>
      </c>
      <c r="BG60" s="192">
        <f>SUMIFS(Internal_labour_inputs!BO$8:BO$295,Internal_labour_inputs!$B$8:$B$295,$B60)</f>
        <v>0</v>
      </c>
      <c r="BH60" s="192">
        <f>SUMIFS(Internal_labour_inputs!BP$8:BP$295,Internal_labour_inputs!$B$8:$B$295,$B60)</f>
        <v>0</v>
      </c>
      <c r="BI60" s="192">
        <f>SUMIFS(Internal_labour_inputs!BQ$8:BQ$295,Internal_labour_inputs!$B$8:$B$295,$B60)</f>
        <v>0</v>
      </c>
      <c r="BJ60" s="192">
        <f>SUMIFS(Internal_labour_inputs!BR$8:BR$295,Internal_labour_inputs!$B$8:$B$295,$B60)</f>
        <v>0</v>
      </c>
      <c r="BK60" s="192">
        <f>SUMIFS(Internal_labour_inputs!BS$8:BS$295,Internal_labour_inputs!$B$8:$B$295,$B60)</f>
        <v>0</v>
      </c>
      <c r="BL60" s="192">
        <f>SUMIFS(Internal_labour_inputs!BT$8:BT$295,Internal_labour_inputs!$B$8:$B$295,$B60)</f>
        <v>0</v>
      </c>
      <c r="BM60" s="192">
        <f>SUMIFS(Internal_labour_inputs!BU$8:BU$295,Internal_labour_inputs!$B$8:$B$295,$B60)</f>
        <v>0</v>
      </c>
      <c r="BN60" s="192">
        <f>SUMIFS(Internal_labour_inputs!BV$8:BV$295,Internal_labour_inputs!$B$8:$B$295,$B60)</f>
        <v>0</v>
      </c>
      <c r="BO60" s="192">
        <f>SUMIFS(Internal_labour_inputs!BW$8:BW$295,Internal_labour_inputs!$B$8:$B$295,$B60)</f>
        <v>0</v>
      </c>
      <c r="BP60" s="192">
        <f>SUMIFS(Internal_labour_inputs!BX$8:BX$295,Internal_labour_inputs!$B$8:$B$295,$B60)</f>
        <v>0</v>
      </c>
      <c r="BQ60" s="192">
        <f>SUMIFS(Internal_labour_inputs!BY$8:BY$295,Internal_labour_inputs!$B$8:$B$295,$B60)</f>
        <v>0</v>
      </c>
      <c r="BR60" s="192">
        <f>SUMIFS(Internal_labour_inputs!BZ$8:BZ$295,Internal_labour_inputs!$B$8:$B$295,$B60)</f>
        <v>0</v>
      </c>
      <c r="BS60" s="192">
        <f>SUMIFS(Internal_labour_inputs!CA$8:CA$295,Internal_labour_inputs!$B$8:$B$295,$B60)</f>
        <v>0</v>
      </c>
      <c r="BT60" s="192">
        <f>SUMIFS(Internal_labour_inputs!CB$8:CB$295,Internal_labour_inputs!$B$8:$B$295,$B60)</f>
        <v>0</v>
      </c>
      <c r="BU60" s="192">
        <f>SUMIFS(Internal_labour_inputs!CC$8:CC$295,Internal_labour_inputs!$B$8:$B$295,$B60)</f>
        <v>0</v>
      </c>
      <c r="BV60" s="192">
        <f>SUMIFS(Internal_labour_inputs!CD$8:CD$295,Internal_labour_inputs!$B$8:$B$295,$B60)</f>
        <v>0</v>
      </c>
      <c r="BW60" s="192">
        <f>SUMIFS(Internal_labour_inputs!CE$8:CE$295,Internal_labour_inputs!$B$8:$B$295,$B60)</f>
        <v>0</v>
      </c>
      <c r="BX60" s="192">
        <f>SUMIFS(Internal_labour_inputs!CF$8:CF$295,Internal_labour_inputs!$B$8:$B$295,$B60)</f>
        <v>0</v>
      </c>
      <c r="BY60" s="192">
        <f>SUMIFS(Internal_labour_inputs!CG$8:CG$295,Internal_labour_inputs!$B$8:$B$295,$B60)</f>
        <v>0</v>
      </c>
      <c r="BZ60" s="192">
        <f>SUMIFS(Internal_labour_inputs!CH$8:CH$295,Internal_labour_inputs!$B$8:$B$295,$B60)</f>
        <v>0</v>
      </c>
      <c r="CA60" s="192">
        <f>SUMIFS(Internal_labour_inputs!CI$8:CI$295,Internal_labour_inputs!$B$8:$B$295,$B60)</f>
        <v>0</v>
      </c>
      <c r="CB60" s="192">
        <f>SUMIFS(Internal_labour_inputs!CJ$8:CJ$295,Internal_labour_inputs!$B$8:$B$295,$B60)</f>
        <v>0</v>
      </c>
      <c r="CC60" s="192">
        <f>SUMIFS(Internal_labour_inputs!CK$8:CK$295,Internal_labour_inputs!$B$8:$B$295,$B60)</f>
        <v>0</v>
      </c>
      <c r="CD60" s="192">
        <f>SUMIFS(Internal_labour_inputs!CL$8:CL$295,Internal_labour_inputs!$B$8:$B$295,$B60)</f>
        <v>0</v>
      </c>
      <c r="CE60" s="192">
        <f>SUMIFS(Internal_labour_inputs!CM$8:CM$295,Internal_labour_inputs!$B$8:$B$295,$B60)</f>
        <v>0</v>
      </c>
      <c r="CF60" s="192">
        <f>SUMIFS(Internal_labour_inputs!CN$8:CN$295,Internal_labour_inputs!$B$8:$B$295,$B60)</f>
        <v>0</v>
      </c>
      <c r="CG60" s="192">
        <f>SUMIFS(Internal_labour_inputs!CO$8:CO$295,Internal_labour_inputs!$B$8:$B$295,$B60)</f>
        <v>0</v>
      </c>
      <c r="CH60" s="192">
        <f>SUMIFS(Internal_labour_inputs!CP$8:CP$295,Internal_labour_inputs!$B$8:$B$295,$B60)</f>
        <v>0</v>
      </c>
      <c r="CI60" s="192">
        <f t="shared" si="17"/>
        <v>846.34150125313306</v>
      </c>
      <c r="CJ60" s="192">
        <f t="shared" si="18"/>
        <v>17.632114609440272</v>
      </c>
      <c r="CK60" s="192">
        <f t="shared" si="19"/>
        <v>20.623890371089015</v>
      </c>
      <c r="CL60" s="194"/>
    </row>
    <row r="61" spans="1:90" x14ac:dyDescent="0.3">
      <c r="B61" s="191" t="str">
        <f t="shared" si="16"/>
        <v>Project Development</v>
      </c>
      <c r="C61" s="192">
        <f>SUMIFS(Internal_labour_inputs!K$8:K$295,Internal_labour_inputs!$B$8:$B$295,$B61)</f>
        <v>0</v>
      </c>
      <c r="D61" s="192">
        <f>SUMIFS(Internal_labour_inputs!L$8:L$295,Internal_labour_inputs!$B$8:$B$295,$B61)</f>
        <v>0</v>
      </c>
      <c r="E61" s="192">
        <f>SUMIFS(Internal_labour_inputs!M$8:M$295,Internal_labour_inputs!$B$8:$B$295,$B61)</f>
        <v>0</v>
      </c>
      <c r="F61" s="192">
        <f>SUMIFS(Internal_labour_inputs!N$8:N$295,Internal_labour_inputs!$B$8:$B$295,$B61)</f>
        <v>0</v>
      </c>
      <c r="G61" s="192">
        <f>SUMIFS(Internal_labour_inputs!O$8:O$295,Internal_labour_inputs!$B$8:$B$295,$B61)</f>
        <v>0</v>
      </c>
      <c r="H61" s="192">
        <f>SUMIFS(Internal_labour_inputs!P$8:P$295,Internal_labour_inputs!$B$8:$B$295,$B61)</f>
        <v>0.3582894736842106</v>
      </c>
      <c r="I61" s="192">
        <f>SUMIFS(Internal_labour_inputs!Q$8:Q$295,Internal_labour_inputs!$B$8:$B$295,$B61)</f>
        <v>2.152285714285715</v>
      </c>
      <c r="J61" s="192">
        <f>SUMIFS(Internal_labour_inputs!R$8:R$295,Internal_labour_inputs!$B$8:$B$295,$B61)</f>
        <v>2.0611428571428569</v>
      </c>
      <c r="K61" s="192">
        <f>SUMIFS(Internal_labour_inputs!S$8:S$295,Internal_labour_inputs!$B$8:$B$295,$B61)</f>
        <v>1.4079999999999999</v>
      </c>
      <c r="L61" s="192">
        <f>SUMIFS(Internal_labour_inputs!T$8:T$295,Internal_labour_inputs!$B$8:$B$295,$B61)</f>
        <v>1.0841428571428571</v>
      </c>
      <c r="M61" s="192">
        <f>SUMIFS(Internal_labour_inputs!U$8:U$295,Internal_labour_inputs!$B$8:$B$295,$B61)</f>
        <v>0.89371428571428568</v>
      </c>
      <c r="N61" s="192">
        <f>SUMIFS(Internal_labour_inputs!V$8:V$295,Internal_labour_inputs!$B$8:$B$295,$B61)</f>
        <v>1.1963809523809525</v>
      </c>
      <c r="O61" s="192">
        <f>SUMIFS(Internal_labour_inputs!W$8:W$295,Internal_labour_inputs!$B$8:$B$295,$B61)</f>
        <v>1.1758095238095236</v>
      </c>
      <c r="P61" s="192">
        <f>SUMIFS(Internal_labour_inputs!X$8:X$295,Internal_labour_inputs!$B$8:$B$295,$B61)</f>
        <v>7.7142857142857153</v>
      </c>
      <c r="Q61" s="192">
        <f>SUMIFS(Internal_labour_inputs!Y$8:Y$295,Internal_labour_inputs!$B$8:$B$295,$B61)</f>
        <v>8.6142857142857139</v>
      </c>
      <c r="R61" s="192">
        <f>SUMIFS(Internal_labour_inputs!Z$8:Z$295,Internal_labour_inputs!$B$8:$B$295,$B61)</f>
        <v>13.419047619047619</v>
      </c>
      <c r="S61" s="192">
        <f>SUMIFS(Internal_labour_inputs!AA$8:AA$295,Internal_labour_inputs!$B$8:$B$295,$B61)</f>
        <v>14.243421052631582</v>
      </c>
      <c r="T61" s="192">
        <f>SUMIFS(Internal_labour_inputs!AB$8:AB$295,Internal_labour_inputs!$B$8:$B$295,$B61)</f>
        <v>18.434210526315795</v>
      </c>
      <c r="U61" s="192">
        <f>SUMIFS(Internal_labour_inputs!AC$8:AC$295,Internal_labour_inputs!$B$8:$B$295,$B61)</f>
        <v>17.599999999999998</v>
      </c>
      <c r="V61" s="192">
        <f>SUMIFS(Internal_labour_inputs!AD$8:AD$295,Internal_labour_inputs!$B$8:$B$295,$B61)</f>
        <v>14</v>
      </c>
      <c r="W61" s="192">
        <f>SUMIFS(Internal_labour_inputs!AE$8:AE$295,Internal_labour_inputs!$B$8:$B$295,$B61)</f>
        <v>10.7</v>
      </c>
      <c r="X61" s="192">
        <f>SUMIFS(Internal_labour_inputs!AF$8:AF$295,Internal_labour_inputs!$B$8:$B$295,$B61)</f>
        <v>9.1</v>
      </c>
      <c r="Y61" s="192">
        <f>SUMIFS(Internal_labour_inputs!AG$8:AG$295,Internal_labour_inputs!$B$8:$B$295,$B61)</f>
        <v>7.8000000000000007</v>
      </c>
      <c r="Z61" s="192">
        <f>SUMIFS(Internal_labour_inputs!AH$8:AH$295,Internal_labour_inputs!$B$8:$B$295,$B61)</f>
        <v>4.3333333333333339</v>
      </c>
      <c r="AA61" s="192">
        <f>SUMIFS(Internal_labour_inputs!AI$8:AI$295,Internal_labour_inputs!$B$8:$B$295,$B61)</f>
        <v>8.8666666666666654</v>
      </c>
      <c r="AB61" s="192">
        <f>SUMIFS(Internal_labour_inputs!AJ$8:AJ$295,Internal_labour_inputs!$B$8:$B$295,$B61)</f>
        <v>3.65</v>
      </c>
      <c r="AC61" s="192">
        <f>SUMIFS(Internal_labour_inputs!AK$8:AK$295,Internal_labour_inputs!$B$8:$B$295,$B61)</f>
        <v>2.15</v>
      </c>
      <c r="AD61" s="192">
        <f>SUMIFS(Internal_labour_inputs!AL$8:AL$295,Internal_labour_inputs!$B$8:$B$295,$B61)</f>
        <v>4.4000000000000004</v>
      </c>
      <c r="AE61" s="192">
        <f>SUMIFS(Internal_labour_inputs!AM$8:AM$295,Internal_labour_inputs!$B$8:$B$295,$B61)</f>
        <v>2.9934210526315788</v>
      </c>
      <c r="AF61" s="192">
        <f>SUMIFS(Internal_labour_inputs!AN$8:AN$295,Internal_labour_inputs!$B$8:$B$295,$B61)</f>
        <v>2.3486842105263155</v>
      </c>
      <c r="AG61" s="192">
        <f>SUMIFS(Internal_labour_inputs!AO$8:AO$295,Internal_labour_inputs!$B$8:$B$295,$B61)</f>
        <v>2.35</v>
      </c>
      <c r="AH61" s="192">
        <f>SUMIFS(Internal_labour_inputs!AP$8:AP$295,Internal_labour_inputs!$B$8:$B$295,$B61)</f>
        <v>1.95</v>
      </c>
      <c r="AI61" s="192">
        <f>SUMIFS(Internal_labour_inputs!AQ$8:AQ$295,Internal_labour_inputs!$B$8:$B$295,$B61)</f>
        <v>1.95</v>
      </c>
      <c r="AJ61" s="192">
        <f>SUMIFS(Internal_labour_inputs!AR$8:AR$295,Internal_labour_inputs!$B$8:$B$295,$B61)</f>
        <v>1.9</v>
      </c>
      <c r="AK61" s="192">
        <f>SUMIFS(Internal_labour_inputs!AS$8:AS$295,Internal_labour_inputs!$B$8:$B$295,$B61)</f>
        <v>0.6</v>
      </c>
      <c r="AL61" s="192">
        <f>SUMIFS(Internal_labour_inputs!AT$8:AT$295,Internal_labour_inputs!$B$8:$B$295,$B61)</f>
        <v>0.8</v>
      </c>
      <c r="AM61" s="192">
        <f>SUMIFS(Internal_labour_inputs!AU$8:AU$295,Internal_labour_inputs!$B$8:$B$295,$B61)</f>
        <v>0.8</v>
      </c>
      <c r="AN61" s="192">
        <f>SUMIFS(Internal_labour_inputs!AV$8:AV$295,Internal_labour_inputs!$B$8:$B$295,$B61)</f>
        <v>0.6</v>
      </c>
      <c r="AO61" s="192">
        <f>SUMIFS(Internal_labour_inputs!AW$8:AW$295,Internal_labour_inputs!$B$8:$B$295,$B61)</f>
        <v>0.6</v>
      </c>
      <c r="AP61" s="192">
        <f>SUMIFS(Internal_labour_inputs!AX$8:AX$295,Internal_labour_inputs!$B$8:$B$295,$B61)</f>
        <v>0.8</v>
      </c>
      <c r="AQ61" s="192">
        <f>SUMIFS(Internal_labour_inputs!AY$8:AY$295,Internal_labour_inputs!$B$8:$B$295,$B61)</f>
        <v>0.55263157894736847</v>
      </c>
      <c r="AR61" s="192">
        <f>SUMIFS(Internal_labour_inputs!AZ$8:AZ$295,Internal_labour_inputs!$B$8:$B$295,$B61)</f>
        <v>0.55263157894736847</v>
      </c>
      <c r="AS61" s="192">
        <f>SUMIFS(Internal_labour_inputs!BA$8:BA$295,Internal_labour_inputs!$B$8:$B$295,$B61)</f>
        <v>0.6</v>
      </c>
      <c r="AT61" s="192">
        <f>SUMIFS(Internal_labour_inputs!BB$8:BB$295,Internal_labour_inputs!$B$8:$B$295,$B61)</f>
        <v>0.6</v>
      </c>
      <c r="AU61" s="192">
        <f>SUMIFS(Internal_labour_inputs!BC$8:BC$295,Internal_labour_inputs!$B$8:$B$295,$B61)</f>
        <v>0.6</v>
      </c>
      <c r="AV61" s="192">
        <f>SUMIFS(Internal_labour_inputs!BD$8:BD$295,Internal_labour_inputs!$B$8:$B$295,$B61)</f>
        <v>0.6</v>
      </c>
      <c r="AW61" s="192">
        <f>SUMIFS(Internal_labour_inputs!BE$8:BE$295,Internal_labour_inputs!$B$8:$B$295,$B61)</f>
        <v>0.6</v>
      </c>
      <c r="AX61" s="192">
        <f>SUMIFS(Internal_labour_inputs!BF$8:BF$295,Internal_labour_inputs!$B$8:$B$295,$B61)</f>
        <v>0.8</v>
      </c>
      <c r="AY61" s="192">
        <f>SUMIFS(Internal_labour_inputs!BG$8:BG$295,Internal_labour_inputs!$B$8:$B$295,$B61)</f>
        <v>0.8</v>
      </c>
      <c r="AZ61" s="192">
        <f>SUMIFS(Internal_labour_inputs!BH$8:BH$295,Internal_labour_inputs!$B$8:$B$295,$B61)</f>
        <v>0.6</v>
      </c>
      <c r="BA61" s="192">
        <f>SUMIFS(Internal_labour_inputs!BI$8:BI$295,Internal_labour_inputs!$B$8:$B$295,$B61)</f>
        <v>0</v>
      </c>
      <c r="BB61" s="192">
        <f>SUMIFS(Internal_labour_inputs!BJ$8:BJ$295,Internal_labour_inputs!$B$8:$B$295,$B61)</f>
        <v>0</v>
      </c>
      <c r="BC61" s="192">
        <f>SUMIFS(Internal_labour_inputs!BK$8:BK$295,Internal_labour_inputs!$B$8:$B$295,$B61)</f>
        <v>0</v>
      </c>
      <c r="BD61" s="192">
        <f>SUMIFS(Internal_labour_inputs!BL$8:BL$295,Internal_labour_inputs!$B$8:$B$295,$B61)</f>
        <v>0</v>
      </c>
      <c r="BE61" s="192">
        <f>SUMIFS(Internal_labour_inputs!BM$8:BM$295,Internal_labour_inputs!$B$8:$B$295,$B61)</f>
        <v>0</v>
      </c>
      <c r="BF61" s="192">
        <f>SUMIFS(Internal_labour_inputs!BN$8:BN$295,Internal_labour_inputs!$B$8:$B$295,$B61)</f>
        <v>0</v>
      </c>
      <c r="BG61" s="192">
        <f>SUMIFS(Internal_labour_inputs!BO$8:BO$295,Internal_labour_inputs!$B$8:$B$295,$B61)</f>
        <v>0</v>
      </c>
      <c r="BH61" s="192">
        <f>SUMIFS(Internal_labour_inputs!BP$8:BP$295,Internal_labour_inputs!$B$8:$B$295,$B61)</f>
        <v>0</v>
      </c>
      <c r="BI61" s="192">
        <f>SUMIFS(Internal_labour_inputs!BQ$8:BQ$295,Internal_labour_inputs!$B$8:$B$295,$B61)</f>
        <v>0</v>
      </c>
      <c r="BJ61" s="192">
        <f>SUMIFS(Internal_labour_inputs!BR$8:BR$295,Internal_labour_inputs!$B$8:$B$295,$B61)</f>
        <v>0</v>
      </c>
      <c r="BK61" s="192">
        <f>SUMIFS(Internal_labour_inputs!BS$8:BS$295,Internal_labour_inputs!$B$8:$B$295,$B61)</f>
        <v>0</v>
      </c>
      <c r="BL61" s="192">
        <f>SUMIFS(Internal_labour_inputs!BT$8:BT$295,Internal_labour_inputs!$B$8:$B$295,$B61)</f>
        <v>0</v>
      </c>
      <c r="BM61" s="192">
        <f>SUMIFS(Internal_labour_inputs!BU$8:BU$295,Internal_labour_inputs!$B$8:$B$295,$B61)</f>
        <v>0</v>
      </c>
      <c r="BN61" s="192">
        <f>SUMIFS(Internal_labour_inputs!BV$8:BV$295,Internal_labour_inputs!$B$8:$B$295,$B61)</f>
        <v>0</v>
      </c>
      <c r="BO61" s="192">
        <f>SUMIFS(Internal_labour_inputs!BW$8:BW$295,Internal_labour_inputs!$B$8:$B$295,$B61)</f>
        <v>0</v>
      </c>
      <c r="BP61" s="192">
        <f>SUMIFS(Internal_labour_inputs!BX$8:BX$295,Internal_labour_inputs!$B$8:$B$295,$B61)</f>
        <v>0</v>
      </c>
      <c r="BQ61" s="192">
        <f>SUMIFS(Internal_labour_inputs!BY$8:BY$295,Internal_labour_inputs!$B$8:$B$295,$B61)</f>
        <v>0</v>
      </c>
      <c r="BR61" s="192">
        <f>SUMIFS(Internal_labour_inputs!BZ$8:BZ$295,Internal_labour_inputs!$B$8:$B$295,$B61)</f>
        <v>0</v>
      </c>
      <c r="BS61" s="192">
        <f>SUMIFS(Internal_labour_inputs!CA$8:CA$295,Internal_labour_inputs!$B$8:$B$295,$B61)</f>
        <v>0</v>
      </c>
      <c r="BT61" s="192">
        <f>SUMIFS(Internal_labour_inputs!CB$8:CB$295,Internal_labour_inputs!$B$8:$B$295,$B61)</f>
        <v>0</v>
      </c>
      <c r="BU61" s="192">
        <f>SUMIFS(Internal_labour_inputs!CC$8:CC$295,Internal_labour_inputs!$B$8:$B$295,$B61)</f>
        <v>0</v>
      </c>
      <c r="BV61" s="192">
        <f>SUMIFS(Internal_labour_inputs!CD$8:CD$295,Internal_labour_inputs!$B$8:$B$295,$B61)</f>
        <v>0</v>
      </c>
      <c r="BW61" s="192">
        <f>SUMIFS(Internal_labour_inputs!CE$8:CE$295,Internal_labour_inputs!$B$8:$B$295,$B61)</f>
        <v>0</v>
      </c>
      <c r="BX61" s="192">
        <f>SUMIFS(Internal_labour_inputs!CF$8:CF$295,Internal_labour_inputs!$B$8:$B$295,$B61)</f>
        <v>0</v>
      </c>
      <c r="BY61" s="192">
        <f>SUMIFS(Internal_labour_inputs!CG$8:CG$295,Internal_labour_inputs!$B$8:$B$295,$B61)</f>
        <v>0</v>
      </c>
      <c r="BZ61" s="192">
        <f>SUMIFS(Internal_labour_inputs!CH$8:CH$295,Internal_labour_inputs!$B$8:$B$295,$B61)</f>
        <v>0</v>
      </c>
      <c r="CA61" s="192">
        <f>SUMIFS(Internal_labour_inputs!CI$8:CI$295,Internal_labour_inputs!$B$8:$B$295,$B61)</f>
        <v>0</v>
      </c>
      <c r="CB61" s="192">
        <f>SUMIFS(Internal_labour_inputs!CJ$8:CJ$295,Internal_labour_inputs!$B$8:$B$295,$B61)</f>
        <v>0</v>
      </c>
      <c r="CC61" s="192">
        <f>SUMIFS(Internal_labour_inputs!CK$8:CK$295,Internal_labour_inputs!$B$8:$B$295,$B61)</f>
        <v>0</v>
      </c>
      <c r="CD61" s="192">
        <f>SUMIFS(Internal_labour_inputs!CL$8:CL$295,Internal_labour_inputs!$B$8:$B$295,$B61)</f>
        <v>0</v>
      </c>
      <c r="CE61" s="192">
        <f>SUMIFS(Internal_labour_inputs!CM$8:CM$295,Internal_labour_inputs!$B$8:$B$295,$B61)</f>
        <v>0</v>
      </c>
      <c r="CF61" s="192">
        <f>SUMIFS(Internal_labour_inputs!CN$8:CN$295,Internal_labour_inputs!$B$8:$B$295,$B61)</f>
        <v>0</v>
      </c>
      <c r="CG61" s="192">
        <f>SUMIFS(Internal_labour_inputs!CO$8:CO$295,Internal_labour_inputs!$B$8:$B$295,$B61)</f>
        <v>0</v>
      </c>
      <c r="CH61" s="192">
        <f>SUMIFS(Internal_labour_inputs!CP$8:CP$295,Internal_labour_inputs!$B$8:$B$295,$B61)</f>
        <v>0</v>
      </c>
      <c r="CI61" s="192">
        <f t="shared" si="17"/>
        <v>179.35238471177951</v>
      </c>
      <c r="CJ61" s="192">
        <f t="shared" si="18"/>
        <v>3.7365080148287397</v>
      </c>
      <c r="CK61" s="192">
        <f t="shared" si="19"/>
        <v>2.0741086587436333</v>
      </c>
      <c r="CL61" s="194"/>
    </row>
    <row r="62" spans="1:90" x14ac:dyDescent="0.3">
      <c r="B62" s="191" t="str">
        <f t="shared" si="16"/>
        <v>Regulatory Approvals</v>
      </c>
      <c r="C62" s="192">
        <f>SUMIFS(Internal_labour_inputs!K$8:K$295,Internal_labour_inputs!$B$8:$B$295,$B62)</f>
        <v>0</v>
      </c>
      <c r="D62" s="192">
        <f>SUMIFS(Internal_labour_inputs!L$8:L$295,Internal_labour_inputs!$B$8:$B$295,$B62)</f>
        <v>0</v>
      </c>
      <c r="E62" s="192">
        <f>SUMIFS(Internal_labour_inputs!M$8:M$295,Internal_labour_inputs!$B$8:$B$295,$B62)</f>
        <v>0</v>
      </c>
      <c r="F62" s="192">
        <f>SUMIFS(Internal_labour_inputs!N$8:N$295,Internal_labour_inputs!$B$8:$B$295,$B62)</f>
        <v>0</v>
      </c>
      <c r="G62" s="192">
        <f>SUMIFS(Internal_labour_inputs!O$8:O$295,Internal_labour_inputs!$B$8:$B$295,$B62)</f>
        <v>0</v>
      </c>
      <c r="H62" s="192">
        <f>SUMIFS(Internal_labour_inputs!P$8:P$295,Internal_labour_inputs!$B$8:$B$295,$B62)</f>
        <v>4.6052631578947366E-2</v>
      </c>
      <c r="I62" s="192">
        <f>SUMIFS(Internal_labour_inputs!Q$8:Q$295,Internal_labour_inputs!$B$8:$B$295,$B62)</f>
        <v>0.57499999999999996</v>
      </c>
      <c r="J62" s="192">
        <f>SUMIFS(Internal_labour_inputs!R$8:R$295,Internal_labour_inputs!$B$8:$B$295,$B62)</f>
        <v>0.60000000000000009</v>
      </c>
      <c r="K62" s="192">
        <f>SUMIFS(Internal_labour_inputs!S$8:S$295,Internal_labour_inputs!$B$8:$B$295,$B62)</f>
        <v>0.67500000000000004</v>
      </c>
      <c r="L62" s="192">
        <f>SUMIFS(Internal_labour_inputs!T$8:T$295,Internal_labour_inputs!$B$8:$B$295,$B62)</f>
        <v>1.375</v>
      </c>
      <c r="M62" s="192">
        <f>SUMIFS(Internal_labour_inputs!U$8:U$295,Internal_labour_inputs!$B$8:$B$295,$B62)</f>
        <v>1.3</v>
      </c>
      <c r="N62" s="192">
        <f>SUMIFS(Internal_labour_inputs!V$8:V$295,Internal_labour_inputs!$B$8:$B$295,$B62)</f>
        <v>1.2000000000000002</v>
      </c>
      <c r="O62" s="192">
        <f>SUMIFS(Internal_labour_inputs!W$8:W$295,Internal_labour_inputs!$B$8:$B$295,$B62)</f>
        <v>2.6666666666666665</v>
      </c>
      <c r="P62" s="192">
        <f>SUMIFS(Internal_labour_inputs!X$8:X$295,Internal_labour_inputs!$B$8:$B$295,$B62)</f>
        <v>2.1</v>
      </c>
      <c r="Q62" s="192">
        <f>SUMIFS(Internal_labour_inputs!Y$8:Y$295,Internal_labour_inputs!$B$8:$B$295,$B62)</f>
        <v>2.1</v>
      </c>
      <c r="R62" s="192">
        <f>SUMIFS(Internal_labour_inputs!Z$8:Z$295,Internal_labour_inputs!$B$8:$B$295,$B62)</f>
        <v>0.79999999999999993</v>
      </c>
      <c r="S62" s="192">
        <f>SUMIFS(Internal_labour_inputs!AA$8:AA$295,Internal_labour_inputs!$B$8:$B$295,$B62)</f>
        <v>0.55263157894736836</v>
      </c>
      <c r="T62" s="192">
        <f>SUMIFS(Internal_labour_inputs!AB$8:AB$295,Internal_labour_inputs!$B$8:$B$295,$B62)</f>
        <v>0.55263157894736836</v>
      </c>
      <c r="U62" s="192">
        <f>SUMIFS(Internal_labour_inputs!AC$8:AC$295,Internal_labour_inputs!$B$8:$B$295,$B62)</f>
        <v>0.5</v>
      </c>
      <c r="V62" s="192">
        <f>SUMIFS(Internal_labour_inputs!AD$8:AD$295,Internal_labour_inputs!$B$8:$B$295,$B62)</f>
        <v>0.5</v>
      </c>
      <c r="W62" s="192">
        <f>SUMIFS(Internal_labour_inputs!AE$8:AE$295,Internal_labour_inputs!$B$8:$B$295,$B62)</f>
        <v>0.5</v>
      </c>
      <c r="X62" s="192">
        <f>SUMIFS(Internal_labour_inputs!AF$8:AF$295,Internal_labour_inputs!$B$8:$B$295,$B62)</f>
        <v>0.5</v>
      </c>
      <c r="Y62" s="192">
        <f>SUMIFS(Internal_labour_inputs!AG$8:AG$295,Internal_labour_inputs!$B$8:$B$295,$B62)</f>
        <v>0.5</v>
      </c>
      <c r="Z62" s="192">
        <f>SUMIFS(Internal_labour_inputs!AH$8:AH$295,Internal_labour_inputs!$B$8:$B$295,$B62)</f>
        <v>0</v>
      </c>
      <c r="AA62" s="192">
        <f>SUMIFS(Internal_labour_inputs!AI$8:AI$295,Internal_labour_inputs!$B$8:$B$295,$B62)</f>
        <v>0</v>
      </c>
      <c r="AB62" s="192">
        <f>SUMIFS(Internal_labour_inputs!AJ$8:AJ$295,Internal_labour_inputs!$B$8:$B$295,$B62)</f>
        <v>0</v>
      </c>
      <c r="AC62" s="192">
        <f>SUMIFS(Internal_labour_inputs!AK$8:AK$295,Internal_labour_inputs!$B$8:$B$295,$B62)</f>
        <v>0</v>
      </c>
      <c r="AD62" s="192">
        <f>SUMIFS(Internal_labour_inputs!AL$8:AL$295,Internal_labour_inputs!$B$8:$B$295,$B62)</f>
        <v>0</v>
      </c>
      <c r="AE62" s="192">
        <f>SUMIFS(Internal_labour_inputs!AM$8:AM$295,Internal_labour_inputs!$B$8:$B$295,$B62)</f>
        <v>0</v>
      </c>
      <c r="AF62" s="192">
        <f>SUMIFS(Internal_labour_inputs!AN$8:AN$295,Internal_labour_inputs!$B$8:$B$295,$B62)</f>
        <v>0</v>
      </c>
      <c r="AG62" s="192">
        <f>SUMIFS(Internal_labour_inputs!AO$8:AO$295,Internal_labour_inputs!$B$8:$B$295,$B62)</f>
        <v>0</v>
      </c>
      <c r="AH62" s="192">
        <f>SUMIFS(Internal_labour_inputs!AP$8:AP$295,Internal_labour_inputs!$B$8:$B$295,$B62)</f>
        <v>0</v>
      </c>
      <c r="AI62" s="192">
        <f>SUMIFS(Internal_labour_inputs!AQ$8:AQ$295,Internal_labour_inputs!$B$8:$B$295,$B62)</f>
        <v>0</v>
      </c>
      <c r="AJ62" s="192">
        <f>SUMIFS(Internal_labour_inputs!AR$8:AR$295,Internal_labour_inputs!$B$8:$B$295,$B62)</f>
        <v>0</v>
      </c>
      <c r="AK62" s="192">
        <f>SUMIFS(Internal_labour_inputs!AS$8:AS$295,Internal_labour_inputs!$B$8:$B$295,$B62)</f>
        <v>0</v>
      </c>
      <c r="AL62" s="192">
        <f>SUMIFS(Internal_labour_inputs!AT$8:AT$295,Internal_labour_inputs!$B$8:$B$295,$B62)</f>
        <v>0</v>
      </c>
      <c r="AM62" s="192">
        <f>SUMIFS(Internal_labour_inputs!AU$8:AU$295,Internal_labour_inputs!$B$8:$B$295,$B62)</f>
        <v>0</v>
      </c>
      <c r="AN62" s="192">
        <f>SUMIFS(Internal_labour_inputs!AV$8:AV$295,Internal_labour_inputs!$B$8:$B$295,$B62)</f>
        <v>0</v>
      </c>
      <c r="AO62" s="192">
        <f>SUMIFS(Internal_labour_inputs!AW$8:AW$295,Internal_labour_inputs!$B$8:$B$295,$B62)</f>
        <v>0</v>
      </c>
      <c r="AP62" s="192">
        <f>SUMIFS(Internal_labour_inputs!AX$8:AX$295,Internal_labour_inputs!$B$8:$B$295,$B62)</f>
        <v>0</v>
      </c>
      <c r="AQ62" s="192">
        <f>SUMIFS(Internal_labour_inputs!AY$8:AY$295,Internal_labour_inputs!$B$8:$B$295,$B62)</f>
        <v>0</v>
      </c>
      <c r="AR62" s="192">
        <f>SUMIFS(Internal_labour_inputs!AZ$8:AZ$295,Internal_labour_inputs!$B$8:$B$295,$B62)</f>
        <v>0</v>
      </c>
      <c r="AS62" s="192">
        <f>SUMIFS(Internal_labour_inputs!BA$8:BA$295,Internal_labour_inputs!$B$8:$B$295,$B62)</f>
        <v>0</v>
      </c>
      <c r="AT62" s="192">
        <f>SUMIFS(Internal_labour_inputs!BB$8:BB$295,Internal_labour_inputs!$B$8:$B$295,$B62)</f>
        <v>0</v>
      </c>
      <c r="AU62" s="192">
        <f>SUMIFS(Internal_labour_inputs!BC$8:BC$295,Internal_labour_inputs!$B$8:$B$295,$B62)</f>
        <v>0</v>
      </c>
      <c r="AV62" s="192">
        <f>SUMIFS(Internal_labour_inputs!BD$8:BD$295,Internal_labour_inputs!$B$8:$B$295,$B62)</f>
        <v>0</v>
      </c>
      <c r="AW62" s="192">
        <f>SUMIFS(Internal_labour_inputs!BE$8:BE$295,Internal_labour_inputs!$B$8:$B$295,$B62)</f>
        <v>0</v>
      </c>
      <c r="AX62" s="192">
        <f>SUMIFS(Internal_labour_inputs!BF$8:BF$295,Internal_labour_inputs!$B$8:$B$295,$B62)</f>
        <v>0</v>
      </c>
      <c r="AY62" s="192">
        <f>SUMIFS(Internal_labour_inputs!BG$8:BG$295,Internal_labour_inputs!$B$8:$B$295,$B62)</f>
        <v>0</v>
      </c>
      <c r="AZ62" s="192">
        <f>SUMIFS(Internal_labour_inputs!BH$8:BH$295,Internal_labour_inputs!$B$8:$B$295,$B62)</f>
        <v>0</v>
      </c>
      <c r="BA62" s="192">
        <f>SUMIFS(Internal_labour_inputs!BI$8:BI$295,Internal_labour_inputs!$B$8:$B$295,$B62)</f>
        <v>0</v>
      </c>
      <c r="BB62" s="192">
        <f>SUMIFS(Internal_labour_inputs!BJ$8:BJ$295,Internal_labour_inputs!$B$8:$B$295,$B62)</f>
        <v>0</v>
      </c>
      <c r="BC62" s="192">
        <f>SUMIFS(Internal_labour_inputs!BK$8:BK$295,Internal_labour_inputs!$B$8:$B$295,$B62)</f>
        <v>0</v>
      </c>
      <c r="BD62" s="192">
        <f>SUMIFS(Internal_labour_inputs!BL$8:BL$295,Internal_labour_inputs!$B$8:$B$295,$B62)</f>
        <v>0</v>
      </c>
      <c r="BE62" s="192">
        <f>SUMIFS(Internal_labour_inputs!BM$8:BM$295,Internal_labour_inputs!$B$8:$B$295,$B62)</f>
        <v>0</v>
      </c>
      <c r="BF62" s="192">
        <f>SUMIFS(Internal_labour_inputs!BN$8:BN$295,Internal_labour_inputs!$B$8:$B$295,$B62)</f>
        <v>0</v>
      </c>
      <c r="BG62" s="192">
        <f>SUMIFS(Internal_labour_inputs!BO$8:BO$295,Internal_labour_inputs!$B$8:$B$295,$B62)</f>
        <v>0</v>
      </c>
      <c r="BH62" s="192">
        <f>SUMIFS(Internal_labour_inputs!BP$8:BP$295,Internal_labour_inputs!$B$8:$B$295,$B62)</f>
        <v>0</v>
      </c>
      <c r="BI62" s="192">
        <f>SUMIFS(Internal_labour_inputs!BQ$8:BQ$295,Internal_labour_inputs!$B$8:$B$295,$B62)</f>
        <v>0</v>
      </c>
      <c r="BJ62" s="192">
        <f>SUMIFS(Internal_labour_inputs!BR$8:BR$295,Internal_labour_inputs!$B$8:$B$295,$B62)</f>
        <v>0</v>
      </c>
      <c r="BK62" s="192">
        <f>SUMIFS(Internal_labour_inputs!BS$8:BS$295,Internal_labour_inputs!$B$8:$B$295,$B62)</f>
        <v>0</v>
      </c>
      <c r="BL62" s="192">
        <f>SUMIFS(Internal_labour_inputs!BT$8:BT$295,Internal_labour_inputs!$B$8:$B$295,$B62)</f>
        <v>0</v>
      </c>
      <c r="BM62" s="192">
        <f>SUMIFS(Internal_labour_inputs!BU$8:BU$295,Internal_labour_inputs!$B$8:$B$295,$B62)</f>
        <v>0</v>
      </c>
      <c r="BN62" s="192">
        <f>SUMIFS(Internal_labour_inputs!BV$8:BV$295,Internal_labour_inputs!$B$8:$B$295,$B62)</f>
        <v>0</v>
      </c>
      <c r="BO62" s="192">
        <f>SUMIFS(Internal_labour_inputs!BW$8:BW$295,Internal_labour_inputs!$B$8:$B$295,$B62)</f>
        <v>0</v>
      </c>
      <c r="BP62" s="192">
        <f>SUMIFS(Internal_labour_inputs!BX$8:BX$295,Internal_labour_inputs!$B$8:$B$295,$B62)</f>
        <v>0</v>
      </c>
      <c r="BQ62" s="192">
        <f>SUMIFS(Internal_labour_inputs!BY$8:BY$295,Internal_labour_inputs!$B$8:$B$295,$B62)</f>
        <v>0</v>
      </c>
      <c r="BR62" s="192">
        <f>SUMIFS(Internal_labour_inputs!BZ$8:BZ$295,Internal_labour_inputs!$B$8:$B$295,$B62)</f>
        <v>0</v>
      </c>
      <c r="BS62" s="192">
        <f>SUMIFS(Internal_labour_inputs!CA$8:CA$295,Internal_labour_inputs!$B$8:$B$295,$B62)</f>
        <v>0</v>
      </c>
      <c r="BT62" s="192">
        <f>SUMIFS(Internal_labour_inputs!CB$8:CB$295,Internal_labour_inputs!$B$8:$B$295,$B62)</f>
        <v>0</v>
      </c>
      <c r="BU62" s="192">
        <f>SUMIFS(Internal_labour_inputs!CC$8:CC$295,Internal_labour_inputs!$B$8:$B$295,$B62)</f>
        <v>0</v>
      </c>
      <c r="BV62" s="192">
        <f>SUMIFS(Internal_labour_inputs!CD$8:CD$295,Internal_labour_inputs!$B$8:$B$295,$B62)</f>
        <v>0</v>
      </c>
      <c r="BW62" s="192">
        <f>SUMIFS(Internal_labour_inputs!CE$8:CE$295,Internal_labour_inputs!$B$8:$B$295,$B62)</f>
        <v>0</v>
      </c>
      <c r="BX62" s="192">
        <f>SUMIFS(Internal_labour_inputs!CF$8:CF$295,Internal_labour_inputs!$B$8:$B$295,$B62)</f>
        <v>0</v>
      </c>
      <c r="BY62" s="192">
        <f>SUMIFS(Internal_labour_inputs!CG$8:CG$295,Internal_labour_inputs!$B$8:$B$295,$B62)</f>
        <v>0</v>
      </c>
      <c r="BZ62" s="192">
        <f>SUMIFS(Internal_labour_inputs!CH$8:CH$295,Internal_labour_inputs!$B$8:$B$295,$B62)</f>
        <v>0</v>
      </c>
      <c r="CA62" s="192">
        <f>SUMIFS(Internal_labour_inputs!CI$8:CI$295,Internal_labour_inputs!$B$8:$B$295,$B62)</f>
        <v>0</v>
      </c>
      <c r="CB62" s="192">
        <f>SUMIFS(Internal_labour_inputs!CJ$8:CJ$295,Internal_labour_inputs!$B$8:$B$295,$B62)</f>
        <v>0</v>
      </c>
      <c r="CC62" s="192">
        <f>SUMIFS(Internal_labour_inputs!CK$8:CK$295,Internal_labour_inputs!$B$8:$B$295,$B62)</f>
        <v>0</v>
      </c>
      <c r="CD62" s="192">
        <f>SUMIFS(Internal_labour_inputs!CL$8:CL$295,Internal_labour_inputs!$B$8:$B$295,$B62)</f>
        <v>0</v>
      </c>
      <c r="CE62" s="192">
        <f>SUMIFS(Internal_labour_inputs!CM$8:CM$295,Internal_labour_inputs!$B$8:$B$295,$B62)</f>
        <v>0</v>
      </c>
      <c r="CF62" s="192">
        <f>SUMIFS(Internal_labour_inputs!CN$8:CN$295,Internal_labour_inputs!$B$8:$B$295,$B62)</f>
        <v>0</v>
      </c>
      <c r="CG62" s="192">
        <f>SUMIFS(Internal_labour_inputs!CO$8:CO$295,Internal_labour_inputs!$B$8:$B$295,$B62)</f>
        <v>0</v>
      </c>
      <c r="CH62" s="192">
        <f>SUMIFS(Internal_labour_inputs!CP$8:CP$295,Internal_labour_inputs!$B$8:$B$295,$B62)</f>
        <v>0</v>
      </c>
      <c r="CI62" s="192">
        <f t="shared" si="17"/>
        <v>17.042982456140351</v>
      </c>
      <c r="CJ62" s="192">
        <f t="shared" si="18"/>
        <v>0.35506213450292395</v>
      </c>
      <c r="CK62" s="192">
        <f t="shared" si="19"/>
        <v>3.2258064516129031E-2</v>
      </c>
      <c r="CL62" s="194"/>
    </row>
    <row r="63" spans="1:90" x14ac:dyDescent="0.3">
      <c r="B63" s="191" t="str">
        <f t="shared" si="16"/>
        <v>Transaction Procurement Support</v>
      </c>
      <c r="C63" s="192">
        <f>SUMIFS(Internal_labour_inputs!K$8:K$295,Internal_labour_inputs!$B$8:$B$295,$B63)</f>
        <v>0</v>
      </c>
      <c r="D63" s="192">
        <f>SUMIFS(Internal_labour_inputs!L$8:L$295,Internal_labour_inputs!$B$8:$B$295,$B63)</f>
        <v>0</v>
      </c>
      <c r="E63" s="192">
        <f>SUMIFS(Internal_labour_inputs!M$8:M$295,Internal_labour_inputs!$B$8:$B$295,$B63)</f>
        <v>0</v>
      </c>
      <c r="F63" s="192">
        <f>SUMIFS(Internal_labour_inputs!N$8:N$295,Internal_labour_inputs!$B$8:$B$295,$B63)</f>
        <v>0</v>
      </c>
      <c r="G63" s="192">
        <f>SUMIFS(Internal_labour_inputs!O$8:O$295,Internal_labour_inputs!$B$8:$B$295,$B63)</f>
        <v>0</v>
      </c>
      <c r="H63" s="192">
        <f>SUMIFS(Internal_labour_inputs!P$8:P$295,Internal_labour_inputs!$B$8:$B$295,$B63)</f>
        <v>0</v>
      </c>
      <c r="I63" s="192">
        <f>SUMIFS(Internal_labour_inputs!Q$8:Q$295,Internal_labour_inputs!$B$8:$B$295,$B63)</f>
        <v>0.7</v>
      </c>
      <c r="J63" s="192">
        <f>SUMIFS(Internal_labour_inputs!R$8:R$295,Internal_labour_inputs!$B$8:$B$295,$B63)</f>
        <v>0.55000000000000004</v>
      </c>
      <c r="K63" s="192">
        <f>SUMIFS(Internal_labour_inputs!S$8:S$295,Internal_labour_inputs!$B$8:$B$295,$B63)</f>
        <v>0.3</v>
      </c>
      <c r="L63" s="192">
        <f>SUMIFS(Internal_labour_inputs!T$8:T$295,Internal_labour_inputs!$B$8:$B$295,$B63)</f>
        <v>0.75</v>
      </c>
      <c r="M63" s="192">
        <f>SUMIFS(Internal_labour_inputs!U$8:U$295,Internal_labour_inputs!$B$8:$B$295,$B63)</f>
        <v>0.4</v>
      </c>
      <c r="N63" s="192">
        <f>SUMIFS(Internal_labour_inputs!V$8:V$295,Internal_labour_inputs!$B$8:$B$295,$B63)</f>
        <v>0.4</v>
      </c>
      <c r="O63" s="192">
        <f>SUMIFS(Internal_labour_inputs!W$8:W$295,Internal_labour_inputs!$B$8:$B$295,$B63)</f>
        <v>0.53333333333333333</v>
      </c>
      <c r="P63" s="192">
        <f>SUMIFS(Internal_labour_inputs!X$8:X$295,Internal_labour_inputs!$B$8:$B$295,$B63)</f>
        <v>0.6</v>
      </c>
      <c r="Q63" s="192">
        <f>SUMIFS(Internal_labour_inputs!Y$8:Y$295,Internal_labour_inputs!$B$8:$B$295,$B63)</f>
        <v>0.5</v>
      </c>
      <c r="R63" s="192">
        <f>SUMIFS(Internal_labour_inputs!Z$8:Z$295,Internal_labour_inputs!$B$8:$B$295,$B63)</f>
        <v>0.66666666666666663</v>
      </c>
      <c r="S63" s="192">
        <f>SUMIFS(Internal_labour_inputs!AA$8:AA$295,Internal_labour_inputs!$B$8:$B$295,$B63)</f>
        <v>0.46052631578947367</v>
      </c>
      <c r="T63" s="192">
        <f>SUMIFS(Internal_labour_inputs!AB$8:AB$295,Internal_labour_inputs!$B$8:$B$295,$B63)</f>
        <v>0.46052631578947367</v>
      </c>
      <c r="U63" s="192">
        <f>SUMIFS(Internal_labour_inputs!AC$8:AC$295,Internal_labour_inputs!$B$8:$B$295,$B63)</f>
        <v>0.5</v>
      </c>
      <c r="V63" s="192">
        <f>SUMIFS(Internal_labour_inputs!AD$8:AD$295,Internal_labour_inputs!$B$8:$B$295,$B63)</f>
        <v>0.5</v>
      </c>
      <c r="W63" s="192">
        <f>SUMIFS(Internal_labour_inputs!AE$8:AE$295,Internal_labour_inputs!$B$8:$B$295,$B63)</f>
        <v>0.5</v>
      </c>
      <c r="X63" s="192">
        <f>SUMIFS(Internal_labour_inputs!AF$8:AF$295,Internal_labour_inputs!$B$8:$B$295,$B63)</f>
        <v>0.5</v>
      </c>
      <c r="Y63" s="192">
        <f>SUMIFS(Internal_labour_inputs!AG$8:AG$295,Internal_labour_inputs!$B$8:$B$295,$B63)</f>
        <v>0.5</v>
      </c>
      <c r="Z63" s="192">
        <f>SUMIFS(Internal_labour_inputs!AH$8:AH$295,Internal_labour_inputs!$B$8:$B$295,$B63)</f>
        <v>0.66666666666666663</v>
      </c>
      <c r="AA63" s="192">
        <f>SUMIFS(Internal_labour_inputs!AI$8:AI$295,Internal_labour_inputs!$B$8:$B$295,$B63)</f>
        <v>0.66666666666666663</v>
      </c>
      <c r="AB63" s="192">
        <f>SUMIFS(Internal_labour_inputs!AJ$8:AJ$295,Internal_labour_inputs!$B$8:$B$295,$B63)</f>
        <v>0.5</v>
      </c>
      <c r="AC63" s="192">
        <f>SUMIFS(Internal_labour_inputs!AK$8:AK$295,Internal_labour_inputs!$B$8:$B$295,$B63)</f>
        <v>0.5</v>
      </c>
      <c r="AD63" s="192">
        <f>SUMIFS(Internal_labour_inputs!AL$8:AL$295,Internal_labour_inputs!$B$8:$B$295,$B63)</f>
        <v>0.66666666666666663</v>
      </c>
      <c r="AE63" s="192">
        <f>SUMIFS(Internal_labour_inputs!AM$8:AM$295,Internal_labour_inputs!$B$8:$B$295,$B63)</f>
        <v>0.46052631578947367</v>
      </c>
      <c r="AF63" s="192">
        <f>SUMIFS(Internal_labour_inputs!AN$8:AN$295,Internal_labour_inputs!$B$8:$B$295,$B63)</f>
        <v>0.46052631578947367</v>
      </c>
      <c r="AG63" s="192">
        <f>SUMIFS(Internal_labour_inputs!AO$8:AO$295,Internal_labour_inputs!$B$8:$B$295,$B63)</f>
        <v>0.5</v>
      </c>
      <c r="AH63" s="192">
        <f>SUMIFS(Internal_labour_inputs!AP$8:AP$295,Internal_labour_inputs!$B$8:$B$295,$B63)</f>
        <v>0.5</v>
      </c>
      <c r="AI63" s="192">
        <f>SUMIFS(Internal_labour_inputs!AQ$8:AQ$295,Internal_labour_inputs!$B$8:$B$295,$B63)</f>
        <v>0.5</v>
      </c>
      <c r="AJ63" s="192">
        <f>SUMIFS(Internal_labour_inputs!AR$8:AR$295,Internal_labour_inputs!$B$8:$B$295,$B63)</f>
        <v>0.5</v>
      </c>
      <c r="AK63" s="192">
        <f>SUMIFS(Internal_labour_inputs!AS$8:AS$295,Internal_labour_inputs!$B$8:$B$295,$B63)</f>
        <v>0.5</v>
      </c>
      <c r="AL63" s="192">
        <f>SUMIFS(Internal_labour_inputs!AT$8:AT$295,Internal_labour_inputs!$B$8:$B$295,$B63)</f>
        <v>0.66666666666666663</v>
      </c>
      <c r="AM63" s="192">
        <f>SUMIFS(Internal_labour_inputs!AU$8:AU$295,Internal_labour_inputs!$B$8:$B$295,$B63)</f>
        <v>0.66666666666666663</v>
      </c>
      <c r="AN63" s="192">
        <f>SUMIFS(Internal_labour_inputs!AV$8:AV$295,Internal_labour_inputs!$B$8:$B$295,$B63)</f>
        <v>0.5</v>
      </c>
      <c r="AO63" s="192">
        <f>SUMIFS(Internal_labour_inputs!AW$8:AW$295,Internal_labour_inputs!$B$8:$B$295,$B63)</f>
        <v>0.5</v>
      </c>
      <c r="AP63" s="192">
        <f>SUMIFS(Internal_labour_inputs!AX$8:AX$295,Internal_labour_inputs!$B$8:$B$295,$B63)</f>
        <v>0.66666666666666663</v>
      </c>
      <c r="AQ63" s="192">
        <f>SUMIFS(Internal_labour_inputs!AY$8:AY$295,Internal_labour_inputs!$B$8:$B$295,$B63)</f>
        <v>0.46052631578947367</v>
      </c>
      <c r="AR63" s="192">
        <f>SUMIFS(Internal_labour_inputs!AZ$8:AZ$295,Internal_labour_inputs!$B$8:$B$295,$B63)</f>
        <v>0.46052631578947367</v>
      </c>
      <c r="AS63" s="192">
        <f>SUMIFS(Internal_labour_inputs!BA$8:BA$295,Internal_labour_inputs!$B$8:$B$295,$B63)</f>
        <v>0.5</v>
      </c>
      <c r="AT63" s="192">
        <f>SUMIFS(Internal_labour_inputs!BB$8:BB$295,Internal_labour_inputs!$B$8:$B$295,$B63)</f>
        <v>0.5</v>
      </c>
      <c r="AU63" s="192">
        <f>SUMIFS(Internal_labour_inputs!BC$8:BC$295,Internal_labour_inputs!$B$8:$B$295,$B63)</f>
        <v>0</v>
      </c>
      <c r="AV63" s="192">
        <f>SUMIFS(Internal_labour_inputs!BD$8:BD$295,Internal_labour_inputs!$B$8:$B$295,$B63)</f>
        <v>0</v>
      </c>
      <c r="AW63" s="192">
        <f>SUMIFS(Internal_labour_inputs!BE$8:BE$295,Internal_labour_inputs!$B$8:$B$295,$B63)</f>
        <v>0</v>
      </c>
      <c r="AX63" s="192">
        <f>SUMIFS(Internal_labour_inputs!BF$8:BF$295,Internal_labour_inputs!$B$8:$B$295,$B63)</f>
        <v>0</v>
      </c>
      <c r="AY63" s="192">
        <f>SUMIFS(Internal_labour_inputs!BG$8:BG$295,Internal_labour_inputs!$B$8:$B$295,$B63)</f>
        <v>0</v>
      </c>
      <c r="AZ63" s="192">
        <f>SUMIFS(Internal_labour_inputs!BH$8:BH$295,Internal_labour_inputs!$B$8:$B$295,$B63)</f>
        <v>0</v>
      </c>
      <c r="BA63" s="192">
        <f>SUMIFS(Internal_labour_inputs!BI$8:BI$295,Internal_labour_inputs!$B$8:$B$295,$B63)</f>
        <v>0</v>
      </c>
      <c r="BB63" s="192">
        <f>SUMIFS(Internal_labour_inputs!BJ$8:BJ$295,Internal_labour_inputs!$B$8:$B$295,$B63)</f>
        <v>0</v>
      </c>
      <c r="BC63" s="192">
        <f>SUMIFS(Internal_labour_inputs!BK$8:BK$295,Internal_labour_inputs!$B$8:$B$295,$B63)</f>
        <v>0</v>
      </c>
      <c r="BD63" s="192">
        <f>SUMIFS(Internal_labour_inputs!BL$8:BL$295,Internal_labour_inputs!$B$8:$B$295,$B63)</f>
        <v>0</v>
      </c>
      <c r="BE63" s="192">
        <f>SUMIFS(Internal_labour_inputs!BM$8:BM$295,Internal_labour_inputs!$B$8:$B$295,$B63)</f>
        <v>0</v>
      </c>
      <c r="BF63" s="192">
        <f>SUMIFS(Internal_labour_inputs!BN$8:BN$295,Internal_labour_inputs!$B$8:$B$295,$B63)</f>
        <v>0</v>
      </c>
      <c r="BG63" s="192">
        <f>SUMIFS(Internal_labour_inputs!BO$8:BO$295,Internal_labour_inputs!$B$8:$B$295,$B63)</f>
        <v>0</v>
      </c>
      <c r="BH63" s="192">
        <f>SUMIFS(Internal_labour_inputs!BP$8:BP$295,Internal_labour_inputs!$B$8:$B$295,$B63)</f>
        <v>0</v>
      </c>
      <c r="BI63" s="192">
        <f>SUMIFS(Internal_labour_inputs!BQ$8:BQ$295,Internal_labour_inputs!$B$8:$B$295,$B63)</f>
        <v>0</v>
      </c>
      <c r="BJ63" s="192">
        <f>SUMIFS(Internal_labour_inputs!BR$8:BR$295,Internal_labour_inputs!$B$8:$B$295,$B63)</f>
        <v>0</v>
      </c>
      <c r="BK63" s="192">
        <f>SUMIFS(Internal_labour_inputs!BS$8:BS$295,Internal_labour_inputs!$B$8:$B$295,$B63)</f>
        <v>0</v>
      </c>
      <c r="BL63" s="192">
        <f>SUMIFS(Internal_labour_inputs!BT$8:BT$295,Internal_labour_inputs!$B$8:$B$295,$B63)</f>
        <v>0</v>
      </c>
      <c r="BM63" s="192">
        <f>SUMIFS(Internal_labour_inputs!BU$8:BU$295,Internal_labour_inputs!$B$8:$B$295,$B63)</f>
        <v>0</v>
      </c>
      <c r="BN63" s="192">
        <f>SUMIFS(Internal_labour_inputs!BV$8:BV$295,Internal_labour_inputs!$B$8:$B$295,$B63)</f>
        <v>0</v>
      </c>
      <c r="BO63" s="192">
        <f>SUMIFS(Internal_labour_inputs!BW$8:BW$295,Internal_labour_inputs!$B$8:$B$295,$B63)</f>
        <v>0</v>
      </c>
      <c r="BP63" s="192">
        <f>SUMIFS(Internal_labour_inputs!BX$8:BX$295,Internal_labour_inputs!$B$8:$B$295,$B63)</f>
        <v>0</v>
      </c>
      <c r="BQ63" s="192">
        <f>SUMIFS(Internal_labour_inputs!BY$8:BY$295,Internal_labour_inputs!$B$8:$B$295,$B63)</f>
        <v>0</v>
      </c>
      <c r="BR63" s="192">
        <f>SUMIFS(Internal_labour_inputs!BZ$8:BZ$295,Internal_labour_inputs!$B$8:$B$295,$B63)</f>
        <v>0</v>
      </c>
      <c r="BS63" s="192">
        <f>SUMIFS(Internal_labour_inputs!CA$8:CA$295,Internal_labour_inputs!$B$8:$B$295,$B63)</f>
        <v>0</v>
      </c>
      <c r="BT63" s="192">
        <f>SUMIFS(Internal_labour_inputs!CB$8:CB$295,Internal_labour_inputs!$B$8:$B$295,$B63)</f>
        <v>0</v>
      </c>
      <c r="BU63" s="192">
        <f>SUMIFS(Internal_labour_inputs!CC$8:CC$295,Internal_labour_inputs!$B$8:$B$295,$B63)</f>
        <v>0</v>
      </c>
      <c r="BV63" s="192">
        <f>SUMIFS(Internal_labour_inputs!CD$8:CD$295,Internal_labour_inputs!$B$8:$B$295,$B63)</f>
        <v>0</v>
      </c>
      <c r="BW63" s="192">
        <f>SUMIFS(Internal_labour_inputs!CE$8:CE$295,Internal_labour_inputs!$B$8:$B$295,$B63)</f>
        <v>0</v>
      </c>
      <c r="BX63" s="192">
        <f>SUMIFS(Internal_labour_inputs!CF$8:CF$295,Internal_labour_inputs!$B$8:$B$295,$B63)</f>
        <v>0</v>
      </c>
      <c r="BY63" s="192">
        <f>SUMIFS(Internal_labour_inputs!CG$8:CG$295,Internal_labour_inputs!$B$8:$B$295,$B63)</f>
        <v>0</v>
      </c>
      <c r="BZ63" s="192">
        <f>SUMIFS(Internal_labour_inputs!CH$8:CH$295,Internal_labour_inputs!$B$8:$B$295,$B63)</f>
        <v>0</v>
      </c>
      <c r="CA63" s="192">
        <f>SUMIFS(Internal_labour_inputs!CI$8:CI$295,Internal_labour_inputs!$B$8:$B$295,$B63)</f>
        <v>0</v>
      </c>
      <c r="CB63" s="192">
        <f>SUMIFS(Internal_labour_inputs!CJ$8:CJ$295,Internal_labour_inputs!$B$8:$B$295,$B63)</f>
        <v>0</v>
      </c>
      <c r="CC63" s="192">
        <f>SUMIFS(Internal_labour_inputs!CK$8:CK$295,Internal_labour_inputs!$B$8:$B$295,$B63)</f>
        <v>0</v>
      </c>
      <c r="CD63" s="192">
        <f>SUMIFS(Internal_labour_inputs!CL$8:CL$295,Internal_labour_inputs!$B$8:$B$295,$B63)</f>
        <v>0</v>
      </c>
      <c r="CE63" s="192">
        <f>SUMIFS(Internal_labour_inputs!CM$8:CM$295,Internal_labour_inputs!$B$8:$B$295,$B63)</f>
        <v>0</v>
      </c>
      <c r="CF63" s="192">
        <f>SUMIFS(Internal_labour_inputs!CN$8:CN$295,Internal_labour_inputs!$B$8:$B$295,$B63)</f>
        <v>0</v>
      </c>
      <c r="CG63" s="192">
        <f>SUMIFS(Internal_labour_inputs!CO$8:CO$295,Internal_labour_inputs!$B$8:$B$295,$B63)</f>
        <v>0</v>
      </c>
      <c r="CH63" s="192">
        <f>SUMIFS(Internal_labour_inputs!CP$8:CP$295,Internal_labour_inputs!$B$8:$B$295,$B63)</f>
        <v>0</v>
      </c>
      <c r="CI63" s="192">
        <f t="shared" si="17"/>
        <v>20.163157894736841</v>
      </c>
      <c r="CJ63" s="192">
        <f t="shared" si="18"/>
        <v>0.42006578947368417</v>
      </c>
      <c r="CK63" s="192">
        <f t="shared" si="19"/>
        <v>0.39813242784380304</v>
      </c>
      <c r="CL63" s="194"/>
    </row>
    <row r="64" spans="1:90" s="39" customFormat="1" x14ac:dyDescent="0.3">
      <c r="A64"/>
      <c r="B64" s="195" t="s">
        <v>165</v>
      </c>
      <c r="C64" s="196">
        <f t="shared" ref="C64" si="20">SUM(C51:C63)</f>
        <v>0</v>
      </c>
      <c r="D64" s="196">
        <f t="shared" ref="D64:BO64" si="21">SUM(D51:D63)</f>
        <v>0</v>
      </c>
      <c r="E64" s="196">
        <f t="shared" si="21"/>
        <v>0</v>
      </c>
      <c r="F64" s="196">
        <f t="shared" si="21"/>
        <v>0</v>
      </c>
      <c r="G64" s="196">
        <f t="shared" si="21"/>
        <v>1.7529837230923523E-17</v>
      </c>
      <c r="H64" s="196">
        <f t="shared" si="21"/>
        <v>3.2751315789473687</v>
      </c>
      <c r="I64" s="196">
        <f t="shared" si="21"/>
        <v>8.3081428571428582</v>
      </c>
      <c r="J64" s="196">
        <f t="shared" si="21"/>
        <v>8.3375714285714295</v>
      </c>
      <c r="K64" s="196">
        <f t="shared" si="21"/>
        <v>8.0228571428571431</v>
      </c>
      <c r="L64" s="196">
        <f t="shared" si="21"/>
        <v>11.248571428571431</v>
      </c>
      <c r="M64" s="196">
        <f t="shared" si="21"/>
        <v>9.2682857142857245</v>
      </c>
      <c r="N64" s="196">
        <f t="shared" si="21"/>
        <v>18.625904761904764</v>
      </c>
      <c r="O64" s="196">
        <f t="shared" si="21"/>
        <v>30.274476190476189</v>
      </c>
      <c r="P64" s="196">
        <f t="shared" si="21"/>
        <v>56.827678372940959</v>
      </c>
      <c r="Q64" s="196">
        <f t="shared" si="21"/>
        <v>75.392203883385164</v>
      </c>
      <c r="R64" s="196">
        <f t="shared" si="21"/>
        <v>89.373859490475311</v>
      </c>
      <c r="S64" s="196">
        <f t="shared" si="21"/>
        <v>84.662282876149959</v>
      </c>
      <c r="T64" s="196">
        <f t="shared" si="21"/>
        <v>94.100454895449204</v>
      </c>
      <c r="U64" s="196">
        <f t="shared" si="21"/>
        <v>107.10790012471888</v>
      </c>
      <c r="V64" s="196">
        <f t="shared" si="21"/>
        <v>100.89431804887906</v>
      </c>
      <c r="W64" s="196">
        <f t="shared" si="21"/>
        <v>107.15380606866647</v>
      </c>
      <c r="X64" s="196">
        <f t="shared" si="21"/>
        <v>112.49346533043034</v>
      </c>
      <c r="Y64" s="196">
        <f t="shared" si="21"/>
        <v>106.85609207839754</v>
      </c>
      <c r="Z64" s="196">
        <f t="shared" si="21"/>
        <v>111.22050047711454</v>
      </c>
      <c r="AA64" s="196">
        <f t="shared" si="21"/>
        <v>148.06086334720953</v>
      </c>
      <c r="AB64" s="196">
        <f t="shared" si="21"/>
        <v>110.73564743839249</v>
      </c>
      <c r="AC64" s="196">
        <f t="shared" si="21"/>
        <v>99.292465863855583</v>
      </c>
      <c r="AD64" s="196">
        <f t="shared" si="21"/>
        <v>118.77196125413549</v>
      </c>
      <c r="AE64" s="196">
        <f t="shared" si="21"/>
        <v>95.81052612443689</v>
      </c>
      <c r="AF64" s="196">
        <f t="shared" si="21"/>
        <v>97.740945536357302</v>
      </c>
      <c r="AG64" s="196">
        <f t="shared" si="21"/>
        <v>96.504215747003101</v>
      </c>
      <c r="AH64" s="196">
        <f t="shared" si="21"/>
        <v>98.711358604145971</v>
      </c>
      <c r="AI64" s="196">
        <f t="shared" si="21"/>
        <v>98.62760901005953</v>
      </c>
      <c r="AJ64" s="196">
        <f t="shared" si="21"/>
        <v>100.88810852296325</v>
      </c>
      <c r="AK64" s="196">
        <f t="shared" si="21"/>
        <v>99.654579499655313</v>
      </c>
      <c r="AL64" s="196">
        <f t="shared" si="21"/>
        <v>103.89153716874483</v>
      </c>
      <c r="AM64" s="196">
        <f t="shared" si="21"/>
        <v>121.03963469711374</v>
      </c>
      <c r="AN64" s="196">
        <f t="shared" si="21"/>
        <v>98.299661359485995</v>
      </c>
      <c r="AO64" s="196">
        <f t="shared" si="21"/>
        <v>98.665829217097482</v>
      </c>
      <c r="AP64" s="196">
        <f t="shared" si="21"/>
        <v>114.23281215565413</v>
      </c>
      <c r="AQ64" s="196">
        <f t="shared" si="21"/>
        <v>100.49484269995823</v>
      </c>
      <c r="AR64" s="196">
        <f t="shared" si="21"/>
        <v>98.135776183264326</v>
      </c>
      <c r="AS64" s="196">
        <f t="shared" si="21"/>
        <v>96.377809016391367</v>
      </c>
      <c r="AT64" s="196">
        <f t="shared" si="21"/>
        <v>96.968470251103255</v>
      </c>
      <c r="AU64" s="196">
        <f t="shared" si="21"/>
        <v>96.124475683058037</v>
      </c>
      <c r="AV64" s="196">
        <f t="shared" si="21"/>
        <v>83.639277747245472</v>
      </c>
      <c r="AW64" s="196">
        <f t="shared" si="21"/>
        <v>99.806455430993864</v>
      </c>
      <c r="AX64" s="196">
        <f t="shared" si="21"/>
        <v>64.509507314876302</v>
      </c>
      <c r="AY64" s="196">
        <f t="shared" si="21"/>
        <v>57.674442636489417</v>
      </c>
      <c r="AZ64" s="196">
        <f t="shared" si="21"/>
        <v>35.62650625489502</v>
      </c>
      <c r="BA64" s="196">
        <f t="shared" si="21"/>
        <v>25.326067110029342</v>
      </c>
      <c r="BB64" s="196">
        <f t="shared" si="21"/>
        <v>9.7866412973539241</v>
      </c>
      <c r="BC64" s="196">
        <f t="shared" si="21"/>
        <v>0</v>
      </c>
      <c r="BD64" s="196">
        <f t="shared" si="21"/>
        <v>0</v>
      </c>
      <c r="BE64" s="196">
        <f t="shared" si="21"/>
        <v>0</v>
      </c>
      <c r="BF64" s="196">
        <f t="shared" si="21"/>
        <v>0</v>
      </c>
      <c r="BG64" s="196">
        <f t="shared" si="21"/>
        <v>0</v>
      </c>
      <c r="BH64" s="196">
        <f t="shared" si="21"/>
        <v>0</v>
      </c>
      <c r="BI64" s="196">
        <f t="shared" si="21"/>
        <v>0</v>
      </c>
      <c r="BJ64" s="196">
        <f t="shared" si="21"/>
        <v>0</v>
      </c>
      <c r="BK64" s="196">
        <f t="shared" si="21"/>
        <v>0</v>
      </c>
      <c r="BL64" s="196">
        <f t="shared" si="21"/>
        <v>0</v>
      </c>
      <c r="BM64" s="196">
        <f t="shared" si="21"/>
        <v>0</v>
      </c>
      <c r="BN64" s="196">
        <f t="shared" si="21"/>
        <v>0</v>
      </c>
      <c r="BO64" s="196">
        <f t="shared" si="21"/>
        <v>0</v>
      </c>
      <c r="BP64" s="196">
        <f t="shared" ref="BP64:BU64" si="22">SUM(BP51:BP63)</f>
        <v>0</v>
      </c>
      <c r="BQ64" s="196">
        <f t="shared" si="22"/>
        <v>0</v>
      </c>
      <c r="BR64" s="196">
        <f t="shared" si="22"/>
        <v>0</v>
      </c>
      <c r="BS64" s="196">
        <f t="shared" si="22"/>
        <v>0</v>
      </c>
      <c r="BT64" s="196">
        <f t="shared" si="22"/>
        <v>0</v>
      </c>
      <c r="BU64" s="196">
        <f t="shared" si="22"/>
        <v>0</v>
      </c>
      <c r="BV64" s="196">
        <f t="shared" ref="BV64:CH64" si="23">SUM(BV51:BV63)</f>
        <v>0</v>
      </c>
      <c r="BW64" s="196">
        <f t="shared" si="23"/>
        <v>0</v>
      </c>
      <c r="BX64" s="196">
        <f t="shared" si="23"/>
        <v>0</v>
      </c>
      <c r="BY64" s="196">
        <f t="shared" si="23"/>
        <v>0</v>
      </c>
      <c r="BZ64" s="196">
        <f t="shared" si="23"/>
        <v>0</v>
      </c>
      <c r="CA64" s="196">
        <f t="shared" si="23"/>
        <v>0</v>
      </c>
      <c r="CB64" s="196">
        <f t="shared" si="23"/>
        <v>0</v>
      </c>
      <c r="CC64" s="196">
        <f t="shared" si="23"/>
        <v>0</v>
      </c>
      <c r="CD64" s="196">
        <f t="shared" si="23"/>
        <v>0</v>
      </c>
      <c r="CE64" s="196">
        <f t="shared" si="23"/>
        <v>0</v>
      </c>
      <c r="CF64" s="196">
        <f t="shared" si="23"/>
        <v>0</v>
      </c>
      <c r="CG64" s="196">
        <f t="shared" si="23"/>
        <v>0</v>
      </c>
      <c r="CH64" s="196">
        <f t="shared" si="23"/>
        <v>0</v>
      </c>
      <c r="CI64" s="192">
        <f t="shared" si="15"/>
        <v>3708.8415299213334</v>
      </c>
      <c r="CJ64" s="192">
        <f>AVERAGEIF($C$64:$CH$64,"&gt;0",C64:CH64)</f>
        <v>77.267531873361108</v>
      </c>
      <c r="CK64" s="192">
        <f>AVERAGEIFS($X64:$CE64,$X$64:$CE$64,"&gt;0")</f>
        <v>93.418325324448759</v>
      </c>
    </row>
    <row r="65" spans="1:93" s="39" customFormat="1" x14ac:dyDescent="0.3">
      <c r="A65"/>
      <c r="B65" s="108"/>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50"/>
    </row>
    <row r="66" spans="1:93" s="113" customFormat="1" ht="18" x14ac:dyDescent="0.35">
      <c r="A66"/>
      <c r="B66" s="118" t="s">
        <v>170</v>
      </c>
      <c r="C66" s="210"/>
      <c r="D66" s="211"/>
      <c r="E66" s="211"/>
      <c r="F66" s="211"/>
      <c r="G66" s="211"/>
      <c r="H66" s="211"/>
      <c r="I66" s="211"/>
      <c r="J66" s="211"/>
      <c r="K66" s="211"/>
      <c r="L66" s="53"/>
      <c r="M66" s="211"/>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row>
    <row r="67" spans="1:93" x14ac:dyDescent="0.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0"/>
    </row>
    <row r="68" spans="1:93" x14ac:dyDescent="0.3">
      <c r="B68" s="137"/>
      <c r="C68" s="137" cm="1">
        <f t="array" ref="C68:I69">'Key assumptions'!$H$17:$N$18</f>
        <v>46054</v>
      </c>
      <c r="D68" s="137">
        <v>46296</v>
      </c>
      <c r="E68" s="137">
        <v>46661</v>
      </c>
      <c r="F68" s="137">
        <v>47027</v>
      </c>
      <c r="G68" s="137">
        <v>47392</v>
      </c>
      <c r="H68" s="137">
        <v>47757</v>
      </c>
      <c r="I68" s="137">
        <v>48122</v>
      </c>
      <c r="J68" s="137"/>
      <c r="K68" s="137"/>
      <c r="L68" s="53"/>
      <c r="M68" s="137">
        <v>46054</v>
      </c>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0"/>
    </row>
    <row r="69" spans="1:93" x14ac:dyDescent="0.3">
      <c r="B69" s="137"/>
      <c r="C69" s="137">
        <v>46295</v>
      </c>
      <c r="D69" s="137">
        <v>46660</v>
      </c>
      <c r="E69" s="137">
        <v>47026</v>
      </c>
      <c r="F69" s="137">
        <v>47391</v>
      </c>
      <c r="G69" s="137">
        <v>47756</v>
      </c>
      <c r="H69" s="137">
        <v>48121</v>
      </c>
      <c r="I69" s="137">
        <v>48487</v>
      </c>
      <c r="J69" s="137"/>
      <c r="K69" s="137"/>
      <c r="L69" s="53"/>
      <c r="M69" s="137">
        <v>46203</v>
      </c>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0"/>
    </row>
    <row r="70" spans="1:93" ht="55.5" customHeight="1" x14ac:dyDescent="0.3">
      <c r="B70" s="136" t="s">
        <v>131</v>
      </c>
      <c r="C70" s="150" t="str" cm="1">
        <f t="array" ref="C70:I70">model_forecastperiod</f>
        <v>RY2026
01Feb-30Sep</v>
      </c>
      <c r="D70" s="150" t="str">
        <v>RY2027</v>
      </c>
      <c r="E70" s="150" t="str">
        <v>RY2028</v>
      </c>
      <c r="F70" s="150" t="str">
        <v>RY2029</v>
      </c>
      <c r="G70" s="150" t="str">
        <v>RY2030</v>
      </c>
      <c r="H70" s="150" t="str">
        <v>RY2031</v>
      </c>
      <c r="I70" s="150" t="str">
        <v>RY2032</v>
      </c>
      <c r="J70" s="150" t="s">
        <v>167</v>
      </c>
      <c r="K70" s="150" t="s">
        <v>253</v>
      </c>
      <c r="L70" s="53"/>
      <c r="M70" s="140" t="s">
        <v>254</v>
      </c>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0"/>
    </row>
    <row r="71" spans="1:93" x14ac:dyDescent="0.3">
      <c r="B71" s="191" t="str">
        <f>$B11</f>
        <v>Community and Stakeholder Engagement</v>
      </c>
      <c r="C71" s="192" cm="1">
        <f t="array" ref="C71">IFERROR(AVERAGE(_xlfn._xlws.FILTER($C51:$CH51,($C$50:$CH$50&gt;=C$68)*($C$50:$CH$50&lt;=C$69))),0)</f>
        <v>0.35767543859649126</v>
      </c>
      <c r="D71" s="192" cm="1">
        <f t="array" ref="D71">IFERROR(AVERAGE(_xlfn._xlws.FILTER($C51:$CH51,($C$50:$CH$50&gt;=D$68)*($C$50:$CH$50&lt;=D$69))),0)</f>
        <v>9.722222222222221E-2</v>
      </c>
      <c r="E71" s="192" cm="1">
        <f t="array" ref="E71">IFERROR(AVERAGE(_xlfn._xlws.FILTER($C51:$CH51,($C$50:$CH$50&gt;=E$68)*($C$50:$CH$50&lt;=E$69))),0)</f>
        <v>0</v>
      </c>
      <c r="F71" s="192" cm="1">
        <f t="array" ref="F71">IFERROR(AVERAGE(_xlfn._xlws.FILTER($C51:$CH51,($C$50:$CH$50&gt;=F$68)*($C$50:$CH$50&lt;=F$69))),0)</f>
        <v>0</v>
      </c>
      <c r="G71" s="192" cm="1">
        <f t="array" ref="G71">IFERROR(AVERAGE(_xlfn._xlws.FILTER($C51:$CH51,($C$50:$CH$50&gt;=G$68)*($C$50:$CH$50&lt;=G$69))),0)</f>
        <v>0</v>
      </c>
      <c r="H71" s="192" cm="1">
        <f t="array" ref="H71">IFERROR(AVERAGE(_xlfn._xlws.FILTER($C51:$CH51,($C$50:$CH$50&gt;=H$68)*($C$50:$CH$50&lt;=H$69))),0)</f>
        <v>0</v>
      </c>
      <c r="I71" s="192" cm="1">
        <f t="array" ref="I71">IFERROR(AVERAGE(_xlfn._xlws.FILTER($C51:$CH51,($C$50:$CH$50&gt;=I$68)*($C$50:$CH$50&lt;=I$69))),0)</f>
        <v>0</v>
      </c>
      <c r="J71" s="192">
        <f>CJ51</f>
        <v>0.14581787802840435</v>
      </c>
      <c r="K71" s="192">
        <f>CK51</f>
        <v>3.7634408602150532E-2</v>
      </c>
      <c r="L71" s="53"/>
      <c r="M71" s="192" cm="1">
        <f t="array" ref="M71">IFERROR(AVERAGE(_xlfn._xlws.FILTER($C51:$CH51,($C$50:$CH$50&gt;=M$68)*($C$50:$CH$50&lt;=M$69))),0)</f>
        <v>0.36228070175438598</v>
      </c>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0"/>
    </row>
    <row r="72" spans="1:93" x14ac:dyDescent="0.3">
      <c r="B72" s="191" t="str">
        <f t="shared" ref="B72:B83" si="24">$B12</f>
        <v>Fleet</v>
      </c>
      <c r="C72" s="192" cm="1">
        <f t="array" ref="C72">IFERROR(AVERAGE(_xlfn._xlws.FILTER($C52:$CH52,($C$50:$CH$50&gt;=C$68)*($C$50:$CH$50&lt;=C$69))),0)</f>
        <v>0</v>
      </c>
      <c r="D72" s="192" cm="1">
        <f t="array" ref="D72">IFERROR(AVERAGE(_xlfn._xlws.FILTER($C52:$CH52,($C$50:$CH$50&gt;=D$68)*($C$50:$CH$50&lt;=D$69))),0)</f>
        <v>0</v>
      </c>
      <c r="E72" s="192" cm="1">
        <f t="array" ref="E72">IFERROR(AVERAGE(_xlfn._xlws.FILTER($C52:$CH52,($C$50:$CH$50&gt;=E$68)*($C$50:$CH$50&lt;=E$69))),0)</f>
        <v>0</v>
      </c>
      <c r="F72" s="192" cm="1">
        <f t="array" ref="F72">IFERROR(AVERAGE(_xlfn._xlws.FILTER($C52:$CH52,($C$50:$CH$50&gt;=F$68)*($C$50:$CH$50&lt;=F$69))),0)</f>
        <v>0</v>
      </c>
      <c r="G72" s="192" cm="1">
        <f t="array" ref="G72">IFERROR(AVERAGE(_xlfn._xlws.FILTER($C52:$CH52,($C$50:$CH$50&gt;=G$68)*($C$50:$CH$50&lt;=G$69))),0)</f>
        <v>0</v>
      </c>
      <c r="H72" s="192" cm="1">
        <f t="array" ref="H72">IFERROR(AVERAGE(_xlfn._xlws.FILTER($C52:$CH52,($C$50:$CH$50&gt;=H$68)*($C$50:$CH$50&lt;=H$69))),0)</f>
        <v>0</v>
      </c>
      <c r="I72" s="192" cm="1">
        <f t="array" ref="I72">IFERROR(AVERAGE(_xlfn._xlws.FILTER($C52:$CH52,($C$50:$CH$50&gt;=I$68)*($C$50:$CH$50&lt;=I$69))),0)</f>
        <v>0</v>
      </c>
      <c r="J72" s="192">
        <f t="shared" ref="J72:J83" si="25">CJ52</f>
        <v>0</v>
      </c>
      <c r="K72" s="192">
        <f t="shared" ref="K72:K83" si="26">CK52</f>
        <v>0</v>
      </c>
      <c r="L72" s="53"/>
      <c r="M72" s="192" cm="1">
        <f t="array" ref="M72">IFERROR(AVERAGE(_xlfn._xlws.FILTER($C52:$CH52,($C$50:$CH$50&gt;=M$68)*($C$50:$CH$50&lt;=M$69))),0)</f>
        <v>0</v>
      </c>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0"/>
    </row>
    <row r="73" spans="1:93" x14ac:dyDescent="0.3">
      <c r="B73" s="191" t="str">
        <f t="shared" si="24"/>
        <v>Land and Environment</v>
      </c>
      <c r="C73" s="192" cm="1">
        <f t="array" ref="C73">IFERROR(AVERAGE(_xlfn._xlws.FILTER($C53:$CH53,($C$50:$CH$50&gt;=C$68)*($C$50:$CH$50&lt;=C$69))),0)</f>
        <v>2.6700187969924816</v>
      </c>
      <c r="D73" s="192" cm="1">
        <f t="array" ref="D73">IFERROR(AVERAGE(_xlfn._xlws.FILTER($C53:$CH53,($C$50:$CH$50&gt;=D$68)*($C$50:$CH$50&lt;=D$69))),0)</f>
        <v>3.4677318295739354</v>
      </c>
      <c r="E73" s="192" cm="1">
        <f t="array" ref="E73">IFERROR(AVERAGE(_xlfn._xlws.FILTER($C53:$CH53,($C$50:$CH$50&gt;=E$68)*($C$50:$CH$50&lt;=E$69))),0)</f>
        <v>3.4297994987468674</v>
      </c>
      <c r="F73" s="192" cm="1">
        <f t="array" ref="F73">IFERROR(AVERAGE(_xlfn._xlws.FILTER($C53:$CH53,($C$50:$CH$50&gt;=F$68)*($C$50:$CH$50&lt;=F$69))),0)</f>
        <v>0.32920634920634922</v>
      </c>
      <c r="G73" s="192" cm="1">
        <f t="array" ref="G73">IFERROR(AVERAGE(_xlfn._xlws.FILTER($C53:$CH53,($C$50:$CH$50&gt;=G$68)*($C$50:$CH$50&lt;=G$69))),0)</f>
        <v>0</v>
      </c>
      <c r="H73" s="192" cm="1">
        <f t="array" ref="H73">IFERROR(AVERAGE(_xlfn._xlws.FILTER($C53:$CH53,($C$50:$CH$50&gt;=H$68)*($C$50:$CH$50&lt;=H$69))),0)</f>
        <v>0</v>
      </c>
      <c r="I73" s="192" cm="1">
        <f t="array" ref="I73">IFERROR(AVERAGE(_xlfn._xlws.FILTER($C53:$CH53,($C$50:$CH$50&gt;=I$68)*($C$50:$CH$50&lt;=I$69))),0)</f>
        <v>0</v>
      </c>
      <c r="J73" s="192">
        <f t="shared" si="25"/>
        <v>2.4057067669172936</v>
      </c>
      <c r="K73" s="192">
        <f t="shared" si="26"/>
        <v>2.7974468429137365</v>
      </c>
      <c r="L73" s="53"/>
      <c r="M73" s="192" cm="1">
        <f t="array" ref="M73">IFERROR(AVERAGE(_xlfn._xlws.FILTER($C53:$CH53,($C$50:$CH$50&gt;=M$68)*($C$50:$CH$50&lt;=M$69))),0)</f>
        <v>2.0763157894736848</v>
      </c>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0"/>
    </row>
    <row r="74" spans="1:93" x14ac:dyDescent="0.3">
      <c r="B74" s="191" t="str">
        <f t="shared" si="24"/>
        <v>Other Support &amp; Corporate Roles</v>
      </c>
      <c r="C74" s="192" cm="1">
        <f t="array" ref="C74">IFERROR(AVERAGE(_xlfn._xlws.FILTER($C54:$CH54,($C$50:$CH$50&gt;=C$68)*($C$50:$CH$50&lt;=C$69))),0)</f>
        <v>13.419028508930243</v>
      </c>
      <c r="D74" s="192" cm="1">
        <f t="array" ref="D74">IFERROR(AVERAGE(_xlfn._xlws.FILTER($C54:$CH54,($C$50:$CH$50&gt;=D$68)*($C$50:$CH$50&lt;=D$69))),0)</f>
        <v>12.585726748914743</v>
      </c>
      <c r="E74" s="192" cm="1">
        <f t="array" ref="E74">IFERROR(AVERAGE(_xlfn._xlws.FILTER($C54:$CH54,($C$50:$CH$50&gt;=E$68)*($C$50:$CH$50&lt;=E$69))),0)</f>
        <v>11.478011914231729</v>
      </c>
      <c r="F74" s="192" cm="1">
        <f t="array" ref="F74">IFERROR(AVERAGE(_xlfn._xlws.FILTER($C54:$CH54,($C$50:$CH$50&gt;=F$68)*($C$50:$CH$50&lt;=F$69))),0)</f>
        <v>5.9002256096410735</v>
      </c>
      <c r="G74" s="192" cm="1">
        <f t="array" ref="G74">IFERROR(AVERAGE(_xlfn._xlws.FILTER($C54:$CH54,($C$50:$CH$50&gt;=G$68)*($C$50:$CH$50&lt;=G$69))),0)</f>
        <v>0</v>
      </c>
      <c r="H74" s="192" cm="1">
        <f t="array" ref="H74">IFERROR(AVERAGE(_xlfn._xlws.FILTER($C54:$CH54,($C$50:$CH$50&gt;=H$68)*($C$50:$CH$50&lt;=H$69))),0)</f>
        <v>0</v>
      </c>
      <c r="I74" s="192" cm="1">
        <f t="array" ref="I74">IFERROR(AVERAGE(_xlfn._xlws.FILTER($C54:$CH54,($C$50:$CH$50&gt;=I$68)*($C$50:$CH$50&lt;=I$69))),0)</f>
        <v>0</v>
      </c>
      <c r="J74" s="192">
        <f t="shared" si="25"/>
        <v>9.9374660577804974</v>
      </c>
      <c r="K74" s="192">
        <f t="shared" si="26"/>
        <v>11.598953912046793</v>
      </c>
      <c r="L74" s="53"/>
      <c r="M74" s="192" cm="1">
        <f t="array" ref="M74">IFERROR(AVERAGE(_xlfn._xlws.FILTER($C54:$CH54,($C$50:$CH$50&gt;=M$68)*($C$50:$CH$50&lt;=M$69))),0)</f>
        <v>13.079240765835504</v>
      </c>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0"/>
    </row>
    <row r="75" spans="1:93" x14ac:dyDescent="0.3">
      <c r="B75" s="191" t="str">
        <f t="shared" si="24"/>
        <v>Project Delivery Management - Commercial Management</v>
      </c>
      <c r="C75" s="192" cm="1">
        <f t="array" ref="C75">IFERROR(AVERAGE(_xlfn._xlws.FILTER($C55:$CH55,($C$50:$CH$50&gt;=C$68)*($C$50:$CH$50&lt;=C$69))),0)</f>
        <v>6.3618421052631575</v>
      </c>
      <c r="D75" s="192" cm="1">
        <f t="array" ref="D75">IFERROR(AVERAGE(_xlfn._xlws.FILTER($C55:$CH55,($C$50:$CH$50&gt;=D$68)*($C$50:$CH$50&lt;=D$69))),0)</f>
        <v>7</v>
      </c>
      <c r="E75" s="192" cm="1">
        <f t="array" ref="E75">IFERROR(AVERAGE(_xlfn._xlws.FILTER($C55:$CH55,($C$50:$CH$50&gt;=E$68)*($C$50:$CH$50&lt;=E$69))),0)</f>
        <v>7</v>
      </c>
      <c r="F75" s="192" cm="1">
        <f t="array" ref="F75">IFERROR(AVERAGE(_xlfn._xlws.FILTER($C55:$CH55,($C$50:$CH$50&gt;=F$68)*($C$50:$CH$50&lt;=F$69))),0)</f>
        <v>2.1666666666666665</v>
      </c>
      <c r="G75" s="192" cm="1">
        <f t="array" ref="G75">IFERROR(AVERAGE(_xlfn._xlws.FILTER($C55:$CH55,($C$50:$CH$50&gt;=G$68)*($C$50:$CH$50&lt;=G$69))),0)</f>
        <v>0</v>
      </c>
      <c r="H75" s="192" cm="1">
        <f t="array" ref="H75">IFERROR(AVERAGE(_xlfn._xlws.FILTER($C55:$CH55,($C$50:$CH$50&gt;=H$68)*($C$50:$CH$50&lt;=H$69))),0)</f>
        <v>0</v>
      </c>
      <c r="I75" s="192" cm="1">
        <f t="array" ref="I75">IFERROR(AVERAGE(_xlfn._xlws.FILTER($C55:$CH55,($C$50:$CH$50&gt;=I$68)*($C$50:$CH$50&lt;=I$69))),0)</f>
        <v>0</v>
      </c>
      <c r="J75" s="192">
        <f t="shared" si="25"/>
        <v>5.1505847953216373</v>
      </c>
      <c r="K75" s="192">
        <f t="shared" si="26"/>
        <v>6.258064516129032</v>
      </c>
      <c r="L75" s="53"/>
      <c r="M75" s="192" cm="1">
        <f t="array" ref="M75">IFERROR(AVERAGE(_xlfn._xlws.FILTER($C55:$CH55,($C$50:$CH$50&gt;=M$68)*($C$50:$CH$50&lt;=M$69))),0)</f>
        <v>5.9789473684210517</v>
      </c>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0"/>
    </row>
    <row r="76" spans="1:93" x14ac:dyDescent="0.3">
      <c r="B76" s="191" t="str">
        <f t="shared" si="24"/>
        <v>Project Delivery Management - Commissioning</v>
      </c>
      <c r="C76" s="192" cm="1">
        <f t="array" ref="C76">IFERROR(AVERAGE(_xlfn._xlws.FILTER($C56:$CH56,($C$50:$CH$50&gt;=C$68)*($C$50:$CH$50&lt;=C$69))),0)</f>
        <v>6.6170347744360889</v>
      </c>
      <c r="D76" s="192" cm="1">
        <f t="array" ref="D76">IFERROR(AVERAGE(_xlfn._xlws.FILTER($C56:$CH56,($C$50:$CH$50&gt;=D$68)*($C$50:$CH$50&lt;=D$69))),0)</f>
        <v>24.460615079365081</v>
      </c>
      <c r="E76" s="192" cm="1">
        <f t="array" ref="E76">IFERROR(AVERAGE(_xlfn._xlws.FILTER($C56:$CH56,($C$50:$CH$50&gt;=E$68)*($C$50:$CH$50&lt;=E$69))),0)</f>
        <v>24.037698412698408</v>
      </c>
      <c r="F76" s="192" cm="1">
        <f t="array" ref="F76">IFERROR(AVERAGE(_xlfn._xlws.FILTER($C56:$CH56,($C$50:$CH$50&gt;=F$68)*($C$50:$CH$50&lt;=F$69))),0)</f>
        <v>4.3827380952380945</v>
      </c>
      <c r="G76" s="192" cm="1">
        <f t="array" ref="G76">IFERROR(AVERAGE(_xlfn._xlws.FILTER($C56:$CH56,($C$50:$CH$50&gt;=G$68)*($C$50:$CH$50&lt;=G$69))),0)</f>
        <v>0</v>
      </c>
      <c r="H76" s="192" cm="1">
        <f t="array" ref="H76">IFERROR(AVERAGE(_xlfn._xlws.FILTER($C56:$CH56,($C$50:$CH$50&gt;=H$68)*($C$50:$CH$50&lt;=H$69))),0)</f>
        <v>0</v>
      </c>
      <c r="I76" s="192" cm="1">
        <f t="array" ref="I76">IFERROR(AVERAGE(_xlfn._xlws.FILTER($C56:$CH56,($C$50:$CH$50&gt;=I$68)*($C$50:$CH$50&lt;=I$69))),0)</f>
        <v>0</v>
      </c>
      <c r="J76" s="192">
        <f t="shared" si="25"/>
        <v>14.323102025898079</v>
      </c>
      <c r="K76" s="192">
        <f t="shared" si="26"/>
        <v>20.470084485407067</v>
      </c>
      <c r="L76" s="53"/>
      <c r="M76" s="192" cm="1">
        <f t="array" ref="M76">IFERROR(AVERAGE(_xlfn._xlws.FILTER($C56:$CH56,($C$50:$CH$50&gt;=M$68)*($C$50:$CH$50&lt;=M$69))),0)</f>
        <v>2.687255639097744</v>
      </c>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0"/>
    </row>
    <row r="77" spans="1:93" x14ac:dyDescent="0.3">
      <c r="B77" s="191" t="str">
        <f t="shared" si="24"/>
        <v>Project Delivery Management - Construction Management</v>
      </c>
      <c r="C77" s="192" cm="1">
        <f t="array" ref="C77">IFERROR(AVERAGE(_xlfn._xlws.FILTER($C57:$CH57,($C$50:$CH$50&gt;=C$68)*($C$50:$CH$50&lt;=C$69))),0)</f>
        <v>11.504135338345865</v>
      </c>
      <c r="D77" s="192" cm="1">
        <f t="array" ref="D77">IFERROR(AVERAGE(_xlfn._xlws.FILTER($C57:$CH57,($C$50:$CH$50&gt;=D$68)*($C$50:$CH$50&lt;=D$69))),0)</f>
        <v>20.220572263993315</v>
      </c>
      <c r="E77" s="192" cm="1">
        <f t="array" ref="E77">IFERROR(AVERAGE(_xlfn._xlws.FILTER($C57:$CH57,($C$50:$CH$50&gt;=E$68)*($C$50:$CH$50&lt;=E$69))),0)</f>
        <v>19.826532999164574</v>
      </c>
      <c r="F77" s="192" cm="1">
        <f t="array" ref="F77">IFERROR(AVERAGE(_xlfn._xlws.FILTER($C57:$CH57,($C$50:$CH$50&gt;=F$68)*($C$50:$CH$50&lt;=F$69))),0)</f>
        <v>4.3233333333333333</v>
      </c>
      <c r="G77" s="192" cm="1">
        <f t="array" ref="G77">IFERROR(AVERAGE(_xlfn._xlws.FILTER($C57:$CH57,($C$50:$CH$50&gt;=G$68)*($C$50:$CH$50&lt;=G$69))),0)</f>
        <v>0</v>
      </c>
      <c r="H77" s="192" cm="1">
        <f t="array" ref="H77">IFERROR(AVERAGE(_xlfn._xlws.FILTER($C57:$CH57,($C$50:$CH$50&gt;=H$68)*($C$50:$CH$50&lt;=H$69))),0)</f>
        <v>0</v>
      </c>
      <c r="I77" s="192" cm="1">
        <f t="array" ref="I77">IFERROR(AVERAGE(_xlfn._xlws.FILTER($C57:$CH57,($C$50:$CH$50&gt;=I$68)*($C$50:$CH$50&lt;=I$69))),0)</f>
        <v>0</v>
      </c>
      <c r="J77" s="192">
        <f t="shared" si="25"/>
        <v>13.009965538847119</v>
      </c>
      <c r="K77" s="192">
        <f t="shared" si="26"/>
        <v>17.17565365025467</v>
      </c>
      <c r="L77" s="53"/>
      <c r="M77" s="192" cm="1">
        <f t="array" ref="M77">IFERROR(AVERAGE(_xlfn._xlws.FILTER($C57:$CH57,($C$50:$CH$50&gt;=M$68)*($C$50:$CH$50&lt;=M$69))),0)</f>
        <v>8.2894736842105274</v>
      </c>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0"/>
    </row>
    <row r="78" spans="1:93" x14ac:dyDescent="0.3">
      <c r="B78" s="191" t="str">
        <f t="shared" si="24"/>
        <v>Project Delivery Management - Project Controls</v>
      </c>
      <c r="C78" s="192" cm="1">
        <f t="array" ref="C78">IFERROR(AVERAGE(_xlfn._xlws.FILTER($C58:$CH58,($C$50:$CH$50&gt;=C$68)*($C$50:$CH$50&lt;=C$69))),0)</f>
        <v>11.815162907268171</v>
      </c>
      <c r="D78" s="192" cm="1">
        <f t="array" ref="D78">IFERROR(AVERAGE(_xlfn._xlws.FILTER($C58:$CH58,($C$50:$CH$50&gt;=D$68)*($C$50:$CH$50&lt;=D$69))),0)</f>
        <v>12.134085213032579</v>
      </c>
      <c r="E78" s="192" cm="1">
        <f t="array" ref="E78">IFERROR(AVERAGE(_xlfn._xlws.FILTER($C58:$CH58,($C$50:$CH$50&gt;=E$68)*($C$50:$CH$50&lt;=E$69))),0)</f>
        <v>12.081453634085213</v>
      </c>
      <c r="F78" s="192" cm="1">
        <f t="array" ref="F78">IFERROR(AVERAGE(_xlfn._xlws.FILTER($C58:$CH58,($C$50:$CH$50&gt;=F$68)*($C$50:$CH$50&lt;=F$69))),0)</f>
        <v>4.2440476190476186</v>
      </c>
      <c r="G78" s="192" cm="1">
        <f t="array" ref="G78">IFERROR(AVERAGE(_xlfn._xlws.FILTER($C58:$CH58,($C$50:$CH$50&gt;=G$68)*($C$50:$CH$50&lt;=G$69))),0)</f>
        <v>0</v>
      </c>
      <c r="H78" s="192" cm="1">
        <f t="array" ref="H78">IFERROR(AVERAGE(_xlfn._xlws.FILTER($C58:$CH58,($C$50:$CH$50&gt;=H$68)*($C$50:$CH$50&lt;=H$69))),0)</f>
        <v>0</v>
      </c>
      <c r="I78" s="192" cm="1">
        <f t="array" ref="I78">IFERROR(AVERAGE(_xlfn._xlws.FILTER($C58:$CH58,($C$50:$CH$50&gt;=I$68)*($C$50:$CH$50&lt;=I$69))),0)</f>
        <v>0</v>
      </c>
      <c r="J78" s="192">
        <f t="shared" si="25"/>
        <v>9.1988721804511311</v>
      </c>
      <c r="K78" s="192">
        <f t="shared" si="26"/>
        <v>11.016614115934999</v>
      </c>
      <c r="L78" s="53"/>
      <c r="M78" s="192" cm="1">
        <f t="array" ref="M78">IFERROR(AVERAGE(_xlfn._xlws.FILTER($C58:$CH58,($C$50:$CH$50&gt;=M$68)*($C$50:$CH$50&lt;=M$69))),0)</f>
        <v>11.747117794486215</v>
      </c>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0"/>
    </row>
    <row r="79" spans="1:93" x14ac:dyDescent="0.3">
      <c r="B79" s="191" t="str">
        <f t="shared" si="24"/>
        <v>Project Delivery Management - Project Engineering</v>
      </c>
      <c r="C79" s="192" cm="1">
        <f t="array" ref="C79">IFERROR(AVERAGE(_xlfn._xlws.FILTER($C59:$CH59,($C$50:$CH$50&gt;=C$68)*($C$50:$CH$50&lt;=C$69))),0)</f>
        <v>1.4802631578947367</v>
      </c>
      <c r="D79" s="192" cm="1">
        <f t="array" ref="D79">IFERROR(AVERAGE(_xlfn._xlws.FILTER($C59:$CH59,($C$50:$CH$50&gt;=D$68)*($C$50:$CH$50&lt;=D$69))),0)</f>
        <v>1</v>
      </c>
      <c r="E79" s="192" cm="1">
        <f t="array" ref="E79">IFERROR(AVERAGE(_xlfn._xlws.FILTER($C59:$CH59,($C$50:$CH$50&gt;=E$68)*($C$50:$CH$50&lt;=E$69))),0)</f>
        <v>1</v>
      </c>
      <c r="F79" s="192" cm="1">
        <f t="array" ref="F79">IFERROR(AVERAGE(_xlfn._xlws.FILTER($C59:$CH59,($C$50:$CH$50&gt;=F$68)*($C$50:$CH$50&lt;=F$69))),0)</f>
        <v>0.41666666666666669</v>
      </c>
      <c r="G79" s="192" cm="1">
        <f t="array" ref="G79">IFERROR(AVERAGE(_xlfn._xlws.FILTER($C59:$CH59,($C$50:$CH$50&gt;=G$68)*($C$50:$CH$50&lt;=G$69))),0)</f>
        <v>0</v>
      </c>
      <c r="H79" s="192" cm="1">
        <f t="array" ref="H79">IFERROR(AVERAGE(_xlfn._xlws.FILTER($C59:$CH59,($C$50:$CH$50&gt;=H$68)*($C$50:$CH$50&lt;=H$69))),0)</f>
        <v>0</v>
      </c>
      <c r="I79" s="192" cm="1">
        <f t="array" ref="I79">IFERROR(AVERAGE(_xlfn._xlws.FILTER($C59:$CH59,($C$50:$CH$50&gt;=I$68)*($C$50:$CH$50&lt;=I$69))),0)</f>
        <v>0</v>
      </c>
      <c r="J79" s="192">
        <f t="shared" si="25"/>
        <v>0.95226608187134509</v>
      </c>
      <c r="K79" s="192">
        <f t="shared" si="26"/>
        <v>0.93548387096774188</v>
      </c>
      <c r="L79" s="53"/>
      <c r="M79" s="192" cm="1">
        <f t="array" ref="M79">IFERROR(AVERAGE(_xlfn._xlws.FILTER($C59:$CH59,($C$50:$CH$50&gt;=M$68)*($C$50:$CH$50&lt;=M$69))),0)</f>
        <v>1.7684210526315787</v>
      </c>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0"/>
    </row>
    <row r="80" spans="1:93" x14ac:dyDescent="0.3">
      <c r="B80" s="191" t="str">
        <f t="shared" si="24"/>
        <v>Project Delivery Management - Project Management</v>
      </c>
      <c r="C80" s="192" cm="1">
        <f t="array" ref="C80">IFERROR(AVERAGE(_xlfn._xlws.FILTER($C60:$CH60,($C$50:$CH$50&gt;=C$68)*($C$50:$CH$50&lt;=C$69))),0)</f>
        <v>20.649122807017545</v>
      </c>
      <c r="D80" s="192" cm="1">
        <f t="array" ref="D80">IFERROR(AVERAGE(_xlfn._xlws.FILTER($C60:$CH60,($C$50:$CH$50&gt;=D$68)*($C$50:$CH$50&lt;=D$69))),0)</f>
        <v>21.993421052631579</v>
      </c>
      <c r="E80" s="192" cm="1">
        <f t="array" ref="E80">IFERROR(AVERAGE(_xlfn._xlws.FILTER($C60:$CH60,($C$50:$CH$50&gt;=E$68)*($C$50:$CH$50&lt;=E$69))),0)</f>
        <v>21.967105263157894</v>
      </c>
      <c r="F80" s="192" cm="1">
        <f t="array" ref="F80">IFERROR(AVERAGE(_xlfn._xlws.FILTER($C60:$CH60,($C$50:$CH$50&gt;=F$68)*($C$50:$CH$50&lt;=F$69))),0)</f>
        <v>9.3178571428571431</v>
      </c>
      <c r="G80" s="192" cm="1">
        <f t="array" ref="G80">IFERROR(AVERAGE(_xlfn._xlws.FILTER($C60:$CH60,($C$50:$CH$50&gt;=G$68)*($C$50:$CH$50&lt;=G$69))),0)</f>
        <v>0</v>
      </c>
      <c r="H80" s="192" cm="1">
        <f t="array" ref="H80">IFERROR(AVERAGE(_xlfn._xlws.FILTER($C60:$CH60,($C$50:$CH$50&gt;=H$68)*($C$50:$CH$50&lt;=H$69))),0)</f>
        <v>0</v>
      </c>
      <c r="I80" s="192" cm="1">
        <f t="array" ref="I80">IFERROR(AVERAGE(_xlfn._xlws.FILTER($C60:$CH60,($C$50:$CH$50&gt;=I$68)*($C$50:$CH$50&lt;=I$69))),0)</f>
        <v>0</v>
      </c>
      <c r="J80" s="192">
        <f t="shared" si="25"/>
        <v>17.632114609440272</v>
      </c>
      <c r="K80" s="192">
        <f t="shared" si="26"/>
        <v>20.623890371089015</v>
      </c>
      <c r="L80" s="53"/>
      <c r="M80" s="192" cm="1">
        <f t="array" ref="M80">IFERROR(AVERAGE(_xlfn._xlws.FILTER($C60:$CH60,($C$50:$CH$50&gt;=M$68)*($C$50:$CH$50&lt;=M$69))),0)</f>
        <v>19.838596491228071</v>
      </c>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0"/>
    </row>
    <row r="81" spans="1:90" x14ac:dyDescent="0.3">
      <c r="B81" s="191" t="str">
        <f t="shared" si="24"/>
        <v>Project Development</v>
      </c>
      <c r="C81" s="192" cm="1">
        <f t="array" ref="C81">IFERROR(AVERAGE(_xlfn._xlws.FILTER($C61:$CH61,($C$50:$CH$50&gt;=C$68)*($C$50:$CH$50&lt;=C$69))),0)</f>
        <v>13.090656328320803</v>
      </c>
      <c r="D81" s="192" cm="1">
        <f t="array" ref="D81">IFERROR(AVERAGE(_xlfn._xlws.FILTER($C61:$CH61,($C$50:$CH$50&gt;=D$68)*($C$50:$CH$50&lt;=D$69))),0)</f>
        <v>4.3243421052631579</v>
      </c>
      <c r="E81" s="192" cm="1">
        <f t="array" ref="E81">IFERROR(AVERAGE(_xlfn._xlws.FILTER($C61:$CH61,($C$50:$CH$50&gt;=E$68)*($C$50:$CH$50&lt;=E$69))),0)</f>
        <v>0.75043859649122791</v>
      </c>
      <c r="F81" s="192" cm="1">
        <f t="array" ref="F81">IFERROR(AVERAGE(_xlfn._xlws.FILTER($C61:$CH61,($C$50:$CH$50&gt;=F$68)*($C$50:$CH$50&lt;=F$69))),0)</f>
        <v>0.28333333333333333</v>
      </c>
      <c r="G81" s="192" cm="1">
        <f t="array" ref="G81">IFERROR(AVERAGE(_xlfn._xlws.FILTER($C61:$CH61,($C$50:$CH$50&gt;=G$68)*($C$50:$CH$50&lt;=G$69))),0)</f>
        <v>0</v>
      </c>
      <c r="H81" s="192" cm="1">
        <f t="array" ref="H81">IFERROR(AVERAGE(_xlfn._xlws.FILTER($C61:$CH61,($C$50:$CH$50&gt;=H$68)*($C$50:$CH$50&lt;=H$69))),0)</f>
        <v>0</v>
      </c>
      <c r="I81" s="192" cm="1">
        <f t="array" ref="I81">IFERROR(AVERAGE(_xlfn._xlws.FILTER($C61:$CH61,($C$50:$CH$50&gt;=I$68)*($C$50:$CH$50&lt;=I$69))),0)</f>
        <v>0</v>
      </c>
      <c r="J81" s="192">
        <f t="shared" si="25"/>
        <v>3.7365080148287397</v>
      </c>
      <c r="K81" s="192">
        <f t="shared" si="26"/>
        <v>2.0741086587436333</v>
      </c>
      <c r="L81" s="53"/>
      <c r="M81" s="192" cm="1">
        <f t="array" ref="M81">IFERROR(AVERAGE(_xlfn._xlws.FILTER($C61:$CH61,($C$50:$CH$50&gt;=M$68)*($C$50:$CH$50&lt;=M$69))),0)</f>
        <v>12.485050125313284</v>
      </c>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0"/>
    </row>
    <row r="82" spans="1:90" x14ac:dyDescent="0.3">
      <c r="B82" s="191" t="str">
        <f t="shared" si="24"/>
        <v>Regulatory Approvals</v>
      </c>
      <c r="C82" s="192" cm="1">
        <f t="array" ref="C82">IFERROR(AVERAGE(_xlfn._xlws.FILTER($C62:$CH62,($C$50:$CH$50&gt;=C$68)*($C$50:$CH$50&lt;=C$69))),0)</f>
        <v>0.95065789473684204</v>
      </c>
      <c r="D82" s="192" cm="1">
        <f t="array" ref="D82">IFERROR(AVERAGE(_xlfn._xlws.FILTER($C62:$CH62,($C$50:$CH$50&gt;=D$68)*($C$50:$CH$50&lt;=D$69))),0)</f>
        <v>8.3333333333333329E-2</v>
      </c>
      <c r="E82" s="192" cm="1">
        <f t="array" ref="E82">IFERROR(AVERAGE(_xlfn._xlws.FILTER($C62:$CH62,($C$50:$CH$50&gt;=E$68)*($C$50:$CH$50&lt;=E$69))),0)</f>
        <v>0</v>
      </c>
      <c r="F82" s="192" cm="1">
        <f t="array" ref="F82">IFERROR(AVERAGE(_xlfn._xlws.FILTER($C62:$CH62,($C$50:$CH$50&gt;=F$68)*($C$50:$CH$50&lt;=F$69))),0)</f>
        <v>0</v>
      </c>
      <c r="G82" s="192" cm="1">
        <f t="array" ref="G82">IFERROR(AVERAGE(_xlfn._xlws.FILTER($C62:$CH62,($C$50:$CH$50&gt;=G$68)*($C$50:$CH$50&lt;=G$69))),0)</f>
        <v>0</v>
      </c>
      <c r="H82" s="192" cm="1">
        <f t="array" ref="H82">IFERROR(AVERAGE(_xlfn._xlws.FILTER($C62:$CH62,($C$50:$CH$50&gt;=H$68)*($C$50:$CH$50&lt;=H$69))),0)</f>
        <v>0</v>
      </c>
      <c r="I82" s="192" cm="1">
        <f t="array" ref="I82">IFERROR(AVERAGE(_xlfn._xlws.FILTER($C62:$CH62,($C$50:$CH$50&gt;=I$68)*($C$50:$CH$50&lt;=I$69))),0)</f>
        <v>0</v>
      </c>
      <c r="J82" s="192">
        <f t="shared" si="25"/>
        <v>0.35506213450292395</v>
      </c>
      <c r="K82" s="192">
        <f t="shared" si="26"/>
        <v>3.2258064516129031E-2</v>
      </c>
      <c r="L82" s="53"/>
      <c r="M82" s="192" cm="1">
        <f t="array" ref="M82">IFERROR(AVERAGE(_xlfn._xlws.FILTER($C62:$CH62,($C$50:$CH$50&gt;=M$68)*($C$50:$CH$50&lt;=M$69))),0)</f>
        <v>1.2210526315789472</v>
      </c>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0"/>
    </row>
    <row r="83" spans="1:90" x14ac:dyDescent="0.3">
      <c r="B83" s="191" t="str">
        <f t="shared" si="24"/>
        <v>Transaction Procurement Support</v>
      </c>
      <c r="C83" s="192" cm="1">
        <f t="array" ref="C83">IFERROR(AVERAGE(_xlfn._xlws.FILTER($C63:$CH63,($C$50:$CH$50&gt;=C$68)*($C$50:$CH$50&lt;=C$69))),0)</f>
        <v>0.52346491228070169</v>
      </c>
      <c r="D83" s="192" cm="1">
        <f t="array" ref="D83">IFERROR(AVERAGE(_xlfn._xlws.FILTER($C63:$CH63,($C$50:$CH$50&gt;=D$68)*($C$50:$CH$50&lt;=D$69))),0)</f>
        <v>0.53508771929824561</v>
      </c>
      <c r="E83" s="192" cm="1">
        <f t="array" ref="E83">IFERROR(AVERAGE(_xlfn._xlws.FILTER($C63:$CH63,($C$50:$CH$50&gt;=E$68)*($C$50:$CH$50&lt;=E$69))),0)</f>
        <v>0.49342105263157893</v>
      </c>
      <c r="F83" s="192" cm="1">
        <f t="array" ref="F83">IFERROR(AVERAGE(_xlfn._xlws.FILTER($C63:$CH63,($C$50:$CH$50&gt;=F$68)*($C$50:$CH$50&lt;=F$69))),0)</f>
        <v>0</v>
      </c>
      <c r="G83" s="192" cm="1">
        <f t="array" ref="G83">IFERROR(AVERAGE(_xlfn._xlws.FILTER($C63:$CH63,($C$50:$CH$50&gt;=G$68)*($C$50:$CH$50&lt;=G$69))),0)</f>
        <v>0</v>
      </c>
      <c r="H83" s="192" cm="1">
        <f t="array" ref="H83">IFERROR(AVERAGE(_xlfn._xlws.FILTER($C63:$CH63,($C$50:$CH$50&gt;=H$68)*($C$50:$CH$50&lt;=H$69))),0)</f>
        <v>0</v>
      </c>
      <c r="I83" s="192" cm="1">
        <f t="array" ref="I83">IFERROR(AVERAGE(_xlfn._xlws.FILTER($C63:$CH63,($C$50:$CH$50&gt;=I$68)*($C$50:$CH$50&lt;=I$69))),0)</f>
        <v>0</v>
      </c>
      <c r="J83" s="192">
        <f t="shared" si="25"/>
        <v>0.42006578947368417</v>
      </c>
      <c r="K83" s="192">
        <f t="shared" si="26"/>
        <v>0.39813242784380304</v>
      </c>
      <c r="L83" s="53"/>
      <c r="M83" s="192" cm="1">
        <f t="array" ref="M83">IFERROR(AVERAGE(_xlfn._xlws.FILTER($C63:$CH63,($C$50:$CH$50&gt;=M$68)*($C$50:$CH$50&lt;=M$69))),0)</f>
        <v>0.53754385964912266</v>
      </c>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0"/>
    </row>
    <row r="84" spans="1:90" x14ac:dyDescent="0.3">
      <c r="B84" s="195" t="s">
        <v>132</v>
      </c>
      <c r="C84" s="196">
        <f t="shared" ref="C84" si="27">SUM(C71:C83)</f>
        <v>89.439062970083128</v>
      </c>
      <c r="D84" s="196">
        <f>SUM(D71:D83)</f>
        <v>107.90213756762819</v>
      </c>
      <c r="E84" s="196">
        <f>SUM(E71:E83)</f>
        <v>102.06446137120747</v>
      </c>
      <c r="F84" s="196">
        <f>SUM(F71:F83)</f>
        <v>31.364074815990278</v>
      </c>
      <c r="G84" s="196">
        <f t="shared" ref="G84:I84" si="28">SUM(G71:G83)</f>
        <v>0</v>
      </c>
      <c r="H84" s="196">
        <f t="shared" si="28"/>
        <v>0</v>
      </c>
      <c r="I84" s="196">
        <f t="shared" si="28"/>
        <v>0</v>
      </c>
      <c r="J84" s="196">
        <f>SUM(J71:J83)</f>
        <v>77.267531873361136</v>
      </c>
      <c r="K84" s="196">
        <f t="shared" ref="K84" si="29">SUM(K71:K83)</f>
        <v>93.418325324448787</v>
      </c>
      <c r="L84" s="53"/>
      <c r="M84" s="196">
        <f t="shared" ref="M84" si="30">SUM(M71:M83)</f>
        <v>80.07129590368011</v>
      </c>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0"/>
    </row>
    <row r="85" spans="1:90" x14ac:dyDescent="0.3">
      <c r="B85" s="62"/>
      <c r="C85" s="52"/>
      <c r="D85" s="52"/>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0"/>
    </row>
    <row r="86" spans="1:90" s="188" customFormat="1" ht="18" x14ac:dyDescent="0.35">
      <c r="A86"/>
      <c r="B86" s="118" t="s">
        <v>171</v>
      </c>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row>
    <row r="88" spans="1:90" ht="38.25" x14ac:dyDescent="0.3">
      <c r="B88" s="136" t="s">
        <v>131</v>
      </c>
      <c r="C88" s="189">
        <f t="shared" ref="C88:AH88" si="31">C50</f>
        <v>45658</v>
      </c>
      <c r="D88" s="189">
        <f t="shared" si="31"/>
        <v>45689</v>
      </c>
      <c r="E88" s="189">
        <f t="shared" si="31"/>
        <v>45717</v>
      </c>
      <c r="F88" s="189">
        <f t="shared" si="31"/>
        <v>45748</v>
      </c>
      <c r="G88" s="189">
        <f t="shared" si="31"/>
        <v>45778</v>
      </c>
      <c r="H88" s="189">
        <f t="shared" si="31"/>
        <v>45809</v>
      </c>
      <c r="I88" s="189">
        <f t="shared" si="31"/>
        <v>45839</v>
      </c>
      <c r="J88" s="189">
        <f t="shared" si="31"/>
        <v>45870</v>
      </c>
      <c r="K88" s="189">
        <f t="shared" si="31"/>
        <v>45901</v>
      </c>
      <c r="L88" s="189">
        <f t="shared" si="31"/>
        <v>45931</v>
      </c>
      <c r="M88" s="189">
        <f t="shared" si="31"/>
        <v>45962</v>
      </c>
      <c r="N88" s="189">
        <f t="shared" si="31"/>
        <v>45992</v>
      </c>
      <c r="O88" s="189">
        <f t="shared" si="31"/>
        <v>46023</v>
      </c>
      <c r="P88" s="189">
        <f t="shared" si="31"/>
        <v>46054</v>
      </c>
      <c r="Q88" s="189">
        <f t="shared" si="31"/>
        <v>46082</v>
      </c>
      <c r="R88" s="189">
        <f t="shared" si="31"/>
        <v>46113</v>
      </c>
      <c r="S88" s="189">
        <f t="shared" si="31"/>
        <v>46143</v>
      </c>
      <c r="T88" s="189">
        <f t="shared" si="31"/>
        <v>46174</v>
      </c>
      <c r="U88" s="189">
        <f t="shared" si="31"/>
        <v>46204</v>
      </c>
      <c r="V88" s="189">
        <f t="shared" si="31"/>
        <v>46235</v>
      </c>
      <c r="W88" s="189">
        <f t="shared" si="31"/>
        <v>46266</v>
      </c>
      <c r="X88" s="189">
        <f t="shared" si="31"/>
        <v>46296</v>
      </c>
      <c r="Y88" s="189">
        <f t="shared" si="31"/>
        <v>46327</v>
      </c>
      <c r="Z88" s="189">
        <f t="shared" si="31"/>
        <v>46357</v>
      </c>
      <c r="AA88" s="189">
        <f t="shared" si="31"/>
        <v>46388</v>
      </c>
      <c r="AB88" s="189">
        <f t="shared" si="31"/>
        <v>46419</v>
      </c>
      <c r="AC88" s="189">
        <f t="shared" si="31"/>
        <v>46447</v>
      </c>
      <c r="AD88" s="189">
        <f t="shared" si="31"/>
        <v>46478</v>
      </c>
      <c r="AE88" s="189">
        <f t="shared" si="31"/>
        <v>46508</v>
      </c>
      <c r="AF88" s="189">
        <f t="shared" si="31"/>
        <v>46539</v>
      </c>
      <c r="AG88" s="189">
        <f t="shared" si="31"/>
        <v>46569</v>
      </c>
      <c r="AH88" s="189">
        <f t="shared" si="31"/>
        <v>46600</v>
      </c>
      <c r="AI88" s="189">
        <f t="shared" ref="AI88:BN88" si="32">AI50</f>
        <v>46631</v>
      </c>
      <c r="AJ88" s="189">
        <f t="shared" si="32"/>
        <v>46661</v>
      </c>
      <c r="AK88" s="189">
        <f t="shared" si="32"/>
        <v>46692</v>
      </c>
      <c r="AL88" s="189">
        <f t="shared" si="32"/>
        <v>46722</v>
      </c>
      <c r="AM88" s="189">
        <f t="shared" si="32"/>
        <v>46753</v>
      </c>
      <c r="AN88" s="189">
        <f t="shared" si="32"/>
        <v>46784</v>
      </c>
      <c r="AO88" s="189">
        <f t="shared" si="32"/>
        <v>46813</v>
      </c>
      <c r="AP88" s="189">
        <f t="shared" si="32"/>
        <v>46844</v>
      </c>
      <c r="AQ88" s="189">
        <f t="shared" si="32"/>
        <v>46874</v>
      </c>
      <c r="AR88" s="189">
        <f t="shared" si="32"/>
        <v>46905</v>
      </c>
      <c r="AS88" s="189">
        <f t="shared" si="32"/>
        <v>46935</v>
      </c>
      <c r="AT88" s="189">
        <f t="shared" si="32"/>
        <v>46966</v>
      </c>
      <c r="AU88" s="189">
        <f t="shared" si="32"/>
        <v>46997</v>
      </c>
      <c r="AV88" s="189">
        <f t="shared" si="32"/>
        <v>47027</v>
      </c>
      <c r="AW88" s="189">
        <f t="shared" si="32"/>
        <v>47058</v>
      </c>
      <c r="AX88" s="189">
        <f t="shared" si="32"/>
        <v>47088</v>
      </c>
      <c r="AY88" s="189">
        <f t="shared" si="32"/>
        <v>47119</v>
      </c>
      <c r="AZ88" s="189">
        <f t="shared" si="32"/>
        <v>47150</v>
      </c>
      <c r="BA88" s="189">
        <f t="shared" si="32"/>
        <v>47178</v>
      </c>
      <c r="BB88" s="189">
        <f t="shared" si="32"/>
        <v>47209</v>
      </c>
      <c r="BC88" s="189">
        <f t="shared" si="32"/>
        <v>47239</v>
      </c>
      <c r="BD88" s="189">
        <f t="shared" si="32"/>
        <v>47270</v>
      </c>
      <c r="BE88" s="189">
        <f t="shared" si="32"/>
        <v>47300</v>
      </c>
      <c r="BF88" s="189">
        <f t="shared" si="32"/>
        <v>47331</v>
      </c>
      <c r="BG88" s="189">
        <f t="shared" si="32"/>
        <v>47362</v>
      </c>
      <c r="BH88" s="189">
        <f t="shared" si="32"/>
        <v>47392</v>
      </c>
      <c r="BI88" s="189">
        <f t="shared" si="32"/>
        <v>47423</v>
      </c>
      <c r="BJ88" s="189">
        <f t="shared" si="32"/>
        <v>47453</v>
      </c>
      <c r="BK88" s="189">
        <f t="shared" si="32"/>
        <v>47514</v>
      </c>
      <c r="BL88" s="189">
        <f t="shared" si="32"/>
        <v>47542</v>
      </c>
      <c r="BM88" s="189">
        <f t="shared" si="32"/>
        <v>47573</v>
      </c>
      <c r="BN88" s="189">
        <f t="shared" si="32"/>
        <v>47603</v>
      </c>
      <c r="BO88" s="189">
        <f t="shared" ref="BO88:CJ88" si="33">BO50</f>
        <v>47634</v>
      </c>
      <c r="BP88" s="189">
        <f t="shared" si="33"/>
        <v>47664</v>
      </c>
      <c r="BQ88" s="189">
        <f t="shared" si="33"/>
        <v>47695</v>
      </c>
      <c r="BR88" s="189">
        <f t="shared" si="33"/>
        <v>47726</v>
      </c>
      <c r="BS88" s="189">
        <f t="shared" si="33"/>
        <v>47756</v>
      </c>
      <c r="BT88" s="189">
        <f t="shared" si="33"/>
        <v>47787</v>
      </c>
      <c r="BU88" s="189">
        <f t="shared" si="33"/>
        <v>47817</v>
      </c>
      <c r="BV88" s="189">
        <f t="shared" si="33"/>
        <v>47848</v>
      </c>
      <c r="BW88" s="189">
        <f t="shared" si="33"/>
        <v>47879</v>
      </c>
      <c r="BX88" s="189">
        <f t="shared" si="33"/>
        <v>47907</v>
      </c>
      <c r="BY88" s="189">
        <f t="shared" si="33"/>
        <v>47938</v>
      </c>
      <c r="BZ88" s="189">
        <f t="shared" si="33"/>
        <v>47968</v>
      </c>
      <c r="CA88" s="189">
        <f t="shared" si="33"/>
        <v>47999</v>
      </c>
      <c r="CB88" s="189">
        <f t="shared" si="33"/>
        <v>48029</v>
      </c>
      <c r="CC88" s="189">
        <f t="shared" si="33"/>
        <v>48060</v>
      </c>
      <c r="CD88" s="189">
        <f t="shared" si="33"/>
        <v>48091</v>
      </c>
      <c r="CE88" s="189">
        <f t="shared" si="33"/>
        <v>48121</v>
      </c>
      <c r="CF88" s="189">
        <f t="shared" si="33"/>
        <v>48152</v>
      </c>
      <c r="CG88" s="189">
        <f t="shared" si="33"/>
        <v>48182</v>
      </c>
      <c r="CH88" s="189">
        <f t="shared" si="33"/>
        <v>48213</v>
      </c>
      <c r="CI88" s="150" t="str">
        <f t="shared" si="33"/>
        <v>Total</v>
      </c>
      <c r="CJ88" s="150" t="str">
        <f t="shared" si="33"/>
        <v>Av forecast FTE per month</v>
      </c>
      <c r="CK88" s="51"/>
    </row>
    <row r="89" spans="1:90" x14ac:dyDescent="0.3">
      <c r="B89" s="191" t="str">
        <f>$B11</f>
        <v>Community and Stakeholder Engagement</v>
      </c>
      <c r="C89" s="192">
        <f>SUMIFS(Internal_labour_inputs!K$8:K$295,Internal_labour_inputs!$B$8:$B$295,$B51,Internal_labour_inputs!$F$8:$F$295,"New")</f>
        <v>0</v>
      </c>
      <c r="D89" s="192">
        <f>SUMIFS(Internal_labour_inputs!L$8:L$295,Internal_labour_inputs!$B$8:$B$295,$B51,Internal_labour_inputs!$F$8:$F$295,"New")</f>
        <v>0</v>
      </c>
      <c r="E89" s="192">
        <f>SUMIFS(Internal_labour_inputs!M$8:M$295,Internal_labour_inputs!$B$8:$B$295,$B51,Internal_labour_inputs!$F$8:$F$295,"New")</f>
        <v>0</v>
      </c>
      <c r="F89" s="192">
        <f>SUMIFS(Internal_labour_inputs!N$8:N$295,Internal_labour_inputs!$B$8:$B$295,$B51,Internal_labour_inputs!$F$8:$F$295,"New")</f>
        <v>0</v>
      </c>
      <c r="G89" s="192">
        <f>SUMIFS(Internal_labour_inputs!O$8:O$295,Internal_labour_inputs!$B$8:$B$295,$B51,Internal_labour_inputs!$F$8:$F$295,"New")</f>
        <v>0</v>
      </c>
      <c r="H89" s="192">
        <f>SUMIFS(Internal_labour_inputs!P$8:P$295,Internal_labour_inputs!$B$8:$B$295,$B51,Internal_labour_inputs!$F$8:$F$295,"New")</f>
        <v>0</v>
      </c>
      <c r="I89" s="192">
        <f>SUMIFS(Internal_labour_inputs!Q$8:Q$295,Internal_labour_inputs!$B$8:$B$295,$B51,Internal_labour_inputs!$F$8:$F$295,"New")</f>
        <v>0</v>
      </c>
      <c r="J89" s="192">
        <f>SUMIFS(Internal_labour_inputs!R$8:R$295,Internal_labour_inputs!$B$8:$B$295,$B51,Internal_labour_inputs!$F$8:$F$295,"New")</f>
        <v>0</v>
      </c>
      <c r="K89" s="192">
        <f>SUMIFS(Internal_labour_inputs!S$8:S$295,Internal_labour_inputs!$B$8:$B$295,$B51,Internal_labour_inputs!$F$8:$F$295,"New")</f>
        <v>0</v>
      </c>
      <c r="L89" s="192">
        <f>SUMIFS(Internal_labour_inputs!T$8:T$295,Internal_labour_inputs!$B$8:$B$295,$B51,Internal_labour_inputs!$F$8:$F$295,"New")</f>
        <v>0</v>
      </c>
      <c r="M89" s="192">
        <f>SUMIFS(Internal_labour_inputs!U$8:U$295,Internal_labour_inputs!$B$8:$B$295,$B51,Internal_labour_inputs!$F$8:$F$295,"New")</f>
        <v>0</v>
      </c>
      <c r="N89" s="192">
        <f>SUMIFS(Internal_labour_inputs!V$8:V$295,Internal_labour_inputs!$B$8:$B$295,$B51,Internal_labour_inputs!$F$8:$F$295,"New")</f>
        <v>0</v>
      </c>
      <c r="O89" s="192">
        <f>SUMIFS(Internal_labour_inputs!W$8:W$295,Internal_labour_inputs!$B$8:$B$295,$B51,Internal_labour_inputs!$F$8:$F$295,"New")</f>
        <v>0</v>
      </c>
      <c r="P89" s="192">
        <f>SUMIFS(Internal_labour_inputs!X$8:X$295,Internal_labour_inputs!$B$8:$B$295,$B51,Internal_labour_inputs!$F$8:$F$295,"New")</f>
        <v>0</v>
      </c>
      <c r="Q89" s="192">
        <f>SUMIFS(Internal_labour_inputs!Y$8:Y$295,Internal_labour_inputs!$B$8:$B$295,$B51,Internal_labour_inputs!$F$8:$F$295,"New")</f>
        <v>0</v>
      </c>
      <c r="R89" s="192">
        <f>SUMIFS(Internal_labour_inputs!Z$8:Z$295,Internal_labour_inputs!$B$8:$B$295,$B51,Internal_labour_inputs!$F$8:$F$295,"New")</f>
        <v>0</v>
      </c>
      <c r="S89" s="192">
        <f>SUMIFS(Internal_labour_inputs!AA$8:AA$295,Internal_labour_inputs!$B$8:$B$295,$B51,Internal_labour_inputs!$F$8:$F$295,"New")</f>
        <v>0</v>
      </c>
      <c r="T89" s="192">
        <f>SUMIFS(Internal_labour_inputs!AB$8:AB$295,Internal_labour_inputs!$B$8:$B$295,$B51,Internal_labour_inputs!$F$8:$F$295,"New")</f>
        <v>0</v>
      </c>
      <c r="U89" s="192">
        <f>SUMIFS(Internal_labour_inputs!AC$8:AC$295,Internal_labour_inputs!$B$8:$B$295,$B51,Internal_labour_inputs!$F$8:$F$295,"New")</f>
        <v>0</v>
      </c>
      <c r="V89" s="192">
        <f>SUMIFS(Internal_labour_inputs!AD$8:AD$295,Internal_labour_inputs!$B$8:$B$295,$B51,Internal_labour_inputs!$F$8:$F$295,"New")</f>
        <v>0</v>
      </c>
      <c r="W89" s="192">
        <f>SUMIFS(Internal_labour_inputs!AE$8:AE$295,Internal_labour_inputs!$B$8:$B$295,$B51,Internal_labour_inputs!$F$8:$F$295,"New")</f>
        <v>0</v>
      </c>
      <c r="X89" s="192">
        <f>SUMIFS(Internal_labour_inputs!AF$8:AF$295,Internal_labour_inputs!$B$8:$B$295,$B51,Internal_labour_inputs!$F$8:$F$295,"New")</f>
        <v>0</v>
      </c>
      <c r="Y89" s="192">
        <f>SUMIFS(Internal_labour_inputs!AG$8:AG$295,Internal_labour_inputs!$B$8:$B$295,$B51,Internal_labour_inputs!$F$8:$F$295,"New")</f>
        <v>0</v>
      </c>
      <c r="Z89" s="192">
        <f>SUMIFS(Internal_labour_inputs!AH$8:AH$295,Internal_labour_inputs!$B$8:$B$295,$B51,Internal_labour_inputs!$F$8:$F$295,"New")</f>
        <v>0</v>
      </c>
      <c r="AA89" s="192">
        <f>SUMIFS(Internal_labour_inputs!AI$8:AI$295,Internal_labour_inputs!$B$8:$B$295,$B51,Internal_labour_inputs!$F$8:$F$295,"New")</f>
        <v>0</v>
      </c>
      <c r="AB89" s="192">
        <f>SUMIFS(Internal_labour_inputs!AJ$8:AJ$295,Internal_labour_inputs!$B$8:$B$295,$B51,Internal_labour_inputs!$F$8:$F$295,"New")</f>
        <v>0</v>
      </c>
      <c r="AC89" s="192">
        <f>SUMIFS(Internal_labour_inputs!AK$8:AK$295,Internal_labour_inputs!$B$8:$B$295,$B51,Internal_labour_inputs!$F$8:$F$295,"New")</f>
        <v>0</v>
      </c>
      <c r="AD89" s="192">
        <f>SUMIFS(Internal_labour_inputs!AL$8:AL$295,Internal_labour_inputs!$B$8:$B$295,$B51,Internal_labour_inputs!$F$8:$F$295,"New")</f>
        <v>0</v>
      </c>
      <c r="AE89" s="192">
        <f>SUMIFS(Internal_labour_inputs!AM$8:AM$295,Internal_labour_inputs!$B$8:$B$295,$B51,Internal_labour_inputs!$F$8:$F$295,"New")</f>
        <v>0</v>
      </c>
      <c r="AF89" s="192">
        <f>SUMIFS(Internal_labour_inputs!AN$8:AN$295,Internal_labour_inputs!$B$8:$B$295,$B51,Internal_labour_inputs!$F$8:$F$295,"New")</f>
        <v>0</v>
      </c>
      <c r="AG89" s="192">
        <f>SUMIFS(Internal_labour_inputs!AO$8:AO$295,Internal_labour_inputs!$B$8:$B$295,$B51,Internal_labour_inputs!$F$8:$F$295,"New")</f>
        <v>0</v>
      </c>
      <c r="AH89" s="192">
        <f>SUMIFS(Internal_labour_inputs!AP$8:AP$295,Internal_labour_inputs!$B$8:$B$295,$B51,Internal_labour_inputs!$F$8:$F$295,"New")</f>
        <v>0</v>
      </c>
      <c r="AI89" s="192">
        <f>SUMIFS(Internal_labour_inputs!AQ$8:AQ$295,Internal_labour_inputs!$B$8:$B$295,$B51,Internal_labour_inputs!$F$8:$F$295,"New")</f>
        <v>0</v>
      </c>
      <c r="AJ89" s="192">
        <f>SUMIFS(Internal_labour_inputs!AR$8:AR$295,Internal_labour_inputs!$B$8:$B$295,$B51,Internal_labour_inputs!$F$8:$F$295,"New")</f>
        <v>0</v>
      </c>
      <c r="AK89" s="192">
        <f>SUMIFS(Internal_labour_inputs!AS$8:AS$295,Internal_labour_inputs!$B$8:$B$295,$B51,Internal_labour_inputs!$F$8:$F$295,"New")</f>
        <v>0</v>
      </c>
      <c r="AL89" s="192">
        <f>SUMIFS(Internal_labour_inputs!AT$8:AT$295,Internal_labour_inputs!$B$8:$B$295,$B51,Internal_labour_inputs!$F$8:$F$295,"New")</f>
        <v>0</v>
      </c>
      <c r="AM89" s="192">
        <f>SUMIFS(Internal_labour_inputs!AU$8:AU$295,Internal_labour_inputs!$B$8:$B$295,$B51,Internal_labour_inputs!$F$8:$F$295,"New")</f>
        <v>0</v>
      </c>
      <c r="AN89" s="192">
        <f>SUMIFS(Internal_labour_inputs!AV$8:AV$295,Internal_labour_inputs!$B$8:$B$295,$B51,Internal_labour_inputs!$F$8:$F$295,"New")</f>
        <v>0</v>
      </c>
      <c r="AO89" s="192">
        <f>SUMIFS(Internal_labour_inputs!AW$8:AW$295,Internal_labour_inputs!$B$8:$B$295,$B51,Internal_labour_inputs!$F$8:$F$295,"New")</f>
        <v>0</v>
      </c>
      <c r="AP89" s="192">
        <f>SUMIFS(Internal_labour_inputs!AX$8:AX$295,Internal_labour_inputs!$B$8:$B$295,$B51,Internal_labour_inputs!$F$8:$F$295,"New")</f>
        <v>0</v>
      </c>
      <c r="AQ89" s="192">
        <f>SUMIFS(Internal_labour_inputs!AY$8:AY$295,Internal_labour_inputs!$B$8:$B$295,$B51,Internal_labour_inputs!$F$8:$F$295,"New")</f>
        <v>0</v>
      </c>
      <c r="AR89" s="192">
        <f>SUMIFS(Internal_labour_inputs!AZ$8:AZ$295,Internal_labour_inputs!$B$8:$B$295,$B51,Internal_labour_inputs!$F$8:$F$295,"New")</f>
        <v>0</v>
      </c>
      <c r="AS89" s="192">
        <f>SUMIFS(Internal_labour_inputs!BA$8:BA$295,Internal_labour_inputs!$B$8:$B$295,$B51,Internal_labour_inputs!$F$8:$F$295,"New")</f>
        <v>0</v>
      </c>
      <c r="AT89" s="192">
        <f>SUMIFS(Internal_labour_inputs!BB$8:BB$295,Internal_labour_inputs!$B$8:$B$295,$B51,Internal_labour_inputs!$F$8:$F$295,"New")</f>
        <v>0</v>
      </c>
      <c r="AU89" s="192">
        <f>SUMIFS(Internal_labour_inputs!BC$8:BC$295,Internal_labour_inputs!$B$8:$B$295,$B51,Internal_labour_inputs!$F$8:$F$295,"New")</f>
        <v>0</v>
      </c>
      <c r="AV89" s="192">
        <f>SUMIFS(Internal_labour_inputs!BD$8:BD$295,Internal_labour_inputs!$B$8:$B$295,$B51,Internal_labour_inputs!$F$8:$F$295,"New")</f>
        <v>0</v>
      </c>
      <c r="AW89" s="192">
        <f>SUMIFS(Internal_labour_inputs!BE$8:BE$295,Internal_labour_inputs!$B$8:$B$295,$B51,Internal_labour_inputs!$F$8:$F$295,"New")</f>
        <v>0</v>
      </c>
      <c r="AX89" s="192">
        <f>SUMIFS(Internal_labour_inputs!BF$8:BF$295,Internal_labour_inputs!$B$8:$B$295,$B51,Internal_labour_inputs!$F$8:$F$295,"New")</f>
        <v>0</v>
      </c>
      <c r="AY89" s="192">
        <f>SUMIFS(Internal_labour_inputs!BG$8:BG$295,Internal_labour_inputs!$B$8:$B$295,$B51,Internal_labour_inputs!$F$8:$F$295,"New")</f>
        <v>0</v>
      </c>
      <c r="AZ89" s="192">
        <f>SUMIFS(Internal_labour_inputs!BH$8:BH$295,Internal_labour_inputs!$B$8:$B$295,$B51,Internal_labour_inputs!$F$8:$F$295,"New")</f>
        <v>0</v>
      </c>
      <c r="BA89" s="192">
        <f>SUMIFS(Internal_labour_inputs!BI$8:BI$295,Internal_labour_inputs!$B$8:$B$295,$B51,Internal_labour_inputs!$F$8:$F$295,"New")</f>
        <v>0</v>
      </c>
      <c r="BB89" s="192">
        <f>SUMIFS(Internal_labour_inputs!BJ$8:BJ$295,Internal_labour_inputs!$B$8:$B$295,$B51,Internal_labour_inputs!$F$8:$F$295,"New")</f>
        <v>0</v>
      </c>
      <c r="BC89" s="192">
        <f>SUMIFS(Internal_labour_inputs!BK$8:BK$295,Internal_labour_inputs!$B$8:$B$295,$B51,Internal_labour_inputs!$F$8:$F$295,"New")</f>
        <v>0</v>
      </c>
      <c r="BD89" s="192">
        <f>SUMIFS(Internal_labour_inputs!BL$8:BL$295,Internal_labour_inputs!$B$8:$B$295,$B51,Internal_labour_inputs!$F$8:$F$295,"New")</f>
        <v>0</v>
      </c>
      <c r="BE89" s="192">
        <f>SUMIFS(Internal_labour_inputs!BM$8:BM$295,Internal_labour_inputs!$B$8:$B$295,$B51,Internal_labour_inputs!$F$8:$F$295,"New")</f>
        <v>0</v>
      </c>
      <c r="BF89" s="192">
        <f>SUMIFS(Internal_labour_inputs!BN$8:BN$295,Internal_labour_inputs!$B$8:$B$295,$B51,Internal_labour_inputs!$F$8:$F$295,"New")</f>
        <v>0</v>
      </c>
      <c r="BG89" s="192">
        <f>SUMIFS(Internal_labour_inputs!BO$8:BO$295,Internal_labour_inputs!$B$8:$B$295,$B51,Internal_labour_inputs!$F$8:$F$295,"New")</f>
        <v>0</v>
      </c>
      <c r="BH89" s="192">
        <f>SUMIFS(Internal_labour_inputs!BP$8:BP$295,Internal_labour_inputs!$B$8:$B$295,$B51,Internal_labour_inputs!$F$8:$F$295,"New")</f>
        <v>0</v>
      </c>
      <c r="BI89" s="192">
        <f>SUMIFS(Internal_labour_inputs!BQ$8:BQ$295,Internal_labour_inputs!$B$8:$B$295,$B51,Internal_labour_inputs!$F$8:$F$295,"New")</f>
        <v>0</v>
      </c>
      <c r="BJ89" s="192">
        <f>SUMIFS(Internal_labour_inputs!BR$8:BR$295,Internal_labour_inputs!$B$8:$B$295,$B51,Internal_labour_inputs!$F$8:$F$295,"New")</f>
        <v>0</v>
      </c>
      <c r="BK89" s="192">
        <f>SUMIFS(Internal_labour_inputs!BS$8:BS$295,Internal_labour_inputs!$B$8:$B$295,$B51,Internal_labour_inputs!$F$8:$F$295,"New")</f>
        <v>0</v>
      </c>
      <c r="BL89" s="192">
        <f>SUMIFS(Internal_labour_inputs!BT$8:BT$295,Internal_labour_inputs!$B$8:$B$295,$B51,Internal_labour_inputs!$F$8:$F$295,"New")</f>
        <v>0</v>
      </c>
      <c r="BM89" s="192">
        <f>SUMIFS(Internal_labour_inputs!BU$8:BU$295,Internal_labour_inputs!$B$8:$B$295,$B51,Internal_labour_inputs!$F$8:$F$295,"New")</f>
        <v>0</v>
      </c>
      <c r="BN89" s="192">
        <f>SUMIFS(Internal_labour_inputs!BV$8:BV$295,Internal_labour_inputs!$B$8:$B$295,$B51,Internal_labour_inputs!$F$8:$F$295,"New")</f>
        <v>0</v>
      </c>
      <c r="BO89" s="192">
        <f>SUMIFS(Internal_labour_inputs!BW$8:BW$295,Internal_labour_inputs!$B$8:$B$295,$B51,Internal_labour_inputs!$F$8:$F$295,"New")</f>
        <v>0</v>
      </c>
      <c r="BP89" s="192">
        <f>SUMIFS(Internal_labour_inputs!BX$8:BX$295,Internal_labour_inputs!$B$8:$B$295,$B51,Internal_labour_inputs!$F$8:$F$295,"New")</f>
        <v>0</v>
      </c>
      <c r="BQ89" s="192">
        <f>SUMIFS(Internal_labour_inputs!BY$8:BY$295,Internal_labour_inputs!$B$8:$B$295,$B51,Internal_labour_inputs!$F$8:$F$295,"New")</f>
        <v>0</v>
      </c>
      <c r="BR89" s="192">
        <f>SUMIFS(Internal_labour_inputs!BZ$8:BZ$295,Internal_labour_inputs!$B$8:$B$295,$B51,Internal_labour_inputs!$F$8:$F$295,"New")</f>
        <v>0</v>
      </c>
      <c r="BS89" s="192">
        <f>SUMIFS(Internal_labour_inputs!CA$8:CA$295,Internal_labour_inputs!$B$8:$B$295,$B51,Internal_labour_inputs!$F$8:$F$295,"New")</f>
        <v>0</v>
      </c>
      <c r="BT89" s="192">
        <f>SUMIFS(Internal_labour_inputs!CB$8:CB$295,Internal_labour_inputs!$B$8:$B$295,$B51,Internal_labour_inputs!$F$8:$F$295,"New")</f>
        <v>0</v>
      </c>
      <c r="BU89" s="192">
        <f>SUMIFS(Internal_labour_inputs!CC$8:CC$295,Internal_labour_inputs!$B$8:$B$295,$B51,Internal_labour_inputs!$F$8:$F$295,"New")</f>
        <v>0</v>
      </c>
      <c r="BV89" s="192">
        <f>SUMIFS(Internal_labour_inputs!CD$8:CD$295,Internal_labour_inputs!$B$8:$B$295,$B51,Internal_labour_inputs!$F$8:$F$295,"New")</f>
        <v>0</v>
      </c>
      <c r="BW89" s="192">
        <f>SUMIFS(Internal_labour_inputs!CE$8:CE$295,Internal_labour_inputs!$B$8:$B$295,$B51,Internal_labour_inputs!$F$8:$F$295,"New")</f>
        <v>0</v>
      </c>
      <c r="BX89" s="192">
        <f>SUMIFS(Internal_labour_inputs!CF$8:CF$295,Internal_labour_inputs!$B$8:$B$295,$B51,Internal_labour_inputs!$F$8:$F$295,"New")</f>
        <v>0</v>
      </c>
      <c r="BY89" s="192">
        <f>SUMIFS(Internal_labour_inputs!CG$8:CG$295,Internal_labour_inputs!$B$8:$B$295,$B51,Internal_labour_inputs!$F$8:$F$295,"New")</f>
        <v>0</v>
      </c>
      <c r="BZ89" s="192">
        <f>SUMIFS(Internal_labour_inputs!CH$8:CH$295,Internal_labour_inputs!$B$8:$B$295,$B51,Internal_labour_inputs!$F$8:$F$295,"New")</f>
        <v>0</v>
      </c>
      <c r="CA89" s="192">
        <f>SUMIFS(Internal_labour_inputs!CI$8:CI$295,Internal_labour_inputs!$B$8:$B$295,$B51,Internal_labour_inputs!$F$8:$F$295,"New")</f>
        <v>0</v>
      </c>
      <c r="CB89" s="192">
        <f>SUMIFS(Internal_labour_inputs!CJ$8:CJ$295,Internal_labour_inputs!$B$8:$B$295,$B51,Internal_labour_inputs!$F$8:$F$295,"New")</f>
        <v>0</v>
      </c>
      <c r="CC89" s="192">
        <f>SUMIFS(Internal_labour_inputs!CK$8:CK$295,Internal_labour_inputs!$B$8:$B$295,$B51,Internal_labour_inputs!$F$8:$F$295,"New")</f>
        <v>0</v>
      </c>
      <c r="CD89" s="192">
        <f>SUMIFS(Internal_labour_inputs!CL$8:CL$295,Internal_labour_inputs!$B$8:$B$295,$B51,Internal_labour_inputs!$F$8:$F$295,"New")</f>
        <v>0</v>
      </c>
      <c r="CE89" s="192">
        <f>SUMIFS(Internal_labour_inputs!CM$8:CM$295,Internal_labour_inputs!$B$8:$B$295,$B51,Internal_labour_inputs!$F$8:$F$295,"New")</f>
        <v>0</v>
      </c>
      <c r="CF89" s="192">
        <f>SUMIFS(Internal_labour_inputs!CN$8:CN$295,Internal_labour_inputs!$B$8:$B$295,$B51,Internal_labour_inputs!$F$8:$F$295,"New")</f>
        <v>0</v>
      </c>
      <c r="CG89" s="192">
        <f>SUMIFS(Internal_labour_inputs!CO$8:CO$295,Internal_labour_inputs!$B$8:$B$295,$B51,Internal_labour_inputs!$F$8:$F$295,"New")</f>
        <v>0</v>
      </c>
      <c r="CH89" s="192">
        <f>SUMIFS(Internal_labour_inputs!CP$8:CP$295,Internal_labour_inputs!$B$8:$B$295,$B51,Internal_labour_inputs!$F$8:$F$295,"New")</f>
        <v>0</v>
      </c>
      <c r="CI89" s="192">
        <f t="shared" ref="CI89:CI102" si="34">SUM(C89:CH89)</f>
        <v>0</v>
      </c>
      <c r="CJ89" s="192">
        <f>AVERAGEIF($C$102:$CH$102,"&gt;0",C89:CH89)</f>
        <v>0</v>
      </c>
      <c r="CK89" s="193"/>
      <c r="CL89" s="194"/>
    </row>
    <row r="90" spans="1:90" x14ac:dyDescent="0.3">
      <c r="B90" s="191" t="str">
        <f t="shared" ref="B90:B101" si="35">$B12</f>
        <v>Fleet</v>
      </c>
      <c r="C90" s="192">
        <f>SUMIFS(Internal_labour_inputs!K$8:K$295,Internal_labour_inputs!$B$8:$B$295,$B52,Internal_labour_inputs!$F$8:$F$295,"New")</f>
        <v>0</v>
      </c>
      <c r="D90" s="192">
        <f>SUMIFS(Internal_labour_inputs!L$8:L$295,Internal_labour_inputs!$B$8:$B$295,$B52,Internal_labour_inputs!$F$8:$F$295,"New")</f>
        <v>0</v>
      </c>
      <c r="E90" s="192">
        <f>SUMIFS(Internal_labour_inputs!M$8:M$295,Internal_labour_inputs!$B$8:$B$295,$B52,Internal_labour_inputs!$F$8:$F$295,"New")</f>
        <v>0</v>
      </c>
      <c r="F90" s="192">
        <f>SUMIFS(Internal_labour_inputs!N$8:N$295,Internal_labour_inputs!$B$8:$B$295,$B52,Internal_labour_inputs!$F$8:$F$295,"New")</f>
        <v>0</v>
      </c>
      <c r="G90" s="192">
        <f>SUMIFS(Internal_labour_inputs!O$8:O$295,Internal_labour_inputs!$B$8:$B$295,$B52,Internal_labour_inputs!$F$8:$F$295,"New")</f>
        <v>0</v>
      </c>
      <c r="H90" s="192">
        <f>SUMIFS(Internal_labour_inputs!P$8:P$295,Internal_labour_inputs!$B$8:$B$295,$B52,Internal_labour_inputs!$F$8:$F$295,"New")</f>
        <v>0</v>
      </c>
      <c r="I90" s="192">
        <f>SUMIFS(Internal_labour_inputs!Q$8:Q$295,Internal_labour_inputs!$B$8:$B$295,$B52,Internal_labour_inputs!$F$8:$F$295,"New")</f>
        <v>0</v>
      </c>
      <c r="J90" s="192">
        <f>SUMIFS(Internal_labour_inputs!R$8:R$295,Internal_labour_inputs!$B$8:$B$295,$B52,Internal_labour_inputs!$F$8:$F$295,"New")</f>
        <v>0</v>
      </c>
      <c r="K90" s="192">
        <f>SUMIFS(Internal_labour_inputs!S$8:S$295,Internal_labour_inputs!$B$8:$B$295,$B52,Internal_labour_inputs!$F$8:$F$295,"New")</f>
        <v>0</v>
      </c>
      <c r="L90" s="192">
        <f>SUMIFS(Internal_labour_inputs!T$8:T$295,Internal_labour_inputs!$B$8:$B$295,$B52,Internal_labour_inputs!$F$8:$F$295,"New")</f>
        <v>0</v>
      </c>
      <c r="M90" s="192">
        <f>SUMIFS(Internal_labour_inputs!U$8:U$295,Internal_labour_inputs!$B$8:$B$295,$B52,Internal_labour_inputs!$F$8:$F$295,"New")</f>
        <v>0</v>
      </c>
      <c r="N90" s="192">
        <f>SUMIFS(Internal_labour_inputs!V$8:V$295,Internal_labour_inputs!$B$8:$B$295,$B52,Internal_labour_inputs!$F$8:$F$295,"New")</f>
        <v>0</v>
      </c>
      <c r="O90" s="192">
        <f>SUMIFS(Internal_labour_inputs!W$8:W$295,Internal_labour_inputs!$B$8:$B$295,$B52,Internal_labour_inputs!$F$8:$F$295,"New")</f>
        <v>0</v>
      </c>
      <c r="P90" s="192">
        <f>SUMIFS(Internal_labour_inputs!X$8:X$295,Internal_labour_inputs!$B$8:$B$295,$B52,Internal_labour_inputs!$F$8:$F$295,"New")</f>
        <v>0</v>
      </c>
      <c r="Q90" s="192">
        <f>SUMIFS(Internal_labour_inputs!Y$8:Y$295,Internal_labour_inputs!$B$8:$B$295,$B52,Internal_labour_inputs!$F$8:$F$295,"New")</f>
        <v>0</v>
      </c>
      <c r="R90" s="192">
        <f>SUMIFS(Internal_labour_inputs!Z$8:Z$295,Internal_labour_inputs!$B$8:$B$295,$B52,Internal_labour_inputs!$F$8:$F$295,"New")</f>
        <v>0</v>
      </c>
      <c r="S90" s="192">
        <f>SUMIFS(Internal_labour_inputs!AA$8:AA$295,Internal_labour_inputs!$B$8:$B$295,$B52,Internal_labour_inputs!$F$8:$F$295,"New")</f>
        <v>0</v>
      </c>
      <c r="T90" s="192">
        <f>SUMIFS(Internal_labour_inputs!AB$8:AB$295,Internal_labour_inputs!$B$8:$B$295,$B52,Internal_labour_inputs!$F$8:$F$295,"New")</f>
        <v>0</v>
      </c>
      <c r="U90" s="192">
        <f>SUMIFS(Internal_labour_inputs!AC$8:AC$295,Internal_labour_inputs!$B$8:$B$295,$B52,Internal_labour_inputs!$F$8:$F$295,"New")</f>
        <v>0</v>
      </c>
      <c r="V90" s="192">
        <f>SUMIFS(Internal_labour_inputs!AD$8:AD$295,Internal_labour_inputs!$B$8:$B$295,$B52,Internal_labour_inputs!$F$8:$F$295,"New")</f>
        <v>0</v>
      </c>
      <c r="W90" s="192">
        <f>SUMIFS(Internal_labour_inputs!AE$8:AE$295,Internal_labour_inputs!$B$8:$B$295,$B52,Internal_labour_inputs!$F$8:$F$295,"New")</f>
        <v>0</v>
      </c>
      <c r="X90" s="192">
        <f>SUMIFS(Internal_labour_inputs!AF$8:AF$295,Internal_labour_inputs!$B$8:$B$295,$B52,Internal_labour_inputs!$F$8:$F$295,"New")</f>
        <v>0</v>
      </c>
      <c r="Y90" s="192">
        <f>SUMIFS(Internal_labour_inputs!AG$8:AG$295,Internal_labour_inputs!$B$8:$B$295,$B52,Internal_labour_inputs!$F$8:$F$295,"New")</f>
        <v>0</v>
      </c>
      <c r="Z90" s="192">
        <f>SUMIFS(Internal_labour_inputs!AH$8:AH$295,Internal_labour_inputs!$B$8:$B$295,$B52,Internal_labour_inputs!$F$8:$F$295,"New")</f>
        <v>0</v>
      </c>
      <c r="AA90" s="192">
        <f>SUMIFS(Internal_labour_inputs!AI$8:AI$295,Internal_labour_inputs!$B$8:$B$295,$B52,Internal_labour_inputs!$F$8:$F$295,"New")</f>
        <v>0</v>
      </c>
      <c r="AB90" s="192">
        <f>SUMIFS(Internal_labour_inputs!AJ$8:AJ$295,Internal_labour_inputs!$B$8:$B$295,$B52,Internal_labour_inputs!$F$8:$F$295,"New")</f>
        <v>0</v>
      </c>
      <c r="AC90" s="192">
        <f>SUMIFS(Internal_labour_inputs!AK$8:AK$295,Internal_labour_inputs!$B$8:$B$295,$B52,Internal_labour_inputs!$F$8:$F$295,"New")</f>
        <v>0</v>
      </c>
      <c r="AD90" s="192">
        <f>SUMIFS(Internal_labour_inputs!AL$8:AL$295,Internal_labour_inputs!$B$8:$B$295,$B52,Internal_labour_inputs!$F$8:$F$295,"New")</f>
        <v>0</v>
      </c>
      <c r="AE90" s="192">
        <f>SUMIFS(Internal_labour_inputs!AM$8:AM$295,Internal_labour_inputs!$B$8:$B$295,$B52,Internal_labour_inputs!$F$8:$F$295,"New")</f>
        <v>0</v>
      </c>
      <c r="AF90" s="192">
        <f>SUMIFS(Internal_labour_inputs!AN$8:AN$295,Internal_labour_inputs!$B$8:$B$295,$B52,Internal_labour_inputs!$F$8:$F$295,"New")</f>
        <v>0</v>
      </c>
      <c r="AG90" s="192">
        <f>SUMIFS(Internal_labour_inputs!AO$8:AO$295,Internal_labour_inputs!$B$8:$B$295,$B52,Internal_labour_inputs!$F$8:$F$295,"New")</f>
        <v>0</v>
      </c>
      <c r="AH90" s="192">
        <f>SUMIFS(Internal_labour_inputs!AP$8:AP$295,Internal_labour_inputs!$B$8:$B$295,$B52,Internal_labour_inputs!$F$8:$F$295,"New")</f>
        <v>0</v>
      </c>
      <c r="AI90" s="192">
        <f>SUMIFS(Internal_labour_inputs!AQ$8:AQ$295,Internal_labour_inputs!$B$8:$B$295,$B52,Internal_labour_inputs!$F$8:$F$295,"New")</f>
        <v>0</v>
      </c>
      <c r="AJ90" s="192">
        <f>SUMIFS(Internal_labour_inputs!AR$8:AR$295,Internal_labour_inputs!$B$8:$B$295,$B52,Internal_labour_inputs!$F$8:$F$295,"New")</f>
        <v>0</v>
      </c>
      <c r="AK90" s="192">
        <f>SUMIFS(Internal_labour_inputs!AS$8:AS$295,Internal_labour_inputs!$B$8:$B$295,$B52,Internal_labour_inputs!$F$8:$F$295,"New")</f>
        <v>0</v>
      </c>
      <c r="AL90" s="192">
        <f>SUMIFS(Internal_labour_inputs!AT$8:AT$295,Internal_labour_inputs!$B$8:$B$295,$B52,Internal_labour_inputs!$F$8:$F$295,"New")</f>
        <v>0</v>
      </c>
      <c r="AM90" s="192">
        <f>SUMIFS(Internal_labour_inputs!AU$8:AU$295,Internal_labour_inputs!$B$8:$B$295,$B52,Internal_labour_inputs!$F$8:$F$295,"New")</f>
        <v>0</v>
      </c>
      <c r="AN90" s="192">
        <f>SUMIFS(Internal_labour_inputs!AV$8:AV$295,Internal_labour_inputs!$B$8:$B$295,$B52,Internal_labour_inputs!$F$8:$F$295,"New")</f>
        <v>0</v>
      </c>
      <c r="AO90" s="192">
        <f>SUMIFS(Internal_labour_inputs!AW$8:AW$295,Internal_labour_inputs!$B$8:$B$295,$B52,Internal_labour_inputs!$F$8:$F$295,"New")</f>
        <v>0</v>
      </c>
      <c r="AP90" s="192">
        <f>SUMIFS(Internal_labour_inputs!AX$8:AX$295,Internal_labour_inputs!$B$8:$B$295,$B52,Internal_labour_inputs!$F$8:$F$295,"New")</f>
        <v>0</v>
      </c>
      <c r="AQ90" s="192">
        <f>SUMIFS(Internal_labour_inputs!AY$8:AY$295,Internal_labour_inputs!$B$8:$B$295,$B52,Internal_labour_inputs!$F$8:$F$295,"New")</f>
        <v>0</v>
      </c>
      <c r="AR90" s="192">
        <f>SUMIFS(Internal_labour_inputs!AZ$8:AZ$295,Internal_labour_inputs!$B$8:$B$295,$B52,Internal_labour_inputs!$F$8:$F$295,"New")</f>
        <v>0</v>
      </c>
      <c r="AS90" s="192">
        <f>SUMIFS(Internal_labour_inputs!BA$8:BA$295,Internal_labour_inputs!$B$8:$B$295,$B52,Internal_labour_inputs!$F$8:$F$295,"New")</f>
        <v>0</v>
      </c>
      <c r="AT90" s="192">
        <f>SUMIFS(Internal_labour_inputs!BB$8:BB$295,Internal_labour_inputs!$B$8:$B$295,$B52,Internal_labour_inputs!$F$8:$F$295,"New")</f>
        <v>0</v>
      </c>
      <c r="AU90" s="192">
        <f>SUMIFS(Internal_labour_inputs!BC$8:BC$295,Internal_labour_inputs!$B$8:$B$295,$B52,Internal_labour_inputs!$F$8:$F$295,"New")</f>
        <v>0</v>
      </c>
      <c r="AV90" s="192">
        <f>SUMIFS(Internal_labour_inputs!BD$8:BD$295,Internal_labour_inputs!$B$8:$B$295,$B52,Internal_labour_inputs!$F$8:$F$295,"New")</f>
        <v>0</v>
      </c>
      <c r="AW90" s="192">
        <f>SUMIFS(Internal_labour_inputs!BE$8:BE$295,Internal_labour_inputs!$B$8:$B$295,$B52,Internal_labour_inputs!$F$8:$F$295,"New")</f>
        <v>0</v>
      </c>
      <c r="AX90" s="192">
        <f>SUMIFS(Internal_labour_inputs!BF$8:BF$295,Internal_labour_inputs!$B$8:$B$295,$B52,Internal_labour_inputs!$F$8:$F$295,"New")</f>
        <v>0</v>
      </c>
      <c r="AY90" s="192">
        <f>SUMIFS(Internal_labour_inputs!BG$8:BG$295,Internal_labour_inputs!$B$8:$B$295,$B52,Internal_labour_inputs!$F$8:$F$295,"New")</f>
        <v>0</v>
      </c>
      <c r="AZ90" s="192">
        <f>SUMIFS(Internal_labour_inputs!BH$8:BH$295,Internal_labour_inputs!$B$8:$B$295,$B52,Internal_labour_inputs!$F$8:$F$295,"New")</f>
        <v>0</v>
      </c>
      <c r="BA90" s="192">
        <f>SUMIFS(Internal_labour_inputs!BI$8:BI$295,Internal_labour_inputs!$B$8:$B$295,$B52,Internal_labour_inputs!$F$8:$F$295,"New")</f>
        <v>0</v>
      </c>
      <c r="BB90" s="192">
        <f>SUMIFS(Internal_labour_inputs!BJ$8:BJ$295,Internal_labour_inputs!$B$8:$B$295,$B52,Internal_labour_inputs!$F$8:$F$295,"New")</f>
        <v>0</v>
      </c>
      <c r="BC90" s="192">
        <f>SUMIFS(Internal_labour_inputs!BK$8:BK$295,Internal_labour_inputs!$B$8:$B$295,$B52,Internal_labour_inputs!$F$8:$F$295,"New")</f>
        <v>0</v>
      </c>
      <c r="BD90" s="192">
        <f>SUMIFS(Internal_labour_inputs!BL$8:BL$295,Internal_labour_inputs!$B$8:$B$295,$B52,Internal_labour_inputs!$F$8:$F$295,"New")</f>
        <v>0</v>
      </c>
      <c r="BE90" s="192">
        <f>SUMIFS(Internal_labour_inputs!BM$8:BM$295,Internal_labour_inputs!$B$8:$B$295,$B52,Internal_labour_inputs!$F$8:$F$295,"New")</f>
        <v>0</v>
      </c>
      <c r="BF90" s="192">
        <f>SUMIFS(Internal_labour_inputs!BN$8:BN$295,Internal_labour_inputs!$B$8:$B$295,$B52,Internal_labour_inputs!$F$8:$F$295,"New")</f>
        <v>0</v>
      </c>
      <c r="BG90" s="192">
        <f>SUMIFS(Internal_labour_inputs!BO$8:BO$295,Internal_labour_inputs!$B$8:$B$295,$B52,Internal_labour_inputs!$F$8:$F$295,"New")</f>
        <v>0</v>
      </c>
      <c r="BH90" s="192">
        <f>SUMIFS(Internal_labour_inputs!BP$8:BP$295,Internal_labour_inputs!$B$8:$B$295,$B52,Internal_labour_inputs!$F$8:$F$295,"New")</f>
        <v>0</v>
      </c>
      <c r="BI90" s="192">
        <f>SUMIFS(Internal_labour_inputs!BQ$8:BQ$295,Internal_labour_inputs!$B$8:$B$295,$B52,Internal_labour_inputs!$F$8:$F$295,"New")</f>
        <v>0</v>
      </c>
      <c r="BJ90" s="192">
        <f>SUMIFS(Internal_labour_inputs!BR$8:BR$295,Internal_labour_inputs!$B$8:$B$295,$B52,Internal_labour_inputs!$F$8:$F$295,"New")</f>
        <v>0</v>
      </c>
      <c r="BK90" s="192">
        <f>SUMIFS(Internal_labour_inputs!BS$8:BS$295,Internal_labour_inputs!$B$8:$B$295,$B52,Internal_labour_inputs!$F$8:$F$295,"New")</f>
        <v>0</v>
      </c>
      <c r="BL90" s="192">
        <f>SUMIFS(Internal_labour_inputs!BT$8:BT$295,Internal_labour_inputs!$B$8:$B$295,$B52,Internal_labour_inputs!$F$8:$F$295,"New")</f>
        <v>0</v>
      </c>
      <c r="BM90" s="192">
        <f>SUMIFS(Internal_labour_inputs!BU$8:BU$295,Internal_labour_inputs!$B$8:$B$295,$B52,Internal_labour_inputs!$F$8:$F$295,"New")</f>
        <v>0</v>
      </c>
      <c r="BN90" s="192">
        <f>SUMIFS(Internal_labour_inputs!BV$8:BV$295,Internal_labour_inputs!$B$8:$B$295,$B52,Internal_labour_inputs!$F$8:$F$295,"New")</f>
        <v>0</v>
      </c>
      <c r="BO90" s="192">
        <f>SUMIFS(Internal_labour_inputs!BW$8:BW$295,Internal_labour_inputs!$B$8:$B$295,$B52,Internal_labour_inputs!$F$8:$F$295,"New")</f>
        <v>0</v>
      </c>
      <c r="BP90" s="192">
        <f>SUMIFS(Internal_labour_inputs!BX$8:BX$295,Internal_labour_inputs!$B$8:$B$295,$B52,Internal_labour_inputs!$F$8:$F$295,"New")</f>
        <v>0</v>
      </c>
      <c r="BQ90" s="192">
        <f>SUMIFS(Internal_labour_inputs!BY$8:BY$295,Internal_labour_inputs!$B$8:$B$295,$B52,Internal_labour_inputs!$F$8:$F$295,"New")</f>
        <v>0</v>
      </c>
      <c r="BR90" s="192">
        <f>SUMIFS(Internal_labour_inputs!BZ$8:BZ$295,Internal_labour_inputs!$B$8:$B$295,$B52,Internal_labour_inputs!$F$8:$F$295,"New")</f>
        <v>0</v>
      </c>
      <c r="BS90" s="192">
        <f>SUMIFS(Internal_labour_inputs!CA$8:CA$295,Internal_labour_inputs!$B$8:$B$295,$B52,Internal_labour_inputs!$F$8:$F$295,"New")</f>
        <v>0</v>
      </c>
      <c r="BT90" s="192">
        <f>SUMIFS(Internal_labour_inputs!CB$8:CB$295,Internal_labour_inputs!$B$8:$B$295,$B52,Internal_labour_inputs!$F$8:$F$295,"New")</f>
        <v>0</v>
      </c>
      <c r="BU90" s="192">
        <f>SUMIFS(Internal_labour_inputs!CC$8:CC$295,Internal_labour_inputs!$B$8:$B$295,$B52,Internal_labour_inputs!$F$8:$F$295,"New")</f>
        <v>0</v>
      </c>
      <c r="BV90" s="192">
        <f>SUMIFS(Internal_labour_inputs!CD$8:CD$295,Internal_labour_inputs!$B$8:$B$295,$B52,Internal_labour_inputs!$F$8:$F$295,"New")</f>
        <v>0</v>
      </c>
      <c r="BW90" s="192">
        <f>SUMIFS(Internal_labour_inputs!CE$8:CE$295,Internal_labour_inputs!$B$8:$B$295,$B52,Internal_labour_inputs!$F$8:$F$295,"New")</f>
        <v>0</v>
      </c>
      <c r="BX90" s="192">
        <f>SUMIFS(Internal_labour_inputs!CF$8:CF$295,Internal_labour_inputs!$B$8:$B$295,$B52,Internal_labour_inputs!$F$8:$F$295,"New")</f>
        <v>0</v>
      </c>
      <c r="BY90" s="192">
        <f>SUMIFS(Internal_labour_inputs!CG$8:CG$295,Internal_labour_inputs!$B$8:$B$295,$B52,Internal_labour_inputs!$F$8:$F$295,"New")</f>
        <v>0</v>
      </c>
      <c r="BZ90" s="192">
        <f>SUMIFS(Internal_labour_inputs!CH$8:CH$295,Internal_labour_inputs!$B$8:$B$295,$B52,Internal_labour_inputs!$F$8:$F$295,"New")</f>
        <v>0</v>
      </c>
      <c r="CA90" s="192">
        <f>SUMIFS(Internal_labour_inputs!CI$8:CI$295,Internal_labour_inputs!$B$8:$B$295,$B52,Internal_labour_inputs!$F$8:$F$295,"New")</f>
        <v>0</v>
      </c>
      <c r="CB90" s="192">
        <f>SUMIFS(Internal_labour_inputs!CJ$8:CJ$295,Internal_labour_inputs!$B$8:$B$295,$B52,Internal_labour_inputs!$F$8:$F$295,"New")</f>
        <v>0</v>
      </c>
      <c r="CC90" s="192">
        <f>SUMIFS(Internal_labour_inputs!CK$8:CK$295,Internal_labour_inputs!$B$8:$B$295,$B52,Internal_labour_inputs!$F$8:$F$295,"New")</f>
        <v>0</v>
      </c>
      <c r="CD90" s="192">
        <f>SUMIFS(Internal_labour_inputs!CL$8:CL$295,Internal_labour_inputs!$B$8:$B$295,$B52,Internal_labour_inputs!$F$8:$F$295,"New")</f>
        <v>0</v>
      </c>
      <c r="CE90" s="192">
        <f>SUMIFS(Internal_labour_inputs!CM$8:CM$295,Internal_labour_inputs!$B$8:$B$295,$B52,Internal_labour_inputs!$F$8:$F$295,"New")</f>
        <v>0</v>
      </c>
      <c r="CF90" s="192">
        <f>SUMIFS(Internal_labour_inputs!CN$8:CN$295,Internal_labour_inputs!$B$8:$B$295,$B52,Internal_labour_inputs!$F$8:$F$295,"New")</f>
        <v>0</v>
      </c>
      <c r="CG90" s="192">
        <f>SUMIFS(Internal_labour_inputs!CO$8:CO$295,Internal_labour_inputs!$B$8:$B$295,$B52,Internal_labour_inputs!$F$8:$F$295,"New")</f>
        <v>0</v>
      </c>
      <c r="CH90" s="192">
        <f>SUMIFS(Internal_labour_inputs!CP$8:CP$295,Internal_labour_inputs!$B$8:$B$295,$B52,Internal_labour_inputs!$F$8:$F$295,"New")</f>
        <v>0</v>
      </c>
      <c r="CI90" s="192">
        <f t="shared" ref="CI90:CI101" si="36">SUM(C90:CH90)</f>
        <v>0</v>
      </c>
      <c r="CJ90" s="192">
        <f t="shared" ref="CJ90:CJ101" si="37">AVERAGEIF($C$102:$CH$102,"&gt;0",C90:CH90)</f>
        <v>0</v>
      </c>
      <c r="CK90" s="193"/>
      <c r="CL90" s="194"/>
    </row>
    <row r="91" spans="1:90" x14ac:dyDescent="0.3">
      <c r="B91" s="191" t="str">
        <f t="shared" si="35"/>
        <v>Land and Environment</v>
      </c>
      <c r="C91" s="192">
        <f>SUMIFS(Internal_labour_inputs!K$8:K$295,Internal_labour_inputs!$B$8:$B$295,$B53,Internal_labour_inputs!$F$8:$F$295,"New")</f>
        <v>0</v>
      </c>
      <c r="D91" s="192">
        <f>SUMIFS(Internal_labour_inputs!L$8:L$295,Internal_labour_inputs!$B$8:$B$295,$B53,Internal_labour_inputs!$F$8:$F$295,"New")</f>
        <v>0</v>
      </c>
      <c r="E91" s="192">
        <f>SUMIFS(Internal_labour_inputs!M$8:M$295,Internal_labour_inputs!$B$8:$B$295,$B53,Internal_labour_inputs!$F$8:$F$295,"New")</f>
        <v>0</v>
      </c>
      <c r="F91" s="192">
        <f>SUMIFS(Internal_labour_inputs!N$8:N$295,Internal_labour_inputs!$B$8:$B$295,$B53,Internal_labour_inputs!$F$8:$F$295,"New")</f>
        <v>0</v>
      </c>
      <c r="G91" s="192">
        <f>SUMIFS(Internal_labour_inputs!O$8:O$295,Internal_labour_inputs!$B$8:$B$295,$B53,Internal_labour_inputs!$F$8:$F$295,"New")</f>
        <v>0</v>
      </c>
      <c r="H91" s="192">
        <f>SUMIFS(Internal_labour_inputs!P$8:P$295,Internal_labour_inputs!$B$8:$B$295,$B53,Internal_labour_inputs!$F$8:$F$295,"New")</f>
        <v>0</v>
      </c>
      <c r="I91" s="192">
        <f>SUMIFS(Internal_labour_inputs!Q$8:Q$295,Internal_labour_inputs!$B$8:$B$295,$B53,Internal_labour_inputs!$F$8:$F$295,"New")</f>
        <v>0</v>
      </c>
      <c r="J91" s="192">
        <f>SUMIFS(Internal_labour_inputs!R$8:R$295,Internal_labour_inputs!$B$8:$B$295,$B53,Internal_labour_inputs!$F$8:$F$295,"New")</f>
        <v>0</v>
      </c>
      <c r="K91" s="192">
        <f>SUMIFS(Internal_labour_inputs!S$8:S$295,Internal_labour_inputs!$B$8:$B$295,$B53,Internal_labour_inputs!$F$8:$F$295,"New")</f>
        <v>0</v>
      </c>
      <c r="L91" s="192">
        <f>SUMIFS(Internal_labour_inputs!T$8:T$295,Internal_labour_inputs!$B$8:$B$295,$B53,Internal_labour_inputs!$F$8:$F$295,"New")</f>
        <v>0</v>
      </c>
      <c r="M91" s="192">
        <f>SUMIFS(Internal_labour_inputs!U$8:U$295,Internal_labour_inputs!$B$8:$B$295,$B53,Internal_labour_inputs!$F$8:$F$295,"New")</f>
        <v>0</v>
      </c>
      <c r="N91" s="192">
        <f>SUMIFS(Internal_labour_inputs!V$8:V$295,Internal_labour_inputs!$B$8:$B$295,$B53,Internal_labour_inputs!$F$8:$F$295,"New")</f>
        <v>0</v>
      </c>
      <c r="O91" s="192">
        <f>SUMIFS(Internal_labour_inputs!W$8:W$295,Internal_labour_inputs!$B$8:$B$295,$B53,Internal_labour_inputs!$F$8:$F$295,"New")</f>
        <v>0</v>
      </c>
      <c r="P91" s="192">
        <f>SUMIFS(Internal_labour_inputs!X$8:X$295,Internal_labour_inputs!$B$8:$B$295,$B53,Internal_labour_inputs!$F$8:$F$295,"New")</f>
        <v>0.1</v>
      </c>
      <c r="Q91" s="192">
        <f>SUMIFS(Internal_labour_inputs!Y$8:Y$295,Internal_labour_inputs!$B$8:$B$295,$B53,Internal_labour_inputs!$F$8:$F$295,"New")</f>
        <v>0.30000000000000004</v>
      </c>
      <c r="R91" s="192">
        <f>SUMIFS(Internal_labour_inputs!Z$8:Z$295,Internal_labour_inputs!$B$8:$B$295,$B53,Internal_labour_inputs!$F$8:$F$295,"New")</f>
        <v>0.4</v>
      </c>
      <c r="S91" s="192">
        <f>SUMIFS(Internal_labour_inputs!AA$8:AA$295,Internal_labour_inputs!$B$8:$B$295,$B53,Internal_labour_inputs!$F$8:$F$295,"New")</f>
        <v>1.1881578947368423</v>
      </c>
      <c r="T91" s="192">
        <f>SUMIFS(Internal_labour_inputs!AB$8:AB$295,Internal_labour_inputs!$B$8:$B$295,$B53,Internal_labour_inputs!$F$8:$F$295,"New")</f>
        <v>1.2526315789473683</v>
      </c>
      <c r="U91" s="192">
        <f>SUMIFS(Internal_labour_inputs!AC$8:AC$295,Internal_labour_inputs!$B$8:$B$295,$B53,Internal_labour_inputs!$F$8:$F$295,"New")</f>
        <v>1.3299999999999998</v>
      </c>
      <c r="V91" s="192">
        <f>SUMIFS(Internal_labour_inputs!AD$8:AD$295,Internal_labour_inputs!$B$8:$B$295,$B53,Internal_labour_inputs!$F$8:$F$295,"New")</f>
        <v>1.2999999999999998</v>
      </c>
      <c r="W91" s="192">
        <f>SUMIFS(Internal_labour_inputs!AE$8:AE$295,Internal_labour_inputs!$B$8:$B$295,$B53,Internal_labour_inputs!$F$8:$F$295,"New")</f>
        <v>1.2599999999999998</v>
      </c>
      <c r="X91" s="192">
        <f>SUMIFS(Internal_labour_inputs!AF$8:AF$295,Internal_labour_inputs!$B$8:$B$295,$B53,Internal_labour_inputs!$F$8:$F$295,"New")</f>
        <v>1.2599999999999998</v>
      </c>
      <c r="Y91" s="192">
        <f>SUMIFS(Internal_labour_inputs!AG$8:AG$295,Internal_labour_inputs!$B$8:$B$295,$B53,Internal_labour_inputs!$F$8:$F$295,"New")</f>
        <v>1.19</v>
      </c>
      <c r="Z91" s="192">
        <f>SUMIFS(Internal_labour_inputs!AH$8:AH$295,Internal_labour_inputs!$B$8:$B$295,$B53,Internal_labour_inputs!$F$8:$F$295,"New")</f>
        <v>1.1200000000000001</v>
      </c>
      <c r="AA91" s="192">
        <f>SUMIFS(Internal_labour_inputs!AI$8:AI$295,Internal_labour_inputs!$B$8:$B$295,$B53,Internal_labour_inputs!$F$8:$F$295,"New")</f>
        <v>2.1466666666666669</v>
      </c>
      <c r="AB91" s="192">
        <f>SUMIFS(Internal_labour_inputs!AJ$8:AJ$295,Internal_labour_inputs!$B$8:$B$295,$B53,Internal_labour_inputs!$F$8:$F$295,"New")</f>
        <v>1.1200000000000001</v>
      </c>
      <c r="AC91" s="192">
        <f>SUMIFS(Internal_labour_inputs!AK$8:AK$295,Internal_labour_inputs!$B$8:$B$295,$B53,Internal_labour_inputs!$F$8:$F$295,"New")</f>
        <v>1.1200000000000001</v>
      </c>
      <c r="AD91" s="192">
        <f>SUMIFS(Internal_labour_inputs!AL$8:AL$295,Internal_labour_inputs!$B$8:$B$295,$B53,Internal_labour_inputs!$F$8:$F$295,"New")</f>
        <v>1.7733333333333337</v>
      </c>
      <c r="AE91" s="192">
        <f>SUMIFS(Internal_labour_inputs!AM$8:AM$295,Internal_labour_inputs!$B$8:$B$295,$B53,Internal_labour_inputs!$F$8:$F$295,"New")</f>
        <v>1.1605263157894736</v>
      </c>
      <c r="AF91" s="192">
        <f>SUMIFS(Internal_labour_inputs!AN$8:AN$295,Internal_labour_inputs!$B$8:$B$295,$B53,Internal_labour_inputs!$F$8:$F$295,"New")</f>
        <v>1.0960526315789474</v>
      </c>
      <c r="AG91" s="192">
        <f>SUMIFS(Internal_labour_inputs!AO$8:AO$295,Internal_labour_inputs!$B$8:$B$295,$B53,Internal_labour_inputs!$F$8:$F$295,"New")</f>
        <v>1.2599999999999998</v>
      </c>
      <c r="AH91" s="192">
        <f>SUMIFS(Internal_labour_inputs!AP$8:AP$295,Internal_labour_inputs!$B$8:$B$295,$B53,Internal_labour_inputs!$F$8:$F$295,"New")</f>
        <v>1.19</v>
      </c>
      <c r="AI91" s="192">
        <f>SUMIFS(Internal_labour_inputs!AQ$8:AQ$295,Internal_labour_inputs!$B$8:$B$295,$B53,Internal_labour_inputs!$F$8:$F$295,"New")</f>
        <v>1.2599999999999998</v>
      </c>
      <c r="AJ91" s="192">
        <f>SUMIFS(Internal_labour_inputs!AR$8:AR$295,Internal_labour_inputs!$B$8:$B$295,$B53,Internal_labour_inputs!$F$8:$F$295,"New")</f>
        <v>1.2599999999999998</v>
      </c>
      <c r="AK91" s="192">
        <f>SUMIFS(Internal_labour_inputs!AS$8:AS$295,Internal_labour_inputs!$B$8:$B$295,$B53,Internal_labour_inputs!$F$8:$F$295,"New")</f>
        <v>1.19</v>
      </c>
      <c r="AL91" s="192">
        <f>SUMIFS(Internal_labour_inputs!AT$8:AT$295,Internal_labour_inputs!$B$8:$B$295,$B53,Internal_labour_inputs!$F$8:$F$295,"New")</f>
        <v>1.4933333333333334</v>
      </c>
      <c r="AM91" s="192">
        <f>SUMIFS(Internal_labour_inputs!AU$8:AU$295,Internal_labour_inputs!$B$8:$B$295,$B53,Internal_labour_inputs!$F$8:$F$295,"New")</f>
        <v>1.7733333333333337</v>
      </c>
      <c r="AN91" s="192">
        <f>SUMIFS(Internal_labour_inputs!AV$8:AV$295,Internal_labour_inputs!$B$8:$B$295,$B53,Internal_labour_inputs!$F$8:$F$295,"New")</f>
        <v>1.1200000000000001</v>
      </c>
      <c r="AO91" s="192">
        <f>SUMIFS(Internal_labour_inputs!AW$8:AW$295,Internal_labour_inputs!$B$8:$B$295,$B53,Internal_labour_inputs!$F$8:$F$295,"New")</f>
        <v>1.3299999999999998</v>
      </c>
      <c r="AP91" s="192">
        <f>SUMIFS(Internal_labour_inputs!AX$8:AX$295,Internal_labour_inputs!$B$8:$B$295,$B53,Internal_labour_inputs!$F$8:$F$295,"New")</f>
        <v>1.4933333333333334</v>
      </c>
      <c r="AQ91" s="192">
        <f>SUMIFS(Internal_labour_inputs!AY$8:AY$295,Internal_labour_inputs!$B$8:$B$295,$B53,Internal_labour_inputs!$F$8:$F$295,"New")</f>
        <v>1.2250000000000001</v>
      </c>
      <c r="AR91" s="192">
        <f>SUMIFS(Internal_labour_inputs!AZ$8:AZ$295,Internal_labour_inputs!$B$8:$B$295,$B53,Internal_labour_inputs!$F$8:$F$295,"New")</f>
        <v>1.2250000000000001</v>
      </c>
      <c r="AS91" s="192">
        <f>SUMIFS(Internal_labour_inputs!BA$8:BA$295,Internal_labour_inputs!$B$8:$B$295,$B53,Internal_labour_inputs!$F$8:$F$295,"New")</f>
        <v>1.1200000000000001</v>
      </c>
      <c r="AT91" s="192">
        <f>SUMIFS(Internal_labour_inputs!BB$8:BB$295,Internal_labour_inputs!$B$8:$B$295,$B53,Internal_labour_inputs!$F$8:$F$295,"New")</f>
        <v>1.2599999999999998</v>
      </c>
      <c r="AU91" s="192">
        <f>SUMIFS(Internal_labour_inputs!BC$8:BC$295,Internal_labour_inputs!$B$8:$B$295,$B53,Internal_labour_inputs!$F$8:$F$295,"New")</f>
        <v>1.02</v>
      </c>
      <c r="AV91" s="192">
        <f>SUMIFS(Internal_labour_inputs!BD$8:BD$295,Internal_labour_inputs!$B$8:$B$295,$B53,Internal_labour_inputs!$F$8:$F$295,"New")</f>
        <v>1.0799999999999998</v>
      </c>
      <c r="AW91" s="192">
        <f>SUMIFS(Internal_labour_inputs!BE$8:BE$295,Internal_labour_inputs!$B$8:$B$295,$B53,Internal_labour_inputs!$F$8:$F$295,"New")</f>
        <v>0.18</v>
      </c>
      <c r="AX91" s="192">
        <f>SUMIFS(Internal_labour_inputs!BF$8:BF$295,Internal_labour_inputs!$B$8:$B$295,$B53,Internal_labour_inputs!$F$8:$F$295,"New")</f>
        <v>0.18666666666666668</v>
      </c>
      <c r="AY91" s="192">
        <f>SUMIFS(Internal_labour_inputs!BG$8:BG$295,Internal_labour_inputs!$B$8:$B$295,$B53,Internal_labour_inputs!$F$8:$F$295,"New")</f>
        <v>0</v>
      </c>
      <c r="AZ91" s="192">
        <f>SUMIFS(Internal_labour_inputs!BH$8:BH$295,Internal_labour_inputs!$B$8:$B$295,$B53,Internal_labour_inputs!$F$8:$F$295,"New")</f>
        <v>0</v>
      </c>
      <c r="BA91" s="192">
        <f>SUMIFS(Internal_labour_inputs!BI$8:BI$295,Internal_labour_inputs!$B$8:$B$295,$B53,Internal_labour_inputs!$F$8:$F$295,"New")</f>
        <v>0</v>
      </c>
      <c r="BB91" s="192">
        <f>SUMIFS(Internal_labour_inputs!BJ$8:BJ$295,Internal_labour_inputs!$B$8:$B$295,$B53,Internal_labour_inputs!$F$8:$F$295,"New")</f>
        <v>0</v>
      </c>
      <c r="BC91" s="192">
        <f>SUMIFS(Internal_labour_inputs!BK$8:BK$295,Internal_labour_inputs!$B$8:$B$295,$B53,Internal_labour_inputs!$F$8:$F$295,"New")</f>
        <v>0</v>
      </c>
      <c r="BD91" s="192">
        <f>SUMIFS(Internal_labour_inputs!BL$8:BL$295,Internal_labour_inputs!$B$8:$B$295,$B53,Internal_labour_inputs!$F$8:$F$295,"New")</f>
        <v>0</v>
      </c>
      <c r="BE91" s="192">
        <f>SUMIFS(Internal_labour_inputs!BM$8:BM$295,Internal_labour_inputs!$B$8:$B$295,$B53,Internal_labour_inputs!$F$8:$F$295,"New")</f>
        <v>0</v>
      </c>
      <c r="BF91" s="192">
        <f>SUMIFS(Internal_labour_inputs!BN$8:BN$295,Internal_labour_inputs!$B$8:$B$295,$B53,Internal_labour_inputs!$F$8:$F$295,"New")</f>
        <v>0</v>
      </c>
      <c r="BG91" s="192">
        <f>SUMIFS(Internal_labour_inputs!BO$8:BO$295,Internal_labour_inputs!$B$8:$B$295,$B53,Internal_labour_inputs!$F$8:$F$295,"New")</f>
        <v>0</v>
      </c>
      <c r="BH91" s="192">
        <f>SUMIFS(Internal_labour_inputs!BP$8:BP$295,Internal_labour_inputs!$B$8:$B$295,$B53,Internal_labour_inputs!$F$8:$F$295,"New")</f>
        <v>0</v>
      </c>
      <c r="BI91" s="192">
        <f>SUMIFS(Internal_labour_inputs!BQ$8:BQ$295,Internal_labour_inputs!$B$8:$B$295,$B53,Internal_labour_inputs!$F$8:$F$295,"New")</f>
        <v>0</v>
      </c>
      <c r="BJ91" s="192">
        <f>SUMIFS(Internal_labour_inputs!BR$8:BR$295,Internal_labour_inputs!$B$8:$B$295,$B53,Internal_labour_inputs!$F$8:$F$295,"New")</f>
        <v>0</v>
      </c>
      <c r="BK91" s="192">
        <f>SUMIFS(Internal_labour_inputs!BS$8:BS$295,Internal_labour_inputs!$B$8:$B$295,$B53,Internal_labour_inputs!$F$8:$F$295,"New")</f>
        <v>0</v>
      </c>
      <c r="BL91" s="192">
        <f>SUMIFS(Internal_labour_inputs!BT$8:BT$295,Internal_labour_inputs!$B$8:$B$295,$B53,Internal_labour_inputs!$F$8:$F$295,"New")</f>
        <v>0</v>
      </c>
      <c r="BM91" s="192">
        <f>SUMIFS(Internal_labour_inputs!BU$8:BU$295,Internal_labour_inputs!$B$8:$B$295,$B53,Internal_labour_inputs!$F$8:$F$295,"New")</f>
        <v>0</v>
      </c>
      <c r="BN91" s="192">
        <f>SUMIFS(Internal_labour_inputs!BV$8:BV$295,Internal_labour_inputs!$B$8:$B$295,$B53,Internal_labour_inputs!$F$8:$F$295,"New")</f>
        <v>0</v>
      </c>
      <c r="BO91" s="192">
        <f>SUMIFS(Internal_labour_inputs!BW$8:BW$295,Internal_labour_inputs!$B$8:$B$295,$B53,Internal_labour_inputs!$F$8:$F$295,"New")</f>
        <v>0</v>
      </c>
      <c r="BP91" s="192">
        <f>SUMIFS(Internal_labour_inputs!BX$8:BX$295,Internal_labour_inputs!$B$8:$B$295,$B53,Internal_labour_inputs!$F$8:$F$295,"New")</f>
        <v>0</v>
      </c>
      <c r="BQ91" s="192">
        <f>SUMIFS(Internal_labour_inputs!BY$8:BY$295,Internal_labour_inputs!$B$8:$B$295,$B53,Internal_labour_inputs!$F$8:$F$295,"New")</f>
        <v>0</v>
      </c>
      <c r="BR91" s="192">
        <f>SUMIFS(Internal_labour_inputs!BZ$8:BZ$295,Internal_labour_inputs!$B$8:$B$295,$B53,Internal_labour_inputs!$F$8:$F$295,"New")</f>
        <v>0</v>
      </c>
      <c r="BS91" s="192">
        <f>SUMIFS(Internal_labour_inputs!CA$8:CA$295,Internal_labour_inputs!$B$8:$B$295,$B53,Internal_labour_inputs!$F$8:$F$295,"New")</f>
        <v>0</v>
      </c>
      <c r="BT91" s="192">
        <f>SUMIFS(Internal_labour_inputs!CB$8:CB$295,Internal_labour_inputs!$B$8:$B$295,$B53,Internal_labour_inputs!$F$8:$F$295,"New")</f>
        <v>0</v>
      </c>
      <c r="BU91" s="192">
        <f>SUMIFS(Internal_labour_inputs!CC$8:CC$295,Internal_labour_inputs!$B$8:$B$295,$B53,Internal_labour_inputs!$F$8:$F$295,"New")</f>
        <v>0</v>
      </c>
      <c r="BV91" s="192">
        <f>SUMIFS(Internal_labour_inputs!CD$8:CD$295,Internal_labour_inputs!$B$8:$B$295,$B53,Internal_labour_inputs!$F$8:$F$295,"New")</f>
        <v>0</v>
      </c>
      <c r="BW91" s="192">
        <f>SUMIFS(Internal_labour_inputs!CE$8:CE$295,Internal_labour_inputs!$B$8:$B$295,$B53,Internal_labour_inputs!$F$8:$F$295,"New")</f>
        <v>0</v>
      </c>
      <c r="BX91" s="192">
        <f>SUMIFS(Internal_labour_inputs!CF$8:CF$295,Internal_labour_inputs!$B$8:$B$295,$B53,Internal_labour_inputs!$F$8:$F$295,"New")</f>
        <v>0</v>
      </c>
      <c r="BY91" s="192">
        <f>SUMIFS(Internal_labour_inputs!CG$8:CG$295,Internal_labour_inputs!$B$8:$B$295,$B53,Internal_labour_inputs!$F$8:$F$295,"New")</f>
        <v>0</v>
      </c>
      <c r="BZ91" s="192">
        <f>SUMIFS(Internal_labour_inputs!CH$8:CH$295,Internal_labour_inputs!$B$8:$B$295,$B53,Internal_labour_inputs!$F$8:$F$295,"New")</f>
        <v>0</v>
      </c>
      <c r="CA91" s="192">
        <f>SUMIFS(Internal_labour_inputs!CI$8:CI$295,Internal_labour_inputs!$B$8:$B$295,$B53,Internal_labour_inputs!$F$8:$F$295,"New")</f>
        <v>0</v>
      </c>
      <c r="CB91" s="192">
        <f>SUMIFS(Internal_labour_inputs!CJ$8:CJ$295,Internal_labour_inputs!$B$8:$B$295,$B53,Internal_labour_inputs!$F$8:$F$295,"New")</f>
        <v>0</v>
      </c>
      <c r="CC91" s="192">
        <f>SUMIFS(Internal_labour_inputs!CK$8:CK$295,Internal_labour_inputs!$B$8:$B$295,$B53,Internal_labour_inputs!$F$8:$F$295,"New")</f>
        <v>0</v>
      </c>
      <c r="CD91" s="192">
        <f>SUMIFS(Internal_labour_inputs!CL$8:CL$295,Internal_labour_inputs!$B$8:$B$295,$B53,Internal_labour_inputs!$F$8:$F$295,"New")</f>
        <v>0</v>
      </c>
      <c r="CE91" s="192">
        <f>SUMIFS(Internal_labour_inputs!CM$8:CM$295,Internal_labour_inputs!$B$8:$B$295,$B53,Internal_labour_inputs!$F$8:$F$295,"New")</f>
        <v>0</v>
      </c>
      <c r="CF91" s="192">
        <f>SUMIFS(Internal_labour_inputs!CN$8:CN$295,Internal_labour_inputs!$B$8:$B$295,$B53,Internal_labour_inputs!$F$8:$F$295,"New")</f>
        <v>0</v>
      </c>
      <c r="CG91" s="192">
        <f>SUMIFS(Internal_labour_inputs!CO$8:CO$295,Internal_labour_inputs!$B$8:$B$295,$B53,Internal_labour_inputs!$F$8:$F$295,"New")</f>
        <v>0</v>
      </c>
      <c r="CH91" s="192">
        <f>SUMIFS(Internal_labour_inputs!CP$8:CP$295,Internal_labour_inputs!$B$8:$B$295,$B53,Internal_labour_inputs!$F$8:$F$295,"New")</f>
        <v>0</v>
      </c>
      <c r="CI91" s="192">
        <f t="shared" si="36"/>
        <v>39.784035087719296</v>
      </c>
      <c r="CJ91" s="192">
        <f t="shared" si="37"/>
        <v>1.0469482917820867</v>
      </c>
      <c r="CK91" s="193"/>
      <c r="CL91" s="194"/>
    </row>
    <row r="92" spans="1:90" x14ac:dyDescent="0.3">
      <c r="B92" s="191" t="str">
        <f t="shared" si="35"/>
        <v>Other Support &amp; Corporate Roles</v>
      </c>
      <c r="C92" s="192">
        <f>SUMIFS(Internal_labour_inputs!K$8:K$295,Internal_labour_inputs!$B$8:$B$295,$B54,Internal_labour_inputs!$F$8:$F$295,"New")</f>
        <v>0</v>
      </c>
      <c r="D92" s="192">
        <f>SUMIFS(Internal_labour_inputs!L$8:L$295,Internal_labour_inputs!$B$8:$B$295,$B54,Internal_labour_inputs!$F$8:$F$295,"New")</f>
        <v>0</v>
      </c>
      <c r="E92" s="192">
        <f>SUMIFS(Internal_labour_inputs!M$8:M$295,Internal_labour_inputs!$B$8:$B$295,$B54,Internal_labour_inputs!$F$8:$F$295,"New")</f>
        <v>0</v>
      </c>
      <c r="F92" s="192">
        <f>SUMIFS(Internal_labour_inputs!N$8:N$295,Internal_labour_inputs!$B$8:$B$295,$B54,Internal_labour_inputs!$F$8:$F$295,"New")</f>
        <v>0</v>
      </c>
      <c r="G92" s="192">
        <f>SUMIFS(Internal_labour_inputs!O$8:O$295,Internal_labour_inputs!$B$8:$B$295,$B54,Internal_labour_inputs!$F$8:$F$295,"New")</f>
        <v>0</v>
      </c>
      <c r="H92" s="192">
        <f>SUMIFS(Internal_labour_inputs!P$8:P$295,Internal_labour_inputs!$B$8:$B$295,$B54,Internal_labour_inputs!$F$8:$F$295,"New")</f>
        <v>0</v>
      </c>
      <c r="I92" s="192">
        <f>SUMIFS(Internal_labour_inputs!Q$8:Q$295,Internal_labour_inputs!$B$8:$B$295,$B54,Internal_labour_inputs!$F$8:$F$295,"New")</f>
        <v>0</v>
      </c>
      <c r="J92" s="192">
        <f>SUMIFS(Internal_labour_inputs!R$8:R$295,Internal_labour_inputs!$B$8:$B$295,$B54,Internal_labour_inputs!$F$8:$F$295,"New")</f>
        <v>0</v>
      </c>
      <c r="K92" s="192">
        <f>SUMIFS(Internal_labour_inputs!S$8:S$295,Internal_labour_inputs!$B$8:$B$295,$B54,Internal_labour_inputs!$F$8:$F$295,"New")</f>
        <v>0</v>
      </c>
      <c r="L92" s="192">
        <f>SUMIFS(Internal_labour_inputs!T$8:T$295,Internal_labour_inputs!$B$8:$B$295,$B54,Internal_labour_inputs!$F$8:$F$295,"New")</f>
        <v>0</v>
      </c>
      <c r="M92" s="192">
        <f>SUMIFS(Internal_labour_inputs!U$8:U$295,Internal_labour_inputs!$B$8:$B$295,$B54,Internal_labour_inputs!$F$8:$F$295,"New")</f>
        <v>0</v>
      </c>
      <c r="N92" s="192">
        <f>SUMIFS(Internal_labour_inputs!V$8:V$295,Internal_labour_inputs!$B$8:$B$295,$B54,Internal_labour_inputs!$F$8:$F$295,"New")</f>
        <v>0</v>
      </c>
      <c r="O92" s="192">
        <f>SUMIFS(Internal_labour_inputs!W$8:W$295,Internal_labour_inputs!$B$8:$B$295,$B54,Internal_labour_inputs!$F$8:$F$295,"New")</f>
        <v>0</v>
      </c>
      <c r="P92" s="192">
        <f>SUMIFS(Internal_labour_inputs!X$8:X$295,Internal_labour_inputs!$B$8:$B$295,$B54,Internal_labour_inputs!$F$8:$F$295,"New")</f>
        <v>0</v>
      </c>
      <c r="Q92" s="192">
        <f>SUMIFS(Internal_labour_inputs!Y$8:Y$295,Internal_labour_inputs!$B$8:$B$295,$B54,Internal_labour_inputs!$F$8:$F$295,"New")</f>
        <v>0</v>
      </c>
      <c r="R92" s="192">
        <f>SUMIFS(Internal_labour_inputs!Z$8:Z$295,Internal_labour_inputs!$B$8:$B$295,$B54,Internal_labour_inputs!$F$8:$F$295,"New")</f>
        <v>0</v>
      </c>
      <c r="S92" s="192">
        <f>SUMIFS(Internal_labour_inputs!AA$8:AA$295,Internal_labour_inputs!$B$8:$B$295,$B54,Internal_labour_inputs!$F$8:$F$295,"New")</f>
        <v>0</v>
      </c>
      <c r="T92" s="192">
        <f>SUMIFS(Internal_labour_inputs!AB$8:AB$295,Internal_labour_inputs!$B$8:$B$295,$B54,Internal_labour_inputs!$F$8:$F$295,"New")</f>
        <v>0</v>
      </c>
      <c r="U92" s="192">
        <f>SUMIFS(Internal_labour_inputs!AC$8:AC$295,Internal_labour_inputs!$B$8:$B$295,$B54,Internal_labour_inputs!$F$8:$F$295,"New")</f>
        <v>0</v>
      </c>
      <c r="V92" s="192">
        <f>SUMIFS(Internal_labour_inputs!AD$8:AD$295,Internal_labour_inputs!$B$8:$B$295,$B54,Internal_labour_inputs!$F$8:$F$295,"New")</f>
        <v>0</v>
      </c>
      <c r="W92" s="192">
        <f>SUMIFS(Internal_labour_inputs!AE$8:AE$295,Internal_labour_inputs!$B$8:$B$295,$B54,Internal_labour_inputs!$F$8:$F$295,"New")</f>
        <v>0</v>
      </c>
      <c r="X92" s="192">
        <f>SUMIFS(Internal_labour_inputs!AF$8:AF$295,Internal_labour_inputs!$B$8:$B$295,$B54,Internal_labour_inputs!$F$8:$F$295,"New")</f>
        <v>0</v>
      </c>
      <c r="Y92" s="192">
        <f>SUMIFS(Internal_labour_inputs!AG$8:AG$295,Internal_labour_inputs!$B$8:$B$295,$B54,Internal_labour_inputs!$F$8:$F$295,"New")</f>
        <v>0</v>
      </c>
      <c r="Z92" s="192">
        <f>SUMIFS(Internal_labour_inputs!AH$8:AH$295,Internal_labour_inputs!$B$8:$B$295,$B54,Internal_labour_inputs!$F$8:$F$295,"New")</f>
        <v>0</v>
      </c>
      <c r="AA92" s="192">
        <f>SUMIFS(Internal_labour_inputs!AI$8:AI$295,Internal_labour_inputs!$B$8:$B$295,$B54,Internal_labour_inputs!$F$8:$F$295,"New")</f>
        <v>0</v>
      </c>
      <c r="AB92" s="192">
        <f>SUMIFS(Internal_labour_inputs!AJ$8:AJ$295,Internal_labour_inputs!$B$8:$B$295,$B54,Internal_labour_inputs!$F$8:$F$295,"New")</f>
        <v>0</v>
      </c>
      <c r="AC92" s="192">
        <f>SUMIFS(Internal_labour_inputs!AK$8:AK$295,Internal_labour_inputs!$B$8:$B$295,$B54,Internal_labour_inputs!$F$8:$F$295,"New")</f>
        <v>0</v>
      </c>
      <c r="AD92" s="192">
        <f>SUMIFS(Internal_labour_inputs!AL$8:AL$295,Internal_labour_inputs!$B$8:$B$295,$B54,Internal_labour_inputs!$F$8:$F$295,"New")</f>
        <v>0</v>
      </c>
      <c r="AE92" s="192">
        <f>SUMIFS(Internal_labour_inputs!AM$8:AM$295,Internal_labour_inputs!$B$8:$B$295,$B54,Internal_labour_inputs!$F$8:$F$295,"New")</f>
        <v>0</v>
      </c>
      <c r="AF92" s="192">
        <f>SUMIFS(Internal_labour_inputs!AN$8:AN$295,Internal_labour_inputs!$B$8:$B$295,$B54,Internal_labour_inputs!$F$8:$F$295,"New")</f>
        <v>0</v>
      </c>
      <c r="AG92" s="192">
        <f>SUMIFS(Internal_labour_inputs!AO$8:AO$295,Internal_labour_inputs!$B$8:$B$295,$B54,Internal_labour_inputs!$F$8:$F$295,"New")</f>
        <v>0</v>
      </c>
      <c r="AH92" s="192">
        <f>SUMIFS(Internal_labour_inputs!AP$8:AP$295,Internal_labour_inputs!$B$8:$B$295,$B54,Internal_labour_inputs!$F$8:$F$295,"New")</f>
        <v>0</v>
      </c>
      <c r="AI92" s="192">
        <f>SUMIFS(Internal_labour_inputs!AQ$8:AQ$295,Internal_labour_inputs!$B$8:$B$295,$B54,Internal_labour_inputs!$F$8:$F$295,"New")</f>
        <v>0</v>
      </c>
      <c r="AJ92" s="192">
        <f>SUMIFS(Internal_labour_inputs!AR$8:AR$295,Internal_labour_inputs!$B$8:$B$295,$B54,Internal_labour_inputs!$F$8:$F$295,"New")</f>
        <v>0</v>
      </c>
      <c r="AK92" s="192">
        <f>SUMIFS(Internal_labour_inputs!AS$8:AS$295,Internal_labour_inputs!$B$8:$B$295,$B54,Internal_labour_inputs!$F$8:$F$295,"New")</f>
        <v>0</v>
      </c>
      <c r="AL92" s="192">
        <f>SUMIFS(Internal_labour_inputs!AT$8:AT$295,Internal_labour_inputs!$B$8:$B$295,$B54,Internal_labour_inputs!$F$8:$F$295,"New")</f>
        <v>0</v>
      </c>
      <c r="AM92" s="192">
        <f>SUMIFS(Internal_labour_inputs!AU$8:AU$295,Internal_labour_inputs!$B$8:$B$295,$B54,Internal_labour_inputs!$F$8:$F$295,"New")</f>
        <v>0</v>
      </c>
      <c r="AN92" s="192">
        <f>SUMIFS(Internal_labour_inputs!AV$8:AV$295,Internal_labour_inputs!$B$8:$B$295,$B54,Internal_labour_inputs!$F$8:$F$295,"New")</f>
        <v>0</v>
      </c>
      <c r="AO92" s="192">
        <f>SUMIFS(Internal_labour_inputs!AW$8:AW$295,Internal_labour_inputs!$B$8:$B$295,$B54,Internal_labour_inputs!$F$8:$F$295,"New")</f>
        <v>0</v>
      </c>
      <c r="AP92" s="192">
        <f>SUMIFS(Internal_labour_inputs!AX$8:AX$295,Internal_labour_inputs!$B$8:$B$295,$B54,Internal_labour_inputs!$F$8:$F$295,"New")</f>
        <v>0</v>
      </c>
      <c r="AQ92" s="192">
        <f>SUMIFS(Internal_labour_inputs!AY$8:AY$295,Internal_labour_inputs!$B$8:$B$295,$B54,Internal_labour_inputs!$F$8:$F$295,"New")</f>
        <v>0</v>
      </c>
      <c r="AR92" s="192">
        <f>SUMIFS(Internal_labour_inputs!AZ$8:AZ$295,Internal_labour_inputs!$B$8:$B$295,$B54,Internal_labour_inputs!$F$8:$F$295,"New")</f>
        <v>0</v>
      </c>
      <c r="AS92" s="192">
        <f>SUMIFS(Internal_labour_inputs!BA$8:BA$295,Internal_labour_inputs!$B$8:$B$295,$B54,Internal_labour_inputs!$F$8:$F$295,"New")</f>
        <v>0</v>
      </c>
      <c r="AT92" s="192">
        <f>SUMIFS(Internal_labour_inputs!BB$8:BB$295,Internal_labour_inputs!$B$8:$B$295,$B54,Internal_labour_inputs!$F$8:$F$295,"New")</f>
        <v>0</v>
      </c>
      <c r="AU92" s="192">
        <f>SUMIFS(Internal_labour_inputs!BC$8:BC$295,Internal_labour_inputs!$B$8:$B$295,$B54,Internal_labour_inputs!$F$8:$F$295,"New")</f>
        <v>0</v>
      </c>
      <c r="AV92" s="192">
        <f>SUMIFS(Internal_labour_inputs!BD$8:BD$295,Internal_labour_inputs!$B$8:$B$295,$B54,Internal_labour_inputs!$F$8:$F$295,"New")</f>
        <v>0</v>
      </c>
      <c r="AW92" s="192">
        <f>SUMIFS(Internal_labour_inputs!BE$8:BE$295,Internal_labour_inputs!$B$8:$B$295,$B54,Internal_labour_inputs!$F$8:$F$295,"New")</f>
        <v>0</v>
      </c>
      <c r="AX92" s="192">
        <f>SUMIFS(Internal_labour_inputs!BF$8:BF$295,Internal_labour_inputs!$B$8:$B$295,$B54,Internal_labour_inputs!$F$8:$F$295,"New")</f>
        <v>0</v>
      </c>
      <c r="AY92" s="192">
        <f>SUMIFS(Internal_labour_inputs!BG$8:BG$295,Internal_labour_inputs!$B$8:$B$295,$B54,Internal_labour_inputs!$F$8:$F$295,"New")</f>
        <v>0</v>
      </c>
      <c r="AZ92" s="192">
        <f>SUMIFS(Internal_labour_inputs!BH$8:BH$295,Internal_labour_inputs!$B$8:$B$295,$B54,Internal_labour_inputs!$F$8:$F$295,"New")</f>
        <v>0</v>
      </c>
      <c r="BA92" s="192">
        <f>SUMIFS(Internal_labour_inputs!BI$8:BI$295,Internal_labour_inputs!$B$8:$B$295,$B54,Internal_labour_inputs!$F$8:$F$295,"New")</f>
        <v>0</v>
      </c>
      <c r="BB92" s="192">
        <f>SUMIFS(Internal_labour_inputs!BJ$8:BJ$295,Internal_labour_inputs!$B$8:$B$295,$B54,Internal_labour_inputs!$F$8:$F$295,"New")</f>
        <v>0</v>
      </c>
      <c r="BC92" s="192">
        <f>SUMIFS(Internal_labour_inputs!BK$8:BK$295,Internal_labour_inputs!$B$8:$B$295,$B54,Internal_labour_inputs!$F$8:$F$295,"New")</f>
        <v>0</v>
      </c>
      <c r="BD92" s="192">
        <f>SUMIFS(Internal_labour_inputs!BL$8:BL$295,Internal_labour_inputs!$B$8:$B$295,$B54,Internal_labour_inputs!$F$8:$F$295,"New")</f>
        <v>0</v>
      </c>
      <c r="BE92" s="192">
        <f>SUMIFS(Internal_labour_inputs!BM$8:BM$295,Internal_labour_inputs!$B$8:$B$295,$B54,Internal_labour_inputs!$F$8:$F$295,"New")</f>
        <v>0</v>
      </c>
      <c r="BF92" s="192">
        <f>SUMIFS(Internal_labour_inputs!BN$8:BN$295,Internal_labour_inputs!$B$8:$B$295,$B54,Internal_labour_inputs!$F$8:$F$295,"New")</f>
        <v>0</v>
      </c>
      <c r="BG92" s="192">
        <f>SUMIFS(Internal_labour_inputs!BO$8:BO$295,Internal_labour_inputs!$B$8:$B$295,$B54,Internal_labour_inputs!$F$8:$F$295,"New")</f>
        <v>0</v>
      </c>
      <c r="BH92" s="192">
        <f>SUMIFS(Internal_labour_inputs!BP$8:BP$295,Internal_labour_inputs!$B$8:$B$295,$B54,Internal_labour_inputs!$F$8:$F$295,"New")</f>
        <v>0</v>
      </c>
      <c r="BI92" s="192">
        <f>SUMIFS(Internal_labour_inputs!BQ$8:BQ$295,Internal_labour_inputs!$B$8:$B$295,$B54,Internal_labour_inputs!$F$8:$F$295,"New")</f>
        <v>0</v>
      </c>
      <c r="BJ92" s="192">
        <f>SUMIFS(Internal_labour_inputs!BR$8:BR$295,Internal_labour_inputs!$B$8:$B$295,$B54,Internal_labour_inputs!$F$8:$F$295,"New")</f>
        <v>0</v>
      </c>
      <c r="BK92" s="192">
        <f>SUMIFS(Internal_labour_inputs!BS$8:BS$295,Internal_labour_inputs!$B$8:$B$295,$B54,Internal_labour_inputs!$F$8:$F$295,"New")</f>
        <v>0</v>
      </c>
      <c r="BL92" s="192">
        <f>SUMIFS(Internal_labour_inputs!BT$8:BT$295,Internal_labour_inputs!$B$8:$B$295,$B54,Internal_labour_inputs!$F$8:$F$295,"New")</f>
        <v>0</v>
      </c>
      <c r="BM92" s="192">
        <f>SUMIFS(Internal_labour_inputs!BU$8:BU$295,Internal_labour_inputs!$B$8:$B$295,$B54,Internal_labour_inputs!$F$8:$F$295,"New")</f>
        <v>0</v>
      </c>
      <c r="BN92" s="192">
        <f>SUMIFS(Internal_labour_inputs!BV$8:BV$295,Internal_labour_inputs!$B$8:$B$295,$B54,Internal_labour_inputs!$F$8:$F$295,"New")</f>
        <v>0</v>
      </c>
      <c r="BO92" s="192">
        <f>SUMIFS(Internal_labour_inputs!BW$8:BW$295,Internal_labour_inputs!$B$8:$B$295,$B54,Internal_labour_inputs!$F$8:$F$295,"New")</f>
        <v>0</v>
      </c>
      <c r="BP92" s="192">
        <f>SUMIFS(Internal_labour_inputs!BX$8:BX$295,Internal_labour_inputs!$B$8:$B$295,$B54,Internal_labour_inputs!$F$8:$F$295,"New")</f>
        <v>0</v>
      </c>
      <c r="BQ92" s="192">
        <f>SUMIFS(Internal_labour_inputs!BY$8:BY$295,Internal_labour_inputs!$B$8:$B$295,$B54,Internal_labour_inputs!$F$8:$F$295,"New")</f>
        <v>0</v>
      </c>
      <c r="BR92" s="192">
        <f>SUMIFS(Internal_labour_inputs!BZ$8:BZ$295,Internal_labour_inputs!$B$8:$B$295,$B54,Internal_labour_inputs!$F$8:$F$295,"New")</f>
        <v>0</v>
      </c>
      <c r="BS92" s="192">
        <f>SUMIFS(Internal_labour_inputs!CA$8:CA$295,Internal_labour_inputs!$B$8:$B$295,$B54,Internal_labour_inputs!$F$8:$F$295,"New")</f>
        <v>0</v>
      </c>
      <c r="BT92" s="192">
        <f>SUMIFS(Internal_labour_inputs!CB$8:CB$295,Internal_labour_inputs!$B$8:$B$295,$B54,Internal_labour_inputs!$F$8:$F$295,"New")</f>
        <v>0</v>
      </c>
      <c r="BU92" s="192">
        <f>SUMIFS(Internal_labour_inputs!CC$8:CC$295,Internal_labour_inputs!$B$8:$B$295,$B54,Internal_labour_inputs!$F$8:$F$295,"New")</f>
        <v>0</v>
      </c>
      <c r="BV92" s="192">
        <f>SUMIFS(Internal_labour_inputs!CD$8:CD$295,Internal_labour_inputs!$B$8:$B$295,$B54,Internal_labour_inputs!$F$8:$F$295,"New")</f>
        <v>0</v>
      </c>
      <c r="BW92" s="192">
        <f>SUMIFS(Internal_labour_inputs!CE$8:CE$295,Internal_labour_inputs!$B$8:$B$295,$B54,Internal_labour_inputs!$F$8:$F$295,"New")</f>
        <v>0</v>
      </c>
      <c r="BX92" s="192">
        <f>SUMIFS(Internal_labour_inputs!CF$8:CF$295,Internal_labour_inputs!$B$8:$B$295,$B54,Internal_labour_inputs!$F$8:$F$295,"New")</f>
        <v>0</v>
      </c>
      <c r="BY92" s="192">
        <f>SUMIFS(Internal_labour_inputs!CG$8:CG$295,Internal_labour_inputs!$B$8:$B$295,$B54,Internal_labour_inputs!$F$8:$F$295,"New")</f>
        <v>0</v>
      </c>
      <c r="BZ92" s="192">
        <f>SUMIFS(Internal_labour_inputs!CH$8:CH$295,Internal_labour_inputs!$B$8:$B$295,$B54,Internal_labour_inputs!$F$8:$F$295,"New")</f>
        <v>0</v>
      </c>
      <c r="CA92" s="192">
        <f>SUMIFS(Internal_labour_inputs!CI$8:CI$295,Internal_labour_inputs!$B$8:$B$295,$B54,Internal_labour_inputs!$F$8:$F$295,"New")</f>
        <v>0</v>
      </c>
      <c r="CB92" s="192">
        <f>SUMIFS(Internal_labour_inputs!CJ$8:CJ$295,Internal_labour_inputs!$B$8:$B$295,$B54,Internal_labour_inputs!$F$8:$F$295,"New")</f>
        <v>0</v>
      </c>
      <c r="CC92" s="192">
        <f>SUMIFS(Internal_labour_inputs!CK$8:CK$295,Internal_labour_inputs!$B$8:$B$295,$B54,Internal_labour_inputs!$F$8:$F$295,"New")</f>
        <v>0</v>
      </c>
      <c r="CD92" s="192">
        <f>SUMIFS(Internal_labour_inputs!CL$8:CL$295,Internal_labour_inputs!$B$8:$B$295,$B54,Internal_labour_inputs!$F$8:$F$295,"New")</f>
        <v>0</v>
      </c>
      <c r="CE92" s="192">
        <f>SUMIFS(Internal_labour_inputs!CM$8:CM$295,Internal_labour_inputs!$B$8:$B$295,$B54,Internal_labour_inputs!$F$8:$F$295,"New")</f>
        <v>0</v>
      </c>
      <c r="CF92" s="192">
        <f>SUMIFS(Internal_labour_inputs!CN$8:CN$295,Internal_labour_inputs!$B$8:$B$295,$B54,Internal_labour_inputs!$F$8:$F$295,"New")</f>
        <v>0</v>
      </c>
      <c r="CG92" s="192">
        <f>SUMIFS(Internal_labour_inputs!CO$8:CO$295,Internal_labour_inputs!$B$8:$B$295,$B54,Internal_labour_inputs!$F$8:$F$295,"New")</f>
        <v>0</v>
      </c>
      <c r="CH92" s="192">
        <f>SUMIFS(Internal_labour_inputs!CP$8:CP$295,Internal_labour_inputs!$B$8:$B$295,$B54,Internal_labour_inputs!$F$8:$F$295,"New")</f>
        <v>0</v>
      </c>
      <c r="CI92" s="192">
        <f t="shared" si="36"/>
        <v>0</v>
      </c>
      <c r="CJ92" s="192">
        <f t="shared" si="37"/>
        <v>0</v>
      </c>
      <c r="CK92" s="193"/>
      <c r="CL92" s="194"/>
    </row>
    <row r="93" spans="1:90" x14ac:dyDescent="0.3">
      <c r="B93" s="191" t="str">
        <f t="shared" si="35"/>
        <v>Project Delivery Management - Commercial Management</v>
      </c>
      <c r="C93" s="192">
        <f>SUMIFS(Internal_labour_inputs!K$8:K$295,Internal_labour_inputs!$B$8:$B$295,$B55,Internal_labour_inputs!$F$8:$F$295,"New")</f>
        <v>0</v>
      </c>
      <c r="D93" s="192">
        <f>SUMIFS(Internal_labour_inputs!L$8:L$295,Internal_labour_inputs!$B$8:$B$295,$B55,Internal_labour_inputs!$F$8:$F$295,"New")</f>
        <v>0</v>
      </c>
      <c r="E93" s="192">
        <f>SUMIFS(Internal_labour_inputs!M$8:M$295,Internal_labour_inputs!$B$8:$B$295,$B55,Internal_labour_inputs!$F$8:$F$295,"New")</f>
        <v>0</v>
      </c>
      <c r="F93" s="192">
        <f>SUMIFS(Internal_labour_inputs!N$8:N$295,Internal_labour_inputs!$B$8:$B$295,$B55,Internal_labour_inputs!$F$8:$F$295,"New")</f>
        <v>0</v>
      </c>
      <c r="G93" s="192">
        <f>SUMIFS(Internal_labour_inputs!O$8:O$295,Internal_labour_inputs!$B$8:$B$295,$B55,Internal_labour_inputs!$F$8:$F$295,"New")</f>
        <v>0</v>
      </c>
      <c r="H93" s="192">
        <f>SUMIFS(Internal_labour_inputs!P$8:P$295,Internal_labour_inputs!$B$8:$B$295,$B55,Internal_labour_inputs!$F$8:$F$295,"New")</f>
        <v>0</v>
      </c>
      <c r="I93" s="192">
        <f>SUMIFS(Internal_labour_inputs!Q$8:Q$295,Internal_labour_inputs!$B$8:$B$295,$B55,Internal_labour_inputs!$F$8:$F$295,"New")</f>
        <v>0</v>
      </c>
      <c r="J93" s="192">
        <f>SUMIFS(Internal_labour_inputs!R$8:R$295,Internal_labour_inputs!$B$8:$B$295,$B55,Internal_labour_inputs!$F$8:$F$295,"New")</f>
        <v>0</v>
      </c>
      <c r="K93" s="192">
        <f>SUMIFS(Internal_labour_inputs!S$8:S$295,Internal_labour_inputs!$B$8:$B$295,$B55,Internal_labour_inputs!$F$8:$F$295,"New")</f>
        <v>0</v>
      </c>
      <c r="L93" s="192">
        <f>SUMIFS(Internal_labour_inputs!T$8:T$295,Internal_labour_inputs!$B$8:$B$295,$B55,Internal_labour_inputs!$F$8:$F$295,"New")</f>
        <v>0</v>
      </c>
      <c r="M93" s="192">
        <f>SUMIFS(Internal_labour_inputs!U$8:U$295,Internal_labour_inputs!$B$8:$B$295,$B55,Internal_labour_inputs!$F$8:$F$295,"New")</f>
        <v>0</v>
      </c>
      <c r="N93" s="192">
        <f>SUMIFS(Internal_labour_inputs!V$8:V$295,Internal_labour_inputs!$B$8:$B$295,$B55,Internal_labour_inputs!$F$8:$F$295,"New")</f>
        <v>0</v>
      </c>
      <c r="O93" s="192">
        <f>SUMIFS(Internal_labour_inputs!W$8:W$295,Internal_labour_inputs!$B$8:$B$295,$B55,Internal_labour_inputs!$F$8:$F$295,"New")</f>
        <v>0</v>
      </c>
      <c r="P93" s="192">
        <f>SUMIFS(Internal_labour_inputs!X$8:X$295,Internal_labour_inputs!$B$8:$B$295,$B55,Internal_labour_inputs!$F$8:$F$295,"New")</f>
        <v>1</v>
      </c>
      <c r="Q93" s="192">
        <f>SUMIFS(Internal_labour_inputs!Y$8:Y$295,Internal_labour_inputs!$B$8:$B$295,$B55,Internal_labour_inputs!$F$8:$F$295,"New")</f>
        <v>5</v>
      </c>
      <c r="R93" s="192">
        <f>SUMIFS(Internal_labour_inputs!Z$8:Z$295,Internal_labour_inputs!$B$8:$B$295,$B55,Internal_labour_inputs!$F$8:$F$295,"New")</f>
        <v>5</v>
      </c>
      <c r="S93" s="192">
        <f>SUMIFS(Internal_labour_inputs!AA$8:AA$295,Internal_labour_inputs!$B$8:$B$295,$B55,Internal_labour_inputs!$F$8:$F$295,"New")</f>
        <v>4.6052631578947363</v>
      </c>
      <c r="T93" s="192">
        <f>SUMIFS(Internal_labour_inputs!AB$8:AB$295,Internal_labour_inputs!$B$8:$B$295,$B55,Internal_labour_inputs!$F$8:$F$295,"New")</f>
        <v>4.6052631578947363</v>
      </c>
      <c r="U93" s="192">
        <f>SUMIFS(Internal_labour_inputs!AC$8:AC$295,Internal_labour_inputs!$B$8:$B$295,$B55,Internal_labour_inputs!$F$8:$F$295,"New")</f>
        <v>5</v>
      </c>
      <c r="V93" s="192">
        <f>SUMIFS(Internal_labour_inputs!AD$8:AD$295,Internal_labour_inputs!$B$8:$B$295,$B55,Internal_labour_inputs!$F$8:$F$295,"New")</f>
        <v>5</v>
      </c>
      <c r="W93" s="192">
        <f>SUMIFS(Internal_labour_inputs!AE$8:AE$295,Internal_labour_inputs!$B$8:$B$295,$B55,Internal_labour_inputs!$F$8:$F$295,"New")</f>
        <v>5</v>
      </c>
      <c r="X93" s="192">
        <f>SUMIFS(Internal_labour_inputs!AF$8:AF$295,Internal_labour_inputs!$B$8:$B$295,$B55,Internal_labour_inputs!$F$8:$F$295,"New")</f>
        <v>5</v>
      </c>
      <c r="Y93" s="192">
        <f>SUMIFS(Internal_labour_inputs!AG$8:AG$295,Internal_labour_inputs!$B$8:$B$295,$B55,Internal_labour_inputs!$F$8:$F$295,"New")</f>
        <v>5</v>
      </c>
      <c r="Z93" s="192">
        <f>SUMIFS(Internal_labour_inputs!AH$8:AH$295,Internal_labour_inputs!$B$8:$B$295,$B55,Internal_labour_inputs!$F$8:$F$295,"New")</f>
        <v>5</v>
      </c>
      <c r="AA93" s="192">
        <f>SUMIFS(Internal_labour_inputs!AI$8:AI$295,Internal_labour_inputs!$B$8:$B$295,$B55,Internal_labour_inputs!$F$8:$F$295,"New")</f>
        <v>5</v>
      </c>
      <c r="AB93" s="192">
        <f>SUMIFS(Internal_labour_inputs!AJ$8:AJ$295,Internal_labour_inputs!$B$8:$B$295,$B55,Internal_labour_inputs!$F$8:$F$295,"New")</f>
        <v>5</v>
      </c>
      <c r="AC93" s="192">
        <f>SUMIFS(Internal_labour_inputs!AK$8:AK$295,Internal_labour_inputs!$B$8:$B$295,$B55,Internal_labour_inputs!$F$8:$F$295,"New")</f>
        <v>5</v>
      </c>
      <c r="AD93" s="192">
        <f>SUMIFS(Internal_labour_inputs!AL$8:AL$295,Internal_labour_inputs!$B$8:$B$295,$B55,Internal_labour_inputs!$F$8:$F$295,"New")</f>
        <v>5</v>
      </c>
      <c r="AE93" s="192">
        <f>SUMIFS(Internal_labour_inputs!AM$8:AM$295,Internal_labour_inputs!$B$8:$B$295,$B55,Internal_labour_inputs!$F$8:$F$295,"New")</f>
        <v>5</v>
      </c>
      <c r="AF93" s="192">
        <f>SUMIFS(Internal_labour_inputs!AN$8:AN$295,Internal_labour_inputs!$B$8:$B$295,$B55,Internal_labour_inputs!$F$8:$F$295,"New")</f>
        <v>5</v>
      </c>
      <c r="AG93" s="192">
        <f>SUMIFS(Internal_labour_inputs!AO$8:AO$295,Internal_labour_inputs!$B$8:$B$295,$B55,Internal_labour_inputs!$F$8:$F$295,"New")</f>
        <v>5</v>
      </c>
      <c r="AH93" s="192">
        <f>SUMIFS(Internal_labour_inputs!AP$8:AP$295,Internal_labour_inputs!$B$8:$B$295,$B55,Internal_labour_inputs!$F$8:$F$295,"New")</f>
        <v>5</v>
      </c>
      <c r="AI93" s="192">
        <f>SUMIFS(Internal_labour_inputs!AQ$8:AQ$295,Internal_labour_inputs!$B$8:$B$295,$B55,Internal_labour_inputs!$F$8:$F$295,"New")</f>
        <v>5</v>
      </c>
      <c r="AJ93" s="192">
        <f>SUMIFS(Internal_labour_inputs!AR$8:AR$295,Internal_labour_inputs!$B$8:$B$295,$B55,Internal_labour_inputs!$F$8:$F$295,"New")</f>
        <v>5</v>
      </c>
      <c r="AK93" s="192">
        <f>SUMIFS(Internal_labour_inputs!AS$8:AS$295,Internal_labour_inputs!$B$8:$B$295,$B55,Internal_labour_inputs!$F$8:$F$295,"New")</f>
        <v>5</v>
      </c>
      <c r="AL93" s="192">
        <f>SUMIFS(Internal_labour_inputs!AT$8:AT$295,Internal_labour_inputs!$B$8:$B$295,$B55,Internal_labour_inputs!$F$8:$F$295,"New")</f>
        <v>5</v>
      </c>
      <c r="AM93" s="192">
        <f>SUMIFS(Internal_labour_inputs!AU$8:AU$295,Internal_labour_inputs!$B$8:$B$295,$B55,Internal_labour_inputs!$F$8:$F$295,"New")</f>
        <v>5</v>
      </c>
      <c r="AN93" s="192">
        <f>SUMIFS(Internal_labour_inputs!AV$8:AV$295,Internal_labour_inputs!$B$8:$B$295,$B55,Internal_labour_inputs!$F$8:$F$295,"New")</f>
        <v>5</v>
      </c>
      <c r="AO93" s="192">
        <f>SUMIFS(Internal_labour_inputs!AW$8:AW$295,Internal_labour_inputs!$B$8:$B$295,$B55,Internal_labour_inputs!$F$8:$F$295,"New")</f>
        <v>5</v>
      </c>
      <c r="AP93" s="192">
        <f>SUMIFS(Internal_labour_inputs!AX$8:AX$295,Internal_labour_inputs!$B$8:$B$295,$B55,Internal_labour_inputs!$F$8:$F$295,"New")</f>
        <v>5</v>
      </c>
      <c r="AQ93" s="192">
        <f>SUMIFS(Internal_labour_inputs!AY$8:AY$295,Internal_labour_inputs!$B$8:$B$295,$B55,Internal_labour_inputs!$F$8:$F$295,"New")</f>
        <v>5</v>
      </c>
      <c r="AR93" s="192">
        <f>SUMIFS(Internal_labour_inputs!AZ$8:AZ$295,Internal_labour_inputs!$B$8:$B$295,$B55,Internal_labour_inputs!$F$8:$F$295,"New")</f>
        <v>5</v>
      </c>
      <c r="AS93" s="192">
        <f>SUMIFS(Internal_labour_inputs!BA$8:BA$295,Internal_labour_inputs!$B$8:$B$295,$B55,Internal_labour_inputs!$F$8:$F$295,"New")</f>
        <v>5</v>
      </c>
      <c r="AT93" s="192">
        <f>SUMIFS(Internal_labour_inputs!BB$8:BB$295,Internal_labour_inputs!$B$8:$B$295,$B55,Internal_labour_inputs!$F$8:$F$295,"New")</f>
        <v>5</v>
      </c>
      <c r="AU93" s="192">
        <f>SUMIFS(Internal_labour_inputs!BC$8:BC$295,Internal_labour_inputs!$B$8:$B$295,$B55,Internal_labour_inputs!$F$8:$F$295,"New")</f>
        <v>5</v>
      </c>
      <c r="AV93" s="192">
        <f>SUMIFS(Internal_labour_inputs!BD$8:BD$295,Internal_labour_inputs!$B$8:$B$295,$B55,Internal_labour_inputs!$F$8:$F$295,"New")</f>
        <v>5</v>
      </c>
      <c r="AW93" s="192">
        <f>SUMIFS(Internal_labour_inputs!BE$8:BE$295,Internal_labour_inputs!$B$8:$B$295,$B55,Internal_labour_inputs!$F$8:$F$295,"New")</f>
        <v>5</v>
      </c>
      <c r="AX93" s="192">
        <f>SUMIFS(Internal_labour_inputs!BF$8:BF$295,Internal_labour_inputs!$B$8:$B$295,$B55,Internal_labour_inputs!$F$8:$F$295,"New")</f>
        <v>5.6666666666666661</v>
      </c>
      <c r="AY93" s="192">
        <f>SUMIFS(Internal_labour_inputs!BG$8:BG$295,Internal_labour_inputs!$B$8:$B$295,$B55,Internal_labour_inputs!$F$8:$F$295,"New")</f>
        <v>3</v>
      </c>
      <c r="AZ93" s="192">
        <f>SUMIFS(Internal_labour_inputs!BH$8:BH$295,Internal_labour_inputs!$B$8:$B$295,$B55,Internal_labour_inputs!$F$8:$F$295,"New")</f>
        <v>3</v>
      </c>
      <c r="BA93" s="192">
        <f>SUMIFS(Internal_labour_inputs!BI$8:BI$295,Internal_labour_inputs!$B$8:$B$295,$B55,Internal_labour_inputs!$F$8:$F$295,"New")</f>
        <v>0</v>
      </c>
      <c r="BB93" s="192">
        <f>SUMIFS(Internal_labour_inputs!BJ$8:BJ$295,Internal_labour_inputs!$B$8:$B$295,$B55,Internal_labour_inputs!$F$8:$F$295,"New")</f>
        <v>0</v>
      </c>
      <c r="BC93" s="192">
        <f>SUMIFS(Internal_labour_inputs!BK$8:BK$295,Internal_labour_inputs!$B$8:$B$295,$B55,Internal_labour_inputs!$F$8:$F$295,"New")</f>
        <v>0</v>
      </c>
      <c r="BD93" s="192">
        <f>SUMIFS(Internal_labour_inputs!BL$8:BL$295,Internal_labour_inputs!$B$8:$B$295,$B55,Internal_labour_inputs!$F$8:$F$295,"New")</f>
        <v>0</v>
      </c>
      <c r="BE93" s="192">
        <f>SUMIFS(Internal_labour_inputs!BM$8:BM$295,Internal_labour_inputs!$B$8:$B$295,$B55,Internal_labour_inputs!$F$8:$F$295,"New")</f>
        <v>0</v>
      </c>
      <c r="BF93" s="192">
        <f>SUMIFS(Internal_labour_inputs!BN$8:BN$295,Internal_labour_inputs!$B$8:$B$295,$B55,Internal_labour_inputs!$F$8:$F$295,"New")</f>
        <v>0</v>
      </c>
      <c r="BG93" s="192">
        <f>SUMIFS(Internal_labour_inputs!BO$8:BO$295,Internal_labour_inputs!$B$8:$B$295,$B55,Internal_labour_inputs!$F$8:$F$295,"New")</f>
        <v>0</v>
      </c>
      <c r="BH93" s="192">
        <f>SUMIFS(Internal_labour_inputs!BP$8:BP$295,Internal_labour_inputs!$B$8:$B$295,$B55,Internal_labour_inputs!$F$8:$F$295,"New")</f>
        <v>0</v>
      </c>
      <c r="BI93" s="192">
        <f>SUMIFS(Internal_labour_inputs!BQ$8:BQ$295,Internal_labour_inputs!$B$8:$B$295,$B55,Internal_labour_inputs!$F$8:$F$295,"New")</f>
        <v>0</v>
      </c>
      <c r="BJ93" s="192">
        <f>SUMIFS(Internal_labour_inputs!BR$8:BR$295,Internal_labour_inputs!$B$8:$B$295,$B55,Internal_labour_inputs!$F$8:$F$295,"New")</f>
        <v>0</v>
      </c>
      <c r="BK93" s="192">
        <f>SUMIFS(Internal_labour_inputs!BS$8:BS$295,Internal_labour_inputs!$B$8:$B$295,$B55,Internal_labour_inputs!$F$8:$F$295,"New")</f>
        <v>0</v>
      </c>
      <c r="BL93" s="192">
        <f>SUMIFS(Internal_labour_inputs!BT$8:BT$295,Internal_labour_inputs!$B$8:$B$295,$B55,Internal_labour_inputs!$F$8:$F$295,"New")</f>
        <v>0</v>
      </c>
      <c r="BM93" s="192">
        <f>SUMIFS(Internal_labour_inputs!BU$8:BU$295,Internal_labour_inputs!$B$8:$B$295,$B55,Internal_labour_inputs!$F$8:$F$295,"New")</f>
        <v>0</v>
      </c>
      <c r="BN93" s="192">
        <f>SUMIFS(Internal_labour_inputs!BV$8:BV$295,Internal_labour_inputs!$B$8:$B$295,$B55,Internal_labour_inputs!$F$8:$F$295,"New")</f>
        <v>0</v>
      </c>
      <c r="BO93" s="192">
        <f>SUMIFS(Internal_labour_inputs!BW$8:BW$295,Internal_labour_inputs!$B$8:$B$295,$B55,Internal_labour_inputs!$F$8:$F$295,"New")</f>
        <v>0</v>
      </c>
      <c r="BP93" s="192">
        <f>SUMIFS(Internal_labour_inputs!BX$8:BX$295,Internal_labour_inputs!$B$8:$B$295,$B55,Internal_labour_inputs!$F$8:$F$295,"New")</f>
        <v>0</v>
      </c>
      <c r="BQ93" s="192">
        <f>SUMIFS(Internal_labour_inputs!BY$8:BY$295,Internal_labour_inputs!$B$8:$B$295,$B55,Internal_labour_inputs!$F$8:$F$295,"New")</f>
        <v>0</v>
      </c>
      <c r="BR93" s="192">
        <f>SUMIFS(Internal_labour_inputs!BZ$8:BZ$295,Internal_labour_inputs!$B$8:$B$295,$B55,Internal_labour_inputs!$F$8:$F$295,"New")</f>
        <v>0</v>
      </c>
      <c r="BS93" s="192">
        <f>SUMIFS(Internal_labour_inputs!CA$8:CA$295,Internal_labour_inputs!$B$8:$B$295,$B55,Internal_labour_inputs!$F$8:$F$295,"New")</f>
        <v>0</v>
      </c>
      <c r="BT93" s="192">
        <f>SUMIFS(Internal_labour_inputs!CB$8:CB$295,Internal_labour_inputs!$B$8:$B$295,$B55,Internal_labour_inputs!$F$8:$F$295,"New")</f>
        <v>0</v>
      </c>
      <c r="BU93" s="192">
        <f>SUMIFS(Internal_labour_inputs!CC$8:CC$295,Internal_labour_inputs!$B$8:$B$295,$B55,Internal_labour_inputs!$F$8:$F$295,"New")</f>
        <v>0</v>
      </c>
      <c r="BV93" s="192">
        <f>SUMIFS(Internal_labour_inputs!CD$8:CD$295,Internal_labour_inputs!$B$8:$B$295,$B55,Internal_labour_inputs!$F$8:$F$295,"New")</f>
        <v>0</v>
      </c>
      <c r="BW93" s="192">
        <f>SUMIFS(Internal_labour_inputs!CE$8:CE$295,Internal_labour_inputs!$B$8:$B$295,$B55,Internal_labour_inputs!$F$8:$F$295,"New")</f>
        <v>0</v>
      </c>
      <c r="BX93" s="192">
        <f>SUMIFS(Internal_labour_inputs!CF$8:CF$295,Internal_labour_inputs!$B$8:$B$295,$B55,Internal_labour_inputs!$F$8:$F$295,"New")</f>
        <v>0</v>
      </c>
      <c r="BY93" s="192">
        <f>SUMIFS(Internal_labour_inputs!CG$8:CG$295,Internal_labour_inputs!$B$8:$B$295,$B55,Internal_labour_inputs!$F$8:$F$295,"New")</f>
        <v>0</v>
      </c>
      <c r="BZ93" s="192">
        <f>SUMIFS(Internal_labour_inputs!CH$8:CH$295,Internal_labour_inputs!$B$8:$B$295,$B55,Internal_labour_inputs!$F$8:$F$295,"New")</f>
        <v>0</v>
      </c>
      <c r="CA93" s="192">
        <f>SUMIFS(Internal_labour_inputs!CI$8:CI$295,Internal_labour_inputs!$B$8:$B$295,$B55,Internal_labour_inputs!$F$8:$F$295,"New")</f>
        <v>0</v>
      </c>
      <c r="CB93" s="192">
        <f>SUMIFS(Internal_labour_inputs!CJ$8:CJ$295,Internal_labour_inputs!$B$8:$B$295,$B55,Internal_labour_inputs!$F$8:$F$295,"New")</f>
        <v>0</v>
      </c>
      <c r="CC93" s="192">
        <f>SUMIFS(Internal_labour_inputs!CK$8:CK$295,Internal_labour_inputs!$B$8:$B$295,$B55,Internal_labour_inputs!$F$8:$F$295,"New")</f>
        <v>0</v>
      </c>
      <c r="CD93" s="192">
        <f>SUMIFS(Internal_labour_inputs!CL$8:CL$295,Internal_labour_inputs!$B$8:$B$295,$B55,Internal_labour_inputs!$F$8:$F$295,"New")</f>
        <v>0</v>
      </c>
      <c r="CE93" s="192">
        <f>SUMIFS(Internal_labour_inputs!CM$8:CM$295,Internal_labour_inputs!$B$8:$B$295,$B55,Internal_labour_inputs!$F$8:$F$295,"New")</f>
        <v>0</v>
      </c>
      <c r="CF93" s="192">
        <f>SUMIFS(Internal_labour_inputs!CN$8:CN$295,Internal_labour_inputs!$B$8:$B$295,$B55,Internal_labour_inputs!$F$8:$F$295,"New")</f>
        <v>0</v>
      </c>
      <c r="CG93" s="192">
        <f>SUMIFS(Internal_labour_inputs!CO$8:CO$295,Internal_labour_inputs!$B$8:$B$295,$B55,Internal_labour_inputs!$F$8:$F$295,"New")</f>
        <v>0</v>
      </c>
      <c r="CH93" s="192">
        <f>SUMIFS(Internal_labour_inputs!CP$8:CP$295,Internal_labour_inputs!$B$8:$B$295,$B55,Internal_labour_inputs!$F$8:$F$295,"New")</f>
        <v>0</v>
      </c>
      <c r="CI93" s="192">
        <f t="shared" si="36"/>
        <v>176.87719298245614</v>
      </c>
      <c r="CJ93" s="192">
        <f t="shared" si="37"/>
        <v>4.6546629732225302</v>
      </c>
      <c r="CK93" s="193"/>
      <c r="CL93" s="194"/>
    </row>
    <row r="94" spans="1:90" x14ac:dyDescent="0.3">
      <c r="B94" s="191" t="str">
        <f t="shared" si="35"/>
        <v>Project Delivery Management - Commissioning</v>
      </c>
      <c r="C94" s="192">
        <f>SUMIFS(Internal_labour_inputs!K$8:K$295,Internal_labour_inputs!$B$8:$B$295,$B56,Internal_labour_inputs!$F$8:$F$295,"New")</f>
        <v>0</v>
      </c>
      <c r="D94" s="192">
        <f>SUMIFS(Internal_labour_inputs!L$8:L$295,Internal_labour_inputs!$B$8:$B$295,$B56,Internal_labour_inputs!$F$8:$F$295,"New")</f>
        <v>0</v>
      </c>
      <c r="E94" s="192">
        <f>SUMIFS(Internal_labour_inputs!M$8:M$295,Internal_labour_inputs!$B$8:$B$295,$B56,Internal_labour_inputs!$F$8:$F$295,"New")</f>
        <v>0</v>
      </c>
      <c r="F94" s="192">
        <f>SUMIFS(Internal_labour_inputs!N$8:N$295,Internal_labour_inputs!$B$8:$B$295,$B56,Internal_labour_inputs!$F$8:$F$295,"New")</f>
        <v>0</v>
      </c>
      <c r="G94" s="192">
        <f>SUMIFS(Internal_labour_inputs!O$8:O$295,Internal_labour_inputs!$B$8:$B$295,$B56,Internal_labour_inputs!$F$8:$F$295,"New")</f>
        <v>0</v>
      </c>
      <c r="H94" s="192">
        <f>SUMIFS(Internal_labour_inputs!P$8:P$295,Internal_labour_inputs!$B$8:$B$295,$B56,Internal_labour_inputs!$F$8:$F$295,"New")</f>
        <v>0</v>
      </c>
      <c r="I94" s="192">
        <f>SUMIFS(Internal_labour_inputs!Q$8:Q$295,Internal_labour_inputs!$B$8:$B$295,$B56,Internal_labour_inputs!$F$8:$F$295,"New")</f>
        <v>0</v>
      </c>
      <c r="J94" s="192">
        <f>SUMIFS(Internal_labour_inputs!R$8:R$295,Internal_labour_inputs!$B$8:$B$295,$B56,Internal_labour_inputs!$F$8:$F$295,"New")</f>
        <v>0</v>
      </c>
      <c r="K94" s="192">
        <f>SUMIFS(Internal_labour_inputs!S$8:S$295,Internal_labour_inputs!$B$8:$B$295,$B56,Internal_labour_inputs!$F$8:$F$295,"New")</f>
        <v>0</v>
      </c>
      <c r="L94" s="192">
        <f>SUMIFS(Internal_labour_inputs!T$8:T$295,Internal_labour_inputs!$B$8:$B$295,$B56,Internal_labour_inputs!$F$8:$F$295,"New")</f>
        <v>0</v>
      </c>
      <c r="M94" s="192">
        <f>SUMIFS(Internal_labour_inputs!U$8:U$295,Internal_labour_inputs!$B$8:$B$295,$B56,Internal_labour_inputs!$F$8:$F$295,"New")</f>
        <v>0</v>
      </c>
      <c r="N94" s="192">
        <f>SUMIFS(Internal_labour_inputs!V$8:V$295,Internal_labour_inputs!$B$8:$B$295,$B56,Internal_labour_inputs!$F$8:$F$295,"New")</f>
        <v>0</v>
      </c>
      <c r="O94" s="192">
        <f>SUMIFS(Internal_labour_inputs!W$8:W$295,Internal_labour_inputs!$B$8:$B$295,$B56,Internal_labour_inputs!$F$8:$F$295,"New")</f>
        <v>0</v>
      </c>
      <c r="P94" s="192">
        <f>SUMIFS(Internal_labour_inputs!X$8:X$295,Internal_labour_inputs!$B$8:$B$295,$B56,Internal_labour_inputs!$F$8:$F$295,"New")</f>
        <v>0</v>
      </c>
      <c r="Q94" s="192">
        <f>SUMIFS(Internal_labour_inputs!Y$8:Y$295,Internal_labour_inputs!$B$8:$B$295,$B56,Internal_labour_inputs!$F$8:$F$295,"New")</f>
        <v>0</v>
      </c>
      <c r="R94" s="192">
        <f>SUMIFS(Internal_labour_inputs!Z$8:Z$295,Internal_labour_inputs!$B$8:$B$295,$B56,Internal_labour_inputs!$F$8:$F$295,"New")</f>
        <v>0</v>
      </c>
      <c r="S94" s="192">
        <f>SUMIFS(Internal_labour_inputs!AA$8:AA$295,Internal_labour_inputs!$B$8:$B$295,$B56,Internal_labour_inputs!$F$8:$F$295,"New")</f>
        <v>0</v>
      </c>
      <c r="T94" s="192">
        <f>SUMIFS(Internal_labour_inputs!AB$8:AB$295,Internal_labour_inputs!$B$8:$B$295,$B56,Internal_labour_inputs!$F$8:$F$295,"New")</f>
        <v>0</v>
      </c>
      <c r="U94" s="192">
        <f>SUMIFS(Internal_labour_inputs!AC$8:AC$295,Internal_labour_inputs!$B$8:$B$295,$B56,Internal_labour_inputs!$F$8:$F$295,"New")</f>
        <v>0</v>
      </c>
      <c r="V94" s="192">
        <f>SUMIFS(Internal_labour_inputs!AD$8:AD$295,Internal_labour_inputs!$B$8:$B$295,$B56,Internal_labour_inputs!$F$8:$F$295,"New")</f>
        <v>0</v>
      </c>
      <c r="W94" s="192">
        <f>SUMIFS(Internal_labour_inputs!AE$8:AE$295,Internal_labour_inputs!$B$8:$B$295,$B56,Internal_labour_inputs!$F$8:$F$295,"New")</f>
        <v>0</v>
      </c>
      <c r="X94" s="192">
        <f>SUMIFS(Internal_labour_inputs!AF$8:AF$295,Internal_labour_inputs!$B$8:$B$295,$B56,Internal_labour_inputs!$F$8:$F$295,"New")</f>
        <v>0</v>
      </c>
      <c r="Y94" s="192">
        <f>SUMIFS(Internal_labour_inputs!AG$8:AG$295,Internal_labour_inputs!$B$8:$B$295,$B56,Internal_labour_inputs!$F$8:$F$295,"New")</f>
        <v>0</v>
      </c>
      <c r="Z94" s="192">
        <f>SUMIFS(Internal_labour_inputs!AH$8:AH$295,Internal_labour_inputs!$B$8:$B$295,$B56,Internal_labour_inputs!$F$8:$F$295,"New")</f>
        <v>0</v>
      </c>
      <c r="AA94" s="192">
        <f>SUMIFS(Internal_labour_inputs!AI$8:AI$295,Internal_labour_inputs!$B$8:$B$295,$B56,Internal_labour_inputs!$F$8:$F$295,"New")</f>
        <v>0</v>
      </c>
      <c r="AB94" s="192">
        <f>SUMIFS(Internal_labour_inputs!AJ$8:AJ$295,Internal_labour_inputs!$B$8:$B$295,$B56,Internal_labour_inputs!$F$8:$F$295,"New")</f>
        <v>0</v>
      </c>
      <c r="AC94" s="192">
        <f>SUMIFS(Internal_labour_inputs!AK$8:AK$295,Internal_labour_inputs!$B$8:$B$295,$B56,Internal_labour_inputs!$F$8:$F$295,"New")</f>
        <v>0</v>
      </c>
      <c r="AD94" s="192">
        <f>SUMIFS(Internal_labour_inputs!AL$8:AL$295,Internal_labour_inputs!$B$8:$B$295,$B56,Internal_labour_inputs!$F$8:$F$295,"New")</f>
        <v>0</v>
      </c>
      <c r="AE94" s="192">
        <f>SUMIFS(Internal_labour_inputs!AM$8:AM$295,Internal_labour_inputs!$B$8:$B$295,$B56,Internal_labour_inputs!$F$8:$F$295,"New")</f>
        <v>0</v>
      </c>
      <c r="AF94" s="192">
        <f>SUMIFS(Internal_labour_inputs!AN$8:AN$295,Internal_labour_inputs!$B$8:$B$295,$B56,Internal_labour_inputs!$F$8:$F$295,"New")</f>
        <v>0</v>
      </c>
      <c r="AG94" s="192">
        <f>SUMIFS(Internal_labour_inputs!AO$8:AO$295,Internal_labour_inputs!$B$8:$B$295,$B56,Internal_labour_inputs!$F$8:$F$295,"New")</f>
        <v>0</v>
      </c>
      <c r="AH94" s="192">
        <f>SUMIFS(Internal_labour_inputs!AP$8:AP$295,Internal_labour_inputs!$B$8:$B$295,$B56,Internal_labour_inputs!$F$8:$F$295,"New")</f>
        <v>0</v>
      </c>
      <c r="AI94" s="192">
        <f>SUMIFS(Internal_labour_inputs!AQ$8:AQ$295,Internal_labour_inputs!$B$8:$B$295,$B56,Internal_labour_inputs!$F$8:$F$295,"New")</f>
        <v>0</v>
      </c>
      <c r="AJ94" s="192">
        <f>SUMIFS(Internal_labour_inputs!AR$8:AR$295,Internal_labour_inputs!$B$8:$B$295,$B56,Internal_labour_inputs!$F$8:$F$295,"New")</f>
        <v>0</v>
      </c>
      <c r="AK94" s="192">
        <f>SUMIFS(Internal_labour_inputs!AS$8:AS$295,Internal_labour_inputs!$B$8:$B$295,$B56,Internal_labour_inputs!$F$8:$F$295,"New")</f>
        <v>0</v>
      </c>
      <c r="AL94" s="192">
        <f>SUMIFS(Internal_labour_inputs!AT$8:AT$295,Internal_labour_inputs!$B$8:$B$295,$B56,Internal_labour_inputs!$F$8:$F$295,"New")</f>
        <v>0</v>
      </c>
      <c r="AM94" s="192">
        <f>SUMIFS(Internal_labour_inputs!AU$8:AU$295,Internal_labour_inputs!$B$8:$B$295,$B56,Internal_labour_inputs!$F$8:$F$295,"New")</f>
        <v>0</v>
      </c>
      <c r="AN94" s="192">
        <f>SUMIFS(Internal_labour_inputs!AV$8:AV$295,Internal_labour_inputs!$B$8:$B$295,$B56,Internal_labour_inputs!$F$8:$F$295,"New")</f>
        <v>0</v>
      </c>
      <c r="AO94" s="192">
        <f>SUMIFS(Internal_labour_inputs!AW$8:AW$295,Internal_labour_inputs!$B$8:$B$295,$B56,Internal_labour_inputs!$F$8:$F$295,"New")</f>
        <v>0</v>
      </c>
      <c r="AP94" s="192">
        <f>SUMIFS(Internal_labour_inputs!AX$8:AX$295,Internal_labour_inputs!$B$8:$B$295,$B56,Internal_labour_inputs!$F$8:$F$295,"New")</f>
        <v>0</v>
      </c>
      <c r="AQ94" s="192">
        <f>SUMIFS(Internal_labour_inputs!AY$8:AY$295,Internal_labour_inputs!$B$8:$B$295,$B56,Internal_labour_inputs!$F$8:$F$295,"New")</f>
        <v>0</v>
      </c>
      <c r="AR94" s="192">
        <f>SUMIFS(Internal_labour_inputs!AZ$8:AZ$295,Internal_labour_inputs!$B$8:$B$295,$B56,Internal_labour_inputs!$F$8:$F$295,"New")</f>
        <v>0</v>
      </c>
      <c r="AS94" s="192">
        <f>SUMIFS(Internal_labour_inputs!BA$8:BA$295,Internal_labour_inputs!$B$8:$B$295,$B56,Internal_labour_inputs!$F$8:$F$295,"New")</f>
        <v>0</v>
      </c>
      <c r="AT94" s="192">
        <f>SUMIFS(Internal_labour_inputs!BB$8:BB$295,Internal_labour_inputs!$B$8:$B$295,$B56,Internal_labour_inputs!$F$8:$F$295,"New")</f>
        <v>0</v>
      </c>
      <c r="AU94" s="192">
        <f>SUMIFS(Internal_labour_inputs!BC$8:BC$295,Internal_labour_inputs!$B$8:$B$295,$B56,Internal_labour_inputs!$F$8:$F$295,"New")</f>
        <v>0</v>
      </c>
      <c r="AV94" s="192">
        <f>SUMIFS(Internal_labour_inputs!BD$8:BD$295,Internal_labour_inputs!$B$8:$B$295,$B56,Internal_labour_inputs!$F$8:$F$295,"New")</f>
        <v>0</v>
      </c>
      <c r="AW94" s="192">
        <f>SUMIFS(Internal_labour_inputs!BE$8:BE$295,Internal_labour_inputs!$B$8:$B$295,$B56,Internal_labour_inputs!$F$8:$F$295,"New")</f>
        <v>0</v>
      </c>
      <c r="AX94" s="192">
        <f>SUMIFS(Internal_labour_inputs!BF$8:BF$295,Internal_labour_inputs!$B$8:$B$295,$B56,Internal_labour_inputs!$F$8:$F$295,"New")</f>
        <v>0</v>
      </c>
      <c r="AY94" s="192">
        <f>SUMIFS(Internal_labour_inputs!BG$8:BG$295,Internal_labour_inputs!$B$8:$B$295,$B56,Internal_labour_inputs!$F$8:$F$295,"New")</f>
        <v>0</v>
      </c>
      <c r="AZ94" s="192">
        <f>SUMIFS(Internal_labour_inputs!BH$8:BH$295,Internal_labour_inputs!$B$8:$B$295,$B56,Internal_labour_inputs!$F$8:$F$295,"New")</f>
        <v>0</v>
      </c>
      <c r="BA94" s="192">
        <f>SUMIFS(Internal_labour_inputs!BI$8:BI$295,Internal_labour_inputs!$B$8:$B$295,$B56,Internal_labour_inputs!$F$8:$F$295,"New")</f>
        <v>0</v>
      </c>
      <c r="BB94" s="192">
        <f>SUMIFS(Internal_labour_inputs!BJ$8:BJ$295,Internal_labour_inputs!$B$8:$B$295,$B56,Internal_labour_inputs!$F$8:$F$295,"New")</f>
        <v>0</v>
      </c>
      <c r="BC94" s="192">
        <f>SUMIFS(Internal_labour_inputs!BK$8:BK$295,Internal_labour_inputs!$B$8:$B$295,$B56,Internal_labour_inputs!$F$8:$F$295,"New")</f>
        <v>0</v>
      </c>
      <c r="BD94" s="192">
        <f>SUMIFS(Internal_labour_inputs!BL$8:BL$295,Internal_labour_inputs!$B$8:$B$295,$B56,Internal_labour_inputs!$F$8:$F$295,"New")</f>
        <v>0</v>
      </c>
      <c r="BE94" s="192">
        <f>SUMIFS(Internal_labour_inputs!BM$8:BM$295,Internal_labour_inputs!$B$8:$B$295,$B56,Internal_labour_inputs!$F$8:$F$295,"New")</f>
        <v>0</v>
      </c>
      <c r="BF94" s="192">
        <f>SUMIFS(Internal_labour_inputs!BN$8:BN$295,Internal_labour_inputs!$B$8:$B$295,$B56,Internal_labour_inputs!$F$8:$F$295,"New")</f>
        <v>0</v>
      </c>
      <c r="BG94" s="192">
        <f>SUMIFS(Internal_labour_inputs!BO$8:BO$295,Internal_labour_inputs!$B$8:$B$295,$B56,Internal_labour_inputs!$F$8:$F$295,"New")</f>
        <v>0</v>
      </c>
      <c r="BH94" s="192">
        <f>SUMIFS(Internal_labour_inputs!BP$8:BP$295,Internal_labour_inputs!$B$8:$B$295,$B56,Internal_labour_inputs!$F$8:$F$295,"New")</f>
        <v>0</v>
      </c>
      <c r="BI94" s="192">
        <f>SUMIFS(Internal_labour_inputs!BQ$8:BQ$295,Internal_labour_inputs!$B$8:$B$295,$B56,Internal_labour_inputs!$F$8:$F$295,"New")</f>
        <v>0</v>
      </c>
      <c r="BJ94" s="192">
        <f>SUMIFS(Internal_labour_inputs!BR$8:BR$295,Internal_labour_inputs!$B$8:$B$295,$B56,Internal_labour_inputs!$F$8:$F$295,"New")</f>
        <v>0</v>
      </c>
      <c r="BK94" s="192">
        <f>SUMIFS(Internal_labour_inputs!BS$8:BS$295,Internal_labour_inputs!$B$8:$B$295,$B56,Internal_labour_inputs!$F$8:$F$295,"New")</f>
        <v>0</v>
      </c>
      <c r="BL94" s="192">
        <f>SUMIFS(Internal_labour_inputs!BT$8:BT$295,Internal_labour_inputs!$B$8:$B$295,$B56,Internal_labour_inputs!$F$8:$F$295,"New")</f>
        <v>0</v>
      </c>
      <c r="BM94" s="192">
        <f>SUMIFS(Internal_labour_inputs!BU$8:BU$295,Internal_labour_inputs!$B$8:$B$295,$B56,Internal_labour_inputs!$F$8:$F$295,"New")</f>
        <v>0</v>
      </c>
      <c r="BN94" s="192">
        <f>SUMIFS(Internal_labour_inputs!BV$8:BV$295,Internal_labour_inputs!$B$8:$B$295,$B56,Internal_labour_inputs!$F$8:$F$295,"New")</f>
        <v>0</v>
      </c>
      <c r="BO94" s="192">
        <f>SUMIFS(Internal_labour_inputs!BW$8:BW$295,Internal_labour_inputs!$B$8:$B$295,$B56,Internal_labour_inputs!$F$8:$F$295,"New")</f>
        <v>0</v>
      </c>
      <c r="BP94" s="192">
        <f>SUMIFS(Internal_labour_inputs!BX$8:BX$295,Internal_labour_inputs!$B$8:$B$295,$B56,Internal_labour_inputs!$F$8:$F$295,"New")</f>
        <v>0</v>
      </c>
      <c r="BQ94" s="192">
        <f>SUMIFS(Internal_labour_inputs!BY$8:BY$295,Internal_labour_inputs!$B$8:$B$295,$B56,Internal_labour_inputs!$F$8:$F$295,"New")</f>
        <v>0</v>
      </c>
      <c r="BR94" s="192">
        <f>SUMIFS(Internal_labour_inputs!BZ$8:BZ$295,Internal_labour_inputs!$B$8:$B$295,$B56,Internal_labour_inputs!$F$8:$F$295,"New")</f>
        <v>0</v>
      </c>
      <c r="BS94" s="192">
        <f>SUMIFS(Internal_labour_inputs!CA$8:CA$295,Internal_labour_inputs!$B$8:$B$295,$B56,Internal_labour_inputs!$F$8:$F$295,"New")</f>
        <v>0</v>
      </c>
      <c r="BT94" s="192">
        <f>SUMIFS(Internal_labour_inputs!CB$8:CB$295,Internal_labour_inputs!$B$8:$B$295,$B56,Internal_labour_inputs!$F$8:$F$295,"New")</f>
        <v>0</v>
      </c>
      <c r="BU94" s="192">
        <f>SUMIFS(Internal_labour_inputs!CC$8:CC$295,Internal_labour_inputs!$B$8:$B$295,$B56,Internal_labour_inputs!$F$8:$F$295,"New")</f>
        <v>0</v>
      </c>
      <c r="BV94" s="192">
        <f>SUMIFS(Internal_labour_inputs!CD$8:CD$295,Internal_labour_inputs!$B$8:$B$295,$B56,Internal_labour_inputs!$F$8:$F$295,"New")</f>
        <v>0</v>
      </c>
      <c r="BW94" s="192">
        <f>SUMIFS(Internal_labour_inputs!CE$8:CE$295,Internal_labour_inputs!$B$8:$B$295,$B56,Internal_labour_inputs!$F$8:$F$295,"New")</f>
        <v>0</v>
      </c>
      <c r="BX94" s="192">
        <f>SUMIFS(Internal_labour_inputs!CF$8:CF$295,Internal_labour_inputs!$B$8:$B$295,$B56,Internal_labour_inputs!$F$8:$F$295,"New")</f>
        <v>0</v>
      </c>
      <c r="BY94" s="192">
        <f>SUMIFS(Internal_labour_inputs!CG$8:CG$295,Internal_labour_inputs!$B$8:$B$295,$B56,Internal_labour_inputs!$F$8:$F$295,"New")</f>
        <v>0</v>
      </c>
      <c r="BZ94" s="192">
        <f>SUMIFS(Internal_labour_inputs!CH$8:CH$295,Internal_labour_inputs!$B$8:$B$295,$B56,Internal_labour_inputs!$F$8:$F$295,"New")</f>
        <v>0</v>
      </c>
      <c r="CA94" s="192">
        <f>SUMIFS(Internal_labour_inputs!CI$8:CI$295,Internal_labour_inputs!$B$8:$B$295,$B56,Internal_labour_inputs!$F$8:$F$295,"New")</f>
        <v>0</v>
      </c>
      <c r="CB94" s="192">
        <f>SUMIFS(Internal_labour_inputs!CJ$8:CJ$295,Internal_labour_inputs!$B$8:$B$295,$B56,Internal_labour_inputs!$F$8:$F$295,"New")</f>
        <v>0</v>
      </c>
      <c r="CC94" s="192">
        <f>SUMIFS(Internal_labour_inputs!CK$8:CK$295,Internal_labour_inputs!$B$8:$B$295,$B56,Internal_labour_inputs!$F$8:$F$295,"New")</f>
        <v>0</v>
      </c>
      <c r="CD94" s="192">
        <f>SUMIFS(Internal_labour_inputs!CL$8:CL$295,Internal_labour_inputs!$B$8:$B$295,$B56,Internal_labour_inputs!$F$8:$F$295,"New")</f>
        <v>0</v>
      </c>
      <c r="CE94" s="192">
        <f>SUMIFS(Internal_labour_inputs!CM$8:CM$295,Internal_labour_inputs!$B$8:$B$295,$B56,Internal_labour_inputs!$F$8:$F$295,"New")</f>
        <v>0</v>
      </c>
      <c r="CF94" s="192">
        <f>SUMIFS(Internal_labour_inputs!CN$8:CN$295,Internal_labour_inputs!$B$8:$B$295,$B56,Internal_labour_inputs!$F$8:$F$295,"New")</f>
        <v>0</v>
      </c>
      <c r="CG94" s="192">
        <f>SUMIFS(Internal_labour_inputs!CO$8:CO$295,Internal_labour_inputs!$B$8:$B$295,$B56,Internal_labour_inputs!$F$8:$F$295,"New")</f>
        <v>0</v>
      </c>
      <c r="CH94" s="192">
        <f>SUMIFS(Internal_labour_inputs!CP$8:CP$295,Internal_labour_inputs!$B$8:$B$295,$B56,Internal_labour_inputs!$F$8:$F$295,"New")</f>
        <v>0</v>
      </c>
      <c r="CI94" s="192">
        <f t="shared" si="36"/>
        <v>0</v>
      </c>
      <c r="CJ94" s="192">
        <f t="shared" si="37"/>
        <v>0</v>
      </c>
      <c r="CK94" s="193"/>
      <c r="CL94" s="194"/>
    </row>
    <row r="95" spans="1:90" x14ac:dyDescent="0.3">
      <c r="B95" s="191" t="str">
        <f t="shared" si="35"/>
        <v>Project Delivery Management - Construction Management</v>
      </c>
      <c r="C95" s="192">
        <f>SUMIFS(Internal_labour_inputs!K$8:K$295,Internal_labour_inputs!$B$8:$B$295,$B57,Internal_labour_inputs!$F$8:$F$295,"New")</f>
        <v>0</v>
      </c>
      <c r="D95" s="192">
        <f>SUMIFS(Internal_labour_inputs!L$8:L$295,Internal_labour_inputs!$B$8:$B$295,$B57,Internal_labour_inputs!$F$8:$F$295,"New")</f>
        <v>0</v>
      </c>
      <c r="E95" s="192">
        <f>SUMIFS(Internal_labour_inputs!M$8:M$295,Internal_labour_inputs!$B$8:$B$295,$B57,Internal_labour_inputs!$F$8:$F$295,"New")</f>
        <v>0</v>
      </c>
      <c r="F95" s="192">
        <f>SUMIFS(Internal_labour_inputs!N$8:N$295,Internal_labour_inputs!$B$8:$B$295,$B57,Internal_labour_inputs!$F$8:$F$295,"New")</f>
        <v>0</v>
      </c>
      <c r="G95" s="192">
        <f>SUMIFS(Internal_labour_inputs!O$8:O$295,Internal_labour_inputs!$B$8:$B$295,$B57,Internal_labour_inputs!$F$8:$F$295,"New")</f>
        <v>0</v>
      </c>
      <c r="H95" s="192">
        <f>SUMIFS(Internal_labour_inputs!P$8:P$295,Internal_labour_inputs!$B$8:$B$295,$B57,Internal_labour_inputs!$F$8:$F$295,"New")</f>
        <v>0</v>
      </c>
      <c r="I95" s="192">
        <f>SUMIFS(Internal_labour_inputs!Q$8:Q$295,Internal_labour_inputs!$B$8:$B$295,$B57,Internal_labour_inputs!$F$8:$F$295,"New")</f>
        <v>0</v>
      </c>
      <c r="J95" s="192">
        <f>SUMIFS(Internal_labour_inputs!R$8:R$295,Internal_labour_inputs!$B$8:$B$295,$B57,Internal_labour_inputs!$F$8:$F$295,"New")</f>
        <v>0</v>
      </c>
      <c r="K95" s="192">
        <f>SUMIFS(Internal_labour_inputs!S$8:S$295,Internal_labour_inputs!$B$8:$B$295,$B57,Internal_labour_inputs!$F$8:$F$295,"New")</f>
        <v>0</v>
      </c>
      <c r="L95" s="192">
        <f>SUMIFS(Internal_labour_inputs!T$8:T$295,Internal_labour_inputs!$B$8:$B$295,$B57,Internal_labour_inputs!$F$8:$F$295,"New")</f>
        <v>0</v>
      </c>
      <c r="M95" s="192">
        <f>SUMIFS(Internal_labour_inputs!U$8:U$295,Internal_labour_inputs!$B$8:$B$295,$B57,Internal_labour_inputs!$F$8:$F$295,"New")</f>
        <v>0</v>
      </c>
      <c r="N95" s="192">
        <f>SUMIFS(Internal_labour_inputs!V$8:V$295,Internal_labour_inputs!$B$8:$B$295,$B57,Internal_labour_inputs!$F$8:$F$295,"New")</f>
        <v>0</v>
      </c>
      <c r="O95" s="192">
        <f>SUMIFS(Internal_labour_inputs!W$8:W$295,Internal_labour_inputs!$B$8:$B$295,$B57,Internal_labour_inputs!$F$8:$F$295,"New")</f>
        <v>0</v>
      </c>
      <c r="P95" s="192">
        <f>SUMIFS(Internal_labour_inputs!X$8:X$295,Internal_labour_inputs!$B$8:$B$295,$B57,Internal_labour_inputs!$F$8:$F$295,"New")</f>
        <v>0</v>
      </c>
      <c r="Q95" s="192">
        <f>SUMIFS(Internal_labour_inputs!Y$8:Y$295,Internal_labour_inputs!$B$8:$B$295,$B57,Internal_labour_inputs!$F$8:$F$295,"New")</f>
        <v>0</v>
      </c>
      <c r="R95" s="192">
        <f>SUMIFS(Internal_labour_inputs!Z$8:Z$295,Internal_labour_inputs!$B$8:$B$295,$B57,Internal_labour_inputs!$F$8:$F$295,"New")</f>
        <v>0</v>
      </c>
      <c r="S95" s="192">
        <f>SUMIFS(Internal_labour_inputs!AA$8:AA$295,Internal_labour_inputs!$B$8:$B$295,$B57,Internal_labour_inputs!$F$8:$F$295,"New")</f>
        <v>0</v>
      </c>
      <c r="T95" s="192">
        <f>SUMIFS(Internal_labour_inputs!AB$8:AB$295,Internal_labour_inputs!$B$8:$B$295,$B57,Internal_labour_inputs!$F$8:$F$295,"New")</f>
        <v>0</v>
      </c>
      <c r="U95" s="192">
        <f>SUMIFS(Internal_labour_inputs!AC$8:AC$295,Internal_labour_inputs!$B$8:$B$295,$B57,Internal_labour_inputs!$F$8:$F$295,"New")</f>
        <v>0</v>
      </c>
      <c r="V95" s="192">
        <f>SUMIFS(Internal_labour_inputs!AD$8:AD$295,Internal_labour_inputs!$B$8:$B$295,$B57,Internal_labour_inputs!$F$8:$F$295,"New")</f>
        <v>0</v>
      </c>
      <c r="W95" s="192">
        <f>SUMIFS(Internal_labour_inputs!AE$8:AE$295,Internal_labour_inputs!$B$8:$B$295,$B57,Internal_labour_inputs!$F$8:$F$295,"New")</f>
        <v>0</v>
      </c>
      <c r="X95" s="192">
        <f>SUMIFS(Internal_labour_inputs!AF$8:AF$295,Internal_labour_inputs!$B$8:$B$295,$B57,Internal_labour_inputs!$F$8:$F$295,"New")</f>
        <v>0</v>
      </c>
      <c r="Y95" s="192">
        <f>SUMIFS(Internal_labour_inputs!AG$8:AG$295,Internal_labour_inputs!$B$8:$B$295,$B57,Internal_labour_inputs!$F$8:$F$295,"New")</f>
        <v>0</v>
      </c>
      <c r="Z95" s="192">
        <f>SUMIFS(Internal_labour_inputs!AH$8:AH$295,Internal_labour_inputs!$B$8:$B$295,$B57,Internal_labour_inputs!$F$8:$F$295,"New")</f>
        <v>0</v>
      </c>
      <c r="AA95" s="192">
        <f>SUMIFS(Internal_labour_inputs!AI$8:AI$295,Internal_labour_inputs!$B$8:$B$295,$B57,Internal_labour_inputs!$F$8:$F$295,"New")</f>
        <v>0</v>
      </c>
      <c r="AB95" s="192">
        <f>SUMIFS(Internal_labour_inputs!AJ$8:AJ$295,Internal_labour_inputs!$B$8:$B$295,$B57,Internal_labour_inputs!$F$8:$F$295,"New")</f>
        <v>0</v>
      </c>
      <c r="AC95" s="192">
        <f>SUMIFS(Internal_labour_inputs!AK$8:AK$295,Internal_labour_inputs!$B$8:$B$295,$B57,Internal_labour_inputs!$F$8:$F$295,"New")</f>
        <v>0</v>
      </c>
      <c r="AD95" s="192">
        <f>SUMIFS(Internal_labour_inputs!AL$8:AL$295,Internal_labour_inputs!$B$8:$B$295,$B57,Internal_labour_inputs!$F$8:$F$295,"New")</f>
        <v>0</v>
      </c>
      <c r="AE95" s="192">
        <f>SUMIFS(Internal_labour_inputs!AM$8:AM$295,Internal_labour_inputs!$B$8:$B$295,$B57,Internal_labour_inputs!$F$8:$F$295,"New")</f>
        <v>0</v>
      </c>
      <c r="AF95" s="192">
        <f>SUMIFS(Internal_labour_inputs!AN$8:AN$295,Internal_labour_inputs!$B$8:$B$295,$B57,Internal_labour_inputs!$F$8:$F$295,"New")</f>
        <v>0</v>
      </c>
      <c r="AG95" s="192">
        <f>SUMIFS(Internal_labour_inputs!AO$8:AO$295,Internal_labour_inputs!$B$8:$B$295,$B57,Internal_labour_inputs!$F$8:$F$295,"New")</f>
        <v>0</v>
      </c>
      <c r="AH95" s="192">
        <f>SUMIFS(Internal_labour_inputs!AP$8:AP$295,Internal_labour_inputs!$B$8:$B$295,$B57,Internal_labour_inputs!$F$8:$F$295,"New")</f>
        <v>0</v>
      </c>
      <c r="AI95" s="192">
        <f>SUMIFS(Internal_labour_inputs!AQ$8:AQ$295,Internal_labour_inputs!$B$8:$B$295,$B57,Internal_labour_inputs!$F$8:$F$295,"New")</f>
        <v>0</v>
      </c>
      <c r="AJ95" s="192">
        <f>SUMIFS(Internal_labour_inputs!AR$8:AR$295,Internal_labour_inputs!$B$8:$B$295,$B57,Internal_labour_inputs!$F$8:$F$295,"New")</f>
        <v>0</v>
      </c>
      <c r="AK95" s="192">
        <f>SUMIFS(Internal_labour_inputs!AS$8:AS$295,Internal_labour_inputs!$B$8:$B$295,$B57,Internal_labour_inputs!$F$8:$F$295,"New")</f>
        <v>0</v>
      </c>
      <c r="AL95" s="192">
        <f>SUMIFS(Internal_labour_inputs!AT$8:AT$295,Internal_labour_inputs!$B$8:$B$295,$B57,Internal_labour_inputs!$F$8:$F$295,"New")</f>
        <v>0</v>
      </c>
      <c r="AM95" s="192">
        <f>SUMIFS(Internal_labour_inputs!AU$8:AU$295,Internal_labour_inputs!$B$8:$B$295,$B57,Internal_labour_inputs!$F$8:$F$295,"New")</f>
        <v>0</v>
      </c>
      <c r="AN95" s="192">
        <f>SUMIFS(Internal_labour_inputs!AV$8:AV$295,Internal_labour_inputs!$B$8:$B$295,$B57,Internal_labour_inputs!$F$8:$F$295,"New")</f>
        <v>0</v>
      </c>
      <c r="AO95" s="192">
        <f>SUMIFS(Internal_labour_inputs!AW$8:AW$295,Internal_labour_inputs!$B$8:$B$295,$B57,Internal_labour_inputs!$F$8:$F$295,"New")</f>
        <v>0</v>
      </c>
      <c r="AP95" s="192">
        <f>SUMIFS(Internal_labour_inputs!AX$8:AX$295,Internal_labour_inputs!$B$8:$B$295,$B57,Internal_labour_inputs!$F$8:$F$295,"New")</f>
        <v>0</v>
      </c>
      <c r="AQ95" s="192">
        <f>SUMIFS(Internal_labour_inputs!AY$8:AY$295,Internal_labour_inputs!$B$8:$B$295,$B57,Internal_labour_inputs!$F$8:$F$295,"New")</f>
        <v>0</v>
      </c>
      <c r="AR95" s="192">
        <f>SUMIFS(Internal_labour_inputs!AZ$8:AZ$295,Internal_labour_inputs!$B$8:$B$295,$B57,Internal_labour_inputs!$F$8:$F$295,"New")</f>
        <v>0</v>
      </c>
      <c r="AS95" s="192">
        <f>SUMIFS(Internal_labour_inputs!BA$8:BA$295,Internal_labour_inputs!$B$8:$B$295,$B57,Internal_labour_inputs!$F$8:$F$295,"New")</f>
        <v>0</v>
      </c>
      <c r="AT95" s="192">
        <f>SUMIFS(Internal_labour_inputs!BB$8:BB$295,Internal_labour_inputs!$B$8:$B$295,$B57,Internal_labour_inputs!$F$8:$F$295,"New")</f>
        <v>0</v>
      </c>
      <c r="AU95" s="192">
        <f>SUMIFS(Internal_labour_inputs!BC$8:BC$295,Internal_labour_inputs!$B$8:$B$295,$B57,Internal_labour_inputs!$F$8:$F$295,"New")</f>
        <v>0</v>
      </c>
      <c r="AV95" s="192">
        <f>SUMIFS(Internal_labour_inputs!BD$8:BD$295,Internal_labour_inputs!$B$8:$B$295,$B57,Internal_labour_inputs!$F$8:$F$295,"New")</f>
        <v>0</v>
      </c>
      <c r="AW95" s="192">
        <f>SUMIFS(Internal_labour_inputs!BE$8:BE$295,Internal_labour_inputs!$B$8:$B$295,$B57,Internal_labour_inputs!$F$8:$F$295,"New")</f>
        <v>0</v>
      </c>
      <c r="AX95" s="192">
        <f>SUMIFS(Internal_labour_inputs!BF$8:BF$295,Internal_labour_inputs!$B$8:$B$295,$B57,Internal_labour_inputs!$F$8:$F$295,"New")</f>
        <v>0</v>
      </c>
      <c r="AY95" s="192">
        <f>SUMIFS(Internal_labour_inputs!BG$8:BG$295,Internal_labour_inputs!$B$8:$B$295,$B57,Internal_labour_inputs!$F$8:$F$295,"New")</f>
        <v>0</v>
      </c>
      <c r="AZ95" s="192">
        <f>SUMIFS(Internal_labour_inputs!BH$8:BH$295,Internal_labour_inputs!$B$8:$B$295,$B57,Internal_labour_inputs!$F$8:$F$295,"New")</f>
        <v>0</v>
      </c>
      <c r="BA95" s="192">
        <f>SUMIFS(Internal_labour_inputs!BI$8:BI$295,Internal_labour_inputs!$B$8:$B$295,$B57,Internal_labour_inputs!$F$8:$F$295,"New")</f>
        <v>0</v>
      </c>
      <c r="BB95" s="192">
        <f>SUMIFS(Internal_labour_inputs!BJ$8:BJ$295,Internal_labour_inputs!$B$8:$B$295,$B57,Internal_labour_inputs!$F$8:$F$295,"New")</f>
        <v>0</v>
      </c>
      <c r="BC95" s="192">
        <f>SUMIFS(Internal_labour_inputs!BK$8:BK$295,Internal_labour_inputs!$B$8:$B$295,$B57,Internal_labour_inputs!$F$8:$F$295,"New")</f>
        <v>0</v>
      </c>
      <c r="BD95" s="192">
        <f>SUMIFS(Internal_labour_inputs!BL$8:BL$295,Internal_labour_inputs!$B$8:$B$295,$B57,Internal_labour_inputs!$F$8:$F$295,"New")</f>
        <v>0</v>
      </c>
      <c r="BE95" s="192">
        <f>SUMIFS(Internal_labour_inputs!BM$8:BM$295,Internal_labour_inputs!$B$8:$B$295,$B57,Internal_labour_inputs!$F$8:$F$295,"New")</f>
        <v>0</v>
      </c>
      <c r="BF95" s="192">
        <f>SUMIFS(Internal_labour_inputs!BN$8:BN$295,Internal_labour_inputs!$B$8:$B$295,$B57,Internal_labour_inputs!$F$8:$F$295,"New")</f>
        <v>0</v>
      </c>
      <c r="BG95" s="192">
        <f>SUMIFS(Internal_labour_inputs!BO$8:BO$295,Internal_labour_inputs!$B$8:$B$295,$B57,Internal_labour_inputs!$F$8:$F$295,"New")</f>
        <v>0</v>
      </c>
      <c r="BH95" s="192">
        <f>SUMIFS(Internal_labour_inputs!BP$8:BP$295,Internal_labour_inputs!$B$8:$B$295,$B57,Internal_labour_inputs!$F$8:$F$295,"New")</f>
        <v>0</v>
      </c>
      <c r="BI95" s="192">
        <f>SUMIFS(Internal_labour_inputs!BQ$8:BQ$295,Internal_labour_inputs!$B$8:$B$295,$B57,Internal_labour_inputs!$F$8:$F$295,"New")</f>
        <v>0</v>
      </c>
      <c r="BJ95" s="192">
        <f>SUMIFS(Internal_labour_inputs!BR$8:BR$295,Internal_labour_inputs!$B$8:$B$295,$B57,Internal_labour_inputs!$F$8:$F$295,"New")</f>
        <v>0</v>
      </c>
      <c r="BK95" s="192">
        <f>SUMIFS(Internal_labour_inputs!BS$8:BS$295,Internal_labour_inputs!$B$8:$B$295,$B57,Internal_labour_inputs!$F$8:$F$295,"New")</f>
        <v>0</v>
      </c>
      <c r="BL95" s="192">
        <f>SUMIFS(Internal_labour_inputs!BT$8:BT$295,Internal_labour_inputs!$B$8:$B$295,$B57,Internal_labour_inputs!$F$8:$F$295,"New")</f>
        <v>0</v>
      </c>
      <c r="BM95" s="192">
        <f>SUMIFS(Internal_labour_inputs!BU$8:BU$295,Internal_labour_inputs!$B$8:$B$295,$B57,Internal_labour_inputs!$F$8:$F$295,"New")</f>
        <v>0</v>
      </c>
      <c r="BN95" s="192">
        <f>SUMIFS(Internal_labour_inputs!BV$8:BV$295,Internal_labour_inputs!$B$8:$B$295,$B57,Internal_labour_inputs!$F$8:$F$295,"New")</f>
        <v>0</v>
      </c>
      <c r="BO95" s="192">
        <f>SUMIFS(Internal_labour_inputs!BW$8:BW$295,Internal_labour_inputs!$B$8:$B$295,$B57,Internal_labour_inputs!$F$8:$F$295,"New")</f>
        <v>0</v>
      </c>
      <c r="BP95" s="192">
        <f>SUMIFS(Internal_labour_inputs!BX$8:BX$295,Internal_labour_inputs!$B$8:$B$295,$B57,Internal_labour_inputs!$F$8:$F$295,"New")</f>
        <v>0</v>
      </c>
      <c r="BQ95" s="192">
        <f>SUMIFS(Internal_labour_inputs!BY$8:BY$295,Internal_labour_inputs!$B$8:$B$295,$B57,Internal_labour_inputs!$F$8:$F$295,"New")</f>
        <v>0</v>
      </c>
      <c r="BR95" s="192">
        <f>SUMIFS(Internal_labour_inputs!BZ$8:BZ$295,Internal_labour_inputs!$B$8:$B$295,$B57,Internal_labour_inputs!$F$8:$F$295,"New")</f>
        <v>0</v>
      </c>
      <c r="BS95" s="192">
        <f>SUMIFS(Internal_labour_inputs!CA$8:CA$295,Internal_labour_inputs!$B$8:$B$295,$B57,Internal_labour_inputs!$F$8:$F$295,"New")</f>
        <v>0</v>
      </c>
      <c r="BT95" s="192">
        <f>SUMIFS(Internal_labour_inputs!CB$8:CB$295,Internal_labour_inputs!$B$8:$B$295,$B57,Internal_labour_inputs!$F$8:$F$295,"New")</f>
        <v>0</v>
      </c>
      <c r="BU95" s="192">
        <f>SUMIFS(Internal_labour_inputs!CC$8:CC$295,Internal_labour_inputs!$B$8:$B$295,$B57,Internal_labour_inputs!$F$8:$F$295,"New")</f>
        <v>0</v>
      </c>
      <c r="BV95" s="192">
        <f>SUMIFS(Internal_labour_inputs!CD$8:CD$295,Internal_labour_inputs!$B$8:$B$295,$B57,Internal_labour_inputs!$F$8:$F$295,"New")</f>
        <v>0</v>
      </c>
      <c r="BW95" s="192">
        <f>SUMIFS(Internal_labour_inputs!CE$8:CE$295,Internal_labour_inputs!$B$8:$B$295,$B57,Internal_labour_inputs!$F$8:$F$295,"New")</f>
        <v>0</v>
      </c>
      <c r="BX95" s="192">
        <f>SUMIFS(Internal_labour_inputs!CF$8:CF$295,Internal_labour_inputs!$B$8:$B$295,$B57,Internal_labour_inputs!$F$8:$F$295,"New")</f>
        <v>0</v>
      </c>
      <c r="BY95" s="192">
        <f>SUMIFS(Internal_labour_inputs!CG$8:CG$295,Internal_labour_inputs!$B$8:$B$295,$B57,Internal_labour_inputs!$F$8:$F$295,"New")</f>
        <v>0</v>
      </c>
      <c r="BZ95" s="192">
        <f>SUMIFS(Internal_labour_inputs!CH$8:CH$295,Internal_labour_inputs!$B$8:$B$295,$B57,Internal_labour_inputs!$F$8:$F$295,"New")</f>
        <v>0</v>
      </c>
      <c r="CA95" s="192">
        <f>SUMIFS(Internal_labour_inputs!CI$8:CI$295,Internal_labour_inputs!$B$8:$B$295,$B57,Internal_labour_inputs!$F$8:$F$295,"New")</f>
        <v>0</v>
      </c>
      <c r="CB95" s="192">
        <f>SUMIFS(Internal_labour_inputs!CJ$8:CJ$295,Internal_labour_inputs!$B$8:$B$295,$B57,Internal_labour_inputs!$F$8:$F$295,"New")</f>
        <v>0</v>
      </c>
      <c r="CC95" s="192">
        <f>SUMIFS(Internal_labour_inputs!CK$8:CK$295,Internal_labour_inputs!$B$8:$B$295,$B57,Internal_labour_inputs!$F$8:$F$295,"New")</f>
        <v>0</v>
      </c>
      <c r="CD95" s="192">
        <f>SUMIFS(Internal_labour_inputs!CL$8:CL$295,Internal_labour_inputs!$B$8:$B$295,$B57,Internal_labour_inputs!$F$8:$F$295,"New")</f>
        <v>0</v>
      </c>
      <c r="CE95" s="192">
        <f>SUMIFS(Internal_labour_inputs!CM$8:CM$295,Internal_labour_inputs!$B$8:$B$295,$B57,Internal_labour_inputs!$F$8:$F$295,"New")</f>
        <v>0</v>
      </c>
      <c r="CF95" s="192">
        <f>SUMIFS(Internal_labour_inputs!CN$8:CN$295,Internal_labour_inputs!$B$8:$B$295,$B57,Internal_labour_inputs!$F$8:$F$295,"New")</f>
        <v>0</v>
      </c>
      <c r="CG95" s="192">
        <f>SUMIFS(Internal_labour_inputs!CO$8:CO$295,Internal_labour_inputs!$B$8:$B$295,$B57,Internal_labour_inputs!$F$8:$F$295,"New")</f>
        <v>0</v>
      </c>
      <c r="CH95" s="192">
        <f>SUMIFS(Internal_labour_inputs!CP$8:CP$295,Internal_labour_inputs!$B$8:$B$295,$B57,Internal_labour_inputs!$F$8:$F$295,"New")</f>
        <v>0</v>
      </c>
      <c r="CI95" s="192">
        <f t="shared" si="36"/>
        <v>0</v>
      </c>
      <c r="CJ95" s="192">
        <f t="shared" si="37"/>
        <v>0</v>
      </c>
      <c r="CK95" s="193"/>
      <c r="CL95" s="194"/>
    </row>
    <row r="96" spans="1:90" x14ac:dyDescent="0.3">
      <c r="B96" s="191" t="str">
        <f t="shared" si="35"/>
        <v>Project Delivery Management - Project Controls</v>
      </c>
      <c r="C96" s="192">
        <f>SUMIFS(Internal_labour_inputs!K$8:K$295,Internal_labour_inputs!$B$8:$B$295,$B58,Internal_labour_inputs!$F$8:$F$295,"New")</f>
        <v>0</v>
      </c>
      <c r="D96" s="192">
        <f>SUMIFS(Internal_labour_inputs!L$8:L$295,Internal_labour_inputs!$B$8:$B$295,$B58,Internal_labour_inputs!$F$8:$F$295,"New")</f>
        <v>0</v>
      </c>
      <c r="E96" s="192">
        <f>SUMIFS(Internal_labour_inputs!M$8:M$295,Internal_labour_inputs!$B$8:$B$295,$B58,Internal_labour_inputs!$F$8:$F$295,"New")</f>
        <v>0</v>
      </c>
      <c r="F96" s="192">
        <f>SUMIFS(Internal_labour_inputs!N$8:N$295,Internal_labour_inputs!$B$8:$B$295,$B58,Internal_labour_inputs!$F$8:$F$295,"New")</f>
        <v>0</v>
      </c>
      <c r="G96" s="192">
        <f>SUMIFS(Internal_labour_inputs!O$8:O$295,Internal_labour_inputs!$B$8:$B$295,$B58,Internal_labour_inputs!$F$8:$F$295,"New")</f>
        <v>0</v>
      </c>
      <c r="H96" s="192">
        <f>SUMIFS(Internal_labour_inputs!P$8:P$295,Internal_labour_inputs!$B$8:$B$295,$B58,Internal_labour_inputs!$F$8:$F$295,"New")</f>
        <v>0</v>
      </c>
      <c r="I96" s="192">
        <f>SUMIFS(Internal_labour_inputs!Q$8:Q$295,Internal_labour_inputs!$B$8:$B$295,$B58,Internal_labour_inputs!$F$8:$F$295,"New")</f>
        <v>0</v>
      </c>
      <c r="J96" s="192">
        <f>SUMIFS(Internal_labour_inputs!R$8:R$295,Internal_labour_inputs!$B$8:$B$295,$B58,Internal_labour_inputs!$F$8:$F$295,"New")</f>
        <v>0</v>
      </c>
      <c r="K96" s="192">
        <f>SUMIFS(Internal_labour_inputs!S$8:S$295,Internal_labour_inputs!$B$8:$B$295,$B58,Internal_labour_inputs!$F$8:$F$295,"New")</f>
        <v>0</v>
      </c>
      <c r="L96" s="192">
        <f>SUMIFS(Internal_labour_inputs!T$8:T$295,Internal_labour_inputs!$B$8:$B$295,$B58,Internal_labour_inputs!$F$8:$F$295,"New")</f>
        <v>0</v>
      </c>
      <c r="M96" s="192">
        <f>SUMIFS(Internal_labour_inputs!U$8:U$295,Internal_labour_inputs!$B$8:$B$295,$B58,Internal_labour_inputs!$F$8:$F$295,"New")</f>
        <v>0</v>
      </c>
      <c r="N96" s="192">
        <f>SUMIFS(Internal_labour_inputs!V$8:V$295,Internal_labour_inputs!$B$8:$B$295,$B58,Internal_labour_inputs!$F$8:$F$295,"New")</f>
        <v>0</v>
      </c>
      <c r="O96" s="192">
        <f>SUMIFS(Internal_labour_inputs!W$8:W$295,Internal_labour_inputs!$B$8:$B$295,$B58,Internal_labour_inputs!$F$8:$F$295,"New")</f>
        <v>0</v>
      </c>
      <c r="P96" s="192">
        <f>SUMIFS(Internal_labour_inputs!X$8:X$295,Internal_labour_inputs!$B$8:$B$295,$B58,Internal_labour_inputs!$F$8:$F$295,"New")</f>
        <v>2.5</v>
      </c>
      <c r="Q96" s="192">
        <f>SUMIFS(Internal_labour_inputs!Y$8:Y$295,Internal_labour_inputs!$B$8:$B$295,$B58,Internal_labour_inputs!$F$8:$F$295,"New")</f>
        <v>2.5</v>
      </c>
      <c r="R96" s="192">
        <f>SUMIFS(Internal_labour_inputs!Z$8:Z$295,Internal_labour_inputs!$B$8:$B$295,$B58,Internal_labour_inputs!$F$8:$F$295,"New")</f>
        <v>2.6666666666666665</v>
      </c>
      <c r="S96" s="192">
        <f>SUMIFS(Internal_labour_inputs!AA$8:AA$295,Internal_labour_inputs!$B$8:$B$295,$B58,Internal_labour_inputs!$F$8:$F$295,"New")</f>
        <v>2.3026315789473681</v>
      </c>
      <c r="T96" s="192">
        <f>SUMIFS(Internal_labour_inputs!AB$8:AB$295,Internal_labour_inputs!$B$8:$B$295,$B58,Internal_labour_inputs!$F$8:$F$295,"New")</f>
        <v>2.3026315789473681</v>
      </c>
      <c r="U96" s="192">
        <f>SUMIFS(Internal_labour_inputs!AC$8:AC$295,Internal_labour_inputs!$B$8:$B$295,$B58,Internal_labour_inputs!$F$8:$F$295,"New")</f>
        <v>2.5</v>
      </c>
      <c r="V96" s="192">
        <f>SUMIFS(Internal_labour_inputs!AD$8:AD$295,Internal_labour_inputs!$B$8:$B$295,$B58,Internal_labour_inputs!$F$8:$F$295,"New")</f>
        <v>2.5</v>
      </c>
      <c r="W96" s="192">
        <f>SUMIFS(Internal_labour_inputs!AE$8:AE$295,Internal_labour_inputs!$B$8:$B$295,$B58,Internal_labour_inputs!$F$8:$F$295,"New")</f>
        <v>2.5</v>
      </c>
      <c r="X96" s="192">
        <f>SUMIFS(Internal_labour_inputs!AF$8:AF$295,Internal_labour_inputs!$B$8:$B$295,$B58,Internal_labour_inputs!$F$8:$F$295,"New")</f>
        <v>2.5</v>
      </c>
      <c r="Y96" s="192">
        <f>SUMIFS(Internal_labour_inputs!AG$8:AG$295,Internal_labour_inputs!$B$8:$B$295,$B58,Internal_labour_inputs!$F$8:$F$295,"New")</f>
        <v>2.5</v>
      </c>
      <c r="Z96" s="192">
        <f>SUMIFS(Internal_labour_inputs!AH$8:AH$295,Internal_labour_inputs!$B$8:$B$295,$B58,Internal_labour_inputs!$F$8:$F$295,"New")</f>
        <v>2.6666666666666665</v>
      </c>
      <c r="AA96" s="192">
        <f>SUMIFS(Internal_labour_inputs!AI$8:AI$295,Internal_labour_inputs!$B$8:$B$295,$B58,Internal_labour_inputs!$F$8:$F$295,"New")</f>
        <v>2.6666666666666665</v>
      </c>
      <c r="AB96" s="192">
        <f>SUMIFS(Internal_labour_inputs!AJ$8:AJ$295,Internal_labour_inputs!$B$8:$B$295,$B58,Internal_labour_inputs!$F$8:$F$295,"New")</f>
        <v>2.5</v>
      </c>
      <c r="AC96" s="192">
        <f>SUMIFS(Internal_labour_inputs!AK$8:AK$295,Internal_labour_inputs!$B$8:$B$295,$B58,Internal_labour_inputs!$F$8:$F$295,"New")</f>
        <v>2.5</v>
      </c>
      <c r="AD96" s="192">
        <f>SUMIFS(Internal_labour_inputs!AL$8:AL$295,Internal_labour_inputs!$B$8:$B$295,$B58,Internal_labour_inputs!$F$8:$F$295,"New")</f>
        <v>2.6666666666666665</v>
      </c>
      <c r="AE96" s="192">
        <f>SUMIFS(Internal_labour_inputs!AM$8:AM$295,Internal_labour_inputs!$B$8:$B$295,$B58,Internal_labour_inputs!$F$8:$F$295,"New")</f>
        <v>2.4605263157894735</v>
      </c>
      <c r="AF96" s="192">
        <f>SUMIFS(Internal_labour_inputs!AN$8:AN$295,Internal_labour_inputs!$B$8:$B$295,$B58,Internal_labour_inputs!$F$8:$F$295,"New")</f>
        <v>2.4605263157894735</v>
      </c>
      <c r="AG96" s="192">
        <f>SUMIFS(Internal_labour_inputs!AO$8:AO$295,Internal_labour_inputs!$B$8:$B$295,$B58,Internal_labour_inputs!$F$8:$F$295,"New")</f>
        <v>2.5</v>
      </c>
      <c r="AH96" s="192">
        <f>SUMIFS(Internal_labour_inputs!AP$8:AP$295,Internal_labour_inputs!$B$8:$B$295,$B58,Internal_labour_inputs!$F$8:$F$295,"New")</f>
        <v>2.5</v>
      </c>
      <c r="AI96" s="192">
        <f>SUMIFS(Internal_labour_inputs!AQ$8:AQ$295,Internal_labour_inputs!$B$8:$B$295,$B58,Internal_labour_inputs!$F$8:$F$295,"New")</f>
        <v>2.5</v>
      </c>
      <c r="AJ96" s="192">
        <f>SUMIFS(Internal_labour_inputs!AR$8:AR$295,Internal_labour_inputs!$B$8:$B$295,$B58,Internal_labour_inputs!$F$8:$F$295,"New")</f>
        <v>2.5</v>
      </c>
      <c r="AK96" s="192">
        <f>SUMIFS(Internal_labour_inputs!AS$8:AS$295,Internal_labour_inputs!$B$8:$B$295,$B58,Internal_labour_inputs!$F$8:$F$295,"New")</f>
        <v>2.5</v>
      </c>
      <c r="AL96" s="192">
        <f>SUMIFS(Internal_labour_inputs!AT$8:AT$295,Internal_labour_inputs!$B$8:$B$295,$B58,Internal_labour_inputs!$F$8:$F$295,"New")</f>
        <v>2.6666666666666665</v>
      </c>
      <c r="AM96" s="192">
        <f>SUMIFS(Internal_labour_inputs!AU$8:AU$295,Internal_labour_inputs!$B$8:$B$295,$B58,Internal_labour_inputs!$F$8:$F$295,"New")</f>
        <v>2.6666666666666665</v>
      </c>
      <c r="AN96" s="192">
        <f>SUMIFS(Internal_labour_inputs!AV$8:AV$295,Internal_labour_inputs!$B$8:$B$295,$B58,Internal_labour_inputs!$F$8:$F$295,"New")</f>
        <v>2.5</v>
      </c>
      <c r="AO96" s="192">
        <f>SUMIFS(Internal_labour_inputs!AW$8:AW$295,Internal_labour_inputs!$B$8:$B$295,$B58,Internal_labour_inputs!$F$8:$F$295,"New")</f>
        <v>2.5</v>
      </c>
      <c r="AP96" s="192">
        <f>SUMIFS(Internal_labour_inputs!AX$8:AX$295,Internal_labour_inputs!$B$8:$B$295,$B58,Internal_labour_inputs!$F$8:$F$295,"New")</f>
        <v>2.6666666666666665</v>
      </c>
      <c r="AQ96" s="192">
        <f>SUMIFS(Internal_labour_inputs!AY$8:AY$295,Internal_labour_inputs!$B$8:$B$295,$B58,Internal_labour_inputs!$F$8:$F$295,"New")</f>
        <v>2.3815789473684212</v>
      </c>
      <c r="AR96" s="192">
        <f>SUMIFS(Internal_labour_inputs!AZ$8:AZ$295,Internal_labour_inputs!$B$8:$B$295,$B58,Internal_labour_inputs!$F$8:$F$295,"New")</f>
        <v>2.3815789473684212</v>
      </c>
      <c r="AS96" s="192">
        <f>SUMIFS(Internal_labour_inputs!BA$8:BA$295,Internal_labour_inputs!$B$8:$B$295,$B58,Internal_labour_inputs!$F$8:$F$295,"New")</f>
        <v>2.5</v>
      </c>
      <c r="AT96" s="192">
        <f>SUMIFS(Internal_labour_inputs!BB$8:BB$295,Internal_labour_inputs!$B$8:$B$295,$B58,Internal_labour_inputs!$F$8:$F$295,"New")</f>
        <v>2.5</v>
      </c>
      <c r="AU96" s="192">
        <f>SUMIFS(Internal_labour_inputs!BC$8:BC$295,Internal_labour_inputs!$B$8:$B$295,$B58,Internal_labour_inputs!$F$8:$F$295,"New")</f>
        <v>2.5</v>
      </c>
      <c r="AV96" s="192">
        <f>SUMIFS(Internal_labour_inputs!BD$8:BD$295,Internal_labour_inputs!$B$8:$B$295,$B58,Internal_labour_inputs!$F$8:$F$295,"New")</f>
        <v>2.5</v>
      </c>
      <c r="AW96" s="192">
        <f>SUMIFS(Internal_labour_inputs!BE$8:BE$295,Internal_labour_inputs!$B$8:$B$295,$B58,Internal_labour_inputs!$F$8:$F$295,"New")</f>
        <v>2.5</v>
      </c>
      <c r="AX96" s="192">
        <f>SUMIFS(Internal_labour_inputs!BF$8:BF$295,Internal_labour_inputs!$B$8:$B$295,$B58,Internal_labour_inputs!$F$8:$F$295,"New")</f>
        <v>3</v>
      </c>
      <c r="AY96" s="192">
        <f>SUMIFS(Internal_labour_inputs!BG$8:BG$295,Internal_labour_inputs!$B$8:$B$295,$B58,Internal_labour_inputs!$F$8:$F$295,"New")</f>
        <v>1.6666666666666665</v>
      </c>
      <c r="AZ96" s="192">
        <f>SUMIFS(Internal_labour_inputs!BH$8:BH$295,Internal_labour_inputs!$B$8:$B$295,$B58,Internal_labour_inputs!$F$8:$F$295,"New")</f>
        <v>1.5</v>
      </c>
      <c r="BA96" s="192">
        <f>SUMIFS(Internal_labour_inputs!BI$8:BI$295,Internal_labour_inputs!$B$8:$B$295,$B58,Internal_labour_inputs!$F$8:$F$295,"New")</f>
        <v>0</v>
      </c>
      <c r="BB96" s="192">
        <f>SUMIFS(Internal_labour_inputs!BJ$8:BJ$295,Internal_labour_inputs!$B$8:$B$295,$B58,Internal_labour_inputs!$F$8:$F$295,"New")</f>
        <v>0</v>
      </c>
      <c r="BC96" s="192">
        <f>SUMIFS(Internal_labour_inputs!BK$8:BK$295,Internal_labour_inputs!$B$8:$B$295,$B58,Internal_labour_inputs!$F$8:$F$295,"New")</f>
        <v>0</v>
      </c>
      <c r="BD96" s="192">
        <f>SUMIFS(Internal_labour_inputs!BL$8:BL$295,Internal_labour_inputs!$B$8:$B$295,$B58,Internal_labour_inputs!$F$8:$F$295,"New")</f>
        <v>0</v>
      </c>
      <c r="BE96" s="192">
        <f>SUMIFS(Internal_labour_inputs!BM$8:BM$295,Internal_labour_inputs!$B$8:$B$295,$B58,Internal_labour_inputs!$F$8:$F$295,"New")</f>
        <v>0</v>
      </c>
      <c r="BF96" s="192">
        <f>SUMIFS(Internal_labour_inputs!BN$8:BN$295,Internal_labour_inputs!$B$8:$B$295,$B58,Internal_labour_inputs!$F$8:$F$295,"New")</f>
        <v>0</v>
      </c>
      <c r="BG96" s="192">
        <f>SUMIFS(Internal_labour_inputs!BO$8:BO$295,Internal_labour_inputs!$B$8:$B$295,$B58,Internal_labour_inputs!$F$8:$F$295,"New")</f>
        <v>0</v>
      </c>
      <c r="BH96" s="192">
        <f>SUMIFS(Internal_labour_inputs!BP$8:BP$295,Internal_labour_inputs!$B$8:$B$295,$B58,Internal_labour_inputs!$F$8:$F$295,"New")</f>
        <v>0</v>
      </c>
      <c r="BI96" s="192">
        <f>SUMIFS(Internal_labour_inputs!BQ$8:BQ$295,Internal_labour_inputs!$B$8:$B$295,$B58,Internal_labour_inputs!$F$8:$F$295,"New")</f>
        <v>0</v>
      </c>
      <c r="BJ96" s="192">
        <f>SUMIFS(Internal_labour_inputs!BR$8:BR$295,Internal_labour_inputs!$B$8:$B$295,$B58,Internal_labour_inputs!$F$8:$F$295,"New")</f>
        <v>0</v>
      </c>
      <c r="BK96" s="192">
        <f>SUMIFS(Internal_labour_inputs!BS$8:BS$295,Internal_labour_inputs!$B$8:$B$295,$B58,Internal_labour_inputs!$F$8:$F$295,"New")</f>
        <v>0</v>
      </c>
      <c r="BL96" s="192">
        <f>SUMIFS(Internal_labour_inputs!BT$8:BT$295,Internal_labour_inputs!$B$8:$B$295,$B58,Internal_labour_inputs!$F$8:$F$295,"New")</f>
        <v>0</v>
      </c>
      <c r="BM96" s="192">
        <f>SUMIFS(Internal_labour_inputs!BU$8:BU$295,Internal_labour_inputs!$B$8:$B$295,$B58,Internal_labour_inputs!$F$8:$F$295,"New")</f>
        <v>0</v>
      </c>
      <c r="BN96" s="192">
        <f>SUMIFS(Internal_labour_inputs!BV$8:BV$295,Internal_labour_inputs!$B$8:$B$295,$B58,Internal_labour_inputs!$F$8:$F$295,"New")</f>
        <v>0</v>
      </c>
      <c r="BO96" s="192">
        <f>SUMIFS(Internal_labour_inputs!BW$8:BW$295,Internal_labour_inputs!$B$8:$B$295,$B58,Internal_labour_inputs!$F$8:$F$295,"New")</f>
        <v>0</v>
      </c>
      <c r="BP96" s="192">
        <f>SUMIFS(Internal_labour_inputs!BX$8:BX$295,Internal_labour_inputs!$B$8:$B$295,$B58,Internal_labour_inputs!$F$8:$F$295,"New")</f>
        <v>0</v>
      </c>
      <c r="BQ96" s="192">
        <f>SUMIFS(Internal_labour_inputs!BY$8:BY$295,Internal_labour_inputs!$B$8:$B$295,$B58,Internal_labour_inputs!$F$8:$F$295,"New")</f>
        <v>0</v>
      </c>
      <c r="BR96" s="192">
        <f>SUMIFS(Internal_labour_inputs!BZ$8:BZ$295,Internal_labour_inputs!$B$8:$B$295,$B58,Internal_labour_inputs!$F$8:$F$295,"New")</f>
        <v>0</v>
      </c>
      <c r="BS96" s="192">
        <f>SUMIFS(Internal_labour_inputs!CA$8:CA$295,Internal_labour_inputs!$B$8:$B$295,$B58,Internal_labour_inputs!$F$8:$F$295,"New")</f>
        <v>0</v>
      </c>
      <c r="BT96" s="192">
        <f>SUMIFS(Internal_labour_inputs!CB$8:CB$295,Internal_labour_inputs!$B$8:$B$295,$B58,Internal_labour_inputs!$F$8:$F$295,"New")</f>
        <v>0</v>
      </c>
      <c r="BU96" s="192">
        <f>SUMIFS(Internal_labour_inputs!CC$8:CC$295,Internal_labour_inputs!$B$8:$B$295,$B58,Internal_labour_inputs!$F$8:$F$295,"New")</f>
        <v>0</v>
      </c>
      <c r="BV96" s="192">
        <f>SUMIFS(Internal_labour_inputs!CD$8:CD$295,Internal_labour_inputs!$B$8:$B$295,$B58,Internal_labour_inputs!$F$8:$F$295,"New")</f>
        <v>0</v>
      </c>
      <c r="BW96" s="192">
        <f>SUMIFS(Internal_labour_inputs!CE$8:CE$295,Internal_labour_inputs!$B$8:$B$295,$B58,Internal_labour_inputs!$F$8:$F$295,"New")</f>
        <v>0</v>
      </c>
      <c r="BX96" s="192">
        <f>SUMIFS(Internal_labour_inputs!CF$8:CF$295,Internal_labour_inputs!$B$8:$B$295,$B58,Internal_labour_inputs!$F$8:$F$295,"New")</f>
        <v>0</v>
      </c>
      <c r="BY96" s="192">
        <f>SUMIFS(Internal_labour_inputs!CG$8:CG$295,Internal_labour_inputs!$B$8:$B$295,$B58,Internal_labour_inputs!$F$8:$F$295,"New")</f>
        <v>0</v>
      </c>
      <c r="BZ96" s="192">
        <f>SUMIFS(Internal_labour_inputs!CH$8:CH$295,Internal_labour_inputs!$B$8:$B$295,$B58,Internal_labour_inputs!$F$8:$F$295,"New")</f>
        <v>0</v>
      </c>
      <c r="CA96" s="192">
        <f>SUMIFS(Internal_labour_inputs!CI$8:CI$295,Internal_labour_inputs!$B$8:$B$295,$B58,Internal_labour_inputs!$F$8:$F$295,"New")</f>
        <v>0</v>
      </c>
      <c r="CB96" s="192">
        <f>SUMIFS(Internal_labour_inputs!CJ$8:CJ$295,Internal_labour_inputs!$B$8:$B$295,$B58,Internal_labour_inputs!$F$8:$F$295,"New")</f>
        <v>0</v>
      </c>
      <c r="CC96" s="192">
        <f>SUMIFS(Internal_labour_inputs!CK$8:CK$295,Internal_labour_inputs!$B$8:$B$295,$B58,Internal_labour_inputs!$F$8:$F$295,"New")</f>
        <v>0</v>
      </c>
      <c r="CD96" s="192">
        <f>SUMIFS(Internal_labour_inputs!CL$8:CL$295,Internal_labour_inputs!$B$8:$B$295,$B58,Internal_labour_inputs!$F$8:$F$295,"New")</f>
        <v>0</v>
      </c>
      <c r="CE96" s="192">
        <f>SUMIFS(Internal_labour_inputs!CM$8:CM$295,Internal_labour_inputs!$B$8:$B$295,$B58,Internal_labour_inputs!$F$8:$F$295,"New")</f>
        <v>0</v>
      </c>
      <c r="CF96" s="192">
        <f>SUMIFS(Internal_labour_inputs!CN$8:CN$295,Internal_labour_inputs!$B$8:$B$295,$B58,Internal_labour_inputs!$F$8:$F$295,"New")</f>
        <v>0</v>
      </c>
      <c r="CG96" s="192">
        <f>SUMIFS(Internal_labour_inputs!CO$8:CO$295,Internal_labour_inputs!$B$8:$B$295,$B58,Internal_labour_inputs!$F$8:$F$295,"New")</f>
        <v>0</v>
      </c>
      <c r="CH96" s="192">
        <f>SUMIFS(Internal_labour_inputs!CP$8:CP$295,Internal_labour_inputs!$B$8:$B$295,$B58,Internal_labour_inputs!$F$8:$F$295,"New")</f>
        <v>0</v>
      </c>
      <c r="CI96" s="192">
        <f t="shared" si="36"/>
        <v>91.622807017543863</v>
      </c>
      <c r="CJ96" s="192">
        <f t="shared" si="37"/>
        <v>2.4111265004616804</v>
      </c>
      <c r="CK96" s="193"/>
      <c r="CL96" s="194"/>
    </row>
    <row r="97" spans="1:93" x14ac:dyDescent="0.3">
      <c r="B97" s="191" t="str">
        <f t="shared" si="35"/>
        <v>Project Delivery Management - Project Engineering</v>
      </c>
      <c r="C97" s="192">
        <f>SUMIFS(Internal_labour_inputs!K$8:K$295,Internal_labour_inputs!$B$8:$B$295,$B59,Internal_labour_inputs!$F$8:$F$295,"New")</f>
        <v>0</v>
      </c>
      <c r="D97" s="192">
        <f>SUMIFS(Internal_labour_inputs!L$8:L$295,Internal_labour_inputs!$B$8:$B$295,$B59,Internal_labour_inputs!$F$8:$F$295,"New")</f>
        <v>0</v>
      </c>
      <c r="E97" s="192">
        <f>SUMIFS(Internal_labour_inputs!M$8:M$295,Internal_labour_inputs!$B$8:$B$295,$B59,Internal_labour_inputs!$F$8:$F$295,"New")</f>
        <v>0</v>
      </c>
      <c r="F97" s="192">
        <f>SUMIFS(Internal_labour_inputs!N$8:N$295,Internal_labour_inputs!$B$8:$B$295,$B59,Internal_labour_inputs!$F$8:$F$295,"New")</f>
        <v>0</v>
      </c>
      <c r="G97" s="192">
        <f>SUMIFS(Internal_labour_inputs!O$8:O$295,Internal_labour_inputs!$B$8:$B$295,$B59,Internal_labour_inputs!$F$8:$F$295,"New")</f>
        <v>0</v>
      </c>
      <c r="H97" s="192">
        <f>SUMIFS(Internal_labour_inputs!P$8:P$295,Internal_labour_inputs!$B$8:$B$295,$B59,Internal_labour_inputs!$F$8:$F$295,"New")</f>
        <v>0</v>
      </c>
      <c r="I97" s="192">
        <f>SUMIFS(Internal_labour_inputs!Q$8:Q$295,Internal_labour_inputs!$B$8:$B$295,$B59,Internal_labour_inputs!$F$8:$F$295,"New")</f>
        <v>0</v>
      </c>
      <c r="J97" s="192">
        <f>SUMIFS(Internal_labour_inputs!R$8:R$295,Internal_labour_inputs!$B$8:$B$295,$B59,Internal_labour_inputs!$F$8:$F$295,"New")</f>
        <v>0</v>
      </c>
      <c r="K97" s="192">
        <f>SUMIFS(Internal_labour_inputs!S$8:S$295,Internal_labour_inputs!$B$8:$B$295,$B59,Internal_labour_inputs!$F$8:$F$295,"New")</f>
        <v>0</v>
      </c>
      <c r="L97" s="192">
        <f>SUMIFS(Internal_labour_inputs!T$8:T$295,Internal_labour_inputs!$B$8:$B$295,$B59,Internal_labour_inputs!$F$8:$F$295,"New")</f>
        <v>0</v>
      </c>
      <c r="M97" s="192">
        <f>SUMIFS(Internal_labour_inputs!U$8:U$295,Internal_labour_inputs!$B$8:$B$295,$B59,Internal_labour_inputs!$F$8:$F$295,"New")</f>
        <v>0</v>
      </c>
      <c r="N97" s="192">
        <f>SUMIFS(Internal_labour_inputs!V$8:V$295,Internal_labour_inputs!$B$8:$B$295,$B59,Internal_labour_inputs!$F$8:$F$295,"New")</f>
        <v>0</v>
      </c>
      <c r="O97" s="192">
        <f>SUMIFS(Internal_labour_inputs!W$8:W$295,Internal_labour_inputs!$B$8:$B$295,$B59,Internal_labour_inputs!$F$8:$F$295,"New")</f>
        <v>0</v>
      </c>
      <c r="P97" s="192">
        <f>SUMIFS(Internal_labour_inputs!X$8:X$295,Internal_labour_inputs!$B$8:$B$295,$B59,Internal_labour_inputs!$F$8:$F$295,"New")</f>
        <v>0</v>
      </c>
      <c r="Q97" s="192">
        <f>SUMIFS(Internal_labour_inputs!Y$8:Y$295,Internal_labour_inputs!$B$8:$B$295,$B59,Internal_labour_inputs!$F$8:$F$295,"New")</f>
        <v>0</v>
      </c>
      <c r="R97" s="192">
        <f>SUMIFS(Internal_labour_inputs!Z$8:Z$295,Internal_labour_inputs!$B$8:$B$295,$B59,Internal_labour_inputs!$F$8:$F$295,"New")</f>
        <v>0</v>
      </c>
      <c r="S97" s="192">
        <f>SUMIFS(Internal_labour_inputs!AA$8:AA$295,Internal_labour_inputs!$B$8:$B$295,$B59,Internal_labour_inputs!$F$8:$F$295,"New")</f>
        <v>0</v>
      </c>
      <c r="T97" s="192">
        <f>SUMIFS(Internal_labour_inputs!AB$8:AB$295,Internal_labour_inputs!$B$8:$B$295,$B59,Internal_labour_inputs!$F$8:$F$295,"New")</f>
        <v>0</v>
      </c>
      <c r="U97" s="192">
        <f>SUMIFS(Internal_labour_inputs!AC$8:AC$295,Internal_labour_inputs!$B$8:$B$295,$B59,Internal_labour_inputs!$F$8:$F$295,"New")</f>
        <v>0</v>
      </c>
      <c r="V97" s="192">
        <f>SUMIFS(Internal_labour_inputs!AD$8:AD$295,Internal_labour_inputs!$B$8:$B$295,$B59,Internal_labour_inputs!$F$8:$F$295,"New")</f>
        <v>0</v>
      </c>
      <c r="W97" s="192">
        <f>SUMIFS(Internal_labour_inputs!AE$8:AE$295,Internal_labour_inputs!$B$8:$B$295,$B59,Internal_labour_inputs!$F$8:$F$295,"New")</f>
        <v>0</v>
      </c>
      <c r="X97" s="192">
        <f>SUMIFS(Internal_labour_inputs!AF$8:AF$295,Internal_labour_inputs!$B$8:$B$295,$B59,Internal_labour_inputs!$F$8:$F$295,"New")</f>
        <v>0</v>
      </c>
      <c r="Y97" s="192">
        <f>SUMIFS(Internal_labour_inputs!AG$8:AG$295,Internal_labour_inputs!$B$8:$B$295,$B59,Internal_labour_inputs!$F$8:$F$295,"New")</f>
        <v>0</v>
      </c>
      <c r="Z97" s="192">
        <f>SUMIFS(Internal_labour_inputs!AH$8:AH$295,Internal_labour_inputs!$B$8:$B$295,$B59,Internal_labour_inputs!$F$8:$F$295,"New")</f>
        <v>0</v>
      </c>
      <c r="AA97" s="192">
        <f>SUMIFS(Internal_labour_inputs!AI$8:AI$295,Internal_labour_inputs!$B$8:$B$295,$B59,Internal_labour_inputs!$F$8:$F$295,"New")</f>
        <v>0</v>
      </c>
      <c r="AB97" s="192">
        <f>SUMIFS(Internal_labour_inputs!AJ$8:AJ$295,Internal_labour_inputs!$B$8:$B$295,$B59,Internal_labour_inputs!$F$8:$F$295,"New")</f>
        <v>0</v>
      </c>
      <c r="AC97" s="192">
        <f>SUMIFS(Internal_labour_inputs!AK$8:AK$295,Internal_labour_inputs!$B$8:$B$295,$B59,Internal_labour_inputs!$F$8:$F$295,"New")</f>
        <v>0</v>
      </c>
      <c r="AD97" s="192">
        <f>SUMIFS(Internal_labour_inputs!AL$8:AL$295,Internal_labour_inputs!$B$8:$B$295,$B59,Internal_labour_inputs!$F$8:$F$295,"New")</f>
        <v>0</v>
      </c>
      <c r="AE97" s="192">
        <f>SUMIFS(Internal_labour_inputs!AM$8:AM$295,Internal_labour_inputs!$B$8:$B$295,$B59,Internal_labour_inputs!$F$8:$F$295,"New")</f>
        <v>0</v>
      </c>
      <c r="AF97" s="192">
        <f>SUMIFS(Internal_labour_inputs!AN$8:AN$295,Internal_labour_inputs!$B$8:$B$295,$B59,Internal_labour_inputs!$F$8:$F$295,"New")</f>
        <v>0</v>
      </c>
      <c r="AG97" s="192">
        <f>SUMIFS(Internal_labour_inputs!AO$8:AO$295,Internal_labour_inputs!$B$8:$B$295,$B59,Internal_labour_inputs!$F$8:$F$295,"New")</f>
        <v>0</v>
      </c>
      <c r="AH97" s="192">
        <f>SUMIFS(Internal_labour_inputs!AP$8:AP$295,Internal_labour_inputs!$B$8:$B$295,$B59,Internal_labour_inputs!$F$8:$F$295,"New")</f>
        <v>0</v>
      </c>
      <c r="AI97" s="192">
        <f>SUMIFS(Internal_labour_inputs!AQ$8:AQ$295,Internal_labour_inputs!$B$8:$B$295,$B59,Internal_labour_inputs!$F$8:$F$295,"New")</f>
        <v>0</v>
      </c>
      <c r="AJ97" s="192">
        <f>SUMIFS(Internal_labour_inputs!AR$8:AR$295,Internal_labour_inputs!$B$8:$B$295,$B59,Internal_labour_inputs!$F$8:$F$295,"New")</f>
        <v>0</v>
      </c>
      <c r="AK97" s="192">
        <f>SUMIFS(Internal_labour_inputs!AS$8:AS$295,Internal_labour_inputs!$B$8:$B$295,$B59,Internal_labour_inputs!$F$8:$F$295,"New")</f>
        <v>0</v>
      </c>
      <c r="AL97" s="192">
        <f>SUMIFS(Internal_labour_inputs!AT$8:AT$295,Internal_labour_inputs!$B$8:$B$295,$B59,Internal_labour_inputs!$F$8:$F$295,"New")</f>
        <v>0</v>
      </c>
      <c r="AM97" s="192">
        <f>SUMIFS(Internal_labour_inputs!AU$8:AU$295,Internal_labour_inputs!$B$8:$B$295,$B59,Internal_labour_inputs!$F$8:$F$295,"New")</f>
        <v>0</v>
      </c>
      <c r="AN97" s="192">
        <f>SUMIFS(Internal_labour_inputs!AV$8:AV$295,Internal_labour_inputs!$B$8:$B$295,$B59,Internal_labour_inputs!$F$8:$F$295,"New")</f>
        <v>0</v>
      </c>
      <c r="AO97" s="192">
        <f>SUMIFS(Internal_labour_inputs!AW$8:AW$295,Internal_labour_inputs!$B$8:$B$295,$B59,Internal_labour_inputs!$F$8:$F$295,"New")</f>
        <v>0</v>
      </c>
      <c r="AP97" s="192">
        <f>SUMIFS(Internal_labour_inputs!AX$8:AX$295,Internal_labour_inputs!$B$8:$B$295,$B59,Internal_labour_inputs!$F$8:$F$295,"New")</f>
        <v>0</v>
      </c>
      <c r="AQ97" s="192">
        <f>SUMIFS(Internal_labour_inputs!AY$8:AY$295,Internal_labour_inputs!$B$8:$B$295,$B59,Internal_labour_inputs!$F$8:$F$295,"New")</f>
        <v>0</v>
      </c>
      <c r="AR97" s="192">
        <f>SUMIFS(Internal_labour_inputs!AZ$8:AZ$295,Internal_labour_inputs!$B$8:$B$295,$B59,Internal_labour_inputs!$F$8:$F$295,"New")</f>
        <v>0</v>
      </c>
      <c r="AS97" s="192">
        <f>SUMIFS(Internal_labour_inputs!BA$8:BA$295,Internal_labour_inputs!$B$8:$B$295,$B59,Internal_labour_inputs!$F$8:$F$295,"New")</f>
        <v>0</v>
      </c>
      <c r="AT97" s="192">
        <f>SUMIFS(Internal_labour_inputs!BB$8:BB$295,Internal_labour_inputs!$B$8:$B$295,$B59,Internal_labour_inputs!$F$8:$F$295,"New")</f>
        <v>0</v>
      </c>
      <c r="AU97" s="192">
        <f>SUMIFS(Internal_labour_inputs!BC$8:BC$295,Internal_labour_inputs!$B$8:$B$295,$B59,Internal_labour_inputs!$F$8:$F$295,"New")</f>
        <v>0</v>
      </c>
      <c r="AV97" s="192">
        <f>SUMIFS(Internal_labour_inputs!BD$8:BD$295,Internal_labour_inputs!$B$8:$B$295,$B59,Internal_labour_inputs!$F$8:$F$295,"New")</f>
        <v>0</v>
      </c>
      <c r="AW97" s="192">
        <f>SUMIFS(Internal_labour_inputs!BE$8:BE$295,Internal_labour_inputs!$B$8:$B$295,$B59,Internal_labour_inputs!$F$8:$F$295,"New")</f>
        <v>0</v>
      </c>
      <c r="AX97" s="192">
        <f>SUMIFS(Internal_labour_inputs!BF$8:BF$295,Internal_labour_inputs!$B$8:$B$295,$B59,Internal_labour_inputs!$F$8:$F$295,"New")</f>
        <v>0</v>
      </c>
      <c r="AY97" s="192">
        <f>SUMIFS(Internal_labour_inputs!BG$8:BG$295,Internal_labour_inputs!$B$8:$B$295,$B59,Internal_labour_inputs!$F$8:$F$295,"New")</f>
        <v>0</v>
      </c>
      <c r="AZ97" s="192">
        <f>SUMIFS(Internal_labour_inputs!BH$8:BH$295,Internal_labour_inputs!$B$8:$B$295,$B59,Internal_labour_inputs!$F$8:$F$295,"New")</f>
        <v>0</v>
      </c>
      <c r="BA97" s="192">
        <f>SUMIFS(Internal_labour_inputs!BI$8:BI$295,Internal_labour_inputs!$B$8:$B$295,$B59,Internal_labour_inputs!$F$8:$F$295,"New")</f>
        <v>0</v>
      </c>
      <c r="BB97" s="192">
        <f>SUMIFS(Internal_labour_inputs!BJ$8:BJ$295,Internal_labour_inputs!$B$8:$B$295,$B59,Internal_labour_inputs!$F$8:$F$295,"New")</f>
        <v>0</v>
      </c>
      <c r="BC97" s="192">
        <f>SUMIFS(Internal_labour_inputs!BK$8:BK$295,Internal_labour_inputs!$B$8:$B$295,$B59,Internal_labour_inputs!$F$8:$F$295,"New")</f>
        <v>0</v>
      </c>
      <c r="BD97" s="192">
        <f>SUMIFS(Internal_labour_inputs!BL$8:BL$295,Internal_labour_inputs!$B$8:$B$295,$B59,Internal_labour_inputs!$F$8:$F$295,"New")</f>
        <v>0</v>
      </c>
      <c r="BE97" s="192">
        <f>SUMIFS(Internal_labour_inputs!BM$8:BM$295,Internal_labour_inputs!$B$8:$B$295,$B59,Internal_labour_inputs!$F$8:$F$295,"New")</f>
        <v>0</v>
      </c>
      <c r="BF97" s="192">
        <f>SUMIFS(Internal_labour_inputs!BN$8:BN$295,Internal_labour_inputs!$B$8:$B$295,$B59,Internal_labour_inputs!$F$8:$F$295,"New")</f>
        <v>0</v>
      </c>
      <c r="BG97" s="192">
        <f>SUMIFS(Internal_labour_inputs!BO$8:BO$295,Internal_labour_inputs!$B$8:$B$295,$B59,Internal_labour_inputs!$F$8:$F$295,"New")</f>
        <v>0</v>
      </c>
      <c r="BH97" s="192">
        <f>SUMIFS(Internal_labour_inputs!BP$8:BP$295,Internal_labour_inputs!$B$8:$B$295,$B59,Internal_labour_inputs!$F$8:$F$295,"New")</f>
        <v>0</v>
      </c>
      <c r="BI97" s="192">
        <f>SUMIFS(Internal_labour_inputs!BQ$8:BQ$295,Internal_labour_inputs!$B$8:$B$295,$B59,Internal_labour_inputs!$F$8:$F$295,"New")</f>
        <v>0</v>
      </c>
      <c r="BJ97" s="192">
        <f>SUMIFS(Internal_labour_inputs!BR$8:BR$295,Internal_labour_inputs!$B$8:$B$295,$B59,Internal_labour_inputs!$F$8:$F$295,"New")</f>
        <v>0</v>
      </c>
      <c r="BK97" s="192">
        <f>SUMIFS(Internal_labour_inputs!BS$8:BS$295,Internal_labour_inputs!$B$8:$B$295,$B59,Internal_labour_inputs!$F$8:$F$295,"New")</f>
        <v>0</v>
      </c>
      <c r="BL97" s="192">
        <f>SUMIFS(Internal_labour_inputs!BT$8:BT$295,Internal_labour_inputs!$B$8:$B$295,$B59,Internal_labour_inputs!$F$8:$F$295,"New")</f>
        <v>0</v>
      </c>
      <c r="BM97" s="192">
        <f>SUMIFS(Internal_labour_inputs!BU$8:BU$295,Internal_labour_inputs!$B$8:$B$295,$B59,Internal_labour_inputs!$F$8:$F$295,"New")</f>
        <v>0</v>
      </c>
      <c r="BN97" s="192">
        <f>SUMIFS(Internal_labour_inputs!BV$8:BV$295,Internal_labour_inputs!$B$8:$B$295,$B59,Internal_labour_inputs!$F$8:$F$295,"New")</f>
        <v>0</v>
      </c>
      <c r="BO97" s="192">
        <f>SUMIFS(Internal_labour_inputs!BW$8:BW$295,Internal_labour_inputs!$B$8:$B$295,$B59,Internal_labour_inputs!$F$8:$F$295,"New")</f>
        <v>0</v>
      </c>
      <c r="BP97" s="192">
        <f>SUMIFS(Internal_labour_inputs!BX$8:BX$295,Internal_labour_inputs!$B$8:$B$295,$B59,Internal_labour_inputs!$F$8:$F$295,"New")</f>
        <v>0</v>
      </c>
      <c r="BQ97" s="192">
        <f>SUMIFS(Internal_labour_inputs!BY$8:BY$295,Internal_labour_inputs!$B$8:$B$295,$B59,Internal_labour_inputs!$F$8:$F$295,"New")</f>
        <v>0</v>
      </c>
      <c r="BR97" s="192">
        <f>SUMIFS(Internal_labour_inputs!BZ$8:BZ$295,Internal_labour_inputs!$B$8:$B$295,$B59,Internal_labour_inputs!$F$8:$F$295,"New")</f>
        <v>0</v>
      </c>
      <c r="BS97" s="192">
        <f>SUMIFS(Internal_labour_inputs!CA$8:CA$295,Internal_labour_inputs!$B$8:$B$295,$B59,Internal_labour_inputs!$F$8:$F$295,"New")</f>
        <v>0</v>
      </c>
      <c r="BT97" s="192">
        <f>SUMIFS(Internal_labour_inputs!CB$8:CB$295,Internal_labour_inputs!$B$8:$B$295,$B59,Internal_labour_inputs!$F$8:$F$295,"New")</f>
        <v>0</v>
      </c>
      <c r="BU97" s="192">
        <f>SUMIFS(Internal_labour_inputs!CC$8:CC$295,Internal_labour_inputs!$B$8:$B$295,$B59,Internal_labour_inputs!$F$8:$F$295,"New")</f>
        <v>0</v>
      </c>
      <c r="BV97" s="192">
        <f>SUMIFS(Internal_labour_inputs!CD$8:CD$295,Internal_labour_inputs!$B$8:$B$295,$B59,Internal_labour_inputs!$F$8:$F$295,"New")</f>
        <v>0</v>
      </c>
      <c r="BW97" s="192">
        <f>SUMIFS(Internal_labour_inputs!CE$8:CE$295,Internal_labour_inputs!$B$8:$B$295,$B59,Internal_labour_inputs!$F$8:$F$295,"New")</f>
        <v>0</v>
      </c>
      <c r="BX97" s="192">
        <f>SUMIFS(Internal_labour_inputs!CF$8:CF$295,Internal_labour_inputs!$B$8:$B$295,$B59,Internal_labour_inputs!$F$8:$F$295,"New")</f>
        <v>0</v>
      </c>
      <c r="BY97" s="192">
        <f>SUMIFS(Internal_labour_inputs!CG$8:CG$295,Internal_labour_inputs!$B$8:$B$295,$B59,Internal_labour_inputs!$F$8:$F$295,"New")</f>
        <v>0</v>
      </c>
      <c r="BZ97" s="192">
        <f>SUMIFS(Internal_labour_inputs!CH$8:CH$295,Internal_labour_inputs!$B$8:$B$295,$B59,Internal_labour_inputs!$F$8:$F$295,"New")</f>
        <v>0</v>
      </c>
      <c r="CA97" s="192">
        <f>SUMIFS(Internal_labour_inputs!CI$8:CI$295,Internal_labour_inputs!$B$8:$B$295,$B59,Internal_labour_inputs!$F$8:$F$295,"New")</f>
        <v>0</v>
      </c>
      <c r="CB97" s="192">
        <f>SUMIFS(Internal_labour_inputs!CJ$8:CJ$295,Internal_labour_inputs!$B$8:$B$295,$B59,Internal_labour_inputs!$F$8:$F$295,"New")</f>
        <v>0</v>
      </c>
      <c r="CC97" s="192">
        <f>SUMIFS(Internal_labour_inputs!CK$8:CK$295,Internal_labour_inputs!$B$8:$B$295,$B59,Internal_labour_inputs!$F$8:$F$295,"New")</f>
        <v>0</v>
      </c>
      <c r="CD97" s="192">
        <f>SUMIFS(Internal_labour_inputs!CL$8:CL$295,Internal_labour_inputs!$B$8:$B$295,$B59,Internal_labour_inputs!$F$8:$F$295,"New")</f>
        <v>0</v>
      </c>
      <c r="CE97" s="192">
        <f>SUMIFS(Internal_labour_inputs!CM$8:CM$295,Internal_labour_inputs!$B$8:$B$295,$B59,Internal_labour_inputs!$F$8:$F$295,"New")</f>
        <v>0</v>
      </c>
      <c r="CF97" s="192">
        <f>SUMIFS(Internal_labour_inputs!CN$8:CN$295,Internal_labour_inputs!$B$8:$B$295,$B59,Internal_labour_inputs!$F$8:$F$295,"New")</f>
        <v>0</v>
      </c>
      <c r="CG97" s="192">
        <f>SUMIFS(Internal_labour_inputs!CO$8:CO$295,Internal_labour_inputs!$B$8:$B$295,$B59,Internal_labour_inputs!$F$8:$F$295,"New")</f>
        <v>0</v>
      </c>
      <c r="CH97" s="192">
        <f>SUMIFS(Internal_labour_inputs!CP$8:CP$295,Internal_labour_inputs!$B$8:$B$295,$B59,Internal_labour_inputs!$F$8:$F$295,"New")</f>
        <v>0</v>
      </c>
      <c r="CI97" s="192">
        <f t="shared" si="36"/>
        <v>0</v>
      </c>
      <c r="CJ97" s="192">
        <f t="shared" si="37"/>
        <v>0</v>
      </c>
      <c r="CK97" s="193"/>
      <c r="CL97" s="194"/>
    </row>
    <row r="98" spans="1:93" x14ac:dyDescent="0.3">
      <c r="B98" s="191" t="str">
        <f t="shared" si="35"/>
        <v>Project Delivery Management - Project Management</v>
      </c>
      <c r="C98" s="192">
        <f>SUMIFS(Internal_labour_inputs!K$8:K$295,Internal_labour_inputs!$B$8:$B$295,$B60,Internal_labour_inputs!$F$8:$F$295,"New")</f>
        <v>0</v>
      </c>
      <c r="D98" s="192">
        <f>SUMIFS(Internal_labour_inputs!L$8:L$295,Internal_labour_inputs!$B$8:$B$295,$B60,Internal_labour_inputs!$F$8:$F$295,"New")</f>
        <v>0</v>
      </c>
      <c r="E98" s="192">
        <f>SUMIFS(Internal_labour_inputs!M$8:M$295,Internal_labour_inputs!$B$8:$B$295,$B60,Internal_labour_inputs!$F$8:$F$295,"New")</f>
        <v>0</v>
      </c>
      <c r="F98" s="192">
        <f>SUMIFS(Internal_labour_inputs!N$8:N$295,Internal_labour_inputs!$B$8:$B$295,$B60,Internal_labour_inputs!$F$8:$F$295,"New")</f>
        <v>0</v>
      </c>
      <c r="G98" s="192">
        <f>SUMIFS(Internal_labour_inputs!O$8:O$295,Internal_labour_inputs!$B$8:$B$295,$B60,Internal_labour_inputs!$F$8:$F$295,"New")</f>
        <v>0</v>
      </c>
      <c r="H98" s="192">
        <f>SUMIFS(Internal_labour_inputs!P$8:P$295,Internal_labour_inputs!$B$8:$B$295,$B60,Internal_labour_inputs!$F$8:$F$295,"New")</f>
        <v>0</v>
      </c>
      <c r="I98" s="192">
        <f>SUMIFS(Internal_labour_inputs!Q$8:Q$295,Internal_labour_inputs!$B$8:$B$295,$B60,Internal_labour_inputs!$F$8:$F$295,"New")</f>
        <v>0</v>
      </c>
      <c r="J98" s="192">
        <f>SUMIFS(Internal_labour_inputs!R$8:R$295,Internal_labour_inputs!$B$8:$B$295,$B60,Internal_labour_inputs!$F$8:$F$295,"New")</f>
        <v>0</v>
      </c>
      <c r="K98" s="192">
        <f>SUMIFS(Internal_labour_inputs!S$8:S$295,Internal_labour_inputs!$B$8:$B$295,$B60,Internal_labour_inputs!$F$8:$F$295,"New")</f>
        <v>0</v>
      </c>
      <c r="L98" s="192">
        <f>SUMIFS(Internal_labour_inputs!T$8:T$295,Internal_labour_inputs!$B$8:$B$295,$B60,Internal_labour_inputs!$F$8:$F$295,"New")</f>
        <v>0</v>
      </c>
      <c r="M98" s="192">
        <f>SUMIFS(Internal_labour_inputs!U$8:U$295,Internal_labour_inputs!$B$8:$B$295,$B60,Internal_labour_inputs!$F$8:$F$295,"New")</f>
        <v>0</v>
      </c>
      <c r="N98" s="192">
        <f>SUMIFS(Internal_labour_inputs!V$8:V$295,Internal_labour_inputs!$B$8:$B$295,$B60,Internal_labour_inputs!$F$8:$F$295,"New")</f>
        <v>0</v>
      </c>
      <c r="O98" s="192">
        <f>SUMIFS(Internal_labour_inputs!W$8:W$295,Internal_labour_inputs!$B$8:$B$295,$B60,Internal_labour_inputs!$F$8:$F$295,"New")</f>
        <v>0</v>
      </c>
      <c r="P98" s="192">
        <f>SUMIFS(Internal_labour_inputs!X$8:X$295,Internal_labour_inputs!$B$8:$B$295,$B60,Internal_labour_inputs!$F$8:$F$295,"New")</f>
        <v>1</v>
      </c>
      <c r="Q98" s="192">
        <f>SUMIFS(Internal_labour_inputs!Y$8:Y$295,Internal_labour_inputs!$B$8:$B$295,$B60,Internal_labour_inputs!$F$8:$F$295,"New")</f>
        <v>6</v>
      </c>
      <c r="R98" s="192">
        <f>SUMIFS(Internal_labour_inputs!Z$8:Z$295,Internal_labour_inputs!$B$8:$B$295,$B60,Internal_labour_inputs!$F$8:$F$295,"New")</f>
        <v>8.3333333333333321</v>
      </c>
      <c r="S98" s="192">
        <f>SUMIFS(Internal_labour_inputs!AA$8:AA$295,Internal_labour_inputs!$B$8:$B$295,$B60,Internal_labour_inputs!$F$8:$F$295,"New")</f>
        <v>6.4473684210526301</v>
      </c>
      <c r="T98" s="192">
        <f>SUMIFS(Internal_labour_inputs!AB$8:AB$295,Internal_labour_inputs!$B$8:$B$295,$B60,Internal_labour_inputs!$F$8:$F$295,"New")</f>
        <v>6.4473684210526301</v>
      </c>
      <c r="U98" s="192">
        <f>SUMIFS(Internal_labour_inputs!AC$8:AC$295,Internal_labour_inputs!$B$8:$B$295,$B60,Internal_labour_inputs!$F$8:$F$295,"New")</f>
        <v>7</v>
      </c>
      <c r="V98" s="192">
        <f>SUMIFS(Internal_labour_inputs!AD$8:AD$295,Internal_labour_inputs!$B$8:$B$295,$B60,Internal_labour_inputs!$F$8:$F$295,"New")</f>
        <v>7</v>
      </c>
      <c r="W98" s="192">
        <f>SUMIFS(Internal_labour_inputs!AE$8:AE$295,Internal_labour_inputs!$B$8:$B$295,$B60,Internal_labour_inputs!$F$8:$F$295,"New")</f>
        <v>7</v>
      </c>
      <c r="X98" s="192">
        <f>SUMIFS(Internal_labour_inputs!AF$8:AF$295,Internal_labour_inputs!$B$8:$B$295,$B60,Internal_labour_inputs!$F$8:$F$295,"New")</f>
        <v>7</v>
      </c>
      <c r="Y98" s="192">
        <f>SUMIFS(Internal_labour_inputs!AG$8:AG$295,Internal_labour_inputs!$B$8:$B$295,$B60,Internal_labour_inputs!$F$8:$F$295,"New")</f>
        <v>7</v>
      </c>
      <c r="Z98" s="192">
        <f>SUMIFS(Internal_labour_inputs!AH$8:AH$295,Internal_labour_inputs!$B$8:$B$295,$B60,Internal_labour_inputs!$F$8:$F$295,"New")</f>
        <v>7</v>
      </c>
      <c r="AA98" s="192">
        <f>SUMIFS(Internal_labour_inputs!AI$8:AI$295,Internal_labour_inputs!$B$8:$B$295,$B60,Internal_labour_inputs!$F$8:$F$295,"New")</f>
        <v>7</v>
      </c>
      <c r="AB98" s="192">
        <f>SUMIFS(Internal_labour_inputs!AJ$8:AJ$295,Internal_labour_inputs!$B$8:$B$295,$B60,Internal_labour_inputs!$F$8:$F$295,"New")</f>
        <v>7</v>
      </c>
      <c r="AC98" s="192">
        <f>SUMIFS(Internal_labour_inputs!AK$8:AK$295,Internal_labour_inputs!$B$8:$B$295,$B60,Internal_labour_inputs!$F$8:$F$295,"New")</f>
        <v>7</v>
      </c>
      <c r="AD98" s="192">
        <f>SUMIFS(Internal_labour_inputs!AL$8:AL$295,Internal_labour_inputs!$B$8:$B$295,$B60,Internal_labour_inputs!$F$8:$F$295,"New")</f>
        <v>7</v>
      </c>
      <c r="AE98" s="192">
        <f>SUMIFS(Internal_labour_inputs!AM$8:AM$295,Internal_labour_inputs!$B$8:$B$295,$B60,Internal_labour_inputs!$F$8:$F$295,"New")</f>
        <v>6.9605263157894735</v>
      </c>
      <c r="AF98" s="192">
        <f>SUMIFS(Internal_labour_inputs!AN$8:AN$295,Internal_labour_inputs!$B$8:$B$295,$B60,Internal_labour_inputs!$F$8:$F$295,"New")</f>
        <v>6.9605263157894735</v>
      </c>
      <c r="AG98" s="192">
        <f>SUMIFS(Internal_labour_inputs!AO$8:AO$295,Internal_labour_inputs!$B$8:$B$295,$B60,Internal_labour_inputs!$F$8:$F$295,"New")</f>
        <v>7</v>
      </c>
      <c r="AH98" s="192">
        <f>SUMIFS(Internal_labour_inputs!AP$8:AP$295,Internal_labour_inputs!$B$8:$B$295,$B60,Internal_labour_inputs!$F$8:$F$295,"New")</f>
        <v>7</v>
      </c>
      <c r="AI98" s="192">
        <f>SUMIFS(Internal_labour_inputs!AQ$8:AQ$295,Internal_labour_inputs!$B$8:$B$295,$B60,Internal_labour_inputs!$F$8:$F$295,"New")</f>
        <v>7</v>
      </c>
      <c r="AJ98" s="192">
        <f>SUMIFS(Internal_labour_inputs!AR$8:AR$295,Internal_labour_inputs!$B$8:$B$295,$B60,Internal_labour_inputs!$F$8:$F$295,"New")</f>
        <v>7</v>
      </c>
      <c r="AK98" s="192">
        <f>SUMIFS(Internal_labour_inputs!AS$8:AS$295,Internal_labour_inputs!$B$8:$B$295,$B60,Internal_labour_inputs!$F$8:$F$295,"New")</f>
        <v>7</v>
      </c>
      <c r="AL98" s="192">
        <f>SUMIFS(Internal_labour_inputs!AT$8:AT$295,Internal_labour_inputs!$B$8:$B$295,$B60,Internal_labour_inputs!$F$8:$F$295,"New")</f>
        <v>7</v>
      </c>
      <c r="AM98" s="192">
        <f>SUMIFS(Internal_labour_inputs!AU$8:AU$295,Internal_labour_inputs!$B$8:$B$295,$B60,Internal_labour_inputs!$F$8:$F$295,"New")</f>
        <v>7</v>
      </c>
      <c r="AN98" s="192">
        <f>SUMIFS(Internal_labour_inputs!AV$8:AV$295,Internal_labour_inputs!$B$8:$B$295,$B60,Internal_labour_inputs!$F$8:$F$295,"New")</f>
        <v>7</v>
      </c>
      <c r="AO98" s="192">
        <f>SUMIFS(Internal_labour_inputs!AW$8:AW$295,Internal_labour_inputs!$B$8:$B$295,$B60,Internal_labour_inputs!$F$8:$F$295,"New")</f>
        <v>7</v>
      </c>
      <c r="AP98" s="192">
        <f>SUMIFS(Internal_labour_inputs!AX$8:AX$295,Internal_labour_inputs!$B$8:$B$295,$B60,Internal_labour_inputs!$F$8:$F$295,"New")</f>
        <v>7</v>
      </c>
      <c r="AQ98" s="192">
        <f>SUMIFS(Internal_labour_inputs!AY$8:AY$295,Internal_labour_inputs!$B$8:$B$295,$B60,Internal_labour_inputs!$F$8:$F$295,"New")</f>
        <v>6.8815789473684212</v>
      </c>
      <c r="AR98" s="192">
        <f>SUMIFS(Internal_labour_inputs!AZ$8:AZ$295,Internal_labour_inputs!$B$8:$B$295,$B60,Internal_labour_inputs!$F$8:$F$295,"New")</f>
        <v>6.8815789473684212</v>
      </c>
      <c r="AS98" s="192">
        <f>SUMIFS(Internal_labour_inputs!BA$8:BA$295,Internal_labour_inputs!$B$8:$B$295,$B60,Internal_labour_inputs!$F$8:$F$295,"New")</f>
        <v>7</v>
      </c>
      <c r="AT98" s="192">
        <f>SUMIFS(Internal_labour_inputs!BB$8:BB$295,Internal_labour_inputs!$B$8:$B$295,$B60,Internal_labour_inputs!$F$8:$F$295,"New")</f>
        <v>7</v>
      </c>
      <c r="AU98" s="192">
        <f>SUMIFS(Internal_labour_inputs!BC$8:BC$295,Internal_labour_inputs!$B$8:$B$295,$B60,Internal_labour_inputs!$F$8:$F$295,"New")</f>
        <v>7</v>
      </c>
      <c r="AV98" s="192">
        <f>SUMIFS(Internal_labour_inputs!BD$8:BD$295,Internal_labour_inputs!$B$8:$B$295,$B60,Internal_labour_inputs!$F$8:$F$295,"New")</f>
        <v>7</v>
      </c>
      <c r="AW98" s="192">
        <f>SUMIFS(Internal_labour_inputs!BE$8:BE$295,Internal_labour_inputs!$B$8:$B$295,$B60,Internal_labour_inputs!$F$8:$F$295,"New")</f>
        <v>7</v>
      </c>
      <c r="AX98" s="192">
        <f>SUMIFS(Internal_labour_inputs!BF$8:BF$295,Internal_labour_inputs!$B$8:$B$295,$B60,Internal_labour_inputs!$F$8:$F$295,"New")</f>
        <v>7.333333333333333</v>
      </c>
      <c r="AY98" s="192">
        <f>SUMIFS(Internal_labour_inputs!BG$8:BG$295,Internal_labour_inputs!$B$8:$B$295,$B60,Internal_labour_inputs!$F$8:$F$295,"New")</f>
        <v>5</v>
      </c>
      <c r="AZ98" s="192">
        <f>SUMIFS(Internal_labour_inputs!BH$8:BH$295,Internal_labour_inputs!$B$8:$B$295,$B60,Internal_labour_inputs!$F$8:$F$295,"New")</f>
        <v>5</v>
      </c>
      <c r="BA98" s="192">
        <f>SUMIFS(Internal_labour_inputs!BI$8:BI$295,Internal_labour_inputs!$B$8:$B$295,$B60,Internal_labour_inputs!$F$8:$F$295,"New")</f>
        <v>16.980952380952381</v>
      </c>
      <c r="BB98" s="192">
        <f>SUMIFS(Internal_labour_inputs!BJ$8:BJ$295,Internal_labour_inputs!$B$8:$B$295,$B60,Internal_labour_inputs!$F$8:$F$295,"New")</f>
        <v>0</v>
      </c>
      <c r="BC98" s="192">
        <f>SUMIFS(Internal_labour_inputs!BK$8:BK$295,Internal_labour_inputs!$B$8:$B$295,$B60,Internal_labour_inputs!$F$8:$F$295,"New")</f>
        <v>0</v>
      </c>
      <c r="BD98" s="192">
        <f>SUMIFS(Internal_labour_inputs!BL$8:BL$295,Internal_labour_inputs!$B$8:$B$295,$B60,Internal_labour_inputs!$F$8:$F$295,"New")</f>
        <v>0</v>
      </c>
      <c r="BE98" s="192">
        <f>SUMIFS(Internal_labour_inputs!BM$8:BM$295,Internal_labour_inputs!$B$8:$B$295,$B60,Internal_labour_inputs!$F$8:$F$295,"New")</f>
        <v>0</v>
      </c>
      <c r="BF98" s="192">
        <f>SUMIFS(Internal_labour_inputs!BN$8:BN$295,Internal_labour_inputs!$B$8:$B$295,$B60,Internal_labour_inputs!$F$8:$F$295,"New")</f>
        <v>0</v>
      </c>
      <c r="BG98" s="192">
        <f>SUMIFS(Internal_labour_inputs!BO$8:BO$295,Internal_labour_inputs!$B$8:$B$295,$B60,Internal_labour_inputs!$F$8:$F$295,"New")</f>
        <v>0</v>
      </c>
      <c r="BH98" s="192">
        <f>SUMIFS(Internal_labour_inputs!BP$8:BP$295,Internal_labour_inputs!$B$8:$B$295,$B60,Internal_labour_inputs!$F$8:$F$295,"New")</f>
        <v>0</v>
      </c>
      <c r="BI98" s="192">
        <f>SUMIFS(Internal_labour_inputs!BQ$8:BQ$295,Internal_labour_inputs!$B$8:$B$295,$B60,Internal_labour_inputs!$F$8:$F$295,"New")</f>
        <v>0</v>
      </c>
      <c r="BJ98" s="192">
        <f>SUMIFS(Internal_labour_inputs!BR$8:BR$295,Internal_labour_inputs!$B$8:$B$295,$B60,Internal_labour_inputs!$F$8:$F$295,"New")</f>
        <v>0</v>
      </c>
      <c r="BK98" s="192">
        <f>SUMIFS(Internal_labour_inputs!BS$8:BS$295,Internal_labour_inputs!$B$8:$B$295,$B60,Internal_labour_inputs!$F$8:$F$295,"New")</f>
        <v>0</v>
      </c>
      <c r="BL98" s="192">
        <f>SUMIFS(Internal_labour_inputs!BT$8:BT$295,Internal_labour_inputs!$B$8:$B$295,$B60,Internal_labour_inputs!$F$8:$F$295,"New")</f>
        <v>0</v>
      </c>
      <c r="BM98" s="192">
        <f>SUMIFS(Internal_labour_inputs!BU$8:BU$295,Internal_labour_inputs!$B$8:$B$295,$B60,Internal_labour_inputs!$F$8:$F$295,"New")</f>
        <v>0</v>
      </c>
      <c r="BN98" s="192">
        <f>SUMIFS(Internal_labour_inputs!BV$8:BV$295,Internal_labour_inputs!$B$8:$B$295,$B60,Internal_labour_inputs!$F$8:$F$295,"New")</f>
        <v>0</v>
      </c>
      <c r="BO98" s="192">
        <f>SUMIFS(Internal_labour_inputs!BW$8:BW$295,Internal_labour_inputs!$B$8:$B$295,$B60,Internal_labour_inputs!$F$8:$F$295,"New")</f>
        <v>0</v>
      </c>
      <c r="BP98" s="192">
        <f>SUMIFS(Internal_labour_inputs!BX$8:BX$295,Internal_labour_inputs!$B$8:$B$295,$B60,Internal_labour_inputs!$F$8:$F$295,"New")</f>
        <v>0</v>
      </c>
      <c r="BQ98" s="192">
        <f>SUMIFS(Internal_labour_inputs!BY$8:BY$295,Internal_labour_inputs!$B$8:$B$295,$B60,Internal_labour_inputs!$F$8:$F$295,"New")</f>
        <v>0</v>
      </c>
      <c r="BR98" s="192">
        <f>SUMIFS(Internal_labour_inputs!BZ$8:BZ$295,Internal_labour_inputs!$B$8:$B$295,$B60,Internal_labour_inputs!$F$8:$F$295,"New")</f>
        <v>0</v>
      </c>
      <c r="BS98" s="192">
        <f>SUMIFS(Internal_labour_inputs!CA$8:CA$295,Internal_labour_inputs!$B$8:$B$295,$B60,Internal_labour_inputs!$F$8:$F$295,"New")</f>
        <v>0</v>
      </c>
      <c r="BT98" s="192">
        <f>SUMIFS(Internal_labour_inputs!CB$8:CB$295,Internal_labour_inputs!$B$8:$B$295,$B60,Internal_labour_inputs!$F$8:$F$295,"New")</f>
        <v>0</v>
      </c>
      <c r="BU98" s="192">
        <f>SUMIFS(Internal_labour_inputs!CC$8:CC$295,Internal_labour_inputs!$B$8:$B$295,$B60,Internal_labour_inputs!$F$8:$F$295,"New")</f>
        <v>0</v>
      </c>
      <c r="BV98" s="192">
        <f>SUMIFS(Internal_labour_inputs!CD$8:CD$295,Internal_labour_inputs!$B$8:$B$295,$B60,Internal_labour_inputs!$F$8:$F$295,"New")</f>
        <v>0</v>
      </c>
      <c r="BW98" s="192">
        <f>SUMIFS(Internal_labour_inputs!CE$8:CE$295,Internal_labour_inputs!$B$8:$B$295,$B60,Internal_labour_inputs!$F$8:$F$295,"New")</f>
        <v>0</v>
      </c>
      <c r="BX98" s="192">
        <f>SUMIFS(Internal_labour_inputs!CF$8:CF$295,Internal_labour_inputs!$B$8:$B$295,$B60,Internal_labour_inputs!$F$8:$F$295,"New")</f>
        <v>0</v>
      </c>
      <c r="BY98" s="192">
        <f>SUMIFS(Internal_labour_inputs!CG$8:CG$295,Internal_labour_inputs!$B$8:$B$295,$B60,Internal_labour_inputs!$F$8:$F$295,"New")</f>
        <v>0</v>
      </c>
      <c r="BZ98" s="192">
        <f>SUMIFS(Internal_labour_inputs!CH$8:CH$295,Internal_labour_inputs!$B$8:$B$295,$B60,Internal_labour_inputs!$F$8:$F$295,"New")</f>
        <v>0</v>
      </c>
      <c r="CA98" s="192">
        <f>SUMIFS(Internal_labour_inputs!CI$8:CI$295,Internal_labour_inputs!$B$8:$B$295,$B60,Internal_labour_inputs!$F$8:$F$295,"New")</f>
        <v>0</v>
      </c>
      <c r="CB98" s="192">
        <f>SUMIFS(Internal_labour_inputs!CJ$8:CJ$295,Internal_labour_inputs!$B$8:$B$295,$B60,Internal_labour_inputs!$F$8:$F$295,"New")</f>
        <v>0</v>
      </c>
      <c r="CC98" s="192">
        <f>SUMIFS(Internal_labour_inputs!CK$8:CK$295,Internal_labour_inputs!$B$8:$B$295,$B60,Internal_labour_inputs!$F$8:$F$295,"New")</f>
        <v>0</v>
      </c>
      <c r="CD98" s="192">
        <f>SUMIFS(Internal_labour_inputs!CL$8:CL$295,Internal_labour_inputs!$B$8:$B$295,$B60,Internal_labour_inputs!$F$8:$F$295,"New")</f>
        <v>0</v>
      </c>
      <c r="CE98" s="192">
        <f>SUMIFS(Internal_labour_inputs!CM$8:CM$295,Internal_labour_inputs!$B$8:$B$295,$B60,Internal_labour_inputs!$F$8:$F$295,"New")</f>
        <v>0</v>
      </c>
      <c r="CF98" s="192">
        <f>SUMIFS(Internal_labour_inputs!CN$8:CN$295,Internal_labour_inputs!$B$8:$B$295,$B60,Internal_labour_inputs!$F$8:$F$295,"New")</f>
        <v>0</v>
      </c>
      <c r="CG98" s="192">
        <f>SUMIFS(Internal_labour_inputs!CO$8:CO$295,Internal_labour_inputs!$B$8:$B$295,$B60,Internal_labour_inputs!$F$8:$F$295,"New")</f>
        <v>0</v>
      </c>
      <c r="CH98" s="192">
        <f>SUMIFS(Internal_labour_inputs!CP$8:CP$295,Internal_labour_inputs!$B$8:$B$295,$B60,Internal_labour_inputs!$F$8:$F$295,"New")</f>
        <v>0</v>
      </c>
      <c r="CI98" s="192">
        <f t="shared" si="36"/>
        <v>265.2265664160401</v>
      </c>
      <c r="CJ98" s="192">
        <f t="shared" si="37"/>
        <v>6.9796464846326343</v>
      </c>
      <c r="CK98" s="193"/>
      <c r="CL98" s="194"/>
    </row>
    <row r="99" spans="1:93" x14ac:dyDescent="0.3">
      <c r="B99" s="191" t="str">
        <f t="shared" si="35"/>
        <v>Project Development</v>
      </c>
      <c r="C99" s="192">
        <f>SUMIFS(Internal_labour_inputs!K$8:K$295,Internal_labour_inputs!$B$8:$B$295,$B61,Internal_labour_inputs!$F$8:$F$295,"New")</f>
        <v>0</v>
      </c>
      <c r="D99" s="192">
        <f>SUMIFS(Internal_labour_inputs!L$8:L$295,Internal_labour_inputs!$B$8:$B$295,$B61,Internal_labour_inputs!$F$8:$F$295,"New")</f>
        <v>0</v>
      </c>
      <c r="E99" s="192">
        <f>SUMIFS(Internal_labour_inputs!M$8:M$295,Internal_labour_inputs!$B$8:$B$295,$B61,Internal_labour_inputs!$F$8:$F$295,"New")</f>
        <v>0</v>
      </c>
      <c r="F99" s="192">
        <f>SUMIFS(Internal_labour_inputs!N$8:N$295,Internal_labour_inputs!$B$8:$B$295,$B61,Internal_labour_inputs!$F$8:$F$295,"New")</f>
        <v>0</v>
      </c>
      <c r="G99" s="192">
        <f>SUMIFS(Internal_labour_inputs!O$8:O$295,Internal_labour_inputs!$B$8:$B$295,$B61,Internal_labour_inputs!$F$8:$F$295,"New")</f>
        <v>0</v>
      </c>
      <c r="H99" s="192">
        <f>SUMIFS(Internal_labour_inputs!P$8:P$295,Internal_labour_inputs!$B$8:$B$295,$B61,Internal_labour_inputs!$F$8:$F$295,"New")</f>
        <v>0</v>
      </c>
      <c r="I99" s="192">
        <f>SUMIFS(Internal_labour_inputs!Q$8:Q$295,Internal_labour_inputs!$B$8:$B$295,$B61,Internal_labour_inputs!$F$8:$F$295,"New")</f>
        <v>0</v>
      </c>
      <c r="J99" s="192">
        <f>SUMIFS(Internal_labour_inputs!R$8:R$295,Internal_labour_inputs!$B$8:$B$295,$B61,Internal_labour_inputs!$F$8:$F$295,"New")</f>
        <v>0</v>
      </c>
      <c r="K99" s="192">
        <f>SUMIFS(Internal_labour_inputs!S$8:S$295,Internal_labour_inputs!$B$8:$B$295,$B61,Internal_labour_inputs!$F$8:$F$295,"New")</f>
        <v>0</v>
      </c>
      <c r="L99" s="192">
        <f>SUMIFS(Internal_labour_inputs!T$8:T$295,Internal_labour_inputs!$B$8:$B$295,$B61,Internal_labour_inputs!$F$8:$F$295,"New")</f>
        <v>0</v>
      </c>
      <c r="M99" s="192">
        <f>SUMIFS(Internal_labour_inputs!U$8:U$295,Internal_labour_inputs!$B$8:$B$295,$B61,Internal_labour_inputs!$F$8:$F$295,"New")</f>
        <v>0</v>
      </c>
      <c r="N99" s="192">
        <f>SUMIFS(Internal_labour_inputs!V$8:V$295,Internal_labour_inputs!$B$8:$B$295,$B61,Internal_labour_inputs!$F$8:$F$295,"New")</f>
        <v>0</v>
      </c>
      <c r="O99" s="192">
        <f>SUMIFS(Internal_labour_inputs!W$8:W$295,Internal_labour_inputs!$B$8:$B$295,$B61,Internal_labour_inputs!$F$8:$F$295,"New")</f>
        <v>0</v>
      </c>
      <c r="P99" s="192">
        <f>SUMIFS(Internal_labour_inputs!X$8:X$295,Internal_labour_inputs!$B$8:$B$295,$B61,Internal_labour_inputs!$F$8:$F$295,"New")</f>
        <v>0</v>
      </c>
      <c r="Q99" s="192">
        <f>SUMIFS(Internal_labour_inputs!Y$8:Y$295,Internal_labour_inputs!$B$8:$B$295,$B61,Internal_labour_inputs!$F$8:$F$295,"New")</f>
        <v>0</v>
      </c>
      <c r="R99" s="192">
        <f>SUMIFS(Internal_labour_inputs!Z$8:Z$295,Internal_labour_inputs!$B$8:$B$295,$B61,Internal_labour_inputs!$F$8:$F$295,"New")</f>
        <v>0</v>
      </c>
      <c r="S99" s="192">
        <f>SUMIFS(Internal_labour_inputs!AA$8:AA$295,Internal_labour_inputs!$B$8:$B$295,$B61,Internal_labour_inputs!$F$8:$F$295,"New")</f>
        <v>0</v>
      </c>
      <c r="T99" s="192">
        <f>SUMIFS(Internal_labour_inputs!AB$8:AB$295,Internal_labour_inputs!$B$8:$B$295,$B61,Internal_labour_inputs!$F$8:$F$295,"New")</f>
        <v>0</v>
      </c>
      <c r="U99" s="192">
        <f>SUMIFS(Internal_labour_inputs!AC$8:AC$295,Internal_labour_inputs!$B$8:$B$295,$B61,Internal_labour_inputs!$F$8:$F$295,"New")</f>
        <v>0</v>
      </c>
      <c r="V99" s="192">
        <f>SUMIFS(Internal_labour_inputs!AD$8:AD$295,Internal_labour_inputs!$B$8:$B$295,$B61,Internal_labour_inputs!$F$8:$F$295,"New")</f>
        <v>0</v>
      </c>
      <c r="W99" s="192">
        <f>SUMIFS(Internal_labour_inputs!AE$8:AE$295,Internal_labour_inputs!$B$8:$B$295,$B61,Internal_labour_inputs!$F$8:$F$295,"New")</f>
        <v>0</v>
      </c>
      <c r="X99" s="192">
        <f>SUMIFS(Internal_labour_inputs!AF$8:AF$295,Internal_labour_inputs!$B$8:$B$295,$B61,Internal_labour_inputs!$F$8:$F$295,"New")</f>
        <v>0</v>
      </c>
      <c r="Y99" s="192">
        <f>SUMIFS(Internal_labour_inputs!AG$8:AG$295,Internal_labour_inputs!$B$8:$B$295,$B61,Internal_labour_inputs!$F$8:$F$295,"New")</f>
        <v>0</v>
      </c>
      <c r="Z99" s="192">
        <f>SUMIFS(Internal_labour_inputs!AH$8:AH$295,Internal_labour_inputs!$B$8:$B$295,$B61,Internal_labour_inputs!$F$8:$F$295,"New")</f>
        <v>0</v>
      </c>
      <c r="AA99" s="192">
        <f>SUMIFS(Internal_labour_inputs!AI$8:AI$295,Internal_labour_inputs!$B$8:$B$295,$B61,Internal_labour_inputs!$F$8:$F$295,"New")</f>
        <v>0</v>
      </c>
      <c r="AB99" s="192">
        <f>SUMIFS(Internal_labour_inputs!AJ$8:AJ$295,Internal_labour_inputs!$B$8:$B$295,$B61,Internal_labour_inputs!$F$8:$F$295,"New")</f>
        <v>0</v>
      </c>
      <c r="AC99" s="192">
        <f>SUMIFS(Internal_labour_inputs!AK$8:AK$295,Internal_labour_inputs!$B$8:$B$295,$B61,Internal_labour_inputs!$F$8:$F$295,"New")</f>
        <v>0</v>
      </c>
      <c r="AD99" s="192">
        <f>SUMIFS(Internal_labour_inputs!AL$8:AL$295,Internal_labour_inputs!$B$8:$B$295,$B61,Internal_labour_inputs!$F$8:$F$295,"New")</f>
        <v>0</v>
      </c>
      <c r="AE99" s="192">
        <f>SUMIFS(Internal_labour_inputs!AM$8:AM$295,Internal_labour_inputs!$B$8:$B$295,$B61,Internal_labour_inputs!$F$8:$F$295,"New")</f>
        <v>0</v>
      </c>
      <c r="AF99" s="192">
        <f>SUMIFS(Internal_labour_inputs!AN$8:AN$295,Internal_labour_inputs!$B$8:$B$295,$B61,Internal_labour_inputs!$F$8:$F$295,"New")</f>
        <v>0</v>
      </c>
      <c r="AG99" s="192">
        <f>SUMIFS(Internal_labour_inputs!AO$8:AO$295,Internal_labour_inputs!$B$8:$B$295,$B61,Internal_labour_inputs!$F$8:$F$295,"New")</f>
        <v>0</v>
      </c>
      <c r="AH99" s="192">
        <f>SUMIFS(Internal_labour_inputs!AP$8:AP$295,Internal_labour_inputs!$B$8:$B$295,$B61,Internal_labour_inputs!$F$8:$F$295,"New")</f>
        <v>0</v>
      </c>
      <c r="AI99" s="192">
        <f>SUMIFS(Internal_labour_inputs!AQ$8:AQ$295,Internal_labour_inputs!$B$8:$B$295,$B61,Internal_labour_inputs!$F$8:$F$295,"New")</f>
        <v>0</v>
      </c>
      <c r="AJ99" s="192">
        <f>SUMIFS(Internal_labour_inputs!AR$8:AR$295,Internal_labour_inputs!$B$8:$B$295,$B61,Internal_labour_inputs!$F$8:$F$295,"New")</f>
        <v>0</v>
      </c>
      <c r="AK99" s="192">
        <f>SUMIFS(Internal_labour_inputs!AS$8:AS$295,Internal_labour_inputs!$B$8:$B$295,$B61,Internal_labour_inputs!$F$8:$F$295,"New")</f>
        <v>0</v>
      </c>
      <c r="AL99" s="192">
        <f>SUMIFS(Internal_labour_inputs!AT$8:AT$295,Internal_labour_inputs!$B$8:$B$295,$B61,Internal_labour_inputs!$F$8:$F$295,"New")</f>
        <v>0</v>
      </c>
      <c r="AM99" s="192">
        <f>SUMIFS(Internal_labour_inputs!AU$8:AU$295,Internal_labour_inputs!$B$8:$B$295,$B61,Internal_labour_inputs!$F$8:$F$295,"New")</f>
        <v>0</v>
      </c>
      <c r="AN99" s="192">
        <f>SUMIFS(Internal_labour_inputs!AV$8:AV$295,Internal_labour_inputs!$B$8:$B$295,$B61,Internal_labour_inputs!$F$8:$F$295,"New")</f>
        <v>0</v>
      </c>
      <c r="AO99" s="192">
        <f>SUMIFS(Internal_labour_inputs!AW$8:AW$295,Internal_labour_inputs!$B$8:$B$295,$B61,Internal_labour_inputs!$F$8:$F$295,"New")</f>
        <v>0</v>
      </c>
      <c r="AP99" s="192">
        <f>SUMIFS(Internal_labour_inputs!AX$8:AX$295,Internal_labour_inputs!$B$8:$B$295,$B61,Internal_labour_inputs!$F$8:$F$295,"New")</f>
        <v>0</v>
      </c>
      <c r="AQ99" s="192">
        <f>SUMIFS(Internal_labour_inputs!AY$8:AY$295,Internal_labour_inputs!$B$8:$B$295,$B61,Internal_labour_inputs!$F$8:$F$295,"New")</f>
        <v>0</v>
      </c>
      <c r="AR99" s="192">
        <f>SUMIFS(Internal_labour_inputs!AZ$8:AZ$295,Internal_labour_inputs!$B$8:$B$295,$B61,Internal_labour_inputs!$F$8:$F$295,"New")</f>
        <v>0</v>
      </c>
      <c r="AS99" s="192">
        <f>SUMIFS(Internal_labour_inputs!BA$8:BA$295,Internal_labour_inputs!$B$8:$B$295,$B61,Internal_labour_inputs!$F$8:$F$295,"New")</f>
        <v>0</v>
      </c>
      <c r="AT99" s="192">
        <f>SUMIFS(Internal_labour_inputs!BB$8:BB$295,Internal_labour_inputs!$B$8:$B$295,$B61,Internal_labour_inputs!$F$8:$F$295,"New")</f>
        <v>0</v>
      </c>
      <c r="AU99" s="192">
        <f>SUMIFS(Internal_labour_inputs!BC$8:BC$295,Internal_labour_inputs!$B$8:$B$295,$B61,Internal_labour_inputs!$F$8:$F$295,"New")</f>
        <v>0</v>
      </c>
      <c r="AV99" s="192">
        <f>SUMIFS(Internal_labour_inputs!BD$8:BD$295,Internal_labour_inputs!$B$8:$B$295,$B61,Internal_labour_inputs!$F$8:$F$295,"New")</f>
        <v>0</v>
      </c>
      <c r="AW99" s="192">
        <f>SUMIFS(Internal_labour_inputs!BE$8:BE$295,Internal_labour_inputs!$B$8:$B$295,$B61,Internal_labour_inputs!$F$8:$F$295,"New")</f>
        <v>0</v>
      </c>
      <c r="AX99" s="192">
        <f>SUMIFS(Internal_labour_inputs!BF$8:BF$295,Internal_labour_inputs!$B$8:$B$295,$B61,Internal_labour_inputs!$F$8:$F$295,"New")</f>
        <v>0</v>
      </c>
      <c r="AY99" s="192">
        <f>SUMIFS(Internal_labour_inputs!BG$8:BG$295,Internal_labour_inputs!$B$8:$B$295,$B61,Internal_labour_inputs!$F$8:$F$295,"New")</f>
        <v>0</v>
      </c>
      <c r="AZ99" s="192">
        <f>SUMIFS(Internal_labour_inputs!BH$8:BH$295,Internal_labour_inputs!$B$8:$B$295,$B61,Internal_labour_inputs!$F$8:$F$295,"New")</f>
        <v>0</v>
      </c>
      <c r="BA99" s="192">
        <f>SUMIFS(Internal_labour_inputs!BI$8:BI$295,Internal_labour_inputs!$B$8:$B$295,$B61,Internal_labour_inputs!$F$8:$F$295,"New")</f>
        <v>0</v>
      </c>
      <c r="BB99" s="192">
        <f>SUMIFS(Internal_labour_inputs!BJ$8:BJ$295,Internal_labour_inputs!$B$8:$B$295,$B61,Internal_labour_inputs!$F$8:$F$295,"New")</f>
        <v>0</v>
      </c>
      <c r="BC99" s="192">
        <f>SUMIFS(Internal_labour_inputs!BK$8:BK$295,Internal_labour_inputs!$B$8:$B$295,$B61,Internal_labour_inputs!$F$8:$F$295,"New")</f>
        <v>0</v>
      </c>
      <c r="BD99" s="192">
        <f>SUMIFS(Internal_labour_inputs!BL$8:BL$295,Internal_labour_inputs!$B$8:$B$295,$B61,Internal_labour_inputs!$F$8:$F$295,"New")</f>
        <v>0</v>
      </c>
      <c r="BE99" s="192">
        <f>SUMIFS(Internal_labour_inputs!BM$8:BM$295,Internal_labour_inputs!$B$8:$B$295,$B61,Internal_labour_inputs!$F$8:$F$295,"New")</f>
        <v>0</v>
      </c>
      <c r="BF99" s="192">
        <f>SUMIFS(Internal_labour_inputs!BN$8:BN$295,Internal_labour_inputs!$B$8:$B$295,$B61,Internal_labour_inputs!$F$8:$F$295,"New")</f>
        <v>0</v>
      </c>
      <c r="BG99" s="192">
        <f>SUMIFS(Internal_labour_inputs!BO$8:BO$295,Internal_labour_inputs!$B$8:$B$295,$B61,Internal_labour_inputs!$F$8:$F$295,"New")</f>
        <v>0</v>
      </c>
      <c r="BH99" s="192">
        <f>SUMIFS(Internal_labour_inputs!BP$8:BP$295,Internal_labour_inputs!$B$8:$B$295,$B61,Internal_labour_inputs!$F$8:$F$295,"New")</f>
        <v>0</v>
      </c>
      <c r="BI99" s="192">
        <f>SUMIFS(Internal_labour_inputs!BQ$8:BQ$295,Internal_labour_inputs!$B$8:$B$295,$B61,Internal_labour_inputs!$F$8:$F$295,"New")</f>
        <v>0</v>
      </c>
      <c r="BJ99" s="192">
        <f>SUMIFS(Internal_labour_inputs!BR$8:BR$295,Internal_labour_inputs!$B$8:$B$295,$B61,Internal_labour_inputs!$F$8:$F$295,"New")</f>
        <v>0</v>
      </c>
      <c r="BK99" s="192">
        <f>SUMIFS(Internal_labour_inputs!BS$8:BS$295,Internal_labour_inputs!$B$8:$B$295,$B61,Internal_labour_inputs!$F$8:$F$295,"New")</f>
        <v>0</v>
      </c>
      <c r="BL99" s="192">
        <f>SUMIFS(Internal_labour_inputs!BT$8:BT$295,Internal_labour_inputs!$B$8:$B$295,$B61,Internal_labour_inputs!$F$8:$F$295,"New")</f>
        <v>0</v>
      </c>
      <c r="BM99" s="192">
        <f>SUMIFS(Internal_labour_inputs!BU$8:BU$295,Internal_labour_inputs!$B$8:$B$295,$B61,Internal_labour_inputs!$F$8:$F$295,"New")</f>
        <v>0</v>
      </c>
      <c r="BN99" s="192">
        <f>SUMIFS(Internal_labour_inputs!BV$8:BV$295,Internal_labour_inputs!$B$8:$B$295,$B61,Internal_labour_inputs!$F$8:$F$295,"New")</f>
        <v>0</v>
      </c>
      <c r="BO99" s="192">
        <f>SUMIFS(Internal_labour_inputs!BW$8:BW$295,Internal_labour_inputs!$B$8:$B$295,$B61,Internal_labour_inputs!$F$8:$F$295,"New")</f>
        <v>0</v>
      </c>
      <c r="BP99" s="192">
        <f>SUMIFS(Internal_labour_inputs!BX$8:BX$295,Internal_labour_inputs!$B$8:$B$295,$B61,Internal_labour_inputs!$F$8:$F$295,"New")</f>
        <v>0</v>
      </c>
      <c r="BQ99" s="192">
        <f>SUMIFS(Internal_labour_inputs!BY$8:BY$295,Internal_labour_inputs!$B$8:$B$295,$B61,Internal_labour_inputs!$F$8:$F$295,"New")</f>
        <v>0</v>
      </c>
      <c r="BR99" s="192">
        <f>SUMIFS(Internal_labour_inputs!BZ$8:BZ$295,Internal_labour_inputs!$B$8:$B$295,$B61,Internal_labour_inputs!$F$8:$F$295,"New")</f>
        <v>0</v>
      </c>
      <c r="BS99" s="192">
        <f>SUMIFS(Internal_labour_inputs!CA$8:CA$295,Internal_labour_inputs!$B$8:$B$295,$B61,Internal_labour_inputs!$F$8:$F$295,"New")</f>
        <v>0</v>
      </c>
      <c r="BT99" s="192">
        <f>SUMIFS(Internal_labour_inputs!CB$8:CB$295,Internal_labour_inputs!$B$8:$B$295,$B61,Internal_labour_inputs!$F$8:$F$295,"New")</f>
        <v>0</v>
      </c>
      <c r="BU99" s="192">
        <f>SUMIFS(Internal_labour_inputs!CC$8:CC$295,Internal_labour_inputs!$B$8:$B$295,$B61,Internal_labour_inputs!$F$8:$F$295,"New")</f>
        <v>0</v>
      </c>
      <c r="BV99" s="192">
        <f>SUMIFS(Internal_labour_inputs!CD$8:CD$295,Internal_labour_inputs!$B$8:$B$295,$B61,Internal_labour_inputs!$F$8:$F$295,"New")</f>
        <v>0</v>
      </c>
      <c r="BW99" s="192">
        <f>SUMIFS(Internal_labour_inputs!CE$8:CE$295,Internal_labour_inputs!$B$8:$B$295,$B61,Internal_labour_inputs!$F$8:$F$295,"New")</f>
        <v>0</v>
      </c>
      <c r="BX99" s="192">
        <f>SUMIFS(Internal_labour_inputs!CF$8:CF$295,Internal_labour_inputs!$B$8:$B$295,$B61,Internal_labour_inputs!$F$8:$F$295,"New")</f>
        <v>0</v>
      </c>
      <c r="BY99" s="192">
        <f>SUMIFS(Internal_labour_inputs!CG$8:CG$295,Internal_labour_inputs!$B$8:$B$295,$B61,Internal_labour_inputs!$F$8:$F$295,"New")</f>
        <v>0</v>
      </c>
      <c r="BZ99" s="192">
        <f>SUMIFS(Internal_labour_inputs!CH$8:CH$295,Internal_labour_inputs!$B$8:$B$295,$B61,Internal_labour_inputs!$F$8:$F$295,"New")</f>
        <v>0</v>
      </c>
      <c r="CA99" s="192">
        <f>SUMIFS(Internal_labour_inputs!CI$8:CI$295,Internal_labour_inputs!$B$8:$B$295,$B61,Internal_labour_inputs!$F$8:$F$295,"New")</f>
        <v>0</v>
      </c>
      <c r="CB99" s="192">
        <f>SUMIFS(Internal_labour_inputs!CJ$8:CJ$295,Internal_labour_inputs!$B$8:$B$295,$B61,Internal_labour_inputs!$F$8:$F$295,"New")</f>
        <v>0</v>
      </c>
      <c r="CC99" s="192">
        <f>SUMIFS(Internal_labour_inputs!CK$8:CK$295,Internal_labour_inputs!$B$8:$B$295,$B61,Internal_labour_inputs!$F$8:$F$295,"New")</f>
        <v>0</v>
      </c>
      <c r="CD99" s="192">
        <f>SUMIFS(Internal_labour_inputs!CL$8:CL$295,Internal_labour_inputs!$B$8:$B$295,$B61,Internal_labour_inputs!$F$8:$F$295,"New")</f>
        <v>0</v>
      </c>
      <c r="CE99" s="192">
        <f>SUMIFS(Internal_labour_inputs!CM$8:CM$295,Internal_labour_inputs!$B$8:$B$295,$B61,Internal_labour_inputs!$F$8:$F$295,"New")</f>
        <v>0</v>
      </c>
      <c r="CF99" s="192">
        <f>SUMIFS(Internal_labour_inputs!CN$8:CN$295,Internal_labour_inputs!$B$8:$B$295,$B61,Internal_labour_inputs!$F$8:$F$295,"New")</f>
        <v>0</v>
      </c>
      <c r="CG99" s="192">
        <f>SUMIFS(Internal_labour_inputs!CO$8:CO$295,Internal_labour_inputs!$B$8:$B$295,$B61,Internal_labour_inputs!$F$8:$F$295,"New")</f>
        <v>0</v>
      </c>
      <c r="CH99" s="192">
        <f>SUMIFS(Internal_labour_inputs!CP$8:CP$295,Internal_labour_inputs!$B$8:$B$295,$B61,Internal_labour_inputs!$F$8:$F$295,"New")</f>
        <v>0</v>
      </c>
      <c r="CI99" s="192">
        <f t="shared" si="36"/>
        <v>0</v>
      </c>
      <c r="CJ99" s="192">
        <f t="shared" si="37"/>
        <v>0</v>
      </c>
      <c r="CK99" s="193"/>
      <c r="CL99" s="194"/>
    </row>
    <row r="100" spans="1:93" x14ac:dyDescent="0.3">
      <c r="B100" s="191" t="str">
        <f t="shared" si="35"/>
        <v>Regulatory Approvals</v>
      </c>
      <c r="C100" s="192">
        <f>SUMIFS(Internal_labour_inputs!K$8:K$295,Internal_labour_inputs!$B$8:$B$295,$B62,Internal_labour_inputs!$F$8:$F$295,"New")</f>
        <v>0</v>
      </c>
      <c r="D100" s="192">
        <f>SUMIFS(Internal_labour_inputs!L$8:L$295,Internal_labour_inputs!$B$8:$B$295,$B62,Internal_labour_inputs!$F$8:$F$295,"New")</f>
        <v>0</v>
      </c>
      <c r="E100" s="192">
        <f>SUMIFS(Internal_labour_inputs!M$8:M$295,Internal_labour_inputs!$B$8:$B$295,$B62,Internal_labour_inputs!$F$8:$F$295,"New")</f>
        <v>0</v>
      </c>
      <c r="F100" s="192">
        <f>SUMIFS(Internal_labour_inputs!N$8:N$295,Internal_labour_inputs!$B$8:$B$295,$B62,Internal_labour_inputs!$F$8:$F$295,"New")</f>
        <v>0</v>
      </c>
      <c r="G100" s="192">
        <f>SUMIFS(Internal_labour_inputs!O$8:O$295,Internal_labour_inputs!$B$8:$B$295,$B62,Internal_labour_inputs!$F$8:$F$295,"New")</f>
        <v>0</v>
      </c>
      <c r="H100" s="192">
        <f>SUMIFS(Internal_labour_inputs!P$8:P$295,Internal_labour_inputs!$B$8:$B$295,$B62,Internal_labour_inputs!$F$8:$F$295,"New")</f>
        <v>0</v>
      </c>
      <c r="I100" s="192">
        <f>SUMIFS(Internal_labour_inputs!Q$8:Q$295,Internal_labour_inputs!$B$8:$B$295,$B62,Internal_labour_inputs!$F$8:$F$295,"New")</f>
        <v>0</v>
      </c>
      <c r="J100" s="192">
        <f>SUMIFS(Internal_labour_inputs!R$8:R$295,Internal_labour_inputs!$B$8:$B$295,$B62,Internal_labour_inputs!$F$8:$F$295,"New")</f>
        <v>0</v>
      </c>
      <c r="K100" s="192">
        <f>SUMIFS(Internal_labour_inputs!S$8:S$295,Internal_labour_inputs!$B$8:$B$295,$B62,Internal_labour_inputs!$F$8:$F$295,"New")</f>
        <v>0</v>
      </c>
      <c r="L100" s="192">
        <f>SUMIFS(Internal_labour_inputs!T$8:T$295,Internal_labour_inputs!$B$8:$B$295,$B62,Internal_labour_inputs!$F$8:$F$295,"New")</f>
        <v>0</v>
      </c>
      <c r="M100" s="192">
        <f>SUMIFS(Internal_labour_inputs!U$8:U$295,Internal_labour_inputs!$B$8:$B$295,$B62,Internal_labour_inputs!$F$8:$F$295,"New")</f>
        <v>0</v>
      </c>
      <c r="N100" s="192">
        <f>SUMIFS(Internal_labour_inputs!V$8:V$295,Internal_labour_inputs!$B$8:$B$295,$B62,Internal_labour_inputs!$F$8:$F$295,"New")</f>
        <v>0</v>
      </c>
      <c r="O100" s="192">
        <f>SUMIFS(Internal_labour_inputs!W$8:W$295,Internal_labour_inputs!$B$8:$B$295,$B62,Internal_labour_inputs!$F$8:$F$295,"New")</f>
        <v>0</v>
      </c>
      <c r="P100" s="192">
        <f>SUMIFS(Internal_labour_inputs!X$8:X$295,Internal_labour_inputs!$B$8:$B$295,$B62,Internal_labour_inputs!$F$8:$F$295,"New")</f>
        <v>0</v>
      </c>
      <c r="Q100" s="192">
        <f>SUMIFS(Internal_labour_inputs!Y$8:Y$295,Internal_labour_inputs!$B$8:$B$295,$B62,Internal_labour_inputs!$F$8:$F$295,"New")</f>
        <v>0</v>
      </c>
      <c r="R100" s="192">
        <f>SUMIFS(Internal_labour_inputs!Z$8:Z$295,Internal_labour_inputs!$B$8:$B$295,$B62,Internal_labour_inputs!$F$8:$F$295,"New")</f>
        <v>0</v>
      </c>
      <c r="S100" s="192">
        <f>SUMIFS(Internal_labour_inputs!AA$8:AA$295,Internal_labour_inputs!$B$8:$B$295,$B62,Internal_labour_inputs!$F$8:$F$295,"New")</f>
        <v>0</v>
      </c>
      <c r="T100" s="192">
        <f>SUMIFS(Internal_labour_inputs!AB$8:AB$295,Internal_labour_inputs!$B$8:$B$295,$B62,Internal_labour_inputs!$F$8:$F$295,"New")</f>
        <v>0</v>
      </c>
      <c r="U100" s="192">
        <f>SUMIFS(Internal_labour_inputs!AC$8:AC$295,Internal_labour_inputs!$B$8:$B$295,$B62,Internal_labour_inputs!$F$8:$F$295,"New")</f>
        <v>0</v>
      </c>
      <c r="V100" s="192">
        <f>SUMIFS(Internal_labour_inputs!AD$8:AD$295,Internal_labour_inputs!$B$8:$B$295,$B62,Internal_labour_inputs!$F$8:$F$295,"New")</f>
        <v>0</v>
      </c>
      <c r="W100" s="192">
        <f>SUMIFS(Internal_labour_inputs!AE$8:AE$295,Internal_labour_inputs!$B$8:$B$295,$B62,Internal_labour_inputs!$F$8:$F$295,"New")</f>
        <v>0</v>
      </c>
      <c r="X100" s="192">
        <f>SUMIFS(Internal_labour_inputs!AF$8:AF$295,Internal_labour_inputs!$B$8:$B$295,$B62,Internal_labour_inputs!$F$8:$F$295,"New")</f>
        <v>0</v>
      </c>
      <c r="Y100" s="192">
        <f>SUMIFS(Internal_labour_inputs!AG$8:AG$295,Internal_labour_inputs!$B$8:$B$295,$B62,Internal_labour_inputs!$F$8:$F$295,"New")</f>
        <v>0</v>
      </c>
      <c r="Z100" s="192">
        <f>SUMIFS(Internal_labour_inputs!AH$8:AH$295,Internal_labour_inputs!$B$8:$B$295,$B62,Internal_labour_inputs!$F$8:$F$295,"New")</f>
        <v>0</v>
      </c>
      <c r="AA100" s="192">
        <f>SUMIFS(Internal_labour_inputs!AI$8:AI$295,Internal_labour_inputs!$B$8:$B$295,$B62,Internal_labour_inputs!$F$8:$F$295,"New")</f>
        <v>0</v>
      </c>
      <c r="AB100" s="192">
        <f>SUMIFS(Internal_labour_inputs!AJ$8:AJ$295,Internal_labour_inputs!$B$8:$B$295,$B62,Internal_labour_inputs!$F$8:$F$295,"New")</f>
        <v>0</v>
      </c>
      <c r="AC100" s="192">
        <f>SUMIFS(Internal_labour_inputs!AK$8:AK$295,Internal_labour_inputs!$B$8:$B$295,$B62,Internal_labour_inputs!$F$8:$F$295,"New")</f>
        <v>0</v>
      </c>
      <c r="AD100" s="192">
        <f>SUMIFS(Internal_labour_inputs!AL$8:AL$295,Internal_labour_inputs!$B$8:$B$295,$B62,Internal_labour_inputs!$F$8:$F$295,"New")</f>
        <v>0</v>
      </c>
      <c r="AE100" s="192">
        <f>SUMIFS(Internal_labour_inputs!AM$8:AM$295,Internal_labour_inputs!$B$8:$B$295,$B62,Internal_labour_inputs!$F$8:$F$295,"New")</f>
        <v>0</v>
      </c>
      <c r="AF100" s="192">
        <f>SUMIFS(Internal_labour_inputs!AN$8:AN$295,Internal_labour_inputs!$B$8:$B$295,$B62,Internal_labour_inputs!$F$8:$F$295,"New")</f>
        <v>0</v>
      </c>
      <c r="AG100" s="192">
        <f>SUMIFS(Internal_labour_inputs!AO$8:AO$295,Internal_labour_inputs!$B$8:$B$295,$B62,Internal_labour_inputs!$F$8:$F$295,"New")</f>
        <v>0</v>
      </c>
      <c r="AH100" s="192">
        <f>SUMIFS(Internal_labour_inputs!AP$8:AP$295,Internal_labour_inputs!$B$8:$B$295,$B62,Internal_labour_inputs!$F$8:$F$295,"New")</f>
        <v>0</v>
      </c>
      <c r="AI100" s="192">
        <f>SUMIFS(Internal_labour_inputs!AQ$8:AQ$295,Internal_labour_inputs!$B$8:$B$295,$B62,Internal_labour_inputs!$F$8:$F$295,"New")</f>
        <v>0</v>
      </c>
      <c r="AJ100" s="192">
        <f>SUMIFS(Internal_labour_inputs!AR$8:AR$295,Internal_labour_inputs!$B$8:$B$295,$B62,Internal_labour_inputs!$F$8:$F$295,"New")</f>
        <v>0</v>
      </c>
      <c r="AK100" s="192">
        <f>SUMIFS(Internal_labour_inputs!AS$8:AS$295,Internal_labour_inputs!$B$8:$B$295,$B62,Internal_labour_inputs!$F$8:$F$295,"New")</f>
        <v>0</v>
      </c>
      <c r="AL100" s="192">
        <f>SUMIFS(Internal_labour_inputs!AT$8:AT$295,Internal_labour_inputs!$B$8:$B$295,$B62,Internal_labour_inputs!$F$8:$F$295,"New")</f>
        <v>0</v>
      </c>
      <c r="AM100" s="192">
        <f>SUMIFS(Internal_labour_inputs!AU$8:AU$295,Internal_labour_inputs!$B$8:$B$295,$B62,Internal_labour_inputs!$F$8:$F$295,"New")</f>
        <v>0</v>
      </c>
      <c r="AN100" s="192">
        <f>SUMIFS(Internal_labour_inputs!AV$8:AV$295,Internal_labour_inputs!$B$8:$B$295,$B62,Internal_labour_inputs!$F$8:$F$295,"New")</f>
        <v>0</v>
      </c>
      <c r="AO100" s="192">
        <f>SUMIFS(Internal_labour_inputs!AW$8:AW$295,Internal_labour_inputs!$B$8:$B$295,$B62,Internal_labour_inputs!$F$8:$F$295,"New")</f>
        <v>0</v>
      </c>
      <c r="AP100" s="192">
        <f>SUMIFS(Internal_labour_inputs!AX$8:AX$295,Internal_labour_inputs!$B$8:$B$295,$B62,Internal_labour_inputs!$F$8:$F$295,"New")</f>
        <v>0</v>
      </c>
      <c r="AQ100" s="192">
        <f>SUMIFS(Internal_labour_inputs!AY$8:AY$295,Internal_labour_inputs!$B$8:$B$295,$B62,Internal_labour_inputs!$F$8:$F$295,"New")</f>
        <v>0</v>
      </c>
      <c r="AR100" s="192">
        <f>SUMIFS(Internal_labour_inputs!AZ$8:AZ$295,Internal_labour_inputs!$B$8:$B$295,$B62,Internal_labour_inputs!$F$8:$F$295,"New")</f>
        <v>0</v>
      </c>
      <c r="AS100" s="192">
        <f>SUMIFS(Internal_labour_inputs!BA$8:BA$295,Internal_labour_inputs!$B$8:$B$295,$B62,Internal_labour_inputs!$F$8:$F$295,"New")</f>
        <v>0</v>
      </c>
      <c r="AT100" s="192">
        <f>SUMIFS(Internal_labour_inputs!BB$8:BB$295,Internal_labour_inputs!$B$8:$B$295,$B62,Internal_labour_inputs!$F$8:$F$295,"New")</f>
        <v>0</v>
      </c>
      <c r="AU100" s="192">
        <f>SUMIFS(Internal_labour_inputs!BC$8:BC$295,Internal_labour_inputs!$B$8:$B$295,$B62,Internal_labour_inputs!$F$8:$F$295,"New")</f>
        <v>0</v>
      </c>
      <c r="AV100" s="192">
        <f>SUMIFS(Internal_labour_inputs!BD$8:BD$295,Internal_labour_inputs!$B$8:$B$295,$B62,Internal_labour_inputs!$F$8:$F$295,"New")</f>
        <v>0</v>
      </c>
      <c r="AW100" s="192">
        <f>SUMIFS(Internal_labour_inputs!BE$8:BE$295,Internal_labour_inputs!$B$8:$B$295,$B62,Internal_labour_inputs!$F$8:$F$295,"New")</f>
        <v>0</v>
      </c>
      <c r="AX100" s="192">
        <f>SUMIFS(Internal_labour_inputs!BF$8:BF$295,Internal_labour_inputs!$B$8:$B$295,$B62,Internal_labour_inputs!$F$8:$F$295,"New")</f>
        <v>0</v>
      </c>
      <c r="AY100" s="192">
        <f>SUMIFS(Internal_labour_inputs!BG$8:BG$295,Internal_labour_inputs!$B$8:$B$295,$B62,Internal_labour_inputs!$F$8:$F$295,"New")</f>
        <v>0</v>
      </c>
      <c r="AZ100" s="192">
        <f>SUMIFS(Internal_labour_inputs!BH$8:BH$295,Internal_labour_inputs!$B$8:$B$295,$B62,Internal_labour_inputs!$F$8:$F$295,"New")</f>
        <v>0</v>
      </c>
      <c r="BA100" s="192">
        <f>SUMIFS(Internal_labour_inputs!BI$8:BI$295,Internal_labour_inputs!$B$8:$B$295,$B62,Internal_labour_inputs!$F$8:$F$295,"New")</f>
        <v>0</v>
      </c>
      <c r="BB100" s="192">
        <f>SUMIFS(Internal_labour_inputs!BJ$8:BJ$295,Internal_labour_inputs!$B$8:$B$295,$B62,Internal_labour_inputs!$F$8:$F$295,"New")</f>
        <v>0</v>
      </c>
      <c r="BC100" s="192">
        <f>SUMIFS(Internal_labour_inputs!BK$8:BK$295,Internal_labour_inputs!$B$8:$B$295,$B62,Internal_labour_inputs!$F$8:$F$295,"New")</f>
        <v>0</v>
      </c>
      <c r="BD100" s="192">
        <f>SUMIFS(Internal_labour_inputs!BL$8:BL$295,Internal_labour_inputs!$B$8:$B$295,$B62,Internal_labour_inputs!$F$8:$F$295,"New")</f>
        <v>0</v>
      </c>
      <c r="BE100" s="192">
        <f>SUMIFS(Internal_labour_inputs!BM$8:BM$295,Internal_labour_inputs!$B$8:$B$295,$B62,Internal_labour_inputs!$F$8:$F$295,"New")</f>
        <v>0</v>
      </c>
      <c r="BF100" s="192">
        <f>SUMIFS(Internal_labour_inputs!BN$8:BN$295,Internal_labour_inputs!$B$8:$B$295,$B62,Internal_labour_inputs!$F$8:$F$295,"New")</f>
        <v>0</v>
      </c>
      <c r="BG100" s="192">
        <f>SUMIFS(Internal_labour_inputs!BO$8:BO$295,Internal_labour_inputs!$B$8:$B$295,$B62,Internal_labour_inputs!$F$8:$F$295,"New")</f>
        <v>0</v>
      </c>
      <c r="BH100" s="192">
        <f>SUMIFS(Internal_labour_inputs!BP$8:BP$295,Internal_labour_inputs!$B$8:$B$295,$B62,Internal_labour_inputs!$F$8:$F$295,"New")</f>
        <v>0</v>
      </c>
      <c r="BI100" s="192">
        <f>SUMIFS(Internal_labour_inputs!BQ$8:BQ$295,Internal_labour_inputs!$B$8:$B$295,$B62,Internal_labour_inputs!$F$8:$F$295,"New")</f>
        <v>0</v>
      </c>
      <c r="BJ100" s="192">
        <f>SUMIFS(Internal_labour_inputs!BR$8:BR$295,Internal_labour_inputs!$B$8:$B$295,$B62,Internal_labour_inputs!$F$8:$F$295,"New")</f>
        <v>0</v>
      </c>
      <c r="BK100" s="192">
        <f>SUMIFS(Internal_labour_inputs!BS$8:BS$295,Internal_labour_inputs!$B$8:$B$295,$B62,Internal_labour_inputs!$F$8:$F$295,"New")</f>
        <v>0</v>
      </c>
      <c r="BL100" s="192">
        <f>SUMIFS(Internal_labour_inputs!BT$8:BT$295,Internal_labour_inputs!$B$8:$B$295,$B62,Internal_labour_inputs!$F$8:$F$295,"New")</f>
        <v>0</v>
      </c>
      <c r="BM100" s="192">
        <f>SUMIFS(Internal_labour_inputs!BU$8:BU$295,Internal_labour_inputs!$B$8:$B$295,$B62,Internal_labour_inputs!$F$8:$F$295,"New")</f>
        <v>0</v>
      </c>
      <c r="BN100" s="192">
        <f>SUMIFS(Internal_labour_inputs!BV$8:BV$295,Internal_labour_inputs!$B$8:$B$295,$B62,Internal_labour_inputs!$F$8:$F$295,"New")</f>
        <v>0</v>
      </c>
      <c r="BO100" s="192">
        <f>SUMIFS(Internal_labour_inputs!BW$8:BW$295,Internal_labour_inputs!$B$8:$B$295,$B62,Internal_labour_inputs!$F$8:$F$295,"New")</f>
        <v>0</v>
      </c>
      <c r="BP100" s="192">
        <f>SUMIFS(Internal_labour_inputs!BX$8:BX$295,Internal_labour_inputs!$B$8:$B$295,$B62,Internal_labour_inputs!$F$8:$F$295,"New")</f>
        <v>0</v>
      </c>
      <c r="BQ100" s="192">
        <f>SUMIFS(Internal_labour_inputs!BY$8:BY$295,Internal_labour_inputs!$B$8:$B$295,$B62,Internal_labour_inputs!$F$8:$F$295,"New")</f>
        <v>0</v>
      </c>
      <c r="BR100" s="192">
        <f>SUMIFS(Internal_labour_inputs!BZ$8:BZ$295,Internal_labour_inputs!$B$8:$B$295,$B62,Internal_labour_inputs!$F$8:$F$295,"New")</f>
        <v>0</v>
      </c>
      <c r="BS100" s="192">
        <f>SUMIFS(Internal_labour_inputs!CA$8:CA$295,Internal_labour_inputs!$B$8:$B$295,$B62,Internal_labour_inputs!$F$8:$F$295,"New")</f>
        <v>0</v>
      </c>
      <c r="BT100" s="192">
        <f>SUMIFS(Internal_labour_inputs!CB$8:CB$295,Internal_labour_inputs!$B$8:$B$295,$B62,Internal_labour_inputs!$F$8:$F$295,"New")</f>
        <v>0</v>
      </c>
      <c r="BU100" s="192">
        <f>SUMIFS(Internal_labour_inputs!CC$8:CC$295,Internal_labour_inputs!$B$8:$B$295,$B62,Internal_labour_inputs!$F$8:$F$295,"New")</f>
        <v>0</v>
      </c>
      <c r="BV100" s="192">
        <f>SUMIFS(Internal_labour_inputs!CD$8:CD$295,Internal_labour_inputs!$B$8:$B$295,$B62,Internal_labour_inputs!$F$8:$F$295,"New")</f>
        <v>0</v>
      </c>
      <c r="BW100" s="192">
        <f>SUMIFS(Internal_labour_inputs!CE$8:CE$295,Internal_labour_inputs!$B$8:$B$295,$B62,Internal_labour_inputs!$F$8:$F$295,"New")</f>
        <v>0</v>
      </c>
      <c r="BX100" s="192">
        <f>SUMIFS(Internal_labour_inputs!CF$8:CF$295,Internal_labour_inputs!$B$8:$B$295,$B62,Internal_labour_inputs!$F$8:$F$295,"New")</f>
        <v>0</v>
      </c>
      <c r="BY100" s="192">
        <f>SUMIFS(Internal_labour_inputs!CG$8:CG$295,Internal_labour_inputs!$B$8:$B$295,$B62,Internal_labour_inputs!$F$8:$F$295,"New")</f>
        <v>0</v>
      </c>
      <c r="BZ100" s="192">
        <f>SUMIFS(Internal_labour_inputs!CH$8:CH$295,Internal_labour_inputs!$B$8:$B$295,$B62,Internal_labour_inputs!$F$8:$F$295,"New")</f>
        <v>0</v>
      </c>
      <c r="CA100" s="192">
        <f>SUMIFS(Internal_labour_inputs!CI$8:CI$295,Internal_labour_inputs!$B$8:$B$295,$B62,Internal_labour_inputs!$F$8:$F$295,"New")</f>
        <v>0</v>
      </c>
      <c r="CB100" s="192">
        <f>SUMIFS(Internal_labour_inputs!CJ$8:CJ$295,Internal_labour_inputs!$B$8:$B$295,$B62,Internal_labour_inputs!$F$8:$F$295,"New")</f>
        <v>0</v>
      </c>
      <c r="CC100" s="192">
        <f>SUMIFS(Internal_labour_inputs!CK$8:CK$295,Internal_labour_inputs!$B$8:$B$295,$B62,Internal_labour_inputs!$F$8:$F$295,"New")</f>
        <v>0</v>
      </c>
      <c r="CD100" s="192">
        <f>SUMIFS(Internal_labour_inputs!CL$8:CL$295,Internal_labour_inputs!$B$8:$B$295,$B62,Internal_labour_inputs!$F$8:$F$295,"New")</f>
        <v>0</v>
      </c>
      <c r="CE100" s="192">
        <f>SUMIFS(Internal_labour_inputs!CM$8:CM$295,Internal_labour_inputs!$B$8:$B$295,$B62,Internal_labour_inputs!$F$8:$F$295,"New")</f>
        <v>0</v>
      </c>
      <c r="CF100" s="192">
        <f>SUMIFS(Internal_labour_inputs!CN$8:CN$295,Internal_labour_inputs!$B$8:$B$295,$B62,Internal_labour_inputs!$F$8:$F$295,"New")</f>
        <v>0</v>
      </c>
      <c r="CG100" s="192">
        <f>SUMIFS(Internal_labour_inputs!CO$8:CO$295,Internal_labour_inputs!$B$8:$B$295,$B62,Internal_labour_inputs!$F$8:$F$295,"New")</f>
        <v>0</v>
      </c>
      <c r="CH100" s="192">
        <f>SUMIFS(Internal_labour_inputs!CP$8:CP$295,Internal_labour_inputs!$B$8:$B$295,$B62,Internal_labour_inputs!$F$8:$F$295,"New")</f>
        <v>0</v>
      </c>
      <c r="CI100" s="192">
        <f t="shared" si="36"/>
        <v>0</v>
      </c>
      <c r="CJ100" s="192">
        <f t="shared" si="37"/>
        <v>0</v>
      </c>
      <c r="CK100" s="193"/>
      <c r="CL100" s="194"/>
    </row>
    <row r="101" spans="1:93" x14ac:dyDescent="0.3">
      <c r="B101" s="191" t="str">
        <f t="shared" si="35"/>
        <v>Transaction Procurement Support</v>
      </c>
      <c r="C101" s="192">
        <f>SUMIFS(Internal_labour_inputs!K$8:K$295,Internal_labour_inputs!$B$8:$B$295,$B63,Internal_labour_inputs!$F$8:$F$295,"New")</f>
        <v>0</v>
      </c>
      <c r="D101" s="192">
        <f>SUMIFS(Internal_labour_inputs!L$8:L$295,Internal_labour_inputs!$B$8:$B$295,$B63,Internal_labour_inputs!$F$8:$F$295,"New")</f>
        <v>0</v>
      </c>
      <c r="E101" s="192">
        <f>SUMIFS(Internal_labour_inputs!M$8:M$295,Internal_labour_inputs!$B$8:$B$295,$B63,Internal_labour_inputs!$F$8:$F$295,"New")</f>
        <v>0</v>
      </c>
      <c r="F101" s="192">
        <f>SUMIFS(Internal_labour_inputs!N$8:N$295,Internal_labour_inputs!$B$8:$B$295,$B63,Internal_labour_inputs!$F$8:$F$295,"New")</f>
        <v>0</v>
      </c>
      <c r="G101" s="192">
        <f>SUMIFS(Internal_labour_inputs!O$8:O$295,Internal_labour_inputs!$B$8:$B$295,$B63,Internal_labour_inputs!$F$8:$F$295,"New")</f>
        <v>0</v>
      </c>
      <c r="H101" s="192">
        <f>SUMIFS(Internal_labour_inputs!P$8:P$295,Internal_labour_inputs!$B$8:$B$295,$B63,Internal_labour_inputs!$F$8:$F$295,"New")</f>
        <v>0</v>
      </c>
      <c r="I101" s="192">
        <f>SUMIFS(Internal_labour_inputs!Q$8:Q$295,Internal_labour_inputs!$B$8:$B$295,$B63,Internal_labour_inputs!$F$8:$F$295,"New")</f>
        <v>0</v>
      </c>
      <c r="J101" s="192">
        <f>SUMIFS(Internal_labour_inputs!R$8:R$295,Internal_labour_inputs!$B$8:$B$295,$B63,Internal_labour_inputs!$F$8:$F$295,"New")</f>
        <v>0</v>
      </c>
      <c r="K101" s="192">
        <f>SUMIFS(Internal_labour_inputs!S$8:S$295,Internal_labour_inputs!$B$8:$B$295,$B63,Internal_labour_inputs!$F$8:$F$295,"New")</f>
        <v>0</v>
      </c>
      <c r="L101" s="192">
        <f>SUMIFS(Internal_labour_inputs!T$8:T$295,Internal_labour_inputs!$B$8:$B$295,$B63,Internal_labour_inputs!$F$8:$F$295,"New")</f>
        <v>0</v>
      </c>
      <c r="M101" s="192">
        <f>SUMIFS(Internal_labour_inputs!U$8:U$295,Internal_labour_inputs!$B$8:$B$295,$B63,Internal_labour_inputs!$F$8:$F$295,"New")</f>
        <v>0</v>
      </c>
      <c r="N101" s="192">
        <f>SUMIFS(Internal_labour_inputs!V$8:V$295,Internal_labour_inputs!$B$8:$B$295,$B63,Internal_labour_inputs!$F$8:$F$295,"New")</f>
        <v>0</v>
      </c>
      <c r="O101" s="192">
        <f>SUMIFS(Internal_labour_inputs!W$8:W$295,Internal_labour_inputs!$B$8:$B$295,$B63,Internal_labour_inputs!$F$8:$F$295,"New")</f>
        <v>0</v>
      </c>
      <c r="P101" s="192">
        <f>SUMIFS(Internal_labour_inputs!X$8:X$295,Internal_labour_inputs!$B$8:$B$295,$B63,Internal_labour_inputs!$F$8:$F$295,"New")</f>
        <v>0</v>
      </c>
      <c r="Q101" s="192">
        <f>SUMIFS(Internal_labour_inputs!Y$8:Y$295,Internal_labour_inputs!$B$8:$B$295,$B63,Internal_labour_inputs!$F$8:$F$295,"New")</f>
        <v>0</v>
      </c>
      <c r="R101" s="192">
        <f>SUMIFS(Internal_labour_inputs!Z$8:Z$295,Internal_labour_inputs!$B$8:$B$295,$B63,Internal_labour_inputs!$F$8:$F$295,"New")</f>
        <v>0</v>
      </c>
      <c r="S101" s="192">
        <f>SUMIFS(Internal_labour_inputs!AA$8:AA$295,Internal_labour_inputs!$B$8:$B$295,$B63,Internal_labour_inputs!$F$8:$F$295,"New")</f>
        <v>0</v>
      </c>
      <c r="T101" s="192">
        <f>SUMIFS(Internal_labour_inputs!AB$8:AB$295,Internal_labour_inputs!$B$8:$B$295,$B63,Internal_labour_inputs!$F$8:$F$295,"New")</f>
        <v>0</v>
      </c>
      <c r="U101" s="192">
        <f>SUMIFS(Internal_labour_inputs!AC$8:AC$295,Internal_labour_inputs!$B$8:$B$295,$B63,Internal_labour_inputs!$F$8:$F$295,"New")</f>
        <v>0</v>
      </c>
      <c r="V101" s="192">
        <f>SUMIFS(Internal_labour_inputs!AD$8:AD$295,Internal_labour_inputs!$B$8:$B$295,$B63,Internal_labour_inputs!$F$8:$F$295,"New")</f>
        <v>0</v>
      </c>
      <c r="W101" s="192">
        <f>SUMIFS(Internal_labour_inputs!AE$8:AE$295,Internal_labour_inputs!$B$8:$B$295,$B63,Internal_labour_inputs!$F$8:$F$295,"New")</f>
        <v>0</v>
      </c>
      <c r="X101" s="192">
        <f>SUMIFS(Internal_labour_inputs!AF$8:AF$295,Internal_labour_inputs!$B$8:$B$295,$B63,Internal_labour_inputs!$F$8:$F$295,"New")</f>
        <v>0</v>
      </c>
      <c r="Y101" s="192">
        <f>SUMIFS(Internal_labour_inputs!AG$8:AG$295,Internal_labour_inputs!$B$8:$B$295,$B63,Internal_labour_inputs!$F$8:$F$295,"New")</f>
        <v>0</v>
      </c>
      <c r="Z101" s="192">
        <f>SUMIFS(Internal_labour_inputs!AH$8:AH$295,Internal_labour_inputs!$B$8:$B$295,$B63,Internal_labour_inputs!$F$8:$F$295,"New")</f>
        <v>0</v>
      </c>
      <c r="AA101" s="192">
        <f>SUMIFS(Internal_labour_inputs!AI$8:AI$295,Internal_labour_inputs!$B$8:$B$295,$B63,Internal_labour_inputs!$F$8:$F$295,"New")</f>
        <v>0</v>
      </c>
      <c r="AB101" s="192">
        <f>SUMIFS(Internal_labour_inputs!AJ$8:AJ$295,Internal_labour_inputs!$B$8:$B$295,$B63,Internal_labour_inputs!$F$8:$F$295,"New")</f>
        <v>0</v>
      </c>
      <c r="AC101" s="192">
        <f>SUMIFS(Internal_labour_inputs!AK$8:AK$295,Internal_labour_inputs!$B$8:$B$295,$B63,Internal_labour_inputs!$F$8:$F$295,"New")</f>
        <v>0</v>
      </c>
      <c r="AD101" s="192">
        <f>SUMIFS(Internal_labour_inputs!AL$8:AL$295,Internal_labour_inputs!$B$8:$B$295,$B63,Internal_labour_inputs!$F$8:$F$295,"New")</f>
        <v>0</v>
      </c>
      <c r="AE101" s="192">
        <f>SUMIFS(Internal_labour_inputs!AM$8:AM$295,Internal_labour_inputs!$B$8:$B$295,$B63,Internal_labour_inputs!$F$8:$F$295,"New")</f>
        <v>0</v>
      </c>
      <c r="AF101" s="192">
        <f>SUMIFS(Internal_labour_inputs!AN$8:AN$295,Internal_labour_inputs!$B$8:$B$295,$B63,Internal_labour_inputs!$F$8:$F$295,"New")</f>
        <v>0</v>
      </c>
      <c r="AG101" s="192">
        <f>SUMIFS(Internal_labour_inputs!AO$8:AO$295,Internal_labour_inputs!$B$8:$B$295,$B63,Internal_labour_inputs!$F$8:$F$295,"New")</f>
        <v>0</v>
      </c>
      <c r="AH101" s="192">
        <f>SUMIFS(Internal_labour_inputs!AP$8:AP$295,Internal_labour_inputs!$B$8:$B$295,$B63,Internal_labour_inputs!$F$8:$F$295,"New")</f>
        <v>0</v>
      </c>
      <c r="AI101" s="192">
        <f>SUMIFS(Internal_labour_inputs!AQ$8:AQ$295,Internal_labour_inputs!$B$8:$B$295,$B63,Internal_labour_inputs!$F$8:$F$295,"New")</f>
        <v>0</v>
      </c>
      <c r="AJ101" s="192">
        <f>SUMIFS(Internal_labour_inputs!AR$8:AR$295,Internal_labour_inputs!$B$8:$B$295,$B63,Internal_labour_inputs!$F$8:$F$295,"New")</f>
        <v>0</v>
      </c>
      <c r="AK101" s="192">
        <f>SUMIFS(Internal_labour_inputs!AS$8:AS$295,Internal_labour_inputs!$B$8:$B$295,$B63,Internal_labour_inputs!$F$8:$F$295,"New")</f>
        <v>0</v>
      </c>
      <c r="AL101" s="192">
        <f>SUMIFS(Internal_labour_inputs!AT$8:AT$295,Internal_labour_inputs!$B$8:$B$295,$B63,Internal_labour_inputs!$F$8:$F$295,"New")</f>
        <v>0</v>
      </c>
      <c r="AM101" s="192">
        <f>SUMIFS(Internal_labour_inputs!AU$8:AU$295,Internal_labour_inputs!$B$8:$B$295,$B63,Internal_labour_inputs!$F$8:$F$295,"New")</f>
        <v>0</v>
      </c>
      <c r="AN101" s="192">
        <f>SUMIFS(Internal_labour_inputs!AV$8:AV$295,Internal_labour_inputs!$B$8:$B$295,$B63,Internal_labour_inputs!$F$8:$F$295,"New")</f>
        <v>0</v>
      </c>
      <c r="AO101" s="192">
        <f>SUMIFS(Internal_labour_inputs!AW$8:AW$295,Internal_labour_inputs!$B$8:$B$295,$B63,Internal_labour_inputs!$F$8:$F$295,"New")</f>
        <v>0</v>
      </c>
      <c r="AP101" s="192">
        <f>SUMIFS(Internal_labour_inputs!AX$8:AX$295,Internal_labour_inputs!$B$8:$B$295,$B63,Internal_labour_inputs!$F$8:$F$295,"New")</f>
        <v>0</v>
      </c>
      <c r="AQ101" s="192">
        <f>SUMIFS(Internal_labour_inputs!AY$8:AY$295,Internal_labour_inputs!$B$8:$B$295,$B63,Internal_labour_inputs!$F$8:$F$295,"New")</f>
        <v>0</v>
      </c>
      <c r="AR101" s="192">
        <f>SUMIFS(Internal_labour_inputs!AZ$8:AZ$295,Internal_labour_inputs!$B$8:$B$295,$B63,Internal_labour_inputs!$F$8:$F$295,"New")</f>
        <v>0</v>
      </c>
      <c r="AS101" s="192">
        <f>SUMIFS(Internal_labour_inputs!BA$8:BA$295,Internal_labour_inputs!$B$8:$B$295,$B63,Internal_labour_inputs!$F$8:$F$295,"New")</f>
        <v>0</v>
      </c>
      <c r="AT101" s="192">
        <f>SUMIFS(Internal_labour_inputs!BB$8:BB$295,Internal_labour_inputs!$B$8:$B$295,$B63,Internal_labour_inputs!$F$8:$F$295,"New")</f>
        <v>0</v>
      </c>
      <c r="AU101" s="192">
        <f>SUMIFS(Internal_labour_inputs!BC$8:BC$295,Internal_labour_inputs!$B$8:$B$295,$B63,Internal_labour_inputs!$F$8:$F$295,"New")</f>
        <v>0</v>
      </c>
      <c r="AV101" s="192">
        <f>SUMIFS(Internal_labour_inputs!BD$8:BD$295,Internal_labour_inputs!$B$8:$B$295,$B63,Internal_labour_inputs!$F$8:$F$295,"New")</f>
        <v>0</v>
      </c>
      <c r="AW101" s="192">
        <f>SUMIFS(Internal_labour_inputs!BE$8:BE$295,Internal_labour_inputs!$B$8:$B$295,$B63,Internal_labour_inputs!$F$8:$F$295,"New")</f>
        <v>0</v>
      </c>
      <c r="AX101" s="192">
        <f>SUMIFS(Internal_labour_inputs!BF$8:BF$295,Internal_labour_inputs!$B$8:$B$295,$B63,Internal_labour_inputs!$F$8:$F$295,"New")</f>
        <v>0</v>
      </c>
      <c r="AY101" s="192">
        <f>SUMIFS(Internal_labour_inputs!BG$8:BG$295,Internal_labour_inputs!$B$8:$B$295,$B63,Internal_labour_inputs!$F$8:$F$295,"New")</f>
        <v>0</v>
      </c>
      <c r="AZ101" s="192">
        <f>SUMIFS(Internal_labour_inputs!BH$8:BH$295,Internal_labour_inputs!$B$8:$B$295,$B63,Internal_labour_inputs!$F$8:$F$295,"New")</f>
        <v>0</v>
      </c>
      <c r="BA101" s="192">
        <f>SUMIFS(Internal_labour_inputs!BI$8:BI$295,Internal_labour_inputs!$B$8:$B$295,$B63,Internal_labour_inputs!$F$8:$F$295,"New")</f>
        <v>0</v>
      </c>
      <c r="BB101" s="192">
        <f>SUMIFS(Internal_labour_inputs!BJ$8:BJ$295,Internal_labour_inputs!$B$8:$B$295,$B63,Internal_labour_inputs!$F$8:$F$295,"New")</f>
        <v>0</v>
      </c>
      <c r="BC101" s="192">
        <f>SUMIFS(Internal_labour_inputs!BK$8:BK$295,Internal_labour_inputs!$B$8:$B$295,$B63,Internal_labour_inputs!$F$8:$F$295,"New")</f>
        <v>0</v>
      </c>
      <c r="BD101" s="192">
        <f>SUMIFS(Internal_labour_inputs!BL$8:BL$295,Internal_labour_inputs!$B$8:$B$295,$B63,Internal_labour_inputs!$F$8:$F$295,"New")</f>
        <v>0</v>
      </c>
      <c r="BE101" s="192">
        <f>SUMIFS(Internal_labour_inputs!BM$8:BM$295,Internal_labour_inputs!$B$8:$B$295,$B63,Internal_labour_inputs!$F$8:$F$295,"New")</f>
        <v>0</v>
      </c>
      <c r="BF101" s="192">
        <f>SUMIFS(Internal_labour_inputs!BN$8:BN$295,Internal_labour_inputs!$B$8:$B$295,$B63,Internal_labour_inputs!$F$8:$F$295,"New")</f>
        <v>0</v>
      </c>
      <c r="BG101" s="192">
        <f>SUMIFS(Internal_labour_inputs!BO$8:BO$295,Internal_labour_inputs!$B$8:$B$295,$B63,Internal_labour_inputs!$F$8:$F$295,"New")</f>
        <v>0</v>
      </c>
      <c r="BH101" s="192">
        <f>SUMIFS(Internal_labour_inputs!BP$8:BP$295,Internal_labour_inputs!$B$8:$B$295,$B63,Internal_labour_inputs!$F$8:$F$295,"New")</f>
        <v>0</v>
      </c>
      <c r="BI101" s="192">
        <f>SUMIFS(Internal_labour_inputs!BQ$8:BQ$295,Internal_labour_inputs!$B$8:$B$295,$B63,Internal_labour_inputs!$F$8:$F$295,"New")</f>
        <v>0</v>
      </c>
      <c r="BJ101" s="192">
        <f>SUMIFS(Internal_labour_inputs!BR$8:BR$295,Internal_labour_inputs!$B$8:$B$295,$B63,Internal_labour_inputs!$F$8:$F$295,"New")</f>
        <v>0</v>
      </c>
      <c r="BK101" s="192">
        <f>SUMIFS(Internal_labour_inputs!BS$8:BS$295,Internal_labour_inputs!$B$8:$B$295,$B63,Internal_labour_inputs!$F$8:$F$295,"New")</f>
        <v>0</v>
      </c>
      <c r="BL101" s="192">
        <f>SUMIFS(Internal_labour_inputs!BT$8:BT$295,Internal_labour_inputs!$B$8:$B$295,$B63,Internal_labour_inputs!$F$8:$F$295,"New")</f>
        <v>0</v>
      </c>
      <c r="BM101" s="192">
        <f>SUMIFS(Internal_labour_inputs!BU$8:BU$295,Internal_labour_inputs!$B$8:$B$295,$B63,Internal_labour_inputs!$F$8:$F$295,"New")</f>
        <v>0</v>
      </c>
      <c r="BN101" s="192">
        <f>SUMIFS(Internal_labour_inputs!BV$8:BV$295,Internal_labour_inputs!$B$8:$B$295,$B63,Internal_labour_inputs!$F$8:$F$295,"New")</f>
        <v>0</v>
      </c>
      <c r="BO101" s="192">
        <f>SUMIFS(Internal_labour_inputs!BW$8:BW$295,Internal_labour_inputs!$B$8:$B$295,$B63,Internal_labour_inputs!$F$8:$F$295,"New")</f>
        <v>0</v>
      </c>
      <c r="BP101" s="192">
        <f>SUMIFS(Internal_labour_inputs!BX$8:BX$295,Internal_labour_inputs!$B$8:$B$295,$B63,Internal_labour_inputs!$F$8:$F$295,"New")</f>
        <v>0</v>
      </c>
      <c r="BQ101" s="192">
        <f>SUMIFS(Internal_labour_inputs!BY$8:BY$295,Internal_labour_inputs!$B$8:$B$295,$B63,Internal_labour_inputs!$F$8:$F$295,"New")</f>
        <v>0</v>
      </c>
      <c r="BR101" s="192">
        <f>SUMIFS(Internal_labour_inputs!BZ$8:BZ$295,Internal_labour_inputs!$B$8:$B$295,$B63,Internal_labour_inputs!$F$8:$F$295,"New")</f>
        <v>0</v>
      </c>
      <c r="BS101" s="192">
        <f>SUMIFS(Internal_labour_inputs!CA$8:CA$295,Internal_labour_inputs!$B$8:$B$295,$B63,Internal_labour_inputs!$F$8:$F$295,"New")</f>
        <v>0</v>
      </c>
      <c r="BT101" s="192">
        <f>SUMIFS(Internal_labour_inputs!CB$8:CB$295,Internal_labour_inputs!$B$8:$B$295,$B63,Internal_labour_inputs!$F$8:$F$295,"New")</f>
        <v>0</v>
      </c>
      <c r="BU101" s="192">
        <f>SUMIFS(Internal_labour_inputs!CC$8:CC$295,Internal_labour_inputs!$B$8:$B$295,$B63,Internal_labour_inputs!$F$8:$F$295,"New")</f>
        <v>0</v>
      </c>
      <c r="BV101" s="192">
        <f>SUMIFS(Internal_labour_inputs!CD$8:CD$295,Internal_labour_inputs!$B$8:$B$295,$B63,Internal_labour_inputs!$F$8:$F$295,"New")</f>
        <v>0</v>
      </c>
      <c r="BW101" s="192">
        <f>SUMIFS(Internal_labour_inputs!CE$8:CE$295,Internal_labour_inputs!$B$8:$B$295,$B63,Internal_labour_inputs!$F$8:$F$295,"New")</f>
        <v>0</v>
      </c>
      <c r="BX101" s="192">
        <f>SUMIFS(Internal_labour_inputs!CF$8:CF$295,Internal_labour_inputs!$B$8:$B$295,$B63,Internal_labour_inputs!$F$8:$F$295,"New")</f>
        <v>0</v>
      </c>
      <c r="BY101" s="192">
        <f>SUMIFS(Internal_labour_inputs!CG$8:CG$295,Internal_labour_inputs!$B$8:$B$295,$B63,Internal_labour_inputs!$F$8:$F$295,"New")</f>
        <v>0</v>
      </c>
      <c r="BZ101" s="192">
        <f>SUMIFS(Internal_labour_inputs!CH$8:CH$295,Internal_labour_inputs!$B$8:$B$295,$B63,Internal_labour_inputs!$F$8:$F$295,"New")</f>
        <v>0</v>
      </c>
      <c r="CA101" s="192">
        <f>SUMIFS(Internal_labour_inputs!CI$8:CI$295,Internal_labour_inputs!$B$8:$B$295,$B63,Internal_labour_inputs!$F$8:$F$295,"New")</f>
        <v>0</v>
      </c>
      <c r="CB101" s="192">
        <f>SUMIFS(Internal_labour_inputs!CJ$8:CJ$295,Internal_labour_inputs!$B$8:$B$295,$B63,Internal_labour_inputs!$F$8:$F$295,"New")</f>
        <v>0</v>
      </c>
      <c r="CC101" s="192">
        <f>SUMIFS(Internal_labour_inputs!CK$8:CK$295,Internal_labour_inputs!$B$8:$B$295,$B63,Internal_labour_inputs!$F$8:$F$295,"New")</f>
        <v>0</v>
      </c>
      <c r="CD101" s="192">
        <f>SUMIFS(Internal_labour_inputs!CL$8:CL$295,Internal_labour_inputs!$B$8:$B$295,$B63,Internal_labour_inputs!$F$8:$F$295,"New")</f>
        <v>0</v>
      </c>
      <c r="CE101" s="192">
        <f>SUMIFS(Internal_labour_inputs!CM$8:CM$295,Internal_labour_inputs!$B$8:$B$295,$B63,Internal_labour_inputs!$F$8:$F$295,"New")</f>
        <v>0</v>
      </c>
      <c r="CF101" s="192">
        <f>SUMIFS(Internal_labour_inputs!CN$8:CN$295,Internal_labour_inputs!$B$8:$B$295,$B63,Internal_labour_inputs!$F$8:$F$295,"New")</f>
        <v>0</v>
      </c>
      <c r="CG101" s="192">
        <f>SUMIFS(Internal_labour_inputs!CO$8:CO$295,Internal_labour_inputs!$B$8:$B$295,$B63,Internal_labour_inputs!$F$8:$F$295,"New")</f>
        <v>0</v>
      </c>
      <c r="CH101" s="192">
        <f>SUMIFS(Internal_labour_inputs!CP$8:CP$295,Internal_labour_inputs!$B$8:$B$295,$B63,Internal_labour_inputs!$F$8:$F$295,"New")</f>
        <v>0</v>
      </c>
      <c r="CI101" s="192">
        <f t="shared" si="36"/>
        <v>0</v>
      </c>
      <c r="CJ101" s="192">
        <f t="shared" si="37"/>
        <v>0</v>
      </c>
      <c r="CK101" s="193"/>
      <c r="CL101" s="194"/>
    </row>
    <row r="102" spans="1:93" s="39" customFormat="1" x14ac:dyDescent="0.3">
      <c r="A102"/>
      <c r="B102" s="195" t="s">
        <v>165</v>
      </c>
      <c r="C102" s="196">
        <f t="shared" ref="C102" si="38">SUM(C89:C101)</f>
        <v>0</v>
      </c>
      <c r="D102" s="196">
        <f t="shared" ref="D102:BO102" si="39">SUM(D89:D101)</f>
        <v>0</v>
      </c>
      <c r="E102" s="196">
        <f t="shared" si="39"/>
        <v>0</v>
      </c>
      <c r="F102" s="196">
        <f t="shared" si="39"/>
        <v>0</v>
      </c>
      <c r="G102" s="196">
        <f t="shared" si="39"/>
        <v>0</v>
      </c>
      <c r="H102" s="196">
        <f t="shared" si="39"/>
        <v>0</v>
      </c>
      <c r="I102" s="196">
        <f t="shared" si="39"/>
        <v>0</v>
      </c>
      <c r="J102" s="196">
        <f t="shared" si="39"/>
        <v>0</v>
      </c>
      <c r="K102" s="196">
        <f t="shared" si="39"/>
        <v>0</v>
      </c>
      <c r="L102" s="196">
        <f t="shared" si="39"/>
        <v>0</v>
      </c>
      <c r="M102" s="196">
        <f t="shared" si="39"/>
        <v>0</v>
      </c>
      <c r="N102" s="196">
        <f t="shared" si="39"/>
        <v>0</v>
      </c>
      <c r="O102" s="196">
        <f t="shared" si="39"/>
        <v>0</v>
      </c>
      <c r="P102" s="196">
        <f t="shared" si="39"/>
        <v>4.5999999999999996</v>
      </c>
      <c r="Q102" s="196">
        <f t="shared" si="39"/>
        <v>13.8</v>
      </c>
      <c r="R102" s="196">
        <f t="shared" si="39"/>
        <v>16.399999999999999</v>
      </c>
      <c r="S102" s="196">
        <f t="shared" si="39"/>
        <v>14.543421052631576</v>
      </c>
      <c r="T102" s="196">
        <f t="shared" si="39"/>
        <v>14.607894736842102</v>
      </c>
      <c r="U102" s="196">
        <f t="shared" si="39"/>
        <v>15.83</v>
      </c>
      <c r="V102" s="196">
        <f t="shared" si="39"/>
        <v>15.8</v>
      </c>
      <c r="W102" s="196">
        <f t="shared" si="39"/>
        <v>15.76</v>
      </c>
      <c r="X102" s="196">
        <f t="shared" si="39"/>
        <v>15.76</v>
      </c>
      <c r="Y102" s="196">
        <f t="shared" si="39"/>
        <v>15.69</v>
      </c>
      <c r="Z102" s="196">
        <f t="shared" si="39"/>
        <v>15.786666666666667</v>
      </c>
      <c r="AA102" s="196">
        <f t="shared" si="39"/>
        <v>16.813333333333333</v>
      </c>
      <c r="AB102" s="196">
        <f t="shared" si="39"/>
        <v>15.620000000000001</v>
      </c>
      <c r="AC102" s="196">
        <f t="shared" si="39"/>
        <v>15.620000000000001</v>
      </c>
      <c r="AD102" s="196">
        <f t="shared" si="39"/>
        <v>16.439999999999998</v>
      </c>
      <c r="AE102" s="196">
        <f t="shared" si="39"/>
        <v>15.581578947368421</v>
      </c>
      <c r="AF102" s="196">
        <f t="shared" si="39"/>
        <v>15.517105263157895</v>
      </c>
      <c r="AG102" s="196">
        <f t="shared" si="39"/>
        <v>15.76</v>
      </c>
      <c r="AH102" s="196">
        <f t="shared" si="39"/>
        <v>15.69</v>
      </c>
      <c r="AI102" s="196">
        <f t="shared" si="39"/>
        <v>15.76</v>
      </c>
      <c r="AJ102" s="196">
        <f t="shared" si="39"/>
        <v>15.76</v>
      </c>
      <c r="AK102" s="196">
        <f t="shared" si="39"/>
        <v>15.69</v>
      </c>
      <c r="AL102" s="196">
        <f t="shared" si="39"/>
        <v>16.16</v>
      </c>
      <c r="AM102" s="196">
        <f t="shared" si="39"/>
        <v>16.439999999999998</v>
      </c>
      <c r="AN102" s="196">
        <f t="shared" si="39"/>
        <v>15.620000000000001</v>
      </c>
      <c r="AO102" s="196">
        <f t="shared" si="39"/>
        <v>15.83</v>
      </c>
      <c r="AP102" s="196">
        <f t="shared" si="39"/>
        <v>16.16</v>
      </c>
      <c r="AQ102" s="196">
        <f t="shared" si="39"/>
        <v>15.488157894736842</v>
      </c>
      <c r="AR102" s="196">
        <f t="shared" si="39"/>
        <v>15.488157894736842</v>
      </c>
      <c r="AS102" s="196">
        <f t="shared" si="39"/>
        <v>15.620000000000001</v>
      </c>
      <c r="AT102" s="196">
        <f t="shared" si="39"/>
        <v>15.76</v>
      </c>
      <c r="AU102" s="196">
        <f t="shared" si="39"/>
        <v>15.52</v>
      </c>
      <c r="AV102" s="196">
        <f t="shared" si="39"/>
        <v>15.58</v>
      </c>
      <c r="AW102" s="196">
        <f t="shared" si="39"/>
        <v>14.68</v>
      </c>
      <c r="AX102" s="196">
        <f t="shared" si="39"/>
        <v>16.186666666666664</v>
      </c>
      <c r="AY102" s="196">
        <f t="shared" si="39"/>
        <v>9.6666666666666661</v>
      </c>
      <c r="AZ102" s="196">
        <f t="shared" si="39"/>
        <v>9.5</v>
      </c>
      <c r="BA102" s="196">
        <f t="shared" si="39"/>
        <v>16.980952380952381</v>
      </c>
      <c r="BB102" s="196">
        <f t="shared" si="39"/>
        <v>0</v>
      </c>
      <c r="BC102" s="196">
        <f t="shared" si="39"/>
        <v>0</v>
      </c>
      <c r="BD102" s="196">
        <f t="shared" si="39"/>
        <v>0</v>
      </c>
      <c r="BE102" s="196">
        <f t="shared" si="39"/>
        <v>0</v>
      </c>
      <c r="BF102" s="196">
        <f t="shared" si="39"/>
        <v>0</v>
      </c>
      <c r="BG102" s="196">
        <f t="shared" si="39"/>
        <v>0</v>
      </c>
      <c r="BH102" s="196">
        <f t="shared" si="39"/>
        <v>0</v>
      </c>
      <c r="BI102" s="196">
        <f t="shared" si="39"/>
        <v>0</v>
      </c>
      <c r="BJ102" s="196">
        <f t="shared" si="39"/>
        <v>0</v>
      </c>
      <c r="BK102" s="196">
        <f t="shared" si="39"/>
        <v>0</v>
      </c>
      <c r="BL102" s="196">
        <f t="shared" si="39"/>
        <v>0</v>
      </c>
      <c r="BM102" s="196">
        <f t="shared" si="39"/>
        <v>0</v>
      </c>
      <c r="BN102" s="196">
        <f t="shared" si="39"/>
        <v>0</v>
      </c>
      <c r="BO102" s="196">
        <f t="shared" si="39"/>
        <v>0</v>
      </c>
      <c r="BP102" s="196">
        <f t="shared" ref="BP102:BU102" si="40">SUM(BP89:BP101)</f>
        <v>0</v>
      </c>
      <c r="BQ102" s="196">
        <f t="shared" si="40"/>
        <v>0</v>
      </c>
      <c r="BR102" s="196">
        <f t="shared" si="40"/>
        <v>0</v>
      </c>
      <c r="BS102" s="196">
        <f t="shared" si="40"/>
        <v>0</v>
      </c>
      <c r="BT102" s="196">
        <f t="shared" si="40"/>
        <v>0</v>
      </c>
      <c r="BU102" s="196">
        <f t="shared" si="40"/>
        <v>0</v>
      </c>
      <c r="BV102" s="196">
        <f t="shared" ref="BV102:CH102" si="41">SUM(BV89:BV101)</f>
        <v>0</v>
      </c>
      <c r="BW102" s="196">
        <f t="shared" si="41"/>
        <v>0</v>
      </c>
      <c r="BX102" s="196">
        <f t="shared" si="41"/>
        <v>0</v>
      </c>
      <c r="BY102" s="196">
        <f t="shared" si="41"/>
        <v>0</v>
      </c>
      <c r="BZ102" s="196">
        <f t="shared" si="41"/>
        <v>0</v>
      </c>
      <c r="CA102" s="196">
        <f t="shared" si="41"/>
        <v>0</v>
      </c>
      <c r="CB102" s="196">
        <f t="shared" si="41"/>
        <v>0</v>
      </c>
      <c r="CC102" s="196">
        <f t="shared" si="41"/>
        <v>0</v>
      </c>
      <c r="CD102" s="196">
        <f t="shared" si="41"/>
        <v>0</v>
      </c>
      <c r="CE102" s="196">
        <f t="shared" si="41"/>
        <v>0</v>
      </c>
      <c r="CF102" s="196">
        <f t="shared" si="41"/>
        <v>0</v>
      </c>
      <c r="CG102" s="196">
        <f t="shared" si="41"/>
        <v>0</v>
      </c>
      <c r="CH102" s="196">
        <f t="shared" si="41"/>
        <v>0</v>
      </c>
      <c r="CI102" s="192">
        <f t="shared" si="34"/>
        <v>573.51060150375929</v>
      </c>
      <c r="CJ102" s="192">
        <f>AVERAGEIF($C$102:$CH$102,"&gt;0",C102:CH102)</f>
        <v>15.092384250098929</v>
      </c>
      <c r="CK102" s="197"/>
    </row>
    <row r="103" spans="1:93" s="39" customFormat="1" x14ac:dyDescent="0.3">
      <c r="A103"/>
      <c r="B103" s="108"/>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50"/>
    </row>
    <row r="104" spans="1:93" s="113" customFormat="1" ht="18" x14ac:dyDescent="0.35">
      <c r="A104"/>
      <c r="B104" s="118" t="s">
        <v>172</v>
      </c>
      <c r="C104" s="210"/>
      <c r="D104" s="211"/>
      <c r="E104" s="211"/>
      <c r="F104" s="211"/>
      <c r="G104" s="211"/>
      <c r="H104" s="211"/>
      <c r="I104" s="211"/>
      <c r="J104" s="211"/>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row>
    <row r="105" spans="1:93" x14ac:dyDescent="0.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0"/>
    </row>
    <row r="106" spans="1:93" x14ac:dyDescent="0.3">
      <c r="B106" s="137"/>
      <c r="C106" s="137" cm="1">
        <f t="array" ref="C106:I107">'Key assumptions'!$H$17:$N$18</f>
        <v>46054</v>
      </c>
      <c r="D106" s="137">
        <v>46296</v>
      </c>
      <c r="E106" s="137">
        <v>46661</v>
      </c>
      <c r="F106" s="137">
        <v>47027</v>
      </c>
      <c r="G106" s="137">
        <v>47392</v>
      </c>
      <c r="H106" s="137">
        <v>47757</v>
      </c>
      <c r="I106" s="137">
        <v>48122</v>
      </c>
      <c r="J106" s="137"/>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0"/>
    </row>
    <row r="107" spans="1:93" x14ac:dyDescent="0.3">
      <c r="B107" s="137"/>
      <c r="C107" s="137">
        <v>46295</v>
      </c>
      <c r="D107" s="137">
        <v>46660</v>
      </c>
      <c r="E107" s="137">
        <v>47026</v>
      </c>
      <c r="F107" s="137">
        <v>47391</v>
      </c>
      <c r="G107" s="137">
        <v>47756</v>
      </c>
      <c r="H107" s="137">
        <v>48121</v>
      </c>
      <c r="I107" s="137">
        <v>48487</v>
      </c>
      <c r="J107" s="137"/>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0"/>
    </row>
    <row r="108" spans="1:93" ht="25.5" x14ac:dyDescent="0.3">
      <c r="B108" s="136" t="s">
        <v>131</v>
      </c>
      <c r="C108" s="150" t="str" cm="1">
        <f t="array" ref="C108:I108">model_forecastperiod</f>
        <v>RY2026
01Feb-30Sep</v>
      </c>
      <c r="D108" s="150" t="str">
        <v>RY2027</v>
      </c>
      <c r="E108" s="150" t="str">
        <v>RY2028</v>
      </c>
      <c r="F108" s="150" t="str">
        <v>RY2029</v>
      </c>
      <c r="G108" s="150" t="str">
        <v>RY2030</v>
      </c>
      <c r="H108" s="150" t="str">
        <v>RY2031</v>
      </c>
      <c r="I108" s="150" t="str">
        <v>RY2032</v>
      </c>
      <c r="J108" s="150" t="s">
        <v>167</v>
      </c>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0"/>
    </row>
    <row r="109" spans="1:93" x14ac:dyDescent="0.3">
      <c r="B109" s="191" t="str">
        <f>$B51</f>
        <v>Community and Stakeholder Engagement</v>
      </c>
      <c r="C109" s="192" cm="1">
        <f t="array" ref="C109">IFERROR(AVERAGE(_xlfn._xlws.FILTER($C89:$CH89,($C$88:$CH$88&gt;=C$106)*($C$88:$CH$88&lt;=C$107))),0)</f>
        <v>0</v>
      </c>
      <c r="D109" s="192" cm="1">
        <f t="array" ref="D109">IFERROR(AVERAGE(_xlfn._xlws.FILTER($C89:$CH89,($C$88:$CH$88&gt;=D$106)*($C$88:$CH$88&lt;=D$107))),0)</f>
        <v>0</v>
      </c>
      <c r="E109" s="192" cm="1">
        <f t="array" ref="E109">IFERROR(AVERAGE(_xlfn._xlws.FILTER($C89:$CH89,($C$88:$CH$88&gt;=E$106)*($C$88:$CH$88&lt;=E$107))),0)</f>
        <v>0</v>
      </c>
      <c r="F109" s="192" cm="1">
        <f t="array" ref="F109">IFERROR(AVERAGE(_xlfn._xlws.FILTER($C89:$CH89,($C$88:$CH$88&gt;=F$106)*($C$88:$CH$88&lt;=F$107))),0)</f>
        <v>0</v>
      </c>
      <c r="G109" s="192" cm="1">
        <f t="array" ref="G109">IFERROR(AVERAGE(_xlfn._xlws.FILTER($C89:$CH89,($C$88:$CH$88&gt;=G$106)*($C$88:$CH$88&lt;=G$107))),0)</f>
        <v>0</v>
      </c>
      <c r="H109" s="192" cm="1">
        <f t="array" ref="H109">IFERROR(AVERAGE(_xlfn._xlws.FILTER($C89:$CH89,($C$88:$CH$88&gt;=H$106)*($C$88:$CH$88&lt;=H$107))),0)</f>
        <v>0</v>
      </c>
      <c r="I109" s="192" cm="1">
        <f t="array" ref="I109">IFERROR(AVERAGE(_xlfn._xlws.FILTER($C89:$CH89,($C$88:$CH$88&gt;=I$106)*($C$88:$CH$88&lt;=I$107))),0)</f>
        <v>0</v>
      </c>
      <c r="J109" s="192">
        <f>CJ89</f>
        <v>0</v>
      </c>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0"/>
    </row>
    <row r="110" spans="1:93" x14ac:dyDescent="0.3">
      <c r="B110" s="191" t="str">
        <f t="shared" ref="B110:B121" si="42">$B52</f>
        <v>Fleet</v>
      </c>
      <c r="C110" s="192" cm="1">
        <f t="array" ref="C110">IFERROR(AVERAGE(_xlfn._xlws.FILTER($C90:$CH90,($C$88:$CH$88&gt;=C$106)*($C$88:$CH$88&lt;=C$107))),0)</f>
        <v>0</v>
      </c>
      <c r="D110" s="192" cm="1">
        <f t="array" ref="D110">IFERROR(AVERAGE(_xlfn._xlws.FILTER($C90:$CH90,($C$88:$CH$88&gt;=D$106)*($C$88:$CH$88&lt;=D$107))),0)</f>
        <v>0</v>
      </c>
      <c r="E110" s="192" cm="1">
        <f t="array" ref="E110">IFERROR(AVERAGE(_xlfn._xlws.FILTER($C90:$CH90,($C$88:$CH$88&gt;=E$106)*($C$88:$CH$88&lt;=E$107))),0)</f>
        <v>0</v>
      </c>
      <c r="F110" s="192" cm="1">
        <f t="array" ref="F110">IFERROR(AVERAGE(_xlfn._xlws.FILTER($C90:$CH90,($C$88:$CH$88&gt;=F$106)*($C$88:$CH$88&lt;=F$107))),0)</f>
        <v>0</v>
      </c>
      <c r="G110" s="192" cm="1">
        <f t="array" ref="G110">IFERROR(AVERAGE(_xlfn._xlws.FILTER($C90:$CH90,($C$88:$CH$88&gt;=G$106)*($C$88:$CH$88&lt;=G$107))),0)</f>
        <v>0</v>
      </c>
      <c r="H110" s="192" cm="1">
        <f t="array" ref="H110">IFERROR(AVERAGE(_xlfn._xlws.FILTER($C90:$CH90,($C$88:$CH$88&gt;=H$106)*($C$88:$CH$88&lt;=H$107))),0)</f>
        <v>0</v>
      </c>
      <c r="I110" s="192" cm="1">
        <f t="array" ref="I110">IFERROR(AVERAGE(_xlfn._xlws.FILTER($C90:$CH90,($C$88:$CH$88&gt;=I$106)*($C$88:$CH$88&lt;=I$107))),0)</f>
        <v>0</v>
      </c>
      <c r="J110" s="192">
        <f t="shared" ref="J110:J121" si="43">CJ90</f>
        <v>0</v>
      </c>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0"/>
    </row>
    <row r="111" spans="1:93" x14ac:dyDescent="0.3">
      <c r="B111" s="191" t="str">
        <f t="shared" si="42"/>
        <v>Land and Environment</v>
      </c>
      <c r="C111" s="192" cm="1">
        <f t="array" ref="C111">IFERROR(AVERAGE(_xlfn._xlws.FILTER($C91:$CH91,($C$88:$CH$88&gt;=C$106)*($C$88:$CH$88&lt;=C$107))),0)</f>
        <v>0.89134868421052627</v>
      </c>
      <c r="D111" s="192" cm="1">
        <f t="array" ref="D111">IFERROR(AVERAGE(_xlfn._xlws.FILTER($C91:$CH91,($C$88:$CH$88&gt;=D$106)*($C$88:$CH$88&lt;=D$107))),0)</f>
        <v>1.308048245614035</v>
      </c>
      <c r="E111" s="192" cm="1">
        <f t="array" ref="E111">IFERROR(AVERAGE(_xlfn._xlws.FILTER($C91:$CH91,($C$88:$CH$88&gt;=E$106)*($C$88:$CH$88&lt;=E$107))),0)</f>
        <v>1.2925</v>
      </c>
      <c r="F111" s="192" cm="1">
        <f t="array" ref="F111">IFERROR(AVERAGE(_xlfn._xlws.FILTER($C91:$CH91,($C$88:$CH$88&gt;=F$106)*($C$88:$CH$88&lt;=F$107))),0)</f>
        <v>0.12055555555555554</v>
      </c>
      <c r="G111" s="192" cm="1">
        <f t="array" ref="G111">IFERROR(AVERAGE(_xlfn._xlws.FILTER($C91:$CH91,($C$88:$CH$88&gt;=G$106)*($C$88:$CH$88&lt;=G$107))),0)</f>
        <v>0</v>
      </c>
      <c r="H111" s="192" cm="1">
        <f t="array" ref="H111">IFERROR(AVERAGE(_xlfn._xlws.FILTER($C91:$CH91,($C$88:$CH$88&gt;=H$106)*($C$88:$CH$88&lt;=H$107))),0)</f>
        <v>0</v>
      </c>
      <c r="I111" s="192" cm="1">
        <f t="array" ref="I111">IFERROR(AVERAGE(_xlfn._xlws.FILTER($C91:$CH91,($C$88:$CH$88&gt;=I$106)*($C$88:$CH$88&lt;=I$107))),0)</f>
        <v>0</v>
      </c>
      <c r="J111" s="192">
        <f t="shared" si="43"/>
        <v>1.0469482917820867</v>
      </c>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0"/>
    </row>
    <row r="112" spans="1:93" x14ac:dyDescent="0.3">
      <c r="B112" s="191" t="str">
        <f t="shared" si="42"/>
        <v>Other Support &amp; Corporate Roles</v>
      </c>
      <c r="C112" s="192" cm="1">
        <f t="array" ref="C112">IFERROR(AVERAGE(_xlfn._xlws.FILTER($C92:$CH92,($C$88:$CH$88&gt;=C$106)*($C$88:$CH$88&lt;=C$107))),0)</f>
        <v>0</v>
      </c>
      <c r="D112" s="192" cm="1">
        <f t="array" ref="D112">IFERROR(AVERAGE(_xlfn._xlws.FILTER($C92:$CH92,($C$88:$CH$88&gt;=D$106)*($C$88:$CH$88&lt;=D$107))),0)</f>
        <v>0</v>
      </c>
      <c r="E112" s="192" cm="1">
        <f t="array" ref="E112">IFERROR(AVERAGE(_xlfn._xlws.FILTER($C92:$CH92,($C$88:$CH$88&gt;=E$106)*($C$88:$CH$88&lt;=E$107))),0)</f>
        <v>0</v>
      </c>
      <c r="F112" s="192" cm="1">
        <f t="array" ref="F112">IFERROR(AVERAGE(_xlfn._xlws.FILTER($C92:$CH92,($C$88:$CH$88&gt;=F$106)*($C$88:$CH$88&lt;=F$107))),0)</f>
        <v>0</v>
      </c>
      <c r="G112" s="192" cm="1">
        <f t="array" ref="G112">IFERROR(AVERAGE(_xlfn._xlws.FILTER($C92:$CH92,($C$88:$CH$88&gt;=G$106)*($C$88:$CH$88&lt;=G$107))),0)</f>
        <v>0</v>
      </c>
      <c r="H112" s="192" cm="1">
        <f t="array" ref="H112">IFERROR(AVERAGE(_xlfn._xlws.FILTER($C92:$CH92,($C$88:$CH$88&gt;=H$106)*($C$88:$CH$88&lt;=H$107))),0)</f>
        <v>0</v>
      </c>
      <c r="I112" s="192" cm="1">
        <f t="array" ref="I112">IFERROR(AVERAGE(_xlfn._xlws.FILTER($C92:$CH92,($C$88:$CH$88&gt;=I$106)*($C$88:$CH$88&lt;=I$107))),0)</f>
        <v>0</v>
      </c>
      <c r="J112" s="192">
        <f t="shared" si="43"/>
        <v>0</v>
      </c>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0"/>
    </row>
    <row r="113" spans="2:90" x14ac:dyDescent="0.3">
      <c r="B113" s="191" t="str">
        <f t="shared" si="42"/>
        <v>Project Delivery Management - Commercial Management</v>
      </c>
      <c r="C113" s="192" cm="1">
        <f t="array" ref="C113">IFERROR(AVERAGE(_xlfn._xlws.FILTER($C93:$CH93,($C$88:$CH$88&gt;=C$106)*($C$88:$CH$88&lt;=C$107))),0)</f>
        <v>4.4013157894736841</v>
      </c>
      <c r="D113" s="192" cm="1">
        <f t="array" ref="D113">IFERROR(AVERAGE(_xlfn._xlws.FILTER($C93:$CH93,($C$88:$CH$88&gt;=D$106)*($C$88:$CH$88&lt;=D$107))),0)</f>
        <v>5</v>
      </c>
      <c r="E113" s="192" cm="1">
        <f t="array" ref="E113">IFERROR(AVERAGE(_xlfn._xlws.FILTER($C93:$CH93,($C$88:$CH$88&gt;=E$106)*($C$88:$CH$88&lt;=E$107))),0)</f>
        <v>5</v>
      </c>
      <c r="F113" s="192" cm="1">
        <f t="array" ref="F113">IFERROR(AVERAGE(_xlfn._xlws.FILTER($C93:$CH93,($C$88:$CH$88&gt;=F$106)*($C$88:$CH$88&lt;=F$107))),0)</f>
        <v>1.8055555555555554</v>
      </c>
      <c r="G113" s="192" cm="1">
        <f t="array" ref="G113">IFERROR(AVERAGE(_xlfn._xlws.FILTER($C93:$CH93,($C$88:$CH$88&gt;=G$106)*($C$88:$CH$88&lt;=G$107))),0)</f>
        <v>0</v>
      </c>
      <c r="H113" s="192" cm="1">
        <f t="array" ref="H113">IFERROR(AVERAGE(_xlfn._xlws.FILTER($C93:$CH93,($C$88:$CH$88&gt;=H$106)*($C$88:$CH$88&lt;=H$107))),0)</f>
        <v>0</v>
      </c>
      <c r="I113" s="192" cm="1">
        <f t="array" ref="I113">IFERROR(AVERAGE(_xlfn._xlws.FILTER($C93:$CH93,($C$88:$CH$88&gt;=I$106)*($C$88:$CH$88&lt;=I$107))),0)</f>
        <v>0</v>
      </c>
      <c r="J113" s="192">
        <f t="shared" si="43"/>
        <v>4.6546629732225302</v>
      </c>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0"/>
    </row>
    <row r="114" spans="2:90" x14ac:dyDescent="0.3">
      <c r="B114" s="191" t="str">
        <f t="shared" si="42"/>
        <v>Project Delivery Management - Commissioning</v>
      </c>
      <c r="C114" s="192" cm="1">
        <f t="array" ref="C114">IFERROR(AVERAGE(_xlfn._xlws.FILTER($C94:$CH94,($C$88:$CH$88&gt;=C$106)*($C$88:$CH$88&lt;=C$107))),0)</f>
        <v>0</v>
      </c>
      <c r="D114" s="192" cm="1">
        <f t="array" ref="D114">IFERROR(AVERAGE(_xlfn._xlws.FILTER($C94:$CH94,($C$88:$CH$88&gt;=D$106)*($C$88:$CH$88&lt;=D$107))),0)</f>
        <v>0</v>
      </c>
      <c r="E114" s="192" cm="1">
        <f t="array" ref="E114">IFERROR(AVERAGE(_xlfn._xlws.FILTER($C94:$CH94,($C$88:$CH$88&gt;=E$106)*($C$88:$CH$88&lt;=E$107))),0)</f>
        <v>0</v>
      </c>
      <c r="F114" s="192" cm="1">
        <f t="array" ref="F114">IFERROR(AVERAGE(_xlfn._xlws.FILTER($C94:$CH94,($C$88:$CH$88&gt;=F$106)*($C$88:$CH$88&lt;=F$107))),0)</f>
        <v>0</v>
      </c>
      <c r="G114" s="192" cm="1">
        <f t="array" ref="G114">IFERROR(AVERAGE(_xlfn._xlws.FILTER($C94:$CH94,($C$88:$CH$88&gt;=G$106)*($C$88:$CH$88&lt;=G$107))),0)</f>
        <v>0</v>
      </c>
      <c r="H114" s="192" cm="1">
        <f t="array" ref="H114">IFERROR(AVERAGE(_xlfn._xlws.FILTER($C94:$CH94,($C$88:$CH$88&gt;=H$106)*($C$88:$CH$88&lt;=H$107))),0)</f>
        <v>0</v>
      </c>
      <c r="I114" s="192" cm="1">
        <f t="array" ref="I114">IFERROR(AVERAGE(_xlfn._xlws.FILTER($C94:$CH94,($C$88:$CH$88&gt;=I$106)*($C$88:$CH$88&lt;=I$107))),0)</f>
        <v>0</v>
      </c>
      <c r="J114" s="192">
        <f t="shared" si="43"/>
        <v>0</v>
      </c>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0"/>
    </row>
    <row r="115" spans="2:90" x14ac:dyDescent="0.3">
      <c r="B115" s="191" t="str">
        <f t="shared" si="42"/>
        <v>Project Delivery Management - Construction Management</v>
      </c>
      <c r="C115" s="192" cm="1">
        <f t="array" ref="C115">IFERROR(AVERAGE(_xlfn._xlws.FILTER($C95:$CH95,($C$88:$CH$88&gt;=C$106)*($C$88:$CH$88&lt;=C$107))),0)</f>
        <v>0</v>
      </c>
      <c r="D115" s="192" cm="1">
        <f t="array" ref="D115">IFERROR(AVERAGE(_xlfn._xlws.FILTER($C95:$CH95,($C$88:$CH$88&gt;=D$106)*($C$88:$CH$88&lt;=D$107))),0)</f>
        <v>0</v>
      </c>
      <c r="E115" s="192" cm="1">
        <f t="array" ref="E115">IFERROR(AVERAGE(_xlfn._xlws.FILTER($C95:$CH95,($C$88:$CH$88&gt;=E$106)*($C$88:$CH$88&lt;=E$107))),0)</f>
        <v>0</v>
      </c>
      <c r="F115" s="192" cm="1">
        <f t="array" ref="F115">IFERROR(AVERAGE(_xlfn._xlws.FILTER($C95:$CH95,($C$88:$CH$88&gt;=F$106)*($C$88:$CH$88&lt;=F$107))),0)</f>
        <v>0</v>
      </c>
      <c r="G115" s="192" cm="1">
        <f t="array" ref="G115">IFERROR(AVERAGE(_xlfn._xlws.FILTER($C95:$CH95,($C$88:$CH$88&gt;=G$106)*($C$88:$CH$88&lt;=G$107))),0)</f>
        <v>0</v>
      </c>
      <c r="H115" s="192" cm="1">
        <f t="array" ref="H115">IFERROR(AVERAGE(_xlfn._xlws.FILTER($C95:$CH95,($C$88:$CH$88&gt;=H$106)*($C$88:$CH$88&lt;=H$107))),0)</f>
        <v>0</v>
      </c>
      <c r="I115" s="192" cm="1">
        <f t="array" ref="I115">IFERROR(AVERAGE(_xlfn._xlws.FILTER($C95:$CH95,($C$88:$CH$88&gt;=I$106)*($C$88:$CH$88&lt;=I$107))),0)</f>
        <v>0</v>
      </c>
      <c r="J115" s="192">
        <f t="shared" si="43"/>
        <v>0</v>
      </c>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0"/>
    </row>
    <row r="116" spans="2:90" x14ac:dyDescent="0.3">
      <c r="B116" s="191" t="str">
        <f t="shared" si="42"/>
        <v>Project Delivery Management - Project Controls</v>
      </c>
      <c r="C116" s="192" cm="1">
        <f t="array" ref="C116">IFERROR(AVERAGE(_xlfn._xlws.FILTER($C96:$CH96,($C$88:$CH$88&gt;=C$106)*($C$88:$CH$88&lt;=C$107))),0)</f>
        <v>2.4714912280701755</v>
      </c>
      <c r="D116" s="192" cm="1">
        <f t="array" ref="D116">IFERROR(AVERAGE(_xlfn._xlws.FILTER($C96:$CH96,($C$88:$CH$88&gt;=D$106)*($C$88:$CH$88&lt;=D$107))),0)</f>
        <v>2.5350877192982453</v>
      </c>
      <c r="E116" s="192" cm="1">
        <f t="array" ref="E116">IFERROR(AVERAGE(_xlfn._xlws.FILTER($C96:$CH96,($C$88:$CH$88&gt;=E$106)*($C$88:$CH$88&lt;=E$107))),0)</f>
        <v>2.5219298245614037</v>
      </c>
      <c r="F116" s="192" cm="1">
        <f t="array" ref="F116">IFERROR(AVERAGE(_xlfn._xlws.FILTER($C96:$CH96,($C$88:$CH$88&gt;=F$106)*($C$88:$CH$88&lt;=F$107))),0)</f>
        <v>0.93055555555555547</v>
      </c>
      <c r="G116" s="192" cm="1">
        <f t="array" ref="G116">IFERROR(AVERAGE(_xlfn._xlws.FILTER($C96:$CH96,($C$88:$CH$88&gt;=G$106)*($C$88:$CH$88&lt;=G$107))),0)</f>
        <v>0</v>
      </c>
      <c r="H116" s="192" cm="1">
        <f t="array" ref="H116">IFERROR(AVERAGE(_xlfn._xlws.FILTER($C96:$CH96,($C$88:$CH$88&gt;=H$106)*($C$88:$CH$88&lt;=H$107))),0)</f>
        <v>0</v>
      </c>
      <c r="I116" s="192" cm="1">
        <f t="array" ref="I116">IFERROR(AVERAGE(_xlfn._xlws.FILTER($C96:$CH96,($C$88:$CH$88&gt;=I$106)*($C$88:$CH$88&lt;=I$107))),0)</f>
        <v>0</v>
      </c>
      <c r="J116" s="192">
        <f t="shared" si="43"/>
        <v>2.4111265004616804</v>
      </c>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0"/>
    </row>
    <row r="117" spans="2:90" x14ac:dyDescent="0.3">
      <c r="B117" s="191" t="str">
        <f t="shared" si="42"/>
        <v>Project Delivery Management - Project Engineering</v>
      </c>
      <c r="C117" s="192" cm="1">
        <f t="array" ref="C117">IFERROR(AVERAGE(_xlfn._xlws.FILTER($C97:$CH97,($C$88:$CH$88&gt;=C$106)*($C$88:$CH$88&lt;=C$107))),0)</f>
        <v>0</v>
      </c>
      <c r="D117" s="192" cm="1">
        <f t="array" ref="D117">IFERROR(AVERAGE(_xlfn._xlws.FILTER($C97:$CH97,($C$88:$CH$88&gt;=D$106)*($C$88:$CH$88&lt;=D$107))),0)</f>
        <v>0</v>
      </c>
      <c r="E117" s="192" cm="1">
        <f t="array" ref="E117">IFERROR(AVERAGE(_xlfn._xlws.FILTER($C97:$CH97,($C$88:$CH$88&gt;=E$106)*($C$88:$CH$88&lt;=E$107))),0)</f>
        <v>0</v>
      </c>
      <c r="F117" s="192" cm="1">
        <f t="array" ref="F117">IFERROR(AVERAGE(_xlfn._xlws.FILTER($C97:$CH97,($C$88:$CH$88&gt;=F$106)*($C$88:$CH$88&lt;=F$107))),0)</f>
        <v>0</v>
      </c>
      <c r="G117" s="192" cm="1">
        <f t="array" ref="G117">IFERROR(AVERAGE(_xlfn._xlws.FILTER($C97:$CH97,($C$88:$CH$88&gt;=G$106)*($C$88:$CH$88&lt;=G$107))),0)</f>
        <v>0</v>
      </c>
      <c r="H117" s="192" cm="1">
        <f t="array" ref="H117">IFERROR(AVERAGE(_xlfn._xlws.FILTER($C97:$CH97,($C$88:$CH$88&gt;=H$106)*($C$88:$CH$88&lt;=H$107))),0)</f>
        <v>0</v>
      </c>
      <c r="I117" s="192" cm="1">
        <f t="array" ref="I117">IFERROR(AVERAGE(_xlfn._xlws.FILTER($C97:$CH97,($C$88:$CH$88&gt;=I$106)*($C$88:$CH$88&lt;=I$107))),0)</f>
        <v>0</v>
      </c>
      <c r="J117" s="192">
        <f t="shared" si="43"/>
        <v>0</v>
      </c>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0"/>
    </row>
    <row r="118" spans="2:90" x14ac:dyDescent="0.3">
      <c r="B118" s="191" t="str">
        <f t="shared" si="42"/>
        <v>Project Delivery Management - Project Management</v>
      </c>
      <c r="C118" s="192" cm="1">
        <f t="array" ref="C118">IFERROR(AVERAGE(_xlfn._xlws.FILTER($C98:$CH98,($C$88:$CH$88&gt;=C$106)*($C$88:$CH$88&lt;=C$107))),0)</f>
        <v>6.1535087719298236</v>
      </c>
      <c r="D118" s="192" cm="1">
        <f t="array" ref="D118">IFERROR(AVERAGE(_xlfn._xlws.FILTER($C98:$CH98,($C$88:$CH$88&gt;=D$106)*($C$88:$CH$88&lt;=D$107))),0)</f>
        <v>6.9934210526315788</v>
      </c>
      <c r="E118" s="192" cm="1">
        <f t="array" ref="E118">IFERROR(AVERAGE(_xlfn._xlws.FILTER($C98:$CH98,($C$88:$CH$88&gt;=E$106)*($C$88:$CH$88&lt;=E$107))),0)</f>
        <v>6.9802631578947372</v>
      </c>
      <c r="F118" s="192" cm="1">
        <f t="array" ref="F118">IFERROR(AVERAGE(_xlfn._xlws.FILTER($C98:$CH98,($C$88:$CH$88&gt;=F$106)*($C$88:$CH$88&lt;=F$107))),0)</f>
        <v>4.0261904761904761</v>
      </c>
      <c r="G118" s="192" cm="1">
        <f t="array" ref="G118">IFERROR(AVERAGE(_xlfn._xlws.FILTER($C98:$CH98,($C$88:$CH$88&gt;=G$106)*($C$88:$CH$88&lt;=G$107))),0)</f>
        <v>0</v>
      </c>
      <c r="H118" s="192" cm="1">
        <f t="array" ref="H118">IFERROR(AVERAGE(_xlfn._xlws.FILTER($C98:$CH98,($C$88:$CH$88&gt;=H$106)*($C$88:$CH$88&lt;=H$107))),0)</f>
        <v>0</v>
      </c>
      <c r="I118" s="192" cm="1">
        <f t="array" ref="I118">IFERROR(AVERAGE(_xlfn._xlws.FILTER($C98:$CH98,($C$88:$CH$88&gt;=I$106)*($C$88:$CH$88&lt;=I$107))),0)</f>
        <v>0</v>
      </c>
      <c r="J118" s="192">
        <f t="shared" si="43"/>
        <v>6.9796464846326343</v>
      </c>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0"/>
    </row>
    <row r="119" spans="2:90" x14ac:dyDescent="0.3">
      <c r="B119" s="191" t="str">
        <f t="shared" si="42"/>
        <v>Project Development</v>
      </c>
      <c r="C119" s="192" cm="1">
        <f t="array" ref="C119">IFERROR(AVERAGE(_xlfn._xlws.FILTER($C99:$CH99,($C$88:$CH$88&gt;=C$106)*($C$88:$CH$88&lt;=C$107))),0)</f>
        <v>0</v>
      </c>
      <c r="D119" s="192" cm="1">
        <f t="array" ref="D119">IFERROR(AVERAGE(_xlfn._xlws.FILTER($C99:$CH99,($C$88:$CH$88&gt;=D$106)*($C$88:$CH$88&lt;=D$107))),0)</f>
        <v>0</v>
      </c>
      <c r="E119" s="192" cm="1">
        <f t="array" ref="E119">IFERROR(AVERAGE(_xlfn._xlws.FILTER($C99:$CH99,($C$88:$CH$88&gt;=E$106)*($C$88:$CH$88&lt;=E$107))),0)</f>
        <v>0</v>
      </c>
      <c r="F119" s="192" cm="1">
        <f t="array" ref="F119">IFERROR(AVERAGE(_xlfn._xlws.FILTER($C99:$CH99,($C$88:$CH$88&gt;=F$106)*($C$88:$CH$88&lt;=F$107))),0)</f>
        <v>0</v>
      </c>
      <c r="G119" s="192" cm="1">
        <f t="array" ref="G119">IFERROR(AVERAGE(_xlfn._xlws.FILTER($C99:$CH99,($C$88:$CH$88&gt;=G$106)*($C$88:$CH$88&lt;=G$107))),0)</f>
        <v>0</v>
      </c>
      <c r="H119" s="192" cm="1">
        <f t="array" ref="H119">IFERROR(AVERAGE(_xlfn._xlws.FILTER($C99:$CH99,($C$88:$CH$88&gt;=H$106)*($C$88:$CH$88&lt;=H$107))),0)</f>
        <v>0</v>
      </c>
      <c r="I119" s="192" cm="1">
        <f t="array" ref="I119">IFERROR(AVERAGE(_xlfn._xlws.FILTER($C99:$CH99,($C$88:$CH$88&gt;=I$106)*($C$88:$CH$88&lt;=I$107))),0)</f>
        <v>0</v>
      </c>
      <c r="J119" s="192">
        <f t="shared" si="43"/>
        <v>0</v>
      </c>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0"/>
    </row>
    <row r="120" spans="2:90" x14ac:dyDescent="0.3">
      <c r="B120" s="191" t="str">
        <f t="shared" si="42"/>
        <v>Regulatory Approvals</v>
      </c>
      <c r="C120" s="192" cm="1">
        <f t="array" ref="C120">IFERROR(AVERAGE(_xlfn._xlws.FILTER($C100:$CH100,($C$88:$CH$88&gt;=C$106)*($C$88:$CH$88&lt;=C$107))),0)</f>
        <v>0</v>
      </c>
      <c r="D120" s="192" cm="1">
        <f t="array" ref="D120">IFERROR(AVERAGE(_xlfn._xlws.FILTER($C100:$CH100,($C$88:$CH$88&gt;=D$106)*($C$88:$CH$88&lt;=D$107))),0)</f>
        <v>0</v>
      </c>
      <c r="E120" s="192" cm="1">
        <f t="array" ref="E120">IFERROR(AVERAGE(_xlfn._xlws.FILTER($C100:$CH100,($C$88:$CH$88&gt;=E$106)*($C$88:$CH$88&lt;=E$107))),0)</f>
        <v>0</v>
      </c>
      <c r="F120" s="192" cm="1">
        <f t="array" ref="F120">IFERROR(AVERAGE(_xlfn._xlws.FILTER($C100:$CH100,($C$88:$CH$88&gt;=F$106)*($C$88:$CH$88&lt;=F$107))),0)</f>
        <v>0</v>
      </c>
      <c r="G120" s="192" cm="1">
        <f t="array" ref="G120">IFERROR(AVERAGE(_xlfn._xlws.FILTER($C100:$CH100,($C$88:$CH$88&gt;=G$106)*($C$88:$CH$88&lt;=G$107))),0)</f>
        <v>0</v>
      </c>
      <c r="H120" s="192" cm="1">
        <f t="array" ref="H120">IFERROR(AVERAGE(_xlfn._xlws.FILTER($C100:$CH100,($C$88:$CH$88&gt;=H$106)*($C$88:$CH$88&lt;=H$107))),0)</f>
        <v>0</v>
      </c>
      <c r="I120" s="192" cm="1">
        <f t="array" ref="I120">IFERROR(AVERAGE(_xlfn._xlws.FILTER($C100:$CH100,($C$88:$CH$88&gt;=I$106)*($C$88:$CH$88&lt;=I$107))),0)</f>
        <v>0</v>
      </c>
      <c r="J120" s="192">
        <f t="shared" si="43"/>
        <v>0</v>
      </c>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0"/>
    </row>
    <row r="121" spans="2:90" x14ac:dyDescent="0.3">
      <c r="B121" s="191" t="str">
        <f t="shared" si="42"/>
        <v>Transaction Procurement Support</v>
      </c>
      <c r="C121" s="192" cm="1">
        <f t="array" ref="C121">IFERROR(AVERAGE(_xlfn._xlws.FILTER($C101:$CH101,($C$88:$CH$88&gt;=C$106)*($C$88:$CH$88&lt;=C$107))),0)</f>
        <v>0</v>
      </c>
      <c r="D121" s="192" cm="1">
        <f t="array" ref="D121">IFERROR(AVERAGE(_xlfn._xlws.FILTER($C101:$CH101,($C$88:$CH$88&gt;=D$106)*($C$88:$CH$88&lt;=D$107))),0)</f>
        <v>0</v>
      </c>
      <c r="E121" s="192" cm="1">
        <f t="array" ref="E121">IFERROR(AVERAGE(_xlfn._xlws.FILTER($C101:$CH101,($C$88:$CH$88&gt;=E$106)*($C$88:$CH$88&lt;=E$107))),0)</f>
        <v>0</v>
      </c>
      <c r="F121" s="192" cm="1">
        <f t="array" ref="F121">IFERROR(AVERAGE(_xlfn._xlws.FILTER($C101:$CH101,($C$88:$CH$88&gt;=F$106)*($C$88:$CH$88&lt;=F$107))),0)</f>
        <v>0</v>
      </c>
      <c r="G121" s="192" cm="1">
        <f t="array" ref="G121">IFERROR(AVERAGE(_xlfn._xlws.FILTER($C101:$CH101,($C$88:$CH$88&gt;=G$106)*($C$88:$CH$88&lt;=G$107))),0)</f>
        <v>0</v>
      </c>
      <c r="H121" s="192" cm="1">
        <f t="array" ref="H121">IFERROR(AVERAGE(_xlfn._xlws.FILTER($C101:$CH101,($C$88:$CH$88&gt;=H$106)*($C$88:$CH$88&lt;=H$107))),0)</f>
        <v>0</v>
      </c>
      <c r="I121" s="192" cm="1">
        <f t="array" ref="I121">IFERROR(AVERAGE(_xlfn._xlws.FILTER($C101:$CH101,($C$88:$CH$88&gt;=I$106)*($C$88:$CH$88&lt;=I$107))),0)</f>
        <v>0</v>
      </c>
      <c r="J121" s="192">
        <f t="shared" si="43"/>
        <v>0</v>
      </c>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0"/>
    </row>
    <row r="122" spans="2:90" x14ac:dyDescent="0.3">
      <c r="B122" s="195" t="s">
        <v>132</v>
      </c>
      <c r="C122" s="196">
        <f t="shared" ref="C122" si="44">SUM(C109:C121)</f>
        <v>13.917664473684209</v>
      </c>
      <c r="D122" s="196">
        <f>SUM(D109:D121)</f>
        <v>15.836557017543859</v>
      </c>
      <c r="E122" s="196">
        <f>SUM(E109:E121)</f>
        <v>15.794692982456141</v>
      </c>
      <c r="F122" s="196">
        <f>SUM(F109:F121)</f>
        <v>6.8828571428571426</v>
      </c>
      <c r="G122" s="196">
        <f t="shared" ref="G122:I122" si="45">SUM(G109:G121)</f>
        <v>0</v>
      </c>
      <c r="H122" s="196">
        <f t="shared" si="45"/>
        <v>0</v>
      </c>
      <c r="I122" s="196">
        <f t="shared" si="45"/>
        <v>0</v>
      </c>
      <c r="J122" s="196">
        <f>SUM(J109:J121)</f>
        <v>15.092384250098931</v>
      </c>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0"/>
    </row>
    <row r="123" spans="2:90" x14ac:dyDescent="0.3">
      <c r="B123" s="62"/>
      <c r="C123" s="52"/>
      <c r="D123" s="52"/>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0"/>
    </row>
    <row r="124" spans="2:90" x14ac:dyDescent="0.3">
      <c r="B124" s="118" t="s">
        <v>173</v>
      </c>
      <c r="C124" s="210"/>
      <c r="D124" s="211"/>
      <c r="E124" s="211"/>
      <c r="F124" s="211"/>
      <c r="G124" s="211"/>
      <c r="H124" s="211"/>
      <c r="I124" s="211"/>
      <c r="J124" s="211"/>
      <c r="K124" s="53"/>
      <c r="L124" s="211"/>
    </row>
    <row r="125" spans="2:90" x14ac:dyDescent="0.3">
      <c r="D125" s="240"/>
      <c r="K125" s="53"/>
      <c r="L125" s="53"/>
    </row>
    <row r="126" spans="2:90" ht="39.75" x14ac:dyDescent="0.3">
      <c r="B126" s="212" t="str">
        <f>'Data source'!$B$5</f>
        <v>Broader cost category</v>
      </c>
      <c r="C126" s="150" t="str" cm="1">
        <f t="array" ref="C126:I126">model_forecastperiod</f>
        <v>RY2026
01Feb-30Sep</v>
      </c>
      <c r="D126" s="150" t="str">
        <v>RY2027</v>
      </c>
      <c r="E126" s="150" t="str">
        <v>RY2028</v>
      </c>
      <c r="F126" s="150" t="str">
        <v>RY2029</v>
      </c>
      <c r="G126" s="150" t="str">
        <v>RY2030</v>
      </c>
      <c r="H126" s="150" t="str">
        <v>RY2031</v>
      </c>
      <c r="I126" s="150" t="str">
        <v>RY2032</v>
      </c>
      <c r="J126" s="150" t="s">
        <v>133</v>
      </c>
      <c r="L126" s="140" t="s">
        <v>254</v>
      </c>
    </row>
    <row r="127" spans="2:90" x14ac:dyDescent="0.3">
      <c r="B127" s="191" t="str">
        <f>$B51</f>
        <v>Community and Stakeholder Engagement</v>
      </c>
      <c r="C127" s="192">
        <f>SUMIFS(Internal_labour_inputs!HW$8:HW$293,Internal_labour_inputs!$B$8:$B$293,$B127,Internal_labour_inputs!$F$8:$F$293,"New")</f>
        <v>0</v>
      </c>
      <c r="D127" s="192">
        <f>SUMIFS(Internal_labour_inputs!HX$8:HX$293,Internal_labour_inputs!$B$8:$B$293,$B127,Internal_labour_inputs!$F$8:$F$293,"New")</f>
        <v>0</v>
      </c>
      <c r="E127" s="192">
        <f>SUMIFS(Internal_labour_inputs!HY$8:HY$293,Internal_labour_inputs!$B$8:$B$293,$B127,Internal_labour_inputs!$F$8:$F$293,"New")</f>
        <v>0</v>
      </c>
      <c r="F127" s="192">
        <f>SUMIFS(Internal_labour_inputs!HZ$8:HZ$293,Internal_labour_inputs!$B$8:$B$293,$B127,Internal_labour_inputs!$F$8:$F$293,"New")</f>
        <v>0</v>
      </c>
      <c r="G127" s="192">
        <f>SUMIFS(Internal_labour_inputs!IA$8:IA$293,Internal_labour_inputs!$B$8:$B$293,$B127,Internal_labour_inputs!$F$8:$F$293,"New")</f>
        <v>0</v>
      </c>
      <c r="H127" s="192">
        <f>SUMIFS(Internal_labour_inputs!IB$8:IB$293,Internal_labour_inputs!$B$8:$B$293,$B127,Internal_labour_inputs!$F$8:$F$293,"New")</f>
        <v>0</v>
      </c>
      <c r="I127" s="192">
        <f>SUMIFS(Internal_labour_inputs!IC$8:IC$293,Internal_labour_inputs!$B$8:$B$293,$B127,Internal_labour_inputs!$F$8:$F$293,"New")</f>
        <v>0</v>
      </c>
      <c r="J127" s="192">
        <f>SUMIFS(Internal_labour_inputs!ID$8:ID$293,Internal_labour_inputs!$B$8:$B$293,$B127,Internal_labour_inputs!$F$8:$F$293,"New")</f>
        <v>0</v>
      </c>
      <c r="L127" s="192">
        <f>SUMIFS(Internal_labour_inputs!IF$8:IF$293,Internal_labour_inputs!$B$8:$B$293,$B127,Internal_labour_inputs!$F$8:$F$293,"New")</f>
        <v>0</v>
      </c>
    </row>
    <row r="128" spans="2:90" x14ac:dyDescent="0.3">
      <c r="B128" s="191" t="str">
        <f t="shared" ref="B128:B139" si="46">$B52</f>
        <v>Fleet</v>
      </c>
      <c r="C128" s="192">
        <f>SUMIFS(Internal_labour_inputs!HW$8:HW$293,Internal_labour_inputs!$B$8:$B$293,$B128,Internal_labour_inputs!$F$8:$F$293,"New")</f>
        <v>0</v>
      </c>
      <c r="D128" s="192">
        <f>SUMIFS(Internal_labour_inputs!HX$8:HX$293,Internal_labour_inputs!$B$8:$B$293,$B128,Internal_labour_inputs!$F$8:$F$293,"New")</f>
        <v>0</v>
      </c>
      <c r="E128" s="192">
        <f>SUMIFS(Internal_labour_inputs!HY$8:HY$293,Internal_labour_inputs!$B$8:$B$293,$B128,Internal_labour_inputs!$F$8:$F$293,"New")</f>
        <v>0</v>
      </c>
      <c r="F128" s="192">
        <f>SUMIFS(Internal_labour_inputs!HZ$8:HZ$293,Internal_labour_inputs!$B$8:$B$293,$B128,Internal_labour_inputs!$F$8:$F$293,"New")</f>
        <v>0</v>
      </c>
      <c r="G128" s="192">
        <f>SUMIFS(Internal_labour_inputs!IA$8:IA$293,Internal_labour_inputs!$B$8:$B$293,$B128,Internal_labour_inputs!$F$8:$F$293,"New")</f>
        <v>0</v>
      </c>
      <c r="H128" s="192">
        <f>SUMIFS(Internal_labour_inputs!IB$8:IB$293,Internal_labour_inputs!$B$8:$B$293,$B128,Internal_labour_inputs!$F$8:$F$293,"New")</f>
        <v>0</v>
      </c>
      <c r="I128" s="192">
        <f>SUMIFS(Internal_labour_inputs!IC$8:IC$293,Internal_labour_inputs!$B$8:$B$293,$B128,Internal_labour_inputs!$F$8:$F$293,"New")</f>
        <v>0</v>
      </c>
      <c r="J128" s="192">
        <f>SUMIFS(Internal_labour_inputs!ID$8:ID$293,Internal_labour_inputs!$B$8:$B$293,$B128,Internal_labour_inputs!$F$8:$F$293,"New")</f>
        <v>0</v>
      </c>
      <c r="L128" s="192">
        <f>SUMIFS(Internal_labour_inputs!IF$8:IF$293,Internal_labour_inputs!$B$8:$B$293,$B128,Internal_labour_inputs!$F$8:$F$293,"New")</f>
        <v>0</v>
      </c>
    </row>
    <row r="129" spans="1:95" x14ac:dyDescent="0.3">
      <c r="B129" s="191" t="str">
        <f t="shared" si="46"/>
        <v>Land and Environment</v>
      </c>
      <c r="C129" s="192">
        <f>SUMIFS(Internal_labour_inputs!HW$8:HW$293,Internal_labour_inputs!$B$8:$B$293,$B129,Internal_labour_inputs!$F$8:$F$293,"New")</f>
        <v>0.90418261562998392</v>
      </c>
      <c r="D129" s="192">
        <f>SUMIFS(Internal_labour_inputs!HX$8:HX$293,Internal_labour_inputs!$B$8:$B$293,$B129,Internal_labour_inputs!$F$8:$F$293,"New")</f>
        <v>0</v>
      </c>
      <c r="E129" s="192">
        <f>SUMIFS(Internal_labour_inputs!HY$8:HY$293,Internal_labour_inputs!$B$8:$B$293,$B129,Internal_labour_inputs!$F$8:$F$293,"New")</f>
        <v>0</v>
      </c>
      <c r="F129" s="192">
        <f>SUMIFS(Internal_labour_inputs!HZ$8:HZ$293,Internal_labour_inputs!$B$8:$B$293,$B129,Internal_labour_inputs!$F$8:$F$293,"New")</f>
        <v>0</v>
      </c>
      <c r="G129" s="192">
        <f>SUMIFS(Internal_labour_inputs!IA$8:IA$293,Internal_labour_inputs!$B$8:$B$293,$B129,Internal_labour_inputs!$F$8:$F$293,"New")</f>
        <v>0</v>
      </c>
      <c r="H129" s="192">
        <f>SUMIFS(Internal_labour_inputs!IB$8:IB$293,Internal_labour_inputs!$B$8:$B$293,$B129,Internal_labour_inputs!$F$8:$F$293,"New")</f>
        <v>0</v>
      </c>
      <c r="I129" s="192">
        <f>SUMIFS(Internal_labour_inputs!IC$8:IC$293,Internal_labour_inputs!$B$8:$B$293,$B129,Internal_labour_inputs!$F$8:$F$293,"New")</f>
        <v>0</v>
      </c>
      <c r="J129" s="192">
        <f>SUMIFS(Internal_labour_inputs!ID$8:ID$293,Internal_labour_inputs!$B$8:$B$293,$B129,Internal_labour_inputs!$F$8:$F$293,"New")</f>
        <v>0.90418261562998392</v>
      </c>
      <c r="L129" s="192">
        <f>SUMIFS(Internal_labour_inputs!IF$8:IF$293,Internal_labour_inputs!$B$8:$B$293,$B129,Internal_labour_inputs!$F$8:$F$293,"New")</f>
        <v>0.8985007974481658</v>
      </c>
    </row>
    <row r="130" spans="1:95" x14ac:dyDescent="0.3">
      <c r="B130" s="191" t="str">
        <f t="shared" si="46"/>
        <v>Other Support &amp; Corporate Roles</v>
      </c>
      <c r="C130" s="192">
        <f>SUMIFS(Internal_labour_inputs!HW$8:HW$293,Internal_labour_inputs!$B$8:$B$293,$B130,Internal_labour_inputs!$F$8:$F$293,"New")</f>
        <v>0</v>
      </c>
      <c r="D130" s="192">
        <f>SUMIFS(Internal_labour_inputs!HX$8:HX$293,Internal_labour_inputs!$B$8:$B$293,$B130,Internal_labour_inputs!$F$8:$F$293,"New")</f>
        <v>0</v>
      </c>
      <c r="E130" s="192">
        <f>SUMIFS(Internal_labour_inputs!HY$8:HY$293,Internal_labour_inputs!$B$8:$B$293,$B130,Internal_labour_inputs!$F$8:$F$293,"New")</f>
        <v>0</v>
      </c>
      <c r="F130" s="192">
        <f>SUMIFS(Internal_labour_inputs!HZ$8:HZ$293,Internal_labour_inputs!$B$8:$B$293,$B130,Internal_labour_inputs!$F$8:$F$293,"New")</f>
        <v>0</v>
      </c>
      <c r="G130" s="192">
        <f>SUMIFS(Internal_labour_inputs!IA$8:IA$293,Internal_labour_inputs!$B$8:$B$293,$B130,Internal_labour_inputs!$F$8:$F$293,"New")</f>
        <v>0</v>
      </c>
      <c r="H130" s="192">
        <f>SUMIFS(Internal_labour_inputs!IB$8:IB$293,Internal_labour_inputs!$B$8:$B$293,$B130,Internal_labour_inputs!$F$8:$F$293,"New")</f>
        <v>0</v>
      </c>
      <c r="I130" s="192">
        <f>SUMIFS(Internal_labour_inputs!IC$8:IC$293,Internal_labour_inputs!$B$8:$B$293,$B130,Internal_labour_inputs!$F$8:$F$293,"New")</f>
        <v>0</v>
      </c>
      <c r="J130" s="192">
        <f>SUMIFS(Internal_labour_inputs!ID$8:ID$293,Internal_labour_inputs!$B$8:$B$293,$B130,Internal_labour_inputs!$F$8:$F$293,"New")</f>
        <v>0</v>
      </c>
      <c r="L130" s="192">
        <f>SUMIFS(Internal_labour_inputs!IF$8:IF$293,Internal_labour_inputs!$B$8:$B$293,$B130,Internal_labour_inputs!$F$8:$F$293,"New")</f>
        <v>0</v>
      </c>
    </row>
    <row r="131" spans="1:95" x14ac:dyDescent="0.3">
      <c r="B131" s="191" t="str">
        <f t="shared" si="46"/>
        <v>Project Delivery Management - Commercial Management</v>
      </c>
      <c r="C131" s="192">
        <f>SUMIFS(Internal_labour_inputs!HW$8:HW$293,Internal_labour_inputs!$B$8:$B$293,$B131,Internal_labour_inputs!$F$8:$F$293,"New")</f>
        <v>4.0199362041467301</v>
      </c>
      <c r="D131" s="192">
        <f>SUMIFS(Internal_labour_inputs!HX$8:HX$293,Internal_labour_inputs!$B$8:$B$293,$B131,Internal_labour_inputs!$F$8:$F$293,"New")</f>
        <v>0</v>
      </c>
      <c r="E131" s="192">
        <f>SUMIFS(Internal_labour_inputs!HY$8:HY$293,Internal_labour_inputs!$B$8:$B$293,$B131,Internal_labour_inputs!$F$8:$F$293,"New")</f>
        <v>0</v>
      </c>
      <c r="F131" s="192">
        <f>SUMIFS(Internal_labour_inputs!HZ$8:HZ$293,Internal_labour_inputs!$B$8:$B$293,$B131,Internal_labour_inputs!$F$8:$F$293,"New")</f>
        <v>0</v>
      </c>
      <c r="G131" s="192">
        <f>SUMIFS(Internal_labour_inputs!IA$8:IA$293,Internal_labour_inputs!$B$8:$B$293,$B131,Internal_labour_inputs!$F$8:$F$293,"New")</f>
        <v>0</v>
      </c>
      <c r="H131" s="192">
        <f>SUMIFS(Internal_labour_inputs!IB$8:IB$293,Internal_labour_inputs!$B$8:$B$293,$B131,Internal_labour_inputs!$F$8:$F$293,"New")</f>
        <v>0</v>
      </c>
      <c r="I131" s="192">
        <f>SUMIFS(Internal_labour_inputs!IC$8:IC$293,Internal_labour_inputs!$B$8:$B$293,$B131,Internal_labour_inputs!$F$8:$F$293,"New")</f>
        <v>0</v>
      </c>
      <c r="J131" s="192">
        <f>SUMIFS(Internal_labour_inputs!ID$8:ID$293,Internal_labour_inputs!$B$8:$B$293,$B131,Internal_labour_inputs!$F$8:$F$293,"New")</f>
        <v>4.0199362041467301</v>
      </c>
      <c r="L131" s="192">
        <f>SUMIFS(Internal_labour_inputs!IF$8:IF$293,Internal_labour_inputs!$B$8:$B$293,$B131,Internal_labour_inputs!$F$8:$F$293,"New")</f>
        <v>4.0199362041467301</v>
      </c>
    </row>
    <row r="132" spans="1:95" x14ac:dyDescent="0.3">
      <c r="B132" s="191" t="str">
        <f t="shared" si="46"/>
        <v>Project Delivery Management - Commissioning</v>
      </c>
      <c r="C132" s="192">
        <f>SUMIFS(Internal_labour_inputs!HW$8:HW$293,Internal_labour_inputs!$B$8:$B$293,$B132,Internal_labour_inputs!$F$8:$F$293,"New")</f>
        <v>0</v>
      </c>
      <c r="D132" s="192">
        <f>SUMIFS(Internal_labour_inputs!HX$8:HX$293,Internal_labour_inputs!$B$8:$B$293,$B132,Internal_labour_inputs!$F$8:$F$293,"New")</f>
        <v>0</v>
      </c>
      <c r="E132" s="192">
        <f>SUMIFS(Internal_labour_inputs!HY$8:HY$293,Internal_labour_inputs!$B$8:$B$293,$B132,Internal_labour_inputs!$F$8:$F$293,"New")</f>
        <v>0</v>
      </c>
      <c r="F132" s="192">
        <f>SUMIFS(Internal_labour_inputs!HZ$8:HZ$293,Internal_labour_inputs!$B$8:$B$293,$B132,Internal_labour_inputs!$F$8:$F$293,"New")</f>
        <v>0</v>
      </c>
      <c r="G132" s="192">
        <f>SUMIFS(Internal_labour_inputs!IA$8:IA$293,Internal_labour_inputs!$B$8:$B$293,$B132,Internal_labour_inputs!$F$8:$F$293,"New")</f>
        <v>0</v>
      </c>
      <c r="H132" s="192">
        <f>SUMIFS(Internal_labour_inputs!IB$8:IB$293,Internal_labour_inputs!$B$8:$B$293,$B132,Internal_labour_inputs!$F$8:$F$293,"New")</f>
        <v>0</v>
      </c>
      <c r="I132" s="192">
        <f>SUMIFS(Internal_labour_inputs!IC$8:IC$293,Internal_labour_inputs!$B$8:$B$293,$B132,Internal_labour_inputs!$F$8:$F$293,"New")</f>
        <v>0</v>
      </c>
      <c r="J132" s="192">
        <f>SUMIFS(Internal_labour_inputs!ID$8:ID$293,Internal_labour_inputs!$B$8:$B$293,$B132,Internal_labour_inputs!$F$8:$F$293,"New")</f>
        <v>0</v>
      </c>
      <c r="L132" s="192">
        <f>SUMIFS(Internal_labour_inputs!IF$8:IF$293,Internal_labour_inputs!$B$8:$B$293,$B132,Internal_labour_inputs!$F$8:$F$293,"New")</f>
        <v>0</v>
      </c>
    </row>
    <row r="133" spans="1:95" x14ac:dyDescent="0.3">
      <c r="B133" s="191" t="str">
        <f t="shared" si="46"/>
        <v>Project Delivery Management - Construction Management</v>
      </c>
      <c r="C133" s="192">
        <f>SUMIFS(Internal_labour_inputs!HW$8:HW$293,Internal_labour_inputs!$B$8:$B$293,$B133,Internal_labour_inputs!$F$8:$F$293,"New")</f>
        <v>0</v>
      </c>
      <c r="D133" s="192">
        <f>SUMIFS(Internal_labour_inputs!HX$8:HX$293,Internal_labour_inputs!$B$8:$B$293,$B133,Internal_labour_inputs!$F$8:$F$293,"New")</f>
        <v>0</v>
      </c>
      <c r="E133" s="192">
        <f>SUMIFS(Internal_labour_inputs!HY$8:HY$293,Internal_labour_inputs!$B$8:$B$293,$B133,Internal_labour_inputs!$F$8:$F$293,"New")</f>
        <v>0</v>
      </c>
      <c r="F133" s="192">
        <f>SUMIFS(Internal_labour_inputs!HZ$8:HZ$293,Internal_labour_inputs!$B$8:$B$293,$B133,Internal_labour_inputs!$F$8:$F$293,"New")</f>
        <v>0</v>
      </c>
      <c r="G133" s="192">
        <f>SUMIFS(Internal_labour_inputs!IA$8:IA$293,Internal_labour_inputs!$B$8:$B$293,$B133,Internal_labour_inputs!$F$8:$F$293,"New")</f>
        <v>0</v>
      </c>
      <c r="H133" s="192">
        <f>SUMIFS(Internal_labour_inputs!IB$8:IB$293,Internal_labour_inputs!$B$8:$B$293,$B133,Internal_labour_inputs!$F$8:$F$293,"New")</f>
        <v>0</v>
      </c>
      <c r="I133" s="192">
        <f>SUMIFS(Internal_labour_inputs!IC$8:IC$293,Internal_labour_inputs!$B$8:$B$293,$B133,Internal_labour_inputs!$F$8:$F$293,"New")</f>
        <v>0</v>
      </c>
      <c r="J133" s="192">
        <f>SUMIFS(Internal_labour_inputs!ID$8:ID$293,Internal_labour_inputs!$B$8:$B$293,$B133,Internal_labour_inputs!$F$8:$F$293,"New")</f>
        <v>0</v>
      </c>
      <c r="L133" s="192">
        <f>SUMIFS(Internal_labour_inputs!IF$8:IF$293,Internal_labour_inputs!$B$8:$B$293,$B133,Internal_labour_inputs!$F$8:$F$293,"New")</f>
        <v>0</v>
      </c>
    </row>
    <row r="134" spans="1:95" x14ac:dyDescent="0.3">
      <c r="B134" s="191" t="str">
        <f t="shared" si="46"/>
        <v>Project Delivery Management - Project Controls</v>
      </c>
      <c r="C134" s="192">
        <f>SUMIFS(Internal_labour_inputs!HW$8:HW$293,Internal_labour_inputs!$B$8:$B$293,$B134,Internal_labour_inputs!$F$8:$F$293,"New")</f>
        <v>2.0823365231259974</v>
      </c>
      <c r="D134" s="192">
        <f>SUMIFS(Internal_labour_inputs!HX$8:HX$293,Internal_labour_inputs!$B$8:$B$293,$B134,Internal_labour_inputs!$F$8:$F$293,"New")</f>
        <v>0</v>
      </c>
      <c r="E134" s="192">
        <f>SUMIFS(Internal_labour_inputs!HY$8:HY$293,Internal_labour_inputs!$B$8:$B$293,$B134,Internal_labour_inputs!$F$8:$F$293,"New")</f>
        <v>0</v>
      </c>
      <c r="F134" s="192">
        <f>SUMIFS(Internal_labour_inputs!HZ$8:HZ$293,Internal_labour_inputs!$B$8:$B$293,$B134,Internal_labour_inputs!$F$8:$F$293,"New")</f>
        <v>0</v>
      </c>
      <c r="G134" s="192">
        <f>SUMIFS(Internal_labour_inputs!IA$8:IA$293,Internal_labour_inputs!$B$8:$B$293,$B134,Internal_labour_inputs!$F$8:$F$293,"New")</f>
        <v>0</v>
      </c>
      <c r="H134" s="192">
        <f>SUMIFS(Internal_labour_inputs!IB$8:IB$293,Internal_labour_inputs!$B$8:$B$293,$B134,Internal_labour_inputs!$F$8:$F$293,"New")</f>
        <v>0</v>
      </c>
      <c r="I134" s="192">
        <f>SUMIFS(Internal_labour_inputs!IC$8:IC$293,Internal_labour_inputs!$B$8:$B$293,$B134,Internal_labour_inputs!$F$8:$F$293,"New")</f>
        <v>0</v>
      </c>
      <c r="J134" s="192">
        <f>SUMIFS(Internal_labour_inputs!ID$8:ID$293,Internal_labour_inputs!$B$8:$B$293,$B134,Internal_labour_inputs!$F$8:$F$293,"New")</f>
        <v>2.0823365231259974</v>
      </c>
      <c r="L134" s="192">
        <f>SUMIFS(Internal_labour_inputs!IF$8:IF$293,Internal_labour_inputs!$B$8:$B$293,$B134,Internal_labour_inputs!$F$8:$F$293,"New")</f>
        <v>2.0823365231259974</v>
      </c>
    </row>
    <row r="135" spans="1:95" x14ac:dyDescent="0.3">
      <c r="B135" s="191" t="str">
        <f t="shared" si="46"/>
        <v>Project Delivery Management - Project Engineering</v>
      </c>
      <c r="C135" s="192">
        <f>SUMIFS(Internal_labour_inputs!HW$8:HW$293,Internal_labour_inputs!$B$8:$B$293,$B135,Internal_labour_inputs!$F$8:$F$293,"New")</f>
        <v>0</v>
      </c>
      <c r="D135" s="192">
        <f>SUMIFS(Internal_labour_inputs!HX$8:HX$293,Internal_labour_inputs!$B$8:$B$293,$B135,Internal_labour_inputs!$F$8:$F$293,"New")</f>
        <v>0</v>
      </c>
      <c r="E135" s="192">
        <f>SUMIFS(Internal_labour_inputs!HY$8:HY$293,Internal_labour_inputs!$B$8:$B$293,$B135,Internal_labour_inputs!$F$8:$F$293,"New")</f>
        <v>0</v>
      </c>
      <c r="F135" s="192">
        <f>SUMIFS(Internal_labour_inputs!HZ$8:HZ$293,Internal_labour_inputs!$B$8:$B$293,$B135,Internal_labour_inputs!$F$8:$F$293,"New")</f>
        <v>0</v>
      </c>
      <c r="G135" s="192">
        <f>SUMIFS(Internal_labour_inputs!IA$8:IA$293,Internal_labour_inputs!$B$8:$B$293,$B135,Internal_labour_inputs!$F$8:$F$293,"New")</f>
        <v>0</v>
      </c>
      <c r="H135" s="192">
        <f>SUMIFS(Internal_labour_inputs!IB$8:IB$293,Internal_labour_inputs!$B$8:$B$293,$B135,Internal_labour_inputs!$F$8:$F$293,"New")</f>
        <v>0</v>
      </c>
      <c r="I135" s="192">
        <f>SUMIFS(Internal_labour_inputs!IC$8:IC$293,Internal_labour_inputs!$B$8:$B$293,$B135,Internal_labour_inputs!$F$8:$F$293,"New")</f>
        <v>0</v>
      </c>
      <c r="J135" s="192">
        <f>SUMIFS(Internal_labour_inputs!ID$8:ID$293,Internal_labour_inputs!$B$8:$B$293,$B135,Internal_labour_inputs!$F$8:$F$293,"New")</f>
        <v>0</v>
      </c>
      <c r="L135" s="192">
        <f>SUMIFS(Internal_labour_inputs!IF$8:IF$293,Internal_labour_inputs!$B$8:$B$293,$B135,Internal_labour_inputs!$F$8:$F$293,"New")</f>
        <v>0</v>
      </c>
    </row>
    <row r="136" spans="1:95" x14ac:dyDescent="0.3">
      <c r="B136" s="191" t="str">
        <f t="shared" si="46"/>
        <v>Project Delivery Management - Project Management</v>
      </c>
      <c r="C136" s="192">
        <f>SUMIFS(Internal_labour_inputs!HW$8:HW$293,Internal_labour_inputs!$B$8:$B$293,$B136,Internal_labour_inputs!$F$8:$F$293,"New")</f>
        <v>6.0278765094554565</v>
      </c>
      <c r="D136" s="192">
        <f>SUMIFS(Internal_labour_inputs!HX$8:HX$293,Internal_labour_inputs!$B$8:$B$293,$B136,Internal_labour_inputs!$F$8:$F$293,"New")</f>
        <v>0</v>
      </c>
      <c r="E136" s="192">
        <f>SUMIFS(Internal_labour_inputs!HY$8:HY$293,Internal_labour_inputs!$B$8:$B$293,$B136,Internal_labour_inputs!$F$8:$F$293,"New")</f>
        <v>0</v>
      </c>
      <c r="F136" s="192">
        <f>SUMIFS(Internal_labour_inputs!HZ$8:HZ$293,Internal_labour_inputs!$B$8:$B$293,$B136,Internal_labour_inputs!$F$8:$F$293,"New")</f>
        <v>0</v>
      </c>
      <c r="G136" s="192">
        <f>SUMIFS(Internal_labour_inputs!IA$8:IA$293,Internal_labour_inputs!$B$8:$B$293,$B136,Internal_labour_inputs!$F$8:$F$293,"New")</f>
        <v>0</v>
      </c>
      <c r="H136" s="192">
        <f>SUMIFS(Internal_labour_inputs!IB$8:IB$293,Internal_labour_inputs!$B$8:$B$293,$B136,Internal_labour_inputs!$F$8:$F$293,"New")</f>
        <v>0</v>
      </c>
      <c r="I136" s="192">
        <f>SUMIFS(Internal_labour_inputs!IC$8:IC$293,Internal_labour_inputs!$B$8:$B$293,$B136,Internal_labour_inputs!$F$8:$F$293,"New")</f>
        <v>0</v>
      </c>
      <c r="J136" s="192">
        <f>SUMIFS(Internal_labour_inputs!ID$8:ID$293,Internal_labour_inputs!$B$8:$B$293,$B136,Internal_labour_inputs!$F$8:$F$293,"New")</f>
        <v>6.0278765094554565</v>
      </c>
      <c r="L136" s="192">
        <f>SUMIFS(Internal_labour_inputs!IF$8:IF$293,Internal_labour_inputs!$B$8:$B$293,$B136,Internal_labour_inputs!$F$8:$F$293,"New")</f>
        <v>6.0278765094554565</v>
      </c>
    </row>
    <row r="137" spans="1:95" x14ac:dyDescent="0.3">
      <c r="B137" s="191" t="str">
        <f t="shared" si="46"/>
        <v>Project Development</v>
      </c>
      <c r="C137" s="192">
        <f>SUMIFS(Internal_labour_inputs!HW$8:HW$293,Internal_labour_inputs!$B$8:$B$293,$B137,Internal_labour_inputs!$F$8:$F$293,"New")</f>
        <v>0</v>
      </c>
      <c r="D137" s="192">
        <f>SUMIFS(Internal_labour_inputs!HX$8:HX$293,Internal_labour_inputs!$B$8:$B$293,$B137,Internal_labour_inputs!$F$8:$F$293,"New")</f>
        <v>0</v>
      </c>
      <c r="E137" s="192">
        <f>SUMIFS(Internal_labour_inputs!HY$8:HY$293,Internal_labour_inputs!$B$8:$B$293,$B137,Internal_labour_inputs!$F$8:$F$293,"New")</f>
        <v>0</v>
      </c>
      <c r="F137" s="192">
        <f>SUMIFS(Internal_labour_inputs!HZ$8:HZ$293,Internal_labour_inputs!$B$8:$B$293,$B137,Internal_labour_inputs!$F$8:$F$293,"New")</f>
        <v>0</v>
      </c>
      <c r="G137" s="192">
        <f>SUMIFS(Internal_labour_inputs!IA$8:IA$293,Internal_labour_inputs!$B$8:$B$293,$B137,Internal_labour_inputs!$F$8:$F$293,"New")</f>
        <v>0</v>
      </c>
      <c r="H137" s="192">
        <f>SUMIFS(Internal_labour_inputs!IB$8:IB$293,Internal_labour_inputs!$B$8:$B$293,$B137,Internal_labour_inputs!$F$8:$F$293,"New")</f>
        <v>0</v>
      </c>
      <c r="I137" s="192">
        <f>SUMIFS(Internal_labour_inputs!IC$8:IC$293,Internal_labour_inputs!$B$8:$B$293,$B137,Internal_labour_inputs!$F$8:$F$293,"New")</f>
        <v>0</v>
      </c>
      <c r="J137" s="192">
        <f>SUMIFS(Internal_labour_inputs!ID$8:ID$293,Internal_labour_inputs!$B$8:$B$293,$B137,Internal_labour_inputs!$F$8:$F$293,"New")</f>
        <v>0</v>
      </c>
      <c r="L137" s="192">
        <f>SUMIFS(Internal_labour_inputs!IF$8:IF$293,Internal_labour_inputs!$B$8:$B$293,$B137,Internal_labour_inputs!$F$8:$F$293,"New")</f>
        <v>0</v>
      </c>
    </row>
    <row r="138" spans="1:95" x14ac:dyDescent="0.3">
      <c r="B138" s="191" t="str">
        <f t="shared" si="46"/>
        <v>Regulatory Approvals</v>
      </c>
      <c r="C138" s="192">
        <f>SUMIFS(Internal_labour_inputs!HW$8:HW$293,Internal_labour_inputs!$B$8:$B$293,$B138,Internal_labour_inputs!$F$8:$F$293,"New")</f>
        <v>0</v>
      </c>
      <c r="D138" s="192">
        <f>SUMIFS(Internal_labour_inputs!HX$8:HX$293,Internal_labour_inputs!$B$8:$B$293,$B138,Internal_labour_inputs!$F$8:$F$293,"New")</f>
        <v>0</v>
      </c>
      <c r="E138" s="192">
        <f>SUMIFS(Internal_labour_inputs!HY$8:HY$293,Internal_labour_inputs!$B$8:$B$293,$B138,Internal_labour_inputs!$F$8:$F$293,"New")</f>
        <v>0</v>
      </c>
      <c r="F138" s="192">
        <f>SUMIFS(Internal_labour_inputs!HZ$8:HZ$293,Internal_labour_inputs!$B$8:$B$293,$B138,Internal_labour_inputs!$F$8:$F$293,"New")</f>
        <v>0</v>
      </c>
      <c r="G138" s="192">
        <f>SUMIFS(Internal_labour_inputs!IA$8:IA$293,Internal_labour_inputs!$B$8:$B$293,$B138,Internal_labour_inputs!$F$8:$F$293,"New")</f>
        <v>0</v>
      </c>
      <c r="H138" s="192">
        <f>SUMIFS(Internal_labour_inputs!IB$8:IB$293,Internal_labour_inputs!$B$8:$B$293,$B138,Internal_labour_inputs!$F$8:$F$293,"New")</f>
        <v>0</v>
      </c>
      <c r="I138" s="192">
        <f>SUMIFS(Internal_labour_inputs!IC$8:IC$293,Internal_labour_inputs!$B$8:$B$293,$B138,Internal_labour_inputs!$F$8:$F$293,"New")</f>
        <v>0</v>
      </c>
      <c r="J138" s="192">
        <f>SUMIFS(Internal_labour_inputs!ID$8:ID$293,Internal_labour_inputs!$B$8:$B$293,$B138,Internal_labour_inputs!$F$8:$F$293,"New")</f>
        <v>0</v>
      </c>
      <c r="L138" s="192">
        <f>SUMIFS(Internal_labour_inputs!IF$8:IF$293,Internal_labour_inputs!$B$8:$B$293,$B138,Internal_labour_inputs!$F$8:$F$293,"New")</f>
        <v>0</v>
      </c>
    </row>
    <row r="139" spans="1:95" x14ac:dyDescent="0.3">
      <c r="B139" s="191" t="str">
        <f t="shared" si="46"/>
        <v>Transaction Procurement Support</v>
      </c>
      <c r="C139" s="192">
        <f>SUMIFS(Internal_labour_inputs!HW$8:HW$293,Internal_labour_inputs!$B$8:$B$293,$B139,Internal_labour_inputs!$F$8:$F$293,"New")</f>
        <v>0</v>
      </c>
      <c r="D139" s="192">
        <f>SUMIFS(Internal_labour_inputs!HX$8:HX$293,Internal_labour_inputs!$B$8:$B$293,$B139,Internal_labour_inputs!$F$8:$F$293,"New")</f>
        <v>0</v>
      </c>
      <c r="E139" s="192">
        <f>SUMIFS(Internal_labour_inputs!HY$8:HY$293,Internal_labour_inputs!$B$8:$B$293,$B139,Internal_labour_inputs!$F$8:$F$293,"New")</f>
        <v>0</v>
      </c>
      <c r="F139" s="192">
        <f>SUMIFS(Internal_labour_inputs!HZ$8:HZ$293,Internal_labour_inputs!$B$8:$B$293,$B139,Internal_labour_inputs!$F$8:$F$293,"New")</f>
        <v>0</v>
      </c>
      <c r="G139" s="192">
        <f>SUMIFS(Internal_labour_inputs!IA$8:IA$293,Internal_labour_inputs!$B$8:$B$293,$B139,Internal_labour_inputs!$F$8:$F$293,"New")</f>
        <v>0</v>
      </c>
      <c r="H139" s="192">
        <f>SUMIFS(Internal_labour_inputs!IB$8:IB$293,Internal_labour_inputs!$B$8:$B$293,$B139,Internal_labour_inputs!$F$8:$F$293,"New")</f>
        <v>0</v>
      </c>
      <c r="I139" s="192">
        <f>SUMIFS(Internal_labour_inputs!IC$8:IC$293,Internal_labour_inputs!$B$8:$B$293,$B139,Internal_labour_inputs!$F$8:$F$293,"New")</f>
        <v>0</v>
      </c>
      <c r="J139" s="192">
        <f>SUMIFS(Internal_labour_inputs!ID$8:ID$293,Internal_labour_inputs!$B$8:$B$293,$B139,Internal_labour_inputs!$F$8:$F$293,"New")</f>
        <v>0</v>
      </c>
      <c r="L139" s="192">
        <f>SUMIFS(Internal_labour_inputs!IF$8:IF$293,Internal_labour_inputs!$B$8:$B$293,$B139,Internal_labour_inputs!$F$8:$F$293,"New")</f>
        <v>0</v>
      </c>
    </row>
    <row r="140" spans="1:95" x14ac:dyDescent="0.3">
      <c r="B140" s="195" t="s">
        <v>133</v>
      </c>
      <c r="C140" s="196">
        <f t="shared" ref="C140:J140" si="47">SUM(C127:C139)</f>
        <v>13.034331852358168</v>
      </c>
      <c r="D140" s="196">
        <f t="shared" si="47"/>
        <v>0</v>
      </c>
      <c r="E140" s="196">
        <f t="shared" si="47"/>
        <v>0</v>
      </c>
      <c r="F140" s="196">
        <f t="shared" si="47"/>
        <v>0</v>
      </c>
      <c r="G140" s="196">
        <f t="shared" si="47"/>
        <v>0</v>
      </c>
      <c r="H140" s="196">
        <f t="shared" si="47"/>
        <v>0</v>
      </c>
      <c r="I140" s="196">
        <f t="shared" si="47"/>
        <v>0</v>
      </c>
      <c r="J140" s="196">
        <f t="shared" si="47"/>
        <v>13.034331852358168</v>
      </c>
      <c r="L140" s="196">
        <f t="shared" ref="L140" si="48">SUM(L127:L139)</f>
        <v>13.02865003417635</v>
      </c>
    </row>
    <row r="142" spans="1:95" s="32" customFormat="1" ht="22.5" x14ac:dyDescent="0.3">
      <c r="A142" s="31"/>
      <c r="B142" s="72"/>
      <c r="C142" s="31"/>
      <c r="D142" s="31"/>
      <c r="E142" s="31"/>
      <c r="F142" s="31"/>
      <c r="G142" s="31"/>
      <c r="H142" s="31"/>
      <c r="I142" s="31"/>
      <c r="J142" s="31"/>
      <c r="K142" s="31"/>
      <c r="L142" s="31"/>
      <c r="M142" s="31"/>
      <c r="N142" s="31"/>
      <c r="O142" s="31"/>
      <c r="P142" s="31"/>
      <c r="Q142" s="31"/>
      <c r="R142" s="31"/>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c r="AV142" s="285"/>
      <c r="AW142" s="285"/>
      <c r="AX142" s="285"/>
      <c r="AY142" s="285"/>
      <c r="AZ142" s="285"/>
      <c r="BA142" s="285"/>
      <c r="BB142" s="285"/>
      <c r="BC142" s="285"/>
      <c r="BD142" s="285"/>
      <c r="BE142" s="285"/>
      <c r="BF142" s="285"/>
      <c r="BG142" s="285"/>
      <c r="BH142" s="285"/>
      <c r="BI142" s="285"/>
      <c r="BJ142" s="285"/>
      <c r="BK142" s="285"/>
      <c r="BL142" s="285"/>
      <c r="BM142" s="285"/>
      <c r="BN142" s="285"/>
      <c r="BO142" s="285"/>
      <c r="BP142" s="285"/>
      <c r="BQ142" s="285"/>
      <c r="BR142" s="285"/>
      <c r="BS142" s="285"/>
      <c r="BT142" s="285"/>
      <c r="BU142" s="285"/>
      <c r="BV142" s="285"/>
      <c r="BW142" s="285"/>
      <c r="BX142" s="285"/>
      <c r="BY142" s="285"/>
      <c r="BZ142" s="285"/>
      <c r="CA142" s="285"/>
      <c r="CB142" s="285"/>
      <c r="CC142" s="285"/>
      <c r="CD142" s="285"/>
      <c r="CE142" s="285"/>
      <c r="CF142" s="285"/>
      <c r="CG142" s="285"/>
      <c r="CH142" s="285"/>
      <c r="CI142" s="285"/>
      <c r="CJ142" s="285"/>
      <c r="CK142" s="285"/>
      <c r="CL142" s="281"/>
      <c r="CM142" s="281"/>
      <c r="CN142" s="281"/>
      <c r="CO142" s="281"/>
      <c r="CP142" s="281"/>
      <c r="CQ142" s="281"/>
    </row>
  </sheetData>
  <conditionalFormatting sqref="C26">
    <cfRule type="cellIs" dxfId="139" priority="970" operator="equal">
      <formula>"ERROR"</formula>
    </cfRule>
    <cfRule type="cellIs" dxfId="138" priority="971" operator="equal">
      <formula>"OK"</formula>
    </cfRule>
    <cfRule type="expression" dxfId="137" priority="972">
      <formula>$K5="Manual $ Spread"</formula>
    </cfRule>
  </conditionalFormatting>
  <conditionalFormatting sqref="E6">
    <cfRule type="cellIs" dxfId="136" priority="4" operator="equal">
      <formula>"ERROR"</formula>
    </cfRule>
    <cfRule type="cellIs" dxfId="135" priority="5" operator="equal">
      <formula>"OK"</formula>
    </cfRule>
    <cfRule type="expression" dxfId="134" priority="6">
      <formula>$K6="Manual $ Spread"</formula>
    </cfRule>
  </conditionalFormatting>
  <pageMargins left="0.7" right="0.7" top="0.75" bottom="0.75" header="0.3" footer="0.3"/>
  <pageSetup orientation="portrait" r:id="rId1"/>
  <headerFooter>
    <oddFooter>&amp;L_x000D_&amp;1#&amp;"Aptos"&amp;10&amp;K000000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2E5E-9B83-45D9-9F98-E3897E0F7A30}">
  <sheetPr codeName="Sheet10">
    <tabColor theme="8"/>
    <pageSetUpPr autoPageBreaks="0"/>
  </sheetPr>
  <dimension ref="A1:AK139"/>
  <sheetViews>
    <sheetView showGridLines="0" zoomScaleNormal="100" workbookViewId="0">
      <pane xSplit="2" ySplit="2" topLeftCell="C3" activePane="bottomRight" state="frozen"/>
      <selection activeCell="A2" sqref="A2"/>
      <selection pane="topRight" activeCell="A2" sqref="A2"/>
      <selection pane="bottomLeft" activeCell="A2" sqref="A2"/>
      <selection pane="bottomRight"/>
    </sheetView>
  </sheetViews>
  <sheetFormatPr defaultColWidth="9.21875" defaultRowHeight="12.75" x14ac:dyDescent="0.2"/>
  <cols>
    <col min="1" max="1" width="3.6640625" style="65" customWidth="1"/>
    <col min="2" max="2" width="23.109375" style="65" customWidth="1"/>
    <col min="3" max="13" width="11.5546875" style="65" customWidth="1"/>
    <col min="14" max="14" width="23.109375" style="65" customWidth="1"/>
    <col min="15" max="25" width="11.5546875" style="65" customWidth="1"/>
    <col min="26" max="26" width="23.109375" style="65" customWidth="1"/>
    <col min="27" max="36" width="11.5546875" style="65" customWidth="1"/>
    <col min="37" max="37" width="9.21875" style="65"/>
    <col min="38" max="38" width="32.44140625" style="65" bestFit="1" customWidth="1"/>
    <col min="39" max="39" width="29" style="65" bestFit="1" customWidth="1"/>
    <col min="40" max="40" width="32.44140625" style="65" bestFit="1" customWidth="1"/>
    <col min="41" max="16384" width="9.21875" style="65"/>
  </cols>
  <sheetData>
    <row r="1" spans="1:37" ht="35.25" customHeight="1" x14ac:dyDescent="0.2">
      <c r="A1" s="66"/>
      <c r="B1" s="93" t="str">
        <f>Overview!$B$1</f>
        <v>Labour and overhead costs for Accelerated Syncons</v>
      </c>
      <c r="C1" s="68"/>
      <c r="D1" s="68"/>
      <c r="E1" s="68"/>
      <c r="F1" s="68"/>
      <c r="G1" s="68"/>
      <c r="H1" s="68"/>
      <c r="I1" s="68"/>
      <c r="J1" s="68"/>
      <c r="K1" s="68"/>
      <c r="L1" s="68"/>
      <c r="M1" s="68"/>
      <c r="O1" s="200"/>
      <c r="P1" s="200"/>
      <c r="Q1" s="200"/>
      <c r="R1" s="200"/>
      <c r="S1" s="200"/>
      <c r="T1" s="200"/>
      <c r="U1" s="200"/>
      <c r="V1" s="200"/>
      <c r="W1" s="200"/>
      <c r="X1" s="201"/>
      <c r="Y1" s="200"/>
      <c r="Z1" s="202"/>
      <c r="AA1" s="200"/>
      <c r="AB1" s="200"/>
      <c r="AC1" s="200"/>
      <c r="AD1" s="200"/>
      <c r="AE1" s="200"/>
      <c r="AF1" s="200" t="s">
        <v>174</v>
      </c>
      <c r="AG1" s="200" t="s">
        <v>174</v>
      </c>
      <c r="AH1" s="200" t="s">
        <v>174</v>
      </c>
      <c r="AI1" s="200" t="s">
        <v>174</v>
      </c>
      <c r="AJ1" s="201"/>
      <c r="AK1" s="200"/>
    </row>
    <row r="2" spans="1:37" ht="26.25" customHeight="1" x14ac:dyDescent="0.2">
      <c r="A2" s="71"/>
      <c r="B2" s="72" t="s">
        <v>175</v>
      </c>
      <c r="C2" s="152"/>
      <c r="D2" s="152"/>
      <c r="E2" s="152"/>
      <c r="F2" s="152"/>
      <c r="G2" s="152"/>
      <c r="H2" s="152"/>
      <c r="I2" s="152"/>
      <c r="J2" s="71"/>
      <c r="K2" s="71"/>
      <c r="L2" s="71"/>
      <c r="M2" s="71"/>
      <c r="O2" s="203"/>
      <c r="P2" s="203"/>
      <c r="Q2" s="203"/>
      <c r="R2" s="203"/>
      <c r="S2" s="203"/>
      <c r="T2" s="203"/>
      <c r="U2" s="203"/>
      <c r="V2" s="203"/>
      <c r="W2" s="203"/>
      <c r="X2" s="203"/>
      <c r="Y2" s="203"/>
      <c r="Z2" s="204"/>
      <c r="AA2" s="203"/>
      <c r="AB2" s="203"/>
      <c r="AC2" s="203"/>
      <c r="AD2" s="203"/>
      <c r="AE2" s="203"/>
      <c r="AF2" s="203"/>
      <c r="AG2" s="203"/>
      <c r="AH2" s="203"/>
      <c r="AI2" s="203"/>
      <c r="AJ2" s="203"/>
    </row>
    <row r="4" spans="1:37" x14ac:dyDescent="0.2">
      <c r="B4" s="76" t="s">
        <v>48</v>
      </c>
      <c r="Z4" s="76"/>
    </row>
    <row r="5" spans="1:37" ht="15" customHeight="1" x14ac:dyDescent="0.2">
      <c r="B5" s="78" t="s">
        <v>176</v>
      </c>
      <c r="C5" s="78"/>
      <c r="D5" s="78"/>
      <c r="O5" s="78"/>
      <c r="P5" s="78"/>
      <c r="Z5" s="78"/>
      <c r="AA5" s="78"/>
      <c r="AB5" s="78"/>
    </row>
    <row r="6" spans="1:37" x14ac:dyDescent="0.2">
      <c r="B6" s="78"/>
      <c r="C6" s="78"/>
      <c r="D6" s="78"/>
      <c r="O6" s="78"/>
      <c r="P6" s="78"/>
      <c r="Z6" s="78"/>
      <c r="AA6" s="78"/>
      <c r="AB6" s="78"/>
    </row>
    <row r="7" spans="1:37" s="91" customFormat="1" x14ac:dyDescent="0.2">
      <c r="N7" s="65"/>
    </row>
    <row r="8" spans="1:37" x14ac:dyDescent="0.2">
      <c r="B8" s="118" t="s">
        <v>177</v>
      </c>
      <c r="C8" s="118"/>
      <c r="D8" s="118"/>
      <c r="E8" s="118" t="str">
        <f>"(Real "&amp;'Key assumptions'!$D$11&amp;")"</f>
        <v>(Real $RY2026)</v>
      </c>
      <c r="F8" s="118"/>
      <c r="G8" s="118"/>
      <c r="H8" s="118"/>
      <c r="I8" s="118"/>
      <c r="J8" s="118"/>
      <c r="L8" s="117" t="s">
        <v>255</v>
      </c>
    </row>
    <row r="9" spans="1:37" x14ac:dyDescent="0.2">
      <c r="B9" s="87"/>
    </row>
    <row r="10" spans="1:37" s="153" customFormat="1" ht="25.5" x14ac:dyDescent="0.2">
      <c r="B10" s="136" t="s">
        <v>131</v>
      </c>
      <c r="C10" s="161" t="str" cm="1">
        <f t="array" ref="C10:I10">model_forecastperiod</f>
        <v>RY2026
01Feb-30Sep</v>
      </c>
      <c r="D10" s="161" t="str">
        <v>RY2027</v>
      </c>
      <c r="E10" s="161" t="str">
        <v>RY2028</v>
      </c>
      <c r="F10" s="161" t="str">
        <v>RY2029</v>
      </c>
      <c r="G10" s="161" t="str">
        <v>RY2030</v>
      </c>
      <c r="H10" s="161" t="str">
        <v>RY2031</v>
      </c>
      <c r="I10" s="161" t="str">
        <v>RY2032</v>
      </c>
      <c r="J10" s="140" t="s">
        <v>133</v>
      </c>
      <c r="L10" s="140" t="s">
        <v>254</v>
      </c>
    </row>
    <row r="11" spans="1:37" x14ac:dyDescent="0.2">
      <c r="B11" s="206" t="str" cm="1">
        <f t="array" ref="B11:B23">CostCategories</f>
        <v>Community and Stakeholder Engagement</v>
      </c>
      <c r="C11" s="207">
        <f>SUMIFS(Internal_labour_inputs!GH$8:GH$293,Internal_labour_inputs!$B$8:$B$293,Internal_labour_calcs!$B11)</f>
        <v>108198.66358611555</v>
      </c>
      <c r="D11" s="207">
        <f>SUMIFS(Internal_labour_inputs!GI$8:GI$293,Internal_labour_inputs!$B$8:$B$293,Internal_labour_calcs!$B11)</f>
        <v>40004.264957269392</v>
      </c>
      <c r="E11" s="207">
        <f>SUMIFS(Internal_labour_inputs!GJ$8:GJ$293,Internal_labour_inputs!$B$8:$B$293,Internal_labour_calcs!$B11)</f>
        <v>0</v>
      </c>
      <c r="F11" s="207">
        <f>SUMIFS(Internal_labour_inputs!GK$8:GK$293,Internal_labour_inputs!$B$8:$B$293,Internal_labour_calcs!$B11)</f>
        <v>0</v>
      </c>
      <c r="G11" s="207">
        <f>SUMIFS(Internal_labour_inputs!GL$8:GL$293,Internal_labour_inputs!$B$8:$B$293,Internal_labour_calcs!$B11)</f>
        <v>0</v>
      </c>
      <c r="H11" s="207">
        <f>SUMIFS(Internal_labour_inputs!GM$8:GM$293,Internal_labour_inputs!$B$8:$B$293,Internal_labour_calcs!$B11)</f>
        <v>0</v>
      </c>
      <c r="I11" s="207">
        <f>SUMIFS(Internal_labour_inputs!GN$8:GN$293,Internal_labour_inputs!$B$8:$B$293,Internal_labour_calcs!$B11)</f>
        <v>0</v>
      </c>
      <c r="J11" s="207">
        <f t="shared" ref="J11:J24" si="0">SUM(C11:I11)</f>
        <v>148202.92854338494</v>
      </c>
      <c r="L11" s="207">
        <f>SUMIFS(Internal_labour_inputs!GR$8:GR$293,Internal_labour_inputs!$B$8:$B$293,Internal_labour_calcs!$B11)</f>
        <v>65576.7</v>
      </c>
    </row>
    <row r="12" spans="1:37" x14ac:dyDescent="0.2">
      <c r="B12" s="206" t="str">
        <v>Fleet</v>
      </c>
      <c r="C12" s="207">
        <f>SUMIFS(Internal_labour_inputs!GH$8:GH$293,Internal_labour_inputs!$B$8:$B$293,Internal_labour_calcs!$B12)</f>
        <v>0</v>
      </c>
      <c r="D12" s="207">
        <f>SUMIFS(Internal_labour_inputs!GI$8:GI$293,Internal_labour_inputs!$B$8:$B$293,Internal_labour_calcs!$B12)</f>
        <v>0</v>
      </c>
      <c r="E12" s="207">
        <f>SUMIFS(Internal_labour_inputs!GJ$8:GJ$293,Internal_labour_inputs!$B$8:$B$293,Internal_labour_calcs!$B12)</f>
        <v>0</v>
      </c>
      <c r="F12" s="207">
        <f>SUMIFS(Internal_labour_inputs!GK$8:GK$293,Internal_labour_inputs!$B$8:$B$293,Internal_labour_calcs!$B12)</f>
        <v>0</v>
      </c>
      <c r="G12" s="207">
        <f>SUMIFS(Internal_labour_inputs!GL$8:GL$293,Internal_labour_inputs!$B$8:$B$293,Internal_labour_calcs!$B12)</f>
        <v>0</v>
      </c>
      <c r="H12" s="207">
        <f>SUMIFS(Internal_labour_inputs!GM$8:GM$293,Internal_labour_inputs!$B$8:$B$293,Internal_labour_calcs!$B12)</f>
        <v>0</v>
      </c>
      <c r="I12" s="207">
        <f>SUMIFS(Internal_labour_inputs!GN$8:GN$293,Internal_labour_inputs!$B$8:$B$293,Internal_labour_calcs!$B12)</f>
        <v>0</v>
      </c>
      <c r="J12" s="207">
        <f t="shared" si="0"/>
        <v>0</v>
      </c>
      <c r="L12" s="207">
        <f>SUMIFS(Internal_labour_inputs!GR$8:GR$293,Internal_labour_inputs!$B$8:$B$293,Internal_labour_calcs!$B12)</f>
        <v>0</v>
      </c>
    </row>
    <row r="13" spans="1:37" x14ac:dyDescent="0.2">
      <c r="B13" s="206" t="str">
        <v>Land and Environment</v>
      </c>
      <c r="C13" s="207">
        <f>SUMIFS(Internal_labour_inputs!GH$8:GH$293,Internal_labour_inputs!$B$8:$B$293,Internal_labour_calcs!$B13)</f>
        <v>903932.89382393751</v>
      </c>
      <c r="D13" s="207">
        <f>SUMIFS(Internal_labour_inputs!GI$8:GI$293,Internal_labour_inputs!$B$8:$B$293,Internal_labour_calcs!$B13)</f>
        <v>1673219.0436080254</v>
      </c>
      <c r="E13" s="207">
        <f>SUMIFS(Internal_labour_inputs!GJ$8:GJ$293,Internal_labour_inputs!$B$8:$B$293,Internal_labour_calcs!$B13)</f>
        <v>1677729.5633040732</v>
      </c>
      <c r="F13" s="207">
        <f>SUMIFS(Internal_labour_inputs!GK$8:GK$293,Internal_labour_inputs!$B$8:$B$293,Internal_labour_calcs!$B13)</f>
        <v>160962.47570817452</v>
      </c>
      <c r="G13" s="207">
        <f>SUMIFS(Internal_labour_inputs!GL$8:GL$293,Internal_labour_inputs!$B$8:$B$293,Internal_labour_calcs!$B13)</f>
        <v>0</v>
      </c>
      <c r="H13" s="207">
        <f>SUMIFS(Internal_labour_inputs!GM$8:GM$293,Internal_labour_inputs!$B$8:$B$293,Internal_labour_calcs!$B13)</f>
        <v>0</v>
      </c>
      <c r="I13" s="207">
        <f>SUMIFS(Internal_labour_inputs!GN$8:GN$293,Internal_labour_inputs!$B$8:$B$293,Internal_labour_calcs!$B13)</f>
        <v>0</v>
      </c>
      <c r="J13" s="207">
        <f t="shared" si="0"/>
        <v>4415843.9764442109</v>
      </c>
      <c r="L13" s="207">
        <f>SUMIFS(Internal_labour_inputs!GR$8:GR$293,Internal_labour_inputs!$B$8:$B$293,Internal_labour_calcs!$B13)</f>
        <v>419579.44000000006</v>
      </c>
    </row>
    <row r="14" spans="1:37" x14ac:dyDescent="0.2">
      <c r="B14" s="206" t="str">
        <v>Other Support &amp; Corporate Roles</v>
      </c>
      <c r="C14" s="207">
        <f>SUMIFS(Internal_labour_inputs!GH$8:GH$293,Internal_labour_inputs!$B$8:$B$293,Internal_labour_calcs!$B14)</f>
        <v>5293454.0101075219</v>
      </c>
      <c r="D14" s="207">
        <f>SUMIFS(Internal_labour_inputs!GI$8:GI$293,Internal_labour_inputs!$B$8:$B$293,Internal_labour_calcs!$B14)</f>
        <v>7076249.526266261</v>
      </c>
      <c r="E14" s="207">
        <f>SUMIFS(Internal_labour_inputs!GJ$8:GJ$293,Internal_labour_inputs!$B$8:$B$293,Internal_labour_calcs!$B14)</f>
        <v>6505700.5934638418</v>
      </c>
      <c r="F14" s="207">
        <f>SUMIFS(Internal_labour_inputs!GK$8:GK$293,Internal_labour_inputs!$B$8:$B$293,Internal_labour_calcs!$B14)</f>
        <v>3147896.9872681256</v>
      </c>
      <c r="G14" s="207">
        <f>SUMIFS(Internal_labour_inputs!GL$8:GL$293,Internal_labour_inputs!$B$8:$B$293,Internal_labour_calcs!$B14)</f>
        <v>0</v>
      </c>
      <c r="H14" s="207">
        <f>SUMIFS(Internal_labour_inputs!GM$8:GM$293,Internal_labour_inputs!$B$8:$B$293,Internal_labour_calcs!$B14)</f>
        <v>0</v>
      </c>
      <c r="I14" s="207">
        <f>SUMIFS(Internal_labour_inputs!GN$8:GN$293,Internal_labour_inputs!$B$8:$B$293,Internal_labour_calcs!$B14)</f>
        <v>0</v>
      </c>
      <c r="J14" s="207">
        <f t="shared" si="0"/>
        <v>22023301.117105752</v>
      </c>
      <c r="L14" s="207">
        <f>SUMIFS(Internal_labour_inputs!GR$8:GR$293,Internal_labour_inputs!$B$8:$B$293,Internal_labour_calcs!$B14)</f>
        <v>3056030.2339492925</v>
      </c>
    </row>
    <row r="15" spans="1:37" x14ac:dyDescent="0.2">
      <c r="B15" s="206" t="str">
        <v>Project Delivery Management - Commercial Management</v>
      </c>
      <c r="C15" s="207">
        <f>SUMIFS(Internal_labour_inputs!GH$8:GH$293,Internal_labour_inputs!$B$8:$B$293,Internal_labour_calcs!$B15)</f>
        <v>1969955.4975553083</v>
      </c>
      <c r="D15" s="207">
        <f>SUMIFS(Internal_labour_inputs!GI$8:GI$293,Internal_labour_inputs!$B$8:$B$293,Internal_labour_calcs!$B15)</f>
        <v>3097945.3996489202</v>
      </c>
      <c r="E15" s="207">
        <f>SUMIFS(Internal_labour_inputs!GJ$8:GJ$293,Internal_labour_inputs!$B$8:$B$293,Internal_labour_calcs!$B15)</f>
        <v>3108697.4188185255</v>
      </c>
      <c r="F15" s="207">
        <f>SUMIFS(Internal_labour_inputs!GK$8:GK$293,Internal_labour_inputs!$B$8:$B$293,Internal_labour_calcs!$B15)</f>
        <v>917115.86075189302</v>
      </c>
      <c r="G15" s="207">
        <f>SUMIFS(Internal_labour_inputs!GL$8:GL$293,Internal_labour_inputs!$B$8:$B$293,Internal_labour_calcs!$B15)</f>
        <v>0</v>
      </c>
      <c r="H15" s="207">
        <f>SUMIFS(Internal_labour_inputs!GM$8:GM$293,Internal_labour_inputs!$B$8:$B$293,Internal_labour_calcs!$B15)</f>
        <v>0</v>
      </c>
      <c r="I15" s="207">
        <f>SUMIFS(Internal_labour_inputs!GN$8:GN$293,Internal_labour_inputs!$B$8:$B$293,Internal_labour_calcs!$B15)</f>
        <v>0</v>
      </c>
      <c r="J15" s="207">
        <f t="shared" si="0"/>
        <v>9093714.1767746471</v>
      </c>
      <c r="L15" s="207">
        <f>SUMIFS(Internal_labour_inputs!GR$8:GR$293,Internal_labour_inputs!$B$8:$B$293,Internal_labour_calcs!$B15)</f>
        <v>1116599.75</v>
      </c>
    </row>
    <row r="16" spans="1:37" x14ac:dyDescent="0.2">
      <c r="B16" s="206" t="str">
        <v>Project Delivery Management - Commissioning</v>
      </c>
      <c r="C16" s="207">
        <f>SUMIFS(Internal_labour_inputs!GH$8:GH$293,Internal_labour_inputs!$B$8:$B$293,Internal_labour_calcs!$B16)</f>
        <v>1752386.9750368425</v>
      </c>
      <c r="D16" s="207">
        <f>SUMIFS(Internal_labour_inputs!GI$8:GI$293,Internal_labour_inputs!$B$8:$B$293,Internal_labour_calcs!$B16)</f>
        <v>9155798.8112954851</v>
      </c>
      <c r="E16" s="207">
        <f>SUMIFS(Internal_labour_inputs!GJ$8:GJ$293,Internal_labour_inputs!$B$8:$B$293,Internal_labour_calcs!$B16)</f>
        <v>9100120.2933984045</v>
      </c>
      <c r="F16" s="207">
        <f>SUMIFS(Internal_labour_inputs!GK$8:GK$293,Internal_labour_inputs!$B$8:$B$293,Internal_labour_calcs!$B16)</f>
        <v>1366810.6758886701</v>
      </c>
      <c r="G16" s="207">
        <f>SUMIFS(Internal_labour_inputs!GL$8:GL$293,Internal_labour_inputs!$B$8:$B$293,Internal_labour_calcs!$B16)</f>
        <v>0</v>
      </c>
      <c r="H16" s="207">
        <f>SUMIFS(Internal_labour_inputs!GM$8:GM$293,Internal_labour_inputs!$B$8:$B$293,Internal_labour_calcs!$B16)</f>
        <v>0</v>
      </c>
      <c r="I16" s="207">
        <f>SUMIFS(Internal_labour_inputs!GN$8:GN$293,Internal_labour_inputs!$B$8:$B$293,Internal_labour_calcs!$B16)</f>
        <v>0</v>
      </c>
      <c r="J16" s="207">
        <f t="shared" si="0"/>
        <v>21375116.755619403</v>
      </c>
      <c r="L16" s="207">
        <f>SUMIFS(Internal_labour_inputs!GR$8:GR$293,Internal_labour_inputs!$B$8:$B$293,Internal_labour_calcs!$B16)</f>
        <v>455955.09000000008</v>
      </c>
    </row>
    <row r="17" spans="2:13" x14ac:dyDescent="0.2">
      <c r="B17" s="206" t="str">
        <v>Project Delivery Management - Construction Management</v>
      </c>
      <c r="C17" s="207">
        <f>SUMIFS(Internal_labour_inputs!GH$8:GH$293,Internal_labour_inputs!$B$8:$B$293,Internal_labour_calcs!$B17)</f>
        <v>4106194.660353017</v>
      </c>
      <c r="D17" s="207">
        <f>SUMIFS(Internal_labour_inputs!GI$8:GI$293,Internal_labour_inputs!$B$8:$B$293,Internal_labour_calcs!$B17)</f>
        <v>10018804.155611537</v>
      </c>
      <c r="E17" s="207">
        <f>SUMIFS(Internal_labour_inputs!GJ$8:GJ$293,Internal_labour_inputs!$B$8:$B$293,Internal_labour_calcs!$B17)</f>
        <v>9915003.3409716506</v>
      </c>
      <c r="F17" s="207">
        <f>SUMIFS(Internal_labour_inputs!GK$8:GK$293,Internal_labour_inputs!$B$8:$B$293,Internal_labour_calcs!$B17)</f>
        <v>1830459.1180491189</v>
      </c>
      <c r="G17" s="207">
        <f>SUMIFS(Internal_labour_inputs!GL$8:GL$293,Internal_labour_inputs!$B$8:$B$293,Internal_labour_calcs!$B17)</f>
        <v>0</v>
      </c>
      <c r="H17" s="207">
        <f>SUMIFS(Internal_labour_inputs!GM$8:GM$293,Internal_labour_inputs!$B$8:$B$293,Internal_labour_calcs!$B17)</f>
        <v>0</v>
      </c>
      <c r="I17" s="207">
        <f>SUMIFS(Internal_labour_inputs!GN$8:GN$293,Internal_labour_inputs!$B$8:$B$293,Internal_labour_calcs!$B17)</f>
        <v>0</v>
      </c>
      <c r="J17" s="207">
        <f t="shared" si="0"/>
        <v>25870461.274985325</v>
      </c>
      <c r="L17" s="207">
        <f>SUMIFS(Internal_labour_inputs!GR$8:GR$293,Internal_labour_inputs!$B$8:$B$293,Internal_labour_calcs!$B17)</f>
        <v>1806189.16</v>
      </c>
    </row>
    <row r="18" spans="2:13" x14ac:dyDescent="0.2">
      <c r="B18" s="206" t="str">
        <v>Project Delivery Management - Project Controls</v>
      </c>
      <c r="C18" s="207">
        <f>SUMIFS(Internal_labour_inputs!GH$8:GH$293,Internal_labour_inputs!$B$8:$B$293,Internal_labour_calcs!$B18)</f>
        <v>3883337.9240907952</v>
      </c>
      <c r="D18" s="207">
        <f>SUMIFS(Internal_labour_inputs!GI$8:GI$293,Internal_labour_inputs!$B$8:$B$293,Internal_labour_calcs!$B18)</f>
        <v>5711270.4338797322</v>
      </c>
      <c r="E18" s="207">
        <f>SUMIFS(Internal_labour_inputs!GJ$8:GJ$293,Internal_labour_inputs!$B$8:$B$293,Internal_labour_calcs!$B18)</f>
        <v>5699301.062468404</v>
      </c>
      <c r="F18" s="207">
        <f>SUMIFS(Internal_labour_inputs!GK$8:GK$293,Internal_labour_inputs!$B$8:$B$293,Internal_labour_calcs!$B18)</f>
        <v>1851239.0298783348</v>
      </c>
      <c r="G18" s="207">
        <f>SUMIFS(Internal_labour_inputs!GL$8:GL$293,Internal_labour_inputs!$B$8:$B$293,Internal_labour_calcs!$B18)</f>
        <v>0</v>
      </c>
      <c r="H18" s="207">
        <f>SUMIFS(Internal_labour_inputs!GM$8:GM$293,Internal_labour_inputs!$B$8:$B$293,Internal_labour_calcs!$B18)</f>
        <v>0</v>
      </c>
      <c r="I18" s="207">
        <f>SUMIFS(Internal_labour_inputs!GN$8:GN$293,Internal_labour_inputs!$B$8:$B$293,Internal_labour_calcs!$B18)</f>
        <v>0</v>
      </c>
      <c r="J18" s="207">
        <f t="shared" si="0"/>
        <v>17145148.450317267</v>
      </c>
      <c r="L18" s="207">
        <f>SUMIFS(Internal_labour_inputs!GR$8:GR$293,Internal_labour_inputs!$B$8:$B$293,Internal_labour_calcs!$B18)</f>
        <v>2320939.2000000002</v>
      </c>
    </row>
    <row r="19" spans="2:13" x14ac:dyDescent="0.2">
      <c r="B19" s="206" t="str">
        <v>Project Delivery Management - Project Engineering</v>
      </c>
      <c r="C19" s="207">
        <f>SUMIFS(Internal_labour_inputs!GH$8:GH$293,Internal_labour_inputs!$B$8:$B$293,Internal_labour_calcs!$B19)</f>
        <v>484731.25772481994</v>
      </c>
      <c r="D19" s="207">
        <f>SUMIFS(Internal_labour_inputs!GI$8:GI$293,Internal_labour_inputs!$B$8:$B$293,Internal_labour_calcs!$B19)</f>
        <v>503326.27997767157</v>
      </c>
      <c r="E19" s="207">
        <f>SUMIFS(Internal_labour_inputs!GJ$8:GJ$293,Internal_labour_inputs!$B$8:$B$293,Internal_labour_calcs!$B19)</f>
        <v>504966.92349887936</v>
      </c>
      <c r="F19" s="207">
        <f>SUMIFS(Internal_labour_inputs!GK$8:GK$293,Internal_labour_inputs!$B$8:$B$293,Internal_labour_calcs!$B19)</f>
        <v>198104.95720219679</v>
      </c>
      <c r="G19" s="207">
        <f>SUMIFS(Internal_labour_inputs!GL$8:GL$293,Internal_labour_inputs!$B$8:$B$293,Internal_labour_calcs!$B19)</f>
        <v>0</v>
      </c>
      <c r="H19" s="207">
        <f>SUMIFS(Internal_labour_inputs!GM$8:GM$293,Internal_labour_inputs!$B$8:$B$293,Internal_labour_calcs!$B19)</f>
        <v>0</v>
      </c>
      <c r="I19" s="207">
        <f>SUMIFS(Internal_labour_inputs!GN$8:GN$293,Internal_labour_inputs!$B$8:$B$293,Internal_labour_calcs!$B19)</f>
        <v>0</v>
      </c>
      <c r="J19" s="207">
        <f t="shared" si="0"/>
        <v>1691129.4184035677</v>
      </c>
      <c r="L19" s="207">
        <f>SUMIFS(Internal_labour_inputs!GR$8:GR$293,Internal_labour_inputs!$B$8:$B$293,Internal_labour_calcs!$B19)</f>
        <v>342454</v>
      </c>
    </row>
    <row r="20" spans="2:13" x14ac:dyDescent="0.2">
      <c r="B20" s="206" t="str">
        <v>Project Delivery Management - Project Management</v>
      </c>
      <c r="C20" s="207">
        <f>SUMIFS(Internal_labour_inputs!GH$8:GH$293,Internal_labour_inputs!$B$8:$B$293,Internal_labour_calcs!$B20)</f>
        <v>5847827.7379938886</v>
      </c>
      <c r="D20" s="207">
        <f>SUMIFS(Internal_labour_inputs!GI$8:GI$293,Internal_labour_inputs!$B$8:$B$293,Internal_labour_calcs!$B20)</f>
        <v>8935016.9271823093</v>
      </c>
      <c r="E20" s="207">
        <f>SUMIFS(Internal_labour_inputs!GJ$8:GJ$293,Internal_labour_inputs!$B$8:$B$293,Internal_labour_calcs!$B20)</f>
        <v>8953823.2191652395</v>
      </c>
      <c r="F20" s="207">
        <f>SUMIFS(Internal_labour_inputs!GK$8:GK$293,Internal_labour_inputs!$B$8:$B$293,Internal_labour_calcs!$B20)</f>
        <v>3488052.4561179099</v>
      </c>
      <c r="G20" s="207">
        <f>SUMIFS(Internal_labour_inputs!GL$8:GL$293,Internal_labour_inputs!$B$8:$B$293,Internal_labour_calcs!$B20)</f>
        <v>0</v>
      </c>
      <c r="H20" s="207">
        <f>SUMIFS(Internal_labour_inputs!GM$8:GM$293,Internal_labour_inputs!$B$8:$B$293,Internal_labour_calcs!$B20)</f>
        <v>0</v>
      </c>
      <c r="I20" s="207">
        <f>SUMIFS(Internal_labour_inputs!GN$8:GN$293,Internal_labour_inputs!$B$8:$B$293,Internal_labour_calcs!$B20)</f>
        <v>0</v>
      </c>
      <c r="J20" s="207">
        <f t="shared" si="0"/>
        <v>27224720.340459347</v>
      </c>
      <c r="L20" s="207">
        <f>SUMIFS(Internal_labour_inputs!GR$8:GR$293,Internal_labour_inputs!$B$8:$B$293,Internal_labour_calcs!$B20)</f>
        <v>3380632.899999999</v>
      </c>
    </row>
    <row r="21" spans="2:13" x14ac:dyDescent="0.2">
      <c r="B21" s="206" t="str">
        <v>Project Development</v>
      </c>
      <c r="C21" s="207">
        <f>SUMIFS(Internal_labour_inputs!GH$8:GH$293,Internal_labour_inputs!$B$8:$B$293,Internal_labour_calcs!$B21)</f>
        <v>3593022.034718262</v>
      </c>
      <c r="D21" s="207">
        <f>SUMIFS(Internal_labour_inputs!GI$8:GI$293,Internal_labour_inputs!$B$8:$B$293,Internal_labour_calcs!$B21)</f>
        <v>1569121.9211762911</v>
      </c>
      <c r="E21" s="207">
        <f>SUMIFS(Internal_labour_inputs!GJ$8:GJ$293,Internal_labour_inputs!$B$8:$B$293,Internal_labour_calcs!$B21)</f>
        <v>275368.60933922394</v>
      </c>
      <c r="F21" s="207">
        <f>SUMIFS(Internal_labour_inputs!GK$8:GK$293,Internal_labour_inputs!$B$8:$B$293,Internal_labour_calcs!$B21)</f>
        <v>99140.997348731195</v>
      </c>
      <c r="G21" s="207">
        <f>SUMIFS(Internal_labour_inputs!GL$8:GL$293,Internal_labour_inputs!$B$8:$B$293,Internal_labour_calcs!$B21)</f>
        <v>0</v>
      </c>
      <c r="H21" s="207">
        <f>SUMIFS(Internal_labour_inputs!GM$8:GM$293,Internal_labour_inputs!$B$8:$B$293,Internal_labour_calcs!$B21)</f>
        <v>0</v>
      </c>
      <c r="I21" s="207">
        <f>SUMIFS(Internal_labour_inputs!GN$8:GN$293,Internal_labour_inputs!$B$8:$B$293,Internal_labour_calcs!$B21)</f>
        <v>0</v>
      </c>
      <c r="J21" s="207">
        <f t="shared" si="0"/>
        <v>5536653.5625825087</v>
      </c>
      <c r="L21" s="207">
        <f>SUMIFS(Internal_labour_inputs!GR$8:GR$293,Internal_labour_inputs!$B$8:$B$293,Internal_labour_calcs!$B21)</f>
        <v>2105647.1799999997</v>
      </c>
    </row>
    <row r="22" spans="2:13" x14ac:dyDescent="0.2">
      <c r="B22" s="206" t="str">
        <v>Regulatory Approvals</v>
      </c>
      <c r="C22" s="207">
        <f>SUMIFS(Internal_labour_inputs!GH$8:GH$293,Internal_labour_inputs!$B$8:$B$293,Internal_labour_calcs!$B22)</f>
        <v>293566.52341575373</v>
      </c>
      <c r="D22" s="207">
        <f>SUMIFS(Internal_labour_inputs!GI$8:GI$293,Internal_labour_inputs!$B$8:$B$293,Internal_labour_calcs!$B22)</f>
        <v>36363.05411573586</v>
      </c>
      <c r="E22" s="207">
        <f>SUMIFS(Internal_labour_inputs!GJ$8:GJ$293,Internal_labour_inputs!$B$8:$B$293,Internal_labour_calcs!$B22)</f>
        <v>0</v>
      </c>
      <c r="F22" s="207">
        <f>SUMIFS(Internal_labour_inputs!GK$8:GK$293,Internal_labour_inputs!$B$8:$B$293,Internal_labour_calcs!$B22)</f>
        <v>0</v>
      </c>
      <c r="G22" s="207">
        <f>SUMIFS(Internal_labour_inputs!GL$8:GL$293,Internal_labour_inputs!$B$8:$B$293,Internal_labour_calcs!$B22)</f>
        <v>0</v>
      </c>
      <c r="H22" s="207">
        <f>SUMIFS(Internal_labour_inputs!GM$8:GM$293,Internal_labour_inputs!$B$8:$B$293,Internal_labour_calcs!$B22)</f>
        <v>0</v>
      </c>
      <c r="I22" s="207">
        <f>SUMIFS(Internal_labour_inputs!GN$8:GN$293,Internal_labour_inputs!$B$8:$B$293,Internal_labour_calcs!$B22)</f>
        <v>0</v>
      </c>
      <c r="J22" s="207">
        <f t="shared" si="0"/>
        <v>329929.5775314896</v>
      </c>
      <c r="L22" s="207">
        <f>SUMIFS(Internal_labour_inputs!GR$8:GR$293,Internal_labour_inputs!$B$8:$B$293,Internal_labour_calcs!$B22)</f>
        <v>232630.3</v>
      </c>
    </row>
    <row r="23" spans="2:13" x14ac:dyDescent="0.2">
      <c r="B23" s="206" t="str">
        <v>Transaction Procurement Support</v>
      </c>
      <c r="C23" s="207">
        <f>SUMIFS(Internal_labour_inputs!GH$8:GH$293,Internal_labour_inputs!$B$8:$B$293,Internal_labour_calcs!$B23)</f>
        <v>103298.74429444906</v>
      </c>
      <c r="D23" s="207">
        <f>SUMIFS(Internal_labour_inputs!GI$8:GI$293,Internal_labour_inputs!$B$8:$B$293,Internal_labour_calcs!$B23)</f>
        <v>142875.13846990326</v>
      </c>
      <c r="E23" s="207">
        <f>SUMIFS(Internal_labour_inputs!GJ$8:GJ$293,Internal_labour_inputs!$B$8:$B$293,Internal_labour_calcs!$B23)</f>
        <v>131256.68989957732</v>
      </c>
      <c r="F23" s="207">
        <f>SUMIFS(Internal_labour_inputs!GK$8:GK$293,Internal_labour_inputs!$B$8:$B$293,Internal_labour_calcs!$B23)</f>
        <v>0</v>
      </c>
      <c r="G23" s="207">
        <f>SUMIFS(Internal_labour_inputs!GL$8:GL$293,Internal_labour_inputs!$B$8:$B$293,Internal_labour_calcs!$B23)</f>
        <v>0</v>
      </c>
      <c r="H23" s="207">
        <f>SUMIFS(Internal_labour_inputs!GM$8:GM$293,Internal_labour_inputs!$B$8:$B$293,Internal_labour_calcs!$B23)</f>
        <v>0</v>
      </c>
      <c r="I23" s="207">
        <f>SUMIFS(Internal_labour_inputs!GN$8:GN$293,Internal_labour_inputs!$B$8:$B$293,Internal_labour_calcs!$B23)</f>
        <v>0</v>
      </c>
      <c r="J23" s="207">
        <f t="shared" si="0"/>
        <v>377430.57266392966</v>
      </c>
      <c r="L23" s="207">
        <f>SUMIFS(Internal_labour_inputs!GR$8:GR$293,Internal_labour_inputs!$B$8:$B$293,Internal_labour_calcs!$B23)</f>
        <v>65728.320000000007</v>
      </c>
    </row>
    <row r="24" spans="2:13" x14ac:dyDescent="0.2">
      <c r="B24" s="208" t="s">
        <v>133</v>
      </c>
      <c r="C24" s="209">
        <f t="shared" ref="C24" si="1">SUM(C11:C23)</f>
        <v>28339906.922700714</v>
      </c>
      <c r="D24" s="209">
        <f t="shared" ref="D24" si="2">SUM(D11:D23)</f>
        <v>47959994.956189141</v>
      </c>
      <c r="E24" s="209">
        <f t="shared" ref="E24" si="3">SUM(E11:E23)</f>
        <v>45871967.714327812</v>
      </c>
      <c r="F24" s="209">
        <f t="shared" ref="F24" si="4">SUM(F11:F23)</f>
        <v>13059782.558213154</v>
      </c>
      <c r="G24" s="209">
        <f t="shared" ref="G24" si="5">SUM(G11:G23)</f>
        <v>0</v>
      </c>
      <c r="H24" s="209">
        <f t="shared" ref="H24" si="6">SUM(H11:H23)</f>
        <v>0</v>
      </c>
      <c r="I24" s="209">
        <f t="shared" ref="I24" si="7">SUM(I11:I23)</f>
        <v>0</v>
      </c>
      <c r="J24" s="209">
        <f t="shared" si="0"/>
        <v>135231652.15143082</v>
      </c>
      <c r="L24" s="209">
        <f t="shared" ref="L24" si="8">SUM(L11:L23)</f>
        <v>15367962.273949292</v>
      </c>
    </row>
    <row r="26" spans="2:13" ht="16.5" x14ac:dyDescent="0.2">
      <c r="B26" s="206" t="s">
        <v>134</v>
      </c>
      <c r="C26" s="159" t="str">
        <f>IF(ROUND(C24-SUM(Internal_labour_inputs!GH8:GH293),3)=0,"OK","ERROR")</f>
        <v>OK</v>
      </c>
      <c r="D26" s="159" t="str">
        <f>IF(ROUND(D24-SUM(Internal_labour_inputs!GI8:GI293),3)=0,"OK","ERROR")</f>
        <v>OK</v>
      </c>
      <c r="E26" s="159" t="str">
        <f>IF(ROUND(E24-SUM(Internal_labour_inputs!GJ8:GJ293),3)=0,"OK","ERROR")</f>
        <v>OK</v>
      </c>
      <c r="F26" s="159" t="str">
        <f>IF(ROUND(F24-SUM(Internal_labour_inputs!GK8:GK293),3)=0,"OK","ERROR")</f>
        <v>OK</v>
      </c>
      <c r="G26" s="159" t="str">
        <f>IF(ROUND(G24-SUM(Internal_labour_inputs!GL8:GL293),3)=0,"OK","ERROR")</f>
        <v>OK</v>
      </c>
      <c r="H26" s="159" t="str">
        <f>IF(ROUND(H24-SUM(Internal_labour_inputs!GM8:GM293),3)=0,"OK","ERROR")</f>
        <v>OK</v>
      </c>
      <c r="I26" s="159" t="str">
        <f>IF(ROUND(I24-SUM(Internal_labour_inputs!GN8:GN293),3)=0,"OK","ERROR")</f>
        <v>OK</v>
      </c>
      <c r="L26" s="159" t="str">
        <f>IF(ROUND(L24-SUM(Internal_labour_inputs!GR8:GR293),3)=0,"OK","ERROR")</f>
        <v>OK</v>
      </c>
    </row>
    <row r="28" spans="2:13" x14ac:dyDescent="0.2">
      <c r="B28" s="118" t="s">
        <v>178</v>
      </c>
      <c r="C28" s="118"/>
      <c r="D28" s="118"/>
      <c r="E28" s="118" t="str">
        <f>"(Real "&amp;'Key assumptions'!$D$11&amp;")"</f>
        <v>(Real $RY2026)</v>
      </c>
      <c r="F28" s="118"/>
      <c r="G28" s="118"/>
      <c r="H28" s="118"/>
      <c r="I28" s="118"/>
      <c r="J28" s="118"/>
      <c r="L28" s="117" t="s">
        <v>255</v>
      </c>
    </row>
    <row r="29" spans="2:13" x14ac:dyDescent="0.2">
      <c r="B29" s="87"/>
    </row>
    <row r="30" spans="2:13" ht="25.5" x14ac:dyDescent="0.2">
      <c r="B30" s="136" t="s">
        <v>131</v>
      </c>
      <c r="C30" s="140" t="str" cm="1">
        <f t="array" ref="C30:I30">model_forecastperiod</f>
        <v>RY2026
01Feb-30Sep</v>
      </c>
      <c r="D30" s="140" t="str">
        <v>RY2027</v>
      </c>
      <c r="E30" s="140" t="str">
        <v>RY2028</v>
      </c>
      <c r="F30" s="140" t="str">
        <v>RY2029</v>
      </c>
      <c r="G30" s="140" t="str">
        <v>RY2030</v>
      </c>
      <c r="H30" s="140" t="str">
        <v>RY2031</v>
      </c>
      <c r="I30" s="140" t="str">
        <v>RY2032</v>
      </c>
      <c r="J30" s="140" t="s">
        <v>133</v>
      </c>
      <c r="K30" s="153"/>
      <c r="L30" s="140" t="s">
        <v>254</v>
      </c>
      <c r="M30" s="153"/>
    </row>
    <row r="31" spans="2:13" x14ac:dyDescent="0.2">
      <c r="B31" s="206" t="str">
        <f>$B11</f>
        <v>Community and Stakeholder Engagement</v>
      </c>
      <c r="C31" s="207">
        <f t="shared" ref="C31:I43" si="9">C11*labour_direct</f>
        <v>75739.064510280878</v>
      </c>
      <c r="D31" s="207">
        <f t="shared" si="9"/>
        <v>28002.985470088573</v>
      </c>
      <c r="E31" s="207">
        <f t="shared" si="9"/>
        <v>0</v>
      </c>
      <c r="F31" s="207">
        <f t="shared" si="9"/>
        <v>0</v>
      </c>
      <c r="G31" s="207">
        <f t="shared" si="9"/>
        <v>0</v>
      </c>
      <c r="H31" s="207">
        <f t="shared" si="9"/>
        <v>0</v>
      </c>
      <c r="I31" s="207">
        <f t="shared" si="9"/>
        <v>0</v>
      </c>
      <c r="J31" s="207">
        <f t="shared" ref="J31:J44" si="10">SUM(C31:I31)</f>
        <v>103742.04998036945</v>
      </c>
      <c r="L31" s="207">
        <f t="shared" ref="L31" si="11">L11*labour_direct</f>
        <v>45903.689999999995</v>
      </c>
    </row>
    <row r="32" spans="2:13" x14ac:dyDescent="0.2">
      <c r="B32" s="206" t="str">
        <f t="shared" ref="B32:B43" si="12">$B12</f>
        <v>Fleet</v>
      </c>
      <c r="C32" s="207">
        <f t="shared" si="9"/>
        <v>0</v>
      </c>
      <c r="D32" s="207">
        <f t="shared" si="9"/>
        <v>0</v>
      </c>
      <c r="E32" s="207">
        <f t="shared" si="9"/>
        <v>0</v>
      </c>
      <c r="F32" s="207">
        <f t="shared" si="9"/>
        <v>0</v>
      </c>
      <c r="G32" s="207">
        <f t="shared" si="9"/>
        <v>0</v>
      </c>
      <c r="H32" s="207">
        <f t="shared" si="9"/>
        <v>0</v>
      </c>
      <c r="I32" s="207">
        <f t="shared" si="9"/>
        <v>0</v>
      </c>
      <c r="J32" s="207">
        <f t="shared" ref="J32:J43" si="13">SUM(C32:I32)</f>
        <v>0</v>
      </c>
      <c r="L32" s="207">
        <f t="shared" ref="L32" si="14">L12*labour_direct</f>
        <v>0</v>
      </c>
    </row>
    <row r="33" spans="2:12" x14ac:dyDescent="0.2">
      <c r="B33" s="206" t="str">
        <f t="shared" si="12"/>
        <v>Land and Environment</v>
      </c>
      <c r="C33" s="207">
        <f t="shared" si="9"/>
        <v>632753.02567675617</v>
      </c>
      <c r="D33" s="207">
        <f t="shared" si="9"/>
        <v>1171253.3305256178</v>
      </c>
      <c r="E33" s="207">
        <f t="shared" si="9"/>
        <v>1174410.6943128512</v>
      </c>
      <c r="F33" s="207">
        <f t="shared" si="9"/>
        <v>112673.73299572215</v>
      </c>
      <c r="G33" s="207">
        <f t="shared" si="9"/>
        <v>0</v>
      </c>
      <c r="H33" s="207">
        <f t="shared" si="9"/>
        <v>0</v>
      </c>
      <c r="I33" s="207">
        <f t="shared" si="9"/>
        <v>0</v>
      </c>
      <c r="J33" s="207">
        <f t="shared" si="13"/>
        <v>3091090.7835109471</v>
      </c>
      <c r="L33" s="207">
        <f t="shared" ref="L33" si="15">L13*labour_direct</f>
        <v>293705.60800000001</v>
      </c>
    </row>
    <row r="34" spans="2:12" x14ac:dyDescent="0.2">
      <c r="B34" s="206" t="str">
        <f t="shared" si="12"/>
        <v>Other Support &amp; Corporate Roles</v>
      </c>
      <c r="C34" s="207">
        <f t="shared" si="9"/>
        <v>3705417.8070752649</v>
      </c>
      <c r="D34" s="207">
        <f t="shared" si="9"/>
        <v>4953374.6683863821</v>
      </c>
      <c r="E34" s="207">
        <f t="shared" si="9"/>
        <v>4553990.4154246887</v>
      </c>
      <c r="F34" s="207">
        <f t="shared" si="9"/>
        <v>2203527.8910876876</v>
      </c>
      <c r="G34" s="207">
        <f t="shared" si="9"/>
        <v>0</v>
      </c>
      <c r="H34" s="207">
        <f t="shared" si="9"/>
        <v>0</v>
      </c>
      <c r="I34" s="207">
        <f t="shared" si="9"/>
        <v>0</v>
      </c>
      <c r="J34" s="207">
        <f t="shared" si="13"/>
        <v>15416310.781974025</v>
      </c>
      <c r="L34" s="207">
        <f t="shared" ref="L34" si="16">L14*labour_direct</f>
        <v>2139221.1637645047</v>
      </c>
    </row>
    <row r="35" spans="2:12" x14ac:dyDescent="0.2">
      <c r="B35" s="206" t="str">
        <f t="shared" si="12"/>
        <v>Project Delivery Management - Commercial Management</v>
      </c>
      <c r="C35" s="207">
        <f t="shared" si="9"/>
        <v>1378968.8482887158</v>
      </c>
      <c r="D35" s="207">
        <f t="shared" si="9"/>
        <v>2168561.7797542438</v>
      </c>
      <c r="E35" s="207">
        <f t="shared" si="9"/>
        <v>2176088.1931729675</v>
      </c>
      <c r="F35" s="207">
        <f t="shared" si="9"/>
        <v>641981.10252632503</v>
      </c>
      <c r="G35" s="207">
        <f t="shared" si="9"/>
        <v>0</v>
      </c>
      <c r="H35" s="207">
        <f t="shared" si="9"/>
        <v>0</v>
      </c>
      <c r="I35" s="207">
        <f t="shared" si="9"/>
        <v>0</v>
      </c>
      <c r="J35" s="207">
        <f t="shared" si="13"/>
        <v>6365599.9237422524</v>
      </c>
      <c r="L35" s="207">
        <f t="shared" ref="L35" si="17">L15*labour_direct</f>
        <v>781619.82499999995</v>
      </c>
    </row>
    <row r="36" spans="2:12" x14ac:dyDescent="0.2">
      <c r="B36" s="206" t="str">
        <f t="shared" si="12"/>
        <v>Project Delivery Management - Commissioning</v>
      </c>
      <c r="C36" s="207">
        <f t="shared" si="9"/>
        <v>1226670.8825257898</v>
      </c>
      <c r="D36" s="207">
        <f t="shared" si="9"/>
        <v>6409059.1679068394</v>
      </c>
      <c r="E36" s="207">
        <f t="shared" si="9"/>
        <v>6370084.2053788826</v>
      </c>
      <c r="F36" s="207">
        <f t="shared" si="9"/>
        <v>956767.47312206903</v>
      </c>
      <c r="G36" s="207">
        <f t="shared" si="9"/>
        <v>0</v>
      </c>
      <c r="H36" s="207">
        <f t="shared" si="9"/>
        <v>0</v>
      </c>
      <c r="I36" s="207">
        <f t="shared" si="9"/>
        <v>0</v>
      </c>
      <c r="J36" s="207">
        <f t="shared" si="13"/>
        <v>14962581.728933582</v>
      </c>
      <c r="L36" s="207">
        <f t="shared" ref="L36" si="18">L16*labour_direct</f>
        <v>319168.56300000002</v>
      </c>
    </row>
    <row r="37" spans="2:12" x14ac:dyDescent="0.2">
      <c r="B37" s="206" t="str">
        <f t="shared" si="12"/>
        <v>Project Delivery Management - Construction Management</v>
      </c>
      <c r="C37" s="207">
        <f t="shared" si="9"/>
        <v>2874336.2622471116</v>
      </c>
      <c r="D37" s="207">
        <f t="shared" si="9"/>
        <v>7013162.9089280758</v>
      </c>
      <c r="E37" s="207">
        <f t="shared" si="9"/>
        <v>6940502.3386801546</v>
      </c>
      <c r="F37" s="207">
        <f t="shared" si="9"/>
        <v>1281321.3826343832</v>
      </c>
      <c r="G37" s="207">
        <f t="shared" si="9"/>
        <v>0</v>
      </c>
      <c r="H37" s="207">
        <f t="shared" si="9"/>
        <v>0</v>
      </c>
      <c r="I37" s="207">
        <f t="shared" si="9"/>
        <v>0</v>
      </c>
      <c r="J37" s="207">
        <f t="shared" si="13"/>
        <v>18109322.892489724</v>
      </c>
      <c r="L37" s="207">
        <f t="shared" ref="L37" si="19">L17*labour_direct</f>
        <v>1264332.4119999998</v>
      </c>
    </row>
    <row r="38" spans="2:12" x14ac:dyDescent="0.2">
      <c r="B38" s="206" t="str">
        <f t="shared" si="12"/>
        <v>Project Delivery Management - Project Controls</v>
      </c>
      <c r="C38" s="207">
        <f t="shared" si="9"/>
        <v>2718336.5468635564</v>
      </c>
      <c r="D38" s="207">
        <f t="shared" si="9"/>
        <v>3997889.303715812</v>
      </c>
      <c r="E38" s="207">
        <f t="shared" si="9"/>
        <v>3989510.7437278824</v>
      </c>
      <c r="F38" s="207">
        <f t="shared" si="9"/>
        <v>1295867.3209148343</v>
      </c>
      <c r="G38" s="207">
        <f t="shared" si="9"/>
        <v>0</v>
      </c>
      <c r="H38" s="207">
        <f t="shared" si="9"/>
        <v>0</v>
      </c>
      <c r="I38" s="207">
        <f t="shared" si="9"/>
        <v>0</v>
      </c>
      <c r="J38" s="207">
        <f t="shared" si="13"/>
        <v>12001603.915222086</v>
      </c>
      <c r="L38" s="207">
        <f t="shared" ref="L38" si="20">L18*labour_direct</f>
        <v>1624657.44</v>
      </c>
    </row>
    <row r="39" spans="2:12" x14ac:dyDescent="0.2">
      <c r="B39" s="206" t="str">
        <f t="shared" si="12"/>
        <v>Project Delivery Management - Project Engineering</v>
      </c>
      <c r="C39" s="207">
        <f t="shared" si="9"/>
        <v>339311.88040737394</v>
      </c>
      <c r="D39" s="207">
        <f t="shared" si="9"/>
        <v>352328.39598437009</v>
      </c>
      <c r="E39" s="207">
        <f t="shared" si="9"/>
        <v>353476.84644921555</v>
      </c>
      <c r="F39" s="207">
        <f t="shared" si="9"/>
        <v>138673.47004153774</v>
      </c>
      <c r="G39" s="207">
        <f t="shared" si="9"/>
        <v>0</v>
      </c>
      <c r="H39" s="207">
        <f t="shared" si="9"/>
        <v>0</v>
      </c>
      <c r="I39" s="207">
        <f t="shared" si="9"/>
        <v>0</v>
      </c>
      <c r="J39" s="207">
        <f t="shared" si="13"/>
        <v>1183790.5928824972</v>
      </c>
      <c r="L39" s="207">
        <f t="shared" ref="L39" si="21">L19*labour_direct</f>
        <v>239717.8</v>
      </c>
    </row>
    <row r="40" spans="2:12" x14ac:dyDescent="0.2">
      <c r="B40" s="206" t="str">
        <f t="shared" si="12"/>
        <v>Project Delivery Management - Project Management</v>
      </c>
      <c r="C40" s="207">
        <f t="shared" si="9"/>
        <v>4093479.4165957216</v>
      </c>
      <c r="D40" s="207">
        <f t="shared" si="9"/>
        <v>6254511.849027616</v>
      </c>
      <c r="E40" s="207">
        <f t="shared" si="9"/>
        <v>6267676.2534156675</v>
      </c>
      <c r="F40" s="207">
        <f t="shared" si="9"/>
        <v>2441636.7192825368</v>
      </c>
      <c r="G40" s="207">
        <f t="shared" si="9"/>
        <v>0</v>
      </c>
      <c r="H40" s="207">
        <f t="shared" si="9"/>
        <v>0</v>
      </c>
      <c r="I40" s="207">
        <f t="shared" si="9"/>
        <v>0</v>
      </c>
      <c r="J40" s="207">
        <f t="shared" si="13"/>
        <v>19057304.238321543</v>
      </c>
      <c r="L40" s="207">
        <f t="shared" ref="L40" si="22">L20*labour_direct</f>
        <v>2366443.0299999993</v>
      </c>
    </row>
    <row r="41" spans="2:12" x14ac:dyDescent="0.2">
      <c r="B41" s="206" t="str">
        <f t="shared" si="12"/>
        <v>Project Development</v>
      </c>
      <c r="C41" s="207">
        <f t="shared" si="9"/>
        <v>2515115.4243027833</v>
      </c>
      <c r="D41" s="207">
        <f t="shared" si="9"/>
        <v>1098385.3448234037</v>
      </c>
      <c r="E41" s="207">
        <f t="shared" si="9"/>
        <v>192758.02653745675</v>
      </c>
      <c r="F41" s="207">
        <f t="shared" si="9"/>
        <v>69398.698144111826</v>
      </c>
      <c r="G41" s="207">
        <f t="shared" si="9"/>
        <v>0</v>
      </c>
      <c r="H41" s="207">
        <f t="shared" si="9"/>
        <v>0</v>
      </c>
      <c r="I41" s="207">
        <f t="shared" si="9"/>
        <v>0</v>
      </c>
      <c r="J41" s="207">
        <f t="shared" si="13"/>
        <v>3875657.4938077554</v>
      </c>
      <c r="L41" s="207">
        <f t="shared" ref="L41" si="23">L21*labour_direct</f>
        <v>1473953.0259999996</v>
      </c>
    </row>
    <row r="42" spans="2:12" x14ac:dyDescent="0.2">
      <c r="B42" s="206" t="str">
        <f t="shared" si="12"/>
        <v>Regulatory Approvals</v>
      </c>
      <c r="C42" s="207">
        <f t="shared" si="9"/>
        <v>205496.56639102759</v>
      </c>
      <c r="D42" s="207">
        <f t="shared" si="9"/>
        <v>25454.1378810151</v>
      </c>
      <c r="E42" s="207">
        <f t="shared" si="9"/>
        <v>0</v>
      </c>
      <c r="F42" s="207">
        <f t="shared" si="9"/>
        <v>0</v>
      </c>
      <c r="G42" s="207">
        <f t="shared" si="9"/>
        <v>0</v>
      </c>
      <c r="H42" s="207">
        <f t="shared" si="9"/>
        <v>0</v>
      </c>
      <c r="I42" s="207">
        <f t="shared" si="9"/>
        <v>0</v>
      </c>
      <c r="J42" s="207">
        <f t="shared" si="13"/>
        <v>230950.7042720427</v>
      </c>
      <c r="L42" s="207">
        <f t="shared" ref="L42" si="24">L22*labour_direct</f>
        <v>162841.21</v>
      </c>
    </row>
    <row r="43" spans="2:12" x14ac:dyDescent="0.2">
      <c r="B43" s="206" t="str">
        <f t="shared" si="12"/>
        <v>Transaction Procurement Support</v>
      </c>
      <c r="C43" s="207">
        <f t="shared" si="9"/>
        <v>72309.121006114336</v>
      </c>
      <c r="D43" s="207">
        <f t="shared" si="9"/>
        <v>100012.59692893228</v>
      </c>
      <c r="E43" s="207">
        <f t="shared" si="9"/>
        <v>91879.682929704126</v>
      </c>
      <c r="F43" s="207">
        <f t="shared" si="9"/>
        <v>0</v>
      </c>
      <c r="G43" s="207">
        <f t="shared" si="9"/>
        <v>0</v>
      </c>
      <c r="H43" s="207">
        <f t="shared" si="9"/>
        <v>0</v>
      </c>
      <c r="I43" s="207">
        <f t="shared" si="9"/>
        <v>0</v>
      </c>
      <c r="J43" s="207">
        <f t="shared" si="13"/>
        <v>264201.40086475073</v>
      </c>
      <c r="L43" s="207">
        <f t="shared" ref="L43" si="25">L23*labour_direct</f>
        <v>46009.824000000001</v>
      </c>
    </row>
    <row r="44" spans="2:12" x14ac:dyDescent="0.2">
      <c r="B44" s="208" t="str">
        <f>B24</f>
        <v>Total</v>
      </c>
      <c r="C44" s="209">
        <f t="shared" ref="C44:I44" si="26">SUM(C31:C43)</f>
        <v>19837934.845890492</v>
      </c>
      <c r="D44" s="209">
        <f t="shared" si="26"/>
        <v>33571996.469332397</v>
      </c>
      <c r="E44" s="209">
        <f t="shared" si="26"/>
        <v>32110377.400029469</v>
      </c>
      <c r="F44" s="209">
        <f t="shared" si="26"/>
        <v>9141847.7907492071</v>
      </c>
      <c r="G44" s="209">
        <f t="shared" si="26"/>
        <v>0</v>
      </c>
      <c r="H44" s="209">
        <f t="shared" si="26"/>
        <v>0</v>
      </c>
      <c r="I44" s="209">
        <f t="shared" si="26"/>
        <v>0</v>
      </c>
      <c r="J44" s="209">
        <f t="shared" si="10"/>
        <v>94662156.506001562</v>
      </c>
      <c r="L44" s="209">
        <f t="shared" ref="L44" si="27">SUM(L31:L43)</f>
        <v>10757573.591764504</v>
      </c>
    </row>
    <row r="46" spans="2:12" ht="16.5" x14ac:dyDescent="0.2">
      <c r="B46" s="206" t="s">
        <v>134</v>
      </c>
      <c r="C46" s="159" t="str">
        <f t="shared" ref="C46:I46" si="28">IF(ROUND(C44-C24*labour_direct,3)=0,"OK","ERROR")</f>
        <v>OK</v>
      </c>
      <c r="D46" s="159" t="str">
        <f t="shared" si="28"/>
        <v>OK</v>
      </c>
      <c r="E46" s="159" t="str">
        <f t="shared" si="28"/>
        <v>OK</v>
      </c>
      <c r="F46" s="159" t="str">
        <f t="shared" si="28"/>
        <v>OK</v>
      </c>
      <c r="G46" s="159" t="str">
        <f t="shared" si="28"/>
        <v>OK</v>
      </c>
      <c r="H46" s="159" t="str">
        <f t="shared" si="28"/>
        <v>OK</v>
      </c>
      <c r="I46" s="159" t="str">
        <f t="shared" si="28"/>
        <v>OK</v>
      </c>
      <c r="L46" s="159" t="str">
        <f t="shared" ref="L46" si="29">IF(ROUND(L44-L24*labour_direct,3)=0,"OK","ERROR")</f>
        <v>OK</v>
      </c>
    </row>
    <row r="48" spans="2:12" x14ac:dyDescent="0.2">
      <c r="B48" s="118" t="s">
        <v>179</v>
      </c>
      <c r="C48" s="118"/>
      <c r="D48" s="118"/>
      <c r="E48" s="118" t="str">
        <f>"(Real "&amp;'Key assumptions'!$D$11&amp;")"</f>
        <v>(Real $RY2026)</v>
      </c>
      <c r="F48" s="118"/>
      <c r="G48" s="118"/>
      <c r="H48" s="118"/>
      <c r="I48" s="118"/>
      <c r="J48" s="118"/>
      <c r="L48" s="117" t="s">
        <v>255</v>
      </c>
    </row>
    <row r="49" spans="2:12" x14ac:dyDescent="0.2">
      <c r="B49" s="87"/>
    </row>
    <row r="50" spans="2:12" ht="25.5" x14ac:dyDescent="0.2">
      <c r="B50" s="136" t="s">
        <v>131</v>
      </c>
      <c r="C50" s="140" t="str" cm="1">
        <f t="array" ref="C50:I50">model_forecastperiod</f>
        <v>RY2026
01Feb-30Sep</v>
      </c>
      <c r="D50" s="140" t="str">
        <v>RY2027</v>
      </c>
      <c r="E50" s="140" t="str">
        <v>RY2028</v>
      </c>
      <c r="F50" s="140" t="str">
        <v>RY2029</v>
      </c>
      <c r="G50" s="140" t="str">
        <v>RY2030</v>
      </c>
      <c r="H50" s="140" t="str">
        <v>RY2031</v>
      </c>
      <c r="I50" s="140" t="str">
        <v>RY2032</v>
      </c>
      <c r="J50" s="140" t="s">
        <v>133</v>
      </c>
      <c r="L50" s="140" t="s">
        <v>254</v>
      </c>
    </row>
    <row r="51" spans="2:12" x14ac:dyDescent="0.2">
      <c r="B51" s="206" t="str">
        <f>$B11</f>
        <v>Community and Stakeholder Engagement</v>
      </c>
      <c r="C51" s="207">
        <f t="shared" ref="C51:I51" si="30">C11-C31</f>
        <v>32459.599075834674</v>
      </c>
      <c r="D51" s="207">
        <f t="shared" si="30"/>
        <v>12001.279487180818</v>
      </c>
      <c r="E51" s="207">
        <f t="shared" si="30"/>
        <v>0</v>
      </c>
      <c r="F51" s="207">
        <f t="shared" si="30"/>
        <v>0</v>
      </c>
      <c r="G51" s="207">
        <f t="shared" si="30"/>
        <v>0</v>
      </c>
      <c r="H51" s="207">
        <f t="shared" si="30"/>
        <v>0</v>
      </c>
      <c r="I51" s="207">
        <f t="shared" si="30"/>
        <v>0</v>
      </c>
      <c r="J51" s="207">
        <f t="shared" ref="J51:J64" si="31">SUM(C51:I51)</f>
        <v>44460.878563015489</v>
      </c>
      <c r="L51" s="207">
        <f t="shared" ref="L51" si="32">L11-L31</f>
        <v>19673.010000000002</v>
      </c>
    </row>
    <row r="52" spans="2:12" x14ac:dyDescent="0.2">
      <c r="B52" s="206" t="str">
        <f t="shared" ref="B52:B63" si="33">$B12</f>
        <v>Fleet</v>
      </c>
      <c r="C52" s="207">
        <f t="shared" ref="C52:I52" si="34">C12-C32</f>
        <v>0</v>
      </c>
      <c r="D52" s="207">
        <f t="shared" si="34"/>
        <v>0</v>
      </c>
      <c r="E52" s="207">
        <f t="shared" si="34"/>
        <v>0</v>
      </c>
      <c r="F52" s="207">
        <f t="shared" si="34"/>
        <v>0</v>
      </c>
      <c r="G52" s="207">
        <f t="shared" si="34"/>
        <v>0</v>
      </c>
      <c r="H52" s="207">
        <f t="shared" si="34"/>
        <v>0</v>
      </c>
      <c r="I52" s="207">
        <f t="shared" si="34"/>
        <v>0</v>
      </c>
      <c r="J52" s="207">
        <f t="shared" ref="J52:J63" si="35">SUM(C52:I52)</f>
        <v>0</v>
      </c>
      <c r="L52" s="207">
        <f t="shared" ref="L52" si="36">L12-L32</f>
        <v>0</v>
      </c>
    </row>
    <row r="53" spans="2:12" x14ac:dyDescent="0.2">
      <c r="B53" s="206" t="str">
        <f t="shared" si="33"/>
        <v>Land and Environment</v>
      </c>
      <c r="C53" s="207">
        <f t="shared" ref="C53:I53" si="37">C13-C33</f>
        <v>271179.86814718135</v>
      </c>
      <c r="D53" s="207">
        <f t="shared" si="37"/>
        <v>501965.7130824076</v>
      </c>
      <c r="E53" s="207">
        <f t="shared" si="37"/>
        <v>503318.868991222</v>
      </c>
      <c r="F53" s="207">
        <f t="shared" si="37"/>
        <v>48288.742712452367</v>
      </c>
      <c r="G53" s="207">
        <f t="shared" si="37"/>
        <v>0</v>
      </c>
      <c r="H53" s="207">
        <f t="shared" si="37"/>
        <v>0</v>
      </c>
      <c r="I53" s="207">
        <f t="shared" si="37"/>
        <v>0</v>
      </c>
      <c r="J53" s="207">
        <f t="shared" si="35"/>
        <v>1324753.1929332633</v>
      </c>
      <c r="L53" s="207">
        <f t="shared" ref="L53" si="38">L13-L33</f>
        <v>125873.83200000005</v>
      </c>
    </row>
    <row r="54" spans="2:12" x14ac:dyDescent="0.2">
      <c r="B54" s="206" t="str">
        <f t="shared" si="33"/>
        <v>Other Support &amp; Corporate Roles</v>
      </c>
      <c r="C54" s="207">
        <f t="shared" ref="C54:I54" si="39">C14-C34</f>
        <v>1588036.203032257</v>
      </c>
      <c r="D54" s="207">
        <f t="shared" si="39"/>
        <v>2122874.857879879</v>
      </c>
      <c r="E54" s="207">
        <f t="shared" si="39"/>
        <v>1951710.1780391531</v>
      </c>
      <c r="F54" s="207">
        <f t="shared" si="39"/>
        <v>944369.09618043806</v>
      </c>
      <c r="G54" s="207">
        <f t="shared" si="39"/>
        <v>0</v>
      </c>
      <c r="H54" s="207">
        <f t="shared" si="39"/>
        <v>0</v>
      </c>
      <c r="I54" s="207">
        <f t="shared" si="39"/>
        <v>0</v>
      </c>
      <c r="J54" s="207">
        <f t="shared" si="35"/>
        <v>6606990.3351317272</v>
      </c>
      <c r="L54" s="207">
        <f t="shared" ref="L54" si="40">L14-L34</f>
        <v>916809.07018478774</v>
      </c>
    </row>
    <row r="55" spans="2:12" x14ac:dyDescent="0.2">
      <c r="B55" s="206" t="str">
        <f t="shared" si="33"/>
        <v>Project Delivery Management - Commercial Management</v>
      </c>
      <c r="C55" s="207">
        <f t="shared" ref="C55:I55" si="41">C15-C35</f>
        <v>590986.64926659246</v>
      </c>
      <c r="D55" s="207">
        <f t="shared" si="41"/>
        <v>929383.61989467638</v>
      </c>
      <c r="E55" s="207">
        <f t="shared" si="41"/>
        <v>932609.22564555798</v>
      </c>
      <c r="F55" s="207">
        <f t="shared" si="41"/>
        <v>275134.75822556799</v>
      </c>
      <c r="G55" s="207">
        <f t="shared" si="41"/>
        <v>0</v>
      </c>
      <c r="H55" s="207">
        <f t="shared" si="41"/>
        <v>0</v>
      </c>
      <c r="I55" s="207">
        <f t="shared" si="41"/>
        <v>0</v>
      </c>
      <c r="J55" s="207">
        <f t="shared" si="35"/>
        <v>2728114.2530323952</v>
      </c>
      <c r="L55" s="207">
        <f t="shared" ref="L55" si="42">L15-L35</f>
        <v>334979.92500000005</v>
      </c>
    </row>
    <row r="56" spans="2:12" x14ac:dyDescent="0.2">
      <c r="B56" s="206" t="str">
        <f t="shared" si="33"/>
        <v>Project Delivery Management - Commissioning</v>
      </c>
      <c r="C56" s="207">
        <f t="shared" ref="C56:I56" si="43">C16-C36</f>
        <v>525716.09251105273</v>
      </c>
      <c r="D56" s="207">
        <f t="shared" si="43"/>
        <v>2746739.6433886457</v>
      </c>
      <c r="E56" s="207">
        <f t="shared" si="43"/>
        <v>2730036.0880195219</v>
      </c>
      <c r="F56" s="207">
        <f t="shared" si="43"/>
        <v>410043.20276660111</v>
      </c>
      <c r="G56" s="207">
        <f t="shared" si="43"/>
        <v>0</v>
      </c>
      <c r="H56" s="207">
        <f t="shared" si="43"/>
        <v>0</v>
      </c>
      <c r="I56" s="207">
        <f t="shared" si="43"/>
        <v>0</v>
      </c>
      <c r="J56" s="207">
        <f t="shared" si="35"/>
        <v>6412535.0266858209</v>
      </c>
      <c r="L56" s="207">
        <f t="shared" ref="L56" si="44">L16-L36</f>
        <v>136786.52700000006</v>
      </c>
    </row>
    <row r="57" spans="2:12" x14ac:dyDescent="0.2">
      <c r="B57" s="206" t="str">
        <f t="shared" si="33"/>
        <v>Project Delivery Management - Construction Management</v>
      </c>
      <c r="C57" s="207">
        <f t="shared" ref="C57:I57" si="45">C17-C37</f>
        <v>1231858.3981059054</v>
      </c>
      <c r="D57" s="207">
        <f t="shared" si="45"/>
        <v>3005641.2466834616</v>
      </c>
      <c r="E57" s="207">
        <f t="shared" si="45"/>
        <v>2974501.0022914959</v>
      </c>
      <c r="F57" s="207">
        <f t="shared" si="45"/>
        <v>549137.73541473574</v>
      </c>
      <c r="G57" s="207">
        <f t="shared" si="45"/>
        <v>0</v>
      </c>
      <c r="H57" s="207">
        <f t="shared" si="45"/>
        <v>0</v>
      </c>
      <c r="I57" s="207">
        <f t="shared" si="45"/>
        <v>0</v>
      </c>
      <c r="J57" s="207">
        <f t="shared" si="35"/>
        <v>7761138.3824955989</v>
      </c>
      <c r="L57" s="207">
        <f t="shared" ref="L57" si="46">L17-L37</f>
        <v>541856.74800000014</v>
      </c>
    </row>
    <row r="58" spans="2:12" x14ac:dyDescent="0.2">
      <c r="B58" s="206" t="str">
        <f t="shared" si="33"/>
        <v>Project Delivery Management - Project Controls</v>
      </c>
      <c r="C58" s="207">
        <f t="shared" ref="C58:I58" si="47">C18-C38</f>
        <v>1165001.3772272388</v>
      </c>
      <c r="D58" s="207">
        <f t="shared" si="47"/>
        <v>1713381.1301639201</v>
      </c>
      <c r="E58" s="207">
        <f t="shared" si="47"/>
        <v>1709790.3187405216</v>
      </c>
      <c r="F58" s="207">
        <f t="shared" si="47"/>
        <v>555371.70896350057</v>
      </c>
      <c r="G58" s="207">
        <f t="shared" si="47"/>
        <v>0</v>
      </c>
      <c r="H58" s="207">
        <f t="shared" si="47"/>
        <v>0</v>
      </c>
      <c r="I58" s="207">
        <f t="shared" si="47"/>
        <v>0</v>
      </c>
      <c r="J58" s="207">
        <f t="shared" si="35"/>
        <v>5143544.5350951813</v>
      </c>
      <c r="L58" s="207">
        <f t="shared" ref="L58" si="48">L18-L38</f>
        <v>696281.76000000024</v>
      </c>
    </row>
    <row r="59" spans="2:12" x14ac:dyDescent="0.2">
      <c r="B59" s="206" t="str">
        <f t="shared" si="33"/>
        <v>Project Delivery Management - Project Engineering</v>
      </c>
      <c r="C59" s="207">
        <f t="shared" ref="C59:I59" si="49">C19-C39</f>
        <v>145419.37731744599</v>
      </c>
      <c r="D59" s="207">
        <f t="shared" si="49"/>
        <v>150997.88399330148</v>
      </c>
      <c r="E59" s="207">
        <f t="shared" si="49"/>
        <v>151490.07704966381</v>
      </c>
      <c r="F59" s="207">
        <f t="shared" si="49"/>
        <v>59431.487160659046</v>
      </c>
      <c r="G59" s="207">
        <f t="shared" si="49"/>
        <v>0</v>
      </c>
      <c r="H59" s="207">
        <f t="shared" si="49"/>
        <v>0</v>
      </c>
      <c r="I59" s="207">
        <f t="shared" si="49"/>
        <v>0</v>
      </c>
      <c r="J59" s="207">
        <f t="shared" si="35"/>
        <v>507338.82552107034</v>
      </c>
      <c r="L59" s="207">
        <f t="shared" ref="L59" si="50">L19-L39</f>
        <v>102736.20000000001</v>
      </c>
    </row>
    <row r="60" spans="2:12" x14ac:dyDescent="0.2">
      <c r="B60" s="206" t="str">
        <f t="shared" si="33"/>
        <v>Project Delivery Management - Project Management</v>
      </c>
      <c r="C60" s="207">
        <f t="shared" ref="C60:I60" si="51">C20-C40</f>
        <v>1754348.3213981669</v>
      </c>
      <c r="D60" s="207">
        <f t="shared" si="51"/>
        <v>2680505.0781546934</v>
      </c>
      <c r="E60" s="207">
        <f t="shared" si="51"/>
        <v>2686146.965749572</v>
      </c>
      <c r="F60" s="207">
        <f t="shared" si="51"/>
        <v>1046415.7368353731</v>
      </c>
      <c r="G60" s="207">
        <f t="shared" si="51"/>
        <v>0</v>
      </c>
      <c r="H60" s="207">
        <f t="shared" si="51"/>
        <v>0</v>
      </c>
      <c r="I60" s="207">
        <f t="shared" si="51"/>
        <v>0</v>
      </c>
      <c r="J60" s="207">
        <f t="shared" si="35"/>
        <v>8167416.1021378059</v>
      </c>
      <c r="L60" s="207">
        <f t="shared" ref="L60" si="52">L20-L40</f>
        <v>1014189.8699999996</v>
      </c>
    </row>
    <row r="61" spans="2:12" x14ac:dyDescent="0.2">
      <c r="B61" s="206" t="str">
        <f t="shared" si="33"/>
        <v>Project Development</v>
      </c>
      <c r="C61" s="207">
        <f t="shared" ref="C61:I61" si="53">C21-C41</f>
        <v>1077906.6104154787</v>
      </c>
      <c r="D61" s="207">
        <f t="shared" si="53"/>
        <v>470736.57635288732</v>
      </c>
      <c r="E61" s="207">
        <f t="shared" si="53"/>
        <v>82610.582801767188</v>
      </c>
      <c r="F61" s="207">
        <f t="shared" si="53"/>
        <v>29742.299204619369</v>
      </c>
      <c r="G61" s="207">
        <f t="shared" si="53"/>
        <v>0</v>
      </c>
      <c r="H61" s="207">
        <f t="shared" si="53"/>
        <v>0</v>
      </c>
      <c r="I61" s="207">
        <f t="shared" si="53"/>
        <v>0</v>
      </c>
      <c r="J61" s="207">
        <f t="shared" si="35"/>
        <v>1660996.0687747526</v>
      </c>
      <c r="L61" s="207">
        <f t="shared" ref="L61" si="54">L21-L41</f>
        <v>631694.1540000001</v>
      </c>
    </row>
    <row r="62" spans="2:12" x14ac:dyDescent="0.2">
      <c r="B62" s="206" t="str">
        <f t="shared" si="33"/>
        <v>Regulatory Approvals</v>
      </c>
      <c r="C62" s="207">
        <f t="shared" ref="C62:I62" si="55">C22-C42</f>
        <v>88069.957024726144</v>
      </c>
      <c r="D62" s="207">
        <f t="shared" si="55"/>
        <v>10908.91623472076</v>
      </c>
      <c r="E62" s="207">
        <f t="shared" si="55"/>
        <v>0</v>
      </c>
      <c r="F62" s="207">
        <f t="shared" si="55"/>
        <v>0</v>
      </c>
      <c r="G62" s="207">
        <f t="shared" si="55"/>
        <v>0</v>
      </c>
      <c r="H62" s="207">
        <f t="shared" si="55"/>
        <v>0</v>
      </c>
      <c r="I62" s="207">
        <f t="shared" si="55"/>
        <v>0</v>
      </c>
      <c r="J62" s="207">
        <f t="shared" si="35"/>
        <v>98978.873259446904</v>
      </c>
      <c r="L62" s="207">
        <f t="shared" ref="L62" si="56">L22-L42</f>
        <v>69789.09</v>
      </c>
    </row>
    <row r="63" spans="2:12" x14ac:dyDescent="0.2">
      <c r="B63" s="206" t="str">
        <f t="shared" si="33"/>
        <v>Transaction Procurement Support</v>
      </c>
      <c r="C63" s="207">
        <f t="shared" ref="C63:I63" si="57">C23-C43</f>
        <v>30989.623288334726</v>
      </c>
      <c r="D63" s="207">
        <f t="shared" si="57"/>
        <v>42862.541540970982</v>
      </c>
      <c r="E63" s="207">
        <f t="shared" si="57"/>
        <v>39377.006969873197</v>
      </c>
      <c r="F63" s="207">
        <f t="shared" si="57"/>
        <v>0</v>
      </c>
      <c r="G63" s="207">
        <f t="shared" si="57"/>
        <v>0</v>
      </c>
      <c r="H63" s="207">
        <f t="shared" si="57"/>
        <v>0</v>
      </c>
      <c r="I63" s="207">
        <f t="shared" si="57"/>
        <v>0</v>
      </c>
      <c r="J63" s="207">
        <f t="shared" si="35"/>
        <v>113229.1717991789</v>
      </c>
      <c r="L63" s="207">
        <f t="shared" ref="L63" si="58">L23-L43</f>
        <v>19718.496000000006</v>
      </c>
    </row>
    <row r="64" spans="2:12" x14ac:dyDescent="0.2">
      <c r="B64" s="208" t="str">
        <f>B44</f>
        <v>Total</v>
      </c>
      <c r="C64" s="209">
        <f>SUM(C51:C63)</f>
        <v>8501972.0768102165</v>
      </c>
      <c r="D64" s="209">
        <f>SUM(D51:D63)</f>
        <v>14387998.486856746</v>
      </c>
      <c r="E64" s="209">
        <f>SUM(E51:E63)</f>
        <v>13761590.314298347</v>
      </c>
      <c r="F64" s="209">
        <f>SUM(F51:F63)</f>
        <v>3917934.7674639467</v>
      </c>
      <c r="G64" s="209">
        <f t="shared" ref="G64:I64" si="59">SUM(G51:G63)</f>
        <v>0</v>
      </c>
      <c r="H64" s="209">
        <f t="shared" si="59"/>
        <v>0</v>
      </c>
      <c r="I64" s="209">
        <f t="shared" si="59"/>
        <v>0</v>
      </c>
      <c r="J64" s="209">
        <f t="shared" si="31"/>
        <v>40569495.645429254</v>
      </c>
      <c r="L64" s="209">
        <f>SUM(L51:L63)</f>
        <v>4610388.6821847884</v>
      </c>
    </row>
    <row r="66" spans="1:34" ht="16.5" x14ac:dyDescent="0.2">
      <c r="B66" s="206" t="s">
        <v>134</v>
      </c>
      <c r="C66" s="159" t="str">
        <f t="shared" ref="C66:I66" si="60">IF(SUM(C44,C64)=C24,"OK","ERROR")</f>
        <v>OK</v>
      </c>
      <c r="D66" s="159" t="str">
        <f t="shared" si="60"/>
        <v>OK</v>
      </c>
      <c r="E66" s="159" t="str">
        <f t="shared" si="60"/>
        <v>OK</v>
      </c>
      <c r="F66" s="159" t="str">
        <f t="shared" si="60"/>
        <v>OK</v>
      </c>
      <c r="G66" s="159" t="str">
        <f t="shared" si="60"/>
        <v>OK</v>
      </c>
      <c r="H66" s="159" t="str">
        <f t="shared" si="60"/>
        <v>OK</v>
      </c>
      <c r="I66" s="159" t="str">
        <f t="shared" si="60"/>
        <v>OK</v>
      </c>
      <c r="L66" s="159" t="str">
        <f t="shared" ref="L66" si="61">IF(SUM(L44,L64)=L24,"OK","ERROR")</f>
        <v>OK</v>
      </c>
    </row>
    <row r="68" spans="1:34" ht="26.25" customHeight="1" x14ac:dyDescent="0.2">
      <c r="A68" s="71"/>
      <c r="B68" s="72"/>
      <c r="C68" s="71"/>
      <c r="D68" s="71"/>
      <c r="E68" s="71"/>
      <c r="F68" s="71"/>
      <c r="G68" s="71"/>
      <c r="H68" s="71"/>
      <c r="I68" s="71"/>
      <c r="J68" s="71"/>
      <c r="K68" s="71"/>
      <c r="L68" s="71"/>
      <c r="M68" s="71"/>
      <c r="N68" s="203"/>
      <c r="O68" s="203"/>
      <c r="P68" s="203"/>
      <c r="Q68" s="203"/>
      <c r="R68" s="203"/>
      <c r="S68" s="203"/>
      <c r="T68" s="203"/>
      <c r="U68" s="203"/>
      <c r="V68" s="203"/>
      <c r="W68" s="203"/>
      <c r="X68" s="204"/>
      <c r="Y68" s="203"/>
      <c r="Z68" s="203"/>
      <c r="AA68" s="203"/>
      <c r="AB68" s="203"/>
      <c r="AC68" s="203"/>
      <c r="AD68" s="203"/>
      <c r="AE68" s="203"/>
      <c r="AF68" s="203"/>
      <c r="AG68" s="203"/>
      <c r="AH68" s="203"/>
    </row>
    <row r="133" spans="2:36" x14ac:dyDescent="0.2">
      <c r="B133" s="87"/>
      <c r="C133" s="87"/>
      <c r="D133" s="87"/>
      <c r="E133" s="87"/>
      <c r="F133" s="92"/>
      <c r="G133" s="92"/>
      <c r="H133" s="92"/>
      <c r="I133" s="92"/>
      <c r="J133" s="92"/>
      <c r="K133" s="92"/>
      <c r="L133" s="92"/>
      <c r="M133" s="92"/>
      <c r="N133" s="87"/>
      <c r="O133" s="87"/>
      <c r="P133" s="87"/>
      <c r="Q133" s="87"/>
      <c r="R133" s="92"/>
      <c r="S133" s="92"/>
      <c r="T133" s="92"/>
      <c r="U133" s="92"/>
      <c r="V133" s="92"/>
      <c r="W133" s="92"/>
      <c r="X133" s="92"/>
      <c r="Y133" s="92"/>
      <c r="Z133" s="87"/>
      <c r="AA133" s="87"/>
      <c r="AB133" s="87"/>
      <c r="AC133" s="87"/>
      <c r="AD133" s="92"/>
      <c r="AE133" s="92"/>
      <c r="AF133" s="92"/>
      <c r="AG133" s="92"/>
      <c r="AH133" s="92"/>
      <c r="AI133" s="92"/>
      <c r="AJ133" s="92"/>
    </row>
    <row r="139" spans="2:36" x14ac:dyDescent="0.2">
      <c r="B139" s="87"/>
      <c r="N139" s="87"/>
      <c r="Z139" s="87"/>
    </row>
  </sheetData>
  <conditionalFormatting sqref="C26:I26">
    <cfRule type="cellIs" dxfId="133" priority="10" operator="equal">
      <formula>"ERROR"</formula>
    </cfRule>
    <cfRule type="cellIs" dxfId="132" priority="11" operator="equal">
      <formula>"OK"</formula>
    </cfRule>
    <cfRule type="expression" dxfId="131" priority="12">
      <formula>#REF!="Manual $ Spread"</formula>
    </cfRule>
  </conditionalFormatting>
  <conditionalFormatting sqref="C46:I46">
    <cfRule type="cellIs" dxfId="130" priority="13" operator="equal">
      <formula>"ERROR"</formula>
    </cfRule>
    <cfRule type="cellIs" dxfId="129" priority="14" operator="equal">
      <formula>"OK"</formula>
    </cfRule>
    <cfRule type="expression" dxfId="128" priority="15">
      <formula>#REF!="Manual $ Spread"</formula>
    </cfRule>
  </conditionalFormatting>
  <conditionalFormatting sqref="C66:I66">
    <cfRule type="cellIs" dxfId="127" priority="16" operator="equal">
      <formula>"ERROR"</formula>
    </cfRule>
    <cfRule type="cellIs" dxfId="126" priority="17" operator="equal">
      <formula>"OK"</formula>
    </cfRule>
    <cfRule type="expression" dxfId="125" priority="18">
      <formula>#REF!="Manual $ Spread"</formula>
    </cfRule>
  </conditionalFormatting>
  <conditionalFormatting sqref="L26">
    <cfRule type="cellIs" dxfId="124" priority="7" operator="equal">
      <formula>"ERROR"</formula>
    </cfRule>
    <cfRule type="cellIs" dxfId="123" priority="8" operator="equal">
      <formula>"OK"</formula>
    </cfRule>
    <cfRule type="expression" dxfId="122" priority="9">
      <formula>#REF!="Manual $ Spread"</formula>
    </cfRule>
  </conditionalFormatting>
  <conditionalFormatting sqref="L46">
    <cfRule type="cellIs" dxfId="121" priority="4" operator="equal">
      <formula>"ERROR"</formula>
    </cfRule>
    <cfRule type="cellIs" dxfId="120" priority="5" operator="equal">
      <formula>"OK"</formula>
    </cfRule>
    <cfRule type="expression" dxfId="119" priority="6">
      <formula>#REF!="Manual $ Spread"</formula>
    </cfRule>
  </conditionalFormatting>
  <conditionalFormatting sqref="L66">
    <cfRule type="cellIs" dxfId="118" priority="1" operator="equal">
      <formula>"ERROR"</formula>
    </cfRule>
    <cfRule type="cellIs" dxfId="117" priority="2" operator="equal">
      <formula>"OK"</formula>
    </cfRule>
    <cfRule type="expression" dxfId="116" priority="3">
      <formula>#REF!="Manual $ Spread"</formula>
    </cfRule>
  </conditionalFormatting>
  <pageMargins left="0.7" right="0.7" top="0.75" bottom="0.75" header="0.3" footer="0.3"/>
  <pageSetup orientation="portrait" r:id="rId1"/>
  <headerFooter>
    <oddFooter>&amp;L_x000D_&amp;1#&amp;"Aptos"&amp;10&amp;K000000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EC08E-2170-4B7F-A47A-DE491FA0A698}">
  <sheetPr codeName="Sheet13">
    <tabColor theme="8"/>
    <pageSetUpPr autoPageBreaks="0"/>
  </sheetPr>
  <dimension ref="A1:M138"/>
  <sheetViews>
    <sheetView showGridLines="0" zoomScaleNormal="100" workbookViewId="0"/>
  </sheetViews>
  <sheetFormatPr defaultRowHeight="16.5" x14ac:dyDescent="0.3"/>
  <cols>
    <col min="1" max="1" width="4.109375" customWidth="1"/>
    <col min="2" max="2" width="23.109375" customWidth="1"/>
    <col min="3" max="13" width="10.33203125" customWidth="1"/>
  </cols>
  <sheetData>
    <row r="1" spans="1:13" s="32" customFormat="1" ht="30" x14ac:dyDescent="0.3">
      <c r="A1" s="61"/>
      <c r="B1" s="93" t="str">
        <f>Overview!$B$1</f>
        <v>Labour and overhead costs for Accelerated Syncons</v>
      </c>
      <c r="C1" s="30"/>
      <c r="D1" s="30"/>
      <c r="E1" s="30"/>
      <c r="F1" s="30"/>
      <c r="G1" s="30"/>
      <c r="H1" s="30"/>
      <c r="I1" s="30"/>
      <c r="J1" s="30"/>
      <c r="K1" s="30"/>
      <c r="L1" s="30"/>
      <c r="M1" s="30"/>
    </row>
    <row r="2" spans="1:13" s="32" customFormat="1" ht="22.5" x14ac:dyDescent="0.3">
      <c r="A2" s="31"/>
      <c r="B2" s="72" t="s">
        <v>180</v>
      </c>
      <c r="C2" s="31"/>
      <c r="D2" s="31"/>
      <c r="E2" s="31"/>
      <c r="F2" s="31"/>
      <c r="G2" s="31"/>
      <c r="H2" s="31"/>
      <c r="I2" s="31"/>
      <c r="J2" s="31"/>
      <c r="K2" s="31"/>
      <c r="L2" s="31"/>
      <c r="M2" s="31"/>
    </row>
    <row r="3" spans="1:13" s="20" customFormat="1" ht="15" x14ac:dyDescent="0.3"/>
    <row r="4" spans="1:13" s="20" customFormat="1" ht="15" x14ac:dyDescent="0.3">
      <c r="B4" s="35" t="s">
        <v>48</v>
      </c>
    </row>
    <row r="5" spans="1:13" s="20" customFormat="1" ht="15" x14ac:dyDescent="0.3">
      <c r="B5" s="36" t="s">
        <v>181</v>
      </c>
    </row>
    <row r="6" spans="1:13" s="20" customFormat="1" ht="15" x14ac:dyDescent="0.3">
      <c r="B6" s="36"/>
    </row>
    <row r="7" spans="1:13" s="20" customFormat="1" ht="15" x14ac:dyDescent="0.3"/>
    <row r="8" spans="1:13" x14ac:dyDescent="0.3">
      <c r="A8" s="39"/>
      <c r="B8" s="118" t="s">
        <v>182</v>
      </c>
      <c r="C8" s="118"/>
      <c r="D8" s="118"/>
      <c r="E8" s="118" t="str">
        <f>"(Real "&amp;'Key assumptions'!$D$11&amp;")"</f>
        <v>(Real $RY2026)</v>
      </c>
      <c r="F8" s="118"/>
      <c r="G8" s="118"/>
      <c r="H8" s="118"/>
      <c r="I8" s="118"/>
      <c r="J8" s="118"/>
      <c r="K8" s="39"/>
      <c r="L8" s="117" t="s">
        <v>255</v>
      </c>
      <c r="M8" s="39"/>
    </row>
    <row r="9" spans="1:13" x14ac:dyDescent="0.3">
      <c r="L9" s="65"/>
    </row>
    <row r="10" spans="1:13" ht="39.75" x14ac:dyDescent="0.3">
      <c r="B10" s="136" t="s">
        <v>131</v>
      </c>
      <c r="C10" s="161" t="str" cm="1">
        <f t="array" ref="C10:I10">model_forecastperiod</f>
        <v>RY2026
01Feb-30Sep</v>
      </c>
      <c r="D10" s="161" t="str">
        <v>RY2027</v>
      </c>
      <c r="E10" s="161" t="str">
        <v>RY2028</v>
      </c>
      <c r="F10" s="161" t="str">
        <v>RY2029</v>
      </c>
      <c r="G10" s="161" t="str">
        <v>RY2030</v>
      </c>
      <c r="H10" s="161" t="str">
        <v>RY2031</v>
      </c>
      <c r="I10" s="161" t="str">
        <v>RY2032</v>
      </c>
      <c r="J10" s="140" t="s">
        <v>133</v>
      </c>
      <c r="K10" s="43"/>
      <c r="L10" s="140" t="s">
        <v>254</v>
      </c>
      <c r="M10" s="43"/>
    </row>
    <row r="11" spans="1:13" x14ac:dyDescent="0.3">
      <c r="B11" s="206" t="str" cm="1">
        <f t="array" ref="B11:B23">CostCategories</f>
        <v>Community and Stakeholder Engagement</v>
      </c>
      <c r="C11" s="207">
        <f>'FTE&amp;roles_calcs'!C71*training*'Key assumptions'!$E62*'Key assumptions'!H$19</f>
        <v>459.75367213013573</v>
      </c>
      <c r="D11" s="207">
        <f>'FTE&amp;roles_calcs'!D71*training*'Key assumptions'!$E62*'Key assumptions'!I$19</f>
        <v>188.48601403554611</v>
      </c>
      <c r="E11" s="207">
        <f>'FTE&amp;roles_calcs'!E71*training*'Key assumptions'!$E62*'Key assumptions'!J$19</f>
        <v>0</v>
      </c>
      <c r="F11" s="207">
        <f>'FTE&amp;roles_calcs'!F71*training*'Key assumptions'!$E62*'Key assumptions'!K$19</f>
        <v>0</v>
      </c>
      <c r="G11" s="207">
        <f>'FTE&amp;roles_calcs'!G71*training*'Key assumptions'!$E62*'Key assumptions'!L$19</f>
        <v>0</v>
      </c>
      <c r="H11" s="207">
        <f>'FTE&amp;roles_calcs'!H71*training*'Key assumptions'!$E62*'Key assumptions'!M$19</f>
        <v>0</v>
      </c>
      <c r="I11" s="207">
        <f>'FTE&amp;roles_calcs'!I71*training*'Key assumptions'!$E62*'Key assumptions'!N$19</f>
        <v>0</v>
      </c>
      <c r="J11" s="207">
        <f t="shared" ref="J11:J24" si="0">SUM(C11:I11)</f>
        <v>648.23968616568186</v>
      </c>
      <c r="K11" s="218"/>
      <c r="L11" s="207">
        <f>'FTE&amp;roles_calcs'!M71*training*'Key assumptions'!$E62*'Key assumptions'!P$19</f>
        <v>288.64044254614271</v>
      </c>
      <c r="M11" s="43"/>
    </row>
    <row r="12" spans="1:13" x14ac:dyDescent="0.3">
      <c r="B12" s="206" t="str">
        <v>Fleet</v>
      </c>
      <c r="C12" s="207">
        <f>'FTE&amp;roles_calcs'!C72*training*'Key assumptions'!$E63*'Key assumptions'!H$19</f>
        <v>0</v>
      </c>
      <c r="D12" s="207">
        <f>'FTE&amp;roles_calcs'!D72*training*'Key assumptions'!$E63*'Key assumptions'!I$19</f>
        <v>0</v>
      </c>
      <c r="E12" s="207">
        <f>'FTE&amp;roles_calcs'!E72*training*'Key assumptions'!$E63*'Key assumptions'!J$19</f>
        <v>0</v>
      </c>
      <c r="F12" s="207">
        <f>'FTE&amp;roles_calcs'!F72*training*'Key assumptions'!$E63*'Key assumptions'!K$19</f>
        <v>0</v>
      </c>
      <c r="G12" s="207">
        <f>'FTE&amp;roles_calcs'!G72*training*'Key assumptions'!$E63*'Key assumptions'!L$19</f>
        <v>0</v>
      </c>
      <c r="H12" s="207">
        <f>'FTE&amp;roles_calcs'!H72*training*'Key assumptions'!$E63*'Key assumptions'!M$19</f>
        <v>0</v>
      </c>
      <c r="I12" s="207">
        <f>'FTE&amp;roles_calcs'!I72*training*'Key assumptions'!$E63*'Key assumptions'!N$19</f>
        <v>0</v>
      </c>
      <c r="J12" s="207">
        <f t="shared" ref="J12:J23" si="1">SUM(C12:I12)</f>
        <v>0</v>
      </c>
      <c r="K12" s="218"/>
      <c r="L12" s="207">
        <f>'FTE&amp;roles_calcs'!M72*training*'Key assumptions'!$E63*'Key assumptions'!P$19</f>
        <v>0</v>
      </c>
      <c r="M12" s="218"/>
    </row>
    <row r="13" spans="1:13" x14ac:dyDescent="0.3">
      <c r="B13" s="206" t="str">
        <v>Land and Environment</v>
      </c>
      <c r="C13" s="207">
        <f>'FTE&amp;roles_calcs'!C73*training*'Key assumptions'!$E64*'Key assumptions'!H$19</f>
        <v>3432.0247188083631</v>
      </c>
      <c r="D13" s="207">
        <f>'FTE&amp;roles_calcs'!D73*training*'Key assumptions'!$E64*'Key assumptions'!I$19</f>
        <v>6722.9377745202801</v>
      </c>
      <c r="E13" s="207">
        <f>'FTE&amp;roles_calcs'!E73*training*'Key assumptions'!$E64*'Key assumptions'!J$19</f>
        <v>6649.3978607305144</v>
      </c>
      <c r="F13" s="207">
        <f>'FTE&amp;roles_calcs'!F73*training*'Key assumptions'!$E64*'Key assumptions'!K$19</f>
        <v>638.23672344444515</v>
      </c>
      <c r="G13" s="207">
        <f>'FTE&amp;roles_calcs'!G73*training*'Key assumptions'!$E64*'Key assumptions'!L$19</f>
        <v>0</v>
      </c>
      <c r="H13" s="207">
        <f>'FTE&amp;roles_calcs'!H73*training*'Key assumptions'!$E64*'Key assumptions'!M$19</f>
        <v>0</v>
      </c>
      <c r="I13" s="207">
        <f>'FTE&amp;roles_calcs'!I73*training*'Key assumptions'!$E64*'Key assumptions'!N$19</f>
        <v>0</v>
      </c>
      <c r="J13" s="207">
        <f t="shared" si="1"/>
        <v>17442.597077503604</v>
      </c>
      <c r="K13" s="218"/>
      <c r="L13" s="207">
        <f>'FTE&amp;roles_calcs'!M73*training*'Key assumptions'!$E64*'Key assumptions'!P$19</f>
        <v>1654.2661682971429</v>
      </c>
      <c r="M13" s="218"/>
    </row>
    <row r="14" spans="1:13" x14ac:dyDescent="0.3">
      <c r="B14" s="206" t="str">
        <v>Other Support &amp; Corporate Roles</v>
      </c>
      <c r="C14" s="207">
        <f>'FTE&amp;roles_calcs'!C74*training*'Key assumptions'!$E65*'Key assumptions'!H$19</f>
        <v>17248.731580810818</v>
      </c>
      <c r="D14" s="207">
        <f>'FTE&amp;roles_calcs'!D74*training*'Key assumptions'!$E65*'Key assumptions'!I$19</f>
        <v>24400.115677475922</v>
      </c>
      <c r="E14" s="207">
        <f>'FTE&amp;roles_calcs'!E74*training*'Key assumptions'!$E65*'Key assumptions'!J$19</f>
        <v>22252.574209022201</v>
      </c>
      <c r="F14" s="207">
        <f>'FTE&amp;roles_calcs'!F74*training*'Key assumptions'!$E65*'Key assumptions'!K$19</f>
        <v>11438.84578702316</v>
      </c>
      <c r="G14" s="207">
        <f>'FTE&amp;roles_calcs'!G74*training*'Key assumptions'!$E65*'Key assumptions'!L$19</f>
        <v>0</v>
      </c>
      <c r="H14" s="207">
        <f>'FTE&amp;roles_calcs'!H74*training*'Key assumptions'!$E65*'Key assumptions'!M$19</f>
        <v>0</v>
      </c>
      <c r="I14" s="207">
        <f>'FTE&amp;roles_calcs'!I74*training*'Key assumptions'!$E65*'Key assumptions'!N$19</f>
        <v>0</v>
      </c>
      <c r="J14" s="207">
        <f t="shared" si="1"/>
        <v>75340.26725433211</v>
      </c>
      <c r="K14" s="218"/>
      <c r="L14" s="207">
        <f>'FTE&amp;roles_calcs'!M74*training*'Key assumptions'!$E65*'Key assumptions'!P$19</f>
        <v>10420.642955963374</v>
      </c>
      <c r="M14" s="218"/>
    </row>
    <row r="15" spans="1:13" x14ac:dyDescent="0.3">
      <c r="B15" s="206" t="str">
        <v>Project Delivery Management - Commercial Management</v>
      </c>
      <c r="C15" s="207">
        <f>'FTE&amp;roles_calcs'!C75*training*'Key assumptions'!$E66*'Key assumptions'!H$19</f>
        <v>8177.47028111296</v>
      </c>
      <c r="D15" s="207">
        <f>'FTE&amp;roles_calcs'!D75*training*'Key assumptions'!$E66*'Key assumptions'!I$19</f>
        <v>13570.993010559321</v>
      </c>
      <c r="E15" s="207">
        <f>'FTE&amp;roles_calcs'!E75*training*'Key assumptions'!$E66*'Key assumptions'!J$19</f>
        <v>13570.993010559321</v>
      </c>
      <c r="F15" s="207">
        <f>'FTE&amp;roles_calcs'!F75*training*'Key assumptions'!$E66*'Key assumptions'!K$19</f>
        <v>4200.5454556493132</v>
      </c>
      <c r="G15" s="207">
        <f>'FTE&amp;roles_calcs'!G75*training*'Key assumptions'!$E66*'Key assumptions'!L$19</f>
        <v>0</v>
      </c>
      <c r="H15" s="207">
        <f>'FTE&amp;roles_calcs'!H75*training*'Key assumptions'!$E66*'Key assumptions'!M$19</f>
        <v>0</v>
      </c>
      <c r="I15" s="207">
        <f>'FTE&amp;roles_calcs'!I75*training*'Key assumptions'!$E66*'Key assumptions'!N$19</f>
        <v>0</v>
      </c>
      <c r="J15" s="207">
        <f t="shared" si="1"/>
        <v>39520.001757880913</v>
      </c>
      <c r="K15" s="218"/>
      <c r="L15" s="207">
        <f>'FTE&amp;roles_calcs'!M75*training*'Key assumptions'!$E66*'Key assumptions'!P$19</f>
        <v>4763.6156329164851</v>
      </c>
      <c r="M15" s="218"/>
    </row>
    <row r="16" spans="1:13" x14ac:dyDescent="0.3">
      <c r="B16" s="206" t="str">
        <v>Project Delivery Management - Commissioning</v>
      </c>
      <c r="C16" s="207">
        <f>'FTE&amp;roles_calcs'!C76*training*'Key assumptions'!$E67*'Key assumptions'!H$19</f>
        <v>8505.4932709311288</v>
      </c>
      <c r="D16" s="207">
        <f>'FTE&amp;roles_calcs'!D76*training*'Key assumptions'!$E67*'Key assumptions'!I$19</f>
        <v>47422.119468006487</v>
      </c>
      <c r="E16" s="207">
        <f>'FTE&amp;roles_calcs'!E76*training*'Key assumptions'!$E67*'Key assumptions'!J$19</f>
        <v>46602.205306951852</v>
      </c>
      <c r="F16" s="207">
        <f>'FTE&amp;roles_calcs'!F76*training*'Key assumptions'!$E67*'Key assumptions'!K$19</f>
        <v>8496.8725796554645</v>
      </c>
      <c r="G16" s="207">
        <f>'FTE&amp;roles_calcs'!G76*training*'Key assumptions'!$E67*'Key assumptions'!L$19</f>
        <v>0</v>
      </c>
      <c r="H16" s="207">
        <f>'FTE&amp;roles_calcs'!H76*training*'Key assumptions'!$E67*'Key assumptions'!M$19</f>
        <v>0</v>
      </c>
      <c r="I16" s="207">
        <f>'FTE&amp;roles_calcs'!I76*training*'Key assumptions'!$E67*'Key assumptions'!N$19</f>
        <v>0</v>
      </c>
      <c r="J16" s="207">
        <f t="shared" si="1"/>
        <v>111026.69062554493</v>
      </c>
      <c r="K16" s="218"/>
      <c r="L16" s="207">
        <f>'FTE&amp;roles_calcs'!M76*training*'Key assumptions'!$E67*'Key assumptions'!P$19</f>
        <v>2141.021183705378</v>
      </c>
      <c r="M16" s="218"/>
    </row>
    <row r="17" spans="1:13" x14ac:dyDescent="0.3">
      <c r="B17" s="206" t="str">
        <v>Project Delivery Management - Construction Management</v>
      </c>
      <c r="C17" s="207">
        <f>'FTE&amp;roles_calcs'!C77*training*'Key assumptions'!$E68*'Key assumptions'!H$19</f>
        <v>14787.340409061171</v>
      </c>
      <c r="D17" s="207">
        <f>'FTE&amp;roles_calcs'!D77*training*'Key assumptions'!$E68*'Key assumptions'!I$19</f>
        <v>39201.892123451849</v>
      </c>
      <c r="E17" s="207">
        <f>'FTE&amp;roles_calcs'!E77*training*'Key assumptions'!$E68*'Key assumptions'!J$19</f>
        <v>38437.962965040875</v>
      </c>
      <c r="F17" s="207">
        <f>'FTE&amp;roles_calcs'!F77*training*'Key assumptions'!$E68*'Key assumptions'!K$19</f>
        <v>8381.7037784263994</v>
      </c>
      <c r="G17" s="207">
        <f>'FTE&amp;roles_calcs'!G77*training*'Key assumptions'!$E68*'Key assumptions'!L$19</f>
        <v>0</v>
      </c>
      <c r="H17" s="207">
        <f>'FTE&amp;roles_calcs'!H77*training*'Key assumptions'!$E68*'Key assumptions'!M$19</f>
        <v>0</v>
      </c>
      <c r="I17" s="207">
        <f>'FTE&amp;roles_calcs'!I77*training*'Key assumptions'!$E68*'Key assumptions'!N$19</f>
        <v>0</v>
      </c>
      <c r="J17" s="207">
        <f t="shared" si="1"/>
        <v>100808.89927598029</v>
      </c>
      <c r="K17" s="218"/>
      <c r="L17" s="207">
        <f>'FTE&amp;roles_calcs'!M77*training*'Key assumptions'!$E68*'Key assumptions'!P$19</f>
        <v>6604.4847023269949</v>
      </c>
      <c r="M17" s="218"/>
    </row>
    <row r="18" spans="1:13" x14ac:dyDescent="0.3">
      <c r="B18" s="206" t="str">
        <v>Project Delivery Management - Project Controls</v>
      </c>
      <c r="C18" s="207">
        <f>'FTE&amp;roles_calcs'!C78*training*'Key assumptions'!$E69*'Key assumptions'!H$19</f>
        <v>15187.133214255882</v>
      </c>
      <c r="D18" s="207">
        <f>'FTE&amp;roles_calcs'!D78*training*'Key assumptions'!$E69*'Key assumptions'!I$19</f>
        <v>23524.512230799475</v>
      </c>
      <c r="E18" s="207">
        <f>'FTE&amp;roles_calcs'!E78*training*'Key assumptions'!$E69*'Key assumptions'!J$19</f>
        <v>23422.474689366703</v>
      </c>
      <c r="F18" s="207">
        <f>'FTE&amp;roles_calcs'!F78*training*'Key assumptions'!$E69*'Key assumptions'!K$19</f>
        <v>8227.9915106537374</v>
      </c>
      <c r="G18" s="207">
        <f>'FTE&amp;roles_calcs'!G78*training*'Key assumptions'!$E69*'Key assumptions'!L$19</f>
        <v>0</v>
      </c>
      <c r="H18" s="207">
        <f>'FTE&amp;roles_calcs'!H78*training*'Key assumptions'!$E69*'Key assumptions'!M$19</f>
        <v>0</v>
      </c>
      <c r="I18" s="207">
        <f>'FTE&amp;roles_calcs'!I78*training*'Key assumptions'!$E69*'Key assumptions'!N$19</f>
        <v>0</v>
      </c>
      <c r="J18" s="207">
        <f t="shared" si="1"/>
        <v>70362.111645075798</v>
      </c>
      <c r="K18" s="218"/>
      <c r="L18" s="207">
        <f>'FTE&amp;roles_calcs'!M78*training*'Key assumptions'!$E69*'Key assumptions'!P$19</f>
        <v>9359.2986389348007</v>
      </c>
      <c r="M18" s="218"/>
    </row>
    <row r="19" spans="1:13" x14ac:dyDescent="0.3">
      <c r="B19" s="206" t="str">
        <v>Project Delivery Management - Project Engineering</v>
      </c>
      <c r="C19" s="207">
        <f>'FTE&amp;roles_calcs'!C79*training*'Key assumptions'!$E70*'Key assumptions'!H$19</f>
        <v>1902.7205928132532</v>
      </c>
      <c r="D19" s="207">
        <f>'FTE&amp;roles_calcs'!D79*training*'Key assumptions'!$E70*'Key assumptions'!I$19</f>
        <v>1938.7132872227601</v>
      </c>
      <c r="E19" s="207">
        <f>'FTE&amp;roles_calcs'!E79*training*'Key assumptions'!$E70*'Key assumptions'!J$19</f>
        <v>1938.7132872227601</v>
      </c>
      <c r="F19" s="207">
        <f>'FTE&amp;roles_calcs'!F79*training*'Key assumptions'!$E70*'Key assumptions'!K$19</f>
        <v>807.79720300948338</v>
      </c>
      <c r="G19" s="207">
        <f>'FTE&amp;roles_calcs'!G79*training*'Key assumptions'!$E70*'Key assumptions'!L$19</f>
        <v>0</v>
      </c>
      <c r="H19" s="207">
        <f>'FTE&amp;roles_calcs'!H79*training*'Key assumptions'!$E70*'Key assumptions'!M$19</f>
        <v>0</v>
      </c>
      <c r="I19" s="207">
        <f>'FTE&amp;roles_calcs'!I79*training*'Key assumptions'!$E70*'Key assumptions'!N$19</f>
        <v>0</v>
      </c>
      <c r="J19" s="207">
        <f t="shared" si="1"/>
        <v>6587.9443702682565</v>
      </c>
      <c r="K19" s="218"/>
      <c r="L19" s="207">
        <f>'FTE&amp;roles_calcs'!M79*training*'Key assumptions'!$E70*'Key assumptions'!P$19</f>
        <v>1408.9567364964253</v>
      </c>
      <c r="M19" s="218"/>
    </row>
    <row r="20" spans="1:13" x14ac:dyDescent="0.3">
      <c r="B20" s="206" t="str">
        <v>Project Delivery Management - Project Management</v>
      </c>
      <c r="C20" s="207">
        <f>'FTE&amp;roles_calcs'!C80*training*'Key assumptions'!$E71*'Key assumptions'!H$19</f>
        <v>26542.247558414212</v>
      </c>
      <c r="D20" s="207">
        <f>'FTE&amp;roles_calcs'!D80*training*'Key assumptions'!$E71*'Key assumptions'!I$19</f>
        <v>42638.937626221625</v>
      </c>
      <c r="E20" s="207">
        <f>'FTE&amp;roles_calcs'!E80*training*'Key assumptions'!$E71*'Key assumptions'!J$19</f>
        <v>42587.918855505231</v>
      </c>
      <c r="F20" s="207">
        <f>'FTE&amp;roles_calcs'!F80*training*'Key assumptions'!$E71*'Key assumptions'!K$19</f>
        <v>18064.653451300648</v>
      </c>
      <c r="G20" s="207">
        <f>'FTE&amp;roles_calcs'!G80*training*'Key assumptions'!$E71*'Key assumptions'!L$19</f>
        <v>0</v>
      </c>
      <c r="H20" s="207">
        <f>'FTE&amp;roles_calcs'!H80*training*'Key assumptions'!$E71*'Key assumptions'!M$19</f>
        <v>0</v>
      </c>
      <c r="I20" s="207">
        <f>'FTE&amp;roles_calcs'!I80*training*'Key assumptions'!$E71*'Key assumptions'!N$19</f>
        <v>0</v>
      </c>
      <c r="J20" s="207">
        <f t="shared" si="1"/>
        <v>129833.75749144172</v>
      </c>
      <c r="K20" s="218"/>
      <c r="L20" s="207">
        <f>'FTE&amp;roles_calcs'!M80*training*'Key assumptions'!$E71*'Key assumptions'!P$19</f>
        <v>15806.034500299185</v>
      </c>
      <c r="M20" s="218"/>
    </row>
    <row r="21" spans="1:13" x14ac:dyDescent="0.3">
      <c r="B21" s="206" t="str">
        <v>Project Development</v>
      </c>
      <c r="C21" s="207">
        <f>'FTE&amp;roles_calcs'!C81*training*'Key assumptions'!$E72*'Key assumptions'!H$19</f>
        <v>16826.6441250633</v>
      </c>
      <c r="D21" s="207">
        <f>'FTE&amp;roles_calcs'!D81*training*'Key assumptions'!$E72*'Key assumptions'!I$19</f>
        <v>8383.6594979705278</v>
      </c>
      <c r="E21" s="207">
        <f>'FTE&amp;roles_calcs'!E81*training*'Key assumptions'!$E72*'Key assumptions'!J$19</f>
        <v>1454.8852782623428</v>
      </c>
      <c r="F21" s="207">
        <f>'FTE&amp;roles_calcs'!F81*training*'Key assumptions'!$E72*'Key assumptions'!K$19</f>
        <v>549.30209804644869</v>
      </c>
      <c r="G21" s="207">
        <f>'FTE&amp;roles_calcs'!G81*training*'Key assumptions'!$E72*'Key assumptions'!L$19</f>
        <v>0</v>
      </c>
      <c r="H21" s="207">
        <f>'FTE&amp;roles_calcs'!H81*training*'Key assumptions'!$E72*'Key assumptions'!M$19</f>
        <v>0</v>
      </c>
      <c r="I21" s="207">
        <f>'FTE&amp;roles_calcs'!I81*training*'Key assumptions'!$E72*'Key assumptions'!N$19</f>
        <v>0</v>
      </c>
      <c r="J21" s="207">
        <f t="shared" si="1"/>
        <v>27214.490999342619</v>
      </c>
      <c r="K21" s="218"/>
      <c r="L21" s="207">
        <f>'FTE&amp;roles_calcs'!M81*training*'Key assumptions'!$E72*'Key assumptions'!P$19</f>
        <v>9947.2325628439921</v>
      </c>
      <c r="M21" s="218"/>
    </row>
    <row r="22" spans="1:13" x14ac:dyDescent="0.3">
      <c r="B22" s="206" t="str">
        <v>Regulatory Approvals</v>
      </c>
      <c r="C22" s="207">
        <f>'FTE&amp;roles_calcs'!C82*training*'Key assumptions'!$E73*'Key assumptions'!H$19</f>
        <v>1221.9694473845116</v>
      </c>
      <c r="D22" s="207">
        <f>'FTE&amp;roles_calcs'!D82*training*'Key assumptions'!$E73*'Key assumptions'!I$19</f>
        <v>161.55944060189665</v>
      </c>
      <c r="E22" s="207">
        <f>'FTE&amp;roles_calcs'!E82*training*'Key assumptions'!$E73*'Key assumptions'!J$19</f>
        <v>0</v>
      </c>
      <c r="F22" s="207">
        <f>'FTE&amp;roles_calcs'!F82*training*'Key assumptions'!$E73*'Key assumptions'!K$19</f>
        <v>0</v>
      </c>
      <c r="G22" s="207">
        <f>'FTE&amp;roles_calcs'!G82*training*'Key assumptions'!$E73*'Key assumptions'!L$19</f>
        <v>0</v>
      </c>
      <c r="H22" s="207">
        <f>'FTE&amp;roles_calcs'!H82*training*'Key assumptions'!$E73*'Key assumptions'!M$19</f>
        <v>0</v>
      </c>
      <c r="I22" s="207">
        <f>'FTE&amp;roles_calcs'!I82*training*'Key assumptions'!$E73*'Key assumptions'!N$19</f>
        <v>0</v>
      </c>
      <c r="J22" s="207">
        <f t="shared" si="1"/>
        <v>1383.5288879864083</v>
      </c>
      <c r="K22" s="218"/>
      <c r="L22" s="207">
        <f>'FTE&amp;roles_calcs'!M82*training*'Key assumptions'!$E73*'Key assumptions'!P$19</f>
        <v>972.85107996181739</v>
      </c>
      <c r="M22" s="218"/>
    </row>
    <row r="23" spans="1:13" x14ac:dyDescent="0.3">
      <c r="B23" s="206" t="str">
        <v>Transaction Procurement Support</v>
      </c>
      <c r="C23" s="207">
        <f>'FTE&amp;roles_calcs'!C83*training*'Key assumptions'!$E74*'Key assumptions'!H$19</f>
        <v>0</v>
      </c>
      <c r="D23" s="207">
        <f>'FTE&amp;roles_calcs'!D83*training*'Key assumptions'!$E74*'Key assumptions'!I$19</f>
        <v>0</v>
      </c>
      <c r="E23" s="207">
        <f>'FTE&amp;roles_calcs'!E83*training*'Key assumptions'!$E74*'Key assumptions'!J$19</f>
        <v>0</v>
      </c>
      <c r="F23" s="207">
        <f>'FTE&amp;roles_calcs'!F83*training*'Key assumptions'!$E74*'Key assumptions'!K$19</f>
        <v>0</v>
      </c>
      <c r="G23" s="207">
        <f>'FTE&amp;roles_calcs'!G83*training*'Key assumptions'!$E74*'Key assumptions'!L$19</f>
        <v>0</v>
      </c>
      <c r="H23" s="207">
        <f>'FTE&amp;roles_calcs'!H83*training*'Key assumptions'!$E74*'Key assumptions'!M$19</f>
        <v>0</v>
      </c>
      <c r="I23" s="207">
        <f>'FTE&amp;roles_calcs'!I83*training*'Key assumptions'!$E74*'Key assumptions'!N$19</f>
        <v>0</v>
      </c>
      <c r="J23" s="207">
        <f t="shared" si="1"/>
        <v>0</v>
      </c>
      <c r="K23" s="218"/>
      <c r="L23" s="207">
        <f>'FTE&amp;roles_calcs'!M83*training*'Key assumptions'!$E74*'Key assumptions'!P$19</f>
        <v>0</v>
      </c>
      <c r="M23" s="218"/>
    </row>
    <row r="24" spans="1:13" x14ac:dyDescent="0.3">
      <c r="B24" s="208" t="s">
        <v>133</v>
      </c>
      <c r="C24" s="209">
        <f t="shared" ref="C24:I24" si="2">SUM(C11:C23)</f>
        <v>114291.52887078574</v>
      </c>
      <c r="D24" s="209">
        <f t="shared" si="2"/>
        <v>208153.92615086571</v>
      </c>
      <c r="E24" s="209">
        <f t="shared" si="2"/>
        <v>196917.12546266179</v>
      </c>
      <c r="F24" s="209">
        <f t="shared" si="2"/>
        <v>60805.948587209103</v>
      </c>
      <c r="G24" s="209">
        <f t="shared" si="2"/>
        <v>0</v>
      </c>
      <c r="H24" s="209">
        <f t="shared" si="2"/>
        <v>0</v>
      </c>
      <c r="I24" s="209">
        <f t="shared" si="2"/>
        <v>0</v>
      </c>
      <c r="J24" s="209">
        <f t="shared" si="0"/>
        <v>580168.52907152241</v>
      </c>
      <c r="L24" s="209">
        <f t="shared" ref="L24" si="3">SUM(L11:L23)</f>
        <v>63367.044604291747</v>
      </c>
    </row>
    <row r="25" spans="1:13" x14ac:dyDescent="0.3">
      <c r="B25" s="231"/>
      <c r="C25" s="232"/>
      <c r="D25" s="232"/>
      <c r="E25" s="232"/>
      <c r="F25" s="232"/>
      <c r="G25" s="232"/>
      <c r="H25" s="232"/>
      <c r="I25" s="232"/>
      <c r="J25" s="232"/>
    </row>
    <row r="26" spans="1:13" x14ac:dyDescent="0.3">
      <c r="A26" s="39"/>
      <c r="B26" s="118" t="s">
        <v>183</v>
      </c>
      <c r="C26" s="118"/>
      <c r="D26" s="118"/>
      <c r="E26" s="118" t="str">
        <f>"(Real "&amp;'Key assumptions'!$D$11&amp;")"</f>
        <v>(Real $RY2026)</v>
      </c>
      <c r="F26" s="118"/>
      <c r="G26" s="118"/>
      <c r="H26" s="118"/>
      <c r="I26" s="118"/>
      <c r="J26" s="118"/>
      <c r="K26" s="39"/>
      <c r="L26" s="117" t="s">
        <v>255</v>
      </c>
      <c r="M26" s="39"/>
    </row>
    <row r="27" spans="1:13" x14ac:dyDescent="0.3">
      <c r="L27" s="65"/>
    </row>
    <row r="28" spans="1:13" ht="39.75" x14ac:dyDescent="0.3">
      <c r="B28" s="136" t="s">
        <v>131</v>
      </c>
      <c r="C28" s="161" t="str" cm="1">
        <f t="array" ref="C28:I28">model_forecastperiod</f>
        <v>RY2026
01Feb-30Sep</v>
      </c>
      <c r="D28" s="161" t="str">
        <v>RY2027</v>
      </c>
      <c r="E28" s="161" t="str">
        <v>RY2028</v>
      </c>
      <c r="F28" s="161" t="str">
        <v>RY2029</v>
      </c>
      <c r="G28" s="161" t="str">
        <v>RY2030</v>
      </c>
      <c r="H28" s="161" t="str">
        <v>RY2031</v>
      </c>
      <c r="I28" s="161" t="str">
        <v>RY2032</v>
      </c>
      <c r="J28" s="140" t="s">
        <v>133</v>
      </c>
      <c r="K28" s="43"/>
      <c r="L28" s="140" t="s">
        <v>254</v>
      </c>
      <c r="M28" s="43"/>
    </row>
    <row r="29" spans="1:13" x14ac:dyDescent="0.3">
      <c r="B29" s="206" t="str">
        <f>B11</f>
        <v>Community and Stakeholder Engagement</v>
      </c>
      <c r="C29" s="207">
        <f>SUMIFS(Internal_labour_inputs!HK$8:HK$288,Internal_labour_inputs!$B$8:$B$288,'Labour-related_calcs'!$B29)*'Key assumptions'!$D$85*'Key assumptions'!$D62</f>
        <v>0</v>
      </c>
      <c r="D29" s="207">
        <f>SUMIFS(Internal_labour_inputs!HL$8:HL$288,Internal_labour_inputs!$B$8:$B$288,'Labour-related_calcs'!$B29)*'Key assumptions'!$D$85*'Key assumptions'!$D62</f>
        <v>0</v>
      </c>
      <c r="E29" s="207">
        <f>SUMIFS(Internal_labour_inputs!HM$8:HM$288,Internal_labour_inputs!$B$8:$B$288,'Labour-related_calcs'!$B29)*'Key assumptions'!$D$85*'Key assumptions'!$D62</f>
        <v>0</v>
      </c>
      <c r="F29" s="207">
        <f>SUMIFS(Internal_labour_inputs!HN$8:HN$288,Internal_labour_inputs!$B$8:$B$288,'Labour-related_calcs'!$B29)*'Key assumptions'!$D$85*'Key assumptions'!$D62</f>
        <v>0</v>
      </c>
      <c r="G29" s="207">
        <f>SUMIFS(Internal_labour_inputs!HO$8:HO$288,Internal_labour_inputs!$B$8:$B$288,'Labour-related_calcs'!$B29)*'Key assumptions'!$D$85*'Key assumptions'!$D62</f>
        <v>0</v>
      </c>
      <c r="H29" s="207">
        <f>SUMIFS(Internal_labour_inputs!HP$8:HP$288,Internal_labour_inputs!$B$8:$B$288,'Labour-related_calcs'!$B29)*'Key assumptions'!$D$85*'Key assumptions'!$D62</f>
        <v>0</v>
      </c>
      <c r="I29" s="207">
        <f>SUMIFS(Internal_labour_inputs!HQ$8:HQ$288,Internal_labour_inputs!$B$8:$B$288,'Labour-related_calcs'!$B29)*'Key assumptions'!$D$85*'Key assumptions'!$D62</f>
        <v>0</v>
      </c>
      <c r="J29" s="207">
        <f t="shared" ref="J29:J42" si="4">SUM(C29:I29)</f>
        <v>0</v>
      </c>
      <c r="K29" s="218"/>
      <c r="L29" s="207">
        <f>SUMIFS(Internal_labour_inputs!HU$8:HU$288,Internal_labour_inputs!$B$8:$B$288,'Labour-related_calcs'!$B29)*'Key assumptions'!$D$85*'Key assumptions'!$D62</f>
        <v>0</v>
      </c>
      <c r="M29" s="218"/>
    </row>
    <row r="30" spans="1:13" x14ac:dyDescent="0.3">
      <c r="B30" s="206" t="str">
        <f t="shared" ref="B30:B41" si="5">B12</f>
        <v>Fleet</v>
      </c>
      <c r="C30" s="207">
        <f>SUMIFS(Internal_labour_inputs!HK$8:HK$288,Internal_labour_inputs!$B$8:$B$288,'Labour-related_calcs'!$B30)*'Key assumptions'!$D$85*'Key assumptions'!$D63</f>
        <v>0</v>
      </c>
      <c r="D30" s="207">
        <f>SUMIFS(Internal_labour_inputs!HL$8:HL$288,Internal_labour_inputs!$B$8:$B$288,'Labour-related_calcs'!$B30)*'Key assumptions'!$D$85*'Key assumptions'!$D63</f>
        <v>0</v>
      </c>
      <c r="E30" s="207">
        <f>SUMIFS(Internal_labour_inputs!HM$8:HM$288,Internal_labour_inputs!$B$8:$B$288,'Labour-related_calcs'!$B30)*'Key assumptions'!$D$85*'Key assumptions'!$D63</f>
        <v>0</v>
      </c>
      <c r="F30" s="207">
        <f>SUMIFS(Internal_labour_inputs!HN$8:HN$288,Internal_labour_inputs!$B$8:$B$288,'Labour-related_calcs'!$B30)*'Key assumptions'!$D$85*'Key assumptions'!$D63</f>
        <v>0</v>
      </c>
      <c r="G30" s="207">
        <f>SUMIFS(Internal_labour_inputs!HO$8:HO$288,Internal_labour_inputs!$B$8:$B$288,'Labour-related_calcs'!$B30)*'Key assumptions'!$D$85*'Key assumptions'!$D63</f>
        <v>0</v>
      </c>
      <c r="H30" s="207">
        <f>SUMIFS(Internal_labour_inputs!HP$8:HP$288,Internal_labour_inputs!$B$8:$B$288,'Labour-related_calcs'!$B30)*'Key assumptions'!$D$85*'Key assumptions'!$D63</f>
        <v>0</v>
      </c>
      <c r="I30" s="207">
        <f>SUMIFS(Internal_labour_inputs!HQ$8:HQ$288,Internal_labour_inputs!$B$8:$B$288,'Labour-related_calcs'!$B30)*'Key assumptions'!$D$85*'Key assumptions'!$D63</f>
        <v>0</v>
      </c>
      <c r="J30" s="207">
        <f t="shared" ref="J30:J41" si="6">SUM(C30:I30)</f>
        <v>0</v>
      </c>
      <c r="K30" s="218"/>
      <c r="L30" s="207">
        <f>SUMIFS(Internal_labour_inputs!HU$8:HU$288,Internal_labour_inputs!$B$8:$B$288,'Labour-related_calcs'!$B30)*'Key assumptions'!$D$85*'Key assumptions'!$D63</f>
        <v>0</v>
      </c>
      <c r="M30" s="218"/>
    </row>
    <row r="31" spans="1:13" x14ac:dyDescent="0.3">
      <c r="B31" s="206" t="str">
        <f t="shared" si="5"/>
        <v>Land and Environment</v>
      </c>
      <c r="C31" s="207">
        <f>SUMIFS(Internal_labour_inputs!HK$8:HK$288,Internal_labour_inputs!$B$8:$B$288,'Labour-related_calcs'!$B31)*'Key assumptions'!$D$85*'Key assumptions'!$D64</f>
        <v>25701.95196043473</v>
      </c>
      <c r="D31" s="207">
        <f>SUMIFS(Internal_labour_inputs!HL$8:HL$288,Internal_labour_inputs!$B$8:$B$288,'Labour-related_calcs'!$B31)*'Key assumptions'!$D$85*'Key assumptions'!$D64</f>
        <v>0</v>
      </c>
      <c r="E31" s="207">
        <f>SUMIFS(Internal_labour_inputs!HM$8:HM$288,Internal_labour_inputs!$B$8:$B$288,'Labour-related_calcs'!$B31)*'Key assumptions'!$D$85*'Key assumptions'!$D64</f>
        <v>0</v>
      </c>
      <c r="F31" s="207">
        <f>SUMIFS(Internal_labour_inputs!HN$8:HN$288,Internal_labour_inputs!$B$8:$B$288,'Labour-related_calcs'!$B31)*'Key assumptions'!$D$85*'Key assumptions'!$D64</f>
        <v>0</v>
      </c>
      <c r="G31" s="207">
        <f>SUMIFS(Internal_labour_inputs!HO$8:HO$288,Internal_labour_inputs!$B$8:$B$288,'Labour-related_calcs'!$B31)*'Key assumptions'!$D$85*'Key assumptions'!$D64</f>
        <v>0</v>
      </c>
      <c r="H31" s="207">
        <f>SUMIFS(Internal_labour_inputs!HP$8:HP$288,Internal_labour_inputs!$B$8:$B$288,'Labour-related_calcs'!$B31)*'Key assumptions'!$D$85*'Key assumptions'!$D64</f>
        <v>0</v>
      </c>
      <c r="I31" s="207">
        <f>SUMIFS(Internal_labour_inputs!HQ$8:HQ$288,Internal_labour_inputs!$B$8:$B$288,'Labour-related_calcs'!$B31)*'Key assumptions'!$D$85*'Key assumptions'!$D64</f>
        <v>0</v>
      </c>
      <c r="J31" s="207">
        <f t="shared" si="6"/>
        <v>25701.95196043473</v>
      </c>
      <c r="K31" s="218"/>
      <c r="L31" s="207">
        <f>SUMIFS(Internal_labour_inputs!HU$8:HU$288,Internal_labour_inputs!$B$8:$B$288,'Labour-related_calcs'!$B31)*'Key assumptions'!$D$85*'Key assumptions'!$D64</f>
        <v>25475.296483944901</v>
      </c>
      <c r="M31" s="218"/>
    </row>
    <row r="32" spans="1:13" x14ac:dyDescent="0.3">
      <c r="B32" s="206" t="str">
        <f t="shared" si="5"/>
        <v>Other Support &amp; Corporate Roles</v>
      </c>
      <c r="C32" s="207">
        <f>SUMIFS(Internal_labour_inputs!HK$8:HK$288,Internal_labour_inputs!$B$8:$B$288,'Labour-related_calcs'!$B32)*'Key assumptions'!$D$85*'Key assumptions'!$D65</f>
        <v>0</v>
      </c>
      <c r="D32" s="207">
        <f>SUMIFS(Internal_labour_inputs!HL$8:HL$288,Internal_labour_inputs!$B$8:$B$288,'Labour-related_calcs'!$B32)*'Key assumptions'!$D$85*'Key assumptions'!$D65</f>
        <v>0</v>
      </c>
      <c r="E32" s="207">
        <f>SUMIFS(Internal_labour_inputs!HM$8:HM$288,Internal_labour_inputs!$B$8:$B$288,'Labour-related_calcs'!$B32)*'Key assumptions'!$D$85*'Key assumptions'!$D65</f>
        <v>0</v>
      </c>
      <c r="F32" s="207">
        <f>SUMIFS(Internal_labour_inputs!HN$8:HN$288,Internal_labour_inputs!$B$8:$B$288,'Labour-related_calcs'!$B32)*'Key assumptions'!$D$85*'Key assumptions'!$D65</f>
        <v>0</v>
      </c>
      <c r="G32" s="207">
        <f>SUMIFS(Internal_labour_inputs!HO$8:HO$288,Internal_labour_inputs!$B$8:$B$288,'Labour-related_calcs'!$B32)*'Key assumptions'!$D$85*'Key assumptions'!$D65</f>
        <v>0</v>
      </c>
      <c r="H32" s="207">
        <f>SUMIFS(Internal_labour_inputs!HP$8:HP$288,Internal_labour_inputs!$B$8:$B$288,'Labour-related_calcs'!$B32)*'Key assumptions'!$D$85*'Key assumptions'!$D65</f>
        <v>0</v>
      </c>
      <c r="I32" s="207">
        <f>SUMIFS(Internal_labour_inputs!HQ$8:HQ$288,Internal_labour_inputs!$B$8:$B$288,'Labour-related_calcs'!$B32)*'Key assumptions'!$D$85*'Key assumptions'!$D65</f>
        <v>0</v>
      </c>
      <c r="J32" s="207">
        <f t="shared" si="6"/>
        <v>0</v>
      </c>
      <c r="K32" s="218"/>
      <c r="L32" s="207">
        <f>SUMIFS(Internal_labour_inputs!HU$8:HU$288,Internal_labour_inputs!$B$8:$B$288,'Labour-related_calcs'!$B32)*'Key assumptions'!$D$85*'Key assumptions'!$D65</f>
        <v>0</v>
      </c>
      <c r="M32" s="218"/>
    </row>
    <row r="33" spans="1:13" x14ac:dyDescent="0.3">
      <c r="B33" s="206" t="str">
        <f t="shared" si="5"/>
        <v>Project Delivery Management - Commercial Management</v>
      </c>
      <c r="C33" s="207">
        <f>SUMIFS(Internal_labour_inputs!HK$8:HK$288,Internal_labour_inputs!$B$8:$B$288,'Labour-related_calcs'!$B33)*'Key assumptions'!$D$85*'Key assumptions'!$D66</f>
        <v>151810.3145837817</v>
      </c>
      <c r="D33" s="207">
        <f>SUMIFS(Internal_labour_inputs!HL$8:HL$288,Internal_labour_inputs!$B$8:$B$288,'Labour-related_calcs'!$B33)*'Key assumptions'!$D$85*'Key assumptions'!$D66</f>
        <v>0</v>
      </c>
      <c r="E33" s="207">
        <f>SUMIFS(Internal_labour_inputs!HM$8:HM$288,Internal_labour_inputs!$B$8:$B$288,'Labour-related_calcs'!$B33)*'Key assumptions'!$D$85*'Key assumptions'!$D66</f>
        <v>0</v>
      </c>
      <c r="F33" s="207">
        <f>SUMIFS(Internal_labour_inputs!HN$8:HN$288,Internal_labour_inputs!$B$8:$B$288,'Labour-related_calcs'!$B33)*'Key assumptions'!$D$85*'Key assumptions'!$D66</f>
        <v>0</v>
      </c>
      <c r="G33" s="207">
        <f>SUMIFS(Internal_labour_inputs!HO$8:HO$288,Internal_labour_inputs!$B$8:$B$288,'Labour-related_calcs'!$B33)*'Key assumptions'!$D$85*'Key assumptions'!$D66</f>
        <v>0</v>
      </c>
      <c r="H33" s="207">
        <f>SUMIFS(Internal_labour_inputs!HP$8:HP$288,Internal_labour_inputs!$B$8:$B$288,'Labour-related_calcs'!$B33)*'Key assumptions'!$D$85*'Key assumptions'!$D66</f>
        <v>0</v>
      </c>
      <c r="I33" s="207">
        <f>SUMIFS(Internal_labour_inputs!HQ$8:HQ$288,Internal_labour_inputs!$B$8:$B$288,'Labour-related_calcs'!$B33)*'Key assumptions'!$D$85*'Key assumptions'!$D66</f>
        <v>0</v>
      </c>
      <c r="J33" s="207">
        <f t="shared" si="6"/>
        <v>151810.3145837817</v>
      </c>
      <c r="K33" s="218"/>
      <c r="L33" s="207">
        <f>SUMIFS(Internal_labour_inputs!HU$8:HU$288,Internal_labour_inputs!$B$8:$B$288,'Labour-related_calcs'!$B33)*'Key assumptions'!$D$85*'Key assumptions'!$D66</f>
        <v>151810.3145837817</v>
      </c>
      <c r="M33" s="218"/>
    </row>
    <row r="34" spans="1:13" x14ac:dyDescent="0.3">
      <c r="B34" s="206" t="str">
        <f t="shared" si="5"/>
        <v>Project Delivery Management - Commissioning</v>
      </c>
      <c r="C34" s="207">
        <f>SUMIFS(Internal_labour_inputs!HK$8:HK$288,Internal_labour_inputs!$B$8:$B$288,'Labour-related_calcs'!$B34)*'Key assumptions'!$D$85*'Key assumptions'!$D67</f>
        <v>0</v>
      </c>
      <c r="D34" s="207">
        <f>SUMIFS(Internal_labour_inputs!HL$8:HL$288,Internal_labour_inputs!$B$8:$B$288,'Labour-related_calcs'!$B34)*'Key assumptions'!$D$85*'Key assumptions'!$D67</f>
        <v>0</v>
      </c>
      <c r="E34" s="207">
        <f>SUMIFS(Internal_labour_inputs!HM$8:HM$288,Internal_labour_inputs!$B$8:$B$288,'Labour-related_calcs'!$B34)*'Key assumptions'!$D$85*'Key assumptions'!$D67</f>
        <v>0</v>
      </c>
      <c r="F34" s="207">
        <f>SUMIFS(Internal_labour_inputs!HN$8:HN$288,Internal_labour_inputs!$B$8:$B$288,'Labour-related_calcs'!$B34)*'Key assumptions'!$D$85*'Key assumptions'!$D67</f>
        <v>0</v>
      </c>
      <c r="G34" s="207">
        <f>SUMIFS(Internal_labour_inputs!HO$8:HO$288,Internal_labour_inputs!$B$8:$B$288,'Labour-related_calcs'!$B34)*'Key assumptions'!$D$85*'Key assumptions'!$D67</f>
        <v>0</v>
      </c>
      <c r="H34" s="207">
        <f>SUMIFS(Internal_labour_inputs!HP$8:HP$288,Internal_labour_inputs!$B$8:$B$288,'Labour-related_calcs'!$B34)*'Key assumptions'!$D$85*'Key assumptions'!$D67</f>
        <v>0</v>
      </c>
      <c r="I34" s="207">
        <f>SUMIFS(Internal_labour_inputs!HQ$8:HQ$288,Internal_labour_inputs!$B$8:$B$288,'Labour-related_calcs'!$B34)*'Key assumptions'!$D$85*'Key assumptions'!$D67</f>
        <v>0</v>
      </c>
      <c r="J34" s="207">
        <f t="shared" si="6"/>
        <v>0</v>
      </c>
      <c r="K34" s="218"/>
      <c r="L34" s="207">
        <f>SUMIFS(Internal_labour_inputs!HU$8:HU$288,Internal_labour_inputs!$B$8:$B$288,'Labour-related_calcs'!$B34)*'Key assumptions'!$D$85*'Key assumptions'!$D67</f>
        <v>0</v>
      </c>
      <c r="M34" s="218"/>
    </row>
    <row r="35" spans="1:13" x14ac:dyDescent="0.3">
      <c r="B35" s="206" t="str">
        <f t="shared" si="5"/>
        <v>Project Delivery Management - Construction Management</v>
      </c>
      <c r="C35" s="207">
        <f>SUMIFS(Internal_labour_inputs!HK$8:HK$288,Internal_labour_inputs!$B$8:$B$288,'Labour-related_calcs'!$B35)*'Key assumptions'!$D$85*'Key assumptions'!$D68</f>
        <v>0</v>
      </c>
      <c r="D35" s="207">
        <f>SUMIFS(Internal_labour_inputs!HL$8:HL$288,Internal_labour_inputs!$B$8:$B$288,'Labour-related_calcs'!$B35)*'Key assumptions'!$D$85*'Key assumptions'!$D68</f>
        <v>0</v>
      </c>
      <c r="E35" s="207">
        <f>SUMIFS(Internal_labour_inputs!HM$8:HM$288,Internal_labour_inputs!$B$8:$B$288,'Labour-related_calcs'!$B35)*'Key assumptions'!$D$85*'Key assumptions'!$D68</f>
        <v>0</v>
      </c>
      <c r="F35" s="207">
        <f>SUMIFS(Internal_labour_inputs!HN$8:HN$288,Internal_labour_inputs!$B$8:$B$288,'Labour-related_calcs'!$B35)*'Key assumptions'!$D$85*'Key assumptions'!$D68</f>
        <v>0</v>
      </c>
      <c r="G35" s="207">
        <f>SUMIFS(Internal_labour_inputs!HO$8:HO$288,Internal_labour_inputs!$B$8:$B$288,'Labour-related_calcs'!$B35)*'Key assumptions'!$D$85*'Key assumptions'!$D68</f>
        <v>0</v>
      </c>
      <c r="H35" s="207">
        <f>SUMIFS(Internal_labour_inputs!HP$8:HP$288,Internal_labour_inputs!$B$8:$B$288,'Labour-related_calcs'!$B35)*'Key assumptions'!$D$85*'Key assumptions'!$D68</f>
        <v>0</v>
      </c>
      <c r="I35" s="207">
        <f>SUMIFS(Internal_labour_inputs!HQ$8:HQ$288,Internal_labour_inputs!$B$8:$B$288,'Labour-related_calcs'!$B35)*'Key assumptions'!$D$85*'Key assumptions'!$D68</f>
        <v>0</v>
      </c>
      <c r="J35" s="207">
        <f t="shared" si="6"/>
        <v>0</v>
      </c>
      <c r="K35" s="218"/>
      <c r="L35" s="207">
        <f>SUMIFS(Internal_labour_inputs!HU$8:HU$288,Internal_labour_inputs!$B$8:$B$288,'Labour-related_calcs'!$B35)*'Key assumptions'!$D$85*'Key assumptions'!$D68</f>
        <v>0</v>
      </c>
      <c r="M35" s="218"/>
    </row>
    <row r="36" spans="1:13" x14ac:dyDescent="0.3">
      <c r="B36" s="206" t="str">
        <f t="shared" si="5"/>
        <v>Project Delivery Management - Project Controls</v>
      </c>
      <c r="C36" s="207">
        <f>SUMIFS(Internal_labour_inputs!HK$8:HK$288,Internal_labour_inputs!$B$8:$B$288,'Labour-related_calcs'!$B36)*'Key assumptions'!$D$85*'Key assumptions'!$D69</f>
        <v>85346.966587808216</v>
      </c>
      <c r="D36" s="207">
        <f>SUMIFS(Internal_labour_inputs!HL$8:HL$288,Internal_labour_inputs!$B$8:$B$288,'Labour-related_calcs'!$B36)*'Key assumptions'!$D$85*'Key assumptions'!$D69</f>
        <v>0</v>
      </c>
      <c r="E36" s="207">
        <f>SUMIFS(Internal_labour_inputs!HM$8:HM$288,Internal_labour_inputs!$B$8:$B$288,'Labour-related_calcs'!$B36)*'Key assumptions'!$D$85*'Key assumptions'!$D69</f>
        <v>0</v>
      </c>
      <c r="F36" s="207">
        <f>SUMIFS(Internal_labour_inputs!HN$8:HN$288,Internal_labour_inputs!$B$8:$B$288,'Labour-related_calcs'!$B36)*'Key assumptions'!$D$85*'Key assumptions'!$D69</f>
        <v>0</v>
      </c>
      <c r="G36" s="207">
        <f>SUMIFS(Internal_labour_inputs!HO$8:HO$288,Internal_labour_inputs!$B$8:$B$288,'Labour-related_calcs'!$B36)*'Key assumptions'!$D$85*'Key assumptions'!$D69</f>
        <v>0</v>
      </c>
      <c r="H36" s="207">
        <f>SUMIFS(Internal_labour_inputs!HP$8:HP$288,Internal_labour_inputs!$B$8:$B$288,'Labour-related_calcs'!$B36)*'Key assumptions'!$D$85*'Key assumptions'!$D69</f>
        <v>0</v>
      </c>
      <c r="I36" s="207">
        <f>SUMIFS(Internal_labour_inputs!HQ$8:HQ$288,Internal_labour_inputs!$B$8:$B$288,'Labour-related_calcs'!$B36)*'Key assumptions'!$D$85*'Key assumptions'!$D69</f>
        <v>0</v>
      </c>
      <c r="J36" s="207">
        <f t="shared" si="6"/>
        <v>85346.966587808216</v>
      </c>
      <c r="K36" s="218"/>
      <c r="L36" s="207">
        <f>SUMIFS(Internal_labour_inputs!HU$8:HU$288,Internal_labour_inputs!$B$8:$B$288,'Labour-related_calcs'!$B36)*'Key assumptions'!$D$85*'Key assumptions'!$D69</f>
        <v>85346.966587808216</v>
      </c>
      <c r="M36" s="218"/>
    </row>
    <row r="37" spans="1:13" x14ac:dyDescent="0.3">
      <c r="B37" s="206" t="str">
        <f t="shared" si="5"/>
        <v>Project Delivery Management - Project Engineering</v>
      </c>
      <c r="C37" s="207">
        <f>SUMIFS(Internal_labour_inputs!HK$8:HK$288,Internal_labour_inputs!$B$8:$B$288,'Labour-related_calcs'!$B37)*'Key assumptions'!$D$85*'Key assumptions'!$D70</f>
        <v>0</v>
      </c>
      <c r="D37" s="207">
        <f>SUMIFS(Internal_labour_inputs!HL$8:HL$288,Internal_labour_inputs!$B$8:$B$288,'Labour-related_calcs'!$B37)*'Key assumptions'!$D$85*'Key assumptions'!$D70</f>
        <v>0</v>
      </c>
      <c r="E37" s="207">
        <f>SUMIFS(Internal_labour_inputs!HM$8:HM$288,Internal_labour_inputs!$B$8:$B$288,'Labour-related_calcs'!$B37)*'Key assumptions'!$D$85*'Key assumptions'!$D70</f>
        <v>0</v>
      </c>
      <c r="F37" s="207">
        <f>SUMIFS(Internal_labour_inputs!HN$8:HN$288,Internal_labour_inputs!$B$8:$B$288,'Labour-related_calcs'!$B37)*'Key assumptions'!$D$85*'Key assumptions'!$D70</f>
        <v>0</v>
      </c>
      <c r="G37" s="207">
        <f>SUMIFS(Internal_labour_inputs!HO$8:HO$288,Internal_labour_inputs!$B$8:$B$288,'Labour-related_calcs'!$B37)*'Key assumptions'!$D$85*'Key assumptions'!$D70</f>
        <v>0</v>
      </c>
      <c r="H37" s="207">
        <f>SUMIFS(Internal_labour_inputs!HP$8:HP$288,Internal_labour_inputs!$B$8:$B$288,'Labour-related_calcs'!$B37)*'Key assumptions'!$D$85*'Key assumptions'!$D70</f>
        <v>0</v>
      </c>
      <c r="I37" s="207">
        <f>SUMIFS(Internal_labour_inputs!HQ$8:HQ$288,Internal_labour_inputs!$B$8:$B$288,'Labour-related_calcs'!$B37)*'Key assumptions'!$D$85*'Key assumptions'!$D70</f>
        <v>0</v>
      </c>
      <c r="J37" s="207">
        <f t="shared" si="6"/>
        <v>0</v>
      </c>
      <c r="K37" s="218"/>
      <c r="L37" s="207">
        <f>SUMIFS(Internal_labour_inputs!HU$8:HU$288,Internal_labour_inputs!$B$8:$B$288,'Labour-related_calcs'!$B37)*'Key assumptions'!$D$85*'Key assumptions'!$D70</f>
        <v>0</v>
      </c>
      <c r="M37" s="218"/>
    </row>
    <row r="38" spans="1:13" x14ac:dyDescent="0.3">
      <c r="B38" s="206" t="str">
        <f t="shared" si="5"/>
        <v>Project Delivery Management - Project Management</v>
      </c>
      <c r="C38" s="207">
        <f>SUMIFS(Internal_labour_inputs!HK$8:HK$288,Internal_labour_inputs!$B$8:$B$288,'Labour-related_calcs'!$B38)*'Key assumptions'!$D$85*'Key assumptions'!$D71</f>
        <v>187922.52024322312</v>
      </c>
      <c r="D38" s="207">
        <f>SUMIFS(Internal_labour_inputs!HL$8:HL$288,Internal_labour_inputs!$B$8:$B$288,'Labour-related_calcs'!$B38)*'Key assumptions'!$D$85*'Key assumptions'!$D71</f>
        <v>0</v>
      </c>
      <c r="E38" s="207">
        <f>SUMIFS(Internal_labour_inputs!HM$8:HM$288,Internal_labour_inputs!$B$8:$B$288,'Labour-related_calcs'!$B38)*'Key assumptions'!$D$85*'Key assumptions'!$D71</f>
        <v>0</v>
      </c>
      <c r="F38" s="207">
        <f>SUMIFS(Internal_labour_inputs!HN$8:HN$288,Internal_labour_inputs!$B$8:$B$288,'Labour-related_calcs'!$B38)*'Key assumptions'!$D$85*'Key assumptions'!$D71</f>
        <v>0</v>
      </c>
      <c r="G38" s="207">
        <f>SUMIFS(Internal_labour_inputs!HO$8:HO$288,Internal_labour_inputs!$B$8:$B$288,'Labour-related_calcs'!$B38)*'Key assumptions'!$D$85*'Key assumptions'!$D71</f>
        <v>0</v>
      </c>
      <c r="H38" s="207">
        <f>SUMIFS(Internal_labour_inputs!HP$8:HP$288,Internal_labour_inputs!$B$8:$B$288,'Labour-related_calcs'!$B38)*'Key assumptions'!$D$85*'Key assumptions'!$D71</f>
        <v>0</v>
      </c>
      <c r="I38" s="207">
        <f>SUMIFS(Internal_labour_inputs!HQ$8:HQ$288,Internal_labour_inputs!$B$8:$B$288,'Labour-related_calcs'!$B38)*'Key assumptions'!$D$85*'Key assumptions'!$D71</f>
        <v>0</v>
      </c>
      <c r="J38" s="207">
        <f t="shared" si="6"/>
        <v>187922.52024322312</v>
      </c>
      <c r="K38" s="218"/>
      <c r="L38" s="207">
        <f>SUMIFS(Internal_labour_inputs!HU$8:HU$288,Internal_labour_inputs!$B$8:$B$288,'Labour-related_calcs'!$B38)*'Key assumptions'!$D$85*'Key assumptions'!$D71</f>
        <v>187922.52024322312</v>
      </c>
      <c r="M38" s="218"/>
    </row>
    <row r="39" spans="1:13" x14ac:dyDescent="0.3">
      <c r="B39" s="206" t="str">
        <f t="shared" si="5"/>
        <v>Project Development</v>
      </c>
      <c r="C39" s="207">
        <f>SUMIFS(Internal_labour_inputs!HK$8:HK$288,Internal_labour_inputs!$B$8:$B$288,'Labour-related_calcs'!$B39)*'Key assumptions'!$D$85*'Key assumptions'!$D72</f>
        <v>0</v>
      </c>
      <c r="D39" s="207">
        <f>SUMIFS(Internal_labour_inputs!HL$8:HL$288,Internal_labour_inputs!$B$8:$B$288,'Labour-related_calcs'!$B39)*'Key assumptions'!$D$85*'Key assumptions'!$D72</f>
        <v>0</v>
      </c>
      <c r="E39" s="207">
        <f>SUMIFS(Internal_labour_inputs!HM$8:HM$288,Internal_labour_inputs!$B$8:$B$288,'Labour-related_calcs'!$B39)*'Key assumptions'!$D$85*'Key assumptions'!$D72</f>
        <v>0</v>
      </c>
      <c r="F39" s="207">
        <f>SUMIFS(Internal_labour_inputs!HN$8:HN$288,Internal_labour_inputs!$B$8:$B$288,'Labour-related_calcs'!$B39)*'Key assumptions'!$D$85*'Key assumptions'!$D72</f>
        <v>0</v>
      </c>
      <c r="G39" s="207">
        <f>SUMIFS(Internal_labour_inputs!HO$8:HO$288,Internal_labour_inputs!$B$8:$B$288,'Labour-related_calcs'!$B39)*'Key assumptions'!$D$85*'Key assumptions'!$D72</f>
        <v>0</v>
      </c>
      <c r="H39" s="207">
        <f>SUMIFS(Internal_labour_inputs!HP$8:HP$288,Internal_labour_inputs!$B$8:$B$288,'Labour-related_calcs'!$B39)*'Key assumptions'!$D$85*'Key assumptions'!$D72</f>
        <v>0</v>
      </c>
      <c r="I39" s="207">
        <f>SUMIFS(Internal_labour_inputs!HQ$8:HQ$288,Internal_labour_inputs!$B$8:$B$288,'Labour-related_calcs'!$B39)*'Key assumptions'!$D$85*'Key assumptions'!$D72</f>
        <v>0</v>
      </c>
      <c r="J39" s="207">
        <f t="shared" si="6"/>
        <v>0</v>
      </c>
      <c r="K39" s="218"/>
      <c r="L39" s="207">
        <f>SUMIFS(Internal_labour_inputs!HU$8:HU$288,Internal_labour_inputs!$B$8:$B$288,'Labour-related_calcs'!$B39)*'Key assumptions'!$D$85*'Key assumptions'!$D72</f>
        <v>0</v>
      </c>
      <c r="M39" s="218"/>
    </row>
    <row r="40" spans="1:13" x14ac:dyDescent="0.3">
      <c r="B40" s="206" t="str">
        <f t="shared" si="5"/>
        <v>Regulatory Approvals</v>
      </c>
      <c r="C40" s="207">
        <f>SUMIFS(Internal_labour_inputs!HK$8:HK$288,Internal_labour_inputs!$B$8:$B$288,'Labour-related_calcs'!$B40)*'Key assumptions'!$D$85*'Key assumptions'!$D73</f>
        <v>0</v>
      </c>
      <c r="D40" s="207">
        <f>SUMIFS(Internal_labour_inputs!HL$8:HL$288,Internal_labour_inputs!$B$8:$B$288,'Labour-related_calcs'!$B40)*'Key assumptions'!$D$85*'Key assumptions'!$D73</f>
        <v>0</v>
      </c>
      <c r="E40" s="207">
        <f>SUMIFS(Internal_labour_inputs!HM$8:HM$288,Internal_labour_inputs!$B$8:$B$288,'Labour-related_calcs'!$B40)*'Key assumptions'!$D$85*'Key assumptions'!$D73</f>
        <v>0</v>
      </c>
      <c r="F40" s="207">
        <f>SUMIFS(Internal_labour_inputs!HN$8:HN$288,Internal_labour_inputs!$B$8:$B$288,'Labour-related_calcs'!$B40)*'Key assumptions'!$D$85*'Key assumptions'!$D73</f>
        <v>0</v>
      </c>
      <c r="G40" s="207">
        <f>SUMIFS(Internal_labour_inputs!HO$8:HO$288,Internal_labour_inputs!$B$8:$B$288,'Labour-related_calcs'!$B40)*'Key assumptions'!$D$85*'Key assumptions'!$D73</f>
        <v>0</v>
      </c>
      <c r="H40" s="207">
        <f>SUMIFS(Internal_labour_inputs!HP$8:HP$288,Internal_labour_inputs!$B$8:$B$288,'Labour-related_calcs'!$B40)*'Key assumptions'!$D$85*'Key assumptions'!$D73</f>
        <v>0</v>
      </c>
      <c r="I40" s="207">
        <f>SUMIFS(Internal_labour_inputs!HQ$8:HQ$288,Internal_labour_inputs!$B$8:$B$288,'Labour-related_calcs'!$B40)*'Key assumptions'!$D$85*'Key assumptions'!$D73</f>
        <v>0</v>
      </c>
      <c r="J40" s="207">
        <f t="shared" si="6"/>
        <v>0</v>
      </c>
      <c r="K40" s="218"/>
      <c r="L40" s="207">
        <f>SUMIFS(Internal_labour_inputs!HU$8:HU$288,Internal_labour_inputs!$B$8:$B$288,'Labour-related_calcs'!$B40)*'Key assumptions'!$D$85*'Key assumptions'!$D73</f>
        <v>0</v>
      </c>
      <c r="M40" s="218"/>
    </row>
    <row r="41" spans="1:13" x14ac:dyDescent="0.3">
      <c r="B41" s="206" t="str">
        <f t="shared" si="5"/>
        <v>Transaction Procurement Support</v>
      </c>
      <c r="C41" s="207">
        <f>SUMIFS(Internal_labour_inputs!HK$8:HK$288,Internal_labour_inputs!$B$8:$B$288,'Labour-related_calcs'!$B41)*'Key assumptions'!$D$85*'Key assumptions'!$D74</f>
        <v>0</v>
      </c>
      <c r="D41" s="207">
        <f>SUMIFS(Internal_labour_inputs!HL$8:HL$288,Internal_labour_inputs!$B$8:$B$288,'Labour-related_calcs'!$B41)*'Key assumptions'!$D$85*'Key assumptions'!$D74</f>
        <v>0</v>
      </c>
      <c r="E41" s="207">
        <f>SUMIFS(Internal_labour_inputs!HM$8:HM$288,Internal_labour_inputs!$B$8:$B$288,'Labour-related_calcs'!$B41)*'Key assumptions'!$D$85*'Key assumptions'!$D74</f>
        <v>0</v>
      </c>
      <c r="F41" s="207">
        <f>SUMIFS(Internal_labour_inputs!HN$8:HN$288,Internal_labour_inputs!$B$8:$B$288,'Labour-related_calcs'!$B41)*'Key assumptions'!$D$85*'Key assumptions'!$D74</f>
        <v>0</v>
      </c>
      <c r="G41" s="207">
        <f>SUMIFS(Internal_labour_inputs!HO$8:HO$288,Internal_labour_inputs!$B$8:$B$288,'Labour-related_calcs'!$B41)*'Key assumptions'!$D$85*'Key assumptions'!$D74</f>
        <v>0</v>
      </c>
      <c r="H41" s="207">
        <f>SUMIFS(Internal_labour_inputs!HP$8:HP$288,Internal_labour_inputs!$B$8:$B$288,'Labour-related_calcs'!$B41)*'Key assumptions'!$D$85*'Key assumptions'!$D74</f>
        <v>0</v>
      </c>
      <c r="I41" s="207">
        <f>SUMIFS(Internal_labour_inputs!HQ$8:HQ$288,Internal_labour_inputs!$B$8:$B$288,'Labour-related_calcs'!$B41)*'Key assumptions'!$D$85*'Key assumptions'!$D74</f>
        <v>0</v>
      </c>
      <c r="J41" s="207">
        <f t="shared" si="6"/>
        <v>0</v>
      </c>
      <c r="K41" s="218"/>
      <c r="L41" s="207">
        <f>SUMIFS(Internal_labour_inputs!HU$8:HU$288,Internal_labour_inputs!$B$8:$B$288,'Labour-related_calcs'!$B41)*'Key assumptions'!$D$85*'Key assumptions'!$D74</f>
        <v>0</v>
      </c>
      <c r="M41" s="218"/>
    </row>
    <row r="42" spans="1:13" x14ac:dyDescent="0.3">
      <c r="B42" s="208" t="s">
        <v>133</v>
      </c>
      <c r="C42" s="209">
        <f t="shared" ref="C42:I42" si="7">SUM(C29:C41)</f>
        <v>450781.75337524776</v>
      </c>
      <c r="D42" s="209">
        <f t="shared" si="7"/>
        <v>0</v>
      </c>
      <c r="E42" s="209">
        <f t="shared" si="7"/>
        <v>0</v>
      </c>
      <c r="F42" s="209">
        <f t="shared" si="7"/>
        <v>0</v>
      </c>
      <c r="G42" s="209">
        <f t="shared" si="7"/>
        <v>0</v>
      </c>
      <c r="H42" s="209">
        <f t="shared" si="7"/>
        <v>0</v>
      </c>
      <c r="I42" s="209">
        <f t="shared" si="7"/>
        <v>0</v>
      </c>
      <c r="J42" s="209">
        <f t="shared" si="4"/>
        <v>450781.75337524776</v>
      </c>
      <c r="L42" s="209">
        <f t="shared" ref="L42" si="8">SUM(L29:L41)</f>
        <v>450555.09789875796</v>
      </c>
    </row>
    <row r="44" spans="1:13" x14ac:dyDescent="0.3">
      <c r="A44" s="39"/>
      <c r="B44" s="118" t="s">
        <v>184</v>
      </c>
      <c r="C44" s="118"/>
      <c r="D44" s="118"/>
      <c r="E44" s="118" t="str">
        <f>"(Real "&amp;'Key assumptions'!$D$11&amp;")"</f>
        <v>(Real $RY2026)</v>
      </c>
      <c r="F44" s="118"/>
      <c r="G44" s="118"/>
      <c r="H44" s="118"/>
      <c r="I44" s="118"/>
      <c r="J44" s="118"/>
      <c r="K44" s="39"/>
      <c r="L44" s="117" t="s">
        <v>255</v>
      </c>
      <c r="M44" s="39"/>
    </row>
    <row r="45" spans="1:13" x14ac:dyDescent="0.3">
      <c r="L45" s="65"/>
    </row>
    <row r="46" spans="1:13" ht="39.75" x14ac:dyDescent="0.3">
      <c r="B46" s="136" t="s">
        <v>131</v>
      </c>
      <c r="C46" s="161" t="str" cm="1">
        <f t="array" ref="C46:I46">model_forecastperiod</f>
        <v>RY2026
01Feb-30Sep</v>
      </c>
      <c r="D46" s="161" t="str">
        <v>RY2027</v>
      </c>
      <c r="E46" s="161" t="str">
        <v>RY2028</v>
      </c>
      <c r="F46" s="161" t="str">
        <v>RY2029</v>
      </c>
      <c r="G46" s="161" t="str">
        <v>RY2030</v>
      </c>
      <c r="H46" s="161" t="str">
        <v>RY2031</v>
      </c>
      <c r="I46" s="161" t="str">
        <v>RY2032</v>
      </c>
      <c r="J46" s="140" t="s">
        <v>133</v>
      </c>
      <c r="K46" s="43"/>
      <c r="L46" s="140" t="s">
        <v>254</v>
      </c>
      <c r="M46" s="43"/>
    </row>
    <row r="47" spans="1:13" x14ac:dyDescent="0.3">
      <c r="B47" s="206" t="str">
        <f>B11</f>
        <v>Community and Stakeholder Engagement</v>
      </c>
      <c r="C47" s="207">
        <f>'FTE&amp;roles_calcs'!C127*'Key assumptions'!$D$101*'Key assumptions'!$F62</f>
        <v>0</v>
      </c>
      <c r="D47" s="207">
        <f>'FTE&amp;roles_calcs'!D127*'Key assumptions'!$D$101*'Key assumptions'!$F62</f>
        <v>0</v>
      </c>
      <c r="E47" s="207">
        <f>'FTE&amp;roles_calcs'!E127*'Key assumptions'!$D$101*'Key assumptions'!$F62</f>
        <v>0</v>
      </c>
      <c r="F47" s="207">
        <f>'FTE&amp;roles_calcs'!F127*'Key assumptions'!$D$101*'Key assumptions'!$F62</f>
        <v>0</v>
      </c>
      <c r="G47" s="207">
        <f>'FTE&amp;roles_calcs'!G127*'Key assumptions'!$D$101*'Key assumptions'!$F62</f>
        <v>0</v>
      </c>
      <c r="H47" s="207">
        <f>'FTE&amp;roles_calcs'!H127*'Key assumptions'!$D$101*'Key assumptions'!$F62</f>
        <v>0</v>
      </c>
      <c r="I47" s="207">
        <f>'FTE&amp;roles_calcs'!I127*'Key assumptions'!$D$101*'Key assumptions'!$F62</f>
        <v>0</v>
      </c>
      <c r="J47" s="207">
        <f t="shared" ref="J47:J60" si="9">SUM(C47:I47)</f>
        <v>0</v>
      </c>
      <c r="K47" s="218"/>
      <c r="L47" s="207">
        <f>'FTE&amp;roles_calcs'!L127*'Key assumptions'!$D$101*'Key assumptions'!$F62/(1+'Key assumptions'!$G$30)^0.75</f>
        <v>0</v>
      </c>
      <c r="M47" s="218"/>
    </row>
    <row r="48" spans="1:13" x14ac:dyDescent="0.3">
      <c r="B48" s="206" t="str">
        <f t="shared" ref="B48:B59" si="10">B12</f>
        <v>Fleet</v>
      </c>
      <c r="C48" s="207">
        <f>'FTE&amp;roles_calcs'!C128*'Key assumptions'!$D$101*'Key assumptions'!$F63</f>
        <v>0</v>
      </c>
      <c r="D48" s="207">
        <f>'FTE&amp;roles_calcs'!D128*'Key assumptions'!$D$101*'Key assumptions'!$F63</f>
        <v>0</v>
      </c>
      <c r="E48" s="207">
        <f>'FTE&amp;roles_calcs'!E128*'Key assumptions'!$D$101*'Key assumptions'!$F63</f>
        <v>0</v>
      </c>
      <c r="F48" s="207">
        <f>'FTE&amp;roles_calcs'!F128*'Key assumptions'!$D$101*'Key assumptions'!$F63</f>
        <v>0</v>
      </c>
      <c r="G48" s="207">
        <f>'FTE&amp;roles_calcs'!G128*'Key assumptions'!$D$101*'Key assumptions'!$F63</f>
        <v>0</v>
      </c>
      <c r="H48" s="207">
        <f>'FTE&amp;roles_calcs'!H128*'Key assumptions'!$D$101*'Key assumptions'!$F63</f>
        <v>0</v>
      </c>
      <c r="I48" s="207">
        <f>'FTE&amp;roles_calcs'!I128*'Key assumptions'!$D$101*'Key assumptions'!$F63</f>
        <v>0</v>
      </c>
      <c r="J48" s="207">
        <f t="shared" ref="J48:J59" si="11">SUM(C48:I48)</f>
        <v>0</v>
      </c>
      <c r="K48" s="218"/>
      <c r="L48" s="207">
        <f>'FTE&amp;roles_calcs'!L128*'Key assumptions'!$D$101*'Key assumptions'!$F63/(1+'Key assumptions'!$G$30)^0.75</f>
        <v>0</v>
      </c>
      <c r="M48" s="218"/>
    </row>
    <row r="49" spans="1:13" x14ac:dyDescent="0.3">
      <c r="B49" s="206" t="str">
        <f t="shared" si="10"/>
        <v>Land and Environment</v>
      </c>
      <c r="C49" s="207">
        <f>'FTE&amp;roles_calcs'!C129*'Key assumptions'!$D$101*'Key assumptions'!$F64</f>
        <v>3342.626851302432</v>
      </c>
      <c r="D49" s="207">
        <f>'FTE&amp;roles_calcs'!D129*'Key assumptions'!$D$101*'Key assumptions'!$F64</f>
        <v>0</v>
      </c>
      <c r="E49" s="207">
        <f>'FTE&amp;roles_calcs'!E129*'Key assumptions'!$D$101*'Key assumptions'!$F64</f>
        <v>0</v>
      </c>
      <c r="F49" s="207">
        <f>'FTE&amp;roles_calcs'!F129*'Key assumptions'!$D$101*'Key assumptions'!$F64</f>
        <v>0</v>
      </c>
      <c r="G49" s="207">
        <f>'FTE&amp;roles_calcs'!G129*'Key assumptions'!$D$101*'Key assumptions'!$F64</f>
        <v>0</v>
      </c>
      <c r="H49" s="207">
        <f>'FTE&amp;roles_calcs'!H129*'Key assumptions'!$D$101*'Key assumptions'!$F64</f>
        <v>0</v>
      </c>
      <c r="I49" s="207">
        <f>'FTE&amp;roles_calcs'!I129*'Key assumptions'!$D$101*'Key assumptions'!$F64</f>
        <v>0</v>
      </c>
      <c r="J49" s="207">
        <f t="shared" si="11"/>
        <v>3342.626851302432</v>
      </c>
      <c r="K49" s="218"/>
      <c r="L49" s="207">
        <f>'FTE&amp;roles_calcs'!L129*'Key assumptions'!$D$101*'Key assumptions'!$F64/(1+'Key assumptions'!$G$30)^0.75</f>
        <v>3225.7947864831262</v>
      </c>
      <c r="M49" s="218"/>
    </row>
    <row r="50" spans="1:13" x14ac:dyDescent="0.3">
      <c r="B50" s="206" t="str">
        <f t="shared" si="10"/>
        <v>Other Support &amp; Corporate Roles</v>
      </c>
      <c r="C50" s="207">
        <f>'FTE&amp;roles_calcs'!C130*'Key assumptions'!$D$101*'Key assumptions'!$F65</f>
        <v>0</v>
      </c>
      <c r="D50" s="207">
        <f>'FTE&amp;roles_calcs'!D130*'Key assumptions'!$D$101*'Key assumptions'!$F65</f>
        <v>0</v>
      </c>
      <c r="E50" s="207">
        <f>'FTE&amp;roles_calcs'!E130*'Key assumptions'!$D$101*'Key assumptions'!$F65</f>
        <v>0</v>
      </c>
      <c r="F50" s="207">
        <f>'FTE&amp;roles_calcs'!F130*'Key assumptions'!$D$101*'Key assumptions'!$F65</f>
        <v>0</v>
      </c>
      <c r="G50" s="207">
        <f>'FTE&amp;roles_calcs'!G130*'Key assumptions'!$D$101*'Key assumptions'!$F65</f>
        <v>0</v>
      </c>
      <c r="H50" s="207">
        <f>'FTE&amp;roles_calcs'!H130*'Key assumptions'!$D$101*'Key assumptions'!$F65</f>
        <v>0</v>
      </c>
      <c r="I50" s="207">
        <f>'FTE&amp;roles_calcs'!I130*'Key assumptions'!$D$101*'Key assumptions'!$F65</f>
        <v>0</v>
      </c>
      <c r="J50" s="207">
        <f t="shared" si="11"/>
        <v>0</v>
      </c>
      <c r="K50" s="218"/>
      <c r="L50" s="207">
        <f>'FTE&amp;roles_calcs'!L130*'Key assumptions'!$D$101*'Key assumptions'!$F65/(1+'Key assumptions'!$G$30)^0.75</f>
        <v>0</v>
      </c>
      <c r="M50" s="218"/>
    </row>
    <row r="51" spans="1:13" x14ac:dyDescent="0.3">
      <c r="B51" s="206" t="str">
        <f t="shared" si="10"/>
        <v>Project Delivery Management - Commercial Management</v>
      </c>
      <c r="C51" s="207">
        <f>'FTE&amp;roles_calcs'!C131*'Key assumptions'!$D$101*'Key assumptions'!$F66</f>
        <v>14861.098260710733</v>
      </c>
      <c r="D51" s="207">
        <f>'FTE&amp;roles_calcs'!D131*'Key assumptions'!$D$101*'Key assumptions'!$F66</f>
        <v>0</v>
      </c>
      <c r="E51" s="207">
        <f>'FTE&amp;roles_calcs'!E131*'Key assumptions'!$D$101*'Key assumptions'!$F66</f>
        <v>0</v>
      </c>
      <c r="F51" s="207">
        <f>'FTE&amp;roles_calcs'!F131*'Key assumptions'!$D$101*'Key assumptions'!$F66</f>
        <v>0</v>
      </c>
      <c r="G51" s="207">
        <f>'FTE&amp;roles_calcs'!G131*'Key assumptions'!$D$101*'Key assumptions'!$F66</f>
        <v>0</v>
      </c>
      <c r="H51" s="207">
        <f>'FTE&amp;roles_calcs'!H131*'Key assumptions'!$D$101*'Key assumptions'!$F66</f>
        <v>0</v>
      </c>
      <c r="I51" s="207">
        <f>'FTE&amp;roles_calcs'!I131*'Key assumptions'!$D$101*'Key assumptions'!$F66</f>
        <v>0</v>
      </c>
      <c r="J51" s="207">
        <f t="shared" si="11"/>
        <v>14861.098260710733</v>
      </c>
      <c r="K51" s="218"/>
      <c r="L51" s="207">
        <f>'FTE&amp;roles_calcs'!L131*'Key assumptions'!$D$101*'Key assumptions'!$F66/(1+'Key assumptions'!$G$30)^0.75</f>
        <v>14432.36253786339</v>
      </c>
      <c r="M51" s="218"/>
    </row>
    <row r="52" spans="1:13" x14ac:dyDescent="0.3">
      <c r="B52" s="206" t="str">
        <f t="shared" si="10"/>
        <v>Project Delivery Management - Commissioning</v>
      </c>
      <c r="C52" s="207">
        <f>'FTE&amp;roles_calcs'!C132*'Key assumptions'!$D$101*'Key assumptions'!$F67</f>
        <v>0</v>
      </c>
      <c r="D52" s="207">
        <f>'FTE&amp;roles_calcs'!D132*'Key assumptions'!$D$101*'Key assumptions'!$F67</f>
        <v>0</v>
      </c>
      <c r="E52" s="207">
        <f>'FTE&amp;roles_calcs'!E132*'Key assumptions'!$D$101*'Key assumptions'!$F67</f>
        <v>0</v>
      </c>
      <c r="F52" s="207">
        <f>'FTE&amp;roles_calcs'!F132*'Key assumptions'!$D$101*'Key assumptions'!$F67</f>
        <v>0</v>
      </c>
      <c r="G52" s="207">
        <f>'FTE&amp;roles_calcs'!G132*'Key assumptions'!$D$101*'Key assumptions'!$F67</f>
        <v>0</v>
      </c>
      <c r="H52" s="207">
        <f>'FTE&amp;roles_calcs'!H132*'Key assumptions'!$D$101*'Key assumptions'!$F67</f>
        <v>0</v>
      </c>
      <c r="I52" s="207">
        <f>'FTE&amp;roles_calcs'!I132*'Key assumptions'!$D$101*'Key assumptions'!$F67</f>
        <v>0</v>
      </c>
      <c r="J52" s="207">
        <f t="shared" si="11"/>
        <v>0</v>
      </c>
      <c r="K52" s="218"/>
      <c r="L52" s="207">
        <f>'FTE&amp;roles_calcs'!L132*'Key assumptions'!$D$101*'Key assumptions'!$F67/(1+'Key assumptions'!$G$30)^0.75</f>
        <v>0</v>
      </c>
      <c r="M52" s="218"/>
    </row>
    <row r="53" spans="1:13" x14ac:dyDescent="0.3">
      <c r="B53" s="206" t="str">
        <f t="shared" si="10"/>
        <v>Project Delivery Management - Construction Management</v>
      </c>
      <c r="C53" s="207">
        <f>'FTE&amp;roles_calcs'!C133*'Key assumptions'!$D$101*'Key assumptions'!$F68</f>
        <v>0</v>
      </c>
      <c r="D53" s="207">
        <f>'FTE&amp;roles_calcs'!D133*'Key assumptions'!$D$101*'Key assumptions'!$F68</f>
        <v>0</v>
      </c>
      <c r="E53" s="207">
        <f>'FTE&amp;roles_calcs'!E133*'Key assumptions'!$D$101*'Key assumptions'!$F68</f>
        <v>0</v>
      </c>
      <c r="F53" s="207">
        <f>'FTE&amp;roles_calcs'!F133*'Key assumptions'!$D$101*'Key assumptions'!$F68</f>
        <v>0</v>
      </c>
      <c r="G53" s="207">
        <f>'FTE&amp;roles_calcs'!G133*'Key assumptions'!$D$101*'Key assumptions'!$F68</f>
        <v>0</v>
      </c>
      <c r="H53" s="207">
        <f>'FTE&amp;roles_calcs'!H133*'Key assumptions'!$D$101*'Key assumptions'!$F68</f>
        <v>0</v>
      </c>
      <c r="I53" s="207">
        <f>'FTE&amp;roles_calcs'!I133*'Key assumptions'!$D$101*'Key assumptions'!$F68</f>
        <v>0</v>
      </c>
      <c r="J53" s="207">
        <f t="shared" si="11"/>
        <v>0</v>
      </c>
      <c r="K53" s="218"/>
      <c r="L53" s="207">
        <f>'FTE&amp;roles_calcs'!L133*'Key assumptions'!$D$101*'Key assumptions'!$F68/(1+'Key assumptions'!$G$30)^0.75</f>
        <v>0</v>
      </c>
      <c r="M53" s="218"/>
    </row>
    <row r="54" spans="1:13" x14ac:dyDescent="0.3">
      <c r="B54" s="206" t="str">
        <f t="shared" si="10"/>
        <v>Project Delivery Management - Project Controls</v>
      </c>
      <c r="C54" s="207">
        <f>'FTE&amp;roles_calcs'!C134*'Key assumptions'!$D$101*'Key assumptions'!$F69</f>
        <v>7698.0842755962931</v>
      </c>
      <c r="D54" s="207">
        <f>'FTE&amp;roles_calcs'!D134*'Key assumptions'!$D$101*'Key assumptions'!$F69</f>
        <v>0</v>
      </c>
      <c r="E54" s="207">
        <f>'FTE&amp;roles_calcs'!E134*'Key assumptions'!$D$101*'Key assumptions'!$F69</f>
        <v>0</v>
      </c>
      <c r="F54" s="207">
        <f>'FTE&amp;roles_calcs'!F134*'Key assumptions'!$D$101*'Key assumptions'!$F69</f>
        <v>0</v>
      </c>
      <c r="G54" s="207">
        <f>'FTE&amp;roles_calcs'!G134*'Key assumptions'!$D$101*'Key assumptions'!$F69</f>
        <v>0</v>
      </c>
      <c r="H54" s="207">
        <f>'FTE&amp;roles_calcs'!H134*'Key assumptions'!$D$101*'Key assumptions'!$F69</f>
        <v>0</v>
      </c>
      <c r="I54" s="207">
        <f>'FTE&amp;roles_calcs'!I134*'Key assumptions'!$D$101*'Key assumptions'!$F69</f>
        <v>0</v>
      </c>
      <c r="J54" s="207">
        <f t="shared" si="11"/>
        <v>7698.0842755962931</v>
      </c>
      <c r="K54" s="218"/>
      <c r="L54" s="207">
        <f>'FTE&amp;roles_calcs'!L134*'Key assumptions'!$D$101*'Key assumptions'!$F69/(1+'Key assumptions'!$G$30)^0.75</f>
        <v>7475.9981505645292</v>
      </c>
      <c r="M54" s="218"/>
    </row>
    <row r="55" spans="1:13" x14ac:dyDescent="0.3">
      <c r="B55" s="206" t="str">
        <f t="shared" si="10"/>
        <v>Project Delivery Management - Project Engineering</v>
      </c>
      <c r="C55" s="207">
        <f>'FTE&amp;roles_calcs'!C135*'Key assumptions'!$D$101*'Key assumptions'!$F70</f>
        <v>0</v>
      </c>
      <c r="D55" s="207">
        <f>'FTE&amp;roles_calcs'!D135*'Key assumptions'!$D$101*'Key assumptions'!$F70</f>
        <v>0</v>
      </c>
      <c r="E55" s="207">
        <f>'FTE&amp;roles_calcs'!E135*'Key assumptions'!$D$101*'Key assumptions'!$F70</f>
        <v>0</v>
      </c>
      <c r="F55" s="207">
        <f>'FTE&amp;roles_calcs'!F135*'Key assumptions'!$D$101*'Key assumptions'!$F70</f>
        <v>0</v>
      </c>
      <c r="G55" s="207">
        <f>'FTE&amp;roles_calcs'!G135*'Key assumptions'!$D$101*'Key assumptions'!$F70</f>
        <v>0</v>
      </c>
      <c r="H55" s="207">
        <f>'FTE&amp;roles_calcs'!H135*'Key assumptions'!$D$101*'Key assumptions'!$F70</f>
        <v>0</v>
      </c>
      <c r="I55" s="207">
        <f>'FTE&amp;roles_calcs'!I135*'Key assumptions'!$D$101*'Key assumptions'!$F70</f>
        <v>0</v>
      </c>
      <c r="J55" s="207">
        <f t="shared" si="11"/>
        <v>0</v>
      </c>
      <c r="K55" s="218"/>
      <c r="L55" s="207">
        <f>'FTE&amp;roles_calcs'!L135*'Key assumptions'!$D$101*'Key assumptions'!$F70/(1+'Key assumptions'!$G$30)^0.75</f>
        <v>0</v>
      </c>
      <c r="M55" s="218"/>
    </row>
    <row r="56" spans="1:13" x14ac:dyDescent="0.3">
      <c r="B56" s="206" t="str">
        <f t="shared" si="10"/>
        <v>Project Delivery Management - Project Management</v>
      </c>
      <c r="C56" s="207">
        <f>'FTE&amp;roles_calcs'!C136*'Key assumptions'!$D$101*'Key assumptions'!$F71</f>
        <v>22284.150932057382</v>
      </c>
      <c r="D56" s="207">
        <f>'FTE&amp;roles_calcs'!D136*'Key assumptions'!$D$101*'Key assumptions'!$F71</f>
        <v>0</v>
      </c>
      <c r="E56" s="207">
        <f>'FTE&amp;roles_calcs'!E136*'Key assumptions'!$D$101*'Key assumptions'!$F71</f>
        <v>0</v>
      </c>
      <c r="F56" s="207">
        <f>'FTE&amp;roles_calcs'!F136*'Key assumptions'!$D$101*'Key assumptions'!$F71</f>
        <v>0</v>
      </c>
      <c r="G56" s="207">
        <f>'FTE&amp;roles_calcs'!G136*'Key assumptions'!$D$101*'Key assumptions'!$F71</f>
        <v>0</v>
      </c>
      <c r="H56" s="207">
        <f>'FTE&amp;roles_calcs'!H136*'Key assumptions'!$D$101*'Key assumptions'!$F71</f>
        <v>0</v>
      </c>
      <c r="I56" s="207">
        <f>'FTE&amp;roles_calcs'!I136*'Key assumptions'!$D$101*'Key assumptions'!$F71</f>
        <v>0</v>
      </c>
      <c r="J56" s="207">
        <f t="shared" si="11"/>
        <v>22284.150932057382</v>
      </c>
      <c r="K56" s="218"/>
      <c r="L56" s="207">
        <f>'FTE&amp;roles_calcs'!L136*'Key assumptions'!$D$101*'Key assumptions'!$F71/(1+'Key assumptions'!$G$30)^0.75</f>
        <v>21641.263617116907</v>
      </c>
      <c r="M56" s="218"/>
    </row>
    <row r="57" spans="1:13" x14ac:dyDescent="0.3">
      <c r="B57" s="206" t="str">
        <f t="shared" si="10"/>
        <v>Project Development</v>
      </c>
      <c r="C57" s="207">
        <f>'FTE&amp;roles_calcs'!C137*'Key assumptions'!$D$101*'Key assumptions'!$F72</f>
        <v>0</v>
      </c>
      <c r="D57" s="207">
        <f>'FTE&amp;roles_calcs'!D137*'Key assumptions'!$D$101*'Key assumptions'!$F72</f>
        <v>0</v>
      </c>
      <c r="E57" s="207">
        <f>'FTE&amp;roles_calcs'!E137*'Key assumptions'!$D$101*'Key assumptions'!$F72</f>
        <v>0</v>
      </c>
      <c r="F57" s="207">
        <f>'FTE&amp;roles_calcs'!F137*'Key assumptions'!$D$101*'Key assumptions'!$F72</f>
        <v>0</v>
      </c>
      <c r="G57" s="207">
        <f>'FTE&amp;roles_calcs'!G137*'Key assumptions'!$D$101*'Key assumptions'!$F72</f>
        <v>0</v>
      </c>
      <c r="H57" s="207">
        <f>'FTE&amp;roles_calcs'!H137*'Key assumptions'!$D$101*'Key assumptions'!$F72</f>
        <v>0</v>
      </c>
      <c r="I57" s="207">
        <f>'FTE&amp;roles_calcs'!I137*'Key assumptions'!$D$101*'Key assumptions'!$F72</f>
        <v>0</v>
      </c>
      <c r="J57" s="207">
        <f t="shared" si="11"/>
        <v>0</v>
      </c>
      <c r="K57" s="218"/>
      <c r="L57" s="207">
        <f>'FTE&amp;roles_calcs'!L137*'Key assumptions'!$D$101*'Key assumptions'!$F72/(1+'Key assumptions'!$G$30)^0.75</f>
        <v>0</v>
      </c>
      <c r="M57" s="218"/>
    </row>
    <row r="58" spans="1:13" x14ac:dyDescent="0.3">
      <c r="B58" s="206" t="str">
        <f t="shared" si="10"/>
        <v>Regulatory Approvals</v>
      </c>
      <c r="C58" s="207">
        <f>'FTE&amp;roles_calcs'!C138*'Key assumptions'!$D$101*'Key assumptions'!$F73</f>
        <v>0</v>
      </c>
      <c r="D58" s="207">
        <f>'FTE&amp;roles_calcs'!D138*'Key assumptions'!$D$101*'Key assumptions'!$F73</f>
        <v>0</v>
      </c>
      <c r="E58" s="207">
        <f>'FTE&amp;roles_calcs'!E138*'Key assumptions'!$D$101*'Key assumptions'!$F73</f>
        <v>0</v>
      </c>
      <c r="F58" s="207">
        <f>'FTE&amp;roles_calcs'!F138*'Key assumptions'!$D$101*'Key assumptions'!$F73</f>
        <v>0</v>
      </c>
      <c r="G58" s="207">
        <f>'FTE&amp;roles_calcs'!G138*'Key assumptions'!$D$101*'Key assumptions'!$F73</f>
        <v>0</v>
      </c>
      <c r="H58" s="207">
        <f>'FTE&amp;roles_calcs'!H138*'Key assumptions'!$D$101*'Key assumptions'!$F73</f>
        <v>0</v>
      </c>
      <c r="I58" s="207">
        <f>'FTE&amp;roles_calcs'!I138*'Key assumptions'!$D$101*'Key assumptions'!$F73</f>
        <v>0</v>
      </c>
      <c r="J58" s="207">
        <f t="shared" si="11"/>
        <v>0</v>
      </c>
      <c r="K58" s="218"/>
      <c r="L58" s="207">
        <f>'FTE&amp;roles_calcs'!L138*'Key assumptions'!$D$101*'Key assumptions'!$F73/(1+'Key assumptions'!$G$30)^0.75</f>
        <v>0</v>
      </c>
      <c r="M58" s="218"/>
    </row>
    <row r="59" spans="1:13" x14ac:dyDescent="0.3">
      <c r="B59" s="206" t="str">
        <f t="shared" si="10"/>
        <v>Transaction Procurement Support</v>
      </c>
      <c r="C59" s="207">
        <f>'FTE&amp;roles_calcs'!C139*'Key assumptions'!$D$101*'Key assumptions'!$F74</f>
        <v>0</v>
      </c>
      <c r="D59" s="207">
        <f>'FTE&amp;roles_calcs'!D139*'Key assumptions'!$D$101*'Key assumptions'!$F74</f>
        <v>0</v>
      </c>
      <c r="E59" s="207">
        <f>'FTE&amp;roles_calcs'!E139*'Key assumptions'!$D$101*'Key assumptions'!$F74</f>
        <v>0</v>
      </c>
      <c r="F59" s="207">
        <f>'FTE&amp;roles_calcs'!F139*'Key assumptions'!$D$101*'Key assumptions'!$F74</f>
        <v>0</v>
      </c>
      <c r="G59" s="207">
        <f>'FTE&amp;roles_calcs'!G139*'Key assumptions'!$D$101*'Key assumptions'!$F74</f>
        <v>0</v>
      </c>
      <c r="H59" s="207">
        <f>'FTE&amp;roles_calcs'!H139*'Key assumptions'!$D$101*'Key assumptions'!$F74</f>
        <v>0</v>
      </c>
      <c r="I59" s="207">
        <f>'FTE&amp;roles_calcs'!I139*'Key assumptions'!$D$101*'Key assumptions'!$F74</f>
        <v>0</v>
      </c>
      <c r="J59" s="207">
        <f t="shared" si="11"/>
        <v>0</v>
      </c>
      <c r="K59" s="218"/>
      <c r="L59" s="207">
        <f>'FTE&amp;roles_calcs'!L139*'Key assumptions'!$D$101*'Key assumptions'!$F74/(1+'Key assumptions'!$G$30)^0.75</f>
        <v>0</v>
      </c>
      <c r="M59" s="218"/>
    </row>
    <row r="60" spans="1:13" x14ac:dyDescent="0.3">
      <c r="B60" s="208" t="s">
        <v>133</v>
      </c>
      <c r="C60" s="209">
        <f t="shared" ref="C60:I60" si="12">SUM(C47:C59)</f>
        <v>48185.960319666839</v>
      </c>
      <c r="D60" s="209">
        <f t="shared" si="12"/>
        <v>0</v>
      </c>
      <c r="E60" s="209">
        <f t="shared" si="12"/>
        <v>0</v>
      </c>
      <c r="F60" s="209">
        <f t="shared" si="12"/>
        <v>0</v>
      </c>
      <c r="G60" s="209">
        <f t="shared" si="12"/>
        <v>0</v>
      </c>
      <c r="H60" s="209">
        <f t="shared" si="12"/>
        <v>0</v>
      </c>
      <c r="I60" s="209">
        <f t="shared" si="12"/>
        <v>0</v>
      </c>
      <c r="J60" s="209">
        <f t="shared" si="9"/>
        <v>48185.960319666839</v>
      </c>
      <c r="L60" s="209">
        <f t="shared" ref="L60" si="13">SUM(L47:L59)</f>
        <v>46775.419092027951</v>
      </c>
    </row>
    <row r="62" spans="1:13" x14ac:dyDescent="0.3">
      <c r="A62" s="39"/>
      <c r="B62" s="118" t="s">
        <v>185</v>
      </c>
      <c r="C62" s="118"/>
      <c r="D62" s="118"/>
      <c r="E62" s="118" t="str">
        <f>"(Real "&amp;'Key assumptions'!$D$11&amp;")"</f>
        <v>(Real $RY2026)</v>
      </c>
      <c r="F62" s="118"/>
      <c r="G62" s="118"/>
      <c r="H62" s="118"/>
      <c r="I62" s="118"/>
      <c r="J62" s="118"/>
      <c r="K62" s="39"/>
      <c r="L62" s="117" t="s">
        <v>255</v>
      </c>
      <c r="M62" s="39"/>
    </row>
    <row r="63" spans="1:13" x14ac:dyDescent="0.3">
      <c r="L63" s="65"/>
    </row>
    <row r="64" spans="1:13" ht="39.75" x14ac:dyDescent="0.3">
      <c r="B64" s="136" t="s">
        <v>131</v>
      </c>
      <c r="C64" s="161" t="str" cm="1">
        <f t="array" ref="C64:I64">model_forecastperiod</f>
        <v>RY2026
01Feb-30Sep</v>
      </c>
      <c r="D64" s="161" t="str">
        <v>RY2027</v>
      </c>
      <c r="E64" s="161" t="str">
        <v>RY2028</v>
      </c>
      <c r="F64" s="161" t="str">
        <v>RY2029</v>
      </c>
      <c r="G64" s="161" t="str">
        <v>RY2030</v>
      </c>
      <c r="H64" s="161" t="str">
        <v>RY2031</v>
      </c>
      <c r="I64" s="161" t="str">
        <v>RY2032</v>
      </c>
      <c r="J64" s="140" t="s">
        <v>133</v>
      </c>
      <c r="K64" s="43"/>
      <c r="L64" s="140" t="s">
        <v>254</v>
      </c>
      <c r="M64" s="43"/>
    </row>
    <row r="65" spans="1:13" x14ac:dyDescent="0.3">
      <c r="B65" s="206" t="str">
        <f>B11</f>
        <v>Community and Stakeholder Engagement</v>
      </c>
      <c r="C65" s="207">
        <f>Travel_costs!E100*'Key assumptions'!$D$106</f>
        <v>0</v>
      </c>
      <c r="D65" s="207">
        <f>Travel_costs!F100*'Key assumptions'!$D$106</f>
        <v>0</v>
      </c>
      <c r="E65" s="207">
        <f>Travel_costs!G100*'Key assumptions'!$D$106</f>
        <v>0</v>
      </c>
      <c r="F65" s="207">
        <f>Travel_costs!H100*'Key assumptions'!$D$106</f>
        <v>0</v>
      </c>
      <c r="G65" s="207">
        <f>Travel_costs!I100*'Key assumptions'!$D$106</f>
        <v>0</v>
      </c>
      <c r="H65" s="207">
        <f>Travel_costs!J100*'Key assumptions'!$D$106</f>
        <v>0</v>
      </c>
      <c r="I65" s="207">
        <f>Travel_costs!K100*'Key assumptions'!$D$106</f>
        <v>0</v>
      </c>
      <c r="J65" s="207">
        <f t="shared" ref="J65:J78" si="14">SUM(C65:I65)</f>
        <v>0</v>
      </c>
      <c r="K65" s="218"/>
      <c r="L65" s="207">
        <f>Travel_costs!N100*'Key assumptions'!$D$106/(1+'Key assumptions'!$G$30)^0.75</f>
        <v>0</v>
      </c>
      <c r="M65" s="43"/>
    </row>
    <row r="66" spans="1:13" x14ac:dyDescent="0.3">
      <c r="B66" s="206" t="str">
        <f t="shared" ref="B66:B77" si="15">B12</f>
        <v>Fleet</v>
      </c>
      <c r="C66" s="207">
        <f>Travel_costs!E101*'Key assumptions'!$D$106</f>
        <v>0</v>
      </c>
      <c r="D66" s="207">
        <f>Travel_costs!F101*'Key assumptions'!$D$106</f>
        <v>0</v>
      </c>
      <c r="E66" s="207">
        <f>Travel_costs!G101*'Key assumptions'!$D$106</f>
        <v>0</v>
      </c>
      <c r="F66" s="207">
        <f>Travel_costs!H101*'Key assumptions'!$D$106</f>
        <v>0</v>
      </c>
      <c r="G66" s="207">
        <f>Travel_costs!I101*'Key assumptions'!$D$106</f>
        <v>0</v>
      </c>
      <c r="H66" s="207">
        <f>Travel_costs!J101*'Key assumptions'!$D$106</f>
        <v>0</v>
      </c>
      <c r="I66" s="207">
        <f>Travel_costs!K101*'Key assumptions'!$D$106</f>
        <v>0</v>
      </c>
      <c r="J66" s="207">
        <f t="shared" ref="J66:J71" si="16">SUM(C66:I66)</f>
        <v>0</v>
      </c>
      <c r="K66" s="218"/>
      <c r="L66" s="207">
        <f>Travel_costs!N101*'Key assumptions'!$D$106/(1+'Key assumptions'!$G$30)^0.75</f>
        <v>0</v>
      </c>
      <c r="M66" s="218"/>
    </row>
    <row r="67" spans="1:13" x14ac:dyDescent="0.3">
      <c r="B67" s="206" t="str">
        <f t="shared" si="15"/>
        <v>Land and Environment</v>
      </c>
      <c r="C67" s="207">
        <f>Travel_costs!E102*'Key assumptions'!$D$106</f>
        <v>0</v>
      </c>
      <c r="D67" s="207">
        <f>Travel_costs!F102*'Key assumptions'!$D$106</f>
        <v>0</v>
      </c>
      <c r="E67" s="207">
        <f>Travel_costs!G102*'Key assumptions'!$D$106</f>
        <v>0</v>
      </c>
      <c r="F67" s="207">
        <f>Travel_costs!H102*'Key assumptions'!$D$106</f>
        <v>0</v>
      </c>
      <c r="G67" s="207">
        <f>Travel_costs!I102*'Key assumptions'!$D$106</f>
        <v>0</v>
      </c>
      <c r="H67" s="207">
        <f>Travel_costs!J102*'Key assumptions'!$D$106</f>
        <v>0</v>
      </c>
      <c r="I67" s="207">
        <f>Travel_costs!K102*'Key assumptions'!$D$106</f>
        <v>0</v>
      </c>
      <c r="J67" s="207">
        <f t="shared" si="16"/>
        <v>0</v>
      </c>
      <c r="K67" s="218"/>
      <c r="L67" s="207">
        <f>Travel_costs!N102*'Key assumptions'!$D$106/(1+'Key assumptions'!$G$30)^0.75</f>
        <v>0</v>
      </c>
      <c r="M67" s="218"/>
    </row>
    <row r="68" spans="1:13" x14ac:dyDescent="0.3">
      <c r="B68" s="206" t="str">
        <f t="shared" si="15"/>
        <v>Other Support &amp; Corporate Roles</v>
      </c>
      <c r="C68" s="207">
        <f>Travel_costs!E103*'Key assumptions'!$D$106</f>
        <v>0</v>
      </c>
      <c r="D68" s="207">
        <f>Travel_costs!F103*'Key assumptions'!$D$106</f>
        <v>0</v>
      </c>
      <c r="E68" s="207">
        <f>Travel_costs!G103*'Key assumptions'!$D$106</f>
        <v>0</v>
      </c>
      <c r="F68" s="207">
        <f>Travel_costs!H103*'Key assumptions'!$D$106</f>
        <v>0</v>
      </c>
      <c r="G68" s="207">
        <f>Travel_costs!I103*'Key assumptions'!$D$106</f>
        <v>0</v>
      </c>
      <c r="H68" s="207">
        <f>Travel_costs!J103*'Key assumptions'!$D$106</f>
        <v>0</v>
      </c>
      <c r="I68" s="207">
        <f>Travel_costs!K103*'Key assumptions'!$D$106</f>
        <v>0</v>
      </c>
      <c r="J68" s="207">
        <f t="shared" si="16"/>
        <v>0</v>
      </c>
      <c r="K68" s="218"/>
      <c r="L68" s="207">
        <f>Travel_costs!N103*'Key assumptions'!$D$106/(1+'Key assumptions'!$G$30)^0.75</f>
        <v>0</v>
      </c>
      <c r="M68" s="218"/>
    </row>
    <row r="69" spans="1:13" x14ac:dyDescent="0.3">
      <c r="B69" s="206" t="str">
        <f t="shared" si="15"/>
        <v>Project Delivery Management - Commercial Management</v>
      </c>
      <c r="C69" s="207">
        <f>Travel_costs!E104*'Key assumptions'!$D$106</f>
        <v>0</v>
      </c>
      <c r="D69" s="207">
        <f>Travel_costs!F104*'Key assumptions'!$D$106</f>
        <v>0</v>
      </c>
      <c r="E69" s="207">
        <f>Travel_costs!G104*'Key assumptions'!$D$106</f>
        <v>0</v>
      </c>
      <c r="F69" s="207">
        <f>Travel_costs!H104*'Key assumptions'!$D$106</f>
        <v>0</v>
      </c>
      <c r="G69" s="207">
        <f>Travel_costs!I104*'Key assumptions'!$D$106</f>
        <v>0</v>
      </c>
      <c r="H69" s="207">
        <f>Travel_costs!J104*'Key assumptions'!$D$106</f>
        <v>0</v>
      </c>
      <c r="I69" s="207">
        <f>Travel_costs!K104*'Key assumptions'!$D$106</f>
        <v>0</v>
      </c>
      <c r="J69" s="207">
        <f t="shared" si="16"/>
        <v>0</v>
      </c>
      <c r="K69" s="218"/>
      <c r="L69" s="207">
        <f>Travel_costs!N104*'Key assumptions'!$D$106/(1+'Key assumptions'!$G$30)^0.75</f>
        <v>0</v>
      </c>
      <c r="M69" s="218"/>
    </row>
    <row r="70" spans="1:13" x14ac:dyDescent="0.3">
      <c r="B70" s="206" t="str">
        <f t="shared" si="15"/>
        <v>Project Delivery Management - Commissioning</v>
      </c>
      <c r="C70" s="207">
        <f>Travel_costs!E105*'Key assumptions'!$D$106</f>
        <v>312987.13826230296</v>
      </c>
      <c r="D70" s="207">
        <f>Travel_costs!F105*'Key assumptions'!$D$106</f>
        <v>1534659.3277942976</v>
      </c>
      <c r="E70" s="207">
        <f>Travel_costs!G105*'Key assumptions'!$D$106</f>
        <v>1480451.7724010602</v>
      </c>
      <c r="F70" s="207">
        <f>Travel_costs!H105*'Key assumptions'!$D$106</f>
        <v>138659.69537025766</v>
      </c>
      <c r="G70" s="207">
        <f>Travel_costs!I105*'Key assumptions'!$D$106</f>
        <v>0</v>
      </c>
      <c r="H70" s="207">
        <f>Travel_costs!J105*'Key assumptions'!$D$106</f>
        <v>0</v>
      </c>
      <c r="I70" s="207">
        <f>Travel_costs!K105*'Key assumptions'!$D$106</f>
        <v>0</v>
      </c>
      <c r="J70" s="207">
        <f t="shared" si="16"/>
        <v>3466757.933827919</v>
      </c>
      <c r="K70" s="218"/>
      <c r="L70" s="207">
        <f>Travel_costs!N105*'Key assumptions'!$D$106/(1+'Key assumptions'!$G$30)^0.75</f>
        <v>188403.47476142016</v>
      </c>
      <c r="M70" s="218"/>
    </row>
    <row r="71" spans="1:13" x14ac:dyDescent="0.3">
      <c r="B71" s="206" t="str">
        <f t="shared" si="15"/>
        <v>Project Delivery Management - Construction Management</v>
      </c>
      <c r="C71" s="207">
        <f>Travel_costs!E106*'Key assumptions'!$D$106</f>
        <v>1020729.0235009872</v>
      </c>
      <c r="D71" s="207">
        <f>Travel_costs!F106*'Key assumptions'!$D$106</f>
        <v>2745165.7144501498</v>
      </c>
      <c r="E71" s="207">
        <f>Travel_costs!G106*'Key assumptions'!$D$106</f>
        <v>2754951.7629216211</v>
      </c>
      <c r="F71" s="207">
        <f>Travel_costs!H106*'Key assumptions'!$D$106</f>
        <v>381925.81468804908</v>
      </c>
      <c r="G71" s="207">
        <f>Travel_costs!I106*'Key assumptions'!$D$106</f>
        <v>0</v>
      </c>
      <c r="H71" s="207">
        <f>Travel_costs!J106*'Key assumptions'!$D$106</f>
        <v>0</v>
      </c>
      <c r="I71" s="207">
        <f>Travel_costs!K106*'Key assumptions'!$D$106</f>
        <v>0</v>
      </c>
      <c r="J71" s="207">
        <f t="shared" si="16"/>
        <v>6902772.3155608075</v>
      </c>
      <c r="K71" s="218"/>
      <c r="L71" s="207">
        <f>Travel_costs!N106*'Key assumptions'!$D$106/(1+'Key assumptions'!$G$30)^0.75</f>
        <v>614430.66282247775</v>
      </c>
      <c r="M71" s="218"/>
    </row>
    <row r="72" spans="1:13" x14ac:dyDescent="0.3">
      <c r="B72" s="206" t="str">
        <f t="shared" si="15"/>
        <v>Project Delivery Management - Project Controls</v>
      </c>
      <c r="C72" s="207">
        <f>Travel_costs!E107*'Key assumptions'!$D$106</f>
        <v>0</v>
      </c>
      <c r="D72" s="207">
        <f>Travel_costs!F107*'Key assumptions'!$D$106</f>
        <v>0</v>
      </c>
      <c r="E72" s="207">
        <f>Travel_costs!G107*'Key assumptions'!$D$106</f>
        <v>0</v>
      </c>
      <c r="F72" s="207">
        <f>Travel_costs!H107*'Key assumptions'!$D$106</f>
        <v>0</v>
      </c>
      <c r="G72" s="207">
        <f>Travel_costs!I107*'Key assumptions'!$D$106</f>
        <v>0</v>
      </c>
      <c r="H72" s="207">
        <f>Travel_costs!J107*'Key assumptions'!$D$106</f>
        <v>0</v>
      </c>
      <c r="I72" s="207">
        <f>Travel_costs!K107*'Key assumptions'!$D$106</f>
        <v>0</v>
      </c>
      <c r="J72" s="207">
        <f t="shared" si="14"/>
        <v>0</v>
      </c>
      <c r="L72" s="207">
        <f>Travel_costs!N107*'Key assumptions'!$D$106/(1+'Key assumptions'!$G$30)^0.75</f>
        <v>0</v>
      </c>
    </row>
    <row r="73" spans="1:13" x14ac:dyDescent="0.3">
      <c r="B73" s="206" t="str">
        <f t="shared" si="15"/>
        <v>Project Delivery Management - Project Engineering</v>
      </c>
      <c r="C73" s="207">
        <f>Travel_costs!E108*'Key assumptions'!$D$106</f>
        <v>0</v>
      </c>
      <c r="D73" s="207">
        <f>Travel_costs!F108*'Key assumptions'!$D$106</f>
        <v>0</v>
      </c>
      <c r="E73" s="207">
        <f>Travel_costs!G108*'Key assumptions'!$D$106</f>
        <v>0</v>
      </c>
      <c r="F73" s="207">
        <f>Travel_costs!H108*'Key assumptions'!$D$106</f>
        <v>0</v>
      </c>
      <c r="G73" s="207">
        <f>Travel_costs!I108*'Key assumptions'!$D$106</f>
        <v>0</v>
      </c>
      <c r="H73" s="207">
        <f>Travel_costs!J108*'Key assumptions'!$D$106</f>
        <v>0</v>
      </c>
      <c r="I73" s="207">
        <f>Travel_costs!K108*'Key assumptions'!$D$106</f>
        <v>0</v>
      </c>
      <c r="J73" s="207">
        <f t="shared" si="14"/>
        <v>0</v>
      </c>
      <c r="L73" s="207">
        <f>Travel_costs!N108*'Key assumptions'!$D$106/(1+'Key assumptions'!$G$30)^0.75</f>
        <v>0</v>
      </c>
    </row>
    <row r="74" spans="1:13" x14ac:dyDescent="0.3">
      <c r="B74" s="206" t="str">
        <f t="shared" si="15"/>
        <v>Project Delivery Management - Project Management</v>
      </c>
      <c r="C74" s="207">
        <f>Travel_costs!E109*'Key assumptions'!$D$106</f>
        <v>268000</v>
      </c>
      <c r="D74" s="207">
        <f>Travel_costs!F109*'Key assumptions'!$D$106</f>
        <v>438000</v>
      </c>
      <c r="E74" s="207">
        <f>Travel_costs!G109*'Key assumptions'!$D$106</f>
        <v>438000</v>
      </c>
      <c r="F74" s="207">
        <f>Travel_costs!H109*'Key assumptions'!$D$106</f>
        <v>182500</v>
      </c>
      <c r="G74" s="207">
        <f>Travel_costs!I109*'Key assumptions'!$D$106</f>
        <v>0</v>
      </c>
      <c r="H74" s="207">
        <f>Travel_costs!J109*'Key assumptions'!$D$106</f>
        <v>0</v>
      </c>
      <c r="I74" s="207">
        <f>Travel_costs!K109*'Key assumptions'!$D$106</f>
        <v>0</v>
      </c>
      <c r="J74" s="207">
        <f t="shared" si="14"/>
        <v>1326500</v>
      </c>
      <c r="L74" s="207">
        <f>Travel_costs!N109*'Key assumptions'!$D$106/(1+'Key assumptions'!$G$30)^0.75</f>
        <v>161323.34228298231</v>
      </c>
    </row>
    <row r="75" spans="1:13" x14ac:dyDescent="0.3">
      <c r="B75" s="206" t="str">
        <f t="shared" si="15"/>
        <v>Project Development</v>
      </c>
      <c r="C75" s="207">
        <f>Travel_costs!E110*'Key assumptions'!$D$106</f>
        <v>250000</v>
      </c>
      <c r="D75" s="207">
        <f>Travel_costs!F110*'Key assumptions'!$D$106</f>
        <v>1900000</v>
      </c>
      <c r="E75" s="207">
        <f>Travel_costs!G110*'Key assumptions'!$D$106</f>
        <v>675000</v>
      </c>
      <c r="F75" s="207">
        <f>Travel_costs!H110*'Key assumptions'!$D$106</f>
        <v>0</v>
      </c>
      <c r="G75" s="207">
        <f>Travel_costs!I110*'Key assumptions'!$D$106</f>
        <v>0</v>
      </c>
      <c r="H75" s="207">
        <f>Travel_costs!J110*'Key assumptions'!$D$106</f>
        <v>0</v>
      </c>
      <c r="I75" s="207">
        <f>Travel_costs!K110*'Key assumptions'!$D$106</f>
        <v>0</v>
      </c>
      <c r="J75" s="207">
        <f t="shared" si="14"/>
        <v>2825000</v>
      </c>
      <c r="L75" s="207">
        <f>Travel_costs!N110*'Key assumptions'!$D$106/(1+'Key assumptions'!$G$30)^0.75</f>
        <v>150488.19242815513</v>
      </c>
    </row>
    <row r="76" spans="1:13" x14ac:dyDescent="0.3">
      <c r="B76" s="206" t="str">
        <f t="shared" si="15"/>
        <v>Regulatory Approvals</v>
      </c>
      <c r="C76" s="207">
        <f>Travel_costs!E111*'Key assumptions'!$D$106</f>
        <v>0</v>
      </c>
      <c r="D76" s="207">
        <f>Travel_costs!F111*'Key assumptions'!$D$106</f>
        <v>0</v>
      </c>
      <c r="E76" s="207">
        <f>Travel_costs!G111*'Key assumptions'!$D$106</f>
        <v>0</v>
      </c>
      <c r="F76" s="207">
        <f>Travel_costs!H111*'Key assumptions'!$D$106</f>
        <v>0</v>
      </c>
      <c r="G76" s="207">
        <f>Travel_costs!I111*'Key assumptions'!$D$106</f>
        <v>0</v>
      </c>
      <c r="H76" s="207">
        <f>Travel_costs!J111*'Key assumptions'!$D$106</f>
        <v>0</v>
      </c>
      <c r="I76" s="207">
        <f>Travel_costs!K111*'Key assumptions'!$D$106</f>
        <v>0</v>
      </c>
      <c r="J76" s="207">
        <f t="shared" si="14"/>
        <v>0</v>
      </c>
      <c r="L76" s="207">
        <f>Travel_costs!N111*'Key assumptions'!$D$106/(1+'Key assumptions'!$G$30)^0.75</f>
        <v>0</v>
      </c>
    </row>
    <row r="77" spans="1:13" x14ac:dyDescent="0.3">
      <c r="B77" s="206" t="str">
        <f t="shared" si="15"/>
        <v>Transaction Procurement Support</v>
      </c>
      <c r="C77" s="207">
        <f>Travel_costs!E112*'Key assumptions'!$D$106</f>
        <v>0</v>
      </c>
      <c r="D77" s="207">
        <f>Travel_costs!F112*'Key assumptions'!$D$106</f>
        <v>0</v>
      </c>
      <c r="E77" s="207">
        <f>Travel_costs!G112*'Key assumptions'!$D$106</f>
        <v>0</v>
      </c>
      <c r="F77" s="207">
        <f>Travel_costs!H112*'Key assumptions'!$D$106</f>
        <v>0</v>
      </c>
      <c r="G77" s="207">
        <f>Travel_costs!I112*'Key assumptions'!$D$106</f>
        <v>0</v>
      </c>
      <c r="H77" s="207">
        <f>Travel_costs!J112*'Key assumptions'!$D$106</f>
        <v>0</v>
      </c>
      <c r="I77" s="207">
        <f>Travel_costs!K112*'Key assumptions'!$D$106</f>
        <v>0</v>
      </c>
      <c r="J77" s="207">
        <f t="shared" si="14"/>
        <v>0</v>
      </c>
      <c r="L77" s="207">
        <f>Travel_costs!N112*'Key assumptions'!$D$106/(1+'Key assumptions'!$G$30)^0.75</f>
        <v>0</v>
      </c>
    </row>
    <row r="78" spans="1:13" x14ac:dyDescent="0.3">
      <c r="B78" s="208" t="s">
        <v>133</v>
      </c>
      <c r="C78" s="209">
        <f t="shared" ref="C78:I78" si="17">SUM(C65:C77)</f>
        <v>1851716.1617632902</v>
      </c>
      <c r="D78" s="209">
        <f t="shared" si="17"/>
        <v>6617825.0422444474</v>
      </c>
      <c r="E78" s="209">
        <f t="shared" si="17"/>
        <v>5348403.5353226811</v>
      </c>
      <c r="F78" s="209">
        <f t="shared" si="17"/>
        <v>703085.51005830674</v>
      </c>
      <c r="G78" s="209">
        <f t="shared" si="17"/>
        <v>0</v>
      </c>
      <c r="H78" s="209">
        <f t="shared" si="17"/>
        <v>0</v>
      </c>
      <c r="I78" s="209">
        <f t="shared" si="17"/>
        <v>0</v>
      </c>
      <c r="J78" s="209">
        <f t="shared" si="14"/>
        <v>14521030.249388725</v>
      </c>
      <c r="L78" s="209">
        <f t="shared" ref="L78" si="18">SUM(L65:L77)</f>
        <v>1114645.6722950353</v>
      </c>
    </row>
    <row r="80" spans="1:13" x14ac:dyDescent="0.3">
      <c r="A80" s="39"/>
      <c r="B80" s="118" t="s">
        <v>186</v>
      </c>
      <c r="C80" s="118"/>
      <c r="D80" s="118"/>
      <c r="E80" s="118" t="str">
        <f>"(Real "&amp;'Key assumptions'!$D$11&amp;")"</f>
        <v>(Real $RY2026)</v>
      </c>
      <c r="F80" s="118"/>
      <c r="G80" s="118"/>
      <c r="H80" s="118"/>
      <c r="I80" s="118"/>
      <c r="J80" s="118"/>
      <c r="K80" s="39"/>
      <c r="L80" s="117" t="s">
        <v>255</v>
      </c>
      <c r="M80" s="39"/>
    </row>
    <row r="81" spans="2:13" x14ac:dyDescent="0.3">
      <c r="L81" s="65"/>
    </row>
    <row r="82" spans="2:13" ht="39.75" x14ac:dyDescent="0.3">
      <c r="B82" s="136" t="s">
        <v>131</v>
      </c>
      <c r="C82" s="161" t="str" cm="1">
        <f t="array" ref="C82:I82">model_forecastperiod</f>
        <v>RY2026
01Feb-30Sep</v>
      </c>
      <c r="D82" s="161" t="str">
        <v>RY2027</v>
      </c>
      <c r="E82" s="161" t="str">
        <v>RY2028</v>
      </c>
      <c r="F82" s="161" t="str">
        <v>RY2029</v>
      </c>
      <c r="G82" s="161" t="str">
        <v>RY2030</v>
      </c>
      <c r="H82" s="161" t="str">
        <v>RY2031</v>
      </c>
      <c r="I82" s="161" t="str">
        <v>RY2032</v>
      </c>
      <c r="J82" s="140" t="s">
        <v>133</v>
      </c>
      <c r="K82" s="43"/>
      <c r="L82" s="140" t="s">
        <v>254</v>
      </c>
      <c r="M82" s="43"/>
    </row>
    <row r="83" spans="2:13" x14ac:dyDescent="0.3">
      <c r="B83" s="206" t="str">
        <f>B11</f>
        <v>Community and Stakeholder Engagement</v>
      </c>
      <c r="C83" s="207">
        <f t="shared" ref="C83:I83" si="19">SUM(C11,C29,C47,C65)</f>
        <v>459.75367213013573</v>
      </c>
      <c r="D83" s="207">
        <f t="shared" si="19"/>
        <v>188.48601403554611</v>
      </c>
      <c r="E83" s="207">
        <f t="shared" si="19"/>
        <v>0</v>
      </c>
      <c r="F83" s="207">
        <f t="shared" si="19"/>
        <v>0</v>
      </c>
      <c r="G83" s="207">
        <f t="shared" si="19"/>
        <v>0</v>
      </c>
      <c r="H83" s="207">
        <f t="shared" si="19"/>
        <v>0</v>
      </c>
      <c r="I83" s="207">
        <f t="shared" si="19"/>
        <v>0</v>
      </c>
      <c r="J83" s="207">
        <f t="shared" ref="J83:J96" si="20">SUM(C83:I83)</f>
        <v>648.23968616568186</v>
      </c>
      <c r="K83" s="218"/>
      <c r="L83" s="207">
        <f t="shared" ref="L83" si="21">SUM(L11,L29,L47,L65)</f>
        <v>288.64044254614271</v>
      </c>
      <c r="M83" s="218"/>
    </row>
    <row r="84" spans="2:13" x14ac:dyDescent="0.3">
      <c r="B84" s="206" t="str">
        <f t="shared" ref="B84:B95" si="22">B12</f>
        <v>Fleet</v>
      </c>
      <c r="C84" s="207">
        <f t="shared" ref="C84:I84" si="23">SUM(C12,C30,C48,C66)</f>
        <v>0</v>
      </c>
      <c r="D84" s="207">
        <f t="shared" si="23"/>
        <v>0</v>
      </c>
      <c r="E84" s="207">
        <f t="shared" si="23"/>
        <v>0</v>
      </c>
      <c r="F84" s="207">
        <f t="shared" si="23"/>
        <v>0</v>
      </c>
      <c r="G84" s="207">
        <f t="shared" si="23"/>
        <v>0</v>
      </c>
      <c r="H84" s="207">
        <f t="shared" si="23"/>
        <v>0</v>
      </c>
      <c r="I84" s="207">
        <f t="shared" si="23"/>
        <v>0</v>
      </c>
      <c r="J84" s="207">
        <f t="shared" ref="J84:J95" si="24">SUM(C84:I84)</f>
        <v>0</v>
      </c>
      <c r="K84" s="218"/>
      <c r="L84" s="207">
        <f t="shared" ref="L84" si="25">SUM(L12,L30,L48,L66)</f>
        <v>0</v>
      </c>
      <c r="M84" s="218"/>
    </row>
    <row r="85" spans="2:13" x14ac:dyDescent="0.3">
      <c r="B85" s="206" t="str">
        <f t="shared" si="22"/>
        <v>Land and Environment</v>
      </c>
      <c r="C85" s="207">
        <f t="shared" ref="C85:I85" si="26">SUM(C13,C31,C49,C67)</f>
        <v>32476.603530545526</v>
      </c>
      <c r="D85" s="207">
        <f t="shared" si="26"/>
        <v>6722.9377745202801</v>
      </c>
      <c r="E85" s="207">
        <f t="shared" si="26"/>
        <v>6649.3978607305144</v>
      </c>
      <c r="F85" s="207">
        <f t="shared" si="26"/>
        <v>638.23672344444515</v>
      </c>
      <c r="G85" s="207">
        <f t="shared" si="26"/>
        <v>0</v>
      </c>
      <c r="H85" s="207">
        <f t="shared" si="26"/>
        <v>0</v>
      </c>
      <c r="I85" s="207">
        <f t="shared" si="26"/>
        <v>0</v>
      </c>
      <c r="J85" s="207">
        <f t="shared" si="24"/>
        <v>46487.175889240774</v>
      </c>
      <c r="K85" s="218"/>
      <c r="L85" s="207">
        <f t="shared" ref="L85" si="27">SUM(L13,L31,L49,L67)</f>
        <v>30355.357438725168</v>
      </c>
      <c r="M85" s="218"/>
    </row>
    <row r="86" spans="2:13" x14ac:dyDescent="0.3">
      <c r="B86" s="206" t="str">
        <f t="shared" si="22"/>
        <v>Other Support &amp; Corporate Roles</v>
      </c>
      <c r="C86" s="207">
        <f t="shared" ref="C86:I86" si="28">SUM(C14,C32,C50,C68)</f>
        <v>17248.731580810818</v>
      </c>
      <c r="D86" s="207">
        <f t="shared" si="28"/>
        <v>24400.115677475922</v>
      </c>
      <c r="E86" s="207">
        <f t="shared" si="28"/>
        <v>22252.574209022201</v>
      </c>
      <c r="F86" s="207">
        <f t="shared" si="28"/>
        <v>11438.84578702316</v>
      </c>
      <c r="G86" s="207">
        <f t="shared" si="28"/>
        <v>0</v>
      </c>
      <c r="H86" s="207">
        <f t="shared" si="28"/>
        <v>0</v>
      </c>
      <c r="I86" s="207">
        <f t="shared" si="28"/>
        <v>0</v>
      </c>
      <c r="J86" s="207">
        <f t="shared" si="24"/>
        <v>75340.26725433211</v>
      </c>
      <c r="K86" s="218"/>
      <c r="L86" s="207">
        <f t="shared" ref="L86" si="29">SUM(L14,L32,L50,L68)</f>
        <v>10420.642955963374</v>
      </c>
      <c r="M86" s="218"/>
    </row>
    <row r="87" spans="2:13" x14ac:dyDescent="0.3">
      <c r="B87" s="206" t="str">
        <f t="shared" si="22"/>
        <v>Project Delivery Management - Commercial Management</v>
      </c>
      <c r="C87" s="207">
        <f t="shared" ref="C87:I87" si="30">SUM(C15,C33,C51,C69)</f>
        <v>174848.88312560541</v>
      </c>
      <c r="D87" s="207">
        <f t="shared" si="30"/>
        <v>13570.993010559321</v>
      </c>
      <c r="E87" s="207">
        <f t="shared" si="30"/>
        <v>13570.993010559321</v>
      </c>
      <c r="F87" s="207">
        <f t="shared" si="30"/>
        <v>4200.5454556493132</v>
      </c>
      <c r="G87" s="207">
        <f t="shared" si="30"/>
        <v>0</v>
      </c>
      <c r="H87" s="207">
        <f t="shared" si="30"/>
        <v>0</v>
      </c>
      <c r="I87" s="207">
        <f t="shared" si="30"/>
        <v>0</v>
      </c>
      <c r="J87" s="207">
        <f t="shared" si="24"/>
        <v>206191.41460237338</v>
      </c>
      <c r="K87" s="218"/>
      <c r="L87" s="207">
        <f t="shared" ref="L87" si="31">SUM(L15,L33,L51,L69)</f>
        <v>171006.29275456158</v>
      </c>
      <c r="M87" s="218"/>
    </row>
    <row r="88" spans="2:13" x14ac:dyDescent="0.3">
      <c r="B88" s="206" t="str">
        <f t="shared" si="22"/>
        <v>Project Delivery Management - Commissioning</v>
      </c>
      <c r="C88" s="207">
        <f t="shared" ref="C88:I88" si="32">SUM(C16,C34,C52,C70)</f>
        <v>321492.63153323409</v>
      </c>
      <c r="D88" s="207">
        <f t="shared" si="32"/>
        <v>1582081.4472623041</v>
      </c>
      <c r="E88" s="207">
        <f t="shared" si="32"/>
        <v>1527053.9777080121</v>
      </c>
      <c r="F88" s="207">
        <f t="shared" si="32"/>
        <v>147156.56794991312</v>
      </c>
      <c r="G88" s="207">
        <f t="shared" si="32"/>
        <v>0</v>
      </c>
      <c r="H88" s="207">
        <f t="shared" si="32"/>
        <v>0</v>
      </c>
      <c r="I88" s="207">
        <f t="shared" si="32"/>
        <v>0</v>
      </c>
      <c r="J88" s="207">
        <f t="shared" si="24"/>
        <v>3577784.6244534631</v>
      </c>
      <c r="K88" s="218"/>
      <c r="L88" s="207">
        <f t="shared" ref="L88" si="33">SUM(L16,L34,L52,L70)</f>
        <v>190544.49594512553</v>
      </c>
      <c r="M88" s="218"/>
    </row>
    <row r="89" spans="2:13" x14ac:dyDescent="0.3">
      <c r="B89" s="206" t="str">
        <f t="shared" si="22"/>
        <v>Project Delivery Management - Construction Management</v>
      </c>
      <c r="C89" s="207">
        <f t="shared" ref="C89:I89" si="34">SUM(C17,C35,C53,C71)</f>
        <v>1035516.3639100484</v>
      </c>
      <c r="D89" s="207">
        <f t="shared" si="34"/>
        <v>2784367.6065736017</v>
      </c>
      <c r="E89" s="207">
        <f t="shared" si="34"/>
        <v>2793389.725886662</v>
      </c>
      <c r="F89" s="207">
        <f t="shared" si="34"/>
        <v>390307.51846647548</v>
      </c>
      <c r="G89" s="207">
        <f t="shared" si="34"/>
        <v>0</v>
      </c>
      <c r="H89" s="207">
        <f t="shared" si="34"/>
        <v>0</v>
      </c>
      <c r="I89" s="207">
        <f t="shared" si="34"/>
        <v>0</v>
      </c>
      <c r="J89" s="207">
        <f t="shared" si="24"/>
        <v>7003581.2148367874</v>
      </c>
      <c r="K89" s="218"/>
      <c r="L89" s="207">
        <f t="shared" ref="L89" si="35">SUM(L17,L35,L53,L71)</f>
        <v>621035.14752480469</v>
      </c>
      <c r="M89" s="218"/>
    </row>
    <row r="90" spans="2:13" x14ac:dyDescent="0.3">
      <c r="B90" s="206" t="str">
        <f t="shared" si="22"/>
        <v>Project Delivery Management - Project Controls</v>
      </c>
      <c r="C90" s="207">
        <f t="shared" ref="C90:I90" si="36">SUM(C18,C36,C54,C72)</f>
        <v>108232.18407766039</v>
      </c>
      <c r="D90" s="207">
        <f t="shared" si="36"/>
        <v>23524.512230799475</v>
      </c>
      <c r="E90" s="207">
        <f t="shared" si="36"/>
        <v>23422.474689366703</v>
      </c>
      <c r="F90" s="207">
        <f t="shared" si="36"/>
        <v>8227.9915106537374</v>
      </c>
      <c r="G90" s="207">
        <f t="shared" si="36"/>
        <v>0</v>
      </c>
      <c r="H90" s="207">
        <f t="shared" si="36"/>
        <v>0</v>
      </c>
      <c r="I90" s="207">
        <f t="shared" si="36"/>
        <v>0</v>
      </c>
      <c r="J90" s="207">
        <f t="shared" si="24"/>
        <v>163407.16250848031</v>
      </c>
      <c r="K90" s="218"/>
      <c r="L90" s="207">
        <f t="shared" ref="L90" si="37">SUM(L18,L36,L54,L72)</f>
        <v>102182.26337730754</v>
      </c>
      <c r="M90" s="218"/>
    </row>
    <row r="91" spans="2:13" x14ac:dyDescent="0.3">
      <c r="B91" s="206" t="str">
        <f t="shared" si="22"/>
        <v>Project Delivery Management - Project Engineering</v>
      </c>
      <c r="C91" s="207">
        <f t="shared" ref="C91:I91" si="38">SUM(C19,C37,C55,C73)</f>
        <v>1902.7205928132532</v>
      </c>
      <c r="D91" s="207">
        <f t="shared" si="38"/>
        <v>1938.7132872227601</v>
      </c>
      <c r="E91" s="207">
        <f t="shared" si="38"/>
        <v>1938.7132872227601</v>
      </c>
      <c r="F91" s="207">
        <f t="shared" si="38"/>
        <v>807.79720300948338</v>
      </c>
      <c r="G91" s="207">
        <f t="shared" si="38"/>
        <v>0</v>
      </c>
      <c r="H91" s="207">
        <f t="shared" si="38"/>
        <v>0</v>
      </c>
      <c r="I91" s="207">
        <f t="shared" si="38"/>
        <v>0</v>
      </c>
      <c r="J91" s="207">
        <f t="shared" si="24"/>
        <v>6587.9443702682565</v>
      </c>
      <c r="K91" s="218"/>
      <c r="L91" s="207">
        <f t="shared" ref="L91" si="39">SUM(L19,L37,L55,L73)</f>
        <v>1408.9567364964253</v>
      </c>
      <c r="M91" s="218"/>
    </row>
    <row r="92" spans="2:13" x14ac:dyDescent="0.3">
      <c r="B92" s="206" t="str">
        <f t="shared" si="22"/>
        <v>Project Delivery Management - Project Management</v>
      </c>
      <c r="C92" s="207">
        <f t="shared" ref="C92:I92" si="40">SUM(C20,C38,C56,C74)</f>
        <v>504748.91873369471</v>
      </c>
      <c r="D92" s="207">
        <f t="shared" si="40"/>
        <v>480638.93762622162</v>
      </c>
      <c r="E92" s="207">
        <f t="shared" si="40"/>
        <v>480587.91885550524</v>
      </c>
      <c r="F92" s="207">
        <f t="shared" si="40"/>
        <v>200564.65345130063</v>
      </c>
      <c r="G92" s="207">
        <f t="shared" si="40"/>
        <v>0</v>
      </c>
      <c r="H92" s="207">
        <f t="shared" si="40"/>
        <v>0</v>
      </c>
      <c r="I92" s="207">
        <f t="shared" si="40"/>
        <v>0</v>
      </c>
      <c r="J92" s="207">
        <f t="shared" si="24"/>
        <v>1666540.4286667223</v>
      </c>
      <c r="K92" s="218"/>
      <c r="L92" s="207">
        <f t="shared" ref="L92" si="41">SUM(L20,L38,L56,L74)</f>
        <v>386693.16064362152</v>
      </c>
      <c r="M92" s="218"/>
    </row>
    <row r="93" spans="2:13" x14ac:dyDescent="0.3">
      <c r="B93" s="206" t="str">
        <f t="shared" si="22"/>
        <v>Project Development</v>
      </c>
      <c r="C93" s="207">
        <f t="shared" ref="C93:I93" si="42">SUM(C21,C39,C57,C75)</f>
        <v>266826.64412506332</v>
      </c>
      <c r="D93" s="207">
        <f t="shared" si="42"/>
        <v>1908383.6594979705</v>
      </c>
      <c r="E93" s="207">
        <f t="shared" si="42"/>
        <v>676454.88527826231</v>
      </c>
      <c r="F93" s="207">
        <f t="shared" si="42"/>
        <v>549.30209804644869</v>
      </c>
      <c r="G93" s="207">
        <f t="shared" si="42"/>
        <v>0</v>
      </c>
      <c r="H93" s="207">
        <f t="shared" si="42"/>
        <v>0</v>
      </c>
      <c r="I93" s="207">
        <f t="shared" si="42"/>
        <v>0</v>
      </c>
      <c r="J93" s="207">
        <f t="shared" si="24"/>
        <v>2852214.4909993424</v>
      </c>
      <c r="K93" s="218"/>
      <c r="L93" s="207">
        <f t="shared" ref="L93" si="43">SUM(L21,L39,L57,L75)</f>
        <v>160435.42499099913</v>
      </c>
      <c r="M93" s="218"/>
    </row>
    <row r="94" spans="2:13" x14ac:dyDescent="0.3">
      <c r="B94" s="206" t="str">
        <f t="shared" si="22"/>
        <v>Regulatory Approvals</v>
      </c>
      <c r="C94" s="207">
        <f t="shared" ref="C94:I94" si="44">SUM(C22,C40,C58,C76)</f>
        <v>1221.9694473845116</v>
      </c>
      <c r="D94" s="207">
        <f t="shared" si="44"/>
        <v>161.55944060189665</v>
      </c>
      <c r="E94" s="207">
        <f t="shared" si="44"/>
        <v>0</v>
      </c>
      <c r="F94" s="207">
        <f t="shared" si="44"/>
        <v>0</v>
      </c>
      <c r="G94" s="207">
        <f t="shared" si="44"/>
        <v>0</v>
      </c>
      <c r="H94" s="207">
        <f t="shared" si="44"/>
        <v>0</v>
      </c>
      <c r="I94" s="207">
        <f t="shared" si="44"/>
        <v>0</v>
      </c>
      <c r="J94" s="207">
        <f t="shared" si="24"/>
        <v>1383.5288879864083</v>
      </c>
      <c r="K94" s="218"/>
      <c r="L94" s="207">
        <f t="shared" ref="L94" si="45">SUM(L22,L40,L58,L76)</f>
        <v>972.85107996181739</v>
      </c>
      <c r="M94" s="218"/>
    </row>
    <row r="95" spans="2:13" x14ac:dyDescent="0.3">
      <c r="B95" s="206" t="str">
        <f t="shared" si="22"/>
        <v>Transaction Procurement Support</v>
      </c>
      <c r="C95" s="207">
        <f t="shared" ref="C95:I95" si="46">SUM(C23,C41,C59,C77)</f>
        <v>0</v>
      </c>
      <c r="D95" s="207">
        <f t="shared" si="46"/>
        <v>0</v>
      </c>
      <c r="E95" s="207">
        <f t="shared" si="46"/>
        <v>0</v>
      </c>
      <c r="F95" s="207">
        <f t="shared" si="46"/>
        <v>0</v>
      </c>
      <c r="G95" s="207">
        <f t="shared" si="46"/>
        <v>0</v>
      </c>
      <c r="H95" s="207">
        <f t="shared" si="46"/>
        <v>0</v>
      </c>
      <c r="I95" s="207">
        <f t="shared" si="46"/>
        <v>0</v>
      </c>
      <c r="J95" s="207">
        <f t="shared" si="24"/>
        <v>0</v>
      </c>
      <c r="K95" s="218"/>
      <c r="L95" s="207">
        <f t="shared" ref="L95" si="47">SUM(L23,L41,L59,L77)</f>
        <v>0</v>
      </c>
      <c r="M95" s="218"/>
    </row>
    <row r="96" spans="2:13" x14ac:dyDescent="0.3">
      <c r="B96" s="208" t="s">
        <v>133</v>
      </c>
      <c r="C96" s="209">
        <f t="shared" ref="C96:I96" si="48">SUM(C83:C95)</f>
        <v>2464975.4043289907</v>
      </c>
      <c r="D96" s="209">
        <f t="shared" si="48"/>
        <v>6825978.9683953132</v>
      </c>
      <c r="E96" s="209">
        <f t="shared" si="48"/>
        <v>5545320.6607853426</v>
      </c>
      <c r="F96" s="209">
        <f t="shared" si="48"/>
        <v>763891.45864551573</v>
      </c>
      <c r="G96" s="209">
        <f t="shared" si="48"/>
        <v>0</v>
      </c>
      <c r="H96" s="209">
        <f t="shared" si="48"/>
        <v>0</v>
      </c>
      <c r="I96" s="209">
        <f t="shared" si="48"/>
        <v>0</v>
      </c>
      <c r="J96" s="209">
        <f t="shared" si="20"/>
        <v>15600166.492155161</v>
      </c>
      <c r="L96" s="209">
        <f t="shared" ref="L96" si="49">SUM(L83:L95)</f>
        <v>1675343.2338901127</v>
      </c>
    </row>
    <row r="98" spans="1:13" x14ac:dyDescent="0.3">
      <c r="B98" s="206" t="s">
        <v>134</v>
      </c>
      <c r="C98" s="224" t="str">
        <f>IF(ROUND(SUM(C11:C23,C29:C41,C47:C59,C65:C77)-SUM(C96),4)=0,"OK","ERROR")</f>
        <v>OK</v>
      </c>
      <c r="D98" s="224" t="str">
        <f t="shared" ref="D98:I98" si="50">IF(ROUND(SUM(D11:D23,D29:D41,D47:D59,D65:D77)-SUM(D96),4)=0,"OK","ERROR")</f>
        <v>OK</v>
      </c>
      <c r="E98" s="224" t="str">
        <f t="shared" si="50"/>
        <v>OK</v>
      </c>
      <c r="F98" s="224" t="str">
        <f t="shared" si="50"/>
        <v>OK</v>
      </c>
      <c r="G98" s="224" t="str">
        <f t="shared" si="50"/>
        <v>OK</v>
      </c>
      <c r="H98" s="224" t="str">
        <f t="shared" si="50"/>
        <v>OK</v>
      </c>
      <c r="I98" s="224" t="str">
        <f t="shared" si="50"/>
        <v>OK</v>
      </c>
      <c r="J98" s="224" t="str">
        <f>IF(ROUND(SUM(J11:J23,J29:J41,J47:J59,J65:J77)-SUM(J96),4)=0,"OK","ERROR")</f>
        <v>OK</v>
      </c>
      <c r="L98" s="224" t="str">
        <f t="shared" ref="L98" si="51">IF(ROUND(SUM(L11:L23,L29:L41,L47:L59,L65:L77)-SUM(L96),4)=0,"OK","ERROR")</f>
        <v>OK</v>
      </c>
    </row>
    <row r="100" spans="1:13" x14ac:dyDescent="0.3">
      <c r="A100" s="39"/>
      <c r="B100" s="118" t="s">
        <v>187</v>
      </c>
      <c r="C100" s="118"/>
      <c r="D100" s="118"/>
      <c r="E100" s="118" t="str">
        <f>"(Real "&amp;'Key assumptions'!$D$11&amp;")"</f>
        <v>(Real $RY2026)</v>
      </c>
      <c r="F100" s="118"/>
      <c r="G100" s="118"/>
      <c r="H100" s="118"/>
      <c r="I100" s="118"/>
      <c r="J100" s="118"/>
      <c r="K100" s="39"/>
      <c r="L100" s="117" t="s">
        <v>255</v>
      </c>
      <c r="M100" s="39"/>
    </row>
    <row r="101" spans="1:13" x14ac:dyDescent="0.3">
      <c r="L101" s="65"/>
    </row>
    <row r="102" spans="1:13" ht="39.75" x14ac:dyDescent="0.3">
      <c r="B102" s="136" t="str">
        <f>B64</f>
        <v>Capex category</v>
      </c>
      <c r="C102" s="140" t="str" cm="1">
        <f t="array" ref="C102:I102">model_forecastperiod</f>
        <v>RY2026
01Feb-30Sep</v>
      </c>
      <c r="D102" s="161" t="str">
        <v>RY2027</v>
      </c>
      <c r="E102" s="161" t="str">
        <v>RY2028</v>
      </c>
      <c r="F102" s="161" t="str">
        <v>RY2029</v>
      </c>
      <c r="G102" s="161" t="str">
        <v>RY2030</v>
      </c>
      <c r="H102" s="161" t="str">
        <v>RY2031</v>
      </c>
      <c r="I102" s="161" t="str">
        <v>RY2032</v>
      </c>
      <c r="J102" s="140" t="s">
        <v>133</v>
      </c>
      <c r="K102" s="43"/>
      <c r="L102" s="140" t="s">
        <v>254</v>
      </c>
      <c r="M102" s="43"/>
    </row>
    <row r="103" spans="1:13" x14ac:dyDescent="0.3">
      <c r="B103" s="206" t="str">
        <f>B11</f>
        <v>Community and Stakeholder Engagement</v>
      </c>
      <c r="C103" s="207">
        <f t="shared" ref="C103:I115" si="52">C83*labour_related_direct</f>
        <v>321.827570491095</v>
      </c>
      <c r="D103" s="207">
        <f t="shared" si="52"/>
        <v>131.94020982488226</v>
      </c>
      <c r="E103" s="207">
        <f t="shared" si="52"/>
        <v>0</v>
      </c>
      <c r="F103" s="207">
        <f t="shared" si="52"/>
        <v>0</v>
      </c>
      <c r="G103" s="207">
        <f t="shared" si="52"/>
        <v>0</v>
      </c>
      <c r="H103" s="207">
        <f t="shared" si="52"/>
        <v>0</v>
      </c>
      <c r="I103" s="207">
        <f t="shared" si="52"/>
        <v>0</v>
      </c>
      <c r="J103" s="207">
        <f t="shared" ref="J103:J116" si="53">SUM(C103:I103)</f>
        <v>453.76778031597723</v>
      </c>
      <c r="K103" s="218"/>
      <c r="L103" s="207">
        <f t="shared" ref="L103" si="54">L83*labour_related_direct</f>
        <v>202.0483097822999</v>
      </c>
      <c r="M103" s="218"/>
    </row>
    <row r="104" spans="1:13" x14ac:dyDescent="0.3">
      <c r="B104" s="206" t="str">
        <f t="shared" ref="B104:B115" si="55">B12</f>
        <v>Fleet</v>
      </c>
      <c r="C104" s="207">
        <f t="shared" si="52"/>
        <v>0</v>
      </c>
      <c r="D104" s="207">
        <f t="shared" si="52"/>
        <v>0</v>
      </c>
      <c r="E104" s="207">
        <f t="shared" si="52"/>
        <v>0</v>
      </c>
      <c r="F104" s="207">
        <f t="shared" si="52"/>
        <v>0</v>
      </c>
      <c r="G104" s="207">
        <f t="shared" si="52"/>
        <v>0</v>
      </c>
      <c r="H104" s="207">
        <f t="shared" si="52"/>
        <v>0</v>
      </c>
      <c r="I104" s="207">
        <f t="shared" si="52"/>
        <v>0</v>
      </c>
      <c r="J104" s="207">
        <f t="shared" ref="J104:J115" si="56">SUM(C104:I104)</f>
        <v>0</v>
      </c>
      <c r="K104" s="218"/>
      <c r="L104" s="207">
        <f t="shared" ref="L104" si="57">L84*labour_related_direct</f>
        <v>0</v>
      </c>
      <c r="M104" s="218"/>
    </row>
    <row r="105" spans="1:13" x14ac:dyDescent="0.3">
      <c r="B105" s="206" t="str">
        <f t="shared" si="55"/>
        <v>Land and Environment</v>
      </c>
      <c r="C105" s="207">
        <f t="shared" si="52"/>
        <v>22733.622471381866</v>
      </c>
      <c r="D105" s="207">
        <f t="shared" si="52"/>
        <v>4706.0564421641957</v>
      </c>
      <c r="E105" s="207">
        <f t="shared" si="52"/>
        <v>4654.5785025113601</v>
      </c>
      <c r="F105" s="207">
        <f t="shared" si="52"/>
        <v>446.76570641111158</v>
      </c>
      <c r="G105" s="207">
        <f t="shared" si="52"/>
        <v>0</v>
      </c>
      <c r="H105" s="207">
        <f t="shared" si="52"/>
        <v>0</v>
      </c>
      <c r="I105" s="207">
        <f t="shared" si="52"/>
        <v>0</v>
      </c>
      <c r="J105" s="207">
        <f t="shared" si="56"/>
        <v>32541.023122468534</v>
      </c>
      <c r="K105" s="218"/>
      <c r="L105" s="207">
        <f t="shared" ref="L105" si="58">L85*labour_related_direct</f>
        <v>21248.750207107616</v>
      </c>
      <c r="M105" s="218"/>
    </row>
    <row r="106" spans="1:13" x14ac:dyDescent="0.3">
      <c r="B106" s="206" t="str">
        <f t="shared" si="55"/>
        <v>Other Support &amp; Corporate Roles</v>
      </c>
      <c r="C106" s="207">
        <f t="shared" si="52"/>
        <v>12074.112106567572</v>
      </c>
      <c r="D106" s="207">
        <f t="shared" si="52"/>
        <v>17080.080974233144</v>
      </c>
      <c r="E106" s="207">
        <f t="shared" si="52"/>
        <v>15576.80194631554</v>
      </c>
      <c r="F106" s="207">
        <f t="shared" si="52"/>
        <v>8007.192050916211</v>
      </c>
      <c r="G106" s="207">
        <f t="shared" si="52"/>
        <v>0</v>
      </c>
      <c r="H106" s="207">
        <f t="shared" si="52"/>
        <v>0</v>
      </c>
      <c r="I106" s="207">
        <f t="shared" si="52"/>
        <v>0</v>
      </c>
      <c r="J106" s="207">
        <f t="shared" si="56"/>
        <v>52738.187078032461</v>
      </c>
      <c r="K106" s="218"/>
      <c r="L106" s="207">
        <f t="shared" ref="L106" si="59">L86*labour_related_direct</f>
        <v>7294.4500691743615</v>
      </c>
      <c r="M106" s="218"/>
    </row>
    <row r="107" spans="1:13" x14ac:dyDescent="0.3">
      <c r="B107" s="206" t="str">
        <f t="shared" si="55"/>
        <v>Project Delivery Management - Commercial Management</v>
      </c>
      <c r="C107" s="207">
        <f t="shared" si="52"/>
        <v>122394.21818792378</v>
      </c>
      <c r="D107" s="207">
        <f t="shared" si="52"/>
        <v>9499.6951073915243</v>
      </c>
      <c r="E107" s="207">
        <f t="shared" si="52"/>
        <v>9499.6951073915243</v>
      </c>
      <c r="F107" s="207">
        <f t="shared" si="52"/>
        <v>2940.3818189545191</v>
      </c>
      <c r="G107" s="207">
        <f t="shared" si="52"/>
        <v>0</v>
      </c>
      <c r="H107" s="207">
        <f t="shared" si="52"/>
        <v>0</v>
      </c>
      <c r="I107" s="207">
        <f t="shared" si="52"/>
        <v>0</v>
      </c>
      <c r="J107" s="207">
        <f t="shared" si="56"/>
        <v>144333.99022166131</v>
      </c>
      <c r="K107" s="218"/>
      <c r="L107" s="207">
        <f t="shared" ref="L107" si="60">L87*labour_related_direct</f>
        <v>119704.40492819309</v>
      </c>
      <c r="M107" s="218"/>
    </row>
    <row r="108" spans="1:13" x14ac:dyDescent="0.3">
      <c r="B108" s="206" t="str">
        <f t="shared" si="55"/>
        <v>Project Delivery Management - Commissioning</v>
      </c>
      <c r="C108" s="207">
        <f t="shared" si="52"/>
        <v>225044.84207326386</v>
      </c>
      <c r="D108" s="207">
        <f t="shared" si="52"/>
        <v>1107457.0130836128</v>
      </c>
      <c r="E108" s="207">
        <f t="shared" si="52"/>
        <v>1068937.7843956084</v>
      </c>
      <c r="F108" s="207">
        <f t="shared" si="52"/>
        <v>103009.59756493918</v>
      </c>
      <c r="G108" s="207">
        <f t="shared" si="52"/>
        <v>0</v>
      </c>
      <c r="H108" s="207">
        <f t="shared" si="52"/>
        <v>0</v>
      </c>
      <c r="I108" s="207">
        <f t="shared" si="52"/>
        <v>0</v>
      </c>
      <c r="J108" s="207">
        <f t="shared" si="56"/>
        <v>2504449.2371174246</v>
      </c>
      <c r="K108" s="218"/>
      <c r="L108" s="207">
        <f t="shared" ref="L108" si="61">L88*labour_related_direct</f>
        <v>133381.14716158787</v>
      </c>
      <c r="M108" s="218"/>
    </row>
    <row r="109" spans="1:13" x14ac:dyDescent="0.3">
      <c r="B109" s="206" t="str">
        <f t="shared" si="55"/>
        <v>Project Delivery Management - Construction Management</v>
      </c>
      <c r="C109" s="207">
        <f t="shared" si="52"/>
        <v>724861.45473703381</v>
      </c>
      <c r="D109" s="207">
        <f t="shared" si="52"/>
        <v>1949057.324601521</v>
      </c>
      <c r="E109" s="207">
        <f t="shared" si="52"/>
        <v>1955372.8081206633</v>
      </c>
      <c r="F109" s="207">
        <f t="shared" si="52"/>
        <v>273215.26292653283</v>
      </c>
      <c r="G109" s="207">
        <f t="shared" si="52"/>
        <v>0</v>
      </c>
      <c r="H109" s="207">
        <f t="shared" si="52"/>
        <v>0</v>
      </c>
      <c r="I109" s="207">
        <f t="shared" si="52"/>
        <v>0</v>
      </c>
      <c r="J109" s="207">
        <f t="shared" si="56"/>
        <v>4902506.8503857506</v>
      </c>
      <c r="K109" s="218"/>
      <c r="L109" s="207">
        <f t="shared" ref="L109" si="62">L89*labour_related_direct</f>
        <v>434724.60326736327</v>
      </c>
      <c r="M109" s="218"/>
    </row>
    <row r="110" spans="1:13" x14ac:dyDescent="0.3">
      <c r="B110" s="206" t="str">
        <f t="shared" si="55"/>
        <v>Project Delivery Management - Project Controls</v>
      </c>
      <c r="C110" s="207">
        <f t="shared" si="52"/>
        <v>75762.528854362274</v>
      </c>
      <c r="D110" s="207">
        <f t="shared" si="52"/>
        <v>16467.15856155963</v>
      </c>
      <c r="E110" s="207">
        <f t="shared" si="52"/>
        <v>16395.732282556692</v>
      </c>
      <c r="F110" s="207">
        <f t="shared" si="52"/>
        <v>5759.5940574576161</v>
      </c>
      <c r="G110" s="207">
        <f t="shared" si="52"/>
        <v>0</v>
      </c>
      <c r="H110" s="207">
        <f t="shared" si="52"/>
        <v>0</v>
      </c>
      <c r="I110" s="207">
        <f t="shared" si="52"/>
        <v>0</v>
      </c>
      <c r="J110" s="207">
        <f t="shared" si="56"/>
        <v>114385.0137559362</v>
      </c>
      <c r="K110" s="218"/>
      <c r="L110" s="207">
        <f t="shared" ref="L110" si="63">L90*labour_related_direct</f>
        <v>71527.584364115275</v>
      </c>
      <c r="M110" s="218"/>
    </row>
    <row r="111" spans="1:13" x14ac:dyDescent="0.3">
      <c r="B111" s="206" t="str">
        <f t="shared" si="55"/>
        <v>Project Delivery Management - Project Engineering</v>
      </c>
      <c r="C111" s="207">
        <f t="shared" si="52"/>
        <v>1331.9044149692772</v>
      </c>
      <c r="D111" s="207">
        <f t="shared" si="52"/>
        <v>1357.0993010559321</v>
      </c>
      <c r="E111" s="207">
        <f t="shared" si="52"/>
        <v>1357.0993010559321</v>
      </c>
      <c r="F111" s="207">
        <f t="shared" si="52"/>
        <v>565.45804210663835</v>
      </c>
      <c r="G111" s="207">
        <f t="shared" si="52"/>
        <v>0</v>
      </c>
      <c r="H111" s="207">
        <f t="shared" si="52"/>
        <v>0</v>
      </c>
      <c r="I111" s="207">
        <f t="shared" si="52"/>
        <v>0</v>
      </c>
      <c r="J111" s="207">
        <f t="shared" si="56"/>
        <v>4611.5610591877803</v>
      </c>
      <c r="K111" s="218"/>
      <c r="L111" s="207">
        <f t="shared" ref="L111" si="64">L91*labour_related_direct</f>
        <v>986.26971554749764</v>
      </c>
      <c r="M111" s="218"/>
    </row>
    <row r="112" spans="1:13" x14ac:dyDescent="0.3">
      <c r="B112" s="206" t="str">
        <f t="shared" si="55"/>
        <v>Project Delivery Management - Project Management</v>
      </c>
      <c r="C112" s="207">
        <f t="shared" si="52"/>
        <v>353324.24311358627</v>
      </c>
      <c r="D112" s="207">
        <f t="shared" si="52"/>
        <v>336447.25633835513</v>
      </c>
      <c r="E112" s="207">
        <f t="shared" si="52"/>
        <v>336411.54319885367</v>
      </c>
      <c r="F112" s="207">
        <f t="shared" si="52"/>
        <v>140395.25741591043</v>
      </c>
      <c r="G112" s="207">
        <f t="shared" si="52"/>
        <v>0</v>
      </c>
      <c r="H112" s="207">
        <f t="shared" si="52"/>
        <v>0</v>
      </c>
      <c r="I112" s="207">
        <f t="shared" si="52"/>
        <v>0</v>
      </c>
      <c r="J112" s="207">
        <f t="shared" si="56"/>
        <v>1166578.3000667056</v>
      </c>
      <c r="K112" s="218"/>
      <c r="L112" s="207">
        <f t="shared" ref="L112" si="65">L92*labour_related_direct</f>
        <v>270685.21245053504</v>
      </c>
      <c r="M112" s="218"/>
    </row>
    <row r="113" spans="1:13" x14ac:dyDescent="0.3">
      <c r="B113" s="206" t="str">
        <f t="shared" si="55"/>
        <v>Project Development</v>
      </c>
      <c r="C113" s="207">
        <f t="shared" si="52"/>
        <v>186778.65088754433</v>
      </c>
      <c r="D113" s="207">
        <f t="shared" si="52"/>
        <v>1335868.5616485793</v>
      </c>
      <c r="E113" s="207">
        <f t="shared" si="52"/>
        <v>473518.41969478357</v>
      </c>
      <c r="F113" s="207">
        <f t="shared" si="52"/>
        <v>384.51146863251404</v>
      </c>
      <c r="G113" s="207">
        <f t="shared" si="52"/>
        <v>0</v>
      </c>
      <c r="H113" s="207">
        <f t="shared" si="52"/>
        <v>0</v>
      </c>
      <c r="I113" s="207">
        <f t="shared" si="52"/>
        <v>0</v>
      </c>
      <c r="J113" s="207">
        <f t="shared" si="56"/>
        <v>1996550.1436995398</v>
      </c>
      <c r="K113" s="218"/>
      <c r="L113" s="207">
        <f t="shared" ref="L113" si="66">L93*labour_related_direct</f>
        <v>112304.79749369939</v>
      </c>
      <c r="M113" s="218"/>
    </row>
    <row r="114" spans="1:13" x14ac:dyDescent="0.3">
      <c r="B114" s="206" t="str">
        <f t="shared" si="55"/>
        <v>Regulatory Approvals</v>
      </c>
      <c r="C114" s="207">
        <f t="shared" si="52"/>
        <v>855.37861316915803</v>
      </c>
      <c r="D114" s="207">
        <f t="shared" si="52"/>
        <v>113.09160842132765</v>
      </c>
      <c r="E114" s="207">
        <f t="shared" si="52"/>
        <v>0</v>
      </c>
      <c r="F114" s="207">
        <f t="shared" si="52"/>
        <v>0</v>
      </c>
      <c r="G114" s="207">
        <f t="shared" si="52"/>
        <v>0</v>
      </c>
      <c r="H114" s="207">
        <f t="shared" si="52"/>
        <v>0</v>
      </c>
      <c r="I114" s="207">
        <f t="shared" si="52"/>
        <v>0</v>
      </c>
      <c r="J114" s="207">
        <f t="shared" si="56"/>
        <v>968.47022159048572</v>
      </c>
      <c r="K114" s="218"/>
      <c r="L114" s="207">
        <f t="shared" ref="L114" si="67">L94*labour_related_direct</f>
        <v>680.99575597327214</v>
      </c>
      <c r="M114" s="218"/>
    </row>
    <row r="115" spans="1:13" x14ac:dyDescent="0.3">
      <c r="B115" s="206" t="str">
        <f t="shared" si="55"/>
        <v>Transaction Procurement Support</v>
      </c>
      <c r="C115" s="207">
        <f t="shared" si="52"/>
        <v>0</v>
      </c>
      <c r="D115" s="207">
        <f t="shared" si="52"/>
        <v>0</v>
      </c>
      <c r="E115" s="207">
        <f t="shared" si="52"/>
        <v>0</v>
      </c>
      <c r="F115" s="207">
        <f t="shared" si="52"/>
        <v>0</v>
      </c>
      <c r="G115" s="207">
        <f t="shared" si="52"/>
        <v>0</v>
      </c>
      <c r="H115" s="207">
        <f t="shared" si="52"/>
        <v>0</v>
      </c>
      <c r="I115" s="207">
        <f t="shared" si="52"/>
        <v>0</v>
      </c>
      <c r="J115" s="207">
        <f t="shared" si="56"/>
        <v>0</v>
      </c>
      <c r="K115" s="218"/>
      <c r="L115" s="207">
        <f t="shared" ref="L115" si="68">L95*labour_related_direct</f>
        <v>0</v>
      </c>
      <c r="M115" s="218"/>
    </row>
    <row r="116" spans="1:13" x14ac:dyDescent="0.3">
      <c r="B116" s="208" t="s">
        <v>133</v>
      </c>
      <c r="C116" s="209">
        <f t="shared" ref="C116:I116" si="69">SUM(C103:C115)</f>
        <v>1725482.783030293</v>
      </c>
      <c r="D116" s="209">
        <f t="shared" si="69"/>
        <v>4778185.2778767189</v>
      </c>
      <c r="E116" s="209">
        <f t="shared" si="69"/>
        <v>3881724.46254974</v>
      </c>
      <c r="F116" s="209">
        <f t="shared" si="69"/>
        <v>534724.021051861</v>
      </c>
      <c r="G116" s="209">
        <f t="shared" si="69"/>
        <v>0</v>
      </c>
      <c r="H116" s="209">
        <f t="shared" si="69"/>
        <v>0</v>
      </c>
      <c r="I116" s="209">
        <f t="shared" si="69"/>
        <v>0</v>
      </c>
      <c r="J116" s="209">
        <f t="shared" si="53"/>
        <v>10920116.544508614</v>
      </c>
      <c r="L116" s="209">
        <f t="shared" ref="L116" si="70">SUM(L103:L115)</f>
        <v>1172740.2637230791</v>
      </c>
    </row>
    <row r="118" spans="1:13" x14ac:dyDescent="0.3">
      <c r="A118" s="39"/>
      <c r="B118" s="118" t="s">
        <v>188</v>
      </c>
      <c r="C118" s="118"/>
      <c r="D118" s="118"/>
      <c r="E118" s="118" t="str">
        <f>"(Real "&amp;'Key assumptions'!$D$11&amp;")"</f>
        <v>(Real $RY2026)</v>
      </c>
      <c r="F118" s="118"/>
      <c r="G118" s="118"/>
      <c r="H118" s="118"/>
      <c r="I118" s="118"/>
      <c r="J118" s="118"/>
      <c r="K118" s="39"/>
      <c r="L118" s="117" t="s">
        <v>255</v>
      </c>
      <c r="M118" s="39"/>
    </row>
    <row r="119" spans="1:13" x14ac:dyDescent="0.3">
      <c r="L119" s="65"/>
    </row>
    <row r="120" spans="1:13" ht="39.75" x14ac:dyDescent="0.3">
      <c r="B120" s="136" t="str">
        <f>B102</f>
        <v>Capex category</v>
      </c>
      <c r="C120" s="140" t="str" cm="1">
        <f t="array" ref="C120:I120">model_forecastperiod</f>
        <v>RY2026
01Feb-30Sep</v>
      </c>
      <c r="D120" s="140" t="str">
        <v>RY2027</v>
      </c>
      <c r="E120" s="140" t="str">
        <v>RY2028</v>
      </c>
      <c r="F120" s="140" t="str">
        <v>RY2029</v>
      </c>
      <c r="G120" s="140" t="str">
        <v>RY2030</v>
      </c>
      <c r="H120" s="140" t="str">
        <v>RY2031</v>
      </c>
      <c r="I120" s="140" t="str">
        <v>RY2032</v>
      </c>
      <c r="J120" s="140" t="s">
        <v>133</v>
      </c>
      <c r="K120" s="43"/>
      <c r="L120" s="140" t="s">
        <v>254</v>
      </c>
      <c r="M120" s="43"/>
    </row>
    <row r="121" spans="1:13" x14ac:dyDescent="0.3">
      <c r="B121" s="206" t="str">
        <f>B11</f>
        <v>Community and Stakeholder Engagement</v>
      </c>
      <c r="C121" s="207">
        <f t="shared" ref="C121:I133" si="71">C83*(1-labour_related_direct)</f>
        <v>137.92610163904075</v>
      </c>
      <c r="D121" s="207">
        <f t="shared" si="71"/>
        <v>56.545804210663839</v>
      </c>
      <c r="E121" s="207">
        <f t="shared" si="71"/>
        <v>0</v>
      </c>
      <c r="F121" s="207">
        <f t="shared" si="71"/>
        <v>0</v>
      </c>
      <c r="G121" s="207">
        <f t="shared" si="71"/>
        <v>0</v>
      </c>
      <c r="H121" s="207">
        <f t="shared" si="71"/>
        <v>0</v>
      </c>
      <c r="I121" s="207">
        <f t="shared" si="71"/>
        <v>0</v>
      </c>
      <c r="J121" s="207">
        <f t="shared" ref="J121:J134" si="72">SUM(C121:I121)</f>
        <v>194.4719058497046</v>
      </c>
      <c r="K121" s="218"/>
      <c r="L121" s="207">
        <f t="shared" ref="L121" si="73">L83*(1-labour_related_direct)</f>
        <v>86.592132763842827</v>
      </c>
      <c r="M121" s="218"/>
    </row>
    <row r="122" spans="1:13" x14ac:dyDescent="0.3">
      <c r="B122" s="206" t="str">
        <f t="shared" ref="B122:B133" si="74">B12</f>
        <v>Fleet</v>
      </c>
      <c r="C122" s="207">
        <f t="shared" si="71"/>
        <v>0</v>
      </c>
      <c r="D122" s="207">
        <f t="shared" si="71"/>
        <v>0</v>
      </c>
      <c r="E122" s="207">
        <f t="shared" si="71"/>
        <v>0</v>
      </c>
      <c r="F122" s="207">
        <f t="shared" si="71"/>
        <v>0</v>
      </c>
      <c r="G122" s="207">
        <f t="shared" si="71"/>
        <v>0</v>
      </c>
      <c r="H122" s="207">
        <f t="shared" si="71"/>
        <v>0</v>
      </c>
      <c r="I122" s="207">
        <f t="shared" si="71"/>
        <v>0</v>
      </c>
      <c r="J122" s="207">
        <f t="shared" ref="J122:J133" si="75">SUM(C122:I122)</f>
        <v>0</v>
      </c>
      <c r="K122" s="218"/>
      <c r="L122" s="207">
        <f t="shared" ref="L122" si="76">L84*(1-labour_related_direct)</f>
        <v>0</v>
      </c>
      <c r="M122" s="218"/>
    </row>
    <row r="123" spans="1:13" x14ac:dyDescent="0.3">
      <c r="B123" s="206" t="str">
        <f t="shared" si="74"/>
        <v>Land and Environment</v>
      </c>
      <c r="C123" s="207">
        <f t="shared" si="71"/>
        <v>9742.9810591636597</v>
      </c>
      <c r="D123" s="207">
        <f t="shared" si="71"/>
        <v>2016.8813323560844</v>
      </c>
      <c r="E123" s="207">
        <f t="shared" si="71"/>
        <v>1994.8193582191545</v>
      </c>
      <c r="F123" s="207">
        <f t="shared" si="71"/>
        <v>191.47101703333357</v>
      </c>
      <c r="G123" s="207">
        <f t="shared" si="71"/>
        <v>0</v>
      </c>
      <c r="H123" s="207">
        <f t="shared" si="71"/>
        <v>0</v>
      </c>
      <c r="I123" s="207">
        <f t="shared" si="71"/>
        <v>0</v>
      </c>
      <c r="J123" s="207">
        <f t="shared" si="75"/>
        <v>13946.152766772231</v>
      </c>
      <c r="K123" s="218"/>
      <c r="L123" s="207">
        <f t="shared" ref="L123" si="77">L85*(1-labour_related_direct)</f>
        <v>9106.6072316175523</v>
      </c>
      <c r="M123" s="218"/>
    </row>
    <row r="124" spans="1:13" x14ac:dyDescent="0.3">
      <c r="B124" s="206" t="str">
        <f t="shared" si="74"/>
        <v>Other Support &amp; Corporate Roles</v>
      </c>
      <c r="C124" s="207">
        <f t="shared" si="71"/>
        <v>5174.6194742432463</v>
      </c>
      <c r="D124" s="207">
        <f t="shared" si="71"/>
        <v>7320.0347032427781</v>
      </c>
      <c r="E124" s="207">
        <f t="shared" si="71"/>
        <v>6675.7722627066614</v>
      </c>
      <c r="F124" s="207">
        <f t="shared" si="71"/>
        <v>3431.6537361069486</v>
      </c>
      <c r="G124" s="207">
        <f t="shared" si="71"/>
        <v>0</v>
      </c>
      <c r="H124" s="207">
        <f t="shared" si="71"/>
        <v>0</v>
      </c>
      <c r="I124" s="207">
        <f t="shared" si="71"/>
        <v>0</v>
      </c>
      <c r="J124" s="207">
        <f t="shared" si="75"/>
        <v>22602.080176299634</v>
      </c>
      <c r="K124" s="218"/>
      <c r="L124" s="207">
        <f t="shared" ref="L124" si="78">L86*(1-labour_related_direct)</f>
        <v>3126.1928867890128</v>
      </c>
      <c r="M124" s="218"/>
    </row>
    <row r="125" spans="1:13" x14ac:dyDescent="0.3">
      <c r="B125" s="206" t="str">
        <f t="shared" si="74"/>
        <v>Project Delivery Management - Commercial Management</v>
      </c>
      <c r="C125" s="207">
        <f t="shared" si="71"/>
        <v>52454.664937681628</v>
      </c>
      <c r="D125" s="207">
        <f t="shared" si="71"/>
        <v>4071.2979031677969</v>
      </c>
      <c r="E125" s="207">
        <f t="shared" si="71"/>
        <v>4071.2979031677969</v>
      </c>
      <c r="F125" s="207">
        <f t="shared" si="71"/>
        <v>1260.1636366947941</v>
      </c>
      <c r="G125" s="207">
        <f t="shared" si="71"/>
        <v>0</v>
      </c>
      <c r="H125" s="207">
        <f t="shared" si="71"/>
        <v>0</v>
      </c>
      <c r="I125" s="207">
        <f t="shared" si="71"/>
        <v>0</v>
      </c>
      <c r="J125" s="207">
        <f t="shared" si="75"/>
        <v>61857.424380712015</v>
      </c>
      <c r="K125" s="218"/>
      <c r="L125" s="207">
        <f t="shared" ref="L125" si="79">L87*(1-labour_related_direct)</f>
        <v>51301.887826368482</v>
      </c>
      <c r="M125" s="218"/>
    </row>
    <row r="126" spans="1:13" x14ac:dyDescent="0.3">
      <c r="B126" s="206" t="str">
        <f t="shared" si="74"/>
        <v>Project Delivery Management - Commissioning</v>
      </c>
      <c r="C126" s="207">
        <f t="shared" si="71"/>
        <v>96447.789459970241</v>
      </c>
      <c r="D126" s="207">
        <f t="shared" si="71"/>
        <v>474624.4341786913</v>
      </c>
      <c r="E126" s="207">
        <f t="shared" si="71"/>
        <v>458116.19331240369</v>
      </c>
      <c r="F126" s="207">
        <f t="shared" si="71"/>
        <v>44146.970384973945</v>
      </c>
      <c r="G126" s="207">
        <f t="shared" si="71"/>
        <v>0</v>
      </c>
      <c r="H126" s="207">
        <f t="shared" si="71"/>
        <v>0</v>
      </c>
      <c r="I126" s="207">
        <f t="shared" si="71"/>
        <v>0</v>
      </c>
      <c r="J126" s="207">
        <f t="shared" si="75"/>
        <v>1073335.3873360392</v>
      </c>
      <c r="K126" s="218"/>
      <c r="L126" s="207">
        <f t="shared" ref="L126" si="80">L88*(1-labour_related_direct)</f>
        <v>57163.348783537665</v>
      </c>
      <c r="M126" s="218"/>
    </row>
    <row r="127" spans="1:13" x14ac:dyDescent="0.3">
      <c r="B127" s="206" t="str">
        <f t="shared" si="74"/>
        <v>Project Delivery Management - Construction Management</v>
      </c>
      <c r="C127" s="207">
        <f t="shared" si="71"/>
        <v>310654.90917301457</v>
      </c>
      <c r="D127" s="207">
        <f t="shared" si="71"/>
        <v>835310.28197208059</v>
      </c>
      <c r="E127" s="207">
        <f t="shared" si="71"/>
        <v>838016.91776599875</v>
      </c>
      <c r="F127" s="207">
        <f t="shared" si="71"/>
        <v>117092.25553994266</v>
      </c>
      <c r="G127" s="207">
        <f t="shared" si="71"/>
        <v>0</v>
      </c>
      <c r="H127" s="207">
        <f t="shared" si="71"/>
        <v>0</v>
      </c>
      <c r="I127" s="207">
        <f t="shared" si="71"/>
        <v>0</v>
      </c>
      <c r="J127" s="207">
        <f t="shared" si="75"/>
        <v>2101074.3644510363</v>
      </c>
      <c r="K127" s="218"/>
      <c r="L127" s="207">
        <f t="shared" ref="L127" si="81">L89*(1-labour_related_direct)</f>
        <v>186310.54425744145</v>
      </c>
      <c r="M127" s="218"/>
    </row>
    <row r="128" spans="1:13" x14ac:dyDescent="0.3">
      <c r="B128" s="206" t="str">
        <f t="shared" si="74"/>
        <v>Project Delivery Management - Project Controls</v>
      </c>
      <c r="C128" s="207">
        <f t="shared" si="71"/>
        <v>32469.655223298123</v>
      </c>
      <c r="D128" s="207">
        <f t="shared" si="71"/>
        <v>7057.3536692398438</v>
      </c>
      <c r="E128" s="207">
        <f t="shared" si="71"/>
        <v>7026.7424068100117</v>
      </c>
      <c r="F128" s="207">
        <f t="shared" si="71"/>
        <v>2468.3974531961217</v>
      </c>
      <c r="G128" s="207">
        <f t="shared" si="71"/>
        <v>0</v>
      </c>
      <c r="H128" s="207">
        <f t="shared" si="71"/>
        <v>0</v>
      </c>
      <c r="I128" s="207">
        <f t="shared" si="71"/>
        <v>0</v>
      </c>
      <c r="J128" s="207">
        <f t="shared" si="75"/>
        <v>49022.148752544097</v>
      </c>
      <c r="K128" s="218"/>
      <c r="L128" s="207">
        <f t="shared" ref="L128" si="82">L90*(1-labour_related_direct)</f>
        <v>30654.679013192264</v>
      </c>
      <c r="M128" s="218"/>
    </row>
    <row r="129" spans="1:13" x14ac:dyDescent="0.3">
      <c r="B129" s="206" t="str">
        <f t="shared" si="74"/>
        <v>Project Delivery Management - Project Engineering</v>
      </c>
      <c r="C129" s="207">
        <f t="shared" si="71"/>
        <v>570.81617784397611</v>
      </c>
      <c r="D129" s="207">
        <f t="shared" si="71"/>
        <v>581.61398616682811</v>
      </c>
      <c r="E129" s="207">
        <f t="shared" si="71"/>
        <v>581.61398616682811</v>
      </c>
      <c r="F129" s="207">
        <f t="shared" si="71"/>
        <v>242.33916090284504</v>
      </c>
      <c r="G129" s="207">
        <f t="shared" si="71"/>
        <v>0</v>
      </c>
      <c r="H129" s="207">
        <f t="shared" si="71"/>
        <v>0</v>
      </c>
      <c r="I129" s="207">
        <f t="shared" si="71"/>
        <v>0</v>
      </c>
      <c r="J129" s="207">
        <f t="shared" si="75"/>
        <v>1976.3833110804771</v>
      </c>
      <c r="K129" s="218"/>
      <c r="L129" s="207">
        <f t="shared" ref="L129" si="83">L91*(1-labour_related_direct)</f>
        <v>422.68702094892762</v>
      </c>
      <c r="M129" s="218"/>
    </row>
    <row r="130" spans="1:13" x14ac:dyDescent="0.3">
      <c r="B130" s="206" t="str">
        <f t="shared" si="74"/>
        <v>Project Delivery Management - Project Management</v>
      </c>
      <c r="C130" s="207">
        <f t="shared" si="71"/>
        <v>151424.67562010844</v>
      </c>
      <c r="D130" s="207">
        <f t="shared" si="71"/>
        <v>144191.68128786652</v>
      </c>
      <c r="E130" s="207">
        <f t="shared" si="71"/>
        <v>144176.37565665159</v>
      </c>
      <c r="F130" s="207">
        <f t="shared" si="71"/>
        <v>60169.3960353902</v>
      </c>
      <c r="G130" s="207">
        <f t="shared" si="71"/>
        <v>0</v>
      </c>
      <c r="H130" s="207">
        <f t="shared" si="71"/>
        <v>0</v>
      </c>
      <c r="I130" s="207">
        <f t="shared" si="71"/>
        <v>0</v>
      </c>
      <c r="J130" s="207">
        <f t="shared" si="75"/>
        <v>499962.1286000167</v>
      </c>
      <c r="K130" s="218"/>
      <c r="L130" s="207">
        <f t="shared" ref="L130" si="84">L92*(1-labour_related_direct)</f>
        <v>116007.94819308647</v>
      </c>
      <c r="M130" s="218"/>
    </row>
    <row r="131" spans="1:13" x14ac:dyDescent="0.3">
      <c r="B131" s="206" t="str">
        <f t="shared" si="74"/>
        <v>Project Development</v>
      </c>
      <c r="C131" s="207">
        <f t="shared" si="71"/>
        <v>80047.993237519011</v>
      </c>
      <c r="D131" s="207">
        <f t="shared" si="71"/>
        <v>572515.09784939128</v>
      </c>
      <c r="E131" s="207">
        <f t="shared" si="71"/>
        <v>202936.46558347871</v>
      </c>
      <c r="F131" s="207">
        <f t="shared" si="71"/>
        <v>164.79062941393462</v>
      </c>
      <c r="G131" s="207">
        <f t="shared" si="71"/>
        <v>0</v>
      </c>
      <c r="H131" s="207">
        <f t="shared" si="71"/>
        <v>0</v>
      </c>
      <c r="I131" s="207">
        <f t="shared" si="71"/>
        <v>0</v>
      </c>
      <c r="J131" s="207">
        <f t="shared" si="75"/>
        <v>855664.34729980293</v>
      </c>
      <c r="K131" s="218"/>
      <c r="L131" s="207">
        <f t="shared" ref="L131" si="85">L93*(1-labour_related_direct)</f>
        <v>48130.627497299749</v>
      </c>
      <c r="M131" s="218"/>
    </row>
    <row r="132" spans="1:13" x14ac:dyDescent="0.3">
      <c r="B132" s="206" t="str">
        <f t="shared" si="74"/>
        <v>Regulatory Approvals</v>
      </c>
      <c r="C132" s="207">
        <f t="shared" si="71"/>
        <v>366.59083421535354</v>
      </c>
      <c r="D132" s="207">
        <f t="shared" si="71"/>
        <v>48.467832180569005</v>
      </c>
      <c r="E132" s="207">
        <f t="shared" si="71"/>
        <v>0</v>
      </c>
      <c r="F132" s="207">
        <f t="shared" si="71"/>
        <v>0</v>
      </c>
      <c r="G132" s="207">
        <f t="shared" si="71"/>
        <v>0</v>
      </c>
      <c r="H132" s="207">
        <f t="shared" si="71"/>
        <v>0</v>
      </c>
      <c r="I132" s="207">
        <f t="shared" si="71"/>
        <v>0</v>
      </c>
      <c r="J132" s="207">
        <f t="shared" si="75"/>
        <v>415.05866639592256</v>
      </c>
      <c r="K132" s="218"/>
      <c r="L132" s="207">
        <f t="shared" ref="L132" si="86">L94*(1-labour_related_direct)</f>
        <v>291.85532398854525</v>
      </c>
      <c r="M132" s="218"/>
    </row>
    <row r="133" spans="1:13" x14ac:dyDescent="0.3">
      <c r="B133" s="206" t="str">
        <f t="shared" si="74"/>
        <v>Transaction Procurement Support</v>
      </c>
      <c r="C133" s="207">
        <f t="shared" si="71"/>
        <v>0</v>
      </c>
      <c r="D133" s="207">
        <f t="shared" si="71"/>
        <v>0</v>
      </c>
      <c r="E133" s="207">
        <f t="shared" si="71"/>
        <v>0</v>
      </c>
      <c r="F133" s="207">
        <f t="shared" si="71"/>
        <v>0</v>
      </c>
      <c r="G133" s="207">
        <f t="shared" si="71"/>
        <v>0</v>
      </c>
      <c r="H133" s="207">
        <f t="shared" si="71"/>
        <v>0</v>
      </c>
      <c r="I133" s="207">
        <f t="shared" si="71"/>
        <v>0</v>
      </c>
      <c r="J133" s="207">
        <f t="shared" si="75"/>
        <v>0</v>
      </c>
      <c r="K133" s="218"/>
      <c r="L133" s="207">
        <f t="shared" ref="L133" si="87">L95*(1-labour_related_direct)</f>
        <v>0</v>
      </c>
      <c r="M133" s="218"/>
    </row>
    <row r="134" spans="1:13" x14ac:dyDescent="0.3">
      <c r="B134" s="208" t="s">
        <v>133</v>
      </c>
      <c r="C134" s="209">
        <f t="shared" ref="C134:I134" si="88">SUM(C121:C133)</f>
        <v>739492.62129869731</v>
      </c>
      <c r="D134" s="209">
        <f t="shared" si="88"/>
        <v>2047793.6905185943</v>
      </c>
      <c r="E134" s="209">
        <f t="shared" si="88"/>
        <v>1663596.1982356033</v>
      </c>
      <c r="F134" s="209">
        <f t="shared" si="88"/>
        <v>229167.43759365479</v>
      </c>
      <c r="G134" s="209">
        <f t="shared" si="88"/>
        <v>0</v>
      </c>
      <c r="H134" s="209">
        <f t="shared" si="88"/>
        <v>0</v>
      </c>
      <c r="I134" s="209">
        <f t="shared" si="88"/>
        <v>0</v>
      </c>
      <c r="J134" s="209">
        <f t="shared" si="72"/>
        <v>4680049.9476465499</v>
      </c>
      <c r="L134" s="209">
        <f t="shared" ref="L134" si="89">SUM(L121:L133)</f>
        <v>502602.9701670339</v>
      </c>
    </row>
    <row r="136" spans="1:13" x14ac:dyDescent="0.3">
      <c r="B136" s="206" t="s">
        <v>134</v>
      </c>
      <c r="C136" s="224" t="str">
        <f t="shared" ref="C136:J136" si="90">IF(ROUND(SUM(C116,C134)-SUM(C96),4)=0,"OK","ERROR")</f>
        <v>OK</v>
      </c>
      <c r="D136" s="224" t="str">
        <f t="shared" si="90"/>
        <v>OK</v>
      </c>
      <c r="E136" s="224" t="str">
        <f t="shared" si="90"/>
        <v>OK</v>
      </c>
      <c r="F136" s="224" t="str">
        <f t="shared" si="90"/>
        <v>OK</v>
      </c>
      <c r="G136" s="224" t="str">
        <f t="shared" si="90"/>
        <v>OK</v>
      </c>
      <c r="H136" s="224" t="str">
        <f t="shared" si="90"/>
        <v>OK</v>
      </c>
      <c r="I136" s="224" t="str">
        <f t="shared" si="90"/>
        <v>OK</v>
      </c>
      <c r="J136" s="224" t="str">
        <f t="shared" si="90"/>
        <v>OK</v>
      </c>
      <c r="L136" s="224" t="str">
        <f t="shared" ref="L136" si="91">IF(ROUND(SUM(L116,L134)-SUM(L96),4)=0,"OK","ERROR")</f>
        <v>OK</v>
      </c>
    </row>
    <row r="138" spans="1:13" s="32" customFormat="1" ht="22.5" x14ac:dyDescent="0.3">
      <c r="A138" s="31"/>
      <c r="B138" s="72"/>
      <c r="C138" s="31"/>
      <c r="D138" s="31"/>
      <c r="E138" s="31"/>
      <c r="F138" s="31"/>
      <c r="G138" s="31"/>
      <c r="H138" s="31"/>
      <c r="I138" s="31"/>
      <c r="J138" s="31"/>
      <c r="K138" s="31"/>
      <c r="L138" s="31"/>
      <c r="M138" s="31"/>
    </row>
  </sheetData>
  <conditionalFormatting sqref="C98:J98">
    <cfRule type="cellIs" dxfId="115" priority="10" operator="equal">
      <formula>"ERROR"</formula>
    </cfRule>
    <cfRule type="cellIs" dxfId="114" priority="11" operator="equal">
      <formula>"OK"</formula>
    </cfRule>
    <cfRule type="expression" dxfId="113" priority="12">
      <formula>$J73="Manual $ Spread"</formula>
    </cfRule>
  </conditionalFormatting>
  <conditionalFormatting sqref="C136:J136">
    <cfRule type="cellIs" dxfId="112" priority="13" operator="equal">
      <formula>"ERROR"</formula>
    </cfRule>
    <cfRule type="cellIs" dxfId="111" priority="14" operator="equal">
      <formula>"OK"</formula>
    </cfRule>
    <cfRule type="expression" dxfId="110" priority="15">
      <formula>$J111="Manual $ Spread"</formula>
    </cfRule>
  </conditionalFormatting>
  <conditionalFormatting sqref="L98">
    <cfRule type="cellIs" dxfId="109" priority="1" operator="equal">
      <formula>"ERROR"</formula>
    </cfRule>
    <cfRule type="cellIs" dxfId="108" priority="2" operator="equal">
      <formula>"OK"</formula>
    </cfRule>
    <cfRule type="expression" dxfId="107" priority="3">
      <formula>$J73="Manual $ Spread"</formula>
    </cfRule>
  </conditionalFormatting>
  <conditionalFormatting sqref="L136">
    <cfRule type="cellIs" dxfId="106" priority="4" operator="equal">
      <formula>"ERROR"</formula>
    </cfRule>
    <cfRule type="cellIs" dxfId="105" priority="5" operator="equal">
      <formula>"OK"</formula>
    </cfRule>
    <cfRule type="expression" dxfId="104" priority="6">
      <formula>$J111="Manual $ Spread"</formula>
    </cfRule>
  </conditionalFormatting>
  <pageMargins left="0.7" right="0.7" top="0.75" bottom="0.75" header="0.3" footer="0.3"/>
  <pageSetup orientation="portrait" r:id="rId1"/>
  <headerFooter>
    <oddFooter>&amp;L_x000D_&amp;1#&amp;"Aptos"&amp;10&amp;K000000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60CD1-D308-4D34-9105-374C12119FD7}">
  <sheetPr codeName="Sheet11">
    <tabColor theme="8"/>
    <pageSetUpPr autoPageBreaks="0"/>
  </sheetPr>
  <dimension ref="A1:AJ139"/>
  <sheetViews>
    <sheetView showGridLines="0" zoomScaleNormal="100" workbookViewId="0"/>
  </sheetViews>
  <sheetFormatPr defaultColWidth="9.21875" defaultRowHeight="12.75" x14ac:dyDescent="0.2"/>
  <cols>
    <col min="1" max="1" width="3.6640625" style="65" customWidth="1"/>
    <col min="2" max="2" width="23.109375" style="65" customWidth="1"/>
    <col min="3" max="13" width="11.5546875" style="65" customWidth="1"/>
    <col min="14" max="14" width="23.109375" style="65" customWidth="1"/>
    <col min="15" max="25" width="11.5546875" style="65" customWidth="1"/>
    <col min="26" max="26" width="23.109375" style="65" customWidth="1"/>
    <col min="27" max="36" width="11.5546875" style="65" customWidth="1"/>
    <col min="37" max="37" width="9.21875" style="65"/>
    <col min="38" max="38" width="32.44140625" style="65" bestFit="1" customWidth="1"/>
    <col min="39" max="39" width="29" style="65" bestFit="1" customWidth="1"/>
    <col min="40" max="40" width="32.44140625" style="65" bestFit="1" customWidth="1"/>
    <col min="41" max="16384" width="9.21875" style="65"/>
  </cols>
  <sheetData>
    <row r="1" spans="1:35" ht="35.25" customHeight="1" x14ac:dyDescent="0.2">
      <c r="A1" s="66"/>
      <c r="B1" s="93" t="str">
        <f>Overview!$B$1</f>
        <v>Labour and overhead costs for Accelerated Syncons</v>
      </c>
      <c r="C1" s="68"/>
      <c r="D1" s="68"/>
      <c r="E1" s="68"/>
      <c r="F1" s="68"/>
      <c r="G1" s="68"/>
      <c r="H1" s="68"/>
      <c r="I1" s="68"/>
      <c r="J1" s="66"/>
      <c r="K1" s="68"/>
      <c r="L1" s="68"/>
      <c r="M1" s="68"/>
      <c r="N1" s="200"/>
      <c r="O1" s="200"/>
      <c r="P1" s="200"/>
      <c r="Q1" s="200"/>
      <c r="R1" s="200"/>
      <c r="S1" s="200"/>
      <c r="T1" s="200"/>
      <c r="U1" s="200"/>
      <c r="V1" s="201"/>
      <c r="W1" s="200"/>
      <c r="X1" s="202"/>
      <c r="Y1" s="200"/>
      <c r="Z1" s="200"/>
      <c r="AA1" s="200"/>
      <c r="AB1" s="200"/>
      <c r="AC1" s="200"/>
      <c r="AD1" s="200"/>
      <c r="AE1" s="200"/>
      <c r="AF1" s="200"/>
      <c r="AG1" s="200"/>
      <c r="AH1" s="201"/>
      <c r="AI1" s="200"/>
    </row>
    <row r="2" spans="1:35" ht="26.25" customHeight="1" x14ac:dyDescent="0.2">
      <c r="A2" s="71"/>
      <c r="B2" s="72" t="s">
        <v>189</v>
      </c>
      <c r="C2" s="71"/>
      <c r="D2" s="71"/>
      <c r="E2" s="71"/>
      <c r="F2" s="71"/>
      <c r="G2" s="71"/>
      <c r="H2" s="71"/>
      <c r="I2" s="71"/>
      <c r="J2" s="71"/>
      <c r="K2" s="71"/>
      <c r="L2" s="71"/>
      <c r="M2" s="71"/>
      <c r="N2" s="203"/>
      <c r="O2" s="203"/>
      <c r="P2" s="203"/>
      <c r="Q2" s="203"/>
      <c r="R2" s="203"/>
      <c r="S2" s="203"/>
      <c r="T2" s="203"/>
      <c r="U2" s="203"/>
      <c r="V2" s="203"/>
      <c r="W2" s="203"/>
      <c r="X2" s="204"/>
      <c r="Y2" s="203"/>
      <c r="Z2" s="203"/>
      <c r="AA2" s="203"/>
      <c r="AB2" s="203"/>
      <c r="AC2" s="203"/>
      <c r="AD2" s="203"/>
      <c r="AE2" s="203"/>
      <c r="AF2" s="203"/>
      <c r="AG2" s="203"/>
      <c r="AH2" s="203"/>
    </row>
    <row r="4" spans="1:35" x14ac:dyDescent="0.2">
      <c r="B4" s="76" t="s">
        <v>48</v>
      </c>
      <c r="X4" s="76"/>
    </row>
    <row r="5" spans="1:35" ht="15" customHeight="1" x14ac:dyDescent="0.2">
      <c r="B5" s="78" t="s">
        <v>190</v>
      </c>
      <c r="N5" s="78"/>
      <c r="X5" s="78"/>
      <c r="Y5" s="78"/>
      <c r="Z5" s="78"/>
    </row>
    <row r="6" spans="1:35" x14ac:dyDescent="0.2">
      <c r="B6" s="78"/>
      <c r="N6" s="78"/>
      <c r="X6" s="78"/>
      <c r="Y6" s="78"/>
      <c r="Z6" s="78"/>
    </row>
    <row r="7" spans="1:35" s="91" customFormat="1" x14ac:dyDescent="0.2"/>
    <row r="8" spans="1:35" x14ac:dyDescent="0.2">
      <c r="B8" s="118" t="s">
        <v>177</v>
      </c>
      <c r="C8" s="118"/>
      <c r="D8" s="118"/>
      <c r="E8" s="132" t="str">
        <f>"(Real "&amp;'Key assumptions'!$D$11&amp;")"</f>
        <v>(Real $RY2026)</v>
      </c>
      <c r="F8" s="118"/>
      <c r="G8" s="118"/>
      <c r="H8" s="118"/>
      <c r="I8" s="118"/>
      <c r="J8" s="118"/>
      <c r="L8" s="117" t="s">
        <v>255</v>
      </c>
    </row>
    <row r="9" spans="1:35" x14ac:dyDescent="0.2">
      <c r="B9" s="87"/>
    </row>
    <row r="10" spans="1:35" s="153" customFormat="1" ht="25.5" x14ac:dyDescent="0.2">
      <c r="B10" s="136" t="s">
        <v>131</v>
      </c>
      <c r="C10" s="140" t="str" cm="1">
        <f t="array" ref="C10:I10">model_forecastperiod</f>
        <v>RY2026
01Feb-30Sep</v>
      </c>
      <c r="D10" s="140" t="str">
        <v>RY2027</v>
      </c>
      <c r="E10" s="140" t="str">
        <v>RY2028</v>
      </c>
      <c r="F10" s="140" t="str">
        <v>RY2029</v>
      </c>
      <c r="G10" s="140" t="str">
        <v>RY2030</v>
      </c>
      <c r="H10" s="140" t="str">
        <v>RY2031</v>
      </c>
      <c r="I10" s="140" t="str">
        <v>RY2032</v>
      </c>
      <c r="J10" s="140" t="s">
        <v>133</v>
      </c>
      <c r="L10" s="140" t="s">
        <v>254</v>
      </c>
    </row>
    <row r="11" spans="1:35" x14ac:dyDescent="0.2">
      <c r="B11" s="206" t="str" cm="1">
        <f t="array" ref="B11:B23">CostCategories</f>
        <v>Community and Stakeholder Engagement</v>
      </c>
      <c r="C11" s="207">
        <f>SUMIFS(Outsourced_labour_inputs!GH$8:GH$996,Outsourced_labour_inputs!$B$8:$B$996,$B11)</f>
        <v>0</v>
      </c>
      <c r="D11" s="207">
        <f>SUMIFS(Outsourced_labour_inputs!GI$8:GI$996,Outsourced_labour_inputs!$B$8:$B$996,$B11)</f>
        <v>0</v>
      </c>
      <c r="E11" s="207">
        <f>SUMIFS(Outsourced_labour_inputs!GJ$8:GJ$996,Outsourced_labour_inputs!$B$8:$B$996,$B11)</f>
        <v>0</v>
      </c>
      <c r="F11" s="207">
        <f>SUMIFS(Outsourced_labour_inputs!GK$8:GK$996,Outsourced_labour_inputs!$B$8:$B$996,$B11)</f>
        <v>0</v>
      </c>
      <c r="G11" s="207">
        <f>SUMIFS(Outsourced_labour_inputs!GL$8:GL$996,Outsourced_labour_inputs!$B$8:$B$996,$B11)</f>
        <v>0</v>
      </c>
      <c r="H11" s="207">
        <f>SUMIFS(Outsourced_labour_inputs!GM$8:GM$996,Outsourced_labour_inputs!$B$8:$B$996,$B11)</f>
        <v>0</v>
      </c>
      <c r="I11" s="207">
        <f>SUMIFS(Outsourced_labour_inputs!GN$8:GN$996,Outsourced_labour_inputs!$B$8:$B$996,$B11)</f>
        <v>0</v>
      </c>
      <c r="J11" s="207">
        <f t="shared" ref="J11:J24" si="0">SUM(C11:I11)</f>
        <v>0</v>
      </c>
      <c r="L11" s="207">
        <f>SUMIFS(Outsourced_labour_inputs!GR$8:GR$996,Outsourced_labour_inputs!$B$8:$B$996,$B11)</f>
        <v>0</v>
      </c>
    </row>
    <row r="12" spans="1:35" x14ac:dyDescent="0.2">
      <c r="B12" s="206" t="str">
        <v>Fleet</v>
      </c>
      <c r="C12" s="207">
        <f>SUMIFS(Outsourced_labour_inputs!GH$8:GH$996,Outsourced_labour_inputs!$B$8:$B$996,$B12)</f>
        <v>0</v>
      </c>
      <c r="D12" s="207">
        <f>SUMIFS(Outsourced_labour_inputs!GI$8:GI$996,Outsourced_labour_inputs!$B$8:$B$996,$B12)</f>
        <v>0</v>
      </c>
      <c r="E12" s="207">
        <f>SUMIFS(Outsourced_labour_inputs!GJ$8:GJ$996,Outsourced_labour_inputs!$B$8:$B$996,$B12)</f>
        <v>0</v>
      </c>
      <c r="F12" s="207">
        <f>SUMIFS(Outsourced_labour_inputs!GK$8:GK$996,Outsourced_labour_inputs!$B$8:$B$996,$B12)</f>
        <v>0</v>
      </c>
      <c r="G12" s="207">
        <f>SUMIFS(Outsourced_labour_inputs!GL$8:GL$996,Outsourced_labour_inputs!$B$8:$B$996,$B12)</f>
        <v>0</v>
      </c>
      <c r="H12" s="207">
        <f>SUMIFS(Outsourced_labour_inputs!GM$8:GM$996,Outsourced_labour_inputs!$B$8:$B$996,$B12)</f>
        <v>0</v>
      </c>
      <c r="I12" s="207">
        <f>SUMIFS(Outsourced_labour_inputs!GN$8:GN$996,Outsourced_labour_inputs!$B$8:$B$996,$B12)</f>
        <v>0</v>
      </c>
      <c r="J12" s="207">
        <f t="shared" ref="J12:J23" si="1">SUM(C12:I12)</f>
        <v>0</v>
      </c>
      <c r="L12" s="207">
        <f>SUMIFS(Outsourced_labour_inputs!GR$8:GR$996,Outsourced_labour_inputs!$B$8:$B$996,$B12)</f>
        <v>0</v>
      </c>
    </row>
    <row r="13" spans="1:35" x14ac:dyDescent="0.2">
      <c r="B13" s="206" t="str">
        <v>Land and Environment</v>
      </c>
      <c r="C13" s="207">
        <f>SUMIFS(Outsourced_labour_inputs!GH$8:GH$996,Outsourced_labour_inputs!$B$8:$B$996,$B13)</f>
        <v>0</v>
      </c>
      <c r="D13" s="207">
        <f>SUMIFS(Outsourced_labour_inputs!GI$8:GI$996,Outsourced_labour_inputs!$B$8:$B$996,$B13)</f>
        <v>0</v>
      </c>
      <c r="E13" s="207">
        <f>SUMIFS(Outsourced_labour_inputs!GJ$8:GJ$996,Outsourced_labour_inputs!$B$8:$B$996,$B13)</f>
        <v>0</v>
      </c>
      <c r="F13" s="207">
        <f>SUMIFS(Outsourced_labour_inputs!GK$8:GK$996,Outsourced_labour_inputs!$B$8:$B$996,$B13)</f>
        <v>0</v>
      </c>
      <c r="G13" s="207">
        <f>SUMIFS(Outsourced_labour_inputs!GL$8:GL$996,Outsourced_labour_inputs!$B$8:$B$996,$B13)</f>
        <v>0</v>
      </c>
      <c r="H13" s="207">
        <f>SUMIFS(Outsourced_labour_inputs!GM$8:GM$996,Outsourced_labour_inputs!$B$8:$B$996,$B13)</f>
        <v>0</v>
      </c>
      <c r="I13" s="207">
        <f>SUMIFS(Outsourced_labour_inputs!GN$8:GN$996,Outsourced_labour_inputs!$B$8:$B$996,$B13)</f>
        <v>0</v>
      </c>
      <c r="J13" s="207">
        <f t="shared" si="1"/>
        <v>0</v>
      </c>
      <c r="L13" s="207">
        <f>SUMIFS(Outsourced_labour_inputs!GR$8:GR$996,Outsourced_labour_inputs!$B$8:$B$996,$B13)</f>
        <v>0</v>
      </c>
    </row>
    <row r="14" spans="1:35" x14ac:dyDescent="0.2">
      <c r="B14" s="206" t="str">
        <v>Other Support &amp; Corporate Roles</v>
      </c>
      <c r="C14" s="207">
        <f>SUMIFS(Outsourced_labour_inputs!GH$8:GH$996,Outsourced_labour_inputs!$B$8:$B$996,$B14)</f>
        <v>0</v>
      </c>
      <c r="D14" s="207">
        <f>SUMIFS(Outsourced_labour_inputs!GI$8:GI$996,Outsourced_labour_inputs!$B$8:$B$996,$B14)</f>
        <v>0</v>
      </c>
      <c r="E14" s="207">
        <f>SUMIFS(Outsourced_labour_inputs!GJ$8:GJ$996,Outsourced_labour_inputs!$B$8:$B$996,$B14)</f>
        <v>0</v>
      </c>
      <c r="F14" s="207">
        <f>SUMIFS(Outsourced_labour_inputs!GK$8:GK$996,Outsourced_labour_inputs!$B$8:$B$996,$B14)</f>
        <v>0</v>
      </c>
      <c r="G14" s="207">
        <f>SUMIFS(Outsourced_labour_inputs!GL$8:GL$996,Outsourced_labour_inputs!$B$8:$B$996,$B14)</f>
        <v>0</v>
      </c>
      <c r="H14" s="207">
        <f>SUMIFS(Outsourced_labour_inputs!GM$8:GM$996,Outsourced_labour_inputs!$B$8:$B$996,$B14)</f>
        <v>0</v>
      </c>
      <c r="I14" s="207">
        <f>SUMIFS(Outsourced_labour_inputs!GN$8:GN$996,Outsourced_labour_inputs!$B$8:$B$996,$B14)</f>
        <v>0</v>
      </c>
      <c r="J14" s="207">
        <f t="shared" si="1"/>
        <v>0</v>
      </c>
      <c r="L14" s="207">
        <f>SUMIFS(Outsourced_labour_inputs!GR$8:GR$996,Outsourced_labour_inputs!$B$8:$B$996,$B14)</f>
        <v>0</v>
      </c>
    </row>
    <row r="15" spans="1:35" x14ac:dyDescent="0.2">
      <c r="B15" s="206" t="str">
        <v>Project Delivery Management - Commercial Management</v>
      </c>
      <c r="C15" s="207">
        <f>SUMIFS(Outsourced_labour_inputs!GH$8:GH$996,Outsourced_labour_inputs!$B$8:$B$996,$B15)</f>
        <v>0</v>
      </c>
      <c r="D15" s="207">
        <f>SUMIFS(Outsourced_labour_inputs!GI$8:GI$996,Outsourced_labour_inputs!$B$8:$B$996,$B15)</f>
        <v>0</v>
      </c>
      <c r="E15" s="207">
        <f>SUMIFS(Outsourced_labour_inputs!GJ$8:GJ$996,Outsourced_labour_inputs!$B$8:$B$996,$B15)</f>
        <v>0</v>
      </c>
      <c r="F15" s="207">
        <f>SUMIFS(Outsourced_labour_inputs!GK$8:GK$996,Outsourced_labour_inputs!$B$8:$B$996,$B15)</f>
        <v>0</v>
      </c>
      <c r="G15" s="207">
        <f>SUMIFS(Outsourced_labour_inputs!GL$8:GL$996,Outsourced_labour_inputs!$B$8:$B$996,$B15)</f>
        <v>0</v>
      </c>
      <c r="H15" s="207">
        <f>SUMIFS(Outsourced_labour_inputs!GM$8:GM$996,Outsourced_labour_inputs!$B$8:$B$996,$B15)</f>
        <v>0</v>
      </c>
      <c r="I15" s="207">
        <f>SUMIFS(Outsourced_labour_inputs!GN$8:GN$996,Outsourced_labour_inputs!$B$8:$B$996,$B15)</f>
        <v>0</v>
      </c>
      <c r="J15" s="207">
        <f t="shared" si="1"/>
        <v>0</v>
      </c>
      <c r="L15" s="207">
        <f>SUMIFS(Outsourced_labour_inputs!GR$8:GR$996,Outsourced_labour_inputs!$B$8:$B$996,$B15)</f>
        <v>0</v>
      </c>
    </row>
    <row r="16" spans="1:35" x14ac:dyDescent="0.2">
      <c r="B16" s="206" t="str">
        <v>Project Delivery Management - Commissioning</v>
      </c>
      <c r="C16" s="207">
        <f>SUMIFS(Outsourced_labour_inputs!GH$8:GH$996,Outsourced_labour_inputs!$B$8:$B$996,$B16)</f>
        <v>0</v>
      </c>
      <c r="D16" s="207">
        <f>SUMIFS(Outsourced_labour_inputs!GI$8:GI$996,Outsourced_labour_inputs!$B$8:$B$996,$B16)</f>
        <v>0</v>
      </c>
      <c r="E16" s="207">
        <f>SUMIFS(Outsourced_labour_inputs!GJ$8:GJ$996,Outsourced_labour_inputs!$B$8:$B$996,$B16)</f>
        <v>0</v>
      </c>
      <c r="F16" s="207">
        <f>SUMIFS(Outsourced_labour_inputs!GK$8:GK$996,Outsourced_labour_inputs!$B$8:$B$996,$B16)</f>
        <v>0</v>
      </c>
      <c r="G16" s="207">
        <f>SUMIFS(Outsourced_labour_inputs!GL$8:GL$996,Outsourced_labour_inputs!$B$8:$B$996,$B16)</f>
        <v>0</v>
      </c>
      <c r="H16" s="207">
        <f>SUMIFS(Outsourced_labour_inputs!GM$8:GM$996,Outsourced_labour_inputs!$B$8:$B$996,$B16)</f>
        <v>0</v>
      </c>
      <c r="I16" s="207">
        <f>SUMIFS(Outsourced_labour_inputs!GN$8:GN$996,Outsourced_labour_inputs!$B$8:$B$996,$B16)</f>
        <v>0</v>
      </c>
      <c r="J16" s="207">
        <f t="shared" si="1"/>
        <v>0</v>
      </c>
      <c r="L16" s="207">
        <f>SUMIFS(Outsourced_labour_inputs!GR$8:GR$996,Outsourced_labour_inputs!$B$8:$B$996,$B16)</f>
        <v>0</v>
      </c>
    </row>
    <row r="17" spans="2:13" x14ac:dyDescent="0.2">
      <c r="B17" s="206" t="str">
        <v>Project Delivery Management - Construction Management</v>
      </c>
      <c r="C17" s="207">
        <f>SUMIFS(Outsourced_labour_inputs!GH$8:GH$996,Outsourced_labour_inputs!$B$8:$B$996,$B17)</f>
        <v>0</v>
      </c>
      <c r="D17" s="207">
        <f>SUMIFS(Outsourced_labour_inputs!GI$8:GI$996,Outsourced_labour_inputs!$B$8:$B$996,$B17)</f>
        <v>0</v>
      </c>
      <c r="E17" s="207">
        <f>SUMIFS(Outsourced_labour_inputs!GJ$8:GJ$996,Outsourced_labour_inputs!$B$8:$B$996,$B17)</f>
        <v>0</v>
      </c>
      <c r="F17" s="207">
        <f>SUMIFS(Outsourced_labour_inputs!GK$8:GK$996,Outsourced_labour_inputs!$B$8:$B$996,$B17)</f>
        <v>0</v>
      </c>
      <c r="G17" s="207">
        <f>SUMIFS(Outsourced_labour_inputs!GL$8:GL$996,Outsourced_labour_inputs!$B$8:$B$996,$B17)</f>
        <v>0</v>
      </c>
      <c r="H17" s="207">
        <f>SUMIFS(Outsourced_labour_inputs!GM$8:GM$996,Outsourced_labour_inputs!$B$8:$B$996,$B17)</f>
        <v>0</v>
      </c>
      <c r="I17" s="207">
        <f>SUMIFS(Outsourced_labour_inputs!GN$8:GN$996,Outsourced_labour_inputs!$B$8:$B$996,$B17)</f>
        <v>0</v>
      </c>
      <c r="J17" s="207">
        <f t="shared" si="1"/>
        <v>0</v>
      </c>
      <c r="L17" s="207">
        <f>SUMIFS(Outsourced_labour_inputs!GR$8:GR$996,Outsourced_labour_inputs!$B$8:$B$996,$B17)</f>
        <v>0</v>
      </c>
    </row>
    <row r="18" spans="2:13" x14ac:dyDescent="0.2">
      <c r="B18" s="206" t="str">
        <v>Project Delivery Management - Project Controls</v>
      </c>
      <c r="C18" s="207">
        <f>SUMIFS(Outsourced_labour_inputs!GH$8:GH$996,Outsourced_labour_inputs!$B$8:$B$996,$B18)</f>
        <v>0</v>
      </c>
      <c r="D18" s="207">
        <f>SUMIFS(Outsourced_labour_inputs!GI$8:GI$996,Outsourced_labour_inputs!$B$8:$B$996,$B18)</f>
        <v>0</v>
      </c>
      <c r="E18" s="207">
        <f>SUMIFS(Outsourced_labour_inputs!GJ$8:GJ$996,Outsourced_labour_inputs!$B$8:$B$996,$B18)</f>
        <v>0</v>
      </c>
      <c r="F18" s="207">
        <f>SUMIFS(Outsourced_labour_inputs!GK$8:GK$996,Outsourced_labour_inputs!$B$8:$B$996,$B18)</f>
        <v>0</v>
      </c>
      <c r="G18" s="207">
        <f>SUMIFS(Outsourced_labour_inputs!GL$8:GL$996,Outsourced_labour_inputs!$B$8:$B$996,$B18)</f>
        <v>0</v>
      </c>
      <c r="H18" s="207">
        <f>SUMIFS(Outsourced_labour_inputs!GM$8:GM$996,Outsourced_labour_inputs!$B$8:$B$996,$B18)</f>
        <v>0</v>
      </c>
      <c r="I18" s="207">
        <f>SUMIFS(Outsourced_labour_inputs!GN$8:GN$996,Outsourced_labour_inputs!$B$8:$B$996,$B18)</f>
        <v>0</v>
      </c>
      <c r="J18" s="207">
        <f t="shared" si="1"/>
        <v>0</v>
      </c>
      <c r="L18" s="207">
        <f>SUMIFS(Outsourced_labour_inputs!GR$8:GR$996,Outsourced_labour_inputs!$B$8:$B$996,$B18)</f>
        <v>0</v>
      </c>
    </row>
    <row r="19" spans="2:13" x14ac:dyDescent="0.2">
      <c r="B19" s="206" t="str">
        <v>Project Delivery Management - Project Engineering</v>
      </c>
      <c r="C19" s="207">
        <f>SUMIFS(Outsourced_labour_inputs!GH$8:GH$996,Outsourced_labour_inputs!$B$8:$B$996,$B19)</f>
        <v>388304.64916624024</v>
      </c>
      <c r="D19" s="207">
        <f>SUMIFS(Outsourced_labour_inputs!GI$8:GI$996,Outsourced_labour_inputs!$B$8:$B$996,$B19)</f>
        <v>268466.1869425177</v>
      </c>
      <c r="E19" s="207">
        <f>SUMIFS(Outsourced_labour_inputs!GJ$8:GJ$996,Outsourced_labour_inputs!$B$8:$B$996,$B19)</f>
        <v>0</v>
      </c>
      <c r="F19" s="207">
        <f>SUMIFS(Outsourced_labour_inputs!GK$8:GK$996,Outsourced_labour_inputs!$B$8:$B$996,$B19)</f>
        <v>0</v>
      </c>
      <c r="G19" s="207">
        <f>SUMIFS(Outsourced_labour_inputs!GL$8:GL$996,Outsourced_labour_inputs!$B$8:$B$996,$B19)</f>
        <v>0</v>
      </c>
      <c r="H19" s="207">
        <f>SUMIFS(Outsourced_labour_inputs!GM$8:GM$996,Outsourced_labour_inputs!$B$8:$B$996,$B19)</f>
        <v>0</v>
      </c>
      <c r="I19" s="207">
        <f>SUMIFS(Outsourced_labour_inputs!GN$8:GN$996,Outsourced_labour_inputs!$B$8:$B$996,$B19)</f>
        <v>0</v>
      </c>
      <c r="J19" s="207">
        <f t="shared" si="1"/>
        <v>656770.83610875788</v>
      </c>
      <c r="L19" s="207">
        <f>SUMIFS(Outsourced_labour_inputs!GR$8:GR$996,Outsourced_labour_inputs!$B$8:$B$996,$B19)</f>
        <v>217600</v>
      </c>
    </row>
    <row r="20" spans="2:13" x14ac:dyDescent="0.2">
      <c r="B20" s="206" t="str">
        <v>Project Delivery Management - Project Management</v>
      </c>
      <c r="C20" s="207">
        <f>SUMIFS(Outsourced_labour_inputs!GH$8:GH$996,Outsourced_labour_inputs!$B$8:$B$996,$B20)</f>
        <v>0</v>
      </c>
      <c r="D20" s="207">
        <f>SUMIFS(Outsourced_labour_inputs!GI$8:GI$996,Outsourced_labour_inputs!$B$8:$B$996,$B20)</f>
        <v>0</v>
      </c>
      <c r="E20" s="207">
        <f>SUMIFS(Outsourced_labour_inputs!GJ$8:GJ$996,Outsourced_labour_inputs!$B$8:$B$996,$B20)</f>
        <v>0</v>
      </c>
      <c r="F20" s="207">
        <f>SUMIFS(Outsourced_labour_inputs!GK$8:GK$996,Outsourced_labour_inputs!$B$8:$B$996,$B20)</f>
        <v>0</v>
      </c>
      <c r="G20" s="207">
        <f>SUMIFS(Outsourced_labour_inputs!GL$8:GL$996,Outsourced_labour_inputs!$B$8:$B$996,$B20)</f>
        <v>0</v>
      </c>
      <c r="H20" s="207">
        <f>SUMIFS(Outsourced_labour_inputs!GM$8:GM$996,Outsourced_labour_inputs!$B$8:$B$996,$B20)</f>
        <v>0</v>
      </c>
      <c r="I20" s="207">
        <f>SUMIFS(Outsourced_labour_inputs!GN$8:GN$996,Outsourced_labour_inputs!$B$8:$B$996,$B20)</f>
        <v>0</v>
      </c>
      <c r="J20" s="207">
        <f t="shared" si="1"/>
        <v>0</v>
      </c>
      <c r="L20" s="207">
        <f>SUMIFS(Outsourced_labour_inputs!GR$8:GR$996,Outsourced_labour_inputs!$B$8:$B$996,$B20)</f>
        <v>0</v>
      </c>
    </row>
    <row r="21" spans="2:13" x14ac:dyDescent="0.2">
      <c r="B21" s="206" t="str">
        <v>Project Development</v>
      </c>
      <c r="C21" s="207">
        <f>SUMIFS(Outsourced_labour_inputs!GH$8:GH$996,Outsourced_labour_inputs!$B$8:$B$996,$B21)</f>
        <v>0</v>
      </c>
      <c r="D21" s="207">
        <f>SUMIFS(Outsourced_labour_inputs!GI$8:GI$996,Outsourced_labour_inputs!$B$8:$B$996,$B21)</f>
        <v>0</v>
      </c>
      <c r="E21" s="207">
        <f>SUMIFS(Outsourced_labour_inputs!GJ$8:GJ$996,Outsourced_labour_inputs!$B$8:$B$996,$B21)</f>
        <v>0</v>
      </c>
      <c r="F21" s="207">
        <f>SUMIFS(Outsourced_labour_inputs!GK$8:GK$996,Outsourced_labour_inputs!$B$8:$B$996,$B21)</f>
        <v>0</v>
      </c>
      <c r="G21" s="207">
        <f>SUMIFS(Outsourced_labour_inputs!GL$8:GL$996,Outsourced_labour_inputs!$B$8:$B$996,$B21)</f>
        <v>0</v>
      </c>
      <c r="H21" s="207">
        <f>SUMIFS(Outsourced_labour_inputs!GM$8:GM$996,Outsourced_labour_inputs!$B$8:$B$996,$B21)</f>
        <v>0</v>
      </c>
      <c r="I21" s="207">
        <f>SUMIFS(Outsourced_labour_inputs!GN$8:GN$996,Outsourced_labour_inputs!$B$8:$B$996,$B21)</f>
        <v>0</v>
      </c>
      <c r="J21" s="207">
        <f t="shared" si="1"/>
        <v>0</v>
      </c>
      <c r="L21" s="207">
        <f>SUMIFS(Outsourced_labour_inputs!GR$8:GR$996,Outsourced_labour_inputs!$B$8:$B$996,$B21)</f>
        <v>0</v>
      </c>
    </row>
    <row r="22" spans="2:13" x14ac:dyDescent="0.2">
      <c r="B22" s="206" t="str">
        <v>Regulatory Approvals</v>
      </c>
      <c r="C22" s="207">
        <f>SUMIFS(Outsourced_labour_inputs!GH$8:GH$996,Outsourced_labour_inputs!$B$8:$B$996,$B22)</f>
        <v>378515.45633011649</v>
      </c>
      <c r="D22" s="207">
        <f>SUMIFS(Outsourced_labour_inputs!GI$8:GI$996,Outsourced_labour_inputs!$B$8:$B$996,$B22)</f>
        <v>0</v>
      </c>
      <c r="E22" s="207">
        <f>SUMIFS(Outsourced_labour_inputs!GJ$8:GJ$996,Outsourced_labour_inputs!$B$8:$B$996,$B22)</f>
        <v>0</v>
      </c>
      <c r="F22" s="207">
        <f>SUMIFS(Outsourced_labour_inputs!GK$8:GK$996,Outsourced_labour_inputs!$B$8:$B$996,$B22)</f>
        <v>0</v>
      </c>
      <c r="G22" s="207">
        <f>SUMIFS(Outsourced_labour_inputs!GL$8:GL$996,Outsourced_labour_inputs!$B$8:$B$996,$B22)</f>
        <v>0</v>
      </c>
      <c r="H22" s="207">
        <f>SUMIFS(Outsourced_labour_inputs!GM$8:GM$996,Outsourced_labour_inputs!$B$8:$B$996,$B22)</f>
        <v>0</v>
      </c>
      <c r="I22" s="207">
        <f>SUMIFS(Outsourced_labour_inputs!GN$8:GN$996,Outsourced_labour_inputs!$B$8:$B$996,$B22)</f>
        <v>0</v>
      </c>
      <c r="J22" s="207">
        <f t="shared" si="1"/>
        <v>378515.45633011649</v>
      </c>
      <c r="L22" s="207">
        <f>SUMIFS(Outsourced_labour_inputs!GR$8:GR$996,Outsourced_labour_inputs!$B$8:$B$996,$B22)</f>
        <v>260800</v>
      </c>
    </row>
    <row r="23" spans="2:13" x14ac:dyDescent="0.2">
      <c r="B23" s="206" t="str">
        <v>Transaction Procurement Support</v>
      </c>
      <c r="C23" s="207">
        <f>SUMIFS(Outsourced_labour_inputs!GH$8:GH$996,Outsourced_labour_inputs!$B$8:$B$996,$B23)</f>
        <v>419051.0252885035</v>
      </c>
      <c r="D23" s="207">
        <f>SUMIFS(Outsourced_labour_inputs!GI$8:GI$996,Outsourced_labour_inputs!$B$8:$B$996,$B23)</f>
        <v>284258.31558619521</v>
      </c>
      <c r="E23" s="207">
        <f>SUMIFS(Outsourced_labour_inputs!GJ$8:GJ$996,Outsourced_labour_inputs!$B$8:$B$996,$B23)</f>
        <v>276920.15063599218</v>
      </c>
      <c r="F23" s="207">
        <f>SUMIFS(Outsourced_labour_inputs!GK$8:GK$996,Outsourced_labour_inputs!$B$8:$B$996,$B23)</f>
        <v>0</v>
      </c>
      <c r="G23" s="207">
        <f>SUMIFS(Outsourced_labour_inputs!GL$8:GL$996,Outsourced_labour_inputs!$B$8:$B$996,$B23)</f>
        <v>0</v>
      </c>
      <c r="H23" s="207">
        <f>SUMIFS(Outsourced_labour_inputs!GM$8:GM$996,Outsourced_labour_inputs!$B$8:$B$996,$B23)</f>
        <v>0</v>
      </c>
      <c r="I23" s="207">
        <f>SUMIFS(Outsourced_labour_inputs!GN$8:GN$996,Outsourced_labour_inputs!$B$8:$B$996,$B23)</f>
        <v>0</v>
      </c>
      <c r="J23" s="207">
        <f t="shared" si="1"/>
        <v>980229.49151069089</v>
      </c>
      <c r="L23" s="207">
        <f>SUMIFS(Outsourced_labour_inputs!GR$8:GR$996,Outsourced_labour_inputs!$B$8:$B$996,$B23)</f>
        <v>226152.15</v>
      </c>
    </row>
    <row r="24" spans="2:13" x14ac:dyDescent="0.2">
      <c r="B24" s="208" t="s">
        <v>133</v>
      </c>
      <c r="C24" s="209">
        <f t="shared" ref="C24" si="2">SUM(C11:C23)</f>
        <v>1185871.1307848603</v>
      </c>
      <c r="D24" s="209">
        <f t="shared" ref="D24" si="3">SUM(D11:D23)</f>
        <v>552724.50252871285</v>
      </c>
      <c r="E24" s="209">
        <f t="shared" ref="E24" si="4">SUM(E11:E23)</f>
        <v>276920.15063599218</v>
      </c>
      <c r="F24" s="209">
        <f t="shared" ref="F24" si="5">SUM(F11:F23)</f>
        <v>0</v>
      </c>
      <c r="G24" s="209">
        <f t="shared" ref="G24" si="6">SUM(G11:G23)</f>
        <v>0</v>
      </c>
      <c r="H24" s="209">
        <f t="shared" ref="H24" si="7">SUM(H11:H23)</f>
        <v>0</v>
      </c>
      <c r="I24" s="209">
        <f t="shared" ref="I24" si="8">SUM(I11:I23)</f>
        <v>0</v>
      </c>
      <c r="J24" s="209">
        <f t="shared" si="0"/>
        <v>2015515.7839495654</v>
      </c>
      <c r="L24" s="209">
        <f t="shared" ref="L24" si="9">SUM(L11:L23)</f>
        <v>704552.15</v>
      </c>
    </row>
    <row r="26" spans="2:13" ht="16.5" x14ac:dyDescent="0.2">
      <c r="B26" s="206" t="s">
        <v>134</v>
      </c>
      <c r="C26" s="159" t="str">
        <f>IF(C24=SUM(Outsourced_labour_inputs!GH8:GH159),"OK","ERROR")</f>
        <v>OK</v>
      </c>
      <c r="D26" s="159" t="str">
        <f>IF(D24=SUM(Outsourced_labour_inputs!GI8:GI159),"OK","ERROR")</f>
        <v>OK</v>
      </c>
      <c r="E26" s="159" t="str">
        <f>IF(E24=SUM(Outsourced_labour_inputs!GJ8:GJ159),"OK","ERROR")</f>
        <v>OK</v>
      </c>
      <c r="F26" s="159" t="str">
        <f>IF(F24=SUM(Outsourced_labour_inputs!GK8:GK159),"OK","ERROR")</f>
        <v>OK</v>
      </c>
      <c r="G26" s="159" t="str">
        <f>IF(G24=SUM(Outsourced_labour_inputs!GL8:GL159),"OK","ERROR")</f>
        <v>OK</v>
      </c>
      <c r="H26" s="159" t="str">
        <f>IF(H24=SUM(Outsourced_labour_inputs!GM8:GM159),"OK","ERROR")</f>
        <v>OK</v>
      </c>
      <c r="I26" s="159" t="str">
        <f>IF(I24=SUM(Outsourced_labour_inputs!GN8:GN159),"OK","ERROR")</f>
        <v>OK</v>
      </c>
      <c r="L26" s="159" t="str">
        <f>IF(L24=SUM(Outsourced_labour_inputs!GR8:GR159),"OK","ERROR")</f>
        <v>OK</v>
      </c>
    </row>
    <row r="28" spans="2:13" x14ac:dyDescent="0.2">
      <c r="B28" s="118" t="s">
        <v>178</v>
      </c>
      <c r="C28" s="118"/>
      <c r="D28" s="118"/>
      <c r="E28" s="132" t="str">
        <f>"(Real "&amp;'Key assumptions'!$D$11&amp;")"</f>
        <v>(Real $RY2026)</v>
      </c>
      <c r="F28" s="118"/>
      <c r="G28" s="118"/>
      <c r="H28" s="118"/>
      <c r="I28" s="118"/>
      <c r="J28" s="118"/>
      <c r="L28" s="117" t="s">
        <v>255</v>
      </c>
    </row>
    <row r="29" spans="2:13" x14ac:dyDescent="0.2">
      <c r="B29" s="87"/>
    </row>
    <row r="30" spans="2:13" ht="25.5" x14ac:dyDescent="0.2">
      <c r="B30" s="136" t="s">
        <v>131</v>
      </c>
      <c r="C30" s="140" t="str" cm="1">
        <f t="array" ref="C30:I30">model_forecastperiod</f>
        <v>RY2026
01Feb-30Sep</v>
      </c>
      <c r="D30" s="140" t="str">
        <v>RY2027</v>
      </c>
      <c r="E30" s="140" t="str">
        <v>RY2028</v>
      </c>
      <c r="F30" s="140" t="str">
        <v>RY2029</v>
      </c>
      <c r="G30" s="140" t="str">
        <v>RY2030</v>
      </c>
      <c r="H30" s="140" t="str">
        <v>RY2031</v>
      </c>
      <c r="I30" s="140" t="str">
        <v>RY2032</v>
      </c>
      <c r="J30" s="140" t="s">
        <v>133</v>
      </c>
      <c r="K30" s="153"/>
      <c r="L30" s="140" t="s">
        <v>254</v>
      </c>
      <c r="M30" s="153"/>
    </row>
    <row r="31" spans="2:13" x14ac:dyDescent="0.2">
      <c r="B31" s="206" t="str">
        <f>B11</f>
        <v>Community and Stakeholder Engagement</v>
      </c>
      <c r="C31" s="207">
        <f t="shared" ref="C31:I43" si="10">C11*labour_direct</f>
        <v>0</v>
      </c>
      <c r="D31" s="207">
        <f t="shared" si="10"/>
        <v>0</v>
      </c>
      <c r="E31" s="207">
        <f t="shared" si="10"/>
        <v>0</v>
      </c>
      <c r="F31" s="207">
        <f t="shared" si="10"/>
        <v>0</v>
      </c>
      <c r="G31" s="207">
        <f t="shared" si="10"/>
        <v>0</v>
      </c>
      <c r="H31" s="207">
        <f t="shared" si="10"/>
        <v>0</v>
      </c>
      <c r="I31" s="207">
        <f t="shared" si="10"/>
        <v>0</v>
      </c>
      <c r="J31" s="207">
        <f t="shared" ref="J31:J44" si="11">SUM(C31:I31)</f>
        <v>0</v>
      </c>
      <c r="L31" s="207">
        <f t="shared" ref="L31" si="12">L11*labour_direct</f>
        <v>0</v>
      </c>
    </row>
    <row r="32" spans="2:13" x14ac:dyDescent="0.2">
      <c r="B32" s="206" t="str">
        <f t="shared" ref="B32:B43" si="13">B12</f>
        <v>Fleet</v>
      </c>
      <c r="C32" s="207">
        <f t="shared" si="10"/>
        <v>0</v>
      </c>
      <c r="D32" s="207">
        <f t="shared" si="10"/>
        <v>0</v>
      </c>
      <c r="E32" s="207">
        <f t="shared" si="10"/>
        <v>0</v>
      </c>
      <c r="F32" s="207">
        <f t="shared" si="10"/>
        <v>0</v>
      </c>
      <c r="G32" s="207">
        <f t="shared" si="10"/>
        <v>0</v>
      </c>
      <c r="H32" s="207">
        <f t="shared" si="10"/>
        <v>0</v>
      </c>
      <c r="I32" s="207">
        <f t="shared" si="10"/>
        <v>0</v>
      </c>
      <c r="J32" s="207">
        <f t="shared" ref="J32:J43" si="14">SUM(C32:I32)</f>
        <v>0</v>
      </c>
      <c r="L32" s="207">
        <f t="shared" ref="L32" si="15">L12*labour_direct</f>
        <v>0</v>
      </c>
    </row>
    <row r="33" spans="2:12" x14ac:dyDescent="0.2">
      <c r="B33" s="206" t="str">
        <f t="shared" si="13"/>
        <v>Land and Environment</v>
      </c>
      <c r="C33" s="207">
        <f t="shared" si="10"/>
        <v>0</v>
      </c>
      <c r="D33" s="207">
        <f t="shared" si="10"/>
        <v>0</v>
      </c>
      <c r="E33" s="207">
        <f t="shared" si="10"/>
        <v>0</v>
      </c>
      <c r="F33" s="207">
        <f t="shared" si="10"/>
        <v>0</v>
      </c>
      <c r="G33" s="207">
        <f t="shared" si="10"/>
        <v>0</v>
      </c>
      <c r="H33" s="207">
        <f t="shared" si="10"/>
        <v>0</v>
      </c>
      <c r="I33" s="207">
        <f t="shared" si="10"/>
        <v>0</v>
      </c>
      <c r="J33" s="207">
        <f t="shared" si="14"/>
        <v>0</v>
      </c>
      <c r="L33" s="207">
        <f t="shared" ref="L33" si="16">L13*labour_direct</f>
        <v>0</v>
      </c>
    </row>
    <row r="34" spans="2:12" x14ac:dyDescent="0.2">
      <c r="B34" s="206" t="str">
        <f t="shared" si="13"/>
        <v>Other Support &amp; Corporate Roles</v>
      </c>
      <c r="C34" s="207">
        <f t="shared" si="10"/>
        <v>0</v>
      </c>
      <c r="D34" s="207">
        <f t="shared" si="10"/>
        <v>0</v>
      </c>
      <c r="E34" s="207">
        <f t="shared" si="10"/>
        <v>0</v>
      </c>
      <c r="F34" s="207">
        <f t="shared" si="10"/>
        <v>0</v>
      </c>
      <c r="G34" s="207">
        <f t="shared" si="10"/>
        <v>0</v>
      </c>
      <c r="H34" s="207">
        <f t="shared" si="10"/>
        <v>0</v>
      </c>
      <c r="I34" s="207">
        <f t="shared" si="10"/>
        <v>0</v>
      </c>
      <c r="J34" s="207">
        <f t="shared" si="14"/>
        <v>0</v>
      </c>
      <c r="L34" s="207">
        <f t="shared" ref="L34" si="17">L14*labour_direct</f>
        <v>0</v>
      </c>
    </row>
    <row r="35" spans="2:12" x14ac:dyDescent="0.2">
      <c r="B35" s="206" t="str">
        <f t="shared" si="13"/>
        <v>Project Delivery Management - Commercial Management</v>
      </c>
      <c r="C35" s="207">
        <f t="shared" si="10"/>
        <v>0</v>
      </c>
      <c r="D35" s="207">
        <f t="shared" si="10"/>
        <v>0</v>
      </c>
      <c r="E35" s="207">
        <f t="shared" si="10"/>
        <v>0</v>
      </c>
      <c r="F35" s="207">
        <f t="shared" si="10"/>
        <v>0</v>
      </c>
      <c r="G35" s="207">
        <f t="shared" si="10"/>
        <v>0</v>
      </c>
      <c r="H35" s="207">
        <f t="shared" si="10"/>
        <v>0</v>
      </c>
      <c r="I35" s="207">
        <f t="shared" si="10"/>
        <v>0</v>
      </c>
      <c r="J35" s="207">
        <f t="shared" si="14"/>
        <v>0</v>
      </c>
      <c r="L35" s="207">
        <f t="shared" ref="L35" si="18">L15*labour_direct</f>
        <v>0</v>
      </c>
    </row>
    <row r="36" spans="2:12" x14ac:dyDescent="0.2">
      <c r="B36" s="206" t="str">
        <f t="shared" si="13"/>
        <v>Project Delivery Management - Commissioning</v>
      </c>
      <c r="C36" s="207">
        <f t="shared" si="10"/>
        <v>0</v>
      </c>
      <c r="D36" s="207">
        <f t="shared" si="10"/>
        <v>0</v>
      </c>
      <c r="E36" s="207">
        <f t="shared" si="10"/>
        <v>0</v>
      </c>
      <c r="F36" s="207">
        <f t="shared" si="10"/>
        <v>0</v>
      </c>
      <c r="G36" s="207">
        <f t="shared" si="10"/>
        <v>0</v>
      </c>
      <c r="H36" s="207">
        <f t="shared" si="10"/>
        <v>0</v>
      </c>
      <c r="I36" s="207">
        <f t="shared" si="10"/>
        <v>0</v>
      </c>
      <c r="J36" s="207">
        <f t="shared" si="14"/>
        <v>0</v>
      </c>
      <c r="L36" s="207">
        <f t="shared" ref="L36" si="19">L16*labour_direct</f>
        <v>0</v>
      </c>
    </row>
    <row r="37" spans="2:12" x14ac:dyDescent="0.2">
      <c r="B37" s="206" t="str">
        <f t="shared" si="13"/>
        <v>Project Delivery Management - Construction Management</v>
      </c>
      <c r="C37" s="207">
        <f t="shared" si="10"/>
        <v>0</v>
      </c>
      <c r="D37" s="207">
        <f t="shared" si="10"/>
        <v>0</v>
      </c>
      <c r="E37" s="207">
        <f t="shared" si="10"/>
        <v>0</v>
      </c>
      <c r="F37" s="207">
        <f t="shared" si="10"/>
        <v>0</v>
      </c>
      <c r="G37" s="207">
        <f t="shared" si="10"/>
        <v>0</v>
      </c>
      <c r="H37" s="207">
        <f t="shared" si="10"/>
        <v>0</v>
      </c>
      <c r="I37" s="207">
        <f t="shared" si="10"/>
        <v>0</v>
      </c>
      <c r="J37" s="207">
        <f t="shared" si="14"/>
        <v>0</v>
      </c>
      <c r="L37" s="207">
        <f t="shared" ref="L37" si="20">L17*labour_direct</f>
        <v>0</v>
      </c>
    </row>
    <row r="38" spans="2:12" x14ac:dyDescent="0.2">
      <c r="B38" s="206" t="str">
        <f t="shared" si="13"/>
        <v>Project Delivery Management - Project Controls</v>
      </c>
      <c r="C38" s="207">
        <f t="shared" si="10"/>
        <v>0</v>
      </c>
      <c r="D38" s="207">
        <f t="shared" si="10"/>
        <v>0</v>
      </c>
      <c r="E38" s="207">
        <f t="shared" si="10"/>
        <v>0</v>
      </c>
      <c r="F38" s="207">
        <f t="shared" si="10"/>
        <v>0</v>
      </c>
      <c r="G38" s="207">
        <f t="shared" si="10"/>
        <v>0</v>
      </c>
      <c r="H38" s="207">
        <f t="shared" si="10"/>
        <v>0</v>
      </c>
      <c r="I38" s="207">
        <f t="shared" si="10"/>
        <v>0</v>
      </c>
      <c r="J38" s="207">
        <f t="shared" si="14"/>
        <v>0</v>
      </c>
      <c r="L38" s="207">
        <f t="shared" ref="L38" si="21">L18*labour_direct</f>
        <v>0</v>
      </c>
    </row>
    <row r="39" spans="2:12" x14ac:dyDescent="0.2">
      <c r="B39" s="206" t="str">
        <f t="shared" si="13"/>
        <v>Project Delivery Management - Project Engineering</v>
      </c>
      <c r="C39" s="207">
        <f t="shared" si="10"/>
        <v>271813.25441636815</v>
      </c>
      <c r="D39" s="207">
        <f t="shared" si="10"/>
        <v>187926.33085976238</v>
      </c>
      <c r="E39" s="207">
        <f t="shared" si="10"/>
        <v>0</v>
      </c>
      <c r="F39" s="207">
        <f t="shared" si="10"/>
        <v>0</v>
      </c>
      <c r="G39" s="207">
        <f t="shared" si="10"/>
        <v>0</v>
      </c>
      <c r="H39" s="207">
        <f t="shared" si="10"/>
        <v>0</v>
      </c>
      <c r="I39" s="207">
        <f t="shared" si="10"/>
        <v>0</v>
      </c>
      <c r="J39" s="207">
        <f t="shared" si="14"/>
        <v>459739.58527613053</v>
      </c>
      <c r="L39" s="207">
        <f t="shared" ref="L39" si="22">L19*labour_direct</f>
        <v>152320</v>
      </c>
    </row>
    <row r="40" spans="2:12" x14ac:dyDescent="0.2">
      <c r="B40" s="206" t="str">
        <f t="shared" si="13"/>
        <v>Project Delivery Management - Project Management</v>
      </c>
      <c r="C40" s="207">
        <f t="shared" si="10"/>
        <v>0</v>
      </c>
      <c r="D40" s="207">
        <f t="shared" si="10"/>
        <v>0</v>
      </c>
      <c r="E40" s="207">
        <f t="shared" si="10"/>
        <v>0</v>
      </c>
      <c r="F40" s="207">
        <f t="shared" si="10"/>
        <v>0</v>
      </c>
      <c r="G40" s="207">
        <f t="shared" si="10"/>
        <v>0</v>
      </c>
      <c r="H40" s="207">
        <f t="shared" si="10"/>
        <v>0</v>
      </c>
      <c r="I40" s="207">
        <f t="shared" si="10"/>
        <v>0</v>
      </c>
      <c r="J40" s="207">
        <f t="shared" si="14"/>
        <v>0</v>
      </c>
      <c r="L40" s="207">
        <f t="shared" ref="L40" si="23">L20*labour_direct</f>
        <v>0</v>
      </c>
    </row>
    <row r="41" spans="2:12" x14ac:dyDescent="0.2">
      <c r="B41" s="206" t="str">
        <f t="shared" si="13"/>
        <v>Project Development</v>
      </c>
      <c r="C41" s="207">
        <f t="shared" si="10"/>
        <v>0</v>
      </c>
      <c r="D41" s="207">
        <f t="shared" si="10"/>
        <v>0</v>
      </c>
      <c r="E41" s="207">
        <f t="shared" si="10"/>
        <v>0</v>
      </c>
      <c r="F41" s="207">
        <f t="shared" si="10"/>
        <v>0</v>
      </c>
      <c r="G41" s="207">
        <f t="shared" si="10"/>
        <v>0</v>
      </c>
      <c r="H41" s="207">
        <f t="shared" si="10"/>
        <v>0</v>
      </c>
      <c r="I41" s="207">
        <f t="shared" si="10"/>
        <v>0</v>
      </c>
      <c r="J41" s="207">
        <f t="shared" si="14"/>
        <v>0</v>
      </c>
      <c r="L41" s="207">
        <f t="shared" ref="L41" si="24">L21*labour_direct</f>
        <v>0</v>
      </c>
    </row>
    <row r="42" spans="2:12" x14ac:dyDescent="0.2">
      <c r="B42" s="206" t="str">
        <f t="shared" si="13"/>
        <v>Regulatory Approvals</v>
      </c>
      <c r="C42" s="207">
        <f t="shared" si="10"/>
        <v>264960.81943108153</v>
      </c>
      <c r="D42" s="207">
        <f t="shared" si="10"/>
        <v>0</v>
      </c>
      <c r="E42" s="207">
        <f t="shared" si="10"/>
        <v>0</v>
      </c>
      <c r="F42" s="207">
        <f t="shared" si="10"/>
        <v>0</v>
      </c>
      <c r="G42" s="207">
        <f t="shared" si="10"/>
        <v>0</v>
      </c>
      <c r="H42" s="207">
        <f t="shared" si="10"/>
        <v>0</v>
      </c>
      <c r="I42" s="207">
        <f t="shared" si="10"/>
        <v>0</v>
      </c>
      <c r="J42" s="207">
        <f t="shared" si="14"/>
        <v>264960.81943108153</v>
      </c>
      <c r="L42" s="207">
        <f t="shared" ref="L42" si="25">L22*labour_direct</f>
        <v>182560</v>
      </c>
    </row>
    <row r="43" spans="2:12" x14ac:dyDescent="0.2">
      <c r="B43" s="206" t="str">
        <f t="shared" si="13"/>
        <v>Transaction Procurement Support</v>
      </c>
      <c r="C43" s="207">
        <f t="shared" si="10"/>
        <v>293335.71770195244</v>
      </c>
      <c r="D43" s="207">
        <f t="shared" si="10"/>
        <v>198980.82091033662</v>
      </c>
      <c r="E43" s="207">
        <f t="shared" si="10"/>
        <v>193844.10544519452</v>
      </c>
      <c r="F43" s="207">
        <f t="shared" si="10"/>
        <v>0</v>
      </c>
      <c r="G43" s="207">
        <f t="shared" si="10"/>
        <v>0</v>
      </c>
      <c r="H43" s="207">
        <f t="shared" si="10"/>
        <v>0</v>
      </c>
      <c r="I43" s="207">
        <f t="shared" si="10"/>
        <v>0</v>
      </c>
      <c r="J43" s="207">
        <f t="shared" si="14"/>
        <v>686160.64405748365</v>
      </c>
      <c r="L43" s="207">
        <f t="shared" ref="L43" si="26">L23*labour_direct</f>
        <v>158306.50499999998</v>
      </c>
    </row>
    <row r="44" spans="2:12" x14ac:dyDescent="0.2">
      <c r="B44" s="208" t="s">
        <v>133</v>
      </c>
      <c r="C44" s="209">
        <f>SUM(C31:C43)</f>
        <v>830109.79154940206</v>
      </c>
      <c r="D44" s="209">
        <f t="shared" ref="D44:I44" si="27">SUM(D31:D43)</f>
        <v>386907.15177009901</v>
      </c>
      <c r="E44" s="209">
        <f t="shared" si="27"/>
        <v>193844.10544519452</v>
      </c>
      <c r="F44" s="209">
        <f t="shared" si="27"/>
        <v>0</v>
      </c>
      <c r="G44" s="209">
        <f t="shared" si="27"/>
        <v>0</v>
      </c>
      <c r="H44" s="209">
        <f t="shared" si="27"/>
        <v>0</v>
      </c>
      <c r="I44" s="209">
        <f t="shared" si="27"/>
        <v>0</v>
      </c>
      <c r="J44" s="209">
        <f t="shared" si="11"/>
        <v>1410861.0487646956</v>
      </c>
      <c r="L44" s="209">
        <f t="shared" ref="L44" si="28">SUM(L31:L43)</f>
        <v>493186.505</v>
      </c>
    </row>
    <row r="46" spans="2:12" ht="16.5" x14ac:dyDescent="0.2">
      <c r="B46" s="206" t="s">
        <v>134</v>
      </c>
      <c r="C46" s="159" t="str">
        <f t="shared" ref="C46:I46" si="29">IF(ROUND(C44-C24*labour_direct,3)=0,"OK","ERROR")</f>
        <v>OK</v>
      </c>
      <c r="D46" s="159" t="str">
        <f t="shared" si="29"/>
        <v>OK</v>
      </c>
      <c r="E46" s="159" t="str">
        <f t="shared" si="29"/>
        <v>OK</v>
      </c>
      <c r="F46" s="159" t="str">
        <f t="shared" si="29"/>
        <v>OK</v>
      </c>
      <c r="G46" s="159" t="str">
        <f t="shared" si="29"/>
        <v>OK</v>
      </c>
      <c r="H46" s="159" t="str">
        <f t="shared" si="29"/>
        <v>OK</v>
      </c>
      <c r="I46" s="159" t="str">
        <f t="shared" si="29"/>
        <v>OK</v>
      </c>
      <c r="L46" s="159" t="str">
        <f t="shared" ref="L46" si="30">IF(ROUND(L44-L24*labour_direct,3)=0,"OK","ERROR")</f>
        <v>OK</v>
      </c>
    </row>
    <row r="48" spans="2:12" x14ac:dyDescent="0.2">
      <c r="B48" s="118" t="s">
        <v>179</v>
      </c>
      <c r="C48" s="118"/>
      <c r="D48" s="118"/>
      <c r="E48" s="132" t="str">
        <f>"(Real "&amp;'Key assumptions'!$D$11&amp;")"</f>
        <v>(Real $RY2026)</v>
      </c>
      <c r="F48" s="118"/>
      <c r="G48" s="118"/>
      <c r="H48" s="118"/>
      <c r="I48" s="118"/>
      <c r="J48" s="118"/>
      <c r="L48" s="117" t="s">
        <v>255</v>
      </c>
    </row>
    <row r="49" spans="2:12" x14ac:dyDescent="0.2">
      <c r="B49" s="87"/>
    </row>
    <row r="50" spans="2:12" ht="25.5" x14ac:dyDescent="0.2">
      <c r="B50" s="136" t="s">
        <v>131</v>
      </c>
      <c r="C50" s="140" t="str" cm="1">
        <f t="array" ref="C50:I50">model_forecastperiod</f>
        <v>RY2026
01Feb-30Sep</v>
      </c>
      <c r="D50" s="140" t="str">
        <v>RY2027</v>
      </c>
      <c r="E50" s="140" t="str">
        <v>RY2028</v>
      </c>
      <c r="F50" s="140" t="str">
        <v>RY2029</v>
      </c>
      <c r="G50" s="140" t="str">
        <v>RY2030</v>
      </c>
      <c r="H50" s="140" t="str">
        <v>RY2031</v>
      </c>
      <c r="I50" s="140" t="str">
        <v>RY2032</v>
      </c>
      <c r="J50" s="140" t="s">
        <v>133</v>
      </c>
      <c r="L50" s="140" t="s">
        <v>254</v>
      </c>
    </row>
    <row r="51" spans="2:12" x14ac:dyDescent="0.2">
      <c r="B51" s="206" t="str">
        <f>B11</f>
        <v>Community and Stakeholder Engagement</v>
      </c>
      <c r="C51" s="207">
        <f t="shared" ref="C51:I51" si="31">C11-C31</f>
        <v>0</v>
      </c>
      <c r="D51" s="207">
        <f t="shared" si="31"/>
        <v>0</v>
      </c>
      <c r="E51" s="207">
        <f t="shared" si="31"/>
        <v>0</v>
      </c>
      <c r="F51" s="207">
        <f t="shared" si="31"/>
        <v>0</v>
      </c>
      <c r="G51" s="207">
        <f t="shared" si="31"/>
        <v>0</v>
      </c>
      <c r="H51" s="207">
        <f t="shared" si="31"/>
        <v>0</v>
      </c>
      <c r="I51" s="207">
        <f t="shared" si="31"/>
        <v>0</v>
      </c>
      <c r="J51" s="207">
        <f t="shared" ref="J51:J64" si="32">SUM(C51:I51)</f>
        <v>0</v>
      </c>
      <c r="L51" s="207">
        <f t="shared" ref="L51" si="33">L11-L31</f>
        <v>0</v>
      </c>
    </row>
    <row r="52" spans="2:12" x14ac:dyDescent="0.2">
      <c r="B52" s="206" t="str">
        <f t="shared" ref="B52:B63" si="34">B12</f>
        <v>Fleet</v>
      </c>
      <c r="C52" s="207">
        <f t="shared" ref="C52:I52" si="35">C12-C32</f>
        <v>0</v>
      </c>
      <c r="D52" s="207">
        <f t="shared" si="35"/>
        <v>0</v>
      </c>
      <c r="E52" s="207">
        <f t="shared" si="35"/>
        <v>0</v>
      </c>
      <c r="F52" s="207">
        <f t="shared" si="35"/>
        <v>0</v>
      </c>
      <c r="G52" s="207">
        <f t="shared" si="35"/>
        <v>0</v>
      </c>
      <c r="H52" s="207">
        <f t="shared" si="35"/>
        <v>0</v>
      </c>
      <c r="I52" s="207">
        <f t="shared" si="35"/>
        <v>0</v>
      </c>
      <c r="J52" s="207">
        <f t="shared" ref="J52:J63" si="36">SUM(C52:I52)</f>
        <v>0</v>
      </c>
      <c r="L52" s="207">
        <f t="shared" ref="L52" si="37">L12-L32</f>
        <v>0</v>
      </c>
    </row>
    <row r="53" spans="2:12" x14ac:dyDescent="0.2">
      <c r="B53" s="206" t="str">
        <f t="shared" si="34"/>
        <v>Land and Environment</v>
      </c>
      <c r="C53" s="207">
        <f t="shared" ref="C53:I53" si="38">C13-C33</f>
        <v>0</v>
      </c>
      <c r="D53" s="207">
        <f t="shared" si="38"/>
        <v>0</v>
      </c>
      <c r="E53" s="207">
        <f t="shared" si="38"/>
        <v>0</v>
      </c>
      <c r="F53" s="207">
        <f t="shared" si="38"/>
        <v>0</v>
      </c>
      <c r="G53" s="207">
        <f t="shared" si="38"/>
        <v>0</v>
      </c>
      <c r="H53" s="207">
        <f t="shared" si="38"/>
        <v>0</v>
      </c>
      <c r="I53" s="207">
        <f t="shared" si="38"/>
        <v>0</v>
      </c>
      <c r="J53" s="207">
        <f t="shared" si="36"/>
        <v>0</v>
      </c>
      <c r="L53" s="207">
        <f t="shared" ref="L53" si="39">L13-L33</f>
        <v>0</v>
      </c>
    </row>
    <row r="54" spans="2:12" x14ac:dyDescent="0.2">
      <c r="B54" s="206" t="str">
        <f t="shared" si="34"/>
        <v>Other Support &amp; Corporate Roles</v>
      </c>
      <c r="C54" s="207">
        <f t="shared" ref="C54:I54" si="40">C14-C34</f>
        <v>0</v>
      </c>
      <c r="D54" s="207">
        <f t="shared" si="40"/>
        <v>0</v>
      </c>
      <c r="E54" s="207">
        <f t="shared" si="40"/>
        <v>0</v>
      </c>
      <c r="F54" s="207">
        <f t="shared" si="40"/>
        <v>0</v>
      </c>
      <c r="G54" s="207">
        <f t="shared" si="40"/>
        <v>0</v>
      </c>
      <c r="H54" s="207">
        <f t="shared" si="40"/>
        <v>0</v>
      </c>
      <c r="I54" s="207">
        <f t="shared" si="40"/>
        <v>0</v>
      </c>
      <c r="J54" s="207">
        <f t="shared" si="36"/>
        <v>0</v>
      </c>
      <c r="L54" s="207">
        <f t="shared" ref="L54" si="41">L14-L34</f>
        <v>0</v>
      </c>
    </row>
    <row r="55" spans="2:12" x14ac:dyDescent="0.2">
      <c r="B55" s="206" t="str">
        <f t="shared" si="34"/>
        <v>Project Delivery Management - Commercial Management</v>
      </c>
      <c r="C55" s="207">
        <f t="shared" ref="C55:I55" si="42">C15-C35</f>
        <v>0</v>
      </c>
      <c r="D55" s="207">
        <f t="shared" si="42"/>
        <v>0</v>
      </c>
      <c r="E55" s="207">
        <f t="shared" si="42"/>
        <v>0</v>
      </c>
      <c r="F55" s="207">
        <f t="shared" si="42"/>
        <v>0</v>
      </c>
      <c r="G55" s="207">
        <f t="shared" si="42"/>
        <v>0</v>
      </c>
      <c r="H55" s="207">
        <f t="shared" si="42"/>
        <v>0</v>
      </c>
      <c r="I55" s="207">
        <f t="shared" si="42"/>
        <v>0</v>
      </c>
      <c r="J55" s="207">
        <f t="shared" si="36"/>
        <v>0</v>
      </c>
      <c r="L55" s="207">
        <f t="shared" ref="L55" si="43">L15-L35</f>
        <v>0</v>
      </c>
    </row>
    <row r="56" spans="2:12" x14ac:dyDescent="0.2">
      <c r="B56" s="206" t="str">
        <f t="shared" si="34"/>
        <v>Project Delivery Management - Commissioning</v>
      </c>
      <c r="C56" s="207">
        <f t="shared" ref="C56:I56" si="44">C16-C36</f>
        <v>0</v>
      </c>
      <c r="D56" s="207">
        <f t="shared" si="44"/>
        <v>0</v>
      </c>
      <c r="E56" s="207">
        <f t="shared" si="44"/>
        <v>0</v>
      </c>
      <c r="F56" s="207">
        <f t="shared" si="44"/>
        <v>0</v>
      </c>
      <c r="G56" s="207">
        <f t="shared" si="44"/>
        <v>0</v>
      </c>
      <c r="H56" s="207">
        <f t="shared" si="44"/>
        <v>0</v>
      </c>
      <c r="I56" s="207">
        <f t="shared" si="44"/>
        <v>0</v>
      </c>
      <c r="J56" s="207">
        <f t="shared" si="36"/>
        <v>0</v>
      </c>
      <c r="L56" s="207">
        <f t="shared" ref="L56" si="45">L16-L36</f>
        <v>0</v>
      </c>
    </row>
    <row r="57" spans="2:12" x14ac:dyDescent="0.2">
      <c r="B57" s="206" t="str">
        <f t="shared" si="34"/>
        <v>Project Delivery Management - Construction Management</v>
      </c>
      <c r="C57" s="207">
        <f t="shared" ref="C57:I57" si="46">C17-C37</f>
        <v>0</v>
      </c>
      <c r="D57" s="207">
        <f t="shared" si="46"/>
        <v>0</v>
      </c>
      <c r="E57" s="207">
        <f t="shared" si="46"/>
        <v>0</v>
      </c>
      <c r="F57" s="207">
        <f t="shared" si="46"/>
        <v>0</v>
      </c>
      <c r="G57" s="207">
        <f t="shared" si="46"/>
        <v>0</v>
      </c>
      <c r="H57" s="207">
        <f t="shared" si="46"/>
        <v>0</v>
      </c>
      <c r="I57" s="207">
        <f t="shared" si="46"/>
        <v>0</v>
      </c>
      <c r="J57" s="207">
        <f t="shared" si="36"/>
        <v>0</v>
      </c>
      <c r="L57" s="207">
        <f t="shared" ref="L57" si="47">L17-L37</f>
        <v>0</v>
      </c>
    </row>
    <row r="58" spans="2:12" x14ac:dyDescent="0.2">
      <c r="B58" s="206" t="str">
        <f t="shared" si="34"/>
        <v>Project Delivery Management - Project Controls</v>
      </c>
      <c r="C58" s="207">
        <f t="shared" ref="C58:I58" si="48">C18-C38</f>
        <v>0</v>
      </c>
      <c r="D58" s="207">
        <f t="shared" si="48"/>
        <v>0</v>
      </c>
      <c r="E58" s="207">
        <f t="shared" si="48"/>
        <v>0</v>
      </c>
      <c r="F58" s="207">
        <f t="shared" si="48"/>
        <v>0</v>
      </c>
      <c r="G58" s="207">
        <f t="shared" si="48"/>
        <v>0</v>
      </c>
      <c r="H58" s="207">
        <f t="shared" si="48"/>
        <v>0</v>
      </c>
      <c r="I58" s="207">
        <f t="shared" si="48"/>
        <v>0</v>
      </c>
      <c r="J58" s="207">
        <f t="shared" si="36"/>
        <v>0</v>
      </c>
      <c r="L58" s="207">
        <f t="shared" ref="L58" si="49">L18-L38</f>
        <v>0</v>
      </c>
    </row>
    <row r="59" spans="2:12" x14ac:dyDescent="0.2">
      <c r="B59" s="206" t="str">
        <f t="shared" si="34"/>
        <v>Project Delivery Management - Project Engineering</v>
      </c>
      <c r="C59" s="207">
        <f t="shared" ref="C59:I59" si="50">C19-C39</f>
        <v>116491.3947498721</v>
      </c>
      <c r="D59" s="207">
        <f t="shared" si="50"/>
        <v>80539.856082755316</v>
      </c>
      <c r="E59" s="207">
        <f t="shared" si="50"/>
        <v>0</v>
      </c>
      <c r="F59" s="207">
        <f t="shared" si="50"/>
        <v>0</v>
      </c>
      <c r="G59" s="207">
        <f t="shared" si="50"/>
        <v>0</v>
      </c>
      <c r="H59" s="207">
        <f t="shared" si="50"/>
        <v>0</v>
      </c>
      <c r="I59" s="207">
        <f t="shared" si="50"/>
        <v>0</v>
      </c>
      <c r="J59" s="207">
        <f t="shared" si="36"/>
        <v>197031.25083262741</v>
      </c>
      <c r="L59" s="207">
        <f t="shared" ref="L59" si="51">L19-L39</f>
        <v>65280</v>
      </c>
    </row>
    <row r="60" spans="2:12" x14ac:dyDescent="0.2">
      <c r="B60" s="206" t="str">
        <f t="shared" si="34"/>
        <v>Project Delivery Management - Project Management</v>
      </c>
      <c r="C60" s="207">
        <f t="shared" ref="C60:I60" si="52">C20-C40</f>
        <v>0</v>
      </c>
      <c r="D60" s="207">
        <f t="shared" si="52"/>
        <v>0</v>
      </c>
      <c r="E60" s="207">
        <f t="shared" si="52"/>
        <v>0</v>
      </c>
      <c r="F60" s="207">
        <f t="shared" si="52"/>
        <v>0</v>
      </c>
      <c r="G60" s="207">
        <f t="shared" si="52"/>
        <v>0</v>
      </c>
      <c r="H60" s="207">
        <f t="shared" si="52"/>
        <v>0</v>
      </c>
      <c r="I60" s="207">
        <f t="shared" si="52"/>
        <v>0</v>
      </c>
      <c r="J60" s="207">
        <f t="shared" si="36"/>
        <v>0</v>
      </c>
      <c r="L60" s="207">
        <f t="shared" ref="L60" si="53">L20-L40</f>
        <v>0</v>
      </c>
    </row>
    <row r="61" spans="2:12" x14ac:dyDescent="0.2">
      <c r="B61" s="206" t="str">
        <f t="shared" si="34"/>
        <v>Project Development</v>
      </c>
      <c r="C61" s="207">
        <f t="shared" ref="C61:I61" si="54">C21-C41</f>
        <v>0</v>
      </c>
      <c r="D61" s="207">
        <f t="shared" si="54"/>
        <v>0</v>
      </c>
      <c r="E61" s="207">
        <f t="shared" si="54"/>
        <v>0</v>
      </c>
      <c r="F61" s="207">
        <f t="shared" si="54"/>
        <v>0</v>
      </c>
      <c r="G61" s="207">
        <f t="shared" si="54"/>
        <v>0</v>
      </c>
      <c r="H61" s="207">
        <f t="shared" si="54"/>
        <v>0</v>
      </c>
      <c r="I61" s="207">
        <f t="shared" si="54"/>
        <v>0</v>
      </c>
      <c r="J61" s="207">
        <f t="shared" si="36"/>
        <v>0</v>
      </c>
      <c r="L61" s="207">
        <f t="shared" ref="L61" si="55">L21-L41</f>
        <v>0</v>
      </c>
    </row>
    <row r="62" spans="2:12" x14ac:dyDescent="0.2">
      <c r="B62" s="206" t="str">
        <f t="shared" si="34"/>
        <v>Regulatory Approvals</v>
      </c>
      <c r="C62" s="207">
        <f t="shared" ref="C62:I62" si="56">C22-C42</f>
        <v>113554.63689903496</v>
      </c>
      <c r="D62" s="207">
        <f t="shared" si="56"/>
        <v>0</v>
      </c>
      <c r="E62" s="207">
        <f t="shared" si="56"/>
        <v>0</v>
      </c>
      <c r="F62" s="207">
        <f t="shared" si="56"/>
        <v>0</v>
      </c>
      <c r="G62" s="207">
        <f t="shared" si="56"/>
        <v>0</v>
      </c>
      <c r="H62" s="207">
        <f t="shared" si="56"/>
        <v>0</v>
      </c>
      <c r="I62" s="207">
        <f t="shared" si="56"/>
        <v>0</v>
      </c>
      <c r="J62" s="207">
        <f t="shared" si="36"/>
        <v>113554.63689903496</v>
      </c>
      <c r="L62" s="207">
        <f t="shared" ref="L62" si="57">L22-L42</f>
        <v>78240</v>
      </c>
    </row>
    <row r="63" spans="2:12" x14ac:dyDescent="0.2">
      <c r="B63" s="206" t="str">
        <f t="shared" si="34"/>
        <v>Transaction Procurement Support</v>
      </c>
      <c r="C63" s="207">
        <f t="shared" ref="C63:I63" si="58">C23-C43</f>
        <v>125715.30758655106</v>
      </c>
      <c r="D63" s="207">
        <f t="shared" si="58"/>
        <v>85277.494675858587</v>
      </c>
      <c r="E63" s="207">
        <f t="shared" si="58"/>
        <v>83076.045190797653</v>
      </c>
      <c r="F63" s="207">
        <f t="shared" si="58"/>
        <v>0</v>
      </c>
      <c r="G63" s="207">
        <f t="shared" si="58"/>
        <v>0</v>
      </c>
      <c r="H63" s="207">
        <f t="shared" si="58"/>
        <v>0</v>
      </c>
      <c r="I63" s="207">
        <f t="shared" si="58"/>
        <v>0</v>
      </c>
      <c r="J63" s="207">
        <f t="shared" si="36"/>
        <v>294068.8474532073</v>
      </c>
      <c r="L63" s="207">
        <f t="shared" ref="L63" si="59">L23-L43</f>
        <v>67845.645000000019</v>
      </c>
    </row>
    <row r="64" spans="2:12" x14ac:dyDescent="0.2">
      <c r="B64" s="208" t="s">
        <v>133</v>
      </c>
      <c r="C64" s="209">
        <f t="shared" ref="C64:D64" si="60">SUM(C51:C63)</f>
        <v>355761.33923545812</v>
      </c>
      <c r="D64" s="209">
        <f t="shared" si="60"/>
        <v>165817.3507586139</v>
      </c>
      <c r="E64" s="209">
        <f>SUM(E51:E63)</f>
        <v>83076.045190797653</v>
      </c>
      <c r="F64" s="209">
        <f>SUM(F51:F63)</f>
        <v>0</v>
      </c>
      <c r="G64" s="209">
        <f>SUM(G51:G63)</f>
        <v>0</v>
      </c>
      <c r="H64" s="209">
        <f>SUM(H51:H63)</f>
        <v>0</v>
      </c>
      <c r="I64" s="209">
        <f>SUM(I51:I63)</f>
        <v>0</v>
      </c>
      <c r="J64" s="209">
        <f t="shared" si="32"/>
        <v>604654.73518486973</v>
      </c>
      <c r="L64" s="209">
        <f>SUM(L51:L63)</f>
        <v>211365.64500000002</v>
      </c>
    </row>
    <row r="66" spans="1:34" ht="16.5" x14ac:dyDescent="0.2">
      <c r="B66" s="206" t="s">
        <v>134</v>
      </c>
      <c r="C66" s="159" t="str">
        <f t="shared" ref="C66:I66" si="61">IF(SUM(C44,C64)=C24,"OK","ERROR")</f>
        <v>OK</v>
      </c>
      <c r="D66" s="159" t="str">
        <f t="shared" si="61"/>
        <v>OK</v>
      </c>
      <c r="E66" s="159" t="str">
        <f t="shared" si="61"/>
        <v>OK</v>
      </c>
      <c r="F66" s="159" t="str">
        <f t="shared" si="61"/>
        <v>OK</v>
      </c>
      <c r="G66" s="159" t="str">
        <f t="shared" si="61"/>
        <v>OK</v>
      </c>
      <c r="H66" s="159" t="str">
        <f t="shared" si="61"/>
        <v>OK</v>
      </c>
      <c r="I66" s="159" t="str">
        <f t="shared" si="61"/>
        <v>OK</v>
      </c>
      <c r="L66" s="159" t="str">
        <f t="shared" ref="L66" si="62">IF(SUM(L44,L64)=L24,"OK","ERROR")</f>
        <v>OK</v>
      </c>
    </row>
    <row r="68" spans="1:34" ht="26.25" customHeight="1" x14ac:dyDescent="0.2">
      <c r="A68" s="71"/>
      <c r="B68" s="72"/>
      <c r="C68" s="71"/>
      <c r="D68" s="71"/>
      <c r="E68" s="71"/>
      <c r="F68" s="71"/>
      <c r="G68" s="71"/>
      <c r="H68" s="71"/>
      <c r="I68" s="71"/>
      <c r="J68" s="71"/>
      <c r="K68" s="71"/>
      <c r="L68" s="71"/>
      <c r="M68" s="71"/>
      <c r="N68" s="203"/>
      <c r="O68" s="203"/>
      <c r="P68" s="203"/>
      <c r="Q68" s="203"/>
      <c r="R68" s="203"/>
      <c r="S68" s="203"/>
      <c r="T68" s="203"/>
      <c r="U68" s="203"/>
      <c r="V68" s="203"/>
      <c r="W68" s="203"/>
      <c r="X68" s="204"/>
      <c r="Y68" s="203"/>
      <c r="Z68" s="203"/>
      <c r="AA68" s="203"/>
      <c r="AB68" s="203"/>
      <c r="AC68" s="203"/>
      <c r="AD68" s="203"/>
      <c r="AE68" s="203"/>
      <c r="AF68" s="203"/>
      <c r="AG68" s="203"/>
      <c r="AH68" s="203"/>
    </row>
    <row r="133" spans="2:36" x14ac:dyDescent="0.2">
      <c r="B133" s="87"/>
      <c r="C133" s="87"/>
      <c r="D133" s="87"/>
      <c r="E133" s="87"/>
      <c r="F133" s="92"/>
      <c r="G133" s="92"/>
      <c r="H133" s="92"/>
      <c r="I133" s="92"/>
      <c r="J133" s="92"/>
      <c r="K133" s="92"/>
      <c r="L133" s="92"/>
      <c r="M133" s="92"/>
      <c r="N133" s="87"/>
      <c r="O133" s="87"/>
      <c r="P133" s="87"/>
      <c r="Q133" s="87"/>
      <c r="R133" s="92"/>
      <c r="S133" s="92"/>
      <c r="T133" s="92"/>
      <c r="U133" s="92"/>
      <c r="V133" s="92"/>
      <c r="W133" s="92"/>
      <c r="X133" s="92"/>
      <c r="Y133" s="92"/>
      <c r="Z133" s="87"/>
      <c r="AA133" s="87"/>
      <c r="AB133" s="87"/>
      <c r="AC133" s="87"/>
      <c r="AD133" s="92"/>
      <c r="AE133" s="92"/>
      <c r="AF133" s="92"/>
      <c r="AG133" s="92"/>
      <c r="AH133" s="92"/>
      <c r="AI133" s="92"/>
      <c r="AJ133" s="92"/>
    </row>
    <row r="139" spans="2:36" x14ac:dyDescent="0.2">
      <c r="B139" s="87"/>
      <c r="N139" s="87"/>
      <c r="Z139" s="87"/>
    </row>
  </sheetData>
  <conditionalFormatting sqref="C26:I26">
    <cfRule type="cellIs" dxfId="103" priority="908" operator="equal">
      <formula>"ERROR"</formula>
    </cfRule>
    <cfRule type="cellIs" dxfId="102" priority="909" operator="equal">
      <formula>"OK"</formula>
    </cfRule>
    <cfRule type="expression" dxfId="101" priority="910">
      <formula>#REF!="Manual $ Spread"</formula>
    </cfRule>
  </conditionalFormatting>
  <conditionalFormatting sqref="C46:I46">
    <cfRule type="cellIs" dxfId="100" priority="911" operator="equal">
      <formula>"ERROR"</formula>
    </cfRule>
    <cfRule type="cellIs" dxfId="99" priority="912" operator="equal">
      <formula>"OK"</formula>
    </cfRule>
    <cfRule type="expression" dxfId="98" priority="913">
      <formula>#REF!="Manual $ Spread"</formula>
    </cfRule>
  </conditionalFormatting>
  <conditionalFormatting sqref="C66:I66">
    <cfRule type="cellIs" dxfId="97" priority="914" operator="equal">
      <formula>"ERROR"</formula>
    </cfRule>
    <cfRule type="cellIs" dxfId="96" priority="915" operator="equal">
      <formula>"OK"</formula>
    </cfRule>
    <cfRule type="expression" dxfId="95" priority="916">
      <formula>#REF!="Manual $ Spread"</formula>
    </cfRule>
  </conditionalFormatting>
  <conditionalFormatting sqref="L26">
    <cfRule type="cellIs" dxfId="94" priority="7" operator="equal">
      <formula>"ERROR"</formula>
    </cfRule>
    <cfRule type="cellIs" dxfId="93" priority="8" operator="equal">
      <formula>"OK"</formula>
    </cfRule>
    <cfRule type="expression" dxfId="92" priority="9">
      <formula>#REF!="Manual $ Spread"</formula>
    </cfRule>
  </conditionalFormatting>
  <conditionalFormatting sqref="L46">
    <cfRule type="cellIs" dxfId="91" priority="1" operator="equal">
      <formula>"ERROR"</formula>
    </cfRule>
    <cfRule type="cellIs" dxfId="90" priority="2" operator="equal">
      <formula>"OK"</formula>
    </cfRule>
    <cfRule type="expression" dxfId="89" priority="3">
      <formula>#REF!="Manual $ Spread"</formula>
    </cfRule>
  </conditionalFormatting>
  <conditionalFormatting sqref="L66">
    <cfRule type="cellIs" dxfId="88" priority="4" operator="equal">
      <formula>"ERROR"</formula>
    </cfRule>
    <cfRule type="cellIs" dxfId="87" priority="5" operator="equal">
      <formula>"OK"</formula>
    </cfRule>
    <cfRule type="expression" dxfId="86" priority="6">
      <formula>#REF!="Manual $ Spread"</formula>
    </cfRule>
  </conditionalFormatting>
  <pageMargins left="0.7" right="0.7" top="0.75" bottom="0.75" header="0.3" footer="0.3"/>
  <pageSetup paperSize="9" orientation="portrait" horizontalDpi="300" verticalDpi="300" r:id="rId1"/>
  <headerFooter>
    <oddFooter>&amp;L_x000D_&amp;1#&amp;"Aptos"&amp;10&amp;K000000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BA08-78FA-4DBB-9EB9-B9EBE6AE9E54}">
  <sheetPr codeName="Sheet12">
    <tabColor theme="8"/>
    <pageSetUpPr autoPageBreaks="0"/>
  </sheetPr>
  <dimension ref="A1:AI222"/>
  <sheetViews>
    <sheetView showGridLines="0" zoomScaleNormal="100" workbookViewId="0"/>
  </sheetViews>
  <sheetFormatPr defaultColWidth="9.21875" defaultRowHeight="15" x14ac:dyDescent="0.3"/>
  <cols>
    <col min="1" max="1" width="3.6640625" style="20" customWidth="1"/>
    <col min="2" max="2" width="26.6640625" style="20" customWidth="1"/>
    <col min="3" max="18" width="10.33203125" style="20" customWidth="1"/>
    <col min="19" max="34" width="13.6640625" style="20" customWidth="1"/>
    <col min="35" max="16384" width="9.21875" style="20"/>
  </cols>
  <sheetData>
    <row r="1" spans="1:35" s="32" customFormat="1" ht="30" x14ac:dyDescent="0.3">
      <c r="A1" s="66"/>
      <c r="B1" s="93" t="str">
        <f>Overview!$B$1</f>
        <v>Labour and overhead costs for Accelerated Syncons</v>
      </c>
      <c r="C1" s="68"/>
      <c r="D1" s="68"/>
      <c r="E1" s="68"/>
      <c r="F1" s="68"/>
      <c r="G1" s="68"/>
      <c r="H1" s="68"/>
      <c r="I1" s="68"/>
      <c r="J1" s="66"/>
      <c r="K1" s="68"/>
      <c r="L1" s="68"/>
      <c r="M1" s="68"/>
      <c r="N1" s="222"/>
      <c r="O1" s="222"/>
      <c r="P1" s="222"/>
      <c r="Q1" s="222"/>
      <c r="R1" s="222"/>
      <c r="S1" s="222"/>
      <c r="T1" s="222"/>
      <c r="U1" s="222"/>
      <c r="V1" s="222"/>
      <c r="W1" s="222"/>
      <c r="X1" s="222"/>
      <c r="Y1" s="222"/>
      <c r="Z1" s="222"/>
      <c r="AA1" s="222"/>
      <c r="AB1" s="222"/>
      <c r="AC1" s="222"/>
      <c r="AD1" s="222"/>
      <c r="AE1" s="222"/>
      <c r="AF1" s="222"/>
      <c r="AG1" s="222"/>
      <c r="AH1" s="222"/>
      <c r="AI1" s="222"/>
    </row>
    <row r="2" spans="1:35" s="32" customFormat="1" ht="22.5" x14ac:dyDescent="0.3">
      <c r="A2" s="71"/>
      <c r="B2" s="72" t="s">
        <v>191</v>
      </c>
      <c r="C2" s="71"/>
      <c r="D2" s="71"/>
      <c r="E2" s="71"/>
      <c r="F2" s="71"/>
      <c r="G2" s="71"/>
      <c r="H2" s="71"/>
      <c r="I2" s="71"/>
      <c r="J2" s="71"/>
      <c r="K2" s="71"/>
      <c r="L2" s="71"/>
      <c r="M2" s="71"/>
      <c r="N2" s="223"/>
      <c r="O2" s="223"/>
      <c r="P2" s="223"/>
      <c r="Q2" s="223"/>
      <c r="R2" s="223"/>
      <c r="S2" s="223"/>
      <c r="T2" s="223"/>
      <c r="U2" s="223"/>
      <c r="V2" s="223"/>
      <c r="W2" s="281"/>
      <c r="X2" s="281"/>
      <c r="Y2" s="281"/>
      <c r="Z2" s="281"/>
      <c r="AA2" s="281"/>
      <c r="AB2" s="281"/>
      <c r="AC2" s="281"/>
      <c r="AD2" s="281"/>
      <c r="AE2" s="281"/>
      <c r="AF2" s="281"/>
      <c r="AG2" s="281"/>
      <c r="AH2" s="281"/>
      <c r="AI2" s="281"/>
    </row>
    <row r="3" spans="1:35" x14ac:dyDescent="0.3">
      <c r="A3" s="65"/>
      <c r="B3" s="65"/>
      <c r="C3" s="65"/>
      <c r="D3" s="65"/>
      <c r="E3" s="65"/>
      <c r="F3" s="65"/>
      <c r="G3" s="65"/>
      <c r="H3" s="65"/>
      <c r="I3" s="65"/>
      <c r="J3" s="65"/>
      <c r="K3" s="65"/>
      <c r="L3" s="65"/>
      <c r="M3" s="65"/>
    </row>
    <row r="4" spans="1:35" x14ac:dyDescent="0.3">
      <c r="A4" s="65"/>
      <c r="B4" s="76" t="s">
        <v>48</v>
      </c>
      <c r="C4" s="65"/>
      <c r="D4" s="65"/>
      <c r="E4" s="65"/>
      <c r="F4" s="65"/>
      <c r="G4" s="65"/>
      <c r="H4" s="65"/>
      <c r="I4" s="65"/>
      <c r="J4" s="65"/>
      <c r="K4" s="65"/>
      <c r="L4" s="65"/>
      <c r="M4" s="65"/>
    </row>
    <row r="5" spans="1:35" x14ac:dyDescent="0.3">
      <c r="A5" s="65"/>
      <c r="B5" s="78" t="s">
        <v>192</v>
      </c>
      <c r="C5" s="65"/>
      <c r="D5" s="65"/>
      <c r="E5" s="65"/>
      <c r="F5" s="65"/>
      <c r="G5" s="65"/>
      <c r="H5" s="65"/>
      <c r="I5" s="65"/>
      <c r="J5" s="65"/>
      <c r="K5" s="65"/>
      <c r="L5" s="65"/>
      <c r="M5" s="65"/>
    </row>
    <row r="6" spans="1:35" x14ac:dyDescent="0.3">
      <c r="A6" s="65"/>
      <c r="B6" s="78"/>
      <c r="C6" s="65"/>
      <c r="D6" s="65"/>
      <c r="E6" s="65"/>
      <c r="F6" s="65"/>
      <c r="G6" s="65"/>
      <c r="H6" s="65"/>
      <c r="I6" s="65"/>
      <c r="J6" s="65"/>
      <c r="K6" s="65"/>
      <c r="L6" s="65"/>
      <c r="M6" s="65"/>
    </row>
    <row r="7" spans="1:35" s="40" customFormat="1" x14ac:dyDescent="0.3">
      <c r="A7" s="91"/>
      <c r="B7" s="91"/>
      <c r="C7" s="91"/>
      <c r="D7" s="91"/>
      <c r="E7" s="91"/>
      <c r="F7" s="91"/>
      <c r="G7" s="91"/>
      <c r="H7" s="91"/>
      <c r="I7" s="91"/>
      <c r="J7" s="91"/>
      <c r="K7" s="91"/>
      <c r="L7" s="91"/>
      <c r="M7" s="91"/>
    </row>
    <row r="8" spans="1:35" s="65" customFormat="1" ht="12.75" x14ac:dyDescent="0.2">
      <c r="B8" s="118" t="s">
        <v>177</v>
      </c>
      <c r="C8" s="118"/>
      <c r="D8" s="118"/>
      <c r="E8" s="132" t="str">
        <f>"(Real "&amp;'Key assumptions'!$D$11&amp;")"</f>
        <v>(Real $RY2026)</v>
      </c>
      <c r="F8" s="118"/>
      <c r="G8" s="118"/>
      <c r="H8" s="118"/>
      <c r="I8" s="118"/>
      <c r="J8" s="118"/>
      <c r="L8" s="118"/>
    </row>
    <row r="9" spans="1:35" s="65" customFormat="1" ht="12.75" x14ac:dyDescent="0.2">
      <c r="B9" s="87"/>
    </row>
    <row r="10" spans="1:35" s="153" customFormat="1" ht="25.5" x14ac:dyDescent="0.2">
      <c r="B10" s="136" t="s">
        <v>131</v>
      </c>
      <c r="C10" s="140" t="str" cm="1">
        <f t="array" ref="C10:I10">model_forecastperiod</f>
        <v>RY2026
01Feb-30Sep</v>
      </c>
      <c r="D10" s="140" t="str">
        <v>RY2027</v>
      </c>
      <c r="E10" s="140" t="str">
        <v>RY2028</v>
      </c>
      <c r="F10" s="140" t="str">
        <v>RY2029</v>
      </c>
      <c r="G10" s="140" t="str">
        <v>RY2030</v>
      </c>
      <c r="H10" s="140" t="str">
        <v>RY2031</v>
      </c>
      <c r="I10" s="140" t="str">
        <v>RY2032</v>
      </c>
      <c r="J10" s="140" t="s">
        <v>133</v>
      </c>
      <c r="L10" s="140"/>
    </row>
    <row r="11" spans="1:35" s="65" customFormat="1" ht="12.75" x14ac:dyDescent="0.2">
      <c r="B11" s="206" t="str" cm="1">
        <f t="array" ref="B11:B23">CostCategories</f>
        <v>Community and Stakeholder Engagement</v>
      </c>
      <c r="C11" s="207">
        <f>SUMIFS('Non-labour_inputs'!GH$8:GH$911,'Non-labour_inputs'!$B$8:$B$911,$B11)</f>
        <v>0</v>
      </c>
      <c r="D11" s="207">
        <f>SUMIFS('Non-labour_inputs'!GI$8:GI$911,'Non-labour_inputs'!$B$8:$B$911,$B11)</f>
        <v>0</v>
      </c>
      <c r="E11" s="207">
        <f>SUMIFS('Non-labour_inputs'!GJ$8:GJ$911,'Non-labour_inputs'!$B$8:$B$911,$B11)</f>
        <v>0</v>
      </c>
      <c r="F11" s="207">
        <f>SUMIFS('Non-labour_inputs'!GK$8:GK$911,'Non-labour_inputs'!$B$8:$B$911,$B11)</f>
        <v>0</v>
      </c>
      <c r="G11" s="207">
        <f>SUMIFS('Non-labour_inputs'!GL$8:GL$911,'Non-labour_inputs'!$B$8:$B$911,$B11)</f>
        <v>0</v>
      </c>
      <c r="H11" s="207">
        <f>SUMIFS('Non-labour_inputs'!GM$8:GM$911,'Non-labour_inputs'!$B$8:$B$911,$B11)</f>
        <v>0</v>
      </c>
      <c r="I11" s="207">
        <f>SUMIFS('Non-labour_inputs'!GN$8:GN$911,'Non-labour_inputs'!$B$8:$B$911,$B11)</f>
        <v>0</v>
      </c>
      <c r="J11" s="207">
        <f t="shared" ref="J11:J24" si="0">SUM(C11:I11)</f>
        <v>0</v>
      </c>
      <c r="L11" s="207">
        <f>SUMIFS('Non-labour_inputs'!GR$8:GR$911,'Non-labour_inputs'!$B$8:$B$911,$B11)</f>
        <v>0</v>
      </c>
    </row>
    <row r="12" spans="1:35" s="65" customFormat="1" ht="12.75" x14ac:dyDescent="0.2">
      <c r="B12" s="206" t="str">
        <v>Fleet</v>
      </c>
      <c r="C12" s="207">
        <f>SUMIFS('Non-labour_inputs'!GH$8:GH$911,'Non-labour_inputs'!$B$8:$B$911,$B12)</f>
        <v>9483.2805599948369</v>
      </c>
      <c r="D12" s="207">
        <f>SUMIFS('Non-labour_inputs'!GI$8:GI$911,'Non-labour_inputs'!$B$8:$B$911,$B12)</f>
        <v>44415.361810343005</v>
      </c>
      <c r="E12" s="207">
        <f>SUMIFS('Non-labour_inputs'!GJ$8:GJ$911,'Non-labour_inputs'!$B$8:$B$911,$B12)</f>
        <v>0</v>
      </c>
      <c r="F12" s="207">
        <f>SUMIFS('Non-labour_inputs'!GK$8:GK$911,'Non-labour_inputs'!$B$8:$B$911,$B12)</f>
        <v>0</v>
      </c>
      <c r="G12" s="207">
        <f>SUMIFS('Non-labour_inputs'!GL$8:GL$911,'Non-labour_inputs'!$B$8:$B$911,$B12)</f>
        <v>0</v>
      </c>
      <c r="H12" s="207">
        <f>SUMIFS('Non-labour_inputs'!GM$8:GM$911,'Non-labour_inputs'!$B$8:$B$911,$B12)</f>
        <v>0</v>
      </c>
      <c r="I12" s="207">
        <f>SUMIFS('Non-labour_inputs'!GN$8:GN$911,'Non-labour_inputs'!$B$8:$B$911,$B12)</f>
        <v>0</v>
      </c>
      <c r="J12" s="207">
        <f t="shared" si="0"/>
        <v>53898.642370337839</v>
      </c>
      <c r="L12" s="207">
        <f>SUMIFS('Non-labour_inputs'!GR$8:GR$911,'Non-labour_inputs'!$B$8:$B$911,$B12)</f>
        <v>6700</v>
      </c>
    </row>
    <row r="13" spans="1:35" s="65" customFormat="1" ht="12.75" x14ac:dyDescent="0.2">
      <c r="B13" s="206" t="str">
        <v>Land and Environment</v>
      </c>
      <c r="C13" s="207">
        <f>SUMIFS('Non-labour_inputs'!GH$8:GH$911,'Non-labour_inputs'!$B$8:$B$911,$B13)</f>
        <v>0</v>
      </c>
      <c r="D13" s="207">
        <f>SUMIFS('Non-labour_inputs'!GI$8:GI$911,'Non-labour_inputs'!$B$8:$B$911,$B13)</f>
        <v>0</v>
      </c>
      <c r="E13" s="207">
        <f>SUMIFS('Non-labour_inputs'!GJ$8:GJ$911,'Non-labour_inputs'!$B$8:$B$911,$B13)</f>
        <v>0</v>
      </c>
      <c r="F13" s="207">
        <f>SUMIFS('Non-labour_inputs'!GK$8:GK$911,'Non-labour_inputs'!$B$8:$B$911,$B13)</f>
        <v>0</v>
      </c>
      <c r="G13" s="207">
        <f>SUMIFS('Non-labour_inputs'!GL$8:GL$911,'Non-labour_inputs'!$B$8:$B$911,$B13)</f>
        <v>0</v>
      </c>
      <c r="H13" s="207">
        <f>SUMIFS('Non-labour_inputs'!GM$8:GM$911,'Non-labour_inputs'!$B$8:$B$911,$B13)</f>
        <v>0</v>
      </c>
      <c r="I13" s="207">
        <f>SUMIFS('Non-labour_inputs'!GN$8:GN$911,'Non-labour_inputs'!$B$8:$B$911,$B13)</f>
        <v>0</v>
      </c>
      <c r="J13" s="207">
        <f t="shared" ref="J13:J23" si="1">SUM(C13:I13)</f>
        <v>0</v>
      </c>
      <c r="L13" s="207">
        <f>SUMIFS('Non-labour_inputs'!GR$8:GR$911,'Non-labour_inputs'!$B$8:$B$911,$B13)</f>
        <v>0</v>
      </c>
    </row>
    <row r="14" spans="1:35" s="65" customFormat="1" ht="12.75" x14ac:dyDescent="0.2">
      <c r="B14" s="206" t="str">
        <v>Other Support &amp; Corporate Roles</v>
      </c>
      <c r="C14" s="207">
        <f>SUMIFS('Non-labour_inputs'!GH$8:GH$911,'Non-labour_inputs'!$B$8:$B$911,$B14)</f>
        <v>10115421.452843221</v>
      </c>
      <c r="D14" s="207">
        <f>SUMIFS('Non-labour_inputs'!GI$8:GI$911,'Non-labour_inputs'!$B$8:$B$911,$B14)</f>
        <v>4916864.2428120421</v>
      </c>
      <c r="E14" s="207">
        <f>SUMIFS('Non-labour_inputs'!GJ$8:GJ$911,'Non-labour_inputs'!$B$8:$B$911,$B14)</f>
        <v>6080736.2784350207</v>
      </c>
      <c r="F14" s="207">
        <f>SUMIFS('Non-labour_inputs'!GK$8:GK$911,'Non-labour_inputs'!$B$8:$B$911,$B14)</f>
        <v>2394581.3521636976</v>
      </c>
      <c r="G14" s="207">
        <f>SUMIFS('Non-labour_inputs'!GL$8:GL$911,'Non-labour_inputs'!$B$8:$B$911,$B14)</f>
        <v>0</v>
      </c>
      <c r="H14" s="207">
        <f>SUMIFS('Non-labour_inputs'!GM$8:GM$911,'Non-labour_inputs'!$B$8:$B$911,$B14)</f>
        <v>0</v>
      </c>
      <c r="I14" s="207">
        <f>SUMIFS('Non-labour_inputs'!GN$8:GN$911,'Non-labour_inputs'!$B$8:$B$911,$B14)</f>
        <v>0</v>
      </c>
      <c r="J14" s="207">
        <f t="shared" si="1"/>
        <v>23507603.326253984</v>
      </c>
      <c r="L14" s="207">
        <f>SUMIFS('Non-labour_inputs'!GR$8:GR$911,'Non-labour_inputs'!$B$8:$B$911,$B14)</f>
        <v>6295077.568635609</v>
      </c>
    </row>
    <row r="15" spans="1:35" s="65" customFormat="1" ht="12.75" x14ac:dyDescent="0.2">
      <c r="B15" s="206" t="str">
        <v>Project Delivery Management - Commercial Management</v>
      </c>
      <c r="C15" s="207">
        <f>SUMIFS('Non-labour_inputs'!GH$8:GH$911,'Non-labour_inputs'!$B$8:$B$911,$B15)</f>
        <v>0</v>
      </c>
      <c r="D15" s="207">
        <f>SUMIFS('Non-labour_inputs'!GI$8:GI$911,'Non-labour_inputs'!$B$8:$B$911,$B15)</f>
        <v>0</v>
      </c>
      <c r="E15" s="207">
        <f>SUMIFS('Non-labour_inputs'!GJ$8:GJ$911,'Non-labour_inputs'!$B$8:$B$911,$B15)</f>
        <v>0</v>
      </c>
      <c r="F15" s="207">
        <f>SUMIFS('Non-labour_inputs'!GK$8:GK$911,'Non-labour_inputs'!$B$8:$B$911,$B15)</f>
        <v>0</v>
      </c>
      <c r="G15" s="207">
        <f>SUMIFS('Non-labour_inputs'!GL$8:GL$911,'Non-labour_inputs'!$B$8:$B$911,$B15)</f>
        <v>0</v>
      </c>
      <c r="H15" s="207">
        <f>SUMIFS('Non-labour_inputs'!GM$8:GM$911,'Non-labour_inputs'!$B$8:$B$911,$B15)</f>
        <v>0</v>
      </c>
      <c r="I15" s="207">
        <f>SUMIFS('Non-labour_inputs'!GN$8:GN$911,'Non-labour_inputs'!$B$8:$B$911,$B15)</f>
        <v>0</v>
      </c>
      <c r="J15" s="207">
        <f t="shared" si="1"/>
        <v>0</v>
      </c>
      <c r="L15" s="207">
        <f>SUMIFS('Non-labour_inputs'!GR$8:GR$911,'Non-labour_inputs'!$B$8:$B$911,$B15)</f>
        <v>0</v>
      </c>
    </row>
    <row r="16" spans="1:35" s="65" customFormat="1" ht="12.75" x14ac:dyDescent="0.2">
      <c r="B16" s="206" t="str">
        <v>Project Delivery Management - Commissioning</v>
      </c>
      <c r="C16" s="207">
        <f>SUMIFS('Non-labour_inputs'!GH$8:GH$911,'Non-labour_inputs'!$B$8:$B$911,$B16)</f>
        <v>0</v>
      </c>
      <c r="D16" s="207">
        <f>SUMIFS('Non-labour_inputs'!GI$8:GI$911,'Non-labour_inputs'!$B$8:$B$911,$B16)</f>
        <v>0</v>
      </c>
      <c r="E16" s="207">
        <f>SUMIFS('Non-labour_inputs'!GJ$8:GJ$911,'Non-labour_inputs'!$B$8:$B$911,$B16)</f>
        <v>0</v>
      </c>
      <c r="F16" s="207">
        <f>SUMIFS('Non-labour_inputs'!GK$8:GK$911,'Non-labour_inputs'!$B$8:$B$911,$B16)</f>
        <v>0</v>
      </c>
      <c r="G16" s="207">
        <f>SUMIFS('Non-labour_inputs'!GL$8:GL$911,'Non-labour_inputs'!$B$8:$B$911,$B16)</f>
        <v>0</v>
      </c>
      <c r="H16" s="207">
        <f>SUMIFS('Non-labour_inputs'!GM$8:GM$911,'Non-labour_inputs'!$B$8:$B$911,$B16)</f>
        <v>0</v>
      </c>
      <c r="I16" s="207">
        <f>SUMIFS('Non-labour_inputs'!GN$8:GN$911,'Non-labour_inputs'!$B$8:$B$911,$B16)</f>
        <v>0</v>
      </c>
      <c r="J16" s="207">
        <f t="shared" si="1"/>
        <v>0</v>
      </c>
      <c r="L16" s="207">
        <f>SUMIFS('Non-labour_inputs'!GR$8:GR$911,'Non-labour_inputs'!$B$8:$B$911,$B16)</f>
        <v>0</v>
      </c>
    </row>
    <row r="17" spans="2:13" s="65" customFormat="1" ht="12.75" x14ac:dyDescent="0.2">
      <c r="B17" s="206" t="str">
        <v>Project Delivery Management - Construction Management</v>
      </c>
      <c r="C17" s="207">
        <f>SUMIFS('Non-labour_inputs'!GH$8:GH$911,'Non-labour_inputs'!$B$8:$B$911,$B17)</f>
        <v>0</v>
      </c>
      <c r="D17" s="207">
        <f>SUMIFS('Non-labour_inputs'!GI$8:GI$911,'Non-labour_inputs'!$B$8:$B$911,$B17)</f>
        <v>0</v>
      </c>
      <c r="E17" s="207">
        <f>SUMIFS('Non-labour_inputs'!GJ$8:GJ$911,'Non-labour_inputs'!$B$8:$B$911,$B17)</f>
        <v>0</v>
      </c>
      <c r="F17" s="207">
        <f>SUMIFS('Non-labour_inputs'!GK$8:GK$911,'Non-labour_inputs'!$B$8:$B$911,$B17)</f>
        <v>0</v>
      </c>
      <c r="G17" s="207">
        <f>SUMIFS('Non-labour_inputs'!GL$8:GL$911,'Non-labour_inputs'!$B$8:$B$911,$B17)</f>
        <v>0</v>
      </c>
      <c r="H17" s="207">
        <f>SUMIFS('Non-labour_inputs'!GM$8:GM$911,'Non-labour_inputs'!$B$8:$B$911,$B17)</f>
        <v>0</v>
      </c>
      <c r="I17" s="207">
        <f>SUMIFS('Non-labour_inputs'!GN$8:GN$911,'Non-labour_inputs'!$B$8:$B$911,$B17)</f>
        <v>0</v>
      </c>
      <c r="J17" s="207">
        <f t="shared" si="1"/>
        <v>0</v>
      </c>
      <c r="L17" s="207">
        <f>SUMIFS('Non-labour_inputs'!GR$8:GR$911,'Non-labour_inputs'!$B$8:$B$911,$B17)</f>
        <v>0</v>
      </c>
    </row>
    <row r="18" spans="2:13" s="65" customFormat="1" ht="12.75" x14ac:dyDescent="0.2">
      <c r="B18" s="206" t="str">
        <v>Project Delivery Management - Project Controls</v>
      </c>
      <c r="C18" s="207">
        <f>SUMIFS('Non-labour_inputs'!GH$8:GH$911,'Non-labour_inputs'!$B$8:$B$911,$B18)</f>
        <v>0</v>
      </c>
      <c r="D18" s="207">
        <f>SUMIFS('Non-labour_inputs'!GI$8:GI$911,'Non-labour_inputs'!$B$8:$B$911,$B18)</f>
        <v>0</v>
      </c>
      <c r="E18" s="207">
        <f>SUMIFS('Non-labour_inputs'!GJ$8:GJ$911,'Non-labour_inputs'!$B$8:$B$911,$B18)</f>
        <v>0</v>
      </c>
      <c r="F18" s="207">
        <f>SUMIFS('Non-labour_inputs'!GK$8:GK$911,'Non-labour_inputs'!$B$8:$B$911,$B18)</f>
        <v>0</v>
      </c>
      <c r="G18" s="207">
        <f>SUMIFS('Non-labour_inputs'!GL$8:GL$911,'Non-labour_inputs'!$B$8:$B$911,$B18)</f>
        <v>0</v>
      </c>
      <c r="H18" s="207">
        <f>SUMIFS('Non-labour_inputs'!GM$8:GM$911,'Non-labour_inputs'!$B$8:$B$911,$B18)</f>
        <v>0</v>
      </c>
      <c r="I18" s="207">
        <f>SUMIFS('Non-labour_inputs'!GN$8:GN$911,'Non-labour_inputs'!$B$8:$B$911,$B18)</f>
        <v>0</v>
      </c>
      <c r="J18" s="207">
        <f t="shared" si="1"/>
        <v>0</v>
      </c>
      <c r="L18" s="207">
        <f>SUMIFS('Non-labour_inputs'!GR$8:GR$911,'Non-labour_inputs'!$B$8:$B$911,$B18)</f>
        <v>0</v>
      </c>
    </row>
    <row r="19" spans="2:13" s="65" customFormat="1" ht="12.75" x14ac:dyDescent="0.2">
      <c r="B19" s="206" t="str">
        <v>Project Delivery Management - Project Engineering</v>
      </c>
      <c r="C19" s="207">
        <f>SUMIFS('Non-labour_inputs'!GH$8:GH$911,'Non-labour_inputs'!$B$8:$B$911,$B19)</f>
        <v>0</v>
      </c>
      <c r="D19" s="207">
        <f>SUMIFS('Non-labour_inputs'!GI$8:GI$911,'Non-labour_inputs'!$B$8:$B$911,$B19)</f>
        <v>0</v>
      </c>
      <c r="E19" s="207">
        <f>SUMIFS('Non-labour_inputs'!GJ$8:GJ$911,'Non-labour_inputs'!$B$8:$B$911,$B19)</f>
        <v>0</v>
      </c>
      <c r="F19" s="207">
        <f>SUMIFS('Non-labour_inputs'!GK$8:GK$911,'Non-labour_inputs'!$B$8:$B$911,$B19)</f>
        <v>0</v>
      </c>
      <c r="G19" s="207">
        <f>SUMIFS('Non-labour_inputs'!GL$8:GL$911,'Non-labour_inputs'!$B$8:$B$911,$B19)</f>
        <v>0</v>
      </c>
      <c r="H19" s="207">
        <f>SUMIFS('Non-labour_inputs'!GM$8:GM$911,'Non-labour_inputs'!$B$8:$B$911,$B19)</f>
        <v>0</v>
      </c>
      <c r="I19" s="207">
        <f>SUMIFS('Non-labour_inputs'!GN$8:GN$911,'Non-labour_inputs'!$B$8:$B$911,$B19)</f>
        <v>0</v>
      </c>
      <c r="J19" s="207">
        <f t="shared" si="1"/>
        <v>0</v>
      </c>
      <c r="L19" s="207">
        <f>SUMIFS('Non-labour_inputs'!GR$8:GR$911,'Non-labour_inputs'!$B$8:$B$911,$B19)</f>
        <v>0</v>
      </c>
    </row>
    <row r="20" spans="2:13" s="65" customFormat="1" ht="12.75" x14ac:dyDescent="0.2">
      <c r="B20" s="206" t="str">
        <v>Project Delivery Management - Project Management</v>
      </c>
      <c r="C20" s="207">
        <f>SUMIFS('Non-labour_inputs'!GH$8:GH$911,'Non-labour_inputs'!$B$8:$B$911,$B20)</f>
        <v>269202.80299340183</v>
      </c>
      <c r="D20" s="207">
        <f>SUMIFS('Non-labour_inputs'!GI$8:GI$911,'Non-labour_inputs'!$B$8:$B$911,$B20)</f>
        <v>521140.24524135789</v>
      </c>
      <c r="E20" s="207">
        <f>SUMIFS('Non-labour_inputs'!GJ$8:GJ$911,'Non-labour_inputs'!$B$8:$B$911,$B20)</f>
        <v>507686.94283265236</v>
      </c>
      <c r="F20" s="207">
        <f>SUMIFS('Non-labour_inputs'!GK$8:GK$911,'Non-labour_inputs'!$B$8:$B$911,$B20)</f>
        <v>206075.39131444503</v>
      </c>
      <c r="G20" s="207">
        <f>SUMIFS('Non-labour_inputs'!GL$8:GL$911,'Non-labour_inputs'!$B$8:$B$911,$B20)</f>
        <v>0</v>
      </c>
      <c r="H20" s="207">
        <f>SUMIFS('Non-labour_inputs'!GM$8:GM$911,'Non-labour_inputs'!$B$8:$B$911,$B20)</f>
        <v>0</v>
      </c>
      <c r="I20" s="207">
        <f>SUMIFS('Non-labour_inputs'!GN$8:GN$911,'Non-labour_inputs'!$B$8:$B$911,$B20)</f>
        <v>0</v>
      </c>
      <c r="J20" s="207">
        <f t="shared" si="1"/>
        <v>1504105.3823818571</v>
      </c>
      <c r="L20" s="207">
        <f>SUMIFS('Non-labour_inputs'!GR$8:GR$911,'Non-labour_inputs'!$B$8:$B$911,$B20)</f>
        <v>132000</v>
      </c>
    </row>
    <row r="21" spans="2:13" s="65" customFormat="1" ht="12.75" x14ac:dyDescent="0.2">
      <c r="B21" s="206" t="str">
        <v>Project Development</v>
      </c>
      <c r="C21" s="207">
        <f>SUMIFS('Non-labour_inputs'!GH$8:GH$911,'Non-labour_inputs'!$B$8:$B$911,$B21)</f>
        <v>1013604.6371874483</v>
      </c>
      <c r="D21" s="207">
        <f>SUMIFS('Non-labour_inputs'!GI$8:GI$911,'Non-labour_inputs'!$B$8:$B$911,$B21)</f>
        <v>361924.00425580121</v>
      </c>
      <c r="E21" s="207">
        <f>SUMIFS('Non-labour_inputs'!GJ$8:GJ$911,'Non-labour_inputs'!$B$8:$B$911,$B21)</f>
        <v>0</v>
      </c>
      <c r="F21" s="207">
        <f>SUMIFS('Non-labour_inputs'!GK$8:GK$911,'Non-labour_inputs'!$B$8:$B$911,$B21)</f>
        <v>0</v>
      </c>
      <c r="G21" s="207">
        <f>SUMIFS('Non-labour_inputs'!GL$8:GL$911,'Non-labour_inputs'!$B$8:$B$911,$B21)</f>
        <v>0</v>
      </c>
      <c r="H21" s="207">
        <f>SUMIFS('Non-labour_inputs'!GM$8:GM$911,'Non-labour_inputs'!$B$8:$B$911,$B21)</f>
        <v>0</v>
      </c>
      <c r="I21" s="207">
        <f>SUMIFS('Non-labour_inputs'!GN$8:GN$911,'Non-labour_inputs'!$B$8:$B$911,$B21)</f>
        <v>0</v>
      </c>
      <c r="J21" s="207">
        <f t="shared" si="1"/>
        <v>1375528.6414432495</v>
      </c>
      <c r="L21" s="207">
        <f>SUMIFS('Non-labour_inputs'!GR$8:GR$911,'Non-labour_inputs'!$B$8:$B$911,$B21)</f>
        <v>555207</v>
      </c>
    </row>
    <row r="22" spans="2:13" s="65" customFormat="1" ht="12.75" x14ac:dyDescent="0.2">
      <c r="B22" s="206" t="str">
        <v>Regulatory Approvals</v>
      </c>
      <c r="C22" s="207">
        <f>SUMIFS('Non-labour_inputs'!GH$8:GH$911,'Non-labour_inputs'!$B$8:$B$911,$B22)</f>
        <v>397685.95896752545</v>
      </c>
      <c r="D22" s="207">
        <f>SUMIFS('Non-labour_inputs'!GI$8:GI$911,'Non-labour_inputs'!$B$8:$B$911,$B22)</f>
        <v>0</v>
      </c>
      <c r="E22" s="207">
        <f>SUMIFS('Non-labour_inputs'!GJ$8:GJ$911,'Non-labour_inputs'!$B$8:$B$911,$B22)</f>
        <v>0</v>
      </c>
      <c r="F22" s="207">
        <f>SUMIFS('Non-labour_inputs'!GK$8:GK$911,'Non-labour_inputs'!$B$8:$B$911,$B22)</f>
        <v>0</v>
      </c>
      <c r="G22" s="207">
        <f>SUMIFS('Non-labour_inputs'!GL$8:GL$911,'Non-labour_inputs'!$B$8:$B$911,$B22)</f>
        <v>0</v>
      </c>
      <c r="H22" s="207">
        <f>SUMIFS('Non-labour_inputs'!GM$8:GM$911,'Non-labour_inputs'!$B$8:$B$911,$B22)</f>
        <v>0</v>
      </c>
      <c r="I22" s="207">
        <f>SUMIFS('Non-labour_inputs'!GN$8:GN$911,'Non-labour_inputs'!$B$8:$B$911,$B22)</f>
        <v>0</v>
      </c>
      <c r="J22" s="207">
        <f t="shared" si="1"/>
        <v>397685.95896752545</v>
      </c>
      <c r="L22" s="207">
        <f>SUMIFS('Non-labour_inputs'!GR$8:GR$911,'Non-labour_inputs'!$B$8:$B$911,$B22)</f>
        <v>390000</v>
      </c>
    </row>
    <row r="23" spans="2:13" s="65" customFormat="1" ht="12.75" x14ac:dyDescent="0.2">
      <c r="B23" s="206" t="str">
        <v>Transaction Procurement Support</v>
      </c>
      <c r="C23" s="207">
        <f>SUMIFS('Non-labour_inputs'!GH$8:GH$911,'Non-labour_inputs'!$B$8:$B$911,$B23)</f>
        <v>76472.970494280948</v>
      </c>
      <c r="D23" s="207">
        <f>SUMIFS('Non-labour_inputs'!GI$8:GI$911,'Non-labour_inputs'!$B$8:$B$911,$B23)</f>
        <v>0</v>
      </c>
      <c r="E23" s="207">
        <f>SUMIFS('Non-labour_inputs'!GJ$8:GJ$911,'Non-labour_inputs'!$B$8:$B$911,$B23)</f>
        <v>0</v>
      </c>
      <c r="F23" s="207">
        <f>SUMIFS('Non-labour_inputs'!GK$8:GK$911,'Non-labour_inputs'!$B$8:$B$911,$B23)</f>
        <v>0</v>
      </c>
      <c r="G23" s="207">
        <f>SUMIFS('Non-labour_inputs'!GL$8:GL$911,'Non-labour_inputs'!$B$8:$B$911,$B23)</f>
        <v>0</v>
      </c>
      <c r="H23" s="207">
        <f>SUMIFS('Non-labour_inputs'!GM$8:GM$911,'Non-labour_inputs'!$B$8:$B$911,$B23)</f>
        <v>0</v>
      </c>
      <c r="I23" s="207">
        <f>SUMIFS('Non-labour_inputs'!GN$8:GN$911,'Non-labour_inputs'!$B$8:$B$911,$B23)</f>
        <v>0</v>
      </c>
      <c r="J23" s="207">
        <f t="shared" si="1"/>
        <v>76472.970494280948</v>
      </c>
      <c r="L23" s="207">
        <f>SUMIFS('Non-labour_inputs'!GR$8:GR$911,'Non-labour_inputs'!$B$8:$B$911,$B23)</f>
        <v>74995</v>
      </c>
    </row>
    <row r="24" spans="2:13" s="65" customFormat="1" ht="12.75" x14ac:dyDescent="0.2">
      <c r="B24" s="208" t="s">
        <v>133</v>
      </c>
      <c r="C24" s="209">
        <f t="shared" ref="C24:I24" si="2">SUM(C11:C23)</f>
        <v>11881871.103045873</v>
      </c>
      <c r="D24" s="209">
        <f t="shared" si="2"/>
        <v>5844343.8541195448</v>
      </c>
      <c r="E24" s="209">
        <f t="shared" si="2"/>
        <v>6588423.2212676732</v>
      </c>
      <c r="F24" s="209">
        <f t="shared" si="2"/>
        <v>2600656.7434781427</v>
      </c>
      <c r="G24" s="209">
        <f t="shared" si="2"/>
        <v>0</v>
      </c>
      <c r="H24" s="209">
        <f t="shared" si="2"/>
        <v>0</v>
      </c>
      <c r="I24" s="209">
        <f t="shared" si="2"/>
        <v>0</v>
      </c>
      <c r="J24" s="209">
        <f t="shared" si="0"/>
        <v>26915294.921911236</v>
      </c>
      <c r="L24" s="209">
        <f t="shared" ref="L24" si="3">SUM(L11:L23)</f>
        <v>7453979.568635609</v>
      </c>
    </row>
    <row r="25" spans="2:13" s="65" customFormat="1" ht="12.75" x14ac:dyDescent="0.2"/>
    <row r="26" spans="2:13" s="65" customFormat="1" ht="16.5" x14ac:dyDescent="0.2">
      <c r="B26" s="206" t="s">
        <v>134</v>
      </c>
      <c r="C26" s="159" t="str">
        <f>IF(ROUND(C24,0)=ROUND(SUM('Non-labour_inputs'!GH8:GH36),0),"OK","ERROR")</f>
        <v>OK</v>
      </c>
      <c r="D26" s="159" t="str">
        <f>IF(ROUND(D24,0)=ROUND(SUM('Non-labour_inputs'!GI8:GI36),0),"OK","ERROR")</f>
        <v>OK</v>
      </c>
      <c r="E26" s="159" t="str">
        <f>IF(ROUND(E24,0)=ROUND(SUM('Non-labour_inputs'!GJ8:GJ36),0),"OK","ERROR")</f>
        <v>OK</v>
      </c>
      <c r="F26" s="159" t="str">
        <f>IF(ROUND(F24,0)=ROUND(SUM('Non-labour_inputs'!GK8:GK36),0),"OK","ERROR")</f>
        <v>OK</v>
      </c>
      <c r="G26" s="159" t="str">
        <f>IF(ROUND(G24,0)=ROUND(SUM('Non-labour_inputs'!GL8:GL36),0),"OK","ERROR")</f>
        <v>OK</v>
      </c>
      <c r="H26" s="159" t="str">
        <f>IF(ROUND(H24,0)=ROUND(SUM('Non-labour_inputs'!GM8:GM36),0),"OK","ERROR")</f>
        <v>OK</v>
      </c>
      <c r="I26" s="159" t="str">
        <f>IF(ROUND(I24,0)=ROUND(SUM('Non-labour_inputs'!GN8:GN36),0),"OK","ERROR")</f>
        <v>OK</v>
      </c>
      <c r="L26" s="159" t="str">
        <f>IF(ROUND(L24,0)=ROUND(SUM('Non-labour_inputs'!GR8:GR36),0),"OK","ERROR")</f>
        <v>OK</v>
      </c>
    </row>
    <row r="27" spans="2:13" s="65" customFormat="1" ht="12.75" x14ac:dyDescent="0.2"/>
    <row r="28" spans="2:13" s="65" customFormat="1" ht="12.75" x14ac:dyDescent="0.2">
      <c r="B28" s="118" t="s">
        <v>178</v>
      </c>
      <c r="C28" s="118"/>
      <c r="D28" s="118"/>
      <c r="E28" s="132" t="str">
        <f>"(Real "&amp;'Key assumptions'!$D$11&amp;")"</f>
        <v>(Real $RY2026)</v>
      </c>
      <c r="F28" s="118"/>
      <c r="G28" s="118"/>
      <c r="H28" s="118"/>
      <c r="I28" s="118"/>
      <c r="J28" s="118"/>
      <c r="L28" s="118"/>
    </row>
    <row r="29" spans="2:13" s="65" customFormat="1" ht="12.75" x14ac:dyDescent="0.2">
      <c r="B29" s="87"/>
    </row>
    <row r="30" spans="2:13" s="65" customFormat="1" ht="25.5" x14ac:dyDescent="0.2">
      <c r="B30" s="136" t="s">
        <v>131</v>
      </c>
      <c r="C30" s="140" t="str" cm="1">
        <f t="array" ref="C30:I30">model_forecastperiod</f>
        <v>RY2026
01Feb-30Sep</v>
      </c>
      <c r="D30" s="140" t="str">
        <v>RY2027</v>
      </c>
      <c r="E30" s="140" t="str">
        <v>RY2028</v>
      </c>
      <c r="F30" s="140" t="str">
        <v>RY2029</v>
      </c>
      <c r="G30" s="140" t="str">
        <v>RY2030</v>
      </c>
      <c r="H30" s="140" t="str">
        <v>RY2031</v>
      </c>
      <c r="I30" s="140" t="str">
        <v>RY2032</v>
      </c>
      <c r="J30" s="140" t="s">
        <v>133</v>
      </c>
      <c r="K30" s="153"/>
      <c r="L30" s="140"/>
      <c r="M30" s="153"/>
    </row>
    <row r="31" spans="2:13" s="65" customFormat="1" ht="12.75" x14ac:dyDescent="0.2">
      <c r="B31" s="206" t="str">
        <f>B11</f>
        <v>Community and Stakeholder Engagement</v>
      </c>
      <c r="C31" s="207">
        <f t="shared" ref="C31:I43" si="4">C11*nonlab_direct</f>
        <v>0</v>
      </c>
      <c r="D31" s="207">
        <f t="shared" si="4"/>
        <v>0</v>
      </c>
      <c r="E31" s="207">
        <f t="shared" si="4"/>
        <v>0</v>
      </c>
      <c r="F31" s="207">
        <f t="shared" si="4"/>
        <v>0</v>
      </c>
      <c r="G31" s="207">
        <f t="shared" si="4"/>
        <v>0</v>
      </c>
      <c r="H31" s="207">
        <f t="shared" si="4"/>
        <v>0</v>
      </c>
      <c r="I31" s="207">
        <f t="shared" si="4"/>
        <v>0</v>
      </c>
      <c r="J31" s="207">
        <f t="shared" ref="J31:J44" si="5">SUM(C31:I31)</f>
        <v>0</v>
      </c>
      <c r="L31" s="207">
        <f t="shared" ref="L31" si="6">L11*nonlab_direct</f>
        <v>0</v>
      </c>
    </row>
    <row r="32" spans="2:13" s="65" customFormat="1" ht="12.75" x14ac:dyDescent="0.2">
      <c r="B32" s="206" t="str">
        <f t="shared" ref="B32:B43" si="7">B12</f>
        <v>Fleet</v>
      </c>
      <c r="C32" s="207">
        <f t="shared" si="4"/>
        <v>0</v>
      </c>
      <c r="D32" s="207">
        <f t="shared" si="4"/>
        <v>0</v>
      </c>
      <c r="E32" s="207">
        <f t="shared" si="4"/>
        <v>0</v>
      </c>
      <c r="F32" s="207">
        <f t="shared" si="4"/>
        <v>0</v>
      </c>
      <c r="G32" s="207">
        <f t="shared" si="4"/>
        <v>0</v>
      </c>
      <c r="H32" s="207">
        <f t="shared" si="4"/>
        <v>0</v>
      </c>
      <c r="I32" s="207">
        <f t="shared" si="4"/>
        <v>0</v>
      </c>
      <c r="J32" s="207">
        <f t="shared" ref="J32:J43" si="8">SUM(C32:I32)</f>
        <v>0</v>
      </c>
      <c r="L32" s="207">
        <f t="shared" ref="L32" si="9">L12*nonlab_direct</f>
        <v>0</v>
      </c>
    </row>
    <row r="33" spans="2:12" s="65" customFormat="1" ht="12.75" x14ac:dyDescent="0.2">
      <c r="B33" s="206" t="str">
        <f t="shared" si="7"/>
        <v>Land and Environment</v>
      </c>
      <c r="C33" s="207">
        <f t="shared" si="4"/>
        <v>0</v>
      </c>
      <c r="D33" s="207">
        <f t="shared" si="4"/>
        <v>0</v>
      </c>
      <c r="E33" s="207">
        <f t="shared" si="4"/>
        <v>0</v>
      </c>
      <c r="F33" s="207">
        <f t="shared" si="4"/>
        <v>0</v>
      </c>
      <c r="G33" s="207">
        <f t="shared" si="4"/>
        <v>0</v>
      </c>
      <c r="H33" s="207">
        <f t="shared" si="4"/>
        <v>0</v>
      </c>
      <c r="I33" s="207">
        <f t="shared" si="4"/>
        <v>0</v>
      </c>
      <c r="J33" s="207">
        <f t="shared" si="8"/>
        <v>0</v>
      </c>
      <c r="L33" s="207">
        <f t="shared" ref="L33" si="10">L13*nonlab_direct</f>
        <v>0</v>
      </c>
    </row>
    <row r="34" spans="2:12" s="65" customFormat="1" ht="12.75" x14ac:dyDescent="0.2">
      <c r="B34" s="206" t="str">
        <f t="shared" si="7"/>
        <v>Other Support &amp; Corporate Roles</v>
      </c>
      <c r="C34" s="207">
        <f t="shared" si="4"/>
        <v>0</v>
      </c>
      <c r="D34" s="207">
        <f t="shared" si="4"/>
        <v>0</v>
      </c>
      <c r="E34" s="207">
        <f t="shared" si="4"/>
        <v>0</v>
      </c>
      <c r="F34" s="207">
        <f t="shared" si="4"/>
        <v>0</v>
      </c>
      <c r="G34" s="207">
        <f t="shared" si="4"/>
        <v>0</v>
      </c>
      <c r="H34" s="207">
        <f t="shared" si="4"/>
        <v>0</v>
      </c>
      <c r="I34" s="207">
        <f t="shared" si="4"/>
        <v>0</v>
      </c>
      <c r="J34" s="207">
        <f t="shared" si="8"/>
        <v>0</v>
      </c>
      <c r="L34" s="207">
        <f t="shared" ref="L34" si="11">L14*nonlab_direct</f>
        <v>0</v>
      </c>
    </row>
    <row r="35" spans="2:12" s="65" customFormat="1" ht="12.75" x14ac:dyDescent="0.2">
      <c r="B35" s="206" t="str">
        <f t="shared" si="7"/>
        <v>Project Delivery Management - Commercial Management</v>
      </c>
      <c r="C35" s="207">
        <f t="shared" si="4"/>
        <v>0</v>
      </c>
      <c r="D35" s="207">
        <f t="shared" si="4"/>
        <v>0</v>
      </c>
      <c r="E35" s="207">
        <f t="shared" si="4"/>
        <v>0</v>
      </c>
      <c r="F35" s="207">
        <f t="shared" si="4"/>
        <v>0</v>
      </c>
      <c r="G35" s="207">
        <f t="shared" si="4"/>
        <v>0</v>
      </c>
      <c r="H35" s="207">
        <f t="shared" si="4"/>
        <v>0</v>
      </c>
      <c r="I35" s="207">
        <f t="shared" si="4"/>
        <v>0</v>
      </c>
      <c r="J35" s="207">
        <f t="shared" si="8"/>
        <v>0</v>
      </c>
      <c r="L35" s="207">
        <f t="shared" ref="L35" si="12">L15*nonlab_direct</f>
        <v>0</v>
      </c>
    </row>
    <row r="36" spans="2:12" s="65" customFormat="1" ht="12.75" x14ac:dyDescent="0.2">
      <c r="B36" s="206" t="str">
        <f t="shared" si="7"/>
        <v>Project Delivery Management - Commissioning</v>
      </c>
      <c r="C36" s="207">
        <f t="shared" si="4"/>
        <v>0</v>
      </c>
      <c r="D36" s="207">
        <f t="shared" si="4"/>
        <v>0</v>
      </c>
      <c r="E36" s="207">
        <f t="shared" si="4"/>
        <v>0</v>
      </c>
      <c r="F36" s="207">
        <f t="shared" si="4"/>
        <v>0</v>
      </c>
      <c r="G36" s="207">
        <f t="shared" si="4"/>
        <v>0</v>
      </c>
      <c r="H36" s="207">
        <f t="shared" si="4"/>
        <v>0</v>
      </c>
      <c r="I36" s="207">
        <f t="shared" si="4"/>
        <v>0</v>
      </c>
      <c r="J36" s="207">
        <f t="shared" si="8"/>
        <v>0</v>
      </c>
      <c r="L36" s="207">
        <f t="shared" ref="L36" si="13">L16*nonlab_direct</f>
        <v>0</v>
      </c>
    </row>
    <row r="37" spans="2:12" s="65" customFormat="1" ht="12.75" x14ac:dyDescent="0.2">
      <c r="B37" s="206" t="str">
        <f t="shared" si="7"/>
        <v>Project Delivery Management - Construction Management</v>
      </c>
      <c r="C37" s="207">
        <f t="shared" si="4"/>
        <v>0</v>
      </c>
      <c r="D37" s="207">
        <f t="shared" si="4"/>
        <v>0</v>
      </c>
      <c r="E37" s="207">
        <f t="shared" si="4"/>
        <v>0</v>
      </c>
      <c r="F37" s="207">
        <f t="shared" si="4"/>
        <v>0</v>
      </c>
      <c r="G37" s="207">
        <f t="shared" si="4"/>
        <v>0</v>
      </c>
      <c r="H37" s="207">
        <f t="shared" si="4"/>
        <v>0</v>
      </c>
      <c r="I37" s="207">
        <f t="shared" si="4"/>
        <v>0</v>
      </c>
      <c r="J37" s="207">
        <f t="shared" si="8"/>
        <v>0</v>
      </c>
      <c r="L37" s="207">
        <f t="shared" ref="L37" si="14">L17*nonlab_direct</f>
        <v>0</v>
      </c>
    </row>
    <row r="38" spans="2:12" s="65" customFormat="1" ht="12.75" x14ac:dyDescent="0.2">
      <c r="B38" s="206" t="str">
        <f t="shared" si="7"/>
        <v>Project Delivery Management - Project Controls</v>
      </c>
      <c r="C38" s="207">
        <f t="shared" si="4"/>
        <v>0</v>
      </c>
      <c r="D38" s="207">
        <f t="shared" si="4"/>
        <v>0</v>
      </c>
      <c r="E38" s="207">
        <f t="shared" si="4"/>
        <v>0</v>
      </c>
      <c r="F38" s="207">
        <f t="shared" si="4"/>
        <v>0</v>
      </c>
      <c r="G38" s="207">
        <f t="shared" si="4"/>
        <v>0</v>
      </c>
      <c r="H38" s="207">
        <f t="shared" si="4"/>
        <v>0</v>
      </c>
      <c r="I38" s="207">
        <f t="shared" si="4"/>
        <v>0</v>
      </c>
      <c r="J38" s="207">
        <f t="shared" si="8"/>
        <v>0</v>
      </c>
      <c r="L38" s="207">
        <f t="shared" ref="L38" si="15">L18*nonlab_direct</f>
        <v>0</v>
      </c>
    </row>
    <row r="39" spans="2:12" s="65" customFormat="1" ht="12.75" x14ac:dyDescent="0.2">
      <c r="B39" s="206" t="str">
        <f t="shared" si="7"/>
        <v>Project Delivery Management - Project Engineering</v>
      </c>
      <c r="C39" s="207">
        <f t="shared" si="4"/>
        <v>0</v>
      </c>
      <c r="D39" s="207">
        <f t="shared" si="4"/>
        <v>0</v>
      </c>
      <c r="E39" s="207">
        <f t="shared" si="4"/>
        <v>0</v>
      </c>
      <c r="F39" s="207">
        <f t="shared" si="4"/>
        <v>0</v>
      </c>
      <c r="G39" s="207">
        <f t="shared" si="4"/>
        <v>0</v>
      </c>
      <c r="H39" s="207">
        <f t="shared" si="4"/>
        <v>0</v>
      </c>
      <c r="I39" s="207">
        <f t="shared" si="4"/>
        <v>0</v>
      </c>
      <c r="J39" s="207">
        <f t="shared" si="8"/>
        <v>0</v>
      </c>
      <c r="L39" s="207">
        <f t="shared" ref="L39" si="16">L19*nonlab_direct</f>
        <v>0</v>
      </c>
    </row>
    <row r="40" spans="2:12" s="65" customFormat="1" ht="12.75" x14ac:dyDescent="0.2">
      <c r="B40" s="206" t="str">
        <f t="shared" si="7"/>
        <v>Project Delivery Management - Project Management</v>
      </c>
      <c r="C40" s="207">
        <f t="shared" si="4"/>
        <v>0</v>
      </c>
      <c r="D40" s="207">
        <f t="shared" si="4"/>
        <v>0</v>
      </c>
      <c r="E40" s="207">
        <f t="shared" si="4"/>
        <v>0</v>
      </c>
      <c r="F40" s="207">
        <f t="shared" si="4"/>
        <v>0</v>
      </c>
      <c r="G40" s="207">
        <f t="shared" si="4"/>
        <v>0</v>
      </c>
      <c r="H40" s="207">
        <f t="shared" si="4"/>
        <v>0</v>
      </c>
      <c r="I40" s="207">
        <f t="shared" si="4"/>
        <v>0</v>
      </c>
      <c r="J40" s="207">
        <f t="shared" si="8"/>
        <v>0</v>
      </c>
      <c r="L40" s="207">
        <f t="shared" ref="L40" si="17">L20*nonlab_direct</f>
        <v>0</v>
      </c>
    </row>
    <row r="41" spans="2:12" s="65" customFormat="1" ht="12.75" x14ac:dyDescent="0.2">
      <c r="B41" s="206" t="str">
        <f t="shared" si="7"/>
        <v>Project Development</v>
      </c>
      <c r="C41" s="207">
        <f t="shared" si="4"/>
        <v>0</v>
      </c>
      <c r="D41" s="207">
        <f t="shared" si="4"/>
        <v>0</v>
      </c>
      <c r="E41" s="207">
        <f t="shared" si="4"/>
        <v>0</v>
      </c>
      <c r="F41" s="207">
        <f t="shared" si="4"/>
        <v>0</v>
      </c>
      <c r="G41" s="207">
        <f t="shared" si="4"/>
        <v>0</v>
      </c>
      <c r="H41" s="207">
        <f t="shared" si="4"/>
        <v>0</v>
      </c>
      <c r="I41" s="207">
        <f t="shared" si="4"/>
        <v>0</v>
      </c>
      <c r="J41" s="207">
        <f t="shared" si="8"/>
        <v>0</v>
      </c>
      <c r="L41" s="207">
        <f t="shared" ref="L41" si="18">L21*nonlab_direct</f>
        <v>0</v>
      </c>
    </row>
    <row r="42" spans="2:12" s="65" customFormat="1" ht="12.75" x14ac:dyDescent="0.2">
      <c r="B42" s="206" t="str">
        <f t="shared" si="7"/>
        <v>Regulatory Approvals</v>
      </c>
      <c r="C42" s="207">
        <f t="shared" si="4"/>
        <v>0</v>
      </c>
      <c r="D42" s="207">
        <f t="shared" si="4"/>
        <v>0</v>
      </c>
      <c r="E42" s="207">
        <f t="shared" si="4"/>
        <v>0</v>
      </c>
      <c r="F42" s="207">
        <f t="shared" si="4"/>
        <v>0</v>
      </c>
      <c r="G42" s="207">
        <f t="shared" si="4"/>
        <v>0</v>
      </c>
      <c r="H42" s="207">
        <f t="shared" si="4"/>
        <v>0</v>
      </c>
      <c r="I42" s="207">
        <f t="shared" si="4"/>
        <v>0</v>
      </c>
      <c r="J42" s="207">
        <f t="shared" si="8"/>
        <v>0</v>
      </c>
      <c r="L42" s="207">
        <f t="shared" ref="L42" si="19">L22*nonlab_direct</f>
        <v>0</v>
      </c>
    </row>
    <row r="43" spans="2:12" s="65" customFormat="1" ht="12.75" x14ac:dyDescent="0.2">
      <c r="B43" s="206" t="str">
        <f t="shared" si="7"/>
        <v>Transaction Procurement Support</v>
      </c>
      <c r="C43" s="207">
        <f t="shared" si="4"/>
        <v>0</v>
      </c>
      <c r="D43" s="207">
        <f t="shared" si="4"/>
        <v>0</v>
      </c>
      <c r="E43" s="207">
        <f t="shared" si="4"/>
        <v>0</v>
      </c>
      <c r="F43" s="207">
        <f t="shared" si="4"/>
        <v>0</v>
      </c>
      <c r="G43" s="207">
        <f t="shared" si="4"/>
        <v>0</v>
      </c>
      <c r="H43" s="207">
        <f t="shared" si="4"/>
        <v>0</v>
      </c>
      <c r="I43" s="207">
        <f t="shared" si="4"/>
        <v>0</v>
      </c>
      <c r="J43" s="207">
        <f t="shared" si="8"/>
        <v>0</v>
      </c>
      <c r="L43" s="207">
        <f t="shared" ref="L43" si="20">L23*nonlab_direct</f>
        <v>0</v>
      </c>
    </row>
    <row r="44" spans="2:12" s="65" customFormat="1" ht="12.75" x14ac:dyDescent="0.2">
      <c r="B44" s="208" t="s">
        <v>133</v>
      </c>
      <c r="C44" s="209">
        <f t="shared" ref="C44" si="21">SUM(C31:C43)</f>
        <v>0</v>
      </c>
      <c r="D44" s="209">
        <f t="shared" ref="D44" si="22">SUM(D31:D43)</f>
        <v>0</v>
      </c>
      <c r="E44" s="209">
        <f t="shared" ref="E44" si="23">SUM(E31:E43)</f>
        <v>0</v>
      </c>
      <c r="F44" s="209">
        <f t="shared" ref="F44" si="24">SUM(F31:F43)</f>
        <v>0</v>
      </c>
      <c r="G44" s="209">
        <f t="shared" ref="G44" si="25">SUM(G31:G43)</f>
        <v>0</v>
      </c>
      <c r="H44" s="209">
        <f t="shared" ref="H44" si="26">SUM(H31:H43)</f>
        <v>0</v>
      </c>
      <c r="I44" s="209">
        <f t="shared" ref="I44" si="27">SUM(I31:I43)</f>
        <v>0</v>
      </c>
      <c r="J44" s="209">
        <f t="shared" si="5"/>
        <v>0</v>
      </c>
      <c r="L44" s="209">
        <f t="shared" ref="L44" si="28">SUM(L31:L43)</f>
        <v>0</v>
      </c>
    </row>
    <row r="45" spans="2:12" s="65" customFormat="1" ht="12.75" x14ac:dyDescent="0.2"/>
    <row r="46" spans="2:12" s="65" customFormat="1" ht="16.5" x14ac:dyDescent="0.2">
      <c r="B46" s="206" t="s">
        <v>134</v>
      </c>
      <c r="C46" s="159" t="str">
        <f t="shared" ref="C46:I46" si="29">IF(ROUND(C44-C24*nonlab_direct,3)=0,"OK","ERROR")</f>
        <v>OK</v>
      </c>
      <c r="D46" s="159" t="str">
        <f t="shared" si="29"/>
        <v>OK</v>
      </c>
      <c r="E46" s="159" t="str">
        <f t="shared" si="29"/>
        <v>OK</v>
      </c>
      <c r="F46" s="159" t="str">
        <f t="shared" si="29"/>
        <v>OK</v>
      </c>
      <c r="G46" s="159" t="str">
        <f t="shared" si="29"/>
        <v>OK</v>
      </c>
      <c r="H46" s="159" t="str">
        <f t="shared" si="29"/>
        <v>OK</v>
      </c>
      <c r="I46" s="159" t="str">
        <f t="shared" si="29"/>
        <v>OK</v>
      </c>
      <c r="L46" s="159" t="str">
        <f t="shared" ref="L46" si="30">IF(ROUND(L44-L24*nonlab_direct,3)=0,"OK","ERROR")</f>
        <v>OK</v>
      </c>
    </row>
    <row r="47" spans="2:12" s="65" customFormat="1" ht="12.75" x14ac:dyDescent="0.2"/>
    <row r="48" spans="2:12" s="65" customFormat="1" ht="12.75" x14ac:dyDescent="0.2">
      <c r="B48" s="118" t="s">
        <v>179</v>
      </c>
      <c r="C48" s="118"/>
      <c r="D48" s="118"/>
      <c r="E48" s="132" t="str">
        <f>"(Real "&amp;'Key assumptions'!$D$11&amp;")"</f>
        <v>(Real $RY2026)</v>
      </c>
      <c r="F48" s="118"/>
      <c r="G48" s="118"/>
      <c r="H48" s="118"/>
      <c r="I48" s="118"/>
      <c r="J48" s="118"/>
      <c r="L48" s="118"/>
    </row>
    <row r="49" spans="2:12" s="65" customFormat="1" ht="12.75" x14ac:dyDescent="0.2">
      <c r="B49" s="87"/>
    </row>
    <row r="50" spans="2:12" s="65" customFormat="1" ht="25.5" x14ac:dyDescent="0.2">
      <c r="B50" s="136" t="s">
        <v>131</v>
      </c>
      <c r="C50" s="140" t="str" cm="1">
        <f t="array" ref="C50:I50">model_forecastperiod</f>
        <v>RY2026
01Feb-30Sep</v>
      </c>
      <c r="D50" s="140" t="str">
        <v>RY2027</v>
      </c>
      <c r="E50" s="140" t="str">
        <v>RY2028</v>
      </c>
      <c r="F50" s="140" t="str">
        <v>RY2029</v>
      </c>
      <c r="G50" s="140" t="str">
        <v>RY2030</v>
      </c>
      <c r="H50" s="140" t="str">
        <v>RY2031</v>
      </c>
      <c r="I50" s="140" t="str">
        <v>RY2032</v>
      </c>
      <c r="J50" s="140" t="s">
        <v>133</v>
      </c>
      <c r="L50" s="140"/>
    </row>
    <row r="51" spans="2:12" s="65" customFormat="1" ht="12.75" x14ac:dyDescent="0.2">
      <c r="B51" s="206" t="str">
        <f>B11</f>
        <v>Community and Stakeholder Engagement</v>
      </c>
      <c r="C51" s="207">
        <f t="shared" ref="C51:I51" si="31">C11-C31</f>
        <v>0</v>
      </c>
      <c r="D51" s="207">
        <f t="shared" si="31"/>
        <v>0</v>
      </c>
      <c r="E51" s="207">
        <f t="shared" si="31"/>
        <v>0</v>
      </c>
      <c r="F51" s="207">
        <f t="shared" si="31"/>
        <v>0</v>
      </c>
      <c r="G51" s="207">
        <f t="shared" si="31"/>
        <v>0</v>
      </c>
      <c r="H51" s="207">
        <f t="shared" si="31"/>
        <v>0</v>
      </c>
      <c r="I51" s="207">
        <f t="shared" si="31"/>
        <v>0</v>
      </c>
      <c r="J51" s="207">
        <f t="shared" ref="J51:J64" si="32">SUM(C51:I51)</f>
        <v>0</v>
      </c>
      <c r="L51" s="207">
        <f t="shared" ref="L51" si="33">L11-L31</f>
        <v>0</v>
      </c>
    </row>
    <row r="52" spans="2:12" s="65" customFormat="1" ht="12.75" x14ac:dyDescent="0.2">
      <c r="B52" s="206" t="str">
        <f t="shared" ref="B52:B63" si="34">B12</f>
        <v>Fleet</v>
      </c>
      <c r="C52" s="207">
        <f t="shared" ref="C52:I52" si="35">C12-C32</f>
        <v>9483.2805599948369</v>
      </c>
      <c r="D52" s="207">
        <f t="shared" si="35"/>
        <v>44415.361810343005</v>
      </c>
      <c r="E52" s="207">
        <f t="shared" si="35"/>
        <v>0</v>
      </c>
      <c r="F52" s="207">
        <f t="shared" si="35"/>
        <v>0</v>
      </c>
      <c r="G52" s="207">
        <f t="shared" si="35"/>
        <v>0</v>
      </c>
      <c r="H52" s="207">
        <f t="shared" si="35"/>
        <v>0</v>
      </c>
      <c r="I52" s="207">
        <f t="shared" si="35"/>
        <v>0</v>
      </c>
      <c r="J52" s="207">
        <f t="shared" ref="J52:J63" si="36">SUM(C52:I52)</f>
        <v>53898.642370337839</v>
      </c>
      <c r="L52" s="207">
        <f t="shared" ref="L52" si="37">L12-L32</f>
        <v>6700</v>
      </c>
    </row>
    <row r="53" spans="2:12" s="65" customFormat="1" ht="12.75" x14ac:dyDescent="0.2">
      <c r="B53" s="206" t="str">
        <f t="shared" si="34"/>
        <v>Land and Environment</v>
      </c>
      <c r="C53" s="207">
        <f t="shared" ref="C53:I53" si="38">C13-C33</f>
        <v>0</v>
      </c>
      <c r="D53" s="207">
        <f t="shared" si="38"/>
        <v>0</v>
      </c>
      <c r="E53" s="207">
        <f t="shared" si="38"/>
        <v>0</v>
      </c>
      <c r="F53" s="207">
        <f t="shared" si="38"/>
        <v>0</v>
      </c>
      <c r="G53" s="207">
        <f t="shared" si="38"/>
        <v>0</v>
      </c>
      <c r="H53" s="207">
        <f t="shared" si="38"/>
        <v>0</v>
      </c>
      <c r="I53" s="207">
        <f t="shared" si="38"/>
        <v>0</v>
      </c>
      <c r="J53" s="207">
        <f t="shared" si="36"/>
        <v>0</v>
      </c>
      <c r="L53" s="207">
        <f t="shared" ref="L53" si="39">L13-L33</f>
        <v>0</v>
      </c>
    </row>
    <row r="54" spans="2:12" s="65" customFormat="1" ht="12.75" x14ac:dyDescent="0.2">
      <c r="B54" s="206" t="str">
        <f t="shared" si="34"/>
        <v>Other Support &amp; Corporate Roles</v>
      </c>
      <c r="C54" s="207">
        <f t="shared" ref="C54:I54" si="40">C14-C34</f>
        <v>10115421.452843221</v>
      </c>
      <c r="D54" s="207">
        <f t="shared" si="40"/>
        <v>4916864.2428120421</v>
      </c>
      <c r="E54" s="207">
        <f t="shared" si="40"/>
        <v>6080736.2784350207</v>
      </c>
      <c r="F54" s="207">
        <f t="shared" si="40"/>
        <v>2394581.3521636976</v>
      </c>
      <c r="G54" s="207">
        <f t="shared" si="40"/>
        <v>0</v>
      </c>
      <c r="H54" s="207">
        <f t="shared" si="40"/>
        <v>0</v>
      </c>
      <c r="I54" s="207">
        <f t="shared" si="40"/>
        <v>0</v>
      </c>
      <c r="J54" s="207">
        <f t="shared" si="36"/>
        <v>23507603.326253984</v>
      </c>
      <c r="L54" s="207">
        <f t="shared" ref="L54" si="41">L14-L34</f>
        <v>6295077.568635609</v>
      </c>
    </row>
    <row r="55" spans="2:12" s="65" customFormat="1" ht="12.75" x14ac:dyDescent="0.2">
      <c r="B55" s="206" t="str">
        <f t="shared" si="34"/>
        <v>Project Delivery Management - Commercial Management</v>
      </c>
      <c r="C55" s="207">
        <f t="shared" ref="C55:I55" si="42">C15-C35</f>
        <v>0</v>
      </c>
      <c r="D55" s="207">
        <f t="shared" si="42"/>
        <v>0</v>
      </c>
      <c r="E55" s="207">
        <f t="shared" si="42"/>
        <v>0</v>
      </c>
      <c r="F55" s="207">
        <f t="shared" si="42"/>
        <v>0</v>
      </c>
      <c r="G55" s="207">
        <f t="shared" si="42"/>
        <v>0</v>
      </c>
      <c r="H55" s="207">
        <f t="shared" si="42"/>
        <v>0</v>
      </c>
      <c r="I55" s="207">
        <f t="shared" si="42"/>
        <v>0</v>
      </c>
      <c r="J55" s="207">
        <f t="shared" si="36"/>
        <v>0</v>
      </c>
      <c r="L55" s="207">
        <f t="shared" ref="L55" si="43">L15-L35</f>
        <v>0</v>
      </c>
    </row>
    <row r="56" spans="2:12" s="65" customFormat="1" ht="12.75" x14ac:dyDescent="0.2">
      <c r="B56" s="206" t="str">
        <f t="shared" si="34"/>
        <v>Project Delivery Management - Commissioning</v>
      </c>
      <c r="C56" s="207">
        <f t="shared" ref="C56:I56" si="44">C16-C36</f>
        <v>0</v>
      </c>
      <c r="D56" s="207">
        <f t="shared" si="44"/>
        <v>0</v>
      </c>
      <c r="E56" s="207">
        <f t="shared" si="44"/>
        <v>0</v>
      </c>
      <c r="F56" s="207">
        <f t="shared" si="44"/>
        <v>0</v>
      </c>
      <c r="G56" s="207">
        <f t="shared" si="44"/>
        <v>0</v>
      </c>
      <c r="H56" s="207">
        <f t="shared" si="44"/>
        <v>0</v>
      </c>
      <c r="I56" s="207">
        <f t="shared" si="44"/>
        <v>0</v>
      </c>
      <c r="J56" s="207">
        <f t="shared" si="36"/>
        <v>0</v>
      </c>
      <c r="L56" s="207">
        <f t="shared" ref="L56" si="45">L16-L36</f>
        <v>0</v>
      </c>
    </row>
    <row r="57" spans="2:12" s="65" customFormat="1" ht="12.75" x14ac:dyDescent="0.2">
      <c r="B57" s="206" t="str">
        <f t="shared" si="34"/>
        <v>Project Delivery Management - Construction Management</v>
      </c>
      <c r="C57" s="207">
        <f t="shared" ref="C57:I57" si="46">C17-C37</f>
        <v>0</v>
      </c>
      <c r="D57" s="207">
        <f t="shared" si="46"/>
        <v>0</v>
      </c>
      <c r="E57" s="207">
        <f t="shared" si="46"/>
        <v>0</v>
      </c>
      <c r="F57" s="207">
        <f t="shared" si="46"/>
        <v>0</v>
      </c>
      <c r="G57" s="207">
        <f t="shared" si="46"/>
        <v>0</v>
      </c>
      <c r="H57" s="207">
        <f t="shared" si="46"/>
        <v>0</v>
      </c>
      <c r="I57" s="207">
        <f t="shared" si="46"/>
        <v>0</v>
      </c>
      <c r="J57" s="207">
        <f t="shared" si="36"/>
        <v>0</v>
      </c>
      <c r="L57" s="207">
        <f t="shared" ref="L57" si="47">L17-L37</f>
        <v>0</v>
      </c>
    </row>
    <row r="58" spans="2:12" s="65" customFormat="1" ht="12.75" x14ac:dyDescent="0.2">
      <c r="B58" s="206" t="str">
        <f t="shared" si="34"/>
        <v>Project Delivery Management - Project Controls</v>
      </c>
      <c r="C58" s="207">
        <f t="shared" ref="C58:I58" si="48">C18-C38</f>
        <v>0</v>
      </c>
      <c r="D58" s="207">
        <f t="shared" si="48"/>
        <v>0</v>
      </c>
      <c r="E58" s="207">
        <f t="shared" si="48"/>
        <v>0</v>
      </c>
      <c r="F58" s="207">
        <f t="shared" si="48"/>
        <v>0</v>
      </c>
      <c r="G58" s="207">
        <f t="shared" si="48"/>
        <v>0</v>
      </c>
      <c r="H58" s="207">
        <f t="shared" si="48"/>
        <v>0</v>
      </c>
      <c r="I58" s="207">
        <f t="shared" si="48"/>
        <v>0</v>
      </c>
      <c r="J58" s="207">
        <f t="shared" si="36"/>
        <v>0</v>
      </c>
      <c r="L58" s="207">
        <f t="shared" ref="L58" si="49">L18-L38</f>
        <v>0</v>
      </c>
    </row>
    <row r="59" spans="2:12" s="65" customFormat="1" ht="12.75" x14ac:dyDescent="0.2">
      <c r="B59" s="206" t="str">
        <f t="shared" si="34"/>
        <v>Project Delivery Management - Project Engineering</v>
      </c>
      <c r="C59" s="207">
        <f t="shared" ref="C59:I59" si="50">C19-C39</f>
        <v>0</v>
      </c>
      <c r="D59" s="207">
        <f t="shared" si="50"/>
        <v>0</v>
      </c>
      <c r="E59" s="207">
        <f t="shared" si="50"/>
        <v>0</v>
      </c>
      <c r="F59" s="207">
        <f t="shared" si="50"/>
        <v>0</v>
      </c>
      <c r="G59" s="207">
        <f t="shared" si="50"/>
        <v>0</v>
      </c>
      <c r="H59" s="207">
        <f t="shared" si="50"/>
        <v>0</v>
      </c>
      <c r="I59" s="207">
        <f t="shared" si="50"/>
        <v>0</v>
      </c>
      <c r="J59" s="207">
        <f t="shared" si="36"/>
        <v>0</v>
      </c>
      <c r="L59" s="207">
        <f t="shared" ref="L59" si="51">L19-L39</f>
        <v>0</v>
      </c>
    </row>
    <row r="60" spans="2:12" s="65" customFormat="1" ht="12.75" x14ac:dyDescent="0.2">
      <c r="B60" s="206" t="str">
        <f t="shared" si="34"/>
        <v>Project Delivery Management - Project Management</v>
      </c>
      <c r="C60" s="207">
        <f t="shared" ref="C60:I60" si="52">C20-C40</f>
        <v>269202.80299340183</v>
      </c>
      <c r="D60" s="207">
        <f t="shared" si="52"/>
        <v>521140.24524135789</v>
      </c>
      <c r="E60" s="207">
        <f t="shared" si="52"/>
        <v>507686.94283265236</v>
      </c>
      <c r="F60" s="207">
        <f t="shared" si="52"/>
        <v>206075.39131444503</v>
      </c>
      <c r="G60" s="207">
        <f t="shared" si="52"/>
        <v>0</v>
      </c>
      <c r="H60" s="207">
        <f t="shared" si="52"/>
        <v>0</v>
      </c>
      <c r="I60" s="207">
        <f t="shared" si="52"/>
        <v>0</v>
      </c>
      <c r="J60" s="207">
        <f t="shared" si="36"/>
        <v>1504105.3823818571</v>
      </c>
      <c r="L60" s="207">
        <f t="shared" ref="L60" si="53">L20-L40</f>
        <v>132000</v>
      </c>
    </row>
    <row r="61" spans="2:12" s="65" customFormat="1" ht="12.75" x14ac:dyDescent="0.2">
      <c r="B61" s="206" t="str">
        <f t="shared" si="34"/>
        <v>Project Development</v>
      </c>
      <c r="C61" s="207">
        <f t="shared" ref="C61:I61" si="54">C21-C41</f>
        <v>1013604.6371874483</v>
      </c>
      <c r="D61" s="207">
        <f t="shared" si="54"/>
        <v>361924.00425580121</v>
      </c>
      <c r="E61" s="207">
        <f t="shared" si="54"/>
        <v>0</v>
      </c>
      <c r="F61" s="207">
        <f t="shared" si="54"/>
        <v>0</v>
      </c>
      <c r="G61" s="207">
        <f t="shared" si="54"/>
        <v>0</v>
      </c>
      <c r="H61" s="207">
        <f t="shared" si="54"/>
        <v>0</v>
      </c>
      <c r="I61" s="207">
        <f t="shared" si="54"/>
        <v>0</v>
      </c>
      <c r="J61" s="207">
        <f t="shared" si="36"/>
        <v>1375528.6414432495</v>
      </c>
      <c r="L61" s="207">
        <f t="shared" ref="L61" si="55">L21-L41</f>
        <v>555207</v>
      </c>
    </row>
    <row r="62" spans="2:12" s="65" customFormat="1" ht="12.75" x14ac:dyDescent="0.2">
      <c r="B62" s="206" t="str">
        <f t="shared" si="34"/>
        <v>Regulatory Approvals</v>
      </c>
      <c r="C62" s="207">
        <f t="shared" ref="C62:I62" si="56">C22-C42</f>
        <v>397685.95896752545</v>
      </c>
      <c r="D62" s="207">
        <f t="shared" si="56"/>
        <v>0</v>
      </c>
      <c r="E62" s="207">
        <f t="shared" si="56"/>
        <v>0</v>
      </c>
      <c r="F62" s="207">
        <f t="shared" si="56"/>
        <v>0</v>
      </c>
      <c r="G62" s="207">
        <f t="shared" si="56"/>
        <v>0</v>
      </c>
      <c r="H62" s="207">
        <f t="shared" si="56"/>
        <v>0</v>
      </c>
      <c r="I62" s="207">
        <f t="shared" si="56"/>
        <v>0</v>
      </c>
      <c r="J62" s="207">
        <f t="shared" si="36"/>
        <v>397685.95896752545</v>
      </c>
      <c r="L62" s="207">
        <f t="shared" ref="L62" si="57">L22-L42</f>
        <v>390000</v>
      </c>
    </row>
    <row r="63" spans="2:12" s="65" customFormat="1" ht="12.75" x14ac:dyDescent="0.2">
      <c r="B63" s="206" t="str">
        <f t="shared" si="34"/>
        <v>Transaction Procurement Support</v>
      </c>
      <c r="C63" s="207">
        <f t="shared" ref="C63:I63" si="58">C23-C43</f>
        <v>76472.970494280948</v>
      </c>
      <c r="D63" s="207">
        <f t="shared" si="58"/>
        <v>0</v>
      </c>
      <c r="E63" s="207">
        <f t="shared" si="58"/>
        <v>0</v>
      </c>
      <c r="F63" s="207">
        <f t="shared" si="58"/>
        <v>0</v>
      </c>
      <c r="G63" s="207">
        <f t="shared" si="58"/>
        <v>0</v>
      </c>
      <c r="H63" s="207">
        <f t="shared" si="58"/>
        <v>0</v>
      </c>
      <c r="I63" s="207">
        <f t="shared" si="58"/>
        <v>0</v>
      </c>
      <c r="J63" s="207">
        <f t="shared" si="36"/>
        <v>76472.970494280948</v>
      </c>
      <c r="L63" s="207">
        <f t="shared" ref="L63" si="59">L23-L43</f>
        <v>74995</v>
      </c>
    </row>
    <row r="64" spans="2:12" s="65" customFormat="1" ht="12.75" x14ac:dyDescent="0.2">
      <c r="B64" s="208" t="s">
        <v>133</v>
      </c>
      <c r="C64" s="209">
        <f t="shared" ref="C64" si="60">SUM(C51:C63)</f>
        <v>11881871.103045873</v>
      </c>
      <c r="D64" s="209">
        <f t="shared" ref="D64" si="61">SUM(D51:D63)</f>
        <v>5844343.8541195448</v>
      </c>
      <c r="E64" s="209">
        <f t="shared" ref="E64" si="62">SUM(E51:E63)</f>
        <v>6588423.2212676732</v>
      </c>
      <c r="F64" s="209">
        <f t="shared" ref="F64" si="63">SUM(F51:F63)</f>
        <v>2600656.7434781427</v>
      </c>
      <c r="G64" s="209">
        <f t="shared" ref="G64" si="64">SUM(G51:G63)</f>
        <v>0</v>
      </c>
      <c r="H64" s="209">
        <f t="shared" ref="H64" si="65">SUM(H51:H63)</f>
        <v>0</v>
      </c>
      <c r="I64" s="209">
        <f t="shared" ref="I64" si="66">SUM(I51:I63)</f>
        <v>0</v>
      </c>
      <c r="J64" s="209">
        <f t="shared" si="32"/>
        <v>26915294.921911236</v>
      </c>
      <c r="L64" s="209">
        <f t="shared" ref="L64" si="67">SUM(L51:L63)</f>
        <v>7453979.568635609</v>
      </c>
    </row>
    <row r="65" spans="2:12" s="65" customFormat="1" ht="12.75" x14ac:dyDescent="0.2"/>
    <row r="66" spans="2:12" s="65" customFormat="1" ht="16.5" x14ac:dyDescent="0.2">
      <c r="B66" s="206"/>
      <c r="C66" s="159" t="str">
        <f t="shared" ref="C66:I66" si="68">IF(SUM(C44,C64)=C24,"OK","ERROR")</f>
        <v>OK</v>
      </c>
      <c r="D66" s="159" t="str">
        <f t="shared" si="68"/>
        <v>OK</v>
      </c>
      <c r="E66" s="159" t="str">
        <f t="shared" si="68"/>
        <v>OK</v>
      </c>
      <c r="F66" s="159" t="str">
        <f t="shared" si="68"/>
        <v>OK</v>
      </c>
      <c r="G66" s="159" t="str">
        <f t="shared" si="68"/>
        <v>OK</v>
      </c>
      <c r="H66" s="159" t="str">
        <f t="shared" si="68"/>
        <v>OK</v>
      </c>
      <c r="I66" s="159" t="str">
        <f t="shared" si="68"/>
        <v>OK</v>
      </c>
      <c r="L66" s="159" t="str">
        <f t="shared" ref="L66" si="69">IF(SUM(L44,L64)=L24,"OK","ERROR")</f>
        <v>OK</v>
      </c>
    </row>
    <row r="67" spans="2:12" s="65" customFormat="1" ht="12.75" x14ac:dyDescent="0.2"/>
    <row r="68" spans="2:12" s="65" customFormat="1" ht="12.75" x14ac:dyDescent="0.2">
      <c r="B68" s="221" t="str">
        <f>B51</f>
        <v>Community and Stakeholder Engagement</v>
      </c>
      <c r="C68" s="118"/>
      <c r="D68" s="118"/>
      <c r="E68" s="132" t="str">
        <f>"(Real "&amp;'Key assumptions'!$D$11&amp;")"</f>
        <v>(Real $RY2026)</v>
      </c>
      <c r="F68" s="118"/>
      <c r="G68" s="118"/>
      <c r="H68" s="118"/>
      <c r="I68" s="118"/>
      <c r="J68" s="118"/>
      <c r="L68" s="118"/>
    </row>
    <row r="70" spans="2:12" ht="27" x14ac:dyDescent="0.3">
      <c r="B70" s="136" t="s">
        <v>51</v>
      </c>
      <c r="C70" s="140" t="str" cm="1">
        <f t="array" ref="C70:I70">model_forecastperiod</f>
        <v>RY2026
01Feb-30Sep</v>
      </c>
      <c r="D70" s="140" t="str">
        <v>RY2027</v>
      </c>
      <c r="E70" s="140" t="str">
        <v>RY2028</v>
      </c>
      <c r="F70" s="140" t="str">
        <v>RY2029</v>
      </c>
      <c r="G70" s="140" t="str">
        <v>RY2030</v>
      </c>
      <c r="H70" s="140" t="str">
        <v>RY2031</v>
      </c>
      <c r="I70" s="140" t="str">
        <v>RY2032</v>
      </c>
      <c r="J70" s="140" t="s">
        <v>133</v>
      </c>
      <c r="L70" s="140"/>
    </row>
    <row r="71" spans="2:12" x14ac:dyDescent="0.3">
      <c r="B71" s="205" t="str" cm="1">
        <f t="array" ref="B71">IFERROR(_xlfn.UNIQUE(_xlfn._xlws.FILTER('Non-labour_inputs'!$C$8:$C$112,'Non-labour_inputs'!$B$8:$B$112=B68)),"")</f>
        <v/>
      </c>
      <c r="C71" s="207">
        <f>SUMIFS('Non-labour_inputs'!GH$8:GH$112,'Non-labour_inputs'!$C$8:$C$112,$B71,'Non-labour_inputs'!$B$8:$B$112,$B$68)</f>
        <v>0</v>
      </c>
      <c r="D71" s="207">
        <f>SUMIFS('Non-labour_inputs'!GI$8:GI$112,'Non-labour_inputs'!$C$8:$C$112,$B71,'Non-labour_inputs'!$B$8:$B$112,$B$68)</f>
        <v>0</v>
      </c>
      <c r="E71" s="207">
        <f>SUMIFS('Non-labour_inputs'!GJ$8:GJ$112,'Non-labour_inputs'!$C$8:$C$112,$B71,'Non-labour_inputs'!$B$8:$B$112,$B$68)</f>
        <v>0</v>
      </c>
      <c r="F71" s="207">
        <f>SUMIFS('Non-labour_inputs'!GK$8:GK$112,'Non-labour_inputs'!$C$8:$C$112,$B71,'Non-labour_inputs'!$B$8:$B$112,$B$68)</f>
        <v>0</v>
      </c>
      <c r="G71" s="207">
        <f>SUMIFS('Non-labour_inputs'!GL$8:GL$112,'Non-labour_inputs'!$C$8:$C$112,$B71,'Non-labour_inputs'!$B$8:$B$112,$B$68)</f>
        <v>0</v>
      </c>
      <c r="H71" s="207">
        <f>SUMIFS('Non-labour_inputs'!GM$8:GM$112,'Non-labour_inputs'!$C$8:$C$112,$B71,'Non-labour_inputs'!$B$8:$B$112,$B$68)</f>
        <v>0</v>
      </c>
      <c r="I71" s="207">
        <f>SUMIFS('Non-labour_inputs'!GN$8:GN$112,'Non-labour_inputs'!$C$8:$C$112,$B71,'Non-labour_inputs'!$B$8:$B$112,$B$68)</f>
        <v>0</v>
      </c>
      <c r="J71" s="207">
        <f t="shared" ref="J71:J85" si="70">SUM(C71:I71)</f>
        <v>0</v>
      </c>
      <c r="L71" s="207">
        <f>SUMIFS('Non-labour_inputs'!GR$8:GR$112,'Non-labour_inputs'!$C$8:$C$112,$B71,'Non-labour_inputs'!$B$8:$B$112,$B$68)</f>
        <v>0</v>
      </c>
    </row>
    <row r="72" spans="2:12" x14ac:dyDescent="0.3">
      <c r="B72" s="206"/>
      <c r="C72" s="207">
        <f>SUMIFS('Non-labour_inputs'!GH$8:GH$112,'Non-labour_inputs'!$C$8:$C$112,$B72,'Non-labour_inputs'!$B$8:$B$112,$B$68)</f>
        <v>0</v>
      </c>
      <c r="D72" s="207">
        <f>SUMIFS('Non-labour_inputs'!GI$8:GI$112,'Non-labour_inputs'!$C$8:$C$112,$B72,'Non-labour_inputs'!$B$8:$B$112,$B$68)</f>
        <v>0</v>
      </c>
      <c r="E72" s="207">
        <f>SUMIFS('Non-labour_inputs'!GJ$8:GJ$112,'Non-labour_inputs'!$C$8:$C$112,$B72,'Non-labour_inputs'!$B$8:$B$112,$B$68)</f>
        <v>0</v>
      </c>
      <c r="F72" s="207">
        <f>SUMIFS('Non-labour_inputs'!GK$8:GK$112,'Non-labour_inputs'!$C$8:$C$112,$B72,'Non-labour_inputs'!$B$8:$B$112,$B$68)</f>
        <v>0</v>
      </c>
      <c r="G72" s="207">
        <f>SUMIFS('Non-labour_inputs'!GL$8:GL$112,'Non-labour_inputs'!$C$8:$C$112,$B72,'Non-labour_inputs'!$B$8:$B$112,$B$68)</f>
        <v>0</v>
      </c>
      <c r="H72" s="207">
        <f>SUMIFS('Non-labour_inputs'!GM$8:GM$112,'Non-labour_inputs'!$C$8:$C$112,$B72,'Non-labour_inputs'!$B$8:$B$112,$B$68)</f>
        <v>0</v>
      </c>
      <c r="I72" s="207">
        <f>SUMIFS('Non-labour_inputs'!GN$8:GN$112,'Non-labour_inputs'!$C$8:$C$112,$B72,'Non-labour_inputs'!$B$8:$B$112,$B$68)</f>
        <v>0</v>
      </c>
      <c r="J72" s="207">
        <f t="shared" si="70"/>
        <v>0</v>
      </c>
      <c r="L72" s="207">
        <f>SUMIFS('Non-labour_inputs'!GR$8:GR$112,'Non-labour_inputs'!$C$8:$C$112,$B72,'Non-labour_inputs'!$B$8:$B$112,$B$68)</f>
        <v>0</v>
      </c>
    </row>
    <row r="73" spans="2:12" x14ac:dyDescent="0.3">
      <c r="B73" s="206"/>
      <c r="C73" s="207">
        <f>SUMIFS('Non-labour_inputs'!GH$8:GH$112,'Non-labour_inputs'!$C$8:$C$112,$B73,'Non-labour_inputs'!$B$8:$B$112,$B$68)</f>
        <v>0</v>
      </c>
      <c r="D73" s="207">
        <f>SUMIFS('Non-labour_inputs'!GI$8:GI$112,'Non-labour_inputs'!$C$8:$C$112,$B73,'Non-labour_inputs'!$B$8:$B$112,$B$68)</f>
        <v>0</v>
      </c>
      <c r="E73" s="207">
        <f>SUMIFS('Non-labour_inputs'!GJ$8:GJ$112,'Non-labour_inputs'!$C$8:$C$112,$B73,'Non-labour_inputs'!$B$8:$B$112,$B$68)</f>
        <v>0</v>
      </c>
      <c r="F73" s="207">
        <f>SUMIFS('Non-labour_inputs'!GK$8:GK$112,'Non-labour_inputs'!$C$8:$C$112,$B73,'Non-labour_inputs'!$B$8:$B$112,$B$68)</f>
        <v>0</v>
      </c>
      <c r="G73" s="207">
        <f>SUMIFS('Non-labour_inputs'!GL$8:GL$112,'Non-labour_inputs'!$C$8:$C$112,$B73,'Non-labour_inputs'!$B$8:$B$112,$B$68)</f>
        <v>0</v>
      </c>
      <c r="H73" s="207">
        <f>SUMIFS('Non-labour_inputs'!GM$8:GM$112,'Non-labour_inputs'!$C$8:$C$112,$B73,'Non-labour_inputs'!$B$8:$B$112,$B$68)</f>
        <v>0</v>
      </c>
      <c r="I73" s="207">
        <f>SUMIFS('Non-labour_inputs'!GN$8:GN$112,'Non-labour_inputs'!$C$8:$C$112,$B73,'Non-labour_inputs'!$B$8:$B$112,$B$68)</f>
        <v>0</v>
      </c>
      <c r="J73" s="207">
        <f t="shared" si="70"/>
        <v>0</v>
      </c>
      <c r="L73" s="207">
        <f>SUMIFS('Non-labour_inputs'!GR$8:GR$112,'Non-labour_inputs'!$C$8:$C$112,$B73,'Non-labour_inputs'!$B$8:$B$112,$B$68)</f>
        <v>0</v>
      </c>
    </row>
    <row r="74" spans="2:12" x14ac:dyDescent="0.3">
      <c r="B74" s="206"/>
      <c r="C74" s="207">
        <f>SUMIFS('Non-labour_inputs'!GH$8:GH$112,'Non-labour_inputs'!$C$8:$C$112,$B74,'Non-labour_inputs'!$B$8:$B$112,$B$68)</f>
        <v>0</v>
      </c>
      <c r="D74" s="207">
        <f>SUMIFS('Non-labour_inputs'!GI$8:GI$112,'Non-labour_inputs'!$C$8:$C$112,$B74,'Non-labour_inputs'!$B$8:$B$112,$B$68)</f>
        <v>0</v>
      </c>
      <c r="E74" s="207">
        <f>SUMIFS('Non-labour_inputs'!GJ$8:GJ$112,'Non-labour_inputs'!$C$8:$C$112,$B74,'Non-labour_inputs'!$B$8:$B$112,$B$68)</f>
        <v>0</v>
      </c>
      <c r="F74" s="207">
        <f>SUMIFS('Non-labour_inputs'!GK$8:GK$112,'Non-labour_inputs'!$C$8:$C$112,$B74,'Non-labour_inputs'!$B$8:$B$112,$B$68)</f>
        <v>0</v>
      </c>
      <c r="G74" s="207">
        <f>SUMIFS('Non-labour_inputs'!GL$8:GL$112,'Non-labour_inputs'!$C$8:$C$112,$B74,'Non-labour_inputs'!$B$8:$B$112,$B$68)</f>
        <v>0</v>
      </c>
      <c r="H74" s="207">
        <f>SUMIFS('Non-labour_inputs'!GM$8:GM$112,'Non-labour_inputs'!$C$8:$C$112,$B74,'Non-labour_inputs'!$B$8:$B$112,$B$68)</f>
        <v>0</v>
      </c>
      <c r="I74" s="207">
        <f>SUMIFS('Non-labour_inputs'!GN$8:GN$112,'Non-labour_inputs'!$C$8:$C$112,$B74,'Non-labour_inputs'!$B$8:$B$112,$B$68)</f>
        <v>0</v>
      </c>
      <c r="J74" s="207">
        <f t="shared" si="70"/>
        <v>0</v>
      </c>
      <c r="L74" s="207">
        <f>SUMIFS('Non-labour_inputs'!GR$8:GR$112,'Non-labour_inputs'!$C$8:$C$112,$B74,'Non-labour_inputs'!$B$8:$B$112,$B$68)</f>
        <v>0</v>
      </c>
    </row>
    <row r="75" spans="2:12" x14ac:dyDescent="0.3">
      <c r="B75" s="206"/>
      <c r="C75" s="207">
        <f>SUMIFS('Non-labour_inputs'!GH$8:GH$112,'Non-labour_inputs'!$C$8:$C$112,$B75,'Non-labour_inputs'!$B$8:$B$112,$B$68)</f>
        <v>0</v>
      </c>
      <c r="D75" s="207">
        <f>SUMIFS('Non-labour_inputs'!GI$8:GI$112,'Non-labour_inputs'!$C$8:$C$112,$B75,'Non-labour_inputs'!$B$8:$B$112,$B$68)</f>
        <v>0</v>
      </c>
      <c r="E75" s="207">
        <f>SUMIFS('Non-labour_inputs'!GJ$8:GJ$112,'Non-labour_inputs'!$C$8:$C$112,$B75,'Non-labour_inputs'!$B$8:$B$112,$B$68)</f>
        <v>0</v>
      </c>
      <c r="F75" s="207">
        <f>SUMIFS('Non-labour_inputs'!GK$8:GK$112,'Non-labour_inputs'!$C$8:$C$112,$B75,'Non-labour_inputs'!$B$8:$B$112,$B$68)</f>
        <v>0</v>
      </c>
      <c r="G75" s="207">
        <f>SUMIFS('Non-labour_inputs'!GL$8:GL$112,'Non-labour_inputs'!$C$8:$C$112,$B75,'Non-labour_inputs'!$B$8:$B$112,$B$68)</f>
        <v>0</v>
      </c>
      <c r="H75" s="207">
        <f>SUMIFS('Non-labour_inputs'!GM$8:GM$112,'Non-labour_inputs'!$C$8:$C$112,$B75,'Non-labour_inputs'!$B$8:$B$112,$B$68)</f>
        <v>0</v>
      </c>
      <c r="I75" s="207">
        <f>SUMIFS('Non-labour_inputs'!GN$8:GN$112,'Non-labour_inputs'!$C$8:$C$112,$B75,'Non-labour_inputs'!$B$8:$B$112,$B$68)</f>
        <v>0</v>
      </c>
      <c r="J75" s="207">
        <f t="shared" si="70"/>
        <v>0</v>
      </c>
      <c r="L75" s="207">
        <f>SUMIFS('Non-labour_inputs'!GR$8:GR$112,'Non-labour_inputs'!$C$8:$C$112,$B75,'Non-labour_inputs'!$B$8:$B$112,$B$68)</f>
        <v>0</v>
      </c>
    </row>
    <row r="76" spans="2:12" x14ac:dyDescent="0.3">
      <c r="B76" s="206"/>
      <c r="C76" s="207">
        <f>SUMIFS('Non-labour_inputs'!GH$8:GH$112,'Non-labour_inputs'!$C$8:$C$112,$B76,'Non-labour_inputs'!$B$8:$B$112,$B$68)</f>
        <v>0</v>
      </c>
      <c r="D76" s="207">
        <f>SUMIFS('Non-labour_inputs'!GI$8:GI$112,'Non-labour_inputs'!$C$8:$C$112,$B76,'Non-labour_inputs'!$B$8:$B$112,$B$68)</f>
        <v>0</v>
      </c>
      <c r="E76" s="207">
        <f>SUMIFS('Non-labour_inputs'!GJ$8:GJ$112,'Non-labour_inputs'!$C$8:$C$112,$B76,'Non-labour_inputs'!$B$8:$B$112,$B$68)</f>
        <v>0</v>
      </c>
      <c r="F76" s="207">
        <f>SUMIFS('Non-labour_inputs'!GK$8:GK$112,'Non-labour_inputs'!$C$8:$C$112,$B76,'Non-labour_inputs'!$B$8:$B$112,$B$68)</f>
        <v>0</v>
      </c>
      <c r="G76" s="207">
        <f>SUMIFS('Non-labour_inputs'!GL$8:GL$112,'Non-labour_inputs'!$C$8:$C$112,$B76,'Non-labour_inputs'!$B$8:$B$112,$B$68)</f>
        <v>0</v>
      </c>
      <c r="H76" s="207">
        <f>SUMIFS('Non-labour_inputs'!GM$8:GM$112,'Non-labour_inputs'!$C$8:$C$112,$B76,'Non-labour_inputs'!$B$8:$B$112,$B$68)</f>
        <v>0</v>
      </c>
      <c r="I76" s="207">
        <f>SUMIFS('Non-labour_inputs'!GN$8:GN$112,'Non-labour_inputs'!$C$8:$C$112,$B76,'Non-labour_inputs'!$B$8:$B$112,$B$68)</f>
        <v>0</v>
      </c>
      <c r="J76" s="207">
        <f t="shared" si="70"/>
        <v>0</v>
      </c>
      <c r="L76" s="207">
        <f>SUMIFS('Non-labour_inputs'!GR$8:GR$112,'Non-labour_inputs'!$C$8:$C$112,$B76,'Non-labour_inputs'!$B$8:$B$112,$B$68)</f>
        <v>0</v>
      </c>
    </row>
    <row r="77" spans="2:12" x14ac:dyDescent="0.3">
      <c r="B77" s="206"/>
      <c r="C77" s="207">
        <f>SUMIFS('Non-labour_inputs'!GH$8:GH$112,'Non-labour_inputs'!$C$8:$C$112,$B77,'Non-labour_inputs'!$B$8:$B$112,$B$68)</f>
        <v>0</v>
      </c>
      <c r="D77" s="207">
        <f>SUMIFS('Non-labour_inputs'!GI$8:GI$112,'Non-labour_inputs'!$C$8:$C$112,$B77,'Non-labour_inputs'!$B$8:$B$112,$B$68)</f>
        <v>0</v>
      </c>
      <c r="E77" s="207">
        <f>SUMIFS('Non-labour_inputs'!GJ$8:GJ$112,'Non-labour_inputs'!$C$8:$C$112,$B77,'Non-labour_inputs'!$B$8:$B$112,$B$68)</f>
        <v>0</v>
      </c>
      <c r="F77" s="207">
        <f>SUMIFS('Non-labour_inputs'!GK$8:GK$112,'Non-labour_inputs'!$C$8:$C$112,$B77,'Non-labour_inputs'!$B$8:$B$112,$B$68)</f>
        <v>0</v>
      </c>
      <c r="G77" s="207">
        <f>SUMIFS('Non-labour_inputs'!GL$8:GL$112,'Non-labour_inputs'!$C$8:$C$112,$B77,'Non-labour_inputs'!$B$8:$B$112,$B$68)</f>
        <v>0</v>
      </c>
      <c r="H77" s="207">
        <f>SUMIFS('Non-labour_inputs'!GM$8:GM$112,'Non-labour_inputs'!$C$8:$C$112,$B77,'Non-labour_inputs'!$B$8:$B$112,$B$68)</f>
        <v>0</v>
      </c>
      <c r="I77" s="207">
        <f>SUMIFS('Non-labour_inputs'!GN$8:GN$112,'Non-labour_inputs'!$C$8:$C$112,$B77,'Non-labour_inputs'!$B$8:$B$112,$B$68)</f>
        <v>0</v>
      </c>
      <c r="J77" s="207">
        <f t="shared" si="70"/>
        <v>0</v>
      </c>
      <c r="L77" s="207">
        <f>SUMIFS('Non-labour_inputs'!GR$8:GR$112,'Non-labour_inputs'!$C$8:$C$112,$B77,'Non-labour_inputs'!$B$8:$B$112,$B$68)</f>
        <v>0</v>
      </c>
    </row>
    <row r="78" spans="2:12" x14ac:dyDescent="0.3">
      <c r="B78" s="206"/>
      <c r="C78" s="207">
        <f>SUMIFS('Non-labour_inputs'!GH$8:GH$112,'Non-labour_inputs'!$C$8:$C$112,$B78,'Non-labour_inputs'!$B$8:$B$112,$B$68)</f>
        <v>0</v>
      </c>
      <c r="D78" s="207">
        <f>SUMIFS('Non-labour_inputs'!GI$8:GI$112,'Non-labour_inputs'!$C$8:$C$112,$B78,'Non-labour_inputs'!$B$8:$B$112,$B$68)</f>
        <v>0</v>
      </c>
      <c r="E78" s="207">
        <f>SUMIFS('Non-labour_inputs'!GJ$8:GJ$112,'Non-labour_inputs'!$C$8:$C$112,$B78,'Non-labour_inputs'!$B$8:$B$112,$B$68)</f>
        <v>0</v>
      </c>
      <c r="F78" s="207">
        <f>SUMIFS('Non-labour_inputs'!GK$8:GK$112,'Non-labour_inputs'!$C$8:$C$112,$B78,'Non-labour_inputs'!$B$8:$B$112,$B$68)</f>
        <v>0</v>
      </c>
      <c r="G78" s="207">
        <f>SUMIFS('Non-labour_inputs'!GL$8:GL$112,'Non-labour_inputs'!$C$8:$C$112,$B78,'Non-labour_inputs'!$B$8:$B$112,$B$68)</f>
        <v>0</v>
      </c>
      <c r="H78" s="207">
        <f>SUMIFS('Non-labour_inputs'!GM$8:GM$112,'Non-labour_inputs'!$C$8:$C$112,$B78,'Non-labour_inputs'!$B$8:$B$112,$B$68)</f>
        <v>0</v>
      </c>
      <c r="I78" s="207">
        <f>SUMIFS('Non-labour_inputs'!GN$8:GN$112,'Non-labour_inputs'!$C$8:$C$112,$B78,'Non-labour_inputs'!$B$8:$B$112,$B$68)</f>
        <v>0</v>
      </c>
      <c r="J78" s="207">
        <f t="shared" si="70"/>
        <v>0</v>
      </c>
      <c r="L78" s="207">
        <f>SUMIFS('Non-labour_inputs'!GR$8:GR$112,'Non-labour_inputs'!$C$8:$C$112,$B78,'Non-labour_inputs'!$B$8:$B$112,$B$68)</f>
        <v>0</v>
      </c>
    </row>
    <row r="79" spans="2:12" x14ac:dyDescent="0.3">
      <c r="B79" s="206"/>
      <c r="C79" s="207">
        <f>SUMIFS('Non-labour_inputs'!GH$8:GH$112,'Non-labour_inputs'!$C$8:$C$112,$B79,'Non-labour_inputs'!$B$8:$B$112,$B$68)</f>
        <v>0</v>
      </c>
      <c r="D79" s="207">
        <f>SUMIFS('Non-labour_inputs'!GI$8:GI$112,'Non-labour_inputs'!$C$8:$C$112,$B79,'Non-labour_inputs'!$B$8:$B$112,$B$68)</f>
        <v>0</v>
      </c>
      <c r="E79" s="207">
        <f>SUMIFS('Non-labour_inputs'!GJ$8:GJ$112,'Non-labour_inputs'!$C$8:$C$112,$B79,'Non-labour_inputs'!$B$8:$B$112,$B$68)</f>
        <v>0</v>
      </c>
      <c r="F79" s="207">
        <f>SUMIFS('Non-labour_inputs'!GK$8:GK$112,'Non-labour_inputs'!$C$8:$C$112,$B79,'Non-labour_inputs'!$B$8:$B$112,$B$68)</f>
        <v>0</v>
      </c>
      <c r="G79" s="207">
        <f>SUMIFS('Non-labour_inputs'!GL$8:GL$112,'Non-labour_inputs'!$C$8:$C$112,$B79,'Non-labour_inputs'!$B$8:$B$112,$B$68)</f>
        <v>0</v>
      </c>
      <c r="H79" s="207">
        <f>SUMIFS('Non-labour_inputs'!GM$8:GM$112,'Non-labour_inputs'!$C$8:$C$112,$B79,'Non-labour_inputs'!$B$8:$B$112,$B$68)</f>
        <v>0</v>
      </c>
      <c r="I79" s="207">
        <f>SUMIFS('Non-labour_inputs'!GN$8:GN$112,'Non-labour_inputs'!$C$8:$C$112,$B79,'Non-labour_inputs'!$B$8:$B$112,$B$68)</f>
        <v>0</v>
      </c>
      <c r="J79" s="207">
        <f t="shared" si="70"/>
        <v>0</v>
      </c>
      <c r="L79" s="207">
        <f>SUMIFS('Non-labour_inputs'!GR$8:GR$112,'Non-labour_inputs'!$C$8:$C$112,$B79,'Non-labour_inputs'!$B$8:$B$112,$B$68)</f>
        <v>0</v>
      </c>
    </row>
    <row r="80" spans="2:12" x14ac:dyDescent="0.3">
      <c r="B80" s="206"/>
      <c r="C80" s="207">
        <f>SUMIFS('Non-labour_inputs'!GH$8:GH$112,'Non-labour_inputs'!$C$8:$C$112,$B80,'Non-labour_inputs'!$B$8:$B$112,$B$68)</f>
        <v>0</v>
      </c>
      <c r="D80" s="207">
        <f>SUMIFS('Non-labour_inputs'!GI$8:GI$112,'Non-labour_inputs'!$C$8:$C$112,$B80,'Non-labour_inputs'!$B$8:$B$112,$B$68)</f>
        <v>0</v>
      </c>
      <c r="E80" s="207">
        <f>SUMIFS('Non-labour_inputs'!GJ$8:GJ$112,'Non-labour_inputs'!$C$8:$C$112,$B80,'Non-labour_inputs'!$B$8:$B$112,$B$68)</f>
        <v>0</v>
      </c>
      <c r="F80" s="207">
        <f>SUMIFS('Non-labour_inputs'!GK$8:GK$112,'Non-labour_inputs'!$C$8:$C$112,$B80,'Non-labour_inputs'!$B$8:$B$112,$B$68)</f>
        <v>0</v>
      </c>
      <c r="G80" s="207">
        <f>SUMIFS('Non-labour_inputs'!GL$8:GL$112,'Non-labour_inputs'!$C$8:$C$112,$B80,'Non-labour_inputs'!$B$8:$B$112,$B$68)</f>
        <v>0</v>
      </c>
      <c r="H80" s="207">
        <f>SUMIFS('Non-labour_inputs'!GM$8:GM$112,'Non-labour_inputs'!$C$8:$C$112,$B80,'Non-labour_inputs'!$B$8:$B$112,$B$68)</f>
        <v>0</v>
      </c>
      <c r="I80" s="207">
        <f>SUMIFS('Non-labour_inputs'!GN$8:GN$112,'Non-labour_inputs'!$C$8:$C$112,$B80,'Non-labour_inputs'!$B$8:$B$112,$B$68)</f>
        <v>0</v>
      </c>
      <c r="J80" s="207">
        <f t="shared" si="70"/>
        <v>0</v>
      </c>
      <c r="L80" s="207">
        <f>SUMIFS('Non-labour_inputs'!GR$8:GR$112,'Non-labour_inputs'!$C$8:$C$112,$B80,'Non-labour_inputs'!$B$8:$B$112,$B$68)</f>
        <v>0</v>
      </c>
    </row>
    <row r="81" spans="2:15" x14ac:dyDescent="0.3">
      <c r="B81" s="206"/>
      <c r="C81" s="207">
        <f>SUMIFS('Non-labour_inputs'!GH$8:GH$112,'Non-labour_inputs'!$C$8:$C$112,$B81,'Non-labour_inputs'!$B$8:$B$112,$B$68)</f>
        <v>0</v>
      </c>
      <c r="D81" s="207">
        <f>SUMIFS('Non-labour_inputs'!GI$8:GI$112,'Non-labour_inputs'!$C$8:$C$112,$B81,'Non-labour_inputs'!$B$8:$B$112,$B$68)</f>
        <v>0</v>
      </c>
      <c r="E81" s="207">
        <f>SUMIFS('Non-labour_inputs'!GJ$8:GJ$112,'Non-labour_inputs'!$C$8:$C$112,$B81,'Non-labour_inputs'!$B$8:$B$112,$B$68)</f>
        <v>0</v>
      </c>
      <c r="F81" s="207">
        <f>SUMIFS('Non-labour_inputs'!GK$8:GK$112,'Non-labour_inputs'!$C$8:$C$112,$B81,'Non-labour_inputs'!$B$8:$B$112,$B$68)</f>
        <v>0</v>
      </c>
      <c r="G81" s="207">
        <f>SUMIFS('Non-labour_inputs'!GL$8:GL$112,'Non-labour_inputs'!$C$8:$C$112,$B81,'Non-labour_inputs'!$B$8:$B$112,$B$68)</f>
        <v>0</v>
      </c>
      <c r="H81" s="207">
        <f>SUMIFS('Non-labour_inputs'!GM$8:GM$112,'Non-labour_inputs'!$C$8:$C$112,$B81,'Non-labour_inputs'!$B$8:$B$112,$B$68)</f>
        <v>0</v>
      </c>
      <c r="I81" s="207">
        <f>SUMIFS('Non-labour_inputs'!GN$8:GN$112,'Non-labour_inputs'!$C$8:$C$112,$B81,'Non-labour_inputs'!$B$8:$B$112,$B$68)</f>
        <v>0</v>
      </c>
      <c r="J81" s="207">
        <f t="shared" si="70"/>
        <v>0</v>
      </c>
      <c r="L81" s="207">
        <f>SUMIFS('Non-labour_inputs'!GR$8:GR$112,'Non-labour_inputs'!$C$8:$C$112,$B81,'Non-labour_inputs'!$B$8:$B$112,$B$68)</f>
        <v>0</v>
      </c>
    </row>
    <row r="82" spans="2:15" x14ac:dyDescent="0.3">
      <c r="B82" s="206"/>
      <c r="C82" s="207">
        <f>SUMIFS('Non-labour_inputs'!GH$8:GH$112,'Non-labour_inputs'!$C$8:$C$112,$B82,'Non-labour_inputs'!$B$8:$B$112,$B$68)</f>
        <v>0</v>
      </c>
      <c r="D82" s="207">
        <f>SUMIFS('Non-labour_inputs'!GI$8:GI$112,'Non-labour_inputs'!$C$8:$C$112,$B82,'Non-labour_inputs'!$B$8:$B$112,$B$68)</f>
        <v>0</v>
      </c>
      <c r="E82" s="207">
        <f>SUMIFS('Non-labour_inputs'!GJ$8:GJ$112,'Non-labour_inputs'!$C$8:$C$112,$B82,'Non-labour_inputs'!$B$8:$B$112,$B$68)</f>
        <v>0</v>
      </c>
      <c r="F82" s="207">
        <f>SUMIFS('Non-labour_inputs'!GK$8:GK$112,'Non-labour_inputs'!$C$8:$C$112,$B82,'Non-labour_inputs'!$B$8:$B$112,$B$68)</f>
        <v>0</v>
      </c>
      <c r="G82" s="207">
        <f>SUMIFS('Non-labour_inputs'!GL$8:GL$112,'Non-labour_inputs'!$C$8:$C$112,$B82,'Non-labour_inputs'!$B$8:$B$112,$B$68)</f>
        <v>0</v>
      </c>
      <c r="H82" s="207">
        <f>SUMIFS('Non-labour_inputs'!GM$8:GM$112,'Non-labour_inputs'!$C$8:$C$112,$B82,'Non-labour_inputs'!$B$8:$B$112,$B$68)</f>
        <v>0</v>
      </c>
      <c r="I82" s="207">
        <f>SUMIFS('Non-labour_inputs'!GN$8:GN$112,'Non-labour_inputs'!$C$8:$C$112,$B82,'Non-labour_inputs'!$B$8:$B$112,$B$68)</f>
        <v>0</v>
      </c>
      <c r="J82" s="207">
        <f t="shared" si="70"/>
        <v>0</v>
      </c>
      <c r="L82" s="207">
        <f>SUMIFS('Non-labour_inputs'!GR$8:GR$112,'Non-labour_inputs'!$C$8:$C$112,$B82,'Non-labour_inputs'!$B$8:$B$112,$B$68)</f>
        <v>0</v>
      </c>
    </row>
    <row r="83" spans="2:15" x14ac:dyDescent="0.3">
      <c r="B83" s="206"/>
      <c r="C83" s="207">
        <f>SUMIFS('Non-labour_inputs'!GH$8:GH$112,'Non-labour_inputs'!$C$8:$C$112,$B83,'Non-labour_inputs'!$B$8:$B$112,$B$68)</f>
        <v>0</v>
      </c>
      <c r="D83" s="207">
        <f>SUMIFS('Non-labour_inputs'!GI$8:GI$112,'Non-labour_inputs'!$C$8:$C$112,$B83,'Non-labour_inputs'!$B$8:$B$112,$B$68)</f>
        <v>0</v>
      </c>
      <c r="E83" s="207">
        <f>SUMIFS('Non-labour_inputs'!GJ$8:GJ$112,'Non-labour_inputs'!$C$8:$C$112,$B83,'Non-labour_inputs'!$B$8:$B$112,$B$68)</f>
        <v>0</v>
      </c>
      <c r="F83" s="207">
        <f>SUMIFS('Non-labour_inputs'!GK$8:GK$112,'Non-labour_inputs'!$C$8:$C$112,$B83,'Non-labour_inputs'!$B$8:$B$112,$B$68)</f>
        <v>0</v>
      </c>
      <c r="G83" s="207">
        <f>SUMIFS('Non-labour_inputs'!GL$8:GL$112,'Non-labour_inputs'!$C$8:$C$112,$B83,'Non-labour_inputs'!$B$8:$B$112,$B$68)</f>
        <v>0</v>
      </c>
      <c r="H83" s="207">
        <f>SUMIFS('Non-labour_inputs'!GM$8:GM$112,'Non-labour_inputs'!$C$8:$C$112,$B83,'Non-labour_inputs'!$B$8:$B$112,$B$68)</f>
        <v>0</v>
      </c>
      <c r="I83" s="207">
        <f>SUMIFS('Non-labour_inputs'!GN$8:GN$112,'Non-labour_inputs'!$C$8:$C$112,$B83,'Non-labour_inputs'!$B$8:$B$112,$B$68)</f>
        <v>0</v>
      </c>
      <c r="J83" s="207">
        <f t="shared" si="70"/>
        <v>0</v>
      </c>
      <c r="L83" s="207">
        <f>SUMIFS('Non-labour_inputs'!GR$8:GR$112,'Non-labour_inputs'!$C$8:$C$112,$B83,'Non-labour_inputs'!$B$8:$B$112,$B$68)</f>
        <v>0</v>
      </c>
    </row>
    <row r="84" spans="2:15" x14ac:dyDescent="0.3">
      <c r="B84" s="206"/>
      <c r="C84" s="207">
        <f>SUMIFS('Non-labour_inputs'!GH$8:GH$112,'Non-labour_inputs'!$C$8:$C$112,$B84,'Non-labour_inputs'!$B$8:$B$112,$B$68)</f>
        <v>0</v>
      </c>
      <c r="D84" s="207">
        <f>SUMIFS('Non-labour_inputs'!GI$8:GI$112,'Non-labour_inputs'!$C$8:$C$112,$B84,'Non-labour_inputs'!$B$8:$B$112,$B$68)</f>
        <v>0</v>
      </c>
      <c r="E84" s="207">
        <f>SUMIFS('Non-labour_inputs'!GJ$8:GJ$112,'Non-labour_inputs'!$C$8:$C$112,$B84,'Non-labour_inputs'!$B$8:$B$112,$B$68)</f>
        <v>0</v>
      </c>
      <c r="F84" s="207">
        <f>SUMIFS('Non-labour_inputs'!GK$8:GK$112,'Non-labour_inputs'!$C$8:$C$112,$B84,'Non-labour_inputs'!$B$8:$B$112,$B$68)</f>
        <v>0</v>
      </c>
      <c r="G84" s="207">
        <f>SUMIFS('Non-labour_inputs'!GL$8:GL$112,'Non-labour_inputs'!$C$8:$C$112,$B84,'Non-labour_inputs'!$B$8:$B$112,$B$68)</f>
        <v>0</v>
      </c>
      <c r="H84" s="207">
        <f>SUMIFS('Non-labour_inputs'!GM$8:GM$112,'Non-labour_inputs'!$C$8:$C$112,$B84,'Non-labour_inputs'!$B$8:$B$112,$B$68)</f>
        <v>0</v>
      </c>
      <c r="I84" s="207">
        <f>SUMIFS('Non-labour_inputs'!GN$8:GN$112,'Non-labour_inputs'!$C$8:$C$112,$B84,'Non-labour_inputs'!$B$8:$B$112,$B$68)</f>
        <v>0</v>
      </c>
      <c r="J84" s="207">
        <f t="shared" si="70"/>
        <v>0</v>
      </c>
      <c r="L84" s="207">
        <f>SUMIFS('Non-labour_inputs'!GR$8:GR$112,'Non-labour_inputs'!$C$8:$C$112,$B84,'Non-labour_inputs'!$B$8:$B$112,$B$68)</f>
        <v>0</v>
      </c>
    </row>
    <row r="85" spans="2:15" x14ac:dyDescent="0.3">
      <c r="B85" s="206"/>
      <c r="C85" s="207">
        <f>SUMIFS('Non-labour_inputs'!GH$8:GH$112,'Non-labour_inputs'!$C$8:$C$112,$B85,'Non-labour_inputs'!$B$8:$B$112,$B$68)</f>
        <v>0</v>
      </c>
      <c r="D85" s="207">
        <f>SUMIFS('Non-labour_inputs'!GI$8:GI$112,'Non-labour_inputs'!$C$8:$C$112,$B85,'Non-labour_inputs'!$B$8:$B$112,$B$68)</f>
        <v>0</v>
      </c>
      <c r="E85" s="207">
        <f>SUMIFS('Non-labour_inputs'!GJ$8:GJ$112,'Non-labour_inputs'!$C$8:$C$112,$B85,'Non-labour_inputs'!$B$8:$B$112,$B$68)</f>
        <v>0</v>
      </c>
      <c r="F85" s="207">
        <f>SUMIFS('Non-labour_inputs'!GK$8:GK$112,'Non-labour_inputs'!$C$8:$C$112,$B85,'Non-labour_inputs'!$B$8:$B$112,$B$68)</f>
        <v>0</v>
      </c>
      <c r="G85" s="207">
        <f>SUMIFS('Non-labour_inputs'!GL$8:GL$112,'Non-labour_inputs'!$C$8:$C$112,$B85,'Non-labour_inputs'!$B$8:$B$112,$B$68)</f>
        <v>0</v>
      </c>
      <c r="H85" s="207">
        <f>SUMIFS('Non-labour_inputs'!GM$8:GM$112,'Non-labour_inputs'!$C$8:$C$112,$B85,'Non-labour_inputs'!$B$8:$B$112,$B$68)</f>
        <v>0</v>
      </c>
      <c r="I85" s="207">
        <f>SUMIFS('Non-labour_inputs'!GN$8:GN$112,'Non-labour_inputs'!$C$8:$C$112,$B85,'Non-labour_inputs'!$B$8:$B$112,$B$68)</f>
        <v>0</v>
      </c>
      <c r="J85" s="207">
        <f t="shared" si="70"/>
        <v>0</v>
      </c>
      <c r="L85" s="207">
        <f>SUMIFS('Non-labour_inputs'!GR$8:GR$112,'Non-labour_inputs'!$C$8:$C$112,$B85,'Non-labour_inputs'!$B$8:$B$112,$B$68)</f>
        <v>0</v>
      </c>
    </row>
    <row r="86" spans="2:15" x14ac:dyDescent="0.3">
      <c r="B86" s="208" t="s">
        <v>133</v>
      </c>
      <c r="C86" s="209">
        <f t="shared" ref="C86:J86" si="71">SUM(C71:C85)</f>
        <v>0</v>
      </c>
      <c r="D86" s="209">
        <f t="shared" si="71"/>
        <v>0</v>
      </c>
      <c r="E86" s="209">
        <f t="shared" si="71"/>
        <v>0</v>
      </c>
      <c r="F86" s="209">
        <f t="shared" si="71"/>
        <v>0</v>
      </c>
      <c r="G86" s="209">
        <f t="shared" si="71"/>
        <v>0</v>
      </c>
      <c r="H86" s="209">
        <f t="shared" si="71"/>
        <v>0</v>
      </c>
      <c r="I86" s="209">
        <f t="shared" si="71"/>
        <v>0</v>
      </c>
      <c r="J86" s="209">
        <f t="shared" si="71"/>
        <v>0</v>
      </c>
      <c r="L86" s="209">
        <f t="shared" ref="L86" si="72">SUM(L71:L85)</f>
        <v>0</v>
      </c>
    </row>
    <row r="87" spans="2:15" s="65" customFormat="1" ht="12.75" x14ac:dyDescent="0.2"/>
    <row r="88" spans="2:15" ht="16.5" x14ac:dyDescent="0.3">
      <c r="B88" s="206" t="s">
        <v>134</v>
      </c>
      <c r="C88" s="224" t="str">
        <f t="shared" ref="C88:I88" si="73">IF(C86=_xlfn.XLOOKUP($B68,$B$11:$B$23,C$11:C$23,0),"OK","ERROR")</f>
        <v>OK</v>
      </c>
      <c r="D88" s="224" t="str">
        <f t="shared" si="73"/>
        <v>OK</v>
      </c>
      <c r="E88" s="224" t="str">
        <f t="shared" si="73"/>
        <v>OK</v>
      </c>
      <c r="F88" s="224" t="str">
        <f t="shared" si="73"/>
        <v>OK</v>
      </c>
      <c r="G88" s="224" t="str">
        <f t="shared" si="73"/>
        <v>OK</v>
      </c>
      <c r="H88" s="224" t="str">
        <f t="shared" si="73"/>
        <v>OK</v>
      </c>
      <c r="I88" s="224" t="str">
        <f t="shared" si="73"/>
        <v>OK</v>
      </c>
      <c r="J88" s="65"/>
      <c r="L88" s="224" t="str">
        <f t="shared" ref="L88" si="74">IF(L86=_xlfn.XLOOKUP($B68,$B$11:$B$23,L$11:L$23,0),"OK","ERROR")</f>
        <v>OK</v>
      </c>
      <c r="O88" s="49"/>
    </row>
    <row r="89" spans="2:15" x14ac:dyDescent="0.3">
      <c r="B89" s="42"/>
      <c r="F89" s="42"/>
      <c r="N89" s="49"/>
      <c r="O89" s="49"/>
    </row>
    <row r="90" spans="2:15" s="65" customFormat="1" ht="12.75" x14ac:dyDescent="0.2">
      <c r="B90" s="221" t="str">
        <f>B58</f>
        <v>Project Delivery Management - Project Controls</v>
      </c>
      <c r="C90" s="118"/>
      <c r="D90" s="118"/>
      <c r="E90" s="132" t="str">
        <f>"(Real "&amp;'Key assumptions'!$D$11&amp;")"</f>
        <v>(Real $RY2026)</v>
      </c>
      <c r="F90" s="118"/>
      <c r="G90" s="118"/>
      <c r="H90" s="118"/>
      <c r="I90" s="118"/>
      <c r="J90" s="118"/>
      <c r="L90" s="118"/>
    </row>
    <row r="92" spans="2:15" ht="27" customHeight="1" x14ac:dyDescent="0.3">
      <c r="B92" s="136" t="s">
        <v>51</v>
      </c>
      <c r="C92" s="140" t="str" cm="1">
        <f t="array" ref="C92:I92">model_forecastperiod</f>
        <v>RY2026
01Feb-30Sep</v>
      </c>
      <c r="D92" s="140" t="str">
        <v>RY2027</v>
      </c>
      <c r="E92" s="140" t="str">
        <v>RY2028</v>
      </c>
      <c r="F92" s="140" t="str">
        <v>RY2029</v>
      </c>
      <c r="G92" s="140" t="str">
        <v>RY2030</v>
      </c>
      <c r="H92" s="140" t="str">
        <v>RY2031</v>
      </c>
      <c r="I92" s="140" t="str">
        <v>RY2032</v>
      </c>
      <c r="J92" s="140" t="s">
        <v>133</v>
      </c>
      <c r="L92" s="140"/>
    </row>
    <row r="93" spans="2:15" ht="26.45" customHeight="1" x14ac:dyDescent="0.3">
      <c r="B93" s="205" t="str" cm="1">
        <f t="array" ref="B93">IFERROR(_xlfn.UNIQUE(_xlfn._xlws.FILTER('Non-labour_inputs'!$C$8:$C$112,'Non-labour_inputs'!$B$8:$B$112=B90)),"")</f>
        <v/>
      </c>
      <c r="C93" s="207">
        <f>SUMIFS('Non-labour_inputs'!GH$8:GH$112,'Non-labour_inputs'!$C$8:$C$112,$B93,'Non-labour_inputs'!$B$8:$B$112,$B$90)</f>
        <v>0</v>
      </c>
      <c r="D93" s="207">
        <f>SUMIFS('Non-labour_inputs'!GI$8:GI$112,'Non-labour_inputs'!$C$8:$C$112,$B93,'Non-labour_inputs'!$B$8:$B$112,$B$90)</f>
        <v>0</v>
      </c>
      <c r="E93" s="207">
        <f>SUMIFS('Non-labour_inputs'!GJ$8:GJ$112,'Non-labour_inputs'!$C$8:$C$112,$B93,'Non-labour_inputs'!$B$8:$B$112,$B$90)</f>
        <v>0</v>
      </c>
      <c r="F93" s="207">
        <f>SUMIFS('Non-labour_inputs'!GK$8:GK$112,'Non-labour_inputs'!$C$8:$C$112,$B93,'Non-labour_inputs'!$B$8:$B$112,$B$90)</f>
        <v>0</v>
      </c>
      <c r="G93" s="207">
        <f>SUMIFS('Non-labour_inputs'!GL$8:GL$112,'Non-labour_inputs'!$C$8:$C$112,$B93,'Non-labour_inputs'!$B$8:$B$112,$B$90)</f>
        <v>0</v>
      </c>
      <c r="H93" s="207">
        <f>SUMIFS('Non-labour_inputs'!GM$8:GM$112,'Non-labour_inputs'!$C$8:$C$112,$B93,'Non-labour_inputs'!$B$8:$B$112,$B$90)</f>
        <v>0</v>
      </c>
      <c r="I93" s="207">
        <f>SUMIFS('Non-labour_inputs'!GN$8:GN$112,'Non-labour_inputs'!$C$8:$C$112,$B93,'Non-labour_inputs'!$B$8:$B$112,$B$90)</f>
        <v>0</v>
      </c>
      <c r="J93" s="207">
        <f t="shared" ref="J93:J107" si="75">SUM(C93:I93)</f>
        <v>0</v>
      </c>
      <c r="L93" s="207">
        <f>SUMIFS('Non-labour_inputs'!GR$8:GR$112,'Non-labour_inputs'!$C$8:$C$112,$B93,'Non-labour_inputs'!$B$8:$B$112,$B$90)</f>
        <v>0</v>
      </c>
    </row>
    <row r="94" spans="2:15" x14ac:dyDescent="0.3">
      <c r="B94" s="206"/>
      <c r="C94" s="207">
        <f>SUMIFS('Non-labour_inputs'!GH$8:GH$112,'Non-labour_inputs'!$C$8:$C$112,$B94,'Non-labour_inputs'!$B$8:$B$112,$B$90)</f>
        <v>0</v>
      </c>
      <c r="D94" s="207">
        <f>SUMIFS('Non-labour_inputs'!GI$8:GI$112,'Non-labour_inputs'!$C$8:$C$112,$B94,'Non-labour_inputs'!$B$8:$B$112,$B$90)</f>
        <v>0</v>
      </c>
      <c r="E94" s="207">
        <f>SUMIFS('Non-labour_inputs'!GJ$8:GJ$112,'Non-labour_inputs'!$C$8:$C$112,$B94,'Non-labour_inputs'!$B$8:$B$112,$B$90)</f>
        <v>0</v>
      </c>
      <c r="F94" s="207">
        <f>SUMIFS('Non-labour_inputs'!GK$8:GK$112,'Non-labour_inputs'!$C$8:$C$112,$B94,'Non-labour_inputs'!$B$8:$B$112,$B$90)</f>
        <v>0</v>
      </c>
      <c r="G94" s="207">
        <f>SUMIFS('Non-labour_inputs'!GL$8:GL$112,'Non-labour_inputs'!$C$8:$C$112,$B94,'Non-labour_inputs'!$B$8:$B$112,$B$90)</f>
        <v>0</v>
      </c>
      <c r="H94" s="207">
        <f>SUMIFS('Non-labour_inputs'!GM$8:GM$112,'Non-labour_inputs'!$C$8:$C$112,$B94,'Non-labour_inputs'!$B$8:$B$112,$B$90)</f>
        <v>0</v>
      </c>
      <c r="I94" s="207">
        <f>SUMIFS('Non-labour_inputs'!GN$8:GN$112,'Non-labour_inputs'!$C$8:$C$112,$B94,'Non-labour_inputs'!$B$8:$B$112,$B$90)</f>
        <v>0</v>
      </c>
      <c r="J94" s="207">
        <f t="shared" si="75"/>
        <v>0</v>
      </c>
      <c r="L94" s="207">
        <f>SUMIFS('Non-labour_inputs'!GR$8:GR$112,'Non-labour_inputs'!$C$8:$C$112,$B94,'Non-labour_inputs'!$B$8:$B$112,$B$90)</f>
        <v>0</v>
      </c>
    </row>
    <row r="95" spans="2:15" x14ac:dyDescent="0.3">
      <c r="B95" s="206"/>
      <c r="C95" s="207">
        <f>SUMIFS('Non-labour_inputs'!GH$8:GH$112,'Non-labour_inputs'!$C$8:$C$112,$B95,'Non-labour_inputs'!$B$8:$B$112,$B$90)</f>
        <v>0</v>
      </c>
      <c r="D95" s="207">
        <f>SUMIFS('Non-labour_inputs'!GI$8:GI$112,'Non-labour_inputs'!$C$8:$C$112,$B95,'Non-labour_inputs'!$B$8:$B$112,$B$90)</f>
        <v>0</v>
      </c>
      <c r="E95" s="207">
        <f>SUMIFS('Non-labour_inputs'!GJ$8:GJ$112,'Non-labour_inputs'!$C$8:$C$112,$B95,'Non-labour_inputs'!$B$8:$B$112,$B$90)</f>
        <v>0</v>
      </c>
      <c r="F95" s="207">
        <f>SUMIFS('Non-labour_inputs'!GK$8:GK$112,'Non-labour_inputs'!$C$8:$C$112,$B95,'Non-labour_inputs'!$B$8:$B$112,$B$90)</f>
        <v>0</v>
      </c>
      <c r="G95" s="207">
        <f>SUMIFS('Non-labour_inputs'!GL$8:GL$112,'Non-labour_inputs'!$C$8:$C$112,$B95,'Non-labour_inputs'!$B$8:$B$112,$B$90)</f>
        <v>0</v>
      </c>
      <c r="H95" s="207">
        <f>SUMIFS('Non-labour_inputs'!GM$8:GM$112,'Non-labour_inputs'!$C$8:$C$112,$B95,'Non-labour_inputs'!$B$8:$B$112,$B$90)</f>
        <v>0</v>
      </c>
      <c r="I95" s="207">
        <f>SUMIFS('Non-labour_inputs'!GN$8:GN$112,'Non-labour_inputs'!$C$8:$C$112,$B95,'Non-labour_inputs'!$B$8:$B$112,$B$90)</f>
        <v>0</v>
      </c>
      <c r="J95" s="207">
        <f t="shared" si="75"/>
        <v>0</v>
      </c>
      <c r="L95" s="207">
        <f>SUMIFS('Non-labour_inputs'!GR$8:GR$112,'Non-labour_inputs'!$C$8:$C$112,$B95,'Non-labour_inputs'!$B$8:$B$112,$B$90)</f>
        <v>0</v>
      </c>
    </row>
    <row r="96" spans="2:15" x14ac:dyDescent="0.3">
      <c r="B96" s="206"/>
      <c r="C96" s="207">
        <f>SUMIFS('Non-labour_inputs'!GH$8:GH$112,'Non-labour_inputs'!$C$8:$C$112,$B96,'Non-labour_inputs'!$B$8:$B$112,$B$90)</f>
        <v>0</v>
      </c>
      <c r="D96" s="207">
        <f>SUMIFS('Non-labour_inputs'!GI$8:GI$112,'Non-labour_inputs'!$C$8:$C$112,$B96,'Non-labour_inputs'!$B$8:$B$112,$B$90)</f>
        <v>0</v>
      </c>
      <c r="E96" s="207">
        <f>SUMIFS('Non-labour_inputs'!GJ$8:GJ$112,'Non-labour_inputs'!$C$8:$C$112,$B96,'Non-labour_inputs'!$B$8:$B$112,$B$90)</f>
        <v>0</v>
      </c>
      <c r="F96" s="207">
        <f>SUMIFS('Non-labour_inputs'!GK$8:GK$112,'Non-labour_inputs'!$C$8:$C$112,$B96,'Non-labour_inputs'!$B$8:$B$112,$B$90)</f>
        <v>0</v>
      </c>
      <c r="G96" s="207">
        <f>SUMIFS('Non-labour_inputs'!GL$8:GL$112,'Non-labour_inputs'!$C$8:$C$112,$B96,'Non-labour_inputs'!$B$8:$B$112,$B$90)</f>
        <v>0</v>
      </c>
      <c r="H96" s="207">
        <f>SUMIFS('Non-labour_inputs'!GM$8:GM$112,'Non-labour_inputs'!$C$8:$C$112,$B96,'Non-labour_inputs'!$B$8:$B$112,$B$90)</f>
        <v>0</v>
      </c>
      <c r="I96" s="207">
        <f>SUMIFS('Non-labour_inputs'!GN$8:GN$112,'Non-labour_inputs'!$C$8:$C$112,$B96,'Non-labour_inputs'!$B$8:$B$112,$B$90)</f>
        <v>0</v>
      </c>
      <c r="J96" s="207">
        <f t="shared" si="75"/>
        <v>0</v>
      </c>
      <c r="L96" s="207">
        <f>SUMIFS('Non-labour_inputs'!GR$8:GR$112,'Non-labour_inputs'!$C$8:$C$112,$B96,'Non-labour_inputs'!$B$8:$B$112,$B$90)</f>
        <v>0</v>
      </c>
    </row>
    <row r="97" spans="2:15" x14ac:dyDescent="0.3">
      <c r="B97" s="206"/>
      <c r="C97" s="207">
        <f>SUMIFS('Non-labour_inputs'!GH$8:GH$112,'Non-labour_inputs'!$C$8:$C$112,$B97,'Non-labour_inputs'!$B$8:$B$112,$B$90)</f>
        <v>0</v>
      </c>
      <c r="D97" s="207">
        <f>SUMIFS('Non-labour_inputs'!GI$8:GI$112,'Non-labour_inputs'!$C$8:$C$112,$B97,'Non-labour_inputs'!$B$8:$B$112,$B$90)</f>
        <v>0</v>
      </c>
      <c r="E97" s="207">
        <f>SUMIFS('Non-labour_inputs'!GJ$8:GJ$112,'Non-labour_inputs'!$C$8:$C$112,$B97,'Non-labour_inputs'!$B$8:$B$112,$B$90)</f>
        <v>0</v>
      </c>
      <c r="F97" s="207">
        <f>SUMIFS('Non-labour_inputs'!GK$8:GK$112,'Non-labour_inputs'!$C$8:$C$112,$B97,'Non-labour_inputs'!$B$8:$B$112,$B$90)</f>
        <v>0</v>
      </c>
      <c r="G97" s="207">
        <f>SUMIFS('Non-labour_inputs'!GL$8:GL$112,'Non-labour_inputs'!$C$8:$C$112,$B97,'Non-labour_inputs'!$B$8:$B$112,$B$90)</f>
        <v>0</v>
      </c>
      <c r="H97" s="207">
        <f>SUMIFS('Non-labour_inputs'!GM$8:GM$112,'Non-labour_inputs'!$C$8:$C$112,$B97,'Non-labour_inputs'!$B$8:$B$112,$B$90)</f>
        <v>0</v>
      </c>
      <c r="I97" s="207">
        <f>SUMIFS('Non-labour_inputs'!GN$8:GN$112,'Non-labour_inputs'!$C$8:$C$112,$B97,'Non-labour_inputs'!$B$8:$B$112,$B$90)</f>
        <v>0</v>
      </c>
      <c r="J97" s="207">
        <f t="shared" si="75"/>
        <v>0</v>
      </c>
      <c r="L97" s="207">
        <f>SUMIFS('Non-labour_inputs'!GR$8:GR$112,'Non-labour_inputs'!$C$8:$C$112,$B97,'Non-labour_inputs'!$B$8:$B$112,$B$90)</f>
        <v>0</v>
      </c>
    </row>
    <row r="98" spans="2:15" x14ac:dyDescent="0.3">
      <c r="B98" s="206"/>
      <c r="C98" s="207">
        <f>SUMIFS('Non-labour_inputs'!GH$8:GH$112,'Non-labour_inputs'!$C$8:$C$112,$B98,'Non-labour_inputs'!$B$8:$B$112,$B$90)</f>
        <v>0</v>
      </c>
      <c r="D98" s="207">
        <f>SUMIFS('Non-labour_inputs'!GI$8:GI$112,'Non-labour_inputs'!$C$8:$C$112,$B98,'Non-labour_inputs'!$B$8:$B$112,$B$90)</f>
        <v>0</v>
      </c>
      <c r="E98" s="207">
        <f>SUMIFS('Non-labour_inputs'!GJ$8:GJ$112,'Non-labour_inputs'!$C$8:$C$112,$B98,'Non-labour_inputs'!$B$8:$B$112,$B$90)</f>
        <v>0</v>
      </c>
      <c r="F98" s="207">
        <f>SUMIFS('Non-labour_inputs'!GK$8:GK$112,'Non-labour_inputs'!$C$8:$C$112,$B98,'Non-labour_inputs'!$B$8:$B$112,$B$90)</f>
        <v>0</v>
      </c>
      <c r="G98" s="207">
        <f>SUMIFS('Non-labour_inputs'!GL$8:GL$112,'Non-labour_inputs'!$C$8:$C$112,$B98,'Non-labour_inputs'!$B$8:$B$112,$B$90)</f>
        <v>0</v>
      </c>
      <c r="H98" s="207">
        <f>SUMIFS('Non-labour_inputs'!GM$8:GM$112,'Non-labour_inputs'!$C$8:$C$112,$B98,'Non-labour_inputs'!$B$8:$B$112,$B$90)</f>
        <v>0</v>
      </c>
      <c r="I98" s="207">
        <f>SUMIFS('Non-labour_inputs'!GN$8:GN$112,'Non-labour_inputs'!$C$8:$C$112,$B98,'Non-labour_inputs'!$B$8:$B$112,$B$90)</f>
        <v>0</v>
      </c>
      <c r="J98" s="207">
        <f t="shared" si="75"/>
        <v>0</v>
      </c>
      <c r="L98" s="207">
        <f>SUMIFS('Non-labour_inputs'!GR$8:GR$112,'Non-labour_inputs'!$C$8:$C$112,$B98,'Non-labour_inputs'!$B$8:$B$112,$B$90)</f>
        <v>0</v>
      </c>
    </row>
    <row r="99" spans="2:15" x14ac:dyDescent="0.3">
      <c r="B99" s="206"/>
      <c r="C99" s="207">
        <f>SUMIFS('Non-labour_inputs'!GH$8:GH$112,'Non-labour_inputs'!$C$8:$C$112,$B99,'Non-labour_inputs'!$B$8:$B$112,$B$90)</f>
        <v>0</v>
      </c>
      <c r="D99" s="207">
        <f>SUMIFS('Non-labour_inputs'!GI$8:GI$112,'Non-labour_inputs'!$C$8:$C$112,$B99,'Non-labour_inputs'!$B$8:$B$112,$B$90)</f>
        <v>0</v>
      </c>
      <c r="E99" s="207">
        <f>SUMIFS('Non-labour_inputs'!GJ$8:GJ$112,'Non-labour_inputs'!$C$8:$C$112,$B99,'Non-labour_inputs'!$B$8:$B$112,$B$90)</f>
        <v>0</v>
      </c>
      <c r="F99" s="207">
        <f>SUMIFS('Non-labour_inputs'!GK$8:GK$112,'Non-labour_inputs'!$C$8:$C$112,$B99,'Non-labour_inputs'!$B$8:$B$112,$B$90)</f>
        <v>0</v>
      </c>
      <c r="G99" s="207">
        <f>SUMIFS('Non-labour_inputs'!GL$8:GL$112,'Non-labour_inputs'!$C$8:$C$112,$B99,'Non-labour_inputs'!$B$8:$B$112,$B$90)</f>
        <v>0</v>
      </c>
      <c r="H99" s="207">
        <f>SUMIFS('Non-labour_inputs'!GM$8:GM$112,'Non-labour_inputs'!$C$8:$C$112,$B99,'Non-labour_inputs'!$B$8:$B$112,$B$90)</f>
        <v>0</v>
      </c>
      <c r="I99" s="207">
        <f>SUMIFS('Non-labour_inputs'!GN$8:GN$112,'Non-labour_inputs'!$C$8:$C$112,$B99,'Non-labour_inputs'!$B$8:$B$112,$B$90)</f>
        <v>0</v>
      </c>
      <c r="J99" s="207">
        <f t="shared" si="75"/>
        <v>0</v>
      </c>
      <c r="L99" s="207">
        <f>SUMIFS('Non-labour_inputs'!GR$8:GR$112,'Non-labour_inputs'!$C$8:$C$112,$B99,'Non-labour_inputs'!$B$8:$B$112,$B$90)</f>
        <v>0</v>
      </c>
    </row>
    <row r="100" spans="2:15" x14ac:dyDescent="0.3">
      <c r="B100" s="206"/>
      <c r="C100" s="207">
        <f>SUMIFS('Non-labour_inputs'!GH$8:GH$112,'Non-labour_inputs'!$C$8:$C$112,$B100,'Non-labour_inputs'!$B$8:$B$112,$B$90)</f>
        <v>0</v>
      </c>
      <c r="D100" s="207">
        <f>SUMIFS('Non-labour_inputs'!GI$8:GI$112,'Non-labour_inputs'!$C$8:$C$112,$B100,'Non-labour_inputs'!$B$8:$B$112,$B$90)</f>
        <v>0</v>
      </c>
      <c r="E100" s="207">
        <f>SUMIFS('Non-labour_inputs'!GJ$8:GJ$112,'Non-labour_inputs'!$C$8:$C$112,$B100,'Non-labour_inputs'!$B$8:$B$112,$B$90)</f>
        <v>0</v>
      </c>
      <c r="F100" s="207">
        <f>SUMIFS('Non-labour_inputs'!GK$8:GK$112,'Non-labour_inputs'!$C$8:$C$112,$B100,'Non-labour_inputs'!$B$8:$B$112,$B$90)</f>
        <v>0</v>
      </c>
      <c r="G100" s="207">
        <f>SUMIFS('Non-labour_inputs'!GL$8:GL$112,'Non-labour_inputs'!$C$8:$C$112,$B100,'Non-labour_inputs'!$B$8:$B$112,$B$90)</f>
        <v>0</v>
      </c>
      <c r="H100" s="207">
        <f>SUMIFS('Non-labour_inputs'!GM$8:GM$112,'Non-labour_inputs'!$C$8:$C$112,$B100,'Non-labour_inputs'!$B$8:$B$112,$B$90)</f>
        <v>0</v>
      </c>
      <c r="I100" s="207">
        <f>SUMIFS('Non-labour_inputs'!GN$8:GN$112,'Non-labour_inputs'!$C$8:$C$112,$B100,'Non-labour_inputs'!$B$8:$B$112,$B$90)</f>
        <v>0</v>
      </c>
      <c r="J100" s="207">
        <f t="shared" si="75"/>
        <v>0</v>
      </c>
      <c r="L100" s="207">
        <f>SUMIFS('Non-labour_inputs'!GR$8:GR$112,'Non-labour_inputs'!$C$8:$C$112,$B100,'Non-labour_inputs'!$B$8:$B$112,$B$90)</f>
        <v>0</v>
      </c>
    </row>
    <row r="101" spans="2:15" x14ac:dyDescent="0.3">
      <c r="B101" s="206"/>
      <c r="C101" s="207">
        <f>SUMIFS('Non-labour_inputs'!GH$8:GH$112,'Non-labour_inputs'!$C$8:$C$112,$B101,'Non-labour_inputs'!$B$8:$B$112,$B$90)</f>
        <v>0</v>
      </c>
      <c r="D101" s="207">
        <f>SUMIFS('Non-labour_inputs'!GI$8:GI$112,'Non-labour_inputs'!$C$8:$C$112,$B101,'Non-labour_inputs'!$B$8:$B$112,$B$90)</f>
        <v>0</v>
      </c>
      <c r="E101" s="207">
        <f>SUMIFS('Non-labour_inputs'!GJ$8:GJ$112,'Non-labour_inputs'!$C$8:$C$112,$B101,'Non-labour_inputs'!$B$8:$B$112,$B$90)</f>
        <v>0</v>
      </c>
      <c r="F101" s="207">
        <f>SUMIFS('Non-labour_inputs'!GK$8:GK$112,'Non-labour_inputs'!$C$8:$C$112,$B101,'Non-labour_inputs'!$B$8:$B$112,$B$90)</f>
        <v>0</v>
      </c>
      <c r="G101" s="207">
        <f>SUMIFS('Non-labour_inputs'!GL$8:GL$112,'Non-labour_inputs'!$C$8:$C$112,$B101,'Non-labour_inputs'!$B$8:$B$112,$B$90)</f>
        <v>0</v>
      </c>
      <c r="H101" s="207">
        <f>SUMIFS('Non-labour_inputs'!GM$8:GM$112,'Non-labour_inputs'!$C$8:$C$112,$B101,'Non-labour_inputs'!$B$8:$B$112,$B$90)</f>
        <v>0</v>
      </c>
      <c r="I101" s="207">
        <f>SUMIFS('Non-labour_inputs'!GN$8:GN$112,'Non-labour_inputs'!$C$8:$C$112,$B101,'Non-labour_inputs'!$B$8:$B$112,$B$90)</f>
        <v>0</v>
      </c>
      <c r="J101" s="207">
        <f t="shared" si="75"/>
        <v>0</v>
      </c>
      <c r="L101" s="207">
        <f>SUMIFS('Non-labour_inputs'!GR$8:GR$112,'Non-labour_inputs'!$C$8:$C$112,$B101,'Non-labour_inputs'!$B$8:$B$112,$B$90)</f>
        <v>0</v>
      </c>
    </row>
    <row r="102" spans="2:15" x14ac:dyDescent="0.3">
      <c r="B102" s="206"/>
      <c r="C102" s="207">
        <f>SUMIFS('Non-labour_inputs'!GH$8:GH$112,'Non-labour_inputs'!$C$8:$C$112,$B102,'Non-labour_inputs'!$B$8:$B$112,$B$90)</f>
        <v>0</v>
      </c>
      <c r="D102" s="207">
        <f>SUMIFS('Non-labour_inputs'!GI$8:GI$112,'Non-labour_inputs'!$C$8:$C$112,$B102,'Non-labour_inputs'!$B$8:$B$112,$B$90)</f>
        <v>0</v>
      </c>
      <c r="E102" s="207">
        <f>SUMIFS('Non-labour_inputs'!GJ$8:GJ$112,'Non-labour_inputs'!$C$8:$C$112,$B102,'Non-labour_inputs'!$B$8:$B$112,$B$90)</f>
        <v>0</v>
      </c>
      <c r="F102" s="207">
        <f>SUMIFS('Non-labour_inputs'!GK$8:GK$112,'Non-labour_inputs'!$C$8:$C$112,$B102,'Non-labour_inputs'!$B$8:$B$112,$B$90)</f>
        <v>0</v>
      </c>
      <c r="G102" s="207">
        <f>SUMIFS('Non-labour_inputs'!GL$8:GL$112,'Non-labour_inputs'!$C$8:$C$112,$B102,'Non-labour_inputs'!$B$8:$B$112,$B$90)</f>
        <v>0</v>
      </c>
      <c r="H102" s="207">
        <f>SUMIFS('Non-labour_inputs'!GM$8:GM$112,'Non-labour_inputs'!$C$8:$C$112,$B102,'Non-labour_inputs'!$B$8:$B$112,$B$90)</f>
        <v>0</v>
      </c>
      <c r="I102" s="207">
        <f>SUMIFS('Non-labour_inputs'!GN$8:GN$112,'Non-labour_inputs'!$C$8:$C$112,$B102,'Non-labour_inputs'!$B$8:$B$112,$B$90)</f>
        <v>0</v>
      </c>
      <c r="J102" s="207">
        <f t="shared" si="75"/>
        <v>0</v>
      </c>
      <c r="L102" s="207">
        <f>SUMIFS('Non-labour_inputs'!GR$8:GR$112,'Non-labour_inputs'!$C$8:$C$112,$B102,'Non-labour_inputs'!$B$8:$B$112,$B$90)</f>
        <v>0</v>
      </c>
    </row>
    <row r="103" spans="2:15" x14ac:dyDescent="0.3">
      <c r="B103" s="206"/>
      <c r="C103" s="207">
        <f>SUMIFS('Non-labour_inputs'!GH$8:GH$112,'Non-labour_inputs'!$C$8:$C$112,$B103,'Non-labour_inputs'!$B$8:$B$112,$B$90)</f>
        <v>0</v>
      </c>
      <c r="D103" s="207">
        <f>SUMIFS('Non-labour_inputs'!GI$8:GI$112,'Non-labour_inputs'!$C$8:$C$112,$B103,'Non-labour_inputs'!$B$8:$B$112,$B$90)</f>
        <v>0</v>
      </c>
      <c r="E103" s="207">
        <f>SUMIFS('Non-labour_inputs'!GJ$8:GJ$112,'Non-labour_inputs'!$C$8:$C$112,$B103,'Non-labour_inputs'!$B$8:$B$112,$B$90)</f>
        <v>0</v>
      </c>
      <c r="F103" s="207">
        <f>SUMIFS('Non-labour_inputs'!GK$8:GK$112,'Non-labour_inputs'!$C$8:$C$112,$B103,'Non-labour_inputs'!$B$8:$B$112,$B$90)</f>
        <v>0</v>
      </c>
      <c r="G103" s="207">
        <f>SUMIFS('Non-labour_inputs'!GL$8:GL$112,'Non-labour_inputs'!$C$8:$C$112,$B103,'Non-labour_inputs'!$B$8:$B$112,$B$90)</f>
        <v>0</v>
      </c>
      <c r="H103" s="207">
        <f>SUMIFS('Non-labour_inputs'!GM$8:GM$112,'Non-labour_inputs'!$C$8:$C$112,$B103,'Non-labour_inputs'!$B$8:$B$112,$B$90)</f>
        <v>0</v>
      </c>
      <c r="I103" s="207">
        <f>SUMIFS('Non-labour_inputs'!GN$8:GN$112,'Non-labour_inputs'!$C$8:$C$112,$B103,'Non-labour_inputs'!$B$8:$B$112,$B$90)</f>
        <v>0</v>
      </c>
      <c r="J103" s="207">
        <f t="shared" si="75"/>
        <v>0</v>
      </c>
      <c r="L103" s="207">
        <f>SUMIFS('Non-labour_inputs'!GR$8:GR$112,'Non-labour_inputs'!$C$8:$C$112,$B103,'Non-labour_inputs'!$B$8:$B$112,$B$90)</f>
        <v>0</v>
      </c>
    </row>
    <row r="104" spans="2:15" x14ac:dyDescent="0.3">
      <c r="B104" s="206"/>
      <c r="C104" s="207">
        <f>SUMIFS('Non-labour_inputs'!GH$8:GH$112,'Non-labour_inputs'!$C$8:$C$112,$B104,'Non-labour_inputs'!$B$8:$B$112,$B$90)</f>
        <v>0</v>
      </c>
      <c r="D104" s="207">
        <f>SUMIFS('Non-labour_inputs'!GI$8:GI$112,'Non-labour_inputs'!$C$8:$C$112,$B104,'Non-labour_inputs'!$B$8:$B$112,$B$90)</f>
        <v>0</v>
      </c>
      <c r="E104" s="207">
        <f>SUMIFS('Non-labour_inputs'!GJ$8:GJ$112,'Non-labour_inputs'!$C$8:$C$112,$B104,'Non-labour_inputs'!$B$8:$B$112,$B$90)</f>
        <v>0</v>
      </c>
      <c r="F104" s="207">
        <f>SUMIFS('Non-labour_inputs'!GK$8:GK$112,'Non-labour_inputs'!$C$8:$C$112,$B104,'Non-labour_inputs'!$B$8:$B$112,$B$90)</f>
        <v>0</v>
      </c>
      <c r="G104" s="207">
        <f>SUMIFS('Non-labour_inputs'!GL$8:GL$112,'Non-labour_inputs'!$C$8:$C$112,$B104,'Non-labour_inputs'!$B$8:$B$112,$B$90)</f>
        <v>0</v>
      </c>
      <c r="H104" s="207">
        <f>SUMIFS('Non-labour_inputs'!GM$8:GM$112,'Non-labour_inputs'!$C$8:$C$112,$B104,'Non-labour_inputs'!$B$8:$B$112,$B$90)</f>
        <v>0</v>
      </c>
      <c r="I104" s="207">
        <f>SUMIFS('Non-labour_inputs'!GN$8:GN$112,'Non-labour_inputs'!$C$8:$C$112,$B104,'Non-labour_inputs'!$B$8:$B$112,$B$90)</f>
        <v>0</v>
      </c>
      <c r="J104" s="207">
        <f t="shared" si="75"/>
        <v>0</v>
      </c>
      <c r="L104" s="207">
        <f>SUMIFS('Non-labour_inputs'!GR$8:GR$112,'Non-labour_inputs'!$C$8:$C$112,$B104,'Non-labour_inputs'!$B$8:$B$112,$B$90)</f>
        <v>0</v>
      </c>
    </row>
    <row r="105" spans="2:15" x14ac:dyDescent="0.3">
      <c r="B105" s="206"/>
      <c r="C105" s="207">
        <f>SUMIFS('Non-labour_inputs'!GH$8:GH$112,'Non-labour_inputs'!$C$8:$C$112,$B105,'Non-labour_inputs'!$B$8:$B$112,$B$90)</f>
        <v>0</v>
      </c>
      <c r="D105" s="207">
        <f>SUMIFS('Non-labour_inputs'!GI$8:GI$112,'Non-labour_inputs'!$C$8:$C$112,$B105,'Non-labour_inputs'!$B$8:$B$112,$B$90)</f>
        <v>0</v>
      </c>
      <c r="E105" s="207">
        <f>SUMIFS('Non-labour_inputs'!GJ$8:GJ$112,'Non-labour_inputs'!$C$8:$C$112,$B105,'Non-labour_inputs'!$B$8:$B$112,$B$90)</f>
        <v>0</v>
      </c>
      <c r="F105" s="207">
        <f>SUMIFS('Non-labour_inputs'!GK$8:GK$112,'Non-labour_inputs'!$C$8:$C$112,$B105,'Non-labour_inputs'!$B$8:$B$112,$B$90)</f>
        <v>0</v>
      </c>
      <c r="G105" s="207">
        <f>SUMIFS('Non-labour_inputs'!GL$8:GL$112,'Non-labour_inputs'!$C$8:$C$112,$B105,'Non-labour_inputs'!$B$8:$B$112,$B$90)</f>
        <v>0</v>
      </c>
      <c r="H105" s="207">
        <f>SUMIFS('Non-labour_inputs'!GM$8:GM$112,'Non-labour_inputs'!$C$8:$C$112,$B105,'Non-labour_inputs'!$B$8:$B$112,$B$90)</f>
        <v>0</v>
      </c>
      <c r="I105" s="207">
        <f>SUMIFS('Non-labour_inputs'!GN$8:GN$112,'Non-labour_inputs'!$C$8:$C$112,$B105,'Non-labour_inputs'!$B$8:$B$112,$B$90)</f>
        <v>0</v>
      </c>
      <c r="J105" s="207">
        <f t="shared" si="75"/>
        <v>0</v>
      </c>
      <c r="L105" s="207">
        <f>SUMIFS('Non-labour_inputs'!GR$8:GR$112,'Non-labour_inputs'!$C$8:$C$112,$B105,'Non-labour_inputs'!$B$8:$B$112,$B$90)</f>
        <v>0</v>
      </c>
    </row>
    <row r="106" spans="2:15" x14ac:dyDescent="0.3">
      <c r="B106" s="206"/>
      <c r="C106" s="207">
        <f>SUMIFS('Non-labour_inputs'!GH$8:GH$112,'Non-labour_inputs'!$C$8:$C$112,$B106,'Non-labour_inputs'!$B$8:$B$112,$B$90)</f>
        <v>0</v>
      </c>
      <c r="D106" s="207">
        <f>SUMIFS('Non-labour_inputs'!GI$8:GI$112,'Non-labour_inputs'!$C$8:$C$112,$B106,'Non-labour_inputs'!$B$8:$B$112,$B$90)</f>
        <v>0</v>
      </c>
      <c r="E106" s="207">
        <f>SUMIFS('Non-labour_inputs'!GJ$8:GJ$112,'Non-labour_inputs'!$C$8:$C$112,$B106,'Non-labour_inputs'!$B$8:$B$112,$B$90)</f>
        <v>0</v>
      </c>
      <c r="F106" s="207">
        <f>SUMIFS('Non-labour_inputs'!GK$8:GK$112,'Non-labour_inputs'!$C$8:$C$112,$B106,'Non-labour_inputs'!$B$8:$B$112,$B$90)</f>
        <v>0</v>
      </c>
      <c r="G106" s="207">
        <f>SUMIFS('Non-labour_inputs'!GL$8:GL$112,'Non-labour_inputs'!$C$8:$C$112,$B106,'Non-labour_inputs'!$B$8:$B$112,$B$90)</f>
        <v>0</v>
      </c>
      <c r="H106" s="207">
        <f>SUMIFS('Non-labour_inputs'!GM$8:GM$112,'Non-labour_inputs'!$C$8:$C$112,$B106,'Non-labour_inputs'!$B$8:$B$112,$B$90)</f>
        <v>0</v>
      </c>
      <c r="I106" s="207">
        <f>SUMIFS('Non-labour_inputs'!GN$8:GN$112,'Non-labour_inputs'!$C$8:$C$112,$B106,'Non-labour_inputs'!$B$8:$B$112,$B$90)</f>
        <v>0</v>
      </c>
      <c r="J106" s="207">
        <f t="shared" si="75"/>
        <v>0</v>
      </c>
      <c r="L106" s="207">
        <f>SUMIFS('Non-labour_inputs'!GR$8:GR$112,'Non-labour_inputs'!$C$8:$C$112,$B106,'Non-labour_inputs'!$B$8:$B$112,$B$90)</f>
        <v>0</v>
      </c>
    </row>
    <row r="107" spans="2:15" x14ac:dyDescent="0.3">
      <c r="B107" s="206"/>
      <c r="C107" s="207">
        <f>SUMIFS('Non-labour_inputs'!GH$8:GH$112,'Non-labour_inputs'!$C$8:$C$112,$B107,'Non-labour_inputs'!$B$8:$B$112,$B$90)</f>
        <v>0</v>
      </c>
      <c r="D107" s="207">
        <f>SUMIFS('Non-labour_inputs'!GI$8:GI$112,'Non-labour_inputs'!$C$8:$C$112,$B107,'Non-labour_inputs'!$B$8:$B$112,$B$90)</f>
        <v>0</v>
      </c>
      <c r="E107" s="207">
        <f>SUMIFS('Non-labour_inputs'!GJ$8:GJ$112,'Non-labour_inputs'!$C$8:$C$112,$B107,'Non-labour_inputs'!$B$8:$B$112,$B$90)</f>
        <v>0</v>
      </c>
      <c r="F107" s="207">
        <f>SUMIFS('Non-labour_inputs'!GK$8:GK$112,'Non-labour_inputs'!$C$8:$C$112,$B107,'Non-labour_inputs'!$B$8:$B$112,$B$90)</f>
        <v>0</v>
      </c>
      <c r="G107" s="207">
        <f>SUMIFS('Non-labour_inputs'!GL$8:GL$112,'Non-labour_inputs'!$C$8:$C$112,$B107,'Non-labour_inputs'!$B$8:$B$112,$B$90)</f>
        <v>0</v>
      </c>
      <c r="H107" s="207">
        <f>SUMIFS('Non-labour_inputs'!GM$8:GM$112,'Non-labour_inputs'!$C$8:$C$112,$B107,'Non-labour_inputs'!$B$8:$B$112,$B$90)</f>
        <v>0</v>
      </c>
      <c r="I107" s="207">
        <f>SUMIFS('Non-labour_inputs'!GN$8:GN$112,'Non-labour_inputs'!$C$8:$C$112,$B107,'Non-labour_inputs'!$B$8:$B$112,$B$90)</f>
        <v>0</v>
      </c>
      <c r="J107" s="207">
        <f t="shared" si="75"/>
        <v>0</v>
      </c>
      <c r="L107" s="207">
        <f>SUMIFS('Non-labour_inputs'!GR$8:GR$112,'Non-labour_inputs'!$C$8:$C$112,$B107,'Non-labour_inputs'!$B$8:$B$112,$B$90)</f>
        <v>0</v>
      </c>
    </row>
    <row r="108" spans="2:15" x14ac:dyDescent="0.3">
      <c r="B108" s="208" t="s">
        <v>133</v>
      </c>
      <c r="C108" s="209">
        <f t="shared" ref="C108:J108" si="76">SUM(C93:C107)</f>
        <v>0</v>
      </c>
      <c r="D108" s="209">
        <f t="shared" si="76"/>
        <v>0</v>
      </c>
      <c r="E108" s="209">
        <f t="shared" si="76"/>
        <v>0</v>
      </c>
      <c r="F108" s="209">
        <f t="shared" si="76"/>
        <v>0</v>
      </c>
      <c r="G108" s="209">
        <f t="shared" si="76"/>
        <v>0</v>
      </c>
      <c r="H108" s="209">
        <f t="shared" si="76"/>
        <v>0</v>
      </c>
      <c r="I108" s="209">
        <f t="shared" si="76"/>
        <v>0</v>
      </c>
      <c r="J108" s="209">
        <f t="shared" si="76"/>
        <v>0</v>
      </c>
      <c r="L108" s="209">
        <f t="shared" ref="L108" si="77">SUM(L93:L107)</f>
        <v>0</v>
      </c>
    </row>
    <row r="109" spans="2:15" s="65" customFormat="1" ht="12.75" x14ac:dyDescent="0.2"/>
    <row r="110" spans="2:15" ht="16.5" x14ac:dyDescent="0.3">
      <c r="B110" s="206" t="s">
        <v>134</v>
      </c>
      <c r="C110" s="224" t="str">
        <f t="shared" ref="C110:I110" si="78">IF(C108=_xlfn.XLOOKUP($B90,$B$11:$B$23,C$11:C$23,0),"OK","ERROR")</f>
        <v>OK</v>
      </c>
      <c r="D110" s="224" t="str">
        <f t="shared" si="78"/>
        <v>OK</v>
      </c>
      <c r="E110" s="224" t="str">
        <f t="shared" si="78"/>
        <v>OK</v>
      </c>
      <c r="F110" s="224" t="str">
        <f t="shared" si="78"/>
        <v>OK</v>
      </c>
      <c r="G110" s="224" t="str">
        <f t="shared" si="78"/>
        <v>OK</v>
      </c>
      <c r="H110" s="224" t="str">
        <f t="shared" si="78"/>
        <v>OK</v>
      </c>
      <c r="I110" s="224" t="str">
        <f t="shared" si="78"/>
        <v>OK</v>
      </c>
      <c r="J110" s="65"/>
      <c r="L110" s="224" t="str">
        <f t="shared" ref="L110" si="79">IF(L108=_xlfn.XLOOKUP($B90,$B$11:$B$23,L$11:L$23,0),"OK","ERROR")</f>
        <v>OK</v>
      </c>
      <c r="O110" s="49"/>
    </row>
    <row r="111" spans="2:15" x14ac:dyDescent="0.3">
      <c r="B111" s="42"/>
      <c r="F111" s="42"/>
      <c r="N111" s="49"/>
      <c r="O111" s="49"/>
    </row>
    <row r="112" spans="2:15" s="65" customFormat="1" ht="12.75" x14ac:dyDescent="0.2">
      <c r="B112" s="221" t="str">
        <f>B59</f>
        <v>Project Delivery Management - Project Engineering</v>
      </c>
      <c r="C112" s="118"/>
      <c r="D112" s="118"/>
      <c r="E112" s="132" t="str">
        <f>"(Real "&amp;'Key assumptions'!$D$11&amp;")"</f>
        <v>(Real $RY2026)</v>
      </c>
      <c r="F112" s="118"/>
      <c r="G112" s="118"/>
      <c r="H112" s="118"/>
      <c r="I112" s="118"/>
      <c r="J112" s="118"/>
      <c r="L112" s="118"/>
    </row>
    <row r="114" spans="2:12" ht="27" customHeight="1" x14ac:dyDescent="0.3">
      <c r="B114" s="136" t="s">
        <v>51</v>
      </c>
      <c r="C114" s="140" t="str" cm="1">
        <f t="array" ref="C114:I114">model_forecastperiod</f>
        <v>RY2026
01Feb-30Sep</v>
      </c>
      <c r="D114" s="140" t="str">
        <v>RY2027</v>
      </c>
      <c r="E114" s="140" t="str">
        <v>RY2028</v>
      </c>
      <c r="F114" s="140" t="str">
        <v>RY2029</v>
      </c>
      <c r="G114" s="140" t="str">
        <v>RY2030</v>
      </c>
      <c r="H114" s="140" t="str">
        <v>RY2031</v>
      </c>
      <c r="I114" s="140" t="str">
        <v>RY2032</v>
      </c>
      <c r="J114" s="140" t="s">
        <v>133</v>
      </c>
      <c r="L114" s="140"/>
    </row>
    <row r="115" spans="2:12" ht="26.45" customHeight="1" x14ac:dyDescent="0.3">
      <c r="B115" s="205" t="str" cm="1">
        <f t="array" ref="B115">IFERROR(_xlfn.UNIQUE(_xlfn._xlws.FILTER('Non-labour_inputs'!$C$8:$C$112,'Non-labour_inputs'!$B$8:$B$112=B112)),"")</f>
        <v/>
      </c>
      <c r="C115" s="207">
        <f>SUMIFS('Non-labour_inputs'!GH$8:GH$112,'Non-labour_inputs'!$C$8:$C$112,$B115,'Non-labour_inputs'!$B$8:$B$112,$B$112)</f>
        <v>0</v>
      </c>
      <c r="D115" s="207">
        <f>SUMIFS('Non-labour_inputs'!GI$8:GI$112,'Non-labour_inputs'!$C$8:$C$112,$B115,'Non-labour_inputs'!$B$8:$B$112,$B$112)</f>
        <v>0</v>
      </c>
      <c r="E115" s="207">
        <f>SUMIFS('Non-labour_inputs'!GJ$8:GJ$112,'Non-labour_inputs'!$C$8:$C$112,$B115,'Non-labour_inputs'!$B$8:$B$112,$B$112)</f>
        <v>0</v>
      </c>
      <c r="F115" s="207">
        <f>SUMIFS('Non-labour_inputs'!GK$8:GK$112,'Non-labour_inputs'!$C$8:$C$112,$B115,'Non-labour_inputs'!$B$8:$B$112,$B$112)</f>
        <v>0</v>
      </c>
      <c r="G115" s="207">
        <f>SUMIFS('Non-labour_inputs'!GL$8:GL$112,'Non-labour_inputs'!$C$8:$C$112,$B115,'Non-labour_inputs'!$B$8:$B$112,$B$112)</f>
        <v>0</v>
      </c>
      <c r="H115" s="207">
        <f>SUMIFS('Non-labour_inputs'!GM$8:GM$112,'Non-labour_inputs'!$C$8:$C$112,$B115,'Non-labour_inputs'!$B$8:$B$112,$B$112)</f>
        <v>0</v>
      </c>
      <c r="I115" s="207">
        <f>SUMIFS('Non-labour_inputs'!GN$8:GN$112,'Non-labour_inputs'!$C$8:$C$112,$B115,'Non-labour_inputs'!$B$8:$B$112,$B$112)</f>
        <v>0</v>
      </c>
      <c r="J115" s="207">
        <f t="shared" ref="J115:J129" si="80">SUM(C115:I115)</f>
        <v>0</v>
      </c>
      <c r="L115" s="207">
        <f>SUMIFS('Non-labour_inputs'!GR$8:GR$112,'Non-labour_inputs'!$C$8:$C$112,$B115,'Non-labour_inputs'!$B$8:$B$112,$B$112)</f>
        <v>0</v>
      </c>
    </row>
    <row r="116" spans="2:12" x14ac:dyDescent="0.3">
      <c r="B116" s="206"/>
      <c r="C116" s="207">
        <f>SUMIFS('Non-labour_inputs'!GH$8:GH$112,'Non-labour_inputs'!$C$8:$C$112,$B116,'Non-labour_inputs'!$B$8:$B$112,$B$112)</f>
        <v>0</v>
      </c>
      <c r="D116" s="207">
        <f>SUMIFS('Non-labour_inputs'!GI$8:GI$112,'Non-labour_inputs'!$C$8:$C$112,$B116,'Non-labour_inputs'!$B$8:$B$112,$B$112)</f>
        <v>0</v>
      </c>
      <c r="E116" s="207">
        <f>SUMIFS('Non-labour_inputs'!GJ$8:GJ$112,'Non-labour_inputs'!$C$8:$C$112,$B116,'Non-labour_inputs'!$B$8:$B$112,$B$112)</f>
        <v>0</v>
      </c>
      <c r="F116" s="207">
        <f>SUMIFS('Non-labour_inputs'!GK$8:GK$112,'Non-labour_inputs'!$C$8:$C$112,$B116,'Non-labour_inputs'!$B$8:$B$112,$B$112)</f>
        <v>0</v>
      </c>
      <c r="G116" s="207">
        <f>SUMIFS('Non-labour_inputs'!GL$8:GL$112,'Non-labour_inputs'!$C$8:$C$112,$B116,'Non-labour_inputs'!$B$8:$B$112,$B$112)</f>
        <v>0</v>
      </c>
      <c r="H116" s="207">
        <f>SUMIFS('Non-labour_inputs'!GM$8:GM$112,'Non-labour_inputs'!$C$8:$C$112,$B116,'Non-labour_inputs'!$B$8:$B$112,$B$112)</f>
        <v>0</v>
      </c>
      <c r="I116" s="207">
        <f>SUMIFS('Non-labour_inputs'!GN$8:GN$112,'Non-labour_inputs'!$C$8:$C$112,$B116,'Non-labour_inputs'!$B$8:$B$112,$B$112)</f>
        <v>0</v>
      </c>
      <c r="J116" s="207">
        <f t="shared" si="80"/>
        <v>0</v>
      </c>
      <c r="L116" s="207">
        <f>SUMIFS('Non-labour_inputs'!GR$8:GR$112,'Non-labour_inputs'!$C$8:$C$112,$B116,'Non-labour_inputs'!$B$8:$B$112,$B$112)</f>
        <v>0</v>
      </c>
    </row>
    <row r="117" spans="2:12" x14ac:dyDescent="0.3">
      <c r="B117" s="206"/>
      <c r="C117" s="207">
        <f>SUMIFS('Non-labour_inputs'!GH$8:GH$112,'Non-labour_inputs'!$C$8:$C$112,$B117,'Non-labour_inputs'!$B$8:$B$112,$B$112)</f>
        <v>0</v>
      </c>
      <c r="D117" s="207">
        <f>SUMIFS('Non-labour_inputs'!GI$8:GI$112,'Non-labour_inputs'!$C$8:$C$112,$B117,'Non-labour_inputs'!$B$8:$B$112,$B$112)</f>
        <v>0</v>
      </c>
      <c r="E117" s="207">
        <f>SUMIFS('Non-labour_inputs'!GJ$8:GJ$112,'Non-labour_inputs'!$C$8:$C$112,$B117,'Non-labour_inputs'!$B$8:$B$112,$B$112)</f>
        <v>0</v>
      </c>
      <c r="F117" s="207">
        <f>SUMIFS('Non-labour_inputs'!GK$8:GK$112,'Non-labour_inputs'!$C$8:$C$112,$B117,'Non-labour_inputs'!$B$8:$B$112,$B$112)</f>
        <v>0</v>
      </c>
      <c r="G117" s="207">
        <f>SUMIFS('Non-labour_inputs'!GL$8:GL$112,'Non-labour_inputs'!$C$8:$C$112,$B117,'Non-labour_inputs'!$B$8:$B$112,$B$112)</f>
        <v>0</v>
      </c>
      <c r="H117" s="207">
        <f>SUMIFS('Non-labour_inputs'!GM$8:GM$112,'Non-labour_inputs'!$C$8:$C$112,$B117,'Non-labour_inputs'!$B$8:$B$112,$B$112)</f>
        <v>0</v>
      </c>
      <c r="I117" s="207">
        <f>SUMIFS('Non-labour_inputs'!GN$8:GN$112,'Non-labour_inputs'!$C$8:$C$112,$B117,'Non-labour_inputs'!$B$8:$B$112,$B$112)</f>
        <v>0</v>
      </c>
      <c r="J117" s="207">
        <f t="shared" si="80"/>
        <v>0</v>
      </c>
      <c r="L117" s="207">
        <f>SUMIFS('Non-labour_inputs'!GR$8:GR$112,'Non-labour_inputs'!$C$8:$C$112,$B117,'Non-labour_inputs'!$B$8:$B$112,$B$112)</f>
        <v>0</v>
      </c>
    </row>
    <row r="118" spans="2:12" x14ac:dyDescent="0.3">
      <c r="B118" s="206"/>
      <c r="C118" s="207">
        <f>SUMIFS('Non-labour_inputs'!GH$8:GH$112,'Non-labour_inputs'!$C$8:$C$112,$B118,'Non-labour_inputs'!$B$8:$B$112,$B$112)</f>
        <v>0</v>
      </c>
      <c r="D118" s="207">
        <f>SUMIFS('Non-labour_inputs'!GI$8:GI$112,'Non-labour_inputs'!$C$8:$C$112,$B118,'Non-labour_inputs'!$B$8:$B$112,$B$112)</f>
        <v>0</v>
      </c>
      <c r="E118" s="207">
        <f>SUMIFS('Non-labour_inputs'!GJ$8:GJ$112,'Non-labour_inputs'!$C$8:$C$112,$B118,'Non-labour_inputs'!$B$8:$B$112,$B$112)</f>
        <v>0</v>
      </c>
      <c r="F118" s="207">
        <f>SUMIFS('Non-labour_inputs'!GK$8:GK$112,'Non-labour_inputs'!$C$8:$C$112,$B118,'Non-labour_inputs'!$B$8:$B$112,$B$112)</f>
        <v>0</v>
      </c>
      <c r="G118" s="207">
        <f>SUMIFS('Non-labour_inputs'!GL$8:GL$112,'Non-labour_inputs'!$C$8:$C$112,$B118,'Non-labour_inputs'!$B$8:$B$112,$B$112)</f>
        <v>0</v>
      </c>
      <c r="H118" s="207">
        <f>SUMIFS('Non-labour_inputs'!GM$8:GM$112,'Non-labour_inputs'!$C$8:$C$112,$B118,'Non-labour_inputs'!$B$8:$B$112,$B$112)</f>
        <v>0</v>
      </c>
      <c r="I118" s="207">
        <f>SUMIFS('Non-labour_inputs'!GN$8:GN$112,'Non-labour_inputs'!$C$8:$C$112,$B118,'Non-labour_inputs'!$B$8:$B$112,$B$112)</f>
        <v>0</v>
      </c>
      <c r="J118" s="207">
        <f t="shared" si="80"/>
        <v>0</v>
      </c>
      <c r="L118" s="207">
        <f>SUMIFS('Non-labour_inputs'!GR$8:GR$112,'Non-labour_inputs'!$C$8:$C$112,$B118,'Non-labour_inputs'!$B$8:$B$112,$B$112)</f>
        <v>0</v>
      </c>
    </row>
    <row r="119" spans="2:12" x14ac:dyDescent="0.3">
      <c r="B119" s="206"/>
      <c r="C119" s="207">
        <f>SUMIFS('Non-labour_inputs'!GH$8:GH$112,'Non-labour_inputs'!$C$8:$C$112,$B119,'Non-labour_inputs'!$B$8:$B$112,$B$112)</f>
        <v>0</v>
      </c>
      <c r="D119" s="207">
        <f>SUMIFS('Non-labour_inputs'!GI$8:GI$112,'Non-labour_inputs'!$C$8:$C$112,$B119,'Non-labour_inputs'!$B$8:$B$112,$B$112)</f>
        <v>0</v>
      </c>
      <c r="E119" s="207">
        <f>SUMIFS('Non-labour_inputs'!GJ$8:GJ$112,'Non-labour_inputs'!$C$8:$C$112,$B119,'Non-labour_inputs'!$B$8:$B$112,$B$112)</f>
        <v>0</v>
      </c>
      <c r="F119" s="207">
        <f>SUMIFS('Non-labour_inputs'!GK$8:GK$112,'Non-labour_inputs'!$C$8:$C$112,$B119,'Non-labour_inputs'!$B$8:$B$112,$B$112)</f>
        <v>0</v>
      </c>
      <c r="G119" s="207">
        <f>SUMIFS('Non-labour_inputs'!GL$8:GL$112,'Non-labour_inputs'!$C$8:$C$112,$B119,'Non-labour_inputs'!$B$8:$B$112,$B$112)</f>
        <v>0</v>
      </c>
      <c r="H119" s="207">
        <f>SUMIFS('Non-labour_inputs'!GM$8:GM$112,'Non-labour_inputs'!$C$8:$C$112,$B119,'Non-labour_inputs'!$B$8:$B$112,$B$112)</f>
        <v>0</v>
      </c>
      <c r="I119" s="207">
        <f>SUMIFS('Non-labour_inputs'!GN$8:GN$112,'Non-labour_inputs'!$C$8:$C$112,$B119,'Non-labour_inputs'!$B$8:$B$112,$B$112)</f>
        <v>0</v>
      </c>
      <c r="J119" s="207">
        <f t="shared" si="80"/>
        <v>0</v>
      </c>
      <c r="L119" s="207">
        <f>SUMIFS('Non-labour_inputs'!GR$8:GR$112,'Non-labour_inputs'!$C$8:$C$112,$B119,'Non-labour_inputs'!$B$8:$B$112,$B$112)</f>
        <v>0</v>
      </c>
    </row>
    <row r="120" spans="2:12" x14ac:dyDescent="0.3">
      <c r="B120" s="206"/>
      <c r="C120" s="207">
        <f>SUMIFS('Non-labour_inputs'!GH$8:GH$112,'Non-labour_inputs'!$C$8:$C$112,$B120,'Non-labour_inputs'!$B$8:$B$112,$B$112)</f>
        <v>0</v>
      </c>
      <c r="D120" s="207">
        <f>SUMIFS('Non-labour_inputs'!GI$8:GI$112,'Non-labour_inputs'!$C$8:$C$112,$B120,'Non-labour_inputs'!$B$8:$B$112,$B$112)</f>
        <v>0</v>
      </c>
      <c r="E120" s="207">
        <f>SUMIFS('Non-labour_inputs'!GJ$8:GJ$112,'Non-labour_inputs'!$C$8:$C$112,$B120,'Non-labour_inputs'!$B$8:$B$112,$B$112)</f>
        <v>0</v>
      </c>
      <c r="F120" s="207">
        <f>SUMIFS('Non-labour_inputs'!GK$8:GK$112,'Non-labour_inputs'!$C$8:$C$112,$B120,'Non-labour_inputs'!$B$8:$B$112,$B$112)</f>
        <v>0</v>
      </c>
      <c r="G120" s="207">
        <f>SUMIFS('Non-labour_inputs'!GL$8:GL$112,'Non-labour_inputs'!$C$8:$C$112,$B120,'Non-labour_inputs'!$B$8:$B$112,$B$112)</f>
        <v>0</v>
      </c>
      <c r="H120" s="207">
        <f>SUMIFS('Non-labour_inputs'!GM$8:GM$112,'Non-labour_inputs'!$C$8:$C$112,$B120,'Non-labour_inputs'!$B$8:$B$112,$B$112)</f>
        <v>0</v>
      </c>
      <c r="I120" s="207">
        <f>SUMIFS('Non-labour_inputs'!GN$8:GN$112,'Non-labour_inputs'!$C$8:$C$112,$B120,'Non-labour_inputs'!$B$8:$B$112,$B$112)</f>
        <v>0</v>
      </c>
      <c r="J120" s="207">
        <f t="shared" si="80"/>
        <v>0</v>
      </c>
      <c r="L120" s="207">
        <f>SUMIFS('Non-labour_inputs'!GR$8:GR$112,'Non-labour_inputs'!$C$8:$C$112,$B120,'Non-labour_inputs'!$B$8:$B$112,$B$112)</f>
        <v>0</v>
      </c>
    </row>
    <row r="121" spans="2:12" x14ac:dyDescent="0.3">
      <c r="B121" s="206"/>
      <c r="C121" s="207">
        <f>SUMIFS('Non-labour_inputs'!GH$8:GH$112,'Non-labour_inputs'!$C$8:$C$112,$B121,'Non-labour_inputs'!$B$8:$B$112,$B$112)</f>
        <v>0</v>
      </c>
      <c r="D121" s="207">
        <f>SUMIFS('Non-labour_inputs'!GI$8:GI$112,'Non-labour_inputs'!$C$8:$C$112,$B121,'Non-labour_inputs'!$B$8:$B$112,$B$112)</f>
        <v>0</v>
      </c>
      <c r="E121" s="207">
        <f>SUMIFS('Non-labour_inputs'!GJ$8:GJ$112,'Non-labour_inputs'!$C$8:$C$112,$B121,'Non-labour_inputs'!$B$8:$B$112,$B$112)</f>
        <v>0</v>
      </c>
      <c r="F121" s="207">
        <f>SUMIFS('Non-labour_inputs'!GK$8:GK$112,'Non-labour_inputs'!$C$8:$C$112,$B121,'Non-labour_inputs'!$B$8:$B$112,$B$112)</f>
        <v>0</v>
      </c>
      <c r="G121" s="207">
        <f>SUMIFS('Non-labour_inputs'!GL$8:GL$112,'Non-labour_inputs'!$C$8:$C$112,$B121,'Non-labour_inputs'!$B$8:$B$112,$B$112)</f>
        <v>0</v>
      </c>
      <c r="H121" s="207">
        <f>SUMIFS('Non-labour_inputs'!GM$8:GM$112,'Non-labour_inputs'!$C$8:$C$112,$B121,'Non-labour_inputs'!$B$8:$B$112,$B$112)</f>
        <v>0</v>
      </c>
      <c r="I121" s="207">
        <f>SUMIFS('Non-labour_inputs'!GN$8:GN$112,'Non-labour_inputs'!$C$8:$C$112,$B121,'Non-labour_inputs'!$B$8:$B$112,$B$112)</f>
        <v>0</v>
      </c>
      <c r="J121" s="207">
        <f t="shared" si="80"/>
        <v>0</v>
      </c>
      <c r="L121" s="207">
        <f>SUMIFS('Non-labour_inputs'!GR$8:GR$112,'Non-labour_inputs'!$C$8:$C$112,$B121,'Non-labour_inputs'!$B$8:$B$112,$B$112)</f>
        <v>0</v>
      </c>
    </row>
    <row r="122" spans="2:12" x14ac:dyDescent="0.3">
      <c r="B122" s="206"/>
      <c r="C122" s="207">
        <f>SUMIFS('Non-labour_inputs'!GH$8:GH$112,'Non-labour_inputs'!$C$8:$C$112,$B122,'Non-labour_inputs'!$B$8:$B$112,$B$112)</f>
        <v>0</v>
      </c>
      <c r="D122" s="207">
        <f>SUMIFS('Non-labour_inputs'!GI$8:GI$112,'Non-labour_inputs'!$C$8:$C$112,$B122,'Non-labour_inputs'!$B$8:$B$112,$B$112)</f>
        <v>0</v>
      </c>
      <c r="E122" s="207">
        <f>SUMIFS('Non-labour_inputs'!GJ$8:GJ$112,'Non-labour_inputs'!$C$8:$C$112,$B122,'Non-labour_inputs'!$B$8:$B$112,$B$112)</f>
        <v>0</v>
      </c>
      <c r="F122" s="207">
        <f>SUMIFS('Non-labour_inputs'!GK$8:GK$112,'Non-labour_inputs'!$C$8:$C$112,$B122,'Non-labour_inputs'!$B$8:$B$112,$B$112)</f>
        <v>0</v>
      </c>
      <c r="G122" s="207">
        <f>SUMIFS('Non-labour_inputs'!GL$8:GL$112,'Non-labour_inputs'!$C$8:$C$112,$B122,'Non-labour_inputs'!$B$8:$B$112,$B$112)</f>
        <v>0</v>
      </c>
      <c r="H122" s="207">
        <f>SUMIFS('Non-labour_inputs'!GM$8:GM$112,'Non-labour_inputs'!$C$8:$C$112,$B122,'Non-labour_inputs'!$B$8:$B$112,$B$112)</f>
        <v>0</v>
      </c>
      <c r="I122" s="207">
        <f>SUMIFS('Non-labour_inputs'!GN$8:GN$112,'Non-labour_inputs'!$C$8:$C$112,$B122,'Non-labour_inputs'!$B$8:$B$112,$B$112)</f>
        <v>0</v>
      </c>
      <c r="J122" s="207">
        <f t="shared" si="80"/>
        <v>0</v>
      </c>
      <c r="L122" s="207">
        <f>SUMIFS('Non-labour_inputs'!GR$8:GR$112,'Non-labour_inputs'!$C$8:$C$112,$B122,'Non-labour_inputs'!$B$8:$B$112,$B$112)</f>
        <v>0</v>
      </c>
    </row>
    <row r="123" spans="2:12" x14ac:dyDescent="0.3">
      <c r="B123" s="206"/>
      <c r="C123" s="207">
        <f>SUMIFS('Non-labour_inputs'!GH$8:GH$112,'Non-labour_inputs'!$C$8:$C$112,$B123,'Non-labour_inputs'!$B$8:$B$112,$B$112)</f>
        <v>0</v>
      </c>
      <c r="D123" s="207">
        <f>SUMIFS('Non-labour_inputs'!GI$8:GI$112,'Non-labour_inputs'!$C$8:$C$112,$B123,'Non-labour_inputs'!$B$8:$B$112,$B$112)</f>
        <v>0</v>
      </c>
      <c r="E123" s="207">
        <f>SUMIFS('Non-labour_inputs'!GJ$8:GJ$112,'Non-labour_inputs'!$C$8:$C$112,$B123,'Non-labour_inputs'!$B$8:$B$112,$B$112)</f>
        <v>0</v>
      </c>
      <c r="F123" s="207">
        <f>SUMIFS('Non-labour_inputs'!GK$8:GK$112,'Non-labour_inputs'!$C$8:$C$112,$B123,'Non-labour_inputs'!$B$8:$B$112,$B$112)</f>
        <v>0</v>
      </c>
      <c r="G123" s="207">
        <f>SUMIFS('Non-labour_inputs'!GL$8:GL$112,'Non-labour_inputs'!$C$8:$C$112,$B123,'Non-labour_inputs'!$B$8:$B$112,$B$112)</f>
        <v>0</v>
      </c>
      <c r="H123" s="207">
        <f>SUMIFS('Non-labour_inputs'!GM$8:GM$112,'Non-labour_inputs'!$C$8:$C$112,$B123,'Non-labour_inputs'!$B$8:$B$112,$B$112)</f>
        <v>0</v>
      </c>
      <c r="I123" s="207">
        <f>SUMIFS('Non-labour_inputs'!GN$8:GN$112,'Non-labour_inputs'!$C$8:$C$112,$B123,'Non-labour_inputs'!$B$8:$B$112,$B$112)</f>
        <v>0</v>
      </c>
      <c r="J123" s="207">
        <f t="shared" si="80"/>
        <v>0</v>
      </c>
      <c r="L123" s="207">
        <f>SUMIFS('Non-labour_inputs'!GR$8:GR$112,'Non-labour_inputs'!$C$8:$C$112,$B123,'Non-labour_inputs'!$B$8:$B$112,$B$112)</f>
        <v>0</v>
      </c>
    </row>
    <row r="124" spans="2:12" x14ac:dyDescent="0.3">
      <c r="B124" s="206"/>
      <c r="C124" s="207">
        <f>SUMIFS('Non-labour_inputs'!GH$8:GH$112,'Non-labour_inputs'!$C$8:$C$112,$B124,'Non-labour_inputs'!$B$8:$B$112,$B$112)</f>
        <v>0</v>
      </c>
      <c r="D124" s="207">
        <f>SUMIFS('Non-labour_inputs'!GI$8:GI$112,'Non-labour_inputs'!$C$8:$C$112,$B124,'Non-labour_inputs'!$B$8:$B$112,$B$112)</f>
        <v>0</v>
      </c>
      <c r="E124" s="207">
        <f>SUMIFS('Non-labour_inputs'!GJ$8:GJ$112,'Non-labour_inputs'!$C$8:$C$112,$B124,'Non-labour_inputs'!$B$8:$B$112,$B$112)</f>
        <v>0</v>
      </c>
      <c r="F124" s="207">
        <f>SUMIFS('Non-labour_inputs'!GK$8:GK$112,'Non-labour_inputs'!$C$8:$C$112,$B124,'Non-labour_inputs'!$B$8:$B$112,$B$112)</f>
        <v>0</v>
      </c>
      <c r="G124" s="207">
        <f>SUMIFS('Non-labour_inputs'!GL$8:GL$112,'Non-labour_inputs'!$C$8:$C$112,$B124,'Non-labour_inputs'!$B$8:$B$112,$B$112)</f>
        <v>0</v>
      </c>
      <c r="H124" s="207">
        <f>SUMIFS('Non-labour_inputs'!GM$8:GM$112,'Non-labour_inputs'!$C$8:$C$112,$B124,'Non-labour_inputs'!$B$8:$B$112,$B$112)</f>
        <v>0</v>
      </c>
      <c r="I124" s="207">
        <f>SUMIFS('Non-labour_inputs'!GN$8:GN$112,'Non-labour_inputs'!$C$8:$C$112,$B124,'Non-labour_inputs'!$B$8:$B$112,$B$112)</f>
        <v>0</v>
      </c>
      <c r="J124" s="207">
        <f t="shared" si="80"/>
        <v>0</v>
      </c>
      <c r="L124" s="207">
        <f>SUMIFS('Non-labour_inputs'!GR$8:GR$112,'Non-labour_inputs'!$C$8:$C$112,$B124,'Non-labour_inputs'!$B$8:$B$112,$B$112)</f>
        <v>0</v>
      </c>
    </row>
    <row r="125" spans="2:12" x14ac:dyDescent="0.3">
      <c r="B125" s="206"/>
      <c r="C125" s="207">
        <f>SUMIFS('Non-labour_inputs'!GH$8:GH$112,'Non-labour_inputs'!$C$8:$C$112,$B125,'Non-labour_inputs'!$B$8:$B$112,$B$112)</f>
        <v>0</v>
      </c>
      <c r="D125" s="207">
        <f>SUMIFS('Non-labour_inputs'!GI$8:GI$112,'Non-labour_inputs'!$C$8:$C$112,$B125,'Non-labour_inputs'!$B$8:$B$112,$B$112)</f>
        <v>0</v>
      </c>
      <c r="E125" s="207">
        <f>SUMIFS('Non-labour_inputs'!GJ$8:GJ$112,'Non-labour_inputs'!$C$8:$C$112,$B125,'Non-labour_inputs'!$B$8:$B$112,$B$112)</f>
        <v>0</v>
      </c>
      <c r="F125" s="207">
        <f>SUMIFS('Non-labour_inputs'!GK$8:GK$112,'Non-labour_inputs'!$C$8:$C$112,$B125,'Non-labour_inputs'!$B$8:$B$112,$B$112)</f>
        <v>0</v>
      </c>
      <c r="G125" s="207">
        <f>SUMIFS('Non-labour_inputs'!GL$8:GL$112,'Non-labour_inputs'!$C$8:$C$112,$B125,'Non-labour_inputs'!$B$8:$B$112,$B$112)</f>
        <v>0</v>
      </c>
      <c r="H125" s="207">
        <f>SUMIFS('Non-labour_inputs'!GM$8:GM$112,'Non-labour_inputs'!$C$8:$C$112,$B125,'Non-labour_inputs'!$B$8:$B$112,$B$112)</f>
        <v>0</v>
      </c>
      <c r="I125" s="207">
        <f>SUMIFS('Non-labour_inputs'!GN$8:GN$112,'Non-labour_inputs'!$C$8:$C$112,$B125,'Non-labour_inputs'!$B$8:$B$112,$B$112)</f>
        <v>0</v>
      </c>
      <c r="J125" s="207">
        <f t="shared" si="80"/>
        <v>0</v>
      </c>
      <c r="L125" s="207">
        <f>SUMIFS('Non-labour_inputs'!GR$8:GR$112,'Non-labour_inputs'!$C$8:$C$112,$B125,'Non-labour_inputs'!$B$8:$B$112,$B$112)</f>
        <v>0</v>
      </c>
    </row>
    <row r="126" spans="2:12" x14ac:dyDescent="0.3">
      <c r="B126" s="206"/>
      <c r="C126" s="207">
        <f>SUMIFS('Non-labour_inputs'!GH$8:GH$112,'Non-labour_inputs'!$C$8:$C$112,$B126,'Non-labour_inputs'!$B$8:$B$112,$B$112)</f>
        <v>0</v>
      </c>
      <c r="D126" s="207">
        <f>SUMIFS('Non-labour_inputs'!GI$8:GI$112,'Non-labour_inputs'!$C$8:$C$112,$B126,'Non-labour_inputs'!$B$8:$B$112,$B$112)</f>
        <v>0</v>
      </c>
      <c r="E126" s="207">
        <f>SUMIFS('Non-labour_inputs'!GJ$8:GJ$112,'Non-labour_inputs'!$C$8:$C$112,$B126,'Non-labour_inputs'!$B$8:$B$112,$B$112)</f>
        <v>0</v>
      </c>
      <c r="F126" s="207">
        <f>SUMIFS('Non-labour_inputs'!GK$8:GK$112,'Non-labour_inputs'!$C$8:$C$112,$B126,'Non-labour_inputs'!$B$8:$B$112,$B$112)</f>
        <v>0</v>
      </c>
      <c r="G126" s="207">
        <f>SUMIFS('Non-labour_inputs'!GL$8:GL$112,'Non-labour_inputs'!$C$8:$C$112,$B126,'Non-labour_inputs'!$B$8:$B$112,$B$112)</f>
        <v>0</v>
      </c>
      <c r="H126" s="207">
        <f>SUMIFS('Non-labour_inputs'!GM$8:GM$112,'Non-labour_inputs'!$C$8:$C$112,$B126,'Non-labour_inputs'!$B$8:$B$112,$B$112)</f>
        <v>0</v>
      </c>
      <c r="I126" s="207">
        <f>SUMIFS('Non-labour_inputs'!GN$8:GN$112,'Non-labour_inputs'!$C$8:$C$112,$B126,'Non-labour_inputs'!$B$8:$B$112,$B$112)</f>
        <v>0</v>
      </c>
      <c r="J126" s="207">
        <f t="shared" si="80"/>
        <v>0</v>
      </c>
      <c r="L126" s="207">
        <f>SUMIFS('Non-labour_inputs'!GR$8:GR$112,'Non-labour_inputs'!$C$8:$C$112,$B126,'Non-labour_inputs'!$B$8:$B$112,$B$112)</f>
        <v>0</v>
      </c>
    </row>
    <row r="127" spans="2:12" x14ac:dyDescent="0.3">
      <c r="B127" s="206"/>
      <c r="C127" s="207">
        <f>SUMIFS('Non-labour_inputs'!GH$8:GH$112,'Non-labour_inputs'!$C$8:$C$112,$B127,'Non-labour_inputs'!$B$8:$B$112,$B$112)</f>
        <v>0</v>
      </c>
      <c r="D127" s="207">
        <f>SUMIFS('Non-labour_inputs'!GI$8:GI$112,'Non-labour_inputs'!$C$8:$C$112,$B127,'Non-labour_inputs'!$B$8:$B$112,$B$112)</f>
        <v>0</v>
      </c>
      <c r="E127" s="207">
        <f>SUMIFS('Non-labour_inputs'!GJ$8:GJ$112,'Non-labour_inputs'!$C$8:$C$112,$B127,'Non-labour_inputs'!$B$8:$B$112,$B$112)</f>
        <v>0</v>
      </c>
      <c r="F127" s="207">
        <f>SUMIFS('Non-labour_inputs'!GK$8:GK$112,'Non-labour_inputs'!$C$8:$C$112,$B127,'Non-labour_inputs'!$B$8:$B$112,$B$112)</f>
        <v>0</v>
      </c>
      <c r="G127" s="207">
        <f>SUMIFS('Non-labour_inputs'!GL$8:GL$112,'Non-labour_inputs'!$C$8:$C$112,$B127,'Non-labour_inputs'!$B$8:$B$112,$B$112)</f>
        <v>0</v>
      </c>
      <c r="H127" s="207">
        <f>SUMIFS('Non-labour_inputs'!GM$8:GM$112,'Non-labour_inputs'!$C$8:$C$112,$B127,'Non-labour_inputs'!$B$8:$B$112,$B$112)</f>
        <v>0</v>
      </c>
      <c r="I127" s="207">
        <f>SUMIFS('Non-labour_inputs'!GN$8:GN$112,'Non-labour_inputs'!$C$8:$C$112,$B127,'Non-labour_inputs'!$B$8:$B$112,$B$112)</f>
        <v>0</v>
      </c>
      <c r="J127" s="207">
        <f t="shared" si="80"/>
        <v>0</v>
      </c>
      <c r="L127" s="207">
        <f>SUMIFS('Non-labour_inputs'!GR$8:GR$112,'Non-labour_inputs'!$C$8:$C$112,$B127,'Non-labour_inputs'!$B$8:$B$112,$B$112)</f>
        <v>0</v>
      </c>
    </row>
    <row r="128" spans="2:12" x14ac:dyDescent="0.3">
      <c r="B128" s="206"/>
      <c r="C128" s="207">
        <f>SUMIFS('Non-labour_inputs'!GH$8:GH$112,'Non-labour_inputs'!$C$8:$C$112,$B128,'Non-labour_inputs'!$B$8:$B$112,$B$112)</f>
        <v>0</v>
      </c>
      <c r="D128" s="207">
        <f>SUMIFS('Non-labour_inputs'!GI$8:GI$112,'Non-labour_inputs'!$C$8:$C$112,$B128,'Non-labour_inputs'!$B$8:$B$112,$B$112)</f>
        <v>0</v>
      </c>
      <c r="E128" s="207">
        <f>SUMIFS('Non-labour_inputs'!GJ$8:GJ$112,'Non-labour_inputs'!$C$8:$C$112,$B128,'Non-labour_inputs'!$B$8:$B$112,$B$112)</f>
        <v>0</v>
      </c>
      <c r="F128" s="207">
        <f>SUMIFS('Non-labour_inputs'!GK$8:GK$112,'Non-labour_inputs'!$C$8:$C$112,$B128,'Non-labour_inputs'!$B$8:$B$112,$B$112)</f>
        <v>0</v>
      </c>
      <c r="G128" s="207">
        <f>SUMIFS('Non-labour_inputs'!GL$8:GL$112,'Non-labour_inputs'!$C$8:$C$112,$B128,'Non-labour_inputs'!$B$8:$B$112,$B$112)</f>
        <v>0</v>
      </c>
      <c r="H128" s="207">
        <f>SUMIFS('Non-labour_inputs'!GM$8:GM$112,'Non-labour_inputs'!$C$8:$C$112,$B128,'Non-labour_inputs'!$B$8:$B$112,$B$112)</f>
        <v>0</v>
      </c>
      <c r="I128" s="207">
        <f>SUMIFS('Non-labour_inputs'!GN$8:GN$112,'Non-labour_inputs'!$C$8:$C$112,$B128,'Non-labour_inputs'!$B$8:$B$112,$B$112)</f>
        <v>0</v>
      </c>
      <c r="J128" s="207">
        <f t="shared" si="80"/>
        <v>0</v>
      </c>
      <c r="L128" s="207">
        <f>SUMIFS('Non-labour_inputs'!GR$8:GR$112,'Non-labour_inputs'!$C$8:$C$112,$B128,'Non-labour_inputs'!$B$8:$B$112,$B$112)</f>
        <v>0</v>
      </c>
    </row>
    <row r="129" spans="2:15" x14ac:dyDescent="0.3">
      <c r="B129" s="206"/>
      <c r="C129" s="207">
        <f>SUMIFS('Non-labour_inputs'!GH$8:GH$112,'Non-labour_inputs'!$C$8:$C$112,$B129,'Non-labour_inputs'!$B$8:$B$112,$B$112)</f>
        <v>0</v>
      </c>
      <c r="D129" s="207">
        <f>SUMIFS('Non-labour_inputs'!GI$8:GI$112,'Non-labour_inputs'!$C$8:$C$112,$B129,'Non-labour_inputs'!$B$8:$B$112,$B$112)</f>
        <v>0</v>
      </c>
      <c r="E129" s="207">
        <f>SUMIFS('Non-labour_inputs'!GJ$8:GJ$112,'Non-labour_inputs'!$C$8:$C$112,$B129,'Non-labour_inputs'!$B$8:$B$112,$B$112)</f>
        <v>0</v>
      </c>
      <c r="F129" s="207">
        <f>SUMIFS('Non-labour_inputs'!GK$8:GK$112,'Non-labour_inputs'!$C$8:$C$112,$B129,'Non-labour_inputs'!$B$8:$B$112,$B$112)</f>
        <v>0</v>
      </c>
      <c r="G129" s="207">
        <f>SUMIFS('Non-labour_inputs'!GL$8:GL$112,'Non-labour_inputs'!$C$8:$C$112,$B129,'Non-labour_inputs'!$B$8:$B$112,$B$112)</f>
        <v>0</v>
      </c>
      <c r="H129" s="207">
        <f>SUMIFS('Non-labour_inputs'!GM$8:GM$112,'Non-labour_inputs'!$C$8:$C$112,$B129,'Non-labour_inputs'!$B$8:$B$112,$B$112)</f>
        <v>0</v>
      </c>
      <c r="I129" s="207">
        <f>SUMIFS('Non-labour_inputs'!GN$8:GN$112,'Non-labour_inputs'!$C$8:$C$112,$B129,'Non-labour_inputs'!$B$8:$B$112,$B$112)</f>
        <v>0</v>
      </c>
      <c r="J129" s="207">
        <f t="shared" si="80"/>
        <v>0</v>
      </c>
      <c r="L129" s="207">
        <f>SUMIFS('Non-labour_inputs'!GR$8:GR$112,'Non-labour_inputs'!$C$8:$C$112,$B129,'Non-labour_inputs'!$B$8:$B$112,$B$112)</f>
        <v>0</v>
      </c>
    </row>
    <row r="130" spans="2:15" x14ac:dyDescent="0.3">
      <c r="B130" s="208" t="s">
        <v>133</v>
      </c>
      <c r="C130" s="209">
        <f t="shared" ref="C130:J130" si="81">SUM(C115:C129)</f>
        <v>0</v>
      </c>
      <c r="D130" s="209">
        <f t="shared" si="81"/>
        <v>0</v>
      </c>
      <c r="E130" s="209">
        <f t="shared" si="81"/>
        <v>0</v>
      </c>
      <c r="F130" s="209">
        <f t="shared" si="81"/>
        <v>0</v>
      </c>
      <c r="G130" s="209">
        <f t="shared" si="81"/>
        <v>0</v>
      </c>
      <c r="H130" s="209">
        <f t="shared" si="81"/>
        <v>0</v>
      </c>
      <c r="I130" s="209">
        <f t="shared" si="81"/>
        <v>0</v>
      </c>
      <c r="J130" s="209">
        <f t="shared" si="81"/>
        <v>0</v>
      </c>
      <c r="L130" s="209">
        <f t="shared" ref="L130" si="82">SUM(L115:L129)</f>
        <v>0</v>
      </c>
    </row>
    <row r="131" spans="2:15" s="65" customFormat="1" ht="12.75" x14ac:dyDescent="0.2"/>
    <row r="132" spans="2:15" ht="16.5" x14ac:dyDescent="0.3">
      <c r="B132" s="206" t="s">
        <v>134</v>
      </c>
      <c r="C132" s="224" t="str">
        <f t="shared" ref="C132:I132" si="83">IF(C130=_xlfn.XLOOKUP($B112,$B$11:$B$23,C$11:C$23,0),"OK","ERROR")</f>
        <v>OK</v>
      </c>
      <c r="D132" s="224" t="str">
        <f t="shared" si="83"/>
        <v>OK</v>
      </c>
      <c r="E132" s="224" t="str">
        <f t="shared" si="83"/>
        <v>OK</v>
      </c>
      <c r="F132" s="224" t="str">
        <f t="shared" si="83"/>
        <v>OK</v>
      </c>
      <c r="G132" s="224" t="str">
        <f t="shared" si="83"/>
        <v>OK</v>
      </c>
      <c r="H132" s="224" t="str">
        <f t="shared" si="83"/>
        <v>OK</v>
      </c>
      <c r="I132" s="224" t="str">
        <f t="shared" si="83"/>
        <v>OK</v>
      </c>
      <c r="J132" s="65"/>
      <c r="L132" s="224" t="str">
        <f t="shared" ref="L132" si="84">IF(L130=_xlfn.XLOOKUP($B112,$B$11:$B$23,L$11:L$23,0),"OK","ERROR")</f>
        <v>OK</v>
      </c>
      <c r="O132" s="49"/>
    </row>
    <row r="133" spans="2:15" x14ac:dyDescent="0.3">
      <c r="B133" s="42"/>
      <c r="F133" s="42"/>
      <c r="N133" s="49"/>
      <c r="O133" s="49"/>
    </row>
    <row r="134" spans="2:15" s="65" customFormat="1" ht="12.75" x14ac:dyDescent="0.2">
      <c r="B134" s="221" t="str">
        <f>B60</f>
        <v>Project Delivery Management - Project Management</v>
      </c>
      <c r="C134" s="118"/>
      <c r="D134" s="118"/>
      <c r="E134" s="132" t="str">
        <f>"(Real "&amp;'Key assumptions'!$D$11&amp;")"</f>
        <v>(Real $RY2026)</v>
      </c>
      <c r="F134" s="118"/>
      <c r="G134" s="118"/>
      <c r="H134" s="118"/>
      <c r="I134" s="118"/>
      <c r="J134" s="118"/>
      <c r="L134" s="118"/>
    </row>
    <row r="136" spans="2:15" ht="27" customHeight="1" x14ac:dyDescent="0.3">
      <c r="B136" s="136" t="s">
        <v>51</v>
      </c>
      <c r="C136" s="140" t="str" cm="1">
        <f t="array" ref="C136:I136">model_forecastperiod</f>
        <v>RY2026
01Feb-30Sep</v>
      </c>
      <c r="D136" s="140" t="str">
        <v>RY2027</v>
      </c>
      <c r="E136" s="140" t="str">
        <v>RY2028</v>
      </c>
      <c r="F136" s="140" t="str">
        <v>RY2029</v>
      </c>
      <c r="G136" s="140" t="str">
        <v>RY2030</v>
      </c>
      <c r="H136" s="140" t="str">
        <v>RY2031</v>
      </c>
      <c r="I136" s="140" t="str">
        <v>RY2032</v>
      </c>
      <c r="J136" s="140" t="s">
        <v>133</v>
      </c>
      <c r="L136" s="140"/>
    </row>
    <row r="137" spans="2:15" ht="26.45" customHeight="1" x14ac:dyDescent="0.3">
      <c r="B137" s="205" t="str" cm="1">
        <f t="array" ref="B137">IFERROR(_xlfn.UNIQUE(_xlfn._xlws.FILTER('Non-labour_inputs'!$C$8:$C$112,'Non-labour_inputs'!$B$8:$B$112=B134)),"")</f>
        <v>Project Office Rental</v>
      </c>
      <c r="C137" s="207">
        <f>SUMIFS('Non-labour_inputs'!GH$8:GH$112,'Non-labour_inputs'!$C$8:$C$112,$B137,'Non-labour_inputs'!$B$8:$B$112,$B$134)</f>
        <v>269202.80299340183</v>
      </c>
      <c r="D137" s="207">
        <f>SUMIFS('Non-labour_inputs'!GI$8:GI$112,'Non-labour_inputs'!$C$8:$C$112,$B137,'Non-labour_inputs'!$B$8:$B$112,$B$134)</f>
        <v>521140.24524135789</v>
      </c>
      <c r="E137" s="207">
        <f>SUMIFS('Non-labour_inputs'!GJ$8:GJ$112,'Non-labour_inputs'!$C$8:$C$112,$B137,'Non-labour_inputs'!$B$8:$B$112,$B$134)</f>
        <v>507686.94283265236</v>
      </c>
      <c r="F137" s="207">
        <f>SUMIFS('Non-labour_inputs'!GK$8:GK$112,'Non-labour_inputs'!$C$8:$C$112,$B137,'Non-labour_inputs'!$B$8:$B$112,$B$134)</f>
        <v>206075.39131444503</v>
      </c>
      <c r="G137" s="207">
        <f>SUMIFS('Non-labour_inputs'!GL$8:GL$112,'Non-labour_inputs'!$C$8:$C$112,$B137,'Non-labour_inputs'!$B$8:$B$112,$B$134)</f>
        <v>0</v>
      </c>
      <c r="H137" s="207">
        <f>SUMIFS('Non-labour_inputs'!GM$8:GM$112,'Non-labour_inputs'!$C$8:$C$112,$B137,'Non-labour_inputs'!$B$8:$B$112,$B$134)</f>
        <v>0</v>
      </c>
      <c r="I137" s="207">
        <f>SUMIFS('Non-labour_inputs'!GN$8:GN$112,'Non-labour_inputs'!$C$8:$C$112,$B137,'Non-labour_inputs'!$B$8:$B$112,$B$134)</f>
        <v>0</v>
      </c>
      <c r="J137" s="207">
        <f t="shared" ref="J137:J151" si="85">SUM(C137:I137)</f>
        <v>1504105.3823818571</v>
      </c>
      <c r="L137" s="207">
        <f>SUMIFS('Non-labour_inputs'!GR$8:GR$112,'Non-labour_inputs'!$C$8:$C$112,$B137,'Non-labour_inputs'!$B$8:$B$112,$B$134)</f>
        <v>132000</v>
      </c>
    </row>
    <row r="138" spans="2:15" x14ac:dyDescent="0.3">
      <c r="B138" s="206"/>
      <c r="C138" s="207">
        <f>SUMIFS('Non-labour_inputs'!GH$8:GH$112,'Non-labour_inputs'!$C$8:$C$112,$B138,'Non-labour_inputs'!$B$8:$B$112,$B$134)</f>
        <v>0</v>
      </c>
      <c r="D138" s="207">
        <f>SUMIFS('Non-labour_inputs'!GI$8:GI$112,'Non-labour_inputs'!$C$8:$C$112,$B138,'Non-labour_inputs'!$B$8:$B$112,$B$134)</f>
        <v>0</v>
      </c>
      <c r="E138" s="207">
        <f>SUMIFS('Non-labour_inputs'!GJ$8:GJ$112,'Non-labour_inputs'!$C$8:$C$112,$B138,'Non-labour_inputs'!$B$8:$B$112,$B$134)</f>
        <v>0</v>
      </c>
      <c r="F138" s="207">
        <f>SUMIFS('Non-labour_inputs'!GK$8:GK$112,'Non-labour_inputs'!$C$8:$C$112,$B138,'Non-labour_inputs'!$B$8:$B$112,$B$134)</f>
        <v>0</v>
      </c>
      <c r="G138" s="207">
        <f>SUMIFS('Non-labour_inputs'!GL$8:GL$112,'Non-labour_inputs'!$C$8:$C$112,$B138,'Non-labour_inputs'!$B$8:$B$112,$B$134)</f>
        <v>0</v>
      </c>
      <c r="H138" s="207">
        <f>SUMIFS('Non-labour_inputs'!GM$8:GM$112,'Non-labour_inputs'!$C$8:$C$112,$B138,'Non-labour_inputs'!$B$8:$B$112,$B$134)</f>
        <v>0</v>
      </c>
      <c r="I138" s="207">
        <f>SUMIFS('Non-labour_inputs'!GN$8:GN$112,'Non-labour_inputs'!$C$8:$C$112,$B138,'Non-labour_inputs'!$B$8:$B$112,$B$134)</f>
        <v>0</v>
      </c>
      <c r="J138" s="207">
        <f t="shared" si="85"/>
        <v>0</v>
      </c>
      <c r="L138" s="207">
        <f>SUMIFS('Non-labour_inputs'!GR$8:GR$112,'Non-labour_inputs'!$C$8:$C$112,$B138,'Non-labour_inputs'!$B$8:$B$112,$B$134)</f>
        <v>0</v>
      </c>
    </row>
    <row r="139" spans="2:15" x14ac:dyDescent="0.3">
      <c r="B139" s="206"/>
      <c r="C139" s="207">
        <f>SUMIFS('Non-labour_inputs'!GH$8:GH$112,'Non-labour_inputs'!$C$8:$C$112,$B139,'Non-labour_inputs'!$B$8:$B$112,$B$134)</f>
        <v>0</v>
      </c>
      <c r="D139" s="207">
        <f>SUMIFS('Non-labour_inputs'!GI$8:GI$112,'Non-labour_inputs'!$C$8:$C$112,$B139,'Non-labour_inputs'!$B$8:$B$112,$B$134)</f>
        <v>0</v>
      </c>
      <c r="E139" s="207">
        <f>SUMIFS('Non-labour_inputs'!GJ$8:GJ$112,'Non-labour_inputs'!$C$8:$C$112,$B139,'Non-labour_inputs'!$B$8:$B$112,$B$134)</f>
        <v>0</v>
      </c>
      <c r="F139" s="207">
        <f>SUMIFS('Non-labour_inputs'!GK$8:GK$112,'Non-labour_inputs'!$C$8:$C$112,$B139,'Non-labour_inputs'!$B$8:$B$112,$B$134)</f>
        <v>0</v>
      </c>
      <c r="G139" s="207">
        <f>SUMIFS('Non-labour_inputs'!GL$8:GL$112,'Non-labour_inputs'!$C$8:$C$112,$B139,'Non-labour_inputs'!$B$8:$B$112,$B$134)</f>
        <v>0</v>
      </c>
      <c r="H139" s="207">
        <f>SUMIFS('Non-labour_inputs'!GM$8:GM$112,'Non-labour_inputs'!$C$8:$C$112,$B139,'Non-labour_inputs'!$B$8:$B$112,$B$134)</f>
        <v>0</v>
      </c>
      <c r="I139" s="207">
        <f>SUMIFS('Non-labour_inputs'!GN$8:GN$112,'Non-labour_inputs'!$C$8:$C$112,$B139,'Non-labour_inputs'!$B$8:$B$112,$B$134)</f>
        <v>0</v>
      </c>
      <c r="J139" s="207">
        <f t="shared" si="85"/>
        <v>0</v>
      </c>
      <c r="L139" s="207">
        <f>SUMIFS('Non-labour_inputs'!GR$8:GR$112,'Non-labour_inputs'!$C$8:$C$112,$B139,'Non-labour_inputs'!$B$8:$B$112,$B$134)</f>
        <v>0</v>
      </c>
    </row>
    <row r="140" spans="2:15" x14ac:dyDescent="0.3">
      <c r="B140" s="206"/>
      <c r="C140" s="207">
        <f>SUMIFS('Non-labour_inputs'!GH$8:GH$112,'Non-labour_inputs'!$C$8:$C$112,$B140,'Non-labour_inputs'!$B$8:$B$112,$B$134)</f>
        <v>0</v>
      </c>
      <c r="D140" s="207">
        <f>SUMIFS('Non-labour_inputs'!GI$8:GI$112,'Non-labour_inputs'!$C$8:$C$112,$B140,'Non-labour_inputs'!$B$8:$B$112,$B$134)</f>
        <v>0</v>
      </c>
      <c r="E140" s="207">
        <f>SUMIFS('Non-labour_inputs'!GJ$8:GJ$112,'Non-labour_inputs'!$C$8:$C$112,$B140,'Non-labour_inputs'!$B$8:$B$112,$B$134)</f>
        <v>0</v>
      </c>
      <c r="F140" s="207">
        <f>SUMIFS('Non-labour_inputs'!GK$8:GK$112,'Non-labour_inputs'!$C$8:$C$112,$B140,'Non-labour_inputs'!$B$8:$B$112,$B$134)</f>
        <v>0</v>
      </c>
      <c r="G140" s="207">
        <f>SUMIFS('Non-labour_inputs'!GL$8:GL$112,'Non-labour_inputs'!$C$8:$C$112,$B140,'Non-labour_inputs'!$B$8:$B$112,$B$134)</f>
        <v>0</v>
      </c>
      <c r="H140" s="207">
        <f>SUMIFS('Non-labour_inputs'!GM$8:GM$112,'Non-labour_inputs'!$C$8:$C$112,$B140,'Non-labour_inputs'!$B$8:$B$112,$B$134)</f>
        <v>0</v>
      </c>
      <c r="I140" s="207">
        <f>SUMIFS('Non-labour_inputs'!GN$8:GN$112,'Non-labour_inputs'!$C$8:$C$112,$B140,'Non-labour_inputs'!$B$8:$B$112,$B$134)</f>
        <v>0</v>
      </c>
      <c r="J140" s="207">
        <f t="shared" si="85"/>
        <v>0</v>
      </c>
      <c r="L140" s="207">
        <f>SUMIFS('Non-labour_inputs'!GR$8:GR$112,'Non-labour_inputs'!$C$8:$C$112,$B140,'Non-labour_inputs'!$B$8:$B$112,$B$134)</f>
        <v>0</v>
      </c>
    </row>
    <row r="141" spans="2:15" x14ac:dyDescent="0.3">
      <c r="B141" s="206"/>
      <c r="C141" s="207">
        <f>SUMIFS('Non-labour_inputs'!GH$8:GH$112,'Non-labour_inputs'!$C$8:$C$112,$B141,'Non-labour_inputs'!$B$8:$B$112,$B$134)</f>
        <v>0</v>
      </c>
      <c r="D141" s="207">
        <f>SUMIFS('Non-labour_inputs'!GI$8:GI$112,'Non-labour_inputs'!$C$8:$C$112,$B141,'Non-labour_inputs'!$B$8:$B$112,$B$134)</f>
        <v>0</v>
      </c>
      <c r="E141" s="207">
        <f>SUMIFS('Non-labour_inputs'!GJ$8:GJ$112,'Non-labour_inputs'!$C$8:$C$112,$B141,'Non-labour_inputs'!$B$8:$B$112,$B$134)</f>
        <v>0</v>
      </c>
      <c r="F141" s="207">
        <f>SUMIFS('Non-labour_inputs'!GK$8:GK$112,'Non-labour_inputs'!$C$8:$C$112,$B141,'Non-labour_inputs'!$B$8:$B$112,$B$134)</f>
        <v>0</v>
      </c>
      <c r="G141" s="207">
        <f>SUMIFS('Non-labour_inputs'!GL$8:GL$112,'Non-labour_inputs'!$C$8:$C$112,$B141,'Non-labour_inputs'!$B$8:$B$112,$B$134)</f>
        <v>0</v>
      </c>
      <c r="H141" s="207">
        <f>SUMIFS('Non-labour_inputs'!GM$8:GM$112,'Non-labour_inputs'!$C$8:$C$112,$B141,'Non-labour_inputs'!$B$8:$B$112,$B$134)</f>
        <v>0</v>
      </c>
      <c r="I141" s="207">
        <f>SUMIFS('Non-labour_inputs'!GN$8:GN$112,'Non-labour_inputs'!$C$8:$C$112,$B141,'Non-labour_inputs'!$B$8:$B$112,$B$134)</f>
        <v>0</v>
      </c>
      <c r="J141" s="207">
        <f t="shared" si="85"/>
        <v>0</v>
      </c>
      <c r="L141" s="207">
        <f>SUMIFS('Non-labour_inputs'!GR$8:GR$112,'Non-labour_inputs'!$C$8:$C$112,$B141,'Non-labour_inputs'!$B$8:$B$112,$B$134)</f>
        <v>0</v>
      </c>
    </row>
    <row r="142" spans="2:15" x14ac:dyDescent="0.3">
      <c r="B142" s="206"/>
      <c r="C142" s="207">
        <f>SUMIFS('Non-labour_inputs'!GH$8:GH$112,'Non-labour_inputs'!$C$8:$C$112,$B142,'Non-labour_inputs'!$B$8:$B$112,$B$134)</f>
        <v>0</v>
      </c>
      <c r="D142" s="207">
        <f>SUMIFS('Non-labour_inputs'!GI$8:GI$112,'Non-labour_inputs'!$C$8:$C$112,$B142,'Non-labour_inputs'!$B$8:$B$112,$B$134)</f>
        <v>0</v>
      </c>
      <c r="E142" s="207">
        <f>SUMIFS('Non-labour_inputs'!GJ$8:GJ$112,'Non-labour_inputs'!$C$8:$C$112,$B142,'Non-labour_inputs'!$B$8:$B$112,$B$134)</f>
        <v>0</v>
      </c>
      <c r="F142" s="207">
        <f>SUMIFS('Non-labour_inputs'!GK$8:GK$112,'Non-labour_inputs'!$C$8:$C$112,$B142,'Non-labour_inputs'!$B$8:$B$112,$B$134)</f>
        <v>0</v>
      </c>
      <c r="G142" s="207">
        <f>SUMIFS('Non-labour_inputs'!GL$8:GL$112,'Non-labour_inputs'!$C$8:$C$112,$B142,'Non-labour_inputs'!$B$8:$B$112,$B$134)</f>
        <v>0</v>
      </c>
      <c r="H142" s="207">
        <f>SUMIFS('Non-labour_inputs'!GM$8:GM$112,'Non-labour_inputs'!$C$8:$C$112,$B142,'Non-labour_inputs'!$B$8:$B$112,$B$134)</f>
        <v>0</v>
      </c>
      <c r="I142" s="207">
        <f>SUMIFS('Non-labour_inputs'!GN$8:GN$112,'Non-labour_inputs'!$C$8:$C$112,$B142,'Non-labour_inputs'!$B$8:$B$112,$B$134)</f>
        <v>0</v>
      </c>
      <c r="J142" s="207">
        <f t="shared" si="85"/>
        <v>0</v>
      </c>
      <c r="L142" s="207">
        <f>SUMIFS('Non-labour_inputs'!GR$8:GR$112,'Non-labour_inputs'!$C$8:$C$112,$B142,'Non-labour_inputs'!$B$8:$B$112,$B$134)</f>
        <v>0</v>
      </c>
    </row>
    <row r="143" spans="2:15" x14ac:dyDescent="0.3">
      <c r="B143" s="206"/>
      <c r="C143" s="207">
        <f>SUMIFS('Non-labour_inputs'!GH$8:GH$112,'Non-labour_inputs'!$C$8:$C$112,$B143,'Non-labour_inputs'!$B$8:$B$112,$B$134)</f>
        <v>0</v>
      </c>
      <c r="D143" s="207">
        <f>SUMIFS('Non-labour_inputs'!GI$8:GI$112,'Non-labour_inputs'!$C$8:$C$112,$B143,'Non-labour_inputs'!$B$8:$B$112,$B$134)</f>
        <v>0</v>
      </c>
      <c r="E143" s="207">
        <f>SUMIFS('Non-labour_inputs'!GJ$8:GJ$112,'Non-labour_inputs'!$C$8:$C$112,$B143,'Non-labour_inputs'!$B$8:$B$112,$B$134)</f>
        <v>0</v>
      </c>
      <c r="F143" s="207">
        <f>SUMIFS('Non-labour_inputs'!GK$8:GK$112,'Non-labour_inputs'!$C$8:$C$112,$B143,'Non-labour_inputs'!$B$8:$B$112,$B$134)</f>
        <v>0</v>
      </c>
      <c r="G143" s="207">
        <f>SUMIFS('Non-labour_inputs'!GL$8:GL$112,'Non-labour_inputs'!$C$8:$C$112,$B143,'Non-labour_inputs'!$B$8:$B$112,$B$134)</f>
        <v>0</v>
      </c>
      <c r="H143" s="207">
        <f>SUMIFS('Non-labour_inputs'!GM$8:GM$112,'Non-labour_inputs'!$C$8:$C$112,$B143,'Non-labour_inputs'!$B$8:$B$112,$B$134)</f>
        <v>0</v>
      </c>
      <c r="I143" s="207">
        <f>SUMIFS('Non-labour_inputs'!GN$8:GN$112,'Non-labour_inputs'!$C$8:$C$112,$B143,'Non-labour_inputs'!$B$8:$B$112,$B$134)</f>
        <v>0</v>
      </c>
      <c r="J143" s="207">
        <f t="shared" si="85"/>
        <v>0</v>
      </c>
      <c r="L143" s="207">
        <f>SUMIFS('Non-labour_inputs'!GR$8:GR$112,'Non-labour_inputs'!$C$8:$C$112,$B143,'Non-labour_inputs'!$B$8:$B$112,$B$134)</f>
        <v>0</v>
      </c>
    </row>
    <row r="144" spans="2:15" x14ac:dyDescent="0.3">
      <c r="B144" s="206"/>
      <c r="C144" s="207">
        <f>SUMIFS('Non-labour_inputs'!GH$8:GH$112,'Non-labour_inputs'!$C$8:$C$112,$B144,'Non-labour_inputs'!$B$8:$B$112,$B$134)</f>
        <v>0</v>
      </c>
      <c r="D144" s="207">
        <f>SUMIFS('Non-labour_inputs'!GI$8:GI$112,'Non-labour_inputs'!$C$8:$C$112,$B144,'Non-labour_inputs'!$B$8:$B$112,$B$134)</f>
        <v>0</v>
      </c>
      <c r="E144" s="207">
        <f>SUMIFS('Non-labour_inputs'!GJ$8:GJ$112,'Non-labour_inputs'!$C$8:$C$112,$B144,'Non-labour_inputs'!$B$8:$B$112,$B$134)</f>
        <v>0</v>
      </c>
      <c r="F144" s="207">
        <f>SUMIFS('Non-labour_inputs'!GK$8:GK$112,'Non-labour_inputs'!$C$8:$C$112,$B144,'Non-labour_inputs'!$B$8:$B$112,$B$134)</f>
        <v>0</v>
      </c>
      <c r="G144" s="207">
        <f>SUMIFS('Non-labour_inputs'!GL$8:GL$112,'Non-labour_inputs'!$C$8:$C$112,$B144,'Non-labour_inputs'!$B$8:$B$112,$B$134)</f>
        <v>0</v>
      </c>
      <c r="H144" s="207">
        <f>SUMIFS('Non-labour_inputs'!GM$8:GM$112,'Non-labour_inputs'!$C$8:$C$112,$B144,'Non-labour_inputs'!$B$8:$B$112,$B$134)</f>
        <v>0</v>
      </c>
      <c r="I144" s="207">
        <f>SUMIFS('Non-labour_inputs'!GN$8:GN$112,'Non-labour_inputs'!$C$8:$C$112,$B144,'Non-labour_inputs'!$B$8:$B$112,$B$134)</f>
        <v>0</v>
      </c>
      <c r="J144" s="207">
        <f t="shared" si="85"/>
        <v>0</v>
      </c>
      <c r="L144" s="207">
        <f>SUMIFS('Non-labour_inputs'!GR$8:GR$112,'Non-labour_inputs'!$C$8:$C$112,$B144,'Non-labour_inputs'!$B$8:$B$112,$B$134)</f>
        <v>0</v>
      </c>
    </row>
    <row r="145" spans="2:15" x14ac:dyDescent="0.3">
      <c r="B145" s="206"/>
      <c r="C145" s="207">
        <f>SUMIFS('Non-labour_inputs'!GH$8:GH$112,'Non-labour_inputs'!$C$8:$C$112,$B145,'Non-labour_inputs'!$B$8:$B$112,$B$134)</f>
        <v>0</v>
      </c>
      <c r="D145" s="207">
        <f>SUMIFS('Non-labour_inputs'!GI$8:GI$112,'Non-labour_inputs'!$C$8:$C$112,$B145,'Non-labour_inputs'!$B$8:$B$112,$B$134)</f>
        <v>0</v>
      </c>
      <c r="E145" s="207">
        <f>SUMIFS('Non-labour_inputs'!GJ$8:GJ$112,'Non-labour_inputs'!$C$8:$C$112,$B145,'Non-labour_inputs'!$B$8:$B$112,$B$134)</f>
        <v>0</v>
      </c>
      <c r="F145" s="207">
        <f>SUMIFS('Non-labour_inputs'!GK$8:GK$112,'Non-labour_inputs'!$C$8:$C$112,$B145,'Non-labour_inputs'!$B$8:$B$112,$B$134)</f>
        <v>0</v>
      </c>
      <c r="G145" s="207">
        <f>SUMIFS('Non-labour_inputs'!GL$8:GL$112,'Non-labour_inputs'!$C$8:$C$112,$B145,'Non-labour_inputs'!$B$8:$B$112,$B$134)</f>
        <v>0</v>
      </c>
      <c r="H145" s="207">
        <f>SUMIFS('Non-labour_inputs'!GM$8:GM$112,'Non-labour_inputs'!$C$8:$C$112,$B145,'Non-labour_inputs'!$B$8:$B$112,$B$134)</f>
        <v>0</v>
      </c>
      <c r="I145" s="207">
        <f>SUMIFS('Non-labour_inputs'!GN$8:GN$112,'Non-labour_inputs'!$C$8:$C$112,$B145,'Non-labour_inputs'!$B$8:$B$112,$B$134)</f>
        <v>0</v>
      </c>
      <c r="J145" s="207">
        <f t="shared" si="85"/>
        <v>0</v>
      </c>
      <c r="L145" s="207">
        <f>SUMIFS('Non-labour_inputs'!GR$8:GR$112,'Non-labour_inputs'!$C$8:$C$112,$B145,'Non-labour_inputs'!$B$8:$B$112,$B$134)</f>
        <v>0</v>
      </c>
    </row>
    <row r="146" spans="2:15" x14ac:dyDescent="0.3">
      <c r="B146" s="206"/>
      <c r="C146" s="207">
        <f>SUMIFS('Non-labour_inputs'!GH$8:GH$112,'Non-labour_inputs'!$C$8:$C$112,$B146,'Non-labour_inputs'!$B$8:$B$112,$B$134)</f>
        <v>0</v>
      </c>
      <c r="D146" s="207">
        <f>SUMIFS('Non-labour_inputs'!GI$8:GI$112,'Non-labour_inputs'!$C$8:$C$112,$B146,'Non-labour_inputs'!$B$8:$B$112,$B$134)</f>
        <v>0</v>
      </c>
      <c r="E146" s="207">
        <f>SUMIFS('Non-labour_inputs'!GJ$8:GJ$112,'Non-labour_inputs'!$C$8:$C$112,$B146,'Non-labour_inputs'!$B$8:$B$112,$B$134)</f>
        <v>0</v>
      </c>
      <c r="F146" s="207">
        <f>SUMIFS('Non-labour_inputs'!GK$8:GK$112,'Non-labour_inputs'!$C$8:$C$112,$B146,'Non-labour_inputs'!$B$8:$B$112,$B$134)</f>
        <v>0</v>
      </c>
      <c r="G146" s="207">
        <f>SUMIFS('Non-labour_inputs'!GL$8:GL$112,'Non-labour_inputs'!$C$8:$C$112,$B146,'Non-labour_inputs'!$B$8:$B$112,$B$134)</f>
        <v>0</v>
      </c>
      <c r="H146" s="207">
        <f>SUMIFS('Non-labour_inputs'!GM$8:GM$112,'Non-labour_inputs'!$C$8:$C$112,$B146,'Non-labour_inputs'!$B$8:$B$112,$B$134)</f>
        <v>0</v>
      </c>
      <c r="I146" s="207">
        <f>SUMIFS('Non-labour_inputs'!GN$8:GN$112,'Non-labour_inputs'!$C$8:$C$112,$B146,'Non-labour_inputs'!$B$8:$B$112,$B$134)</f>
        <v>0</v>
      </c>
      <c r="J146" s="207">
        <f t="shared" si="85"/>
        <v>0</v>
      </c>
      <c r="L146" s="207">
        <f>SUMIFS('Non-labour_inputs'!GR$8:GR$112,'Non-labour_inputs'!$C$8:$C$112,$B146,'Non-labour_inputs'!$B$8:$B$112,$B$134)</f>
        <v>0</v>
      </c>
    </row>
    <row r="147" spans="2:15" x14ac:dyDescent="0.3">
      <c r="B147" s="206"/>
      <c r="C147" s="207">
        <f>SUMIFS('Non-labour_inputs'!GH$8:GH$112,'Non-labour_inputs'!$C$8:$C$112,$B147,'Non-labour_inputs'!$B$8:$B$112,$B$134)</f>
        <v>0</v>
      </c>
      <c r="D147" s="207">
        <f>SUMIFS('Non-labour_inputs'!GI$8:GI$112,'Non-labour_inputs'!$C$8:$C$112,$B147,'Non-labour_inputs'!$B$8:$B$112,$B$134)</f>
        <v>0</v>
      </c>
      <c r="E147" s="207">
        <f>SUMIFS('Non-labour_inputs'!GJ$8:GJ$112,'Non-labour_inputs'!$C$8:$C$112,$B147,'Non-labour_inputs'!$B$8:$B$112,$B$134)</f>
        <v>0</v>
      </c>
      <c r="F147" s="207">
        <f>SUMIFS('Non-labour_inputs'!GK$8:GK$112,'Non-labour_inputs'!$C$8:$C$112,$B147,'Non-labour_inputs'!$B$8:$B$112,$B$134)</f>
        <v>0</v>
      </c>
      <c r="G147" s="207">
        <f>SUMIFS('Non-labour_inputs'!GL$8:GL$112,'Non-labour_inputs'!$C$8:$C$112,$B147,'Non-labour_inputs'!$B$8:$B$112,$B$134)</f>
        <v>0</v>
      </c>
      <c r="H147" s="207">
        <f>SUMIFS('Non-labour_inputs'!GM$8:GM$112,'Non-labour_inputs'!$C$8:$C$112,$B147,'Non-labour_inputs'!$B$8:$B$112,$B$134)</f>
        <v>0</v>
      </c>
      <c r="I147" s="207">
        <f>SUMIFS('Non-labour_inputs'!GN$8:GN$112,'Non-labour_inputs'!$C$8:$C$112,$B147,'Non-labour_inputs'!$B$8:$B$112,$B$134)</f>
        <v>0</v>
      </c>
      <c r="J147" s="207">
        <f t="shared" si="85"/>
        <v>0</v>
      </c>
      <c r="L147" s="207">
        <f>SUMIFS('Non-labour_inputs'!GR$8:GR$112,'Non-labour_inputs'!$C$8:$C$112,$B147,'Non-labour_inputs'!$B$8:$B$112,$B$134)</f>
        <v>0</v>
      </c>
    </row>
    <row r="148" spans="2:15" x14ac:dyDescent="0.3">
      <c r="B148" s="206"/>
      <c r="C148" s="207">
        <f>SUMIFS('Non-labour_inputs'!GH$8:GH$112,'Non-labour_inputs'!$C$8:$C$112,$B148,'Non-labour_inputs'!$B$8:$B$112,$B$134)</f>
        <v>0</v>
      </c>
      <c r="D148" s="207">
        <f>SUMIFS('Non-labour_inputs'!GI$8:GI$112,'Non-labour_inputs'!$C$8:$C$112,$B148,'Non-labour_inputs'!$B$8:$B$112,$B$134)</f>
        <v>0</v>
      </c>
      <c r="E148" s="207">
        <f>SUMIFS('Non-labour_inputs'!GJ$8:GJ$112,'Non-labour_inputs'!$C$8:$C$112,$B148,'Non-labour_inputs'!$B$8:$B$112,$B$134)</f>
        <v>0</v>
      </c>
      <c r="F148" s="207">
        <f>SUMIFS('Non-labour_inputs'!GK$8:GK$112,'Non-labour_inputs'!$C$8:$C$112,$B148,'Non-labour_inputs'!$B$8:$B$112,$B$134)</f>
        <v>0</v>
      </c>
      <c r="G148" s="207">
        <f>SUMIFS('Non-labour_inputs'!GL$8:GL$112,'Non-labour_inputs'!$C$8:$C$112,$B148,'Non-labour_inputs'!$B$8:$B$112,$B$134)</f>
        <v>0</v>
      </c>
      <c r="H148" s="207">
        <f>SUMIFS('Non-labour_inputs'!GM$8:GM$112,'Non-labour_inputs'!$C$8:$C$112,$B148,'Non-labour_inputs'!$B$8:$B$112,$B$134)</f>
        <v>0</v>
      </c>
      <c r="I148" s="207">
        <f>SUMIFS('Non-labour_inputs'!GN$8:GN$112,'Non-labour_inputs'!$C$8:$C$112,$B148,'Non-labour_inputs'!$B$8:$B$112,$B$134)</f>
        <v>0</v>
      </c>
      <c r="J148" s="207">
        <f t="shared" si="85"/>
        <v>0</v>
      </c>
      <c r="L148" s="207">
        <f>SUMIFS('Non-labour_inputs'!GR$8:GR$112,'Non-labour_inputs'!$C$8:$C$112,$B148,'Non-labour_inputs'!$B$8:$B$112,$B$134)</f>
        <v>0</v>
      </c>
    </row>
    <row r="149" spans="2:15" x14ac:dyDescent="0.3">
      <c r="B149" s="206"/>
      <c r="C149" s="207">
        <f>SUMIFS('Non-labour_inputs'!GH$8:GH$112,'Non-labour_inputs'!$C$8:$C$112,$B149,'Non-labour_inputs'!$B$8:$B$112,$B$134)</f>
        <v>0</v>
      </c>
      <c r="D149" s="207">
        <f>SUMIFS('Non-labour_inputs'!GI$8:GI$112,'Non-labour_inputs'!$C$8:$C$112,$B149,'Non-labour_inputs'!$B$8:$B$112,$B$134)</f>
        <v>0</v>
      </c>
      <c r="E149" s="207">
        <f>SUMIFS('Non-labour_inputs'!GJ$8:GJ$112,'Non-labour_inputs'!$C$8:$C$112,$B149,'Non-labour_inputs'!$B$8:$B$112,$B$134)</f>
        <v>0</v>
      </c>
      <c r="F149" s="207">
        <f>SUMIFS('Non-labour_inputs'!GK$8:GK$112,'Non-labour_inputs'!$C$8:$C$112,$B149,'Non-labour_inputs'!$B$8:$B$112,$B$134)</f>
        <v>0</v>
      </c>
      <c r="G149" s="207">
        <f>SUMIFS('Non-labour_inputs'!GL$8:GL$112,'Non-labour_inputs'!$C$8:$C$112,$B149,'Non-labour_inputs'!$B$8:$B$112,$B$134)</f>
        <v>0</v>
      </c>
      <c r="H149" s="207">
        <f>SUMIFS('Non-labour_inputs'!GM$8:GM$112,'Non-labour_inputs'!$C$8:$C$112,$B149,'Non-labour_inputs'!$B$8:$B$112,$B$134)</f>
        <v>0</v>
      </c>
      <c r="I149" s="207">
        <f>SUMIFS('Non-labour_inputs'!GN$8:GN$112,'Non-labour_inputs'!$C$8:$C$112,$B149,'Non-labour_inputs'!$B$8:$B$112,$B$134)</f>
        <v>0</v>
      </c>
      <c r="J149" s="207">
        <f t="shared" si="85"/>
        <v>0</v>
      </c>
      <c r="L149" s="207">
        <f>SUMIFS('Non-labour_inputs'!GR$8:GR$112,'Non-labour_inputs'!$C$8:$C$112,$B149,'Non-labour_inputs'!$B$8:$B$112,$B$134)</f>
        <v>0</v>
      </c>
    </row>
    <row r="150" spans="2:15" x14ac:dyDescent="0.3">
      <c r="B150" s="206"/>
      <c r="C150" s="207">
        <f>SUMIFS('Non-labour_inputs'!GH$8:GH$112,'Non-labour_inputs'!$C$8:$C$112,$B150,'Non-labour_inputs'!$B$8:$B$112,$B$134)</f>
        <v>0</v>
      </c>
      <c r="D150" s="207">
        <f>SUMIFS('Non-labour_inputs'!GI$8:GI$112,'Non-labour_inputs'!$C$8:$C$112,$B150,'Non-labour_inputs'!$B$8:$B$112,$B$134)</f>
        <v>0</v>
      </c>
      <c r="E150" s="207">
        <f>SUMIFS('Non-labour_inputs'!GJ$8:GJ$112,'Non-labour_inputs'!$C$8:$C$112,$B150,'Non-labour_inputs'!$B$8:$B$112,$B$134)</f>
        <v>0</v>
      </c>
      <c r="F150" s="207">
        <f>SUMIFS('Non-labour_inputs'!GK$8:GK$112,'Non-labour_inputs'!$C$8:$C$112,$B150,'Non-labour_inputs'!$B$8:$B$112,$B$134)</f>
        <v>0</v>
      </c>
      <c r="G150" s="207">
        <f>SUMIFS('Non-labour_inputs'!GL$8:GL$112,'Non-labour_inputs'!$C$8:$C$112,$B150,'Non-labour_inputs'!$B$8:$B$112,$B$134)</f>
        <v>0</v>
      </c>
      <c r="H150" s="207">
        <f>SUMIFS('Non-labour_inputs'!GM$8:GM$112,'Non-labour_inputs'!$C$8:$C$112,$B150,'Non-labour_inputs'!$B$8:$B$112,$B$134)</f>
        <v>0</v>
      </c>
      <c r="I150" s="207">
        <f>SUMIFS('Non-labour_inputs'!GN$8:GN$112,'Non-labour_inputs'!$C$8:$C$112,$B150,'Non-labour_inputs'!$B$8:$B$112,$B$134)</f>
        <v>0</v>
      </c>
      <c r="J150" s="207">
        <f t="shared" si="85"/>
        <v>0</v>
      </c>
      <c r="L150" s="207">
        <f>SUMIFS('Non-labour_inputs'!GR$8:GR$112,'Non-labour_inputs'!$C$8:$C$112,$B150,'Non-labour_inputs'!$B$8:$B$112,$B$134)</f>
        <v>0</v>
      </c>
    </row>
    <row r="151" spans="2:15" x14ac:dyDescent="0.3">
      <c r="B151" s="206"/>
      <c r="C151" s="207">
        <f>SUMIFS('Non-labour_inputs'!GH$8:GH$112,'Non-labour_inputs'!$C$8:$C$112,$B151,'Non-labour_inputs'!$B$8:$B$112,$B$134)</f>
        <v>0</v>
      </c>
      <c r="D151" s="207">
        <f>SUMIFS('Non-labour_inputs'!GI$8:GI$112,'Non-labour_inputs'!$C$8:$C$112,$B151,'Non-labour_inputs'!$B$8:$B$112,$B$134)</f>
        <v>0</v>
      </c>
      <c r="E151" s="207">
        <f>SUMIFS('Non-labour_inputs'!GJ$8:GJ$112,'Non-labour_inputs'!$C$8:$C$112,$B151,'Non-labour_inputs'!$B$8:$B$112,$B$134)</f>
        <v>0</v>
      </c>
      <c r="F151" s="207">
        <f>SUMIFS('Non-labour_inputs'!GK$8:GK$112,'Non-labour_inputs'!$C$8:$C$112,$B151,'Non-labour_inputs'!$B$8:$B$112,$B$134)</f>
        <v>0</v>
      </c>
      <c r="G151" s="207">
        <f>SUMIFS('Non-labour_inputs'!GL$8:GL$112,'Non-labour_inputs'!$C$8:$C$112,$B151,'Non-labour_inputs'!$B$8:$B$112,$B$134)</f>
        <v>0</v>
      </c>
      <c r="H151" s="207">
        <f>SUMIFS('Non-labour_inputs'!GM$8:GM$112,'Non-labour_inputs'!$C$8:$C$112,$B151,'Non-labour_inputs'!$B$8:$B$112,$B$134)</f>
        <v>0</v>
      </c>
      <c r="I151" s="207">
        <f>SUMIFS('Non-labour_inputs'!GN$8:GN$112,'Non-labour_inputs'!$C$8:$C$112,$B151,'Non-labour_inputs'!$B$8:$B$112,$B$134)</f>
        <v>0</v>
      </c>
      <c r="J151" s="207">
        <f t="shared" si="85"/>
        <v>0</v>
      </c>
      <c r="L151" s="207">
        <f>SUMIFS('Non-labour_inputs'!GR$8:GR$112,'Non-labour_inputs'!$C$8:$C$112,$B151,'Non-labour_inputs'!$B$8:$B$112,$B$134)</f>
        <v>0</v>
      </c>
    </row>
    <row r="152" spans="2:15" x14ac:dyDescent="0.3">
      <c r="B152" s="208" t="s">
        <v>133</v>
      </c>
      <c r="C152" s="209">
        <f t="shared" ref="C152:J152" si="86">SUM(C137:C151)</f>
        <v>269202.80299340183</v>
      </c>
      <c r="D152" s="209">
        <f t="shared" si="86"/>
        <v>521140.24524135789</v>
      </c>
      <c r="E152" s="209">
        <f t="shared" si="86"/>
        <v>507686.94283265236</v>
      </c>
      <c r="F152" s="209">
        <f t="shared" si="86"/>
        <v>206075.39131444503</v>
      </c>
      <c r="G152" s="209">
        <f t="shared" si="86"/>
        <v>0</v>
      </c>
      <c r="H152" s="209">
        <f t="shared" si="86"/>
        <v>0</v>
      </c>
      <c r="I152" s="209">
        <f t="shared" si="86"/>
        <v>0</v>
      </c>
      <c r="J152" s="209">
        <f t="shared" si="86"/>
        <v>1504105.3823818571</v>
      </c>
      <c r="L152" s="209">
        <f t="shared" ref="L152" si="87">SUM(L137:L151)</f>
        <v>132000</v>
      </c>
    </row>
    <row r="153" spans="2:15" s="65" customFormat="1" ht="12.75" x14ac:dyDescent="0.2"/>
    <row r="154" spans="2:15" ht="16.5" x14ac:dyDescent="0.3">
      <c r="B154" s="206" t="s">
        <v>134</v>
      </c>
      <c r="C154" s="224" t="str">
        <f t="shared" ref="C154:I154" si="88">IF(C152=_xlfn.XLOOKUP($B134,$B$11:$B$23,C$11:C$23,0),"OK","ERROR")</f>
        <v>OK</v>
      </c>
      <c r="D154" s="224" t="str">
        <f t="shared" si="88"/>
        <v>OK</v>
      </c>
      <c r="E154" s="224" t="str">
        <f t="shared" si="88"/>
        <v>OK</v>
      </c>
      <c r="F154" s="224" t="str">
        <f t="shared" si="88"/>
        <v>OK</v>
      </c>
      <c r="G154" s="224" t="str">
        <f t="shared" si="88"/>
        <v>OK</v>
      </c>
      <c r="H154" s="224" t="str">
        <f t="shared" si="88"/>
        <v>OK</v>
      </c>
      <c r="I154" s="224" t="str">
        <f t="shared" si="88"/>
        <v>OK</v>
      </c>
      <c r="J154" s="65"/>
      <c r="L154" s="224" t="str">
        <f t="shared" ref="L154" si="89">IF(L152=_xlfn.XLOOKUP($B134,$B$11:$B$23,L$11:L$23,0),"OK","ERROR")</f>
        <v>OK</v>
      </c>
      <c r="O154" s="49"/>
    </row>
    <row r="155" spans="2:15" x14ac:dyDescent="0.3">
      <c r="B155" s="42"/>
      <c r="F155" s="42"/>
      <c r="N155" s="49"/>
      <c r="O155" s="49"/>
    </row>
    <row r="156" spans="2:15" s="65" customFormat="1" ht="12.75" x14ac:dyDescent="0.2">
      <c r="B156" s="221" t="str">
        <f>B61</f>
        <v>Project Development</v>
      </c>
      <c r="C156" s="118"/>
      <c r="D156" s="118"/>
      <c r="E156" s="132" t="str">
        <f>"(Real "&amp;'Key assumptions'!$D$11&amp;")"</f>
        <v>(Real $RY2026)</v>
      </c>
      <c r="F156" s="118"/>
      <c r="G156" s="118"/>
      <c r="H156" s="118"/>
      <c r="I156" s="118"/>
      <c r="J156" s="118"/>
      <c r="L156" s="118"/>
    </row>
    <row r="158" spans="2:15" ht="27" customHeight="1" x14ac:dyDescent="0.3">
      <c r="B158" s="136" t="s">
        <v>51</v>
      </c>
      <c r="C158" s="140" t="str" cm="1">
        <f t="array" ref="C158:I158">model_forecastperiod</f>
        <v>RY2026
01Feb-30Sep</v>
      </c>
      <c r="D158" s="140" t="str">
        <v>RY2027</v>
      </c>
      <c r="E158" s="140" t="str">
        <v>RY2028</v>
      </c>
      <c r="F158" s="140" t="str">
        <v>RY2029</v>
      </c>
      <c r="G158" s="140" t="str">
        <v>RY2030</v>
      </c>
      <c r="H158" s="140" t="str">
        <v>RY2031</v>
      </c>
      <c r="I158" s="140" t="str">
        <v>RY2032</v>
      </c>
      <c r="J158" s="140" t="s">
        <v>133</v>
      </c>
      <c r="L158" s="140"/>
    </row>
    <row r="159" spans="2:15" ht="26.45" customHeight="1" x14ac:dyDescent="0.3">
      <c r="B159" s="205" t="str" cm="1">
        <f t="array" ref="B159:B163">IFERROR(_xlfn.UNIQUE(_xlfn._xlws.FILTER('Non-labour_inputs'!$C$8:$C$112,'Non-labour_inputs'!$B$8:$B$112=B156)),"")</f>
        <v>c-i-c</v>
      </c>
      <c r="C159" s="207">
        <f>SUMIFS('Non-labour_inputs'!GH$8:GH$112,'Non-labour_inputs'!$C$8:$C$112,$B159,'Non-labour_inputs'!$B$8:$B$112,$B$156)</f>
        <v>824486.60896182223</v>
      </c>
      <c r="D159" s="207">
        <f>SUMIFS('Non-labour_inputs'!GI$8:GI$112,'Non-labour_inputs'!$C$8:$C$112,$B159,'Non-labour_inputs'!$B$8:$B$112,$B$156)</f>
        <v>54767.102136273606</v>
      </c>
      <c r="E159" s="207">
        <f>SUMIFS('Non-labour_inputs'!GJ$8:GJ$112,'Non-labour_inputs'!$C$8:$C$112,$B159,'Non-labour_inputs'!$B$8:$B$112,$B$156)</f>
        <v>0</v>
      </c>
      <c r="F159" s="207">
        <f>SUMIFS('Non-labour_inputs'!GK$8:GK$112,'Non-labour_inputs'!$C$8:$C$112,$B159,'Non-labour_inputs'!$B$8:$B$112,$B$156)</f>
        <v>0</v>
      </c>
      <c r="G159" s="207">
        <f>SUMIFS('Non-labour_inputs'!GL$8:GL$112,'Non-labour_inputs'!$C$8:$C$112,$B159,'Non-labour_inputs'!$B$8:$B$112,$B$156)</f>
        <v>0</v>
      </c>
      <c r="H159" s="207">
        <f>SUMIFS('Non-labour_inputs'!GM$8:GM$112,'Non-labour_inputs'!$C$8:$C$112,$B159,'Non-labour_inputs'!$B$8:$B$112,$B$156)</f>
        <v>0</v>
      </c>
      <c r="I159" s="207">
        <f>SUMIFS('Non-labour_inputs'!GN$8:GN$112,'Non-labour_inputs'!$C$8:$C$112,$B159,'Non-labour_inputs'!$B$8:$B$112,$B$156)</f>
        <v>0</v>
      </c>
      <c r="J159" s="207">
        <f t="shared" ref="J159:J173" si="90">SUM(C159:I159)</f>
        <v>879253.71109809587</v>
      </c>
      <c r="L159" s="207">
        <f>SUMIFS('Non-labour_inputs'!GR$8:GR$112,'Non-labour_inputs'!$C$8:$C$112,$B159,'Non-labour_inputs'!$B$8:$B$112,$B$156)</f>
        <v>369744</v>
      </c>
    </row>
    <row r="160" spans="2:15" x14ac:dyDescent="0.3">
      <c r="B160" s="206" t="str">
        <v>Syncon SME</v>
      </c>
      <c r="C160" s="207">
        <f>SUMIFS('Non-labour_inputs'!GH$8:GH$112,'Non-labour_inputs'!$C$8:$C$112,$B160,'Non-labour_inputs'!$B$8:$B$112,$B$156)</f>
        <v>7282.7515870411971</v>
      </c>
      <c r="D160" s="207">
        <f>SUMIFS('Non-labour_inputs'!GI$8:GI$112,'Non-labour_inputs'!$C$8:$C$112,$B160,'Non-labour_inputs'!$B$8:$B$112,$B$156)</f>
        <v>0</v>
      </c>
      <c r="E160" s="207">
        <f>SUMIFS('Non-labour_inputs'!GJ$8:GJ$112,'Non-labour_inputs'!$C$8:$C$112,$B160,'Non-labour_inputs'!$B$8:$B$112,$B$156)</f>
        <v>0</v>
      </c>
      <c r="F160" s="207">
        <f>SUMIFS('Non-labour_inputs'!GK$8:GK$112,'Non-labour_inputs'!$C$8:$C$112,$B160,'Non-labour_inputs'!$B$8:$B$112,$B$156)</f>
        <v>0</v>
      </c>
      <c r="G160" s="207">
        <f>SUMIFS('Non-labour_inputs'!GL$8:GL$112,'Non-labour_inputs'!$C$8:$C$112,$B160,'Non-labour_inputs'!$B$8:$B$112,$B$156)</f>
        <v>0</v>
      </c>
      <c r="H160" s="207">
        <f>SUMIFS('Non-labour_inputs'!GM$8:GM$112,'Non-labour_inputs'!$C$8:$C$112,$B160,'Non-labour_inputs'!$B$8:$B$112,$B$156)</f>
        <v>0</v>
      </c>
      <c r="I160" s="207">
        <f>SUMIFS('Non-labour_inputs'!GN$8:GN$112,'Non-labour_inputs'!$C$8:$C$112,$B160,'Non-labour_inputs'!$B$8:$B$112,$B$156)</f>
        <v>0</v>
      </c>
      <c r="J160" s="207">
        <f t="shared" si="90"/>
        <v>7282.7515870411971</v>
      </c>
      <c r="L160" s="207">
        <f>SUMIFS('Non-labour_inputs'!GR$8:GR$112,'Non-labour_inputs'!$C$8:$C$112,$B160,'Non-labour_inputs'!$B$8:$B$112,$B$156)</f>
        <v>7142</v>
      </c>
    </row>
    <row r="161" spans="2:15" x14ac:dyDescent="0.3">
      <c r="B161" s="206" t="str">
        <v>LV System for Syncons SME</v>
      </c>
      <c r="C161" s="207">
        <f>SUMIFS('Non-labour_inputs'!GH$8:GH$112,'Non-labour_inputs'!$C$8:$C$112,$B161,'Non-labour_inputs'!$B$8:$B$112,$B$156)</f>
        <v>130849.89728377393</v>
      </c>
      <c r="D161" s="207">
        <f>SUMIFS('Non-labour_inputs'!GI$8:GI$112,'Non-labour_inputs'!$C$8:$C$112,$B161,'Non-labour_inputs'!$B$8:$B$112,$B$156)</f>
        <v>0</v>
      </c>
      <c r="E161" s="207">
        <f>SUMIFS('Non-labour_inputs'!GJ$8:GJ$112,'Non-labour_inputs'!$C$8:$C$112,$B161,'Non-labour_inputs'!$B$8:$B$112,$B$156)</f>
        <v>0</v>
      </c>
      <c r="F161" s="207">
        <f>SUMIFS('Non-labour_inputs'!GK$8:GK$112,'Non-labour_inputs'!$C$8:$C$112,$B161,'Non-labour_inputs'!$B$8:$B$112,$B$156)</f>
        <v>0</v>
      </c>
      <c r="G161" s="207">
        <f>SUMIFS('Non-labour_inputs'!GL$8:GL$112,'Non-labour_inputs'!$C$8:$C$112,$B161,'Non-labour_inputs'!$B$8:$B$112,$B$156)</f>
        <v>0</v>
      </c>
      <c r="H161" s="207">
        <f>SUMIFS('Non-labour_inputs'!GM$8:GM$112,'Non-labour_inputs'!$C$8:$C$112,$B161,'Non-labour_inputs'!$B$8:$B$112,$B$156)</f>
        <v>0</v>
      </c>
      <c r="I161" s="207">
        <f>SUMIFS('Non-labour_inputs'!GN$8:GN$112,'Non-labour_inputs'!$C$8:$C$112,$B161,'Non-labour_inputs'!$B$8:$B$112,$B$156)</f>
        <v>0</v>
      </c>
      <c r="J161" s="207">
        <f t="shared" si="90"/>
        <v>130849.89728377393</v>
      </c>
      <c r="L161" s="207">
        <f>SUMIFS('Non-labour_inputs'!GR$8:GR$112,'Non-labour_inputs'!$C$8:$C$112,$B161,'Non-labour_inputs'!$B$8:$B$112,$B$156)</f>
        <v>128321</v>
      </c>
    </row>
    <row r="162" spans="2:15" x14ac:dyDescent="0.3">
      <c r="B162" s="206" t="str">
        <v>Control System Design</v>
      </c>
      <c r="C162" s="207">
        <f>SUMIFS('Non-labour_inputs'!GH$8:GH$112,'Non-labour_inputs'!$C$8:$C$112,$B162,'Non-labour_inputs'!$B$8:$B$112,$B$156)</f>
        <v>0</v>
      </c>
      <c r="D162" s="207">
        <f>SUMIFS('Non-labour_inputs'!GI$8:GI$112,'Non-labour_inputs'!$C$8:$C$112,$B162,'Non-labour_inputs'!$B$8:$B$112,$B$156)</f>
        <v>307156.90211952757</v>
      </c>
      <c r="E162" s="207">
        <f>SUMIFS('Non-labour_inputs'!GJ$8:GJ$112,'Non-labour_inputs'!$C$8:$C$112,$B162,'Non-labour_inputs'!$B$8:$B$112,$B$156)</f>
        <v>0</v>
      </c>
      <c r="F162" s="207">
        <f>SUMIFS('Non-labour_inputs'!GK$8:GK$112,'Non-labour_inputs'!$C$8:$C$112,$B162,'Non-labour_inputs'!$B$8:$B$112,$B$156)</f>
        <v>0</v>
      </c>
      <c r="G162" s="207">
        <f>SUMIFS('Non-labour_inputs'!GL$8:GL$112,'Non-labour_inputs'!$C$8:$C$112,$B162,'Non-labour_inputs'!$B$8:$B$112,$B$156)</f>
        <v>0</v>
      </c>
      <c r="H162" s="207">
        <f>SUMIFS('Non-labour_inputs'!GM$8:GM$112,'Non-labour_inputs'!$C$8:$C$112,$B162,'Non-labour_inputs'!$B$8:$B$112,$B$156)</f>
        <v>0</v>
      </c>
      <c r="I162" s="207">
        <f>SUMIFS('Non-labour_inputs'!GN$8:GN$112,'Non-labour_inputs'!$C$8:$C$112,$B162,'Non-labour_inputs'!$B$8:$B$112,$B$156)</f>
        <v>0</v>
      </c>
      <c r="J162" s="207">
        <f t="shared" si="90"/>
        <v>307156.90211952757</v>
      </c>
      <c r="L162" s="207">
        <f>SUMIFS('Non-labour_inputs'!GR$8:GR$112,'Non-labour_inputs'!$C$8:$C$112,$B162,'Non-labour_inputs'!$B$8:$B$112,$B$156)</f>
        <v>0</v>
      </c>
    </row>
    <row r="163" spans="2:15" x14ac:dyDescent="0.3">
      <c r="B163" s="206" t="str">
        <v>Transformer Design External Audit</v>
      </c>
      <c r="C163" s="207">
        <f>SUMIFS('Non-labour_inputs'!GH$8:GH$112,'Non-labour_inputs'!$C$8:$C$112,$B163,'Non-labour_inputs'!$B$8:$B$112,$B$156)</f>
        <v>50985.379354810953</v>
      </c>
      <c r="D163" s="207">
        <f>SUMIFS('Non-labour_inputs'!GI$8:GI$112,'Non-labour_inputs'!$C$8:$C$112,$B163,'Non-labour_inputs'!$B$8:$B$112,$B$156)</f>
        <v>0</v>
      </c>
      <c r="E163" s="207">
        <f>SUMIFS('Non-labour_inputs'!GJ$8:GJ$112,'Non-labour_inputs'!$C$8:$C$112,$B163,'Non-labour_inputs'!$B$8:$B$112,$B$156)</f>
        <v>0</v>
      </c>
      <c r="F163" s="207">
        <f>SUMIFS('Non-labour_inputs'!GK$8:GK$112,'Non-labour_inputs'!$C$8:$C$112,$B163,'Non-labour_inputs'!$B$8:$B$112,$B$156)</f>
        <v>0</v>
      </c>
      <c r="G163" s="207">
        <f>SUMIFS('Non-labour_inputs'!GL$8:GL$112,'Non-labour_inputs'!$C$8:$C$112,$B163,'Non-labour_inputs'!$B$8:$B$112,$B$156)</f>
        <v>0</v>
      </c>
      <c r="H163" s="207">
        <f>SUMIFS('Non-labour_inputs'!GM$8:GM$112,'Non-labour_inputs'!$C$8:$C$112,$B163,'Non-labour_inputs'!$B$8:$B$112,$B$156)</f>
        <v>0</v>
      </c>
      <c r="I163" s="207">
        <f>SUMIFS('Non-labour_inputs'!GN$8:GN$112,'Non-labour_inputs'!$C$8:$C$112,$B163,'Non-labour_inputs'!$B$8:$B$112,$B$156)</f>
        <v>0</v>
      </c>
      <c r="J163" s="207">
        <f t="shared" si="90"/>
        <v>50985.379354810953</v>
      </c>
      <c r="L163" s="207">
        <f>SUMIFS('Non-labour_inputs'!GR$8:GR$112,'Non-labour_inputs'!$C$8:$C$112,$B163,'Non-labour_inputs'!$B$8:$B$112,$B$156)</f>
        <v>50000</v>
      </c>
    </row>
    <row r="164" spans="2:15" x14ac:dyDescent="0.3">
      <c r="B164" s="206"/>
      <c r="C164" s="207">
        <f>SUMIFS('Non-labour_inputs'!GH$8:GH$112,'Non-labour_inputs'!$C$8:$C$112,$B164,'Non-labour_inputs'!$B$8:$B$112,$B$156)</f>
        <v>0</v>
      </c>
      <c r="D164" s="207">
        <f>SUMIFS('Non-labour_inputs'!GI$8:GI$112,'Non-labour_inputs'!$C$8:$C$112,$B164,'Non-labour_inputs'!$B$8:$B$112,$B$156)</f>
        <v>0</v>
      </c>
      <c r="E164" s="207">
        <f>SUMIFS('Non-labour_inputs'!GJ$8:GJ$112,'Non-labour_inputs'!$C$8:$C$112,$B164,'Non-labour_inputs'!$B$8:$B$112,$B$156)</f>
        <v>0</v>
      </c>
      <c r="F164" s="207">
        <f>SUMIFS('Non-labour_inputs'!GK$8:GK$112,'Non-labour_inputs'!$C$8:$C$112,$B164,'Non-labour_inputs'!$B$8:$B$112,$B$156)</f>
        <v>0</v>
      </c>
      <c r="G164" s="207">
        <f>SUMIFS('Non-labour_inputs'!GL$8:GL$112,'Non-labour_inputs'!$C$8:$C$112,$B164,'Non-labour_inputs'!$B$8:$B$112,$B$156)</f>
        <v>0</v>
      </c>
      <c r="H164" s="207">
        <f>SUMIFS('Non-labour_inputs'!GM$8:GM$112,'Non-labour_inputs'!$C$8:$C$112,$B164,'Non-labour_inputs'!$B$8:$B$112,$B$156)</f>
        <v>0</v>
      </c>
      <c r="I164" s="207">
        <f>SUMIFS('Non-labour_inputs'!GN$8:GN$112,'Non-labour_inputs'!$C$8:$C$112,$B164,'Non-labour_inputs'!$B$8:$B$112,$B$156)</f>
        <v>0</v>
      </c>
      <c r="J164" s="207">
        <f t="shared" si="90"/>
        <v>0</v>
      </c>
      <c r="L164" s="207">
        <f>SUMIFS('Non-labour_inputs'!GR$8:GR$112,'Non-labour_inputs'!$C$8:$C$112,$B164,'Non-labour_inputs'!$B$8:$B$112,$B$156)</f>
        <v>0</v>
      </c>
    </row>
    <row r="165" spans="2:15" x14ac:dyDescent="0.3">
      <c r="B165" s="206"/>
      <c r="C165" s="207">
        <f>SUMIFS('Non-labour_inputs'!GH$8:GH$112,'Non-labour_inputs'!$C$8:$C$112,$B165,'Non-labour_inputs'!$B$8:$B$112,$B$156)</f>
        <v>0</v>
      </c>
      <c r="D165" s="207">
        <f>SUMIFS('Non-labour_inputs'!GI$8:GI$112,'Non-labour_inputs'!$C$8:$C$112,$B165,'Non-labour_inputs'!$B$8:$B$112,$B$156)</f>
        <v>0</v>
      </c>
      <c r="E165" s="207">
        <f>SUMIFS('Non-labour_inputs'!GJ$8:GJ$112,'Non-labour_inputs'!$C$8:$C$112,$B165,'Non-labour_inputs'!$B$8:$B$112,$B$156)</f>
        <v>0</v>
      </c>
      <c r="F165" s="207">
        <f>SUMIFS('Non-labour_inputs'!GK$8:GK$112,'Non-labour_inputs'!$C$8:$C$112,$B165,'Non-labour_inputs'!$B$8:$B$112,$B$156)</f>
        <v>0</v>
      </c>
      <c r="G165" s="207">
        <f>SUMIFS('Non-labour_inputs'!GL$8:GL$112,'Non-labour_inputs'!$C$8:$C$112,$B165,'Non-labour_inputs'!$B$8:$B$112,$B$156)</f>
        <v>0</v>
      </c>
      <c r="H165" s="207">
        <f>SUMIFS('Non-labour_inputs'!GM$8:GM$112,'Non-labour_inputs'!$C$8:$C$112,$B165,'Non-labour_inputs'!$B$8:$B$112,$B$156)</f>
        <v>0</v>
      </c>
      <c r="I165" s="207">
        <f>SUMIFS('Non-labour_inputs'!GN$8:GN$112,'Non-labour_inputs'!$C$8:$C$112,$B165,'Non-labour_inputs'!$B$8:$B$112,$B$156)</f>
        <v>0</v>
      </c>
      <c r="J165" s="207">
        <f t="shared" si="90"/>
        <v>0</v>
      </c>
      <c r="L165" s="207">
        <f>SUMIFS('Non-labour_inputs'!GR$8:GR$112,'Non-labour_inputs'!$C$8:$C$112,$B165,'Non-labour_inputs'!$B$8:$B$112,$B$156)</f>
        <v>0</v>
      </c>
    </row>
    <row r="166" spans="2:15" x14ac:dyDescent="0.3">
      <c r="B166" s="206"/>
      <c r="C166" s="207">
        <f>SUMIFS('Non-labour_inputs'!GH$8:GH$112,'Non-labour_inputs'!$C$8:$C$112,$B166,'Non-labour_inputs'!$B$8:$B$112,$B$156)</f>
        <v>0</v>
      </c>
      <c r="D166" s="207">
        <f>SUMIFS('Non-labour_inputs'!GI$8:GI$112,'Non-labour_inputs'!$C$8:$C$112,$B166,'Non-labour_inputs'!$B$8:$B$112,$B$156)</f>
        <v>0</v>
      </c>
      <c r="E166" s="207">
        <f>SUMIFS('Non-labour_inputs'!GJ$8:GJ$112,'Non-labour_inputs'!$C$8:$C$112,$B166,'Non-labour_inputs'!$B$8:$B$112,$B$156)</f>
        <v>0</v>
      </c>
      <c r="F166" s="207">
        <f>SUMIFS('Non-labour_inputs'!GK$8:GK$112,'Non-labour_inputs'!$C$8:$C$112,$B166,'Non-labour_inputs'!$B$8:$B$112,$B$156)</f>
        <v>0</v>
      </c>
      <c r="G166" s="207">
        <f>SUMIFS('Non-labour_inputs'!GL$8:GL$112,'Non-labour_inputs'!$C$8:$C$112,$B166,'Non-labour_inputs'!$B$8:$B$112,$B$156)</f>
        <v>0</v>
      </c>
      <c r="H166" s="207">
        <f>SUMIFS('Non-labour_inputs'!GM$8:GM$112,'Non-labour_inputs'!$C$8:$C$112,$B166,'Non-labour_inputs'!$B$8:$B$112,$B$156)</f>
        <v>0</v>
      </c>
      <c r="I166" s="207">
        <f>SUMIFS('Non-labour_inputs'!GN$8:GN$112,'Non-labour_inputs'!$C$8:$C$112,$B166,'Non-labour_inputs'!$B$8:$B$112,$B$156)</f>
        <v>0</v>
      </c>
      <c r="J166" s="207">
        <f t="shared" si="90"/>
        <v>0</v>
      </c>
      <c r="L166" s="207">
        <f>SUMIFS('Non-labour_inputs'!GR$8:GR$112,'Non-labour_inputs'!$C$8:$C$112,$B166,'Non-labour_inputs'!$B$8:$B$112,$B$156)</f>
        <v>0</v>
      </c>
    </row>
    <row r="167" spans="2:15" x14ac:dyDescent="0.3">
      <c r="B167" s="206"/>
      <c r="C167" s="207">
        <f>SUMIFS('Non-labour_inputs'!GH$8:GH$112,'Non-labour_inputs'!$C$8:$C$112,$B167,'Non-labour_inputs'!$B$8:$B$112,$B$156)</f>
        <v>0</v>
      </c>
      <c r="D167" s="207">
        <f>SUMIFS('Non-labour_inputs'!GI$8:GI$112,'Non-labour_inputs'!$C$8:$C$112,$B167,'Non-labour_inputs'!$B$8:$B$112,$B$156)</f>
        <v>0</v>
      </c>
      <c r="E167" s="207">
        <f>SUMIFS('Non-labour_inputs'!GJ$8:GJ$112,'Non-labour_inputs'!$C$8:$C$112,$B167,'Non-labour_inputs'!$B$8:$B$112,$B$156)</f>
        <v>0</v>
      </c>
      <c r="F167" s="207">
        <f>SUMIFS('Non-labour_inputs'!GK$8:GK$112,'Non-labour_inputs'!$C$8:$C$112,$B167,'Non-labour_inputs'!$B$8:$B$112,$B$156)</f>
        <v>0</v>
      </c>
      <c r="G167" s="207">
        <f>SUMIFS('Non-labour_inputs'!GL$8:GL$112,'Non-labour_inputs'!$C$8:$C$112,$B167,'Non-labour_inputs'!$B$8:$B$112,$B$156)</f>
        <v>0</v>
      </c>
      <c r="H167" s="207">
        <f>SUMIFS('Non-labour_inputs'!GM$8:GM$112,'Non-labour_inputs'!$C$8:$C$112,$B167,'Non-labour_inputs'!$B$8:$B$112,$B$156)</f>
        <v>0</v>
      </c>
      <c r="I167" s="207">
        <f>SUMIFS('Non-labour_inputs'!GN$8:GN$112,'Non-labour_inputs'!$C$8:$C$112,$B167,'Non-labour_inputs'!$B$8:$B$112,$B$156)</f>
        <v>0</v>
      </c>
      <c r="J167" s="207">
        <f t="shared" si="90"/>
        <v>0</v>
      </c>
      <c r="L167" s="207">
        <f>SUMIFS('Non-labour_inputs'!GR$8:GR$112,'Non-labour_inputs'!$C$8:$C$112,$B167,'Non-labour_inputs'!$B$8:$B$112,$B$156)</f>
        <v>0</v>
      </c>
    </row>
    <row r="168" spans="2:15" x14ac:dyDescent="0.3">
      <c r="B168" s="206"/>
      <c r="C168" s="207">
        <f>SUMIFS('Non-labour_inputs'!GH$8:GH$112,'Non-labour_inputs'!$C$8:$C$112,$B168,'Non-labour_inputs'!$B$8:$B$112,$B$156)</f>
        <v>0</v>
      </c>
      <c r="D168" s="207">
        <f>SUMIFS('Non-labour_inputs'!GI$8:GI$112,'Non-labour_inputs'!$C$8:$C$112,$B168,'Non-labour_inputs'!$B$8:$B$112,$B$156)</f>
        <v>0</v>
      </c>
      <c r="E168" s="207">
        <f>SUMIFS('Non-labour_inputs'!GJ$8:GJ$112,'Non-labour_inputs'!$C$8:$C$112,$B168,'Non-labour_inputs'!$B$8:$B$112,$B$156)</f>
        <v>0</v>
      </c>
      <c r="F168" s="207">
        <f>SUMIFS('Non-labour_inputs'!GK$8:GK$112,'Non-labour_inputs'!$C$8:$C$112,$B168,'Non-labour_inputs'!$B$8:$B$112,$B$156)</f>
        <v>0</v>
      </c>
      <c r="G168" s="207">
        <f>SUMIFS('Non-labour_inputs'!GL$8:GL$112,'Non-labour_inputs'!$C$8:$C$112,$B168,'Non-labour_inputs'!$B$8:$B$112,$B$156)</f>
        <v>0</v>
      </c>
      <c r="H168" s="207">
        <f>SUMIFS('Non-labour_inputs'!GM$8:GM$112,'Non-labour_inputs'!$C$8:$C$112,$B168,'Non-labour_inputs'!$B$8:$B$112,$B$156)</f>
        <v>0</v>
      </c>
      <c r="I168" s="207">
        <f>SUMIFS('Non-labour_inputs'!GN$8:GN$112,'Non-labour_inputs'!$C$8:$C$112,$B168,'Non-labour_inputs'!$B$8:$B$112,$B$156)</f>
        <v>0</v>
      </c>
      <c r="J168" s="207">
        <f t="shared" si="90"/>
        <v>0</v>
      </c>
      <c r="L168" s="207">
        <f>SUMIFS('Non-labour_inputs'!GR$8:GR$112,'Non-labour_inputs'!$C$8:$C$112,$B168,'Non-labour_inputs'!$B$8:$B$112,$B$156)</f>
        <v>0</v>
      </c>
    </row>
    <row r="169" spans="2:15" x14ac:dyDescent="0.3">
      <c r="B169" s="206"/>
      <c r="C169" s="207">
        <f>SUMIFS('Non-labour_inputs'!GH$8:GH$112,'Non-labour_inputs'!$C$8:$C$112,$B169,'Non-labour_inputs'!$B$8:$B$112,$B$156)</f>
        <v>0</v>
      </c>
      <c r="D169" s="207">
        <f>SUMIFS('Non-labour_inputs'!GI$8:GI$112,'Non-labour_inputs'!$C$8:$C$112,$B169,'Non-labour_inputs'!$B$8:$B$112,$B$156)</f>
        <v>0</v>
      </c>
      <c r="E169" s="207">
        <f>SUMIFS('Non-labour_inputs'!GJ$8:GJ$112,'Non-labour_inputs'!$C$8:$C$112,$B169,'Non-labour_inputs'!$B$8:$B$112,$B$156)</f>
        <v>0</v>
      </c>
      <c r="F169" s="207">
        <f>SUMIFS('Non-labour_inputs'!GK$8:GK$112,'Non-labour_inputs'!$C$8:$C$112,$B169,'Non-labour_inputs'!$B$8:$B$112,$B$156)</f>
        <v>0</v>
      </c>
      <c r="G169" s="207">
        <f>SUMIFS('Non-labour_inputs'!GL$8:GL$112,'Non-labour_inputs'!$C$8:$C$112,$B169,'Non-labour_inputs'!$B$8:$B$112,$B$156)</f>
        <v>0</v>
      </c>
      <c r="H169" s="207">
        <f>SUMIFS('Non-labour_inputs'!GM$8:GM$112,'Non-labour_inputs'!$C$8:$C$112,$B169,'Non-labour_inputs'!$B$8:$B$112,$B$156)</f>
        <v>0</v>
      </c>
      <c r="I169" s="207">
        <f>SUMIFS('Non-labour_inputs'!GN$8:GN$112,'Non-labour_inputs'!$C$8:$C$112,$B169,'Non-labour_inputs'!$B$8:$B$112,$B$156)</f>
        <v>0</v>
      </c>
      <c r="J169" s="207">
        <f t="shared" si="90"/>
        <v>0</v>
      </c>
      <c r="L169" s="207">
        <f>SUMIFS('Non-labour_inputs'!GR$8:GR$112,'Non-labour_inputs'!$C$8:$C$112,$B169,'Non-labour_inputs'!$B$8:$B$112,$B$156)</f>
        <v>0</v>
      </c>
    </row>
    <row r="170" spans="2:15" x14ac:dyDescent="0.3">
      <c r="B170" s="206"/>
      <c r="C170" s="207">
        <f>SUMIFS('Non-labour_inputs'!GH$8:GH$112,'Non-labour_inputs'!$C$8:$C$112,$B170,'Non-labour_inputs'!$B$8:$B$112,$B$156)</f>
        <v>0</v>
      </c>
      <c r="D170" s="207">
        <f>SUMIFS('Non-labour_inputs'!GI$8:GI$112,'Non-labour_inputs'!$C$8:$C$112,$B170,'Non-labour_inputs'!$B$8:$B$112,$B$156)</f>
        <v>0</v>
      </c>
      <c r="E170" s="207">
        <f>SUMIFS('Non-labour_inputs'!GJ$8:GJ$112,'Non-labour_inputs'!$C$8:$C$112,$B170,'Non-labour_inputs'!$B$8:$B$112,$B$156)</f>
        <v>0</v>
      </c>
      <c r="F170" s="207">
        <f>SUMIFS('Non-labour_inputs'!GK$8:GK$112,'Non-labour_inputs'!$C$8:$C$112,$B170,'Non-labour_inputs'!$B$8:$B$112,$B$156)</f>
        <v>0</v>
      </c>
      <c r="G170" s="207">
        <f>SUMIFS('Non-labour_inputs'!GL$8:GL$112,'Non-labour_inputs'!$C$8:$C$112,$B170,'Non-labour_inputs'!$B$8:$B$112,$B$156)</f>
        <v>0</v>
      </c>
      <c r="H170" s="207">
        <f>SUMIFS('Non-labour_inputs'!GM$8:GM$112,'Non-labour_inputs'!$C$8:$C$112,$B170,'Non-labour_inputs'!$B$8:$B$112,$B$156)</f>
        <v>0</v>
      </c>
      <c r="I170" s="207">
        <f>SUMIFS('Non-labour_inputs'!GN$8:GN$112,'Non-labour_inputs'!$C$8:$C$112,$B170,'Non-labour_inputs'!$B$8:$B$112,$B$156)</f>
        <v>0</v>
      </c>
      <c r="J170" s="207">
        <f t="shared" si="90"/>
        <v>0</v>
      </c>
      <c r="L170" s="207">
        <f>SUMIFS('Non-labour_inputs'!GR$8:GR$112,'Non-labour_inputs'!$C$8:$C$112,$B170,'Non-labour_inputs'!$B$8:$B$112,$B$156)</f>
        <v>0</v>
      </c>
    </row>
    <row r="171" spans="2:15" x14ac:dyDescent="0.3">
      <c r="B171" s="206"/>
      <c r="C171" s="207">
        <f>SUMIFS('Non-labour_inputs'!GH$8:GH$112,'Non-labour_inputs'!$C$8:$C$112,$B171,'Non-labour_inputs'!$B$8:$B$112,$B$156)</f>
        <v>0</v>
      </c>
      <c r="D171" s="207">
        <f>SUMIFS('Non-labour_inputs'!GI$8:GI$112,'Non-labour_inputs'!$C$8:$C$112,$B171,'Non-labour_inputs'!$B$8:$B$112,$B$156)</f>
        <v>0</v>
      </c>
      <c r="E171" s="207">
        <f>SUMIFS('Non-labour_inputs'!GJ$8:GJ$112,'Non-labour_inputs'!$C$8:$C$112,$B171,'Non-labour_inputs'!$B$8:$B$112,$B$156)</f>
        <v>0</v>
      </c>
      <c r="F171" s="207">
        <f>SUMIFS('Non-labour_inputs'!GK$8:GK$112,'Non-labour_inputs'!$C$8:$C$112,$B171,'Non-labour_inputs'!$B$8:$B$112,$B$156)</f>
        <v>0</v>
      </c>
      <c r="G171" s="207">
        <f>SUMIFS('Non-labour_inputs'!GL$8:GL$112,'Non-labour_inputs'!$C$8:$C$112,$B171,'Non-labour_inputs'!$B$8:$B$112,$B$156)</f>
        <v>0</v>
      </c>
      <c r="H171" s="207">
        <f>SUMIFS('Non-labour_inputs'!GM$8:GM$112,'Non-labour_inputs'!$C$8:$C$112,$B171,'Non-labour_inputs'!$B$8:$B$112,$B$156)</f>
        <v>0</v>
      </c>
      <c r="I171" s="207">
        <f>SUMIFS('Non-labour_inputs'!GN$8:GN$112,'Non-labour_inputs'!$C$8:$C$112,$B171,'Non-labour_inputs'!$B$8:$B$112,$B$156)</f>
        <v>0</v>
      </c>
      <c r="J171" s="207">
        <f t="shared" si="90"/>
        <v>0</v>
      </c>
      <c r="L171" s="207">
        <f>SUMIFS('Non-labour_inputs'!GR$8:GR$112,'Non-labour_inputs'!$C$8:$C$112,$B171,'Non-labour_inputs'!$B$8:$B$112,$B$156)</f>
        <v>0</v>
      </c>
    </row>
    <row r="172" spans="2:15" x14ac:dyDescent="0.3">
      <c r="B172" s="206"/>
      <c r="C172" s="207">
        <f>SUMIFS('Non-labour_inputs'!GH$8:GH$112,'Non-labour_inputs'!$C$8:$C$112,$B172,'Non-labour_inputs'!$B$8:$B$112,$B$156)</f>
        <v>0</v>
      </c>
      <c r="D172" s="207">
        <f>SUMIFS('Non-labour_inputs'!GI$8:GI$112,'Non-labour_inputs'!$C$8:$C$112,$B172,'Non-labour_inputs'!$B$8:$B$112,$B$156)</f>
        <v>0</v>
      </c>
      <c r="E172" s="207">
        <f>SUMIFS('Non-labour_inputs'!GJ$8:GJ$112,'Non-labour_inputs'!$C$8:$C$112,$B172,'Non-labour_inputs'!$B$8:$B$112,$B$156)</f>
        <v>0</v>
      </c>
      <c r="F172" s="207">
        <f>SUMIFS('Non-labour_inputs'!GK$8:GK$112,'Non-labour_inputs'!$C$8:$C$112,$B172,'Non-labour_inputs'!$B$8:$B$112,$B$156)</f>
        <v>0</v>
      </c>
      <c r="G172" s="207">
        <f>SUMIFS('Non-labour_inputs'!GL$8:GL$112,'Non-labour_inputs'!$C$8:$C$112,$B172,'Non-labour_inputs'!$B$8:$B$112,$B$156)</f>
        <v>0</v>
      </c>
      <c r="H172" s="207">
        <f>SUMIFS('Non-labour_inputs'!GM$8:GM$112,'Non-labour_inputs'!$C$8:$C$112,$B172,'Non-labour_inputs'!$B$8:$B$112,$B$156)</f>
        <v>0</v>
      </c>
      <c r="I172" s="207">
        <f>SUMIFS('Non-labour_inputs'!GN$8:GN$112,'Non-labour_inputs'!$C$8:$C$112,$B172,'Non-labour_inputs'!$B$8:$B$112,$B$156)</f>
        <v>0</v>
      </c>
      <c r="J172" s="207">
        <f t="shared" si="90"/>
        <v>0</v>
      </c>
      <c r="L172" s="207">
        <f>SUMIFS('Non-labour_inputs'!GR$8:GR$112,'Non-labour_inputs'!$C$8:$C$112,$B172,'Non-labour_inputs'!$B$8:$B$112,$B$156)</f>
        <v>0</v>
      </c>
    </row>
    <row r="173" spans="2:15" x14ac:dyDescent="0.3">
      <c r="B173" s="206"/>
      <c r="C173" s="207">
        <f>SUMIFS('Non-labour_inputs'!GH$8:GH$112,'Non-labour_inputs'!$C$8:$C$112,$B173,'Non-labour_inputs'!$B$8:$B$112,$B$156)</f>
        <v>0</v>
      </c>
      <c r="D173" s="207">
        <f>SUMIFS('Non-labour_inputs'!GI$8:GI$112,'Non-labour_inputs'!$C$8:$C$112,$B173,'Non-labour_inputs'!$B$8:$B$112,$B$156)</f>
        <v>0</v>
      </c>
      <c r="E173" s="207">
        <f>SUMIFS('Non-labour_inputs'!GJ$8:GJ$112,'Non-labour_inputs'!$C$8:$C$112,$B173,'Non-labour_inputs'!$B$8:$B$112,$B$156)</f>
        <v>0</v>
      </c>
      <c r="F173" s="207">
        <f>SUMIFS('Non-labour_inputs'!GK$8:GK$112,'Non-labour_inputs'!$C$8:$C$112,$B173,'Non-labour_inputs'!$B$8:$B$112,$B$156)</f>
        <v>0</v>
      </c>
      <c r="G173" s="207">
        <f>SUMIFS('Non-labour_inputs'!GL$8:GL$112,'Non-labour_inputs'!$C$8:$C$112,$B173,'Non-labour_inputs'!$B$8:$B$112,$B$156)</f>
        <v>0</v>
      </c>
      <c r="H173" s="207">
        <f>SUMIFS('Non-labour_inputs'!GM$8:GM$112,'Non-labour_inputs'!$C$8:$C$112,$B173,'Non-labour_inputs'!$B$8:$B$112,$B$156)</f>
        <v>0</v>
      </c>
      <c r="I173" s="207">
        <f>SUMIFS('Non-labour_inputs'!GN$8:GN$112,'Non-labour_inputs'!$C$8:$C$112,$B173,'Non-labour_inputs'!$B$8:$B$112,$B$156)</f>
        <v>0</v>
      </c>
      <c r="J173" s="207">
        <f t="shared" si="90"/>
        <v>0</v>
      </c>
      <c r="L173" s="207">
        <f>SUMIFS('Non-labour_inputs'!GR$8:GR$112,'Non-labour_inputs'!$C$8:$C$112,$B173,'Non-labour_inputs'!$B$8:$B$112,$B$156)</f>
        <v>0</v>
      </c>
    </row>
    <row r="174" spans="2:15" x14ac:dyDescent="0.3">
      <c r="B174" s="208" t="s">
        <v>133</v>
      </c>
      <c r="C174" s="209">
        <f t="shared" ref="C174:J174" si="91">SUM(C159:C173)</f>
        <v>1013604.6371874482</v>
      </c>
      <c r="D174" s="209">
        <f t="shared" si="91"/>
        <v>361924.00425580121</v>
      </c>
      <c r="E174" s="209">
        <f t="shared" si="91"/>
        <v>0</v>
      </c>
      <c r="F174" s="209">
        <f t="shared" si="91"/>
        <v>0</v>
      </c>
      <c r="G174" s="209">
        <f t="shared" si="91"/>
        <v>0</v>
      </c>
      <c r="H174" s="209">
        <f t="shared" si="91"/>
        <v>0</v>
      </c>
      <c r="I174" s="209">
        <f t="shared" si="91"/>
        <v>0</v>
      </c>
      <c r="J174" s="209">
        <f t="shared" si="91"/>
        <v>1375528.6414432495</v>
      </c>
      <c r="L174" s="209">
        <f t="shared" ref="L174" si="92">SUM(L159:L173)</f>
        <v>555207</v>
      </c>
    </row>
    <row r="175" spans="2:15" x14ac:dyDescent="0.3">
      <c r="B175" s="42"/>
      <c r="F175" s="42"/>
      <c r="N175" s="49"/>
      <c r="O175" s="49"/>
    </row>
    <row r="176" spans="2:15" ht="16.5" x14ac:dyDescent="0.3">
      <c r="B176" s="206" t="s">
        <v>134</v>
      </c>
      <c r="C176" s="224" t="str">
        <f t="shared" ref="C176:I176" si="93">IF(C174=_xlfn.XLOOKUP($B156,$B$11:$B$23,C$11:C$23,0),"OK","ERROR")</f>
        <v>OK</v>
      </c>
      <c r="D176" s="224" t="str">
        <f t="shared" si="93"/>
        <v>OK</v>
      </c>
      <c r="E176" s="224" t="str">
        <f t="shared" si="93"/>
        <v>OK</v>
      </c>
      <c r="F176" s="224" t="str">
        <f t="shared" si="93"/>
        <v>OK</v>
      </c>
      <c r="G176" s="224" t="str">
        <f t="shared" si="93"/>
        <v>OK</v>
      </c>
      <c r="H176" s="224" t="str">
        <f t="shared" si="93"/>
        <v>OK</v>
      </c>
      <c r="I176" s="224" t="str">
        <f t="shared" si="93"/>
        <v>OK</v>
      </c>
      <c r="J176" s="65"/>
      <c r="L176" s="224" t="str">
        <f t="shared" ref="L176" si="94">IF(L174=_xlfn.XLOOKUP($B156,$B$11:$B$23,L$11:L$23,0),"OK","ERROR")</f>
        <v>OK</v>
      </c>
      <c r="O176" s="49"/>
    </row>
    <row r="177" spans="2:15" x14ac:dyDescent="0.3">
      <c r="B177" s="42"/>
      <c r="F177" s="42"/>
      <c r="N177" s="49"/>
      <c r="O177" s="49"/>
    </row>
    <row r="178" spans="2:15" s="65" customFormat="1" ht="12.75" x14ac:dyDescent="0.2">
      <c r="B178" s="221" t="str">
        <f>B62</f>
        <v>Regulatory Approvals</v>
      </c>
      <c r="C178" s="118"/>
      <c r="D178" s="118"/>
      <c r="E178" s="132" t="str">
        <f>"(Real "&amp;'Key assumptions'!$D$11&amp;")"</f>
        <v>(Real $RY2026)</v>
      </c>
      <c r="F178" s="118"/>
      <c r="G178" s="118"/>
      <c r="H178" s="118"/>
      <c r="I178" s="118"/>
      <c r="J178" s="118"/>
      <c r="L178" s="118"/>
    </row>
    <row r="180" spans="2:15" ht="27" customHeight="1" x14ac:dyDescent="0.3">
      <c r="B180" s="136" t="s">
        <v>51</v>
      </c>
      <c r="C180" s="140" t="str" cm="1">
        <f t="array" ref="C180:I180">model_forecastperiod</f>
        <v>RY2026
01Feb-30Sep</v>
      </c>
      <c r="D180" s="140" t="str">
        <v>RY2027</v>
      </c>
      <c r="E180" s="140" t="str">
        <v>RY2028</v>
      </c>
      <c r="F180" s="140" t="str">
        <v>RY2029</v>
      </c>
      <c r="G180" s="140" t="str">
        <v>RY2030</v>
      </c>
      <c r="H180" s="140" t="str">
        <v>RY2031</v>
      </c>
      <c r="I180" s="140" t="str">
        <v>RY2032</v>
      </c>
      <c r="J180" s="140" t="s">
        <v>133</v>
      </c>
      <c r="L180" s="140"/>
    </row>
    <row r="181" spans="2:15" ht="26.45" customHeight="1" x14ac:dyDescent="0.3">
      <c r="B181" s="205" t="str" cm="1">
        <f t="array" ref="B181">IFERROR(_xlfn.UNIQUE(_xlfn._xlws.FILTER('Non-labour_inputs'!$C$8:$C$112,'Non-labour_inputs'!$B$8:$B$112=B178)),"")</f>
        <v>c-i-c</v>
      </c>
      <c r="C181" s="207">
        <f>SUMIFS('Non-labour_inputs'!GH$8:GH$112,'Non-labour_inputs'!$C$8:$C$112,$B181,'Non-labour_inputs'!$B$8:$B$112,$B$178)</f>
        <v>397685.95896752545</v>
      </c>
      <c r="D181" s="207">
        <f>SUMIFS('Non-labour_inputs'!GI$8:GI$112,'Non-labour_inputs'!$C$8:$C$112,$B181,'Non-labour_inputs'!$B$8:$B$112,$B$178)</f>
        <v>0</v>
      </c>
      <c r="E181" s="207">
        <f>SUMIFS('Non-labour_inputs'!GJ$8:GJ$112,'Non-labour_inputs'!$C$8:$C$112,$B181,'Non-labour_inputs'!$B$8:$B$112,$B$178)</f>
        <v>0</v>
      </c>
      <c r="F181" s="207">
        <f>SUMIFS('Non-labour_inputs'!GK$8:GK$112,'Non-labour_inputs'!$C$8:$C$112,$B181,'Non-labour_inputs'!$B$8:$B$112,$B$178)</f>
        <v>0</v>
      </c>
      <c r="G181" s="207">
        <f>SUMIFS('Non-labour_inputs'!GL$8:GL$112,'Non-labour_inputs'!$C$8:$C$112,$B181,'Non-labour_inputs'!$B$8:$B$112,$B$178)</f>
        <v>0</v>
      </c>
      <c r="H181" s="207">
        <f>SUMIFS('Non-labour_inputs'!GM$8:GM$112,'Non-labour_inputs'!$C$8:$C$112,$B181,'Non-labour_inputs'!$B$8:$B$112,$B$178)</f>
        <v>0</v>
      </c>
      <c r="I181" s="207">
        <f>SUMIFS('Non-labour_inputs'!GN$8:GN$112,'Non-labour_inputs'!$C$8:$C$112,$B181,'Non-labour_inputs'!$B$8:$B$112,$B$178)</f>
        <v>0</v>
      </c>
      <c r="J181" s="207">
        <f t="shared" ref="J181:J195" si="95">SUM(C181:I181)</f>
        <v>397685.95896752545</v>
      </c>
      <c r="L181" s="207">
        <f>SUMIFS('Non-labour_inputs'!GR$8:GR$112,'Non-labour_inputs'!$C$8:$C$112,$B181,'Non-labour_inputs'!$B$8:$B$112,$B$178)</f>
        <v>390000</v>
      </c>
    </row>
    <row r="182" spans="2:15" x14ac:dyDescent="0.3">
      <c r="B182" s="206"/>
      <c r="C182" s="207">
        <f>SUMIFS('Non-labour_inputs'!GH$8:GH$112,'Non-labour_inputs'!$C$8:$C$112,$B182,'Non-labour_inputs'!$B$8:$B$112,$B$178)</f>
        <v>0</v>
      </c>
      <c r="D182" s="207">
        <f>SUMIFS('Non-labour_inputs'!GI$8:GI$112,'Non-labour_inputs'!$C$8:$C$112,$B182,'Non-labour_inputs'!$B$8:$B$112,$B$178)</f>
        <v>0</v>
      </c>
      <c r="E182" s="207">
        <f>SUMIFS('Non-labour_inputs'!GJ$8:GJ$112,'Non-labour_inputs'!$C$8:$C$112,$B182,'Non-labour_inputs'!$B$8:$B$112,$B$178)</f>
        <v>0</v>
      </c>
      <c r="F182" s="207">
        <f>SUMIFS('Non-labour_inputs'!GK$8:GK$112,'Non-labour_inputs'!$C$8:$C$112,$B182,'Non-labour_inputs'!$B$8:$B$112,$B$178)</f>
        <v>0</v>
      </c>
      <c r="G182" s="207">
        <f>SUMIFS('Non-labour_inputs'!GL$8:GL$112,'Non-labour_inputs'!$C$8:$C$112,$B182,'Non-labour_inputs'!$B$8:$B$112,$B$178)</f>
        <v>0</v>
      </c>
      <c r="H182" s="207">
        <f>SUMIFS('Non-labour_inputs'!GM$8:GM$112,'Non-labour_inputs'!$C$8:$C$112,$B182,'Non-labour_inputs'!$B$8:$B$112,$B$178)</f>
        <v>0</v>
      </c>
      <c r="I182" s="207">
        <f>SUMIFS('Non-labour_inputs'!GN$8:GN$112,'Non-labour_inputs'!$C$8:$C$112,$B182,'Non-labour_inputs'!$B$8:$B$112,$B$178)</f>
        <v>0</v>
      </c>
      <c r="J182" s="207">
        <f t="shared" si="95"/>
        <v>0</v>
      </c>
      <c r="L182" s="207">
        <f>SUMIFS('Non-labour_inputs'!GR$8:GR$112,'Non-labour_inputs'!$C$8:$C$112,$B182,'Non-labour_inputs'!$B$8:$B$112,$B$178)</f>
        <v>0</v>
      </c>
    </row>
    <row r="183" spans="2:15" x14ac:dyDescent="0.3">
      <c r="B183" s="206"/>
      <c r="C183" s="207">
        <f>SUMIFS('Non-labour_inputs'!GH$8:GH$112,'Non-labour_inputs'!$C$8:$C$112,$B183,'Non-labour_inputs'!$B$8:$B$112,$B$178)</f>
        <v>0</v>
      </c>
      <c r="D183" s="207">
        <f>SUMIFS('Non-labour_inputs'!GI$8:GI$112,'Non-labour_inputs'!$C$8:$C$112,$B183,'Non-labour_inputs'!$B$8:$B$112,$B$178)</f>
        <v>0</v>
      </c>
      <c r="E183" s="207">
        <f>SUMIFS('Non-labour_inputs'!GJ$8:GJ$112,'Non-labour_inputs'!$C$8:$C$112,$B183,'Non-labour_inputs'!$B$8:$B$112,$B$178)</f>
        <v>0</v>
      </c>
      <c r="F183" s="207">
        <f>SUMIFS('Non-labour_inputs'!GK$8:GK$112,'Non-labour_inputs'!$C$8:$C$112,$B183,'Non-labour_inputs'!$B$8:$B$112,$B$178)</f>
        <v>0</v>
      </c>
      <c r="G183" s="207">
        <f>SUMIFS('Non-labour_inputs'!GL$8:GL$112,'Non-labour_inputs'!$C$8:$C$112,$B183,'Non-labour_inputs'!$B$8:$B$112,$B$178)</f>
        <v>0</v>
      </c>
      <c r="H183" s="207">
        <f>SUMIFS('Non-labour_inputs'!GM$8:GM$112,'Non-labour_inputs'!$C$8:$C$112,$B183,'Non-labour_inputs'!$B$8:$B$112,$B$178)</f>
        <v>0</v>
      </c>
      <c r="I183" s="207">
        <f>SUMIFS('Non-labour_inputs'!GN$8:GN$112,'Non-labour_inputs'!$C$8:$C$112,$B183,'Non-labour_inputs'!$B$8:$B$112,$B$178)</f>
        <v>0</v>
      </c>
      <c r="J183" s="207">
        <f t="shared" si="95"/>
        <v>0</v>
      </c>
      <c r="L183" s="207">
        <f>SUMIFS('Non-labour_inputs'!GR$8:GR$112,'Non-labour_inputs'!$C$8:$C$112,$B183,'Non-labour_inputs'!$B$8:$B$112,$B$178)</f>
        <v>0</v>
      </c>
    </row>
    <row r="184" spans="2:15" x14ac:dyDescent="0.3">
      <c r="B184" s="206"/>
      <c r="C184" s="207">
        <f>SUMIFS('Non-labour_inputs'!GH$8:GH$112,'Non-labour_inputs'!$C$8:$C$112,$B184,'Non-labour_inputs'!$B$8:$B$112,$B$178)</f>
        <v>0</v>
      </c>
      <c r="D184" s="207">
        <f>SUMIFS('Non-labour_inputs'!GI$8:GI$112,'Non-labour_inputs'!$C$8:$C$112,$B184,'Non-labour_inputs'!$B$8:$B$112,$B$178)</f>
        <v>0</v>
      </c>
      <c r="E184" s="207">
        <f>SUMIFS('Non-labour_inputs'!GJ$8:GJ$112,'Non-labour_inputs'!$C$8:$C$112,$B184,'Non-labour_inputs'!$B$8:$B$112,$B$178)</f>
        <v>0</v>
      </c>
      <c r="F184" s="207">
        <f>SUMIFS('Non-labour_inputs'!GK$8:GK$112,'Non-labour_inputs'!$C$8:$C$112,$B184,'Non-labour_inputs'!$B$8:$B$112,$B$178)</f>
        <v>0</v>
      </c>
      <c r="G184" s="207">
        <f>SUMIFS('Non-labour_inputs'!GL$8:GL$112,'Non-labour_inputs'!$C$8:$C$112,$B184,'Non-labour_inputs'!$B$8:$B$112,$B$178)</f>
        <v>0</v>
      </c>
      <c r="H184" s="207">
        <f>SUMIFS('Non-labour_inputs'!GM$8:GM$112,'Non-labour_inputs'!$C$8:$C$112,$B184,'Non-labour_inputs'!$B$8:$B$112,$B$178)</f>
        <v>0</v>
      </c>
      <c r="I184" s="207">
        <f>SUMIFS('Non-labour_inputs'!GN$8:GN$112,'Non-labour_inputs'!$C$8:$C$112,$B184,'Non-labour_inputs'!$B$8:$B$112,$B$178)</f>
        <v>0</v>
      </c>
      <c r="J184" s="207">
        <f t="shared" si="95"/>
        <v>0</v>
      </c>
      <c r="L184" s="207">
        <f>SUMIFS('Non-labour_inputs'!GR$8:GR$112,'Non-labour_inputs'!$C$8:$C$112,$B184,'Non-labour_inputs'!$B$8:$B$112,$B$178)</f>
        <v>0</v>
      </c>
    </row>
    <row r="185" spans="2:15" x14ac:dyDescent="0.3">
      <c r="B185" s="206"/>
      <c r="C185" s="207">
        <f>SUMIFS('Non-labour_inputs'!GH$8:GH$112,'Non-labour_inputs'!$C$8:$C$112,$B185,'Non-labour_inputs'!$B$8:$B$112,$B$178)</f>
        <v>0</v>
      </c>
      <c r="D185" s="207">
        <f>SUMIFS('Non-labour_inputs'!GI$8:GI$112,'Non-labour_inputs'!$C$8:$C$112,$B185,'Non-labour_inputs'!$B$8:$B$112,$B$178)</f>
        <v>0</v>
      </c>
      <c r="E185" s="207">
        <f>SUMIFS('Non-labour_inputs'!GJ$8:GJ$112,'Non-labour_inputs'!$C$8:$C$112,$B185,'Non-labour_inputs'!$B$8:$B$112,$B$178)</f>
        <v>0</v>
      </c>
      <c r="F185" s="207">
        <f>SUMIFS('Non-labour_inputs'!GK$8:GK$112,'Non-labour_inputs'!$C$8:$C$112,$B185,'Non-labour_inputs'!$B$8:$B$112,$B$178)</f>
        <v>0</v>
      </c>
      <c r="G185" s="207">
        <f>SUMIFS('Non-labour_inputs'!GL$8:GL$112,'Non-labour_inputs'!$C$8:$C$112,$B185,'Non-labour_inputs'!$B$8:$B$112,$B$178)</f>
        <v>0</v>
      </c>
      <c r="H185" s="207">
        <f>SUMIFS('Non-labour_inputs'!GM$8:GM$112,'Non-labour_inputs'!$C$8:$C$112,$B185,'Non-labour_inputs'!$B$8:$B$112,$B$178)</f>
        <v>0</v>
      </c>
      <c r="I185" s="207">
        <f>SUMIFS('Non-labour_inputs'!GN$8:GN$112,'Non-labour_inputs'!$C$8:$C$112,$B185,'Non-labour_inputs'!$B$8:$B$112,$B$178)</f>
        <v>0</v>
      </c>
      <c r="J185" s="207">
        <f t="shared" si="95"/>
        <v>0</v>
      </c>
      <c r="L185" s="207">
        <f>SUMIFS('Non-labour_inputs'!GR$8:GR$112,'Non-labour_inputs'!$C$8:$C$112,$B185,'Non-labour_inputs'!$B$8:$B$112,$B$178)</f>
        <v>0</v>
      </c>
    </row>
    <row r="186" spans="2:15" x14ac:dyDescent="0.3">
      <c r="B186" s="206"/>
      <c r="C186" s="207">
        <f>SUMIFS('Non-labour_inputs'!GH$8:GH$112,'Non-labour_inputs'!$C$8:$C$112,$B186,'Non-labour_inputs'!$B$8:$B$112,$B$178)</f>
        <v>0</v>
      </c>
      <c r="D186" s="207">
        <f>SUMIFS('Non-labour_inputs'!GI$8:GI$112,'Non-labour_inputs'!$C$8:$C$112,$B186,'Non-labour_inputs'!$B$8:$B$112,$B$178)</f>
        <v>0</v>
      </c>
      <c r="E186" s="207">
        <f>SUMIFS('Non-labour_inputs'!GJ$8:GJ$112,'Non-labour_inputs'!$C$8:$C$112,$B186,'Non-labour_inputs'!$B$8:$B$112,$B$178)</f>
        <v>0</v>
      </c>
      <c r="F186" s="207">
        <f>SUMIFS('Non-labour_inputs'!GK$8:GK$112,'Non-labour_inputs'!$C$8:$C$112,$B186,'Non-labour_inputs'!$B$8:$B$112,$B$178)</f>
        <v>0</v>
      </c>
      <c r="G186" s="207">
        <f>SUMIFS('Non-labour_inputs'!GL$8:GL$112,'Non-labour_inputs'!$C$8:$C$112,$B186,'Non-labour_inputs'!$B$8:$B$112,$B$178)</f>
        <v>0</v>
      </c>
      <c r="H186" s="207">
        <f>SUMIFS('Non-labour_inputs'!GM$8:GM$112,'Non-labour_inputs'!$C$8:$C$112,$B186,'Non-labour_inputs'!$B$8:$B$112,$B$178)</f>
        <v>0</v>
      </c>
      <c r="I186" s="207">
        <f>SUMIFS('Non-labour_inputs'!GN$8:GN$112,'Non-labour_inputs'!$C$8:$C$112,$B186,'Non-labour_inputs'!$B$8:$B$112,$B$178)</f>
        <v>0</v>
      </c>
      <c r="J186" s="207">
        <f t="shared" si="95"/>
        <v>0</v>
      </c>
      <c r="L186" s="207">
        <f>SUMIFS('Non-labour_inputs'!GR$8:GR$112,'Non-labour_inputs'!$C$8:$C$112,$B186,'Non-labour_inputs'!$B$8:$B$112,$B$178)</f>
        <v>0</v>
      </c>
    </row>
    <row r="187" spans="2:15" x14ac:dyDescent="0.3">
      <c r="B187" s="206"/>
      <c r="C187" s="207">
        <f>SUMIFS('Non-labour_inputs'!GH$8:GH$112,'Non-labour_inputs'!$C$8:$C$112,$B187,'Non-labour_inputs'!$B$8:$B$112,$B$178)</f>
        <v>0</v>
      </c>
      <c r="D187" s="207">
        <f>SUMIFS('Non-labour_inputs'!GI$8:GI$112,'Non-labour_inputs'!$C$8:$C$112,$B187,'Non-labour_inputs'!$B$8:$B$112,$B$178)</f>
        <v>0</v>
      </c>
      <c r="E187" s="207">
        <f>SUMIFS('Non-labour_inputs'!GJ$8:GJ$112,'Non-labour_inputs'!$C$8:$C$112,$B187,'Non-labour_inputs'!$B$8:$B$112,$B$178)</f>
        <v>0</v>
      </c>
      <c r="F187" s="207">
        <f>SUMIFS('Non-labour_inputs'!GK$8:GK$112,'Non-labour_inputs'!$C$8:$C$112,$B187,'Non-labour_inputs'!$B$8:$B$112,$B$178)</f>
        <v>0</v>
      </c>
      <c r="G187" s="207">
        <f>SUMIFS('Non-labour_inputs'!GL$8:GL$112,'Non-labour_inputs'!$C$8:$C$112,$B187,'Non-labour_inputs'!$B$8:$B$112,$B$178)</f>
        <v>0</v>
      </c>
      <c r="H187" s="207">
        <f>SUMIFS('Non-labour_inputs'!GM$8:GM$112,'Non-labour_inputs'!$C$8:$C$112,$B187,'Non-labour_inputs'!$B$8:$B$112,$B$178)</f>
        <v>0</v>
      </c>
      <c r="I187" s="207">
        <f>SUMIFS('Non-labour_inputs'!GN$8:GN$112,'Non-labour_inputs'!$C$8:$C$112,$B187,'Non-labour_inputs'!$B$8:$B$112,$B$178)</f>
        <v>0</v>
      </c>
      <c r="J187" s="207">
        <f t="shared" si="95"/>
        <v>0</v>
      </c>
      <c r="L187" s="207">
        <f>SUMIFS('Non-labour_inputs'!GR$8:GR$112,'Non-labour_inputs'!$C$8:$C$112,$B187,'Non-labour_inputs'!$B$8:$B$112,$B$178)</f>
        <v>0</v>
      </c>
    </row>
    <row r="188" spans="2:15" x14ac:dyDescent="0.3">
      <c r="B188" s="206"/>
      <c r="C188" s="207">
        <f>SUMIFS('Non-labour_inputs'!GH$8:GH$112,'Non-labour_inputs'!$C$8:$C$112,$B188,'Non-labour_inputs'!$B$8:$B$112,$B$178)</f>
        <v>0</v>
      </c>
      <c r="D188" s="207">
        <f>SUMIFS('Non-labour_inputs'!GI$8:GI$112,'Non-labour_inputs'!$C$8:$C$112,$B188,'Non-labour_inputs'!$B$8:$B$112,$B$178)</f>
        <v>0</v>
      </c>
      <c r="E188" s="207">
        <f>SUMIFS('Non-labour_inputs'!GJ$8:GJ$112,'Non-labour_inputs'!$C$8:$C$112,$B188,'Non-labour_inputs'!$B$8:$B$112,$B$178)</f>
        <v>0</v>
      </c>
      <c r="F188" s="207">
        <f>SUMIFS('Non-labour_inputs'!GK$8:GK$112,'Non-labour_inputs'!$C$8:$C$112,$B188,'Non-labour_inputs'!$B$8:$B$112,$B$178)</f>
        <v>0</v>
      </c>
      <c r="G188" s="207">
        <f>SUMIFS('Non-labour_inputs'!GL$8:GL$112,'Non-labour_inputs'!$C$8:$C$112,$B188,'Non-labour_inputs'!$B$8:$B$112,$B$178)</f>
        <v>0</v>
      </c>
      <c r="H188" s="207">
        <f>SUMIFS('Non-labour_inputs'!GM$8:GM$112,'Non-labour_inputs'!$C$8:$C$112,$B188,'Non-labour_inputs'!$B$8:$B$112,$B$178)</f>
        <v>0</v>
      </c>
      <c r="I188" s="207">
        <f>SUMIFS('Non-labour_inputs'!GN$8:GN$112,'Non-labour_inputs'!$C$8:$C$112,$B188,'Non-labour_inputs'!$B$8:$B$112,$B$178)</f>
        <v>0</v>
      </c>
      <c r="J188" s="207">
        <f t="shared" si="95"/>
        <v>0</v>
      </c>
      <c r="L188" s="207">
        <f>SUMIFS('Non-labour_inputs'!GR$8:GR$112,'Non-labour_inputs'!$C$8:$C$112,$B188,'Non-labour_inputs'!$B$8:$B$112,$B$178)</f>
        <v>0</v>
      </c>
    </row>
    <row r="189" spans="2:15" x14ac:dyDescent="0.3">
      <c r="B189" s="206"/>
      <c r="C189" s="207">
        <f>SUMIFS('Non-labour_inputs'!GH$8:GH$112,'Non-labour_inputs'!$C$8:$C$112,$B189,'Non-labour_inputs'!$B$8:$B$112,$B$178)</f>
        <v>0</v>
      </c>
      <c r="D189" s="207">
        <f>SUMIFS('Non-labour_inputs'!GI$8:GI$112,'Non-labour_inputs'!$C$8:$C$112,$B189,'Non-labour_inputs'!$B$8:$B$112,$B$178)</f>
        <v>0</v>
      </c>
      <c r="E189" s="207">
        <f>SUMIFS('Non-labour_inputs'!GJ$8:GJ$112,'Non-labour_inputs'!$C$8:$C$112,$B189,'Non-labour_inputs'!$B$8:$B$112,$B$178)</f>
        <v>0</v>
      </c>
      <c r="F189" s="207">
        <f>SUMIFS('Non-labour_inputs'!GK$8:GK$112,'Non-labour_inputs'!$C$8:$C$112,$B189,'Non-labour_inputs'!$B$8:$B$112,$B$178)</f>
        <v>0</v>
      </c>
      <c r="G189" s="207">
        <f>SUMIFS('Non-labour_inputs'!GL$8:GL$112,'Non-labour_inputs'!$C$8:$C$112,$B189,'Non-labour_inputs'!$B$8:$B$112,$B$178)</f>
        <v>0</v>
      </c>
      <c r="H189" s="207">
        <f>SUMIFS('Non-labour_inputs'!GM$8:GM$112,'Non-labour_inputs'!$C$8:$C$112,$B189,'Non-labour_inputs'!$B$8:$B$112,$B$178)</f>
        <v>0</v>
      </c>
      <c r="I189" s="207">
        <f>SUMIFS('Non-labour_inputs'!GN$8:GN$112,'Non-labour_inputs'!$C$8:$C$112,$B189,'Non-labour_inputs'!$B$8:$B$112,$B$178)</f>
        <v>0</v>
      </c>
      <c r="J189" s="207">
        <f t="shared" si="95"/>
        <v>0</v>
      </c>
      <c r="L189" s="207">
        <f>SUMIFS('Non-labour_inputs'!GR$8:GR$112,'Non-labour_inputs'!$C$8:$C$112,$B189,'Non-labour_inputs'!$B$8:$B$112,$B$178)</f>
        <v>0</v>
      </c>
    </row>
    <row r="190" spans="2:15" x14ac:dyDescent="0.3">
      <c r="B190" s="206"/>
      <c r="C190" s="207">
        <f>SUMIFS('Non-labour_inputs'!GH$8:GH$112,'Non-labour_inputs'!$C$8:$C$112,$B190,'Non-labour_inputs'!$B$8:$B$112,$B$178)</f>
        <v>0</v>
      </c>
      <c r="D190" s="207">
        <f>SUMIFS('Non-labour_inputs'!GI$8:GI$112,'Non-labour_inputs'!$C$8:$C$112,$B190,'Non-labour_inputs'!$B$8:$B$112,$B$178)</f>
        <v>0</v>
      </c>
      <c r="E190" s="207">
        <f>SUMIFS('Non-labour_inputs'!GJ$8:GJ$112,'Non-labour_inputs'!$C$8:$C$112,$B190,'Non-labour_inputs'!$B$8:$B$112,$B$178)</f>
        <v>0</v>
      </c>
      <c r="F190" s="207">
        <f>SUMIFS('Non-labour_inputs'!GK$8:GK$112,'Non-labour_inputs'!$C$8:$C$112,$B190,'Non-labour_inputs'!$B$8:$B$112,$B$178)</f>
        <v>0</v>
      </c>
      <c r="G190" s="207">
        <f>SUMIFS('Non-labour_inputs'!GL$8:GL$112,'Non-labour_inputs'!$C$8:$C$112,$B190,'Non-labour_inputs'!$B$8:$B$112,$B$178)</f>
        <v>0</v>
      </c>
      <c r="H190" s="207">
        <f>SUMIFS('Non-labour_inputs'!GM$8:GM$112,'Non-labour_inputs'!$C$8:$C$112,$B190,'Non-labour_inputs'!$B$8:$B$112,$B$178)</f>
        <v>0</v>
      </c>
      <c r="I190" s="207">
        <f>SUMIFS('Non-labour_inputs'!GN$8:GN$112,'Non-labour_inputs'!$C$8:$C$112,$B190,'Non-labour_inputs'!$B$8:$B$112,$B$178)</f>
        <v>0</v>
      </c>
      <c r="J190" s="207">
        <f t="shared" si="95"/>
        <v>0</v>
      </c>
      <c r="L190" s="207">
        <f>SUMIFS('Non-labour_inputs'!GR$8:GR$112,'Non-labour_inputs'!$C$8:$C$112,$B190,'Non-labour_inputs'!$B$8:$B$112,$B$178)</f>
        <v>0</v>
      </c>
    </row>
    <row r="191" spans="2:15" x14ac:dyDescent="0.3">
      <c r="B191" s="206"/>
      <c r="C191" s="207">
        <f>SUMIFS('Non-labour_inputs'!GH$8:GH$112,'Non-labour_inputs'!$C$8:$C$112,$B191,'Non-labour_inputs'!$B$8:$B$112,$B$178)</f>
        <v>0</v>
      </c>
      <c r="D191" s="207">
        <f>SUMIFS('Non-labour_inputs'!GI$8:GI$112,'Non-labour_inputs'!$C$8:$C$112,$B191,'Non-labour_inputs'!$B$8:$B$112,$B$178)</f>
        <v>0</v>
      </c>
      <c r="E191" s="207">
        <f>SUMIFS('Non-labour_inputs'!GJ$8:GJ$112,'Non-labour_inputs'!$C$8:$C$112,$B191,'Non-labour_inputs'!$B$8:$B$112,$B$178)</f>
        <v>0</v>
      </c>
      <c r="F191" s="207">
        <f>SUMIFS('Non-labour_inputs'!GK$8:GK$112,'Non-labour_inputs'!$C$8:$C$112,$B191,'Non-labour_inputs'!$B$8:$B$112,$B$178)</f>
        <v>0</v>
      </c>
      <c r="G191" s="207">
        <f>SUMIFS('Non-labour_inputs'!GL$8:GL$112,'Non-labour_inputs'!$C$8:$C$112,$B191,'Non-labour_inputs'!$B$8:$B$112,$B$178)</f>
        <v>0</v>
      </c>
      <c r="H191" s="207">
        <f>SUMIFS('Non-labour_inputs'!GM$8:GM$112,'Non-labour_inputs'!$C$8:$C$112,$B191,'Non-labour_inputs'!$B$8:$B$112,$B$178)</f>
        <v>0</v>
      </c>
      <c r="I191" s="207">
        <f>SUMIFS('Non-labour_inputs'!GN$8:GN$112,'Non-labour_inputs'!$C$8:$C$112,$B191,'Non-labour_inputs'!$B$8:$B$112,$B$178)</f>
        <v>0</v>
      </c>
      <c r="J191" s="207">
        <f t="shared" si="95"/>
        <v>0</v>
      </c>
      <c r="L191" s="207">
        <f>SUMIFS('Non-labour_inputs'!GR$8:GR$112,'Non-labour_inputs'!$C$8:$C$112,$B191,'Non-labour_inputs'!$B$8:$B$112,$B$178)</f>
        <v>0</v>
      </c>
    </row>
    <row r="192" spans="2:15" x14ac:dyDescent="0.3">
      <c r="B192" s="206"/>
      <c r="C192" s="207">
        <f>SUMIFS('Non-labour_inputs'!GH$8:GH$112,'Non-labour_inputs'!$C$8:$C$112,$B192,'Non-labour_inputs'!$B$8:$B$112,$B$178)</f>
        <v>0</v>
      </c>
      <c r="D192" s="207">
        <f>SUMIFS('Non-labour_inputs'!GI$8:GI$112,'Non-labour_inputs'!$C$8:$C$112,$B192,'Non-labour_inputs'!$B$8:$B$112,$B$178)</f>
        <v>0</v>
      </c>
      <c r="E192" s="207">
        <f>SUMIFS('Non-labour_inputs'!GJ$8:GJ$112,'Non-labour_inputs'!$C$8:$C$112,$B192,'Non-labour_inputs'!$B$8:$B$112,$B$178)</f>
        <v>0</v>
      </c>
      <c r="F192" s="207">
        <f>SUMIFS('Non-labour_inputs'!GK$8:GK$112,'Non-labour_inputs'!$C$8:$C$112,$B192,'Non-labour_inputs'!$B$8:$B$112,$B$178)</f>
        <v>0</v>
      </c>
      <c r="G192" s="207">
        <f>SUMIFS('Non-labour_inputs'!GL$8:GL$112,'Non-labour_inputs'!$C$8:$C$112,$B192,'Non-labour_inputs'!$B$8:$B$112,$B$178)</f>
        <v>0</v>
      </c>
      <c r="H192" s="207">
        <f>SUMIFS('Non-labour_inputs'!GM$8:GM$112,'Non-labour_inputs'!$C$8:$C$112,$B192,'Non-labour_inputs'!$B$8:$B$112,$B$178)</f>
        <v>0</v>
      </c>
      <c r="I192" s="207">
        <f>SUMIFS('Non-labour_inputs'!GN$8:GN$112,'Non-labour_inputs'!$C$8:$C$112,$B192,'Non-labour_inputs'!$B$8:$B$112,$B$178)</f>
        <v>0</v>
      </c>
      <c r="J192" s="207">
        <f t="shared" si="95"/>
        <v>0</v>
      </c>
      <c r="L192" s="207">
        <f>SUMIFS('Non-labour_inputs'!GR$8:GR$112,'Non-labour_inputs'!$C$8:$C$112,$B192,'Non-labour_inputs'!$B$8:$B$112,$B$178)</f>
        <v>0</v>
      </c>
    </row>
    <row r="193" spans="2:15" x14ac:dyDescent="0.3">
      <c r="B193" s="206"/>
      <c r="C193" s="207">
        <f>SUMIFS('Non-labour_inputs'!GH$8:GH$112,'Non-labour_inputs'!$C$8:$C$112,$B193,'Non-labour_inputs'!$B$8:$B$112,$B$178)</f>
        <v>0</v>
      </c>
      <c r="D193" s="207">
        <f>SUMIFS('Non-labour_inputs'!GI$8:GI$112,'Non-labour_inputs'!$C$8:$C$112,$B193,'Non-labour_inputs'!$B$8:$B$112,$B$178)</f>
        <v>0</v>
      </c>
      <c r="E193" s="207">
        <f>SUMIFS('Non-labour_inputs'!GJ$8:GJ$112,'Non-labour_inputs'!$C$8:$C$112,$B193,'Non-labour_inputs'!$B$8:$B$112,$B$178)</f>
        <v>0</v>
      </c>
      <c r="F193" s="207">
        <f>SUMIFS('Non-labour_inputs'!GK$8:GK$112,'Non-labour_inputs'!$C$8:$C$112,$B193,'Non-labour_inputs'!$B$8:$B$112,$B$178)</f>
        <v>0</v>
      </c>
      <c r="G193" s="207">
        <f>SUMIFS('Non-labour_inputs'!GL$8:GL$112,'Non-labour_inputs'!$C$8:$C$112,$B193,'Non-labour_inputs'!$B$8:$B$112,$B$178)</f>
        <v>0</v>
      </c>
      <c r="H193" s="207">
        <f>SUMIFS('Non-labour_inputs'!GM$8:GM$112,'Non-labour_inputs'!$C$8:$C$112,$B193,'Non-labour_inputs'!$B$8:$B$112,$B$178)</f>
        <v>0</v>
      </c>
      <c r="I193" s="207">
        <f>SUMIFS('Non-labour_inputs'!GN$8:GN$112,'Non-labour_inputs'!$C$8:$C$112,$B193,'Non-labour_inputs'!$B$8:$B$112,$B$178)</f>
        <v>0</v>
      </c>
      <c r="J193" s="207">
        <f t="shared" si="95"/>
        <v>0</v>
      </c>
      <c r="L193" s="207">
        <f>SUMIFS('Non-labour_inputs'!GR$8:GR$112,'Non-labour_inputs'!$C$8:$C$112,$B193,'Non-labour_inputs'!$B$8:$B$112,$B$178)</f>
        <v>0</v>
      </c>
    </row>
    <row r="194" spans="2:15" x14ac:dyDescent="0.3">
      <c r="B194" s="206"/>
      <c r="C194" s="207">
        <f>SUMIFS('Non-labour_inputs'!GH$8:GH$112,'Non-labour_inputs'!$C$8:$C$112,$B194,'Non-labour_inputs'!$B$8:$B$112,$B$178)</f>
        <v>0</v>
      </c>
      <c r="D194" s="207">
        <f>SUMIFS('Non-labour_inputs'!GI$8:GI$112,'Non-labour_inputs'!$C$8:$C$112,$B194,'Non-labour_inputs'!$B$8:$B$112,$B$178)</f>
        <v>0</v>
      </c>
      <c r="E194" s="207">
        <f>SUMIFS('Non-labour_inputs'!GJ$8:GJ$112,'Non-labour_inputs'!$C$8:$C$112,$B194,'Non-labour_inputs'!$B$8:$B$112,$B$178)</f>
        <v>0</v>
      </c>
      <c r="F194" s="207">
        <f>SUMIFS('Non-labour_inputs'!GK$8:GK$112,'Non-labour_inputs'!$C$8:$C$112,$B194,'Non-labour_inputs'!$B$8:$B$112,$B$178)</f>
        <v>0</v>
      </c>
      <c r="G194" s="207">
        <f>SUMIFS('Non-labour_inputs'!GL$8:GL$112,'Non-labour_inputs'!$C$8:$C$112,$B194,'Non-labour_inputs'!$B$8:$B$112,$B$178)</f>
        <v>0</v>
      </c>
      <c r="H194" s="207">
        <f>SUMIFS('Non-labour_inputs'!GM$8:GM$112,'Non-labour_inputs'!$C$8:$C$112,$B194,'Non-labour_inputs'!$B$8:$B$112,$B$178)</f>
        <v>0</v>
      </c>
      <c r="I194" s="207">
        <f>SUMIFS('Non-labour_inputs'!GN$8:GN$112,'Non-labour_inputs'!$C$8:$C$112,$B194,'Non-labour_inputs'!$B$8:$B$112,$B$178)</f>
        <v>0</v>
      </c>
      <c r="J194" s="207">
        <f t="shared" si="95"/>
        <v>0</v>
      </c>
      <c r="L194" s="207">
        <f>SUMIFS('Non-labour_inputs'!GR$8:GR$112,'Non-labour_inputs'!$C$8:$C$112,$B194,'Non-labour_inputs'!$B$8:$B$112,$B$178)</f>
        <v>0</v>
      </c>
    </row>
    <row r="195" spans="2:15" x14ac:dyDescent="0.3">
      <c r="B195" s="206"/>
      <c r="C195" s="207">
        <f>SUMIFS('Non-labour_inputs'!GH$8:GH$112,'Non-labour_inputs'!$C$8:$C$112,$B195,'Non-labour_inputs'!$B$8:$B$112,$B$178)</f>
        <v>0</v>
      </c>
      <c r="D195" s="207">
        <f>SUMIFS('Non-labour_inputs'!GI$8:GI$112,'Non-labour_inputs'!$C$8:$C$112,$B195,'Non-labour_inputs'!$B$8:$B$112,$B$178)</f>
        <v>0</v>
      </c>
      <c r="E195" s="207">
        <f>SUMIFS('Non-labour_inputs'!GJ$8:GJ$112,'Non-labour_inputs'!$C$8:$C$112,$B195,'Non-labour_inputs'!$B$8:$B$112,$B$178)</f>
        <v>0</v>
      </c>
      <c r="F195" s="207">
        <f>SUMIFS('Non-labour_inputs'!GK$8:GK$112,'Non-labour_inputs'!$C$8:$C$112,$B195,'Non-labour_inputs'!$B$8:$B$112,$B$178)</f>
        <v>0</v>
      </c>
      <c r="G195" s="207">
        <f>SUMIFS('Non-labour_inputs'!GL$8:GL$112,'Non-labour_inputs'!$C$8:$C$112,$B195,'Non-labour_inputs'!$B$8:$B$112,$B$178)</f>
        <v>0</v>
      </c>
      <c r="H195" s="207">
        <f>SUMIFS('Non-labour_inputs'!GM$8:GM$112,'Non-labour_inputs'!$C$8:$C$112,$B195,'Non-labour_inputs'!$B$8:$B$112,$B$178)</f>
        <v>0</v>
      </c>
      <c r="I195" s="207">
        <f>SUMIFS('Non-labour_inputs'!GN$8:GN$112,'Non-labour_inputs'!$C$8:$C$112,$B195,'Non-labour_inputs'!$B$8:$B$112,$B$178)</f>
        <v>0</v>
      </c>
      <c r="J195" s="207">
        <f t="shared" si="95"/>
        <v>0</v>
      </c>
      <c r="L195" s="207">
        <f>SUMIFS('Non-labour_inputs'!GR$8:GR$112,'Non-labour_inputs'!$C$8:$C$112,$B195,'Non-labour_inputs'!$B$8:$B$112,$B$178)</f>
        <v>0</v>
      </c>
    </row>
    <row r="196" spans="2:15" x14ac:dyDescent="0.3">
      <c r="B196" s="208" t="s">
        <v>133</v>
      </c>
      <c r="C196" s="209">
        <f t="shared" ref="C196:J196" si="96">SUM(C181:C195)</f>
        <v>397685.95896752545</v>
      </c>
      <c r="D196" s="209">
        <f t="shared" si="96"/>
        <v>0</v>
      </c>
      <c r="E196" s="209">
        <f t="shared" si="96"/>
        <v>0</v>
      </c>
      <c r="F196" s="209">
        <f t="shared" si="96"/>
        <v>0</v>
      </c>
      <c r="G196" s="209">
        <f t="shared" si="96"/>
        <v>0</v>
      </c>
      <c r="H196" s="209">
        <f t="shared" si="96"/>
        <v>0</v>
      </c>
      <c r="I196" s="209">
        <f t="shared" si="96"/>
        <v>0</v>
      </c>
      <c r="J196" s="209">
        <f t="shared" si="96"/>
        <v>397685.95896752545</v>
      </c>
      <c r="L196" s="209">
        <f t="shared" ref="L196" si="97">SUM(L181:L195)</f>
        <v>390000</v>
      </c>
    </row>
    <row r="197" spans="2:15" x14ac:dyDescent="0.3">
      <c r="B197" s="42"/>
      <c r="F197" s="42"/>
      <c r="N197" s="49"/>
      <c r="O197" s="49"/>
    </row>
    <row r="198" spans="2:15" ht="16.5" x14ac:dyDescent="0.3">
      <c r="B198" s="206" t="s">
        <v>134</v>
      </c>
      <c r="C198" s="224" t="str">
        <f t="shared" ref="C198:I198" si="98">IF(C196=_xlfn.XLOOKUP($B178,$B$11:$B$23,C$11:C$23,0),"OK","ERROR")</f>
        <v>OK</v>
      </c>
      <c r="D198" s="224" t="str">
        <f t="shared" si="98"/>
        <v>OK</v>
      </c>
      <c r="E198" s="224" t="str">
        <f t="shared" si="98"/>
        <v>OK</v>
      </c>
      <c r="F198" s="224" t="str">
        <f t="shared" si="98"/>
        <v>OK</v>
      </c>
      <c r="G198" s="224" t="str">
        <f t="shared" si="98"/>
        <v>OK</v>
      </c>
      <c r="H198" s="224" t="str">
        <f t="shared" si="98"/>
        <v>OK</v>
      </c>
      <c r="I198" s="224" t="str">
        <f t="shared" si="98"/>
        <v>OK</v>
      </c>
      <c r="J198" s="65"/>
      <c r="L198" s="224" t="str">
        <f t="shared" ref="L198" si="99">IF(L196=_xlfn.XLOOKUP($B178,$B$11:$B$23,L$11:L$23,0),"OK","ERROR")</f>
        <v>OK</v>
      </c>
      <c r="O198" s="49"/>
    </row>
    <row r="199" spans="2:15" x14ac:dyDescent="0.3">
      <c r="B199" s="42"/>
      <c r="F199" s="42"/>
      <c r="N199" s="49"/>
      <c r="O199" s="49"/>
    </row>
    <row r="200" spans="2:15" s="65" customFormat="1" ht="12.75" x14ac:dyDescent="0.2">
      <c r="B200" s="221" t="str">
        <f>B63</f>
        <v>Transaction Procurement Support</v>
      </c>
      <c r="C200" s="118"/>
      <c r="D200" s="118"/>
      <c r="E200" s="132" t="str">
        <f>"(Real "&amp;'Key assumptions'!$D$11&amp;")"</f>
        <v>(Real $RY2026)</v>
      </c>
      <c r="F200" s="118"/>
      <c r="G200" s="118"/>
      <c r="H200" s="118"/>
      <c r="I200" s="118"/>
      <c r="J200" s="118"/>
      <c r="L200" s="118"/>
    </row>
    <row r="202" spans="2:15" ht="27" customHeight="1" x14ac:dyDescent="0.3">
      <c r="B202" s="136" t="s">
        <v>51</v>
      </c>
      <c r="C202" s="140" t="str" cm="1">
        <f t="array" ref="C202:I202">model_forecastperiod</f>
        <v>RY2026
01Feb-30Sep</v>
      </c>
      <c r="D202" s="140" t="str">
        <v>RY2027</v>
      </c>
      <c r="E202" s="140" t="str">
        <v>RY2028</v>
      </c>
      <c r="F202" s="140" t="str">
        <v>RY2029</v>
      </c>
      <c r="G202" s="140" t="str">
        <v>RY2030</v>
      </c>
      <c r="H202" s="140" t="str">
        <v>RY2031</v>
      </c>
      <c r="I202" s="140" t="str">
        <v>RY2032</v>
      </c>
      <c r="J202" s="140" t="s">
        <v>133</v>
      </c>
      <c r="L202" s="140"/>
    </row>
    <row r="203" spans="2:15" ht="26.45" customHeight="1" x14ac:dyDescent="0.3">
      <c r="B203" s="205" t="str" cm="1">
        <f t="array" ref="B203:B204">IFERROR(_xlfn.UNIQUE(_xlfn._xlws.FILTER('Non-labour_inputs'!$C$8:$C$112,'Non-labour_inputs'!$B$8:$B$112=B200)),"")</f>
        <v>c-i-c</v>
      </c>
      <c r="C203" s="207">
        <f>SUMIFS('Non-labour_inputs'!GH$8:GH$112,'Non-labour_inputs'!$C$8:$C$112,$B203,'Non-labour_inputs'!$B$8:$B$112,$B$200)</f>
        <v>50980.280816875478</v>
      </c>
      <c r="D203" s="207">
        <f>SUMIFS('Non-labour_inputs'!GI$8:GI$112,'Non-labour_inputs'!$C$8:$C$112,$B203,'Non-labour_inputs'!$B$8:$B$112,$B$200)</f>
        <v>0</v>
      </c>
      <c r="E203" s="207">
        <f>SUMIFS('Non-labour_inputs'!GJ$8:GJ$112,'Non-labour_inputs'!$C$8:$C$112,$B203,'Non-labour_inputs'!$B$8:$B$112,$B$200)</f>
        <v>0</v>
      </c>
      <c r="F203" s="207">
        <f>SUMIFS('Non-labour_inputs'!GK$8:GK$112,'Non-labour_inputs'!$C$8:$C$112,$B203,'Non-labour_inputs'!$B$8:$B$112,$B$200)</f>
        <v>0</v>
      </c>
      <c r="G203" s="207">
        <f>SUMIFS('Non-labour_inputs'!GL$8:GL$112,'Non-labour_inputs'!$C$8:$C$112,$B203,'Non-labour_inputs'!$B$8:$B$112,$B$200)</f>
        <v>0</v>
      </c>
      <c r="H203" s="207">
        <f>SUMIFS('Non-labour_inputs'!GM$8:GM$112,'Non-labour_inputs'!$C$8:$C$112,$B203,'Non-labour_inputs'!$B$8:$B$112,$B$200)</f>
        <v>0</v>
      </c>
      <c r="I203" s="207">
        <f>SUMIFS('Non-labour_inputs'!GN$8:GN$112,'Non-labour_inputs'!$C$8:$C$112,$B203,'Non-labour_inputs'!$B$8:$B$112,$B$200)</f>
        <v>0</v>
      </c>
      <c r="J203" s="207">
        <f t="shared" ref="J203:J217" si="100">SUM(C203:I203)</f>
        <v>50980.280816875478</v>
      </c>
      <c r="L203" s="207">
        <f>SUMIFS('Non-labour_inputs'!GR$8:GR$112,'Non-labour_inputs'!$C$8:$C$112,$B203,'Non-labour_inputs'!$B$8:$B$112,$B$200)</f>
        <v>49995</v>
      </c>
    </row>
    <row r="204" spans="2:15" x14ac:dyDescent="0.3">
      <c r="B204" s="206" t="str">
        <v>Probity Advisor</v>
      </c>
      <c r="C204" s="207">
        <f>SUMIFS('Non-labour_inputs'!GH$8:GH$112,'Non-labour_inputs'!$C$8:$C$112,$B204,'Non-labour_inputs'!$B$8:$B$112,$B$200)</f>
        <v>25492.689677405477</v>
      </c>
      <c r="D204" s="207">
        <f>SUMIFS('Non-labour_inputs'!GI$8:GI$112,'Non-labour_inputs'!$C$8:$C$112,$B204,'Non-labour_inputs'!$B$8:$B$112,$B$200)</f>
        <v>0</v>
      </c>
      <c r="E204" s="207">
        <f>SUMIFS('Non-labour_inputs'!GJ$8:GJ$112,'Non-labour_inputs'!$C$8:$C$112,$B204,'Non-labour_inputs'!$B$8:$B$112,$B$200)</f>
        <v>0</v>
      </c>
      <c r="F204" s="207">
        <f>SUMIFS('Non-labour_inputs'!GK$8:GK$112,'Non-labour_inputs'!$C$8:$C$112,$B204,'Non-labour_inputs'!$B$8:$B$112,$B$200)</f>
        <v>0</v>
      </c>
      <c r="G204" s="207">
        <f>SUMIFS('Non-labour_inputs'!GL$8:GL$112,'Non-labour_inputs'!$C$8:$C$112,$B204,'Non-labour_inputs'!$B$8:$B$112,$B$200)</f>
        <v>0</v>
      </c>
      <c r="H204" s="207">
        <f>SUMIFS('Non-labour_inputs'!GM$8:GM$112,'Non-labour_inputs'!$C$8:$C$112,$B204,'Non-labour_inputs'!$B$8:$B$112,$B$200)</f>
        <v>0</v>
      </c>
      <c r="I204" s="207">
        <f>SUMIFS('Non-labour_inputs'!GN$8:GN$112,'Non-labour_inputs'!$C$8:$C$112,$B204,'Non-labour_inputs'!$B$8:$B$112,$B$200)</f>
        <v>0</v>
      </c>
      <c r="J204" s="207">
        <f t="shared" si="100"/>
        <v>25492.689677405477</v>
      </c>
      <c r="L204" s="207">
        <f>SUMIFS('Non-labour_inputs'!GR$8:GR$112,'Non-labour_inputs'!$C$8:$C$112,$B204,'Non-labour_inputs'!$B$8:$B$112,$B$200)</f>
        <v>25000</v>
      </c>
    </row>
    <row r="205" spans="2:15" x14ac:dyDescent="0.3">
      <c r="B205" s="206"/>
      <c r="C205" s="207">
        <f>SUMIFS('Non-labour_inputs'!GH$8:GH$112,'Non-labour_inputs'!$C$8:$C$112,$B205,'Non-labour_inputs'!$B$8:$B$112,$B$200)</f>
        <v>0</v>
      </c>
      <c r="D205" s="207">
        <f>SUMIFS('Non-labour_inputs'!GI$8:GI$112,'Non-labour_inputs'!$C$8:$C$112,$B205,'Non-labour_inputs'!$B$8:$B$112,$B$200)</f>
        <v>0</v>
      </c>
      <c r="E205" s="207">
        <f>SUMIFS('Non-labour_inputs'!GJ$8:GJ$112,'Non-labour_inputs'!$C$8:$C$112,$B205,'Non-labour_inputs'!$B$8:$B$112,$B$200)</f>
        <v>0</v>
      </c>
      <c r="F205" s="207">
        <f>SUMIFS('Non-labour_inputs'!GK$8:GK$112,'Non-labour_inputs'!$C$8:$C$112,$B205,'Non-labour_inputs'!$B$8:$B$112,$B$200)</f>
        <v>0</v>
      </c>
      <c r="G205" s="207">
        <f>SUMIFS('Non-labour_inputs'!GL$8:GL$112,'Non-labour_inputs'!$C$8:$C$112,$B205,'Non-labour_inputs'!$B$8:$B$112,$B$200)</f>
        <v>0</v>
      </c>
      <c r="H205" s="207">
        <f>SUMIFS('Non-labour_inputs'!GM$8:GM$112,'Non-labour_inputs'!$C$8:$C$112,$B205,'Non-labour_inputs'!$B$8:$B$112,$B$200)</f>
        <v>0</v>
      </c>
      <c r="I205" s="207">
        <f>SUMIFS('Non-labour_inputs'!GN$8:GN$112,'Non-labour_inputs'!$C$8:$C$112,$B205,'Non-labour_inputs'!$B$8:$B$112,$B$200)</f>
        <v>0</v>
      </c>
      <c r="J205" s="207">
        <f t="shared" si="100"/>
        <v>0</v>
      </c>
      <c r="L205" s="207">
        <f>SUMIFS('Non-labour_inputs'!GR$8:GR$112,'Non-labour_inputs'!$C$8:$C$112,$B205,'Non-labour_inputs'!$B$8:$B$112,$B$200)</f>
        <v>0</v>
      </c>
    </row>
    <row r="206" spans="2:15" x14ac:dyDescent="0.3">
      <c r="B206" s="206"/>
      <c r="C206" s="207">
        <f>SUMIFS('Non-labour_inputs'!GH$8:GH$112,'Non-labour_inputs'!$C$8:$C$112,$B206,'Non-labour_inputs'!$B$8:$B$112,$B$200)</f>
        <v>0</v>
      </c>
      <c r="D206" s="207">
        <f>SUMIFS('Non-labour_inputs'!GI$8:GI$112,'Non-labour_inputs'!$C$8:$C$112,$B206,'Non-labour_inputs'!$B$8:$B$112,$B$200)</f>
        <v>0</v>
      </c>
      <c r="E206" s="207">
        <f>SUMIFS('Non-labour_inputs'!GJ$8:GJ$112,'Non-labour_inputs'!$C$8:$C$112,$B206,'Non-labour_inputs'!$B$8:$B$112,$B$200)</f>
        <v>0</v>
      </c>
      <c r="F206" s="207">
        <f>SUMIFS('Non-labour_inputs'!GK$8:GK$112,'Non-labour_inputs'!$C$8:$C$112,$B206,'Non-labour_inputs'!$B$8:$B$112,$B$200)</f>
        <v>0</v>
      </c>
      <c r="G206" s="207">
        <f>SUMIFS('Non-labour_inputs'!GL$8:GL$112,'Non-labour_inputs'!$C$8:$C$112,$B206,'Non-labour_inputs'!$B$8:$B$112,$B$200)</f>
        <v>0</v>
      </c>
      <c r="H206" s="207">
        <f>SUMIFS('Non-labour_inputs'!GM$8:GM$112,'Non-labour_inputs'!$C$8:$C$112,$B206,'Non-labour_inputs'!$B$8:$B$112,$B$200)</f>
        <v>0</v>
      </c>
      <c r="I206" s="207">
        <f>SUMIFS('Non-labour_inputs'!GN$8:GN$112,'Non-labour_inputs'!$C$8:$C$112,$B206,'Non-labour_inputs'!$B$8:$B$112,$B$200)</f>
        <v>0</v>
      </c>
      <c r="J206" s="207">
        <f t="shared" si="100"/>
        <v>0</v>
      </c>
      <c r="L206" s="207">
        <f>SUMIFS('Non-labour_inputs'!GR$8:GR$112,'Non-labour_inputs'!$C$8:$C$112,$B206,'Non-labour_inputs'!$B$8:$B$112,$B$200)</f>
        <v>0</v>
      </c>
    </row>
    <row r="207" spans="2:15" x14ac:dyDescent="0.3">
      <c r="B207" s="206"/>
      <c r="C207" s="207">
        <f>SUMIFS('Non-labour_inputs'!GH$8:GH$112,'Non-labour_inputs'!$C$8:$C$112,$B207,'Non-labour_inputs'!$B$8:$B$112,$B$200)</f>
        <v>0</v>
      </c>
      <c r="D207" s="207">
        <f>SUMIFS('Non-labour_inputs'!GI$8:GI$112,'Non-labour_inputs'!$C$8:$C$112,$B207,'Non-labour_inputs'!$B$8:$B$112,$B$200)</f>
        <v>0</v>
      </c>
      <c r="E207" s="207">
        <f>SUMIFS('Non-labour_inputs'!GJ$8:GJ$112,'Non-labour_inputs'!$C$8:$C$112,$B207,'Non-labour_inputs'!$B$8:$B$112,$B$200)</f>
        <v>0</v>
      </c>
      <c r="F207" s="207">
        <f>SUMIFS('Non-labour_inputs'!GK$8:GK$112,'Non-labour_inputs'!$C$8:$C$112,$B207,'Non-labour_inputs'!$B$8:$B$112,$B$200)</f>
        <v>0</v>
      </c>
      <c r="G207" s="207">
        <f>SUMIFS('Non-labour_inputs'!GL$8:GL$112,'Non-labour_inputs'!$C$8:$C$112,$B207,'Non-labour_inputs'!$B$8:$B$112,$B$200)</f>
        <v>0</v>
      </c>
      <c r="H207" s="207">
        <f>SUMIFS('Non-labour_inputs'!GM$8:GM$112,'Non-labour_inputs'!$C$8:$C$112,$B207,'Non-labour_inputs'!$B$8:$B$112,$B$200)</f>
        <v>0</v>
      </c>
      <c r="I207" s="207">
        <f>SUMIFS('Non-labour_inputs'!GN$8:GN$112,'Non-labour_inputs'!$C$8:$C$112,$B207,'Non-labour_inputs'!$B$8:$B$112,$B$200)</f>
        <v>0</v>
      </c>
      <c r="J207" s="207">
        <f t="shared" si="100"/>
        <v>0</v>
      </c>
      <c r="L207" s="207">
        <f>SUMIFS('Non-labour_inputs'!GR$8:GR$112,'Non-labour_inputs'!$C$8:$C$112,$B207,'Non-labour_inputs'!$B$8:$B$112,$B$200)</f>
        <v>0</v>
      </c>
    </row>
    <row r="208" spans="2:15" x14ac:dyDescent="0.3">
      <c r="B208" s="206"/>
      <c r="C208" s="207">
        <f>SUMIFS('Non-labour_inputs'!GH$8:GH$112,'Non-labour_inputs'!$C$8:$C$112,$B208,'Non-labour_inputs'!$B$8:$B$112,$B$200)</f>
        <v>0</v>
      </c>
      <c r="D208" s="207">
        <f>SUMIFS('Non-labour_inputs'!GI$8:GI$112,'Non-labour_inputs'!$C$8:$C$112,$B208,'Non-labour_inputs'!$B$8:$B$112,$B$200)</f>
        <v>0</v>
      </c>
      <c r="E208" s="207">
        <f>SUMIFS('Non-labour_inputs'!GJ$8:GJ$112,'Non-labour_inputs'!$C$8:$C$112,$B208,'Non-labour_inputs'!$B$8:$B$112,$B$200)</f>
        <v>0</v>
      </c>
      <c r="F208" s="207">
        <f>SUMIFS('Non-labour_inputs'!GK$8:GK$112,'Non-labour_inputs'!$C$8:$C$112,$B208,'Non-labour_inputs'!$B$8:$B$112,$B$200)</f>
        <v>0</v>
      </c>
      <c r="G208" s="207">
        <f>SUMIFS('Non-labour_inputs'!GL$8:GL$112,'Non-labour_inputs'!$C$8:$C$112,$B208,'Non-labour_inputs'!$B$8:$B$112,$B$200)</f>
        <v>0</v>
      </c>
      <c r="H208" s="207">
        <f>SUMIFS('Non-labour_inputs'!GM$8:GM$112,'Non-labour_inputs'!$C$8:$C$112,$B208,'Non-labour_inputs'!$B$8:$B$112,$B$200)</f>
        <v>0</v>
      </c>
      <c r="I208" s="207">
        <f>SUMIFS('Non-labour_inputs'!GN$8:GN$112,'Non-labour_inputs'!$C$8:$C$112,$B208,'Non-labour_inputs'!$B$8:$B$112,$B$200)</f>
        <v>0</v>
      </c>
      <c r="J208" s="207">
        <f t="shared" si="100"/>
        <v>0</v>
      </c>
      <c r="L208" s="207">
        <f>SUMIFS('Non-labour_inputs'!GR$8:GR$112,'Non-labour_inputs'!$C$8:$C$112,$B208,'Non-labour_inputs'!$B$8:$B$112,$B$200)</f>
        <v>0</v>
      </c>
    </row>
    <row r="209" spans="1:35" x14ac:dyDescent="0.3">
      <c r="B209" s="206"/>
      <c r="C209" s="207">
        <f>SUMIFS('Non-labour_inputs'!GH$8:GH$112,'Non-labour_inputs'!$C$8:$C$112,$B209,'Non-labour_inputs'!$B$8:$B$112,$B$200)</f>
        <v>0</v>
      </c>
      <c r="D209" s="207">
        <f>SUMIFS('Non-labour_inputs'!GI$8:GI$112,'Non-labour_inputs'!$C$8:$C$112,$B209,'Non-labour_inputs'!$B$8:$B$112,$B$200)</f>
        <v>0</v>
      </c>
      <c r="E209" s="207">
        <f>SUMIFS('Non-labour_inputs'!GJ$8:GJ$112,'Non-labour_inputs'!$C$8:$C$112,$B209,'Non-labour_inputs'!$B$8:$B$112,$B$200)</f>
        <v>0</v>
      </c>
      <c r="F209" s="207">
        <f>SUMIFS('Non-labour_inputs'!GK$8:GK$112,'Non-labour_inputs'!$C$8:$C$112,$B209,'Non-labour_inputs'!$B$8:$B$112,$B$200)</f>
        <v>0</v>
      </c>
      <c r="G209" s="207">
        <f>SUMIFS('Non-labour_inputs'!GL$8:GL$112,'Non-labour_inputs'!$C$8:$C$112,$B209,'Non-labour_inputs'!$B$8:$B$112,$B$200)</f>
        <v>0</v>
      </c>
      <c r="H209" s="207">
        <f>SUMIFS('Non-labour_inputs'!GM$8:GM$112,'Non-labour_inputs'!$C$8:$C$112,$B209,'Non-labour_inputs'!$B$8:$B$112,$B$200)</f>
        <v>0</v>
      </c>
      <c r="I209" s="207">
        <f>SUMIFS('Non-labour_inputs'!GN$8:GN$112,'Non-labour_inputs'!$C$8:$C$112,$B209,'Non-labour_inputs'!$B$8:$B$112,$B$200)</f>
        <v>0</v>
      </c>
      <c r="J209" s="207">
        <f t="shared" si="100"/>
        <v>0</v>
      </c>
      <c r="L209" s="207">
        <f>SUMIFS('Non-labour_inputs'!GR$8:GR$112,'Non-labour_inputs'!$C$8:$C$112,$B209,'Non-labour_inputs'!$B$8:$B$112,$B$200)</f>
        <v>0</v>
      </c>
    </row>
    <row r="210" spans="1:35" x14ac:dyDescent="0.3">
      <c r="B210" s="206"/>
      <c r="C210" s="207">
        <f>SUMIFS('Non-labour_inputs'!GH$8:GH$112,'Non-labour_inputs'!$C$8:$C$112,$B210,'Non-labour_inputs'!$B$8:$B$112,$B$200)</f>
        <v>0</v>
      </c>
      <c r="D210" s="207">
        <f>SUMIFS('Non-labour_inputs'!GI$8:GI$112,'Non-labour_inputs'!$C$8:$C$112,$B210,'Non-labour_inputs'!$B$8:$B$112,$B$200)</f>
        <v>0</v>
      </c>
      <c r="E210" s="207">
        <f>SUMIFS('Non-labour_inputs'!GJ$8:GJ$112,'Non-labour_inputs'!$C$8:$C$112,$B210,'Non-labour_inputs'!$B$8:$B$112,$B$200)</f>
        <v>0</v>
      </c>
      <c r="F210" s="207">
        <f>SUMIFS('Non-labour_inputs'!GK$8:GK$112,'Non-labour_inputs'!$C$8:$C$112,$B210,'Non-labour_inputs'!$B$8:$B$112,$B$200)</f>
        <v>0</v>
      </c>
      <c r="G210" s="207">
        <f>SUMIFS('Non-labour_inputs'!GL$8:GL$112,'Non-labour_inputs'!$C$8:$C$112,$B210,'Non-labour_inputs'!$B$8:$B$112,$B$200)</f>
        <v>0</v>
      </c>
      <c r="H210" s="207">
        <f>SUMIFS('Non-labour_inputs'!GM$8:GM$112,'Non-labour_inputs'!$C$8:$C$112,$B210,'Non-labour_inputs'!$B$8:$B$112,$B$200)</f>
        <v>0</v>
      </c>
      <c r="I210" s="207">
        <f>SUMIFS('Non-labour_inputs'!GN$8:GN$112,'Non-labour_inputs'!$C$8:$C$112,$B210,'Non-labour_inputs'!$B$8:$B$112,$B$200)</f>
        <v>0</v>
      </c>
      <c r="J210" s="207">
        <f t="shared" si="100"/>
        <v>0</v>
      </c>
      <c r="L210" s="207">
        <f>SUMIFS('Non-labour_inputs'!GR$8:GR$112,'Non-labour_inputs'!$C$8:$C$112,$B210,'Non-labour_inputs'!$B$8:$B$112,$B$200)</f>
        <v>0</v>
      </c>
    </row>
    <row r="211" spans="1:35" x14ac:dyDescent="0.3">
      <c r="B211" s="206"/>
      <c r="C211" s="207">
        <f>SUMIFS('Non-labour_inputs'!GH$8:GH$112,'Non-labour_inputs'!$C$8:$C$112,$B211,'Non-labour_inputs'!$B$8:$B$112,$B$200)</f>
        <v>0</v>
      </c>
      <c r="D211" s="207">
        <f>SUMIFS('Non-labour_inputs'!GI$8:GI$112,'Non-labour_inputs'!$C$8:$C$112,$B211,'Non-labour_inputs'!$B$8:$B$112,$B$200)</f>
        <v>0</v>
      </c>
      <c r="E211" s="207">
        <f>SUMIFS('Non-labour_inputs'!GJ$8:GJ$112,'Non-labour_inputs'!$C$8:$C$112,$B211,'Non-labour_inputs'!$B$8:$B$112,$B$200)</f>
        <v>0</v>
      </c>
      <c r="F211" s="207">
        <f>SUMIFS('Non-labour_inputs'!GK$8:GK$112,'Non-labour_inputs'!$C$8:$C$112,$B211,'Non-labour_inputs'!$B$8:$B$112,$B$200)</f>
        <v>0</v>
      </c>
      <c r="G211" s="207">
        <f>SUMIFS('Non-labour_inputs'!GL$8:GL$112,'Non-labour_inputs'!$C$8:$C$112,$B211,'Non-labour_inputs'!$B$8:$B$112,$B$200)</f>
        <v>0</v>
      </c>
      <c r="H211" s="207">
        <f>SUMIFS('Non-labour_inputs'!GM$8:GM$112,'Non-labour_inputs'!$C$8:$C$112,$B211,'Non-labour_inputs'!$B$8:$B$112,$B$200)</f>
        <v>0</v>
      </c>
      <c r="I211" s="207">
        <f>SUMIFS('Non-labour_inputs'!GN$8:GN$112,'Non-labour_inputs'!$C$8:$C$112,$B211,'Non-labour_inputs'!$B$8:$B$112,$B$200)</f>
        <v>0</v>
      </c>
      <c r="J211" s="207">
        <f t="shared" si="100"/>
        <v>0</v>
      </c>
      <c r="L211" s="207">
        <f>SUMIFS('Non-labour_inputs'!GR$8:GR$112,'Non-labour_inputs'!$C$8:$C$112,$B211,'Non-labour_inputs'!$B$8:$B$112,$B$200)</f>
        <v>0</v>
      </c>
    </row>
    <row r="212" spans="1:35" x14ac:dyDescent="0.3">
      <c r="B212" s="206"/>
      <c r="C212" s="207">
        <f>SUMIFS('Non-labour_inputs'!GH$8:GH$112,'Non-labour_inputs'!$C$8:$C$112,$B212,'Non-labour_inputs'!$B$8:$B$112,$B$200)</f>
        <v>0</v>
      </c>
      <c r="D212" s="207">
        <f>SUMIFS('Non-labour_inputs'!GI$8:GI$112,'Non-labour_inputs'!$C$8:$C$112,$B212,'Non-labour_inputs'!$B$8:$B$112,$B$200)</f>
        <v>0</v>
      </c>
      <c r="E212" s="207">
        <f>SUMIFS('Non-labour_inputs'!GJ$8:GJ$112,'Non-labour_inputs'!$C$8:$C$112,$B212,'Non-labour_inputs'!$B$8:$B$112,$B$200)</f>
        <v>0</v>
      </c>
      <c r="F212" s="207">
        <f>SUMIFS('Non-labour_inputs'!GK$8:GK$112,'Non-labour_inputs'!$C$8:$C$112,$B212,'Non-labour_inputs'!$B$8:$B$112,$B$200)</f>
        <v>0</v>
      </c>
      <c r="G212" s="207">
        <f>SUMIFS('Non-labour_inputs'!GL$8:GL$112,'Non-labour_inputs'!$C$8:$C$112,$B212,'Non-labour_inputs'!$B$8:$B$112,$B$200)</f>
        <v>0</v>
      </c>
      <c r="H212" s="207">
        <f>SUMIFS('Non-labour_inputs'!GM$8:GM$112,'Non-labour_inputs'!$C$8:$C$112,$B212,'Non-labour_inputs'!$B$8:$B$112,$B$200)</f>
        <v>0</v>
      </c>
      <c r="I212" s="207">
        <f>SUMIFS('Non-labour_inputs'!GN$8:GN$112,'Non-labour_inputs'!$C$8:$C$112,$B212,'Non-labour_inputs'!$B$8:$B$112,$B$200)</f>
        <v>0</v>
      </c>
      <c r="J212" s="207">
        <f t="shared" si="100"/>
        <v>0</v>
      </c>
      <c r="L212" s="207">
        <f>SUMIFS('Non-labour_inputs'!GR$8:GR$112,'Non-labour_inputs'!$C$8:$C$112,$B212,'Non-labour_inputs'!$B$8:$B$112,$B$200)</f>
        <v>0</v>
      </c>
    </row>
    <row r="213" spans="1:35" x14ac:dyDescent="0.3">
      <c r="B213" s="206"/>
      <c r="C213" s="207">
        <f>SUMIFS('Non-labour_inputs'!GH$8:GH$112,'Non-labour_inputs'!$C$8:$C$112,$B213,'Non-labour_inputs'!$B$8:$B$112,$B$200)</f>
        <v>0</v>
      </c>
      <c r="D213" s="207">
        <f>SUMIFS('Non-labour_inputs'!GI$8:GI$112,'Non-labour_inputs'!$C$8:$C$112,$B213,'Non-labour_inputs'!$B$8:$B$112,$B$200)</f>
        <v>0</v>
      </c>
      <c r="E213" s="207">
        <f>SUMIFS('Non-labour_inputs'!GJ$8:GJ$112,'Non-labour_inputs'!$C$8:$C$112,$B213,'Non-labour_inputs'!$B$8:$B$112,$B$200)</f>
        <v>0</v>
      </c>
      <c r="F213" s="207">
        <f>SUMIFS('Non-labour_inputs'!GK$8:GK$112,'Non-labour_inputs'!$C$8:$C$112,$B213,'Non-labour_inputs'!$B$8:$B$112,$B$200)</f>
        <v>0</v>
      </c>
      <c r="G213" s="207">
        <f>SUMIFS('Non-labour_inputs'!GL$8:GL$112,'Non-labour_inputs'!$C$8:$C$112,$B213,'Non-labour_inputs'!$B$8:$B$112,$B$200)</f>
        <v>0</v>
      </c>
      <c r="H213" s="207">
        <f>SUMIFS('Non-labour_inputs'!GM$8:GM$112,'Non-labour_inputs'!$C$8:$C$112,$B213,'Non-labour_inputs'!$B$8:$B$112,$B$200)</f>
        <v>0</v>
      </c>
      <c r="I213" s="207">
        <f>SUMIFS('Non-labour_inputs'!GN$8:GN$112,'Non-labour_inputs'!$C$8:$C$112,$B213,'Non-labour_inputs'!$B$8:$B$112,$B$200)</f>
        <v>0</v>
      </c>
      <c r="J213" s="207">
        <f t="shared" si="100"/>
        <v>0</v>
      </c>
      <c r="L213" s="207">
        <f>SUMIFS('Non-labour_inputs'!GR$8:GR$112,'Non-labour_inputs'!$C$8:$C$112,$B213,'Non-labour_inputs'!$B$8:$B$112,$B$200)</f>
        <v>0</v>
      </c>
    </row>
    <row r="214" spans="1:35" x14ac:dyDescent="0.3">
      <c r="B214" s="206"/>
      <c r="C214" s="207">
        <f>SUMIFS('Non-labour_inputs'!GH$8:GH$112,'Non-labour_inputs'!$C$8:$C$112,$B214,'Non-labour_inputs'!$B$8:$B$112,$B$200)</f>
        <v>0</v>
      </c>
      <c r="D214" s="207">
        <f>SUMIFS('Non-labour_inputs'!GI$8:GI$112,'Non-labour_inputs'!$C$8:$C$112,$B214,'Non-labour_inputs'!$B$8:$B$112,$B$200)</f>
        <v>0</v>
      </c>
      <c r="E214" s="207">
        <f>SUMIFS('Non-labour_inputs'!GJ$8:GJ$112,'Non-labour_inputs'!$C$8:$C$112,$B214,'Non-labour_inputs'!$B$8:$B$112,$B$200)</f>
        <v>0</v>
      </c>
      <c r="F214" s="207">
        <f>SUMIFS('Non-labour_inputs'!GK$8:GK$112,'Non-labour_inputs'!$C$8:$C$112,$B214,'Non-labour_inputs'!$B$8:$B$112,$B$200)</f>
        <v>0</v>
      </c>
      <c r="G214" s="207">
        <f>SUMIFS('Non-labour_inputs'!GL$8:GL$112,'Non-labour_inputs'!$C$8:$C$112,$B214,'Non-labour_inputs'!$B$8:$B$112,$B$200)</f>
        <v>0</v>
      </c>
      <c r="H214" s="207">
        <f>SUMIFS('Non-labour_inputs'!GM$8:GM$112,'Non-labour_inputs'!$C$8:$C$112,$B214,'Non-labour_inputs'!$B$8:$B$112,$B$200)</f>
        <v>0</v>
      </c>
      <c r="I214" s="207">
        <f>SUMIFS('Non-labour_inputs'!GN$8:GN$112,'Non-labour_inputs'!$C$8:$C$112,$B214,'Non-labour_inputs'!$B$8:$B$112,$B$200)</f>
        <v>0</v>
      </c>
      <c r="J214" s="207">
        <f t="shared" si="100"/>
        <v>0</v>
      </c>
      <c r="L214" s="207">
        <f>SUMIFS('Non-labour_inputs'!GR$8:GR$112,'Non-labour_inputs'!$C$8:$C$112,$B214,'Non-labour_inputs'!$B$8:$B$112,$B$200)</f>
        <v>0</v>
      </c>
    </row>
    <row r="215" spans="1:35" x14ac:dyDescent="0.3">
      <c r="B215" s="206"/>
      <c r="C215" s="207">
        <f>SUMIFS('Non-labour_inputs'!GH$8:GH$112,'Non-labour_inputs'!$C$8:$C$112,$B215,'Non-labour_inputs'!$B$8:$B$112,$B$200)</f>
        <v>0</v>
      </c>
      <c r="D215" s="207">
        <f>SUMIFS('Non-labour_inputs'!GI$8:GI$112,'Non-labour_inputs'!$C$8:$C$112,$B215,'Non-labour_inputs'!$B$8:$B$112,$B$200)</f>
        <v>0</v>
      </c>
      <c r="E215" s="207">
        <f>SUMIFS('Non-labour_inputs'!GJ$8:GJ$112,'Non-labour_inputs'!$C$8:$C$112,$B215,'Non-labour_inputs'!$B$8:$B$112,$B$200)</f>
        <v>0</v>
      </c>
      <c r="F215" s="207">
        <f>SUMIFS('Non-labour_inputs'!GK$8:GK$112,'Non-labour_inputs'!$C$8:$C$112,$B215,'Non-labour_inputs'!$B$8:$B$112,$B$200)</f>
        <v>0</v>
      </c>
      <c r="G215" s="207">
        <f>SUMIFS('Non-labour_inputs'!GL$8:GL$112,'Non-labour_inputs'!$C$8:$C$112,$B215,'Non-labour_inputs'!$B$8:$B$112,$B$200)</f>
        <v>0</v>
      </c>
      <c r="H215" s="207">
        <f>SUMIFS('Non-labour_inputs'!GM$8:GM$112,'Non-labour_inputs'!$C$8:$C$112,$B215,'Non-labour_inputs'!$B$8:$B$112,$B$200)</f>
        <v>0</v>
      </c>
      <c r="I215" s="207">
        <f>SUMIFS('Non-labour_inputs'!GN$8:GN$112,'Non-labour_inputs'!$C$8:$C$112,$B215,'Non-labour_inputs'!$B$8:$B$112,$B$200)</f>
        <v>0</v>
      </c>
      <c r="J215" s="207">
        <f t="shared" si="100"/>
        <v>0</v>
      </c>
      <c r="L215" s="207">
        <f>SUMIFS('Non-labour_inputs'!GR$8:GR$112,'Non-labour_inputs'!$C$8:$C$112,$B215,'Non-labour_inputs'!$B$8:$B$112,$B$200)</f>
        <v>0</v>
      </c>
    </row>
    <row r="216" spans="1:35" x14ac:dyDescent="0.3">
      <c r="B216" s="206"/>
      <c r="C216" s="207">
        <f>SUMIFS('Non-labour_inputs'!GH$8:GH$112,'Non-labour_inputs'!$C$8:$C$112,$B216,'Non-labour_inputs'!$B$8:$B$112,$B$200)</f>
        <v>0</v>
      </c>
      <c r="D216" s="207">
        <f>SUMIFS('Non-labour_inputs'!GI$8:GI$112,'Non-labour_inputs'!$C$8:$C$112,$B216,'Non-labour_inputs'!$B$8:$B$112,$B$200)</f>
        <v>0</v>
      </c>
      <c r="E216" s="207">
        <f>SUMIFS('Non-labour_inputs'!GJ$8:GJ$112,'Non-labour_inputs'!$C$8:$C$112,$B216,'Non-labour_inputs'!$B$8:$B$112,$B$200)</f>
        <v>0</v>
      </c>
      <c r="F216" s="207">
        <f>SUMIFS('Non-labour_inputs'!GK$8:GK$112,'Non-labour_inputs'!$C$8:$C$112,$B216,'Non-labour_inputs'!$B$8:$B$112,$B$200)</f>
        <v>0</v>
      </c>
      <c r="G216" s="207">
        <f>SUMIFS('Non-labour_inputs'!GL$8:GL$112,'Non-labour_inputs'!$C$8:$C$112,$B216,'Non-labour_inputs'!$B$8:$B$112,$B$200)</f>
        <v>0</v>
      </c>
      <c r="H216" s="207">
        <f>SUMIFS('Non-labour_inputs'!GM$8:GM$112,'Non-labour_inputs'!$C$8:$C$112,$B216,'Non-labour_inputs'!$B$8:$B$112,$B$200)</f>
        <v>0</v>
      </c>
      <c r="I216" s="207">
        <f>SUMIFS('Non-labour_inputs'!GN$8:GN$112,'Non-labour_inputs'!$C$8:$C$112,$B216,'Non-labour_inputs'!$B$8:$B$112,$B$200)</f>
        <v>0</v>
      </c>
      <c r="J216" s="207">
        <f t="shared" si="100"/>
        <v>0</v>
      </c>
      <c r="L216" s="207">
        <f>SUMIFS('Non-labour_inputs'!GR$8:GR$112,'Non-labour_inputs'!$C$8:$C$112,$B216,'Non-labour_inputs'!$B$8:$B$112,$B$200)</f>
        <v>0</v>
      </c>
    </row>
    <row r="217" spans="1:35" x14ac:dyDescent="0.3">
      <c r="B217" s="206"/>
      <c r="C217" s="207">
        <f>SUMIFS('Non-labour_inputs'!GH$8:GH$112,'Non-labour_inputs'!$C$8:$C$112,$B217,'Non-labour_inputs'!$B$8:$B$112,$B$200)</f>
        <v>0</v>
      </c>
      <c r="D217" s="207">
        <f>SUMIFS('Non-labour_inputs'!GI$8:GI$112,'Non-labour_inputs'!$C$8:$C$112,$B217,'Non-labour_inputs'!$B$8:$B$112,$B$200)</f>
        <v>0</v>
      </c>
      <c r="E217" s="207">
        <f>SUMIFS('Non-labour_inputs'!GJ$8:GJ$112,'Non-labour_inputs'!$C$8:$C$112,$B217,'Non-labour_inputs'!$B$8:$B$112,$B$200)</f>
        <v>0</v>
      </c>
      <c r="F217" s="207">
        <f>SUMIFS('Non-labour_inputs'!GK$8:GK$112,'Non-labour_inputs'!$C$8:$C$112,$B217,'Non-labour_inputs'!$B$8:$B$112,$B$200)</f>
        <v>0</v>
      </c>
      <c r="G217" s="207">
        <f>SUMIFS('Non-labour_inputs'!GL$8:GL$112,'Non-labour_inputs'!$C$8:$C$112,$B217,'Non-labour_inputs'!$B$8:$B$112,$B$200)</f>
        <v>0</v>
      </c>
      <c r="H217" s="207">
        <f>SUMIFS('Non-labour_inputs'!GM$8:GM$112,'Non-labour_inputs'!$C$8:$C$112,$B217,'Non-labour_inputs'!$B$8:$B$112,$B$200)</f>
        <v>0</v>
      </c>
      <c r="I217" s="207">
        <f>SUMIFS('Non-labour_inputs'!GN$8:GN$112,'Non-labour_inputs'!$C$8:$C$112,$B217,'Non-labour_inputs'!$B$8:$B$112,$B$200)</f>
        <v>0</v>
      </c>
      <c r="J217" s="207">
        <f t="shared" si="100"/>
        <v>0</v>
      </c>
      <c r="L217" s="207">
        <f>SUMIFS('Non-labour_inputs'!GR$8:GR$112,'Non-labour_inputs'!$C$8:$C$112,$B217,'Non-labour_inputs'!$B$8:$B$112,$B$200)</f>
        <v>0</v>
      </c>
    </row>
    <row r="218" spans="1:35" x14ac:dyDescent="0.3">
      <c r="B218" s="208" t="s">
        <v>133</v>
      </c>
      <c r="C218" s="209">
        <f t="shared" ref="C218:J218" si="101">SUM(C203:C217)</f>
        <v>76472.970494280948</v>
      </c>
      <c r="D218" s="209">
        <f t="shared" si="101"/>
        <v>0</v>
      </c>
      <c r="E218" s="209">
        <f t="shared" si="101"/>
        <v>0</v>
      </c>
      <c r="F218" s="209">
        <f t="shared" si="101"/>
        <v>0</v>
      </c>
      <c r="G218" s="209">
        <f t="shared" si="101"/>
        <v>0</v>
      </c>
      <c r="H218" s="209">
        <f t="shared" si="101"/>
        <v>0</v>
      </c>
      <c r="I218" s="209">
        <f t="shared" si="101"/>
        <v>0</v>
      </c>
      <c r="J218" s="209">
        <f t="shared" si="101"/>
        <v>76472.970494280948</v>
      </c>
      <c r="L218" s="209">
        <f t="shared" ref="L218" si="102">SUM(L203:L217)</f>
        <v>74995</v>
      </c>
    </row>
    <row r="219" spans="1:35" x14ac:dyDescent="0.3">
      <c r="B219" s="42"/>
      <c r="F219" s="42"/>
      <c r="N219" s="49"/>
      <c r="O219" s="49"/>
    </row>
    <row r="220" spans="1:35" ht="16.5" x14ac:dyDescent="0.3">
      <c r="B220" s="206" t="s">
        <v>134</v>
      </c>
      <c r="C220" s="224" t="str">
        <f t="shared" ref="C220:I220" si="103">IF(C218=_xlfn.XLOOKUP($B200,$B$11:$B$23,C$11:C$23,0),"OK","ERROR")</f>
        <v>OK</v>
      </c>
      <c r="D220" s="224" t="str">
        <f t="shared" si="103"/>
        <v>OK</v>
      </c>
      <c r="E220" s="224" t="str">
        <f t="shared" si="103"/>
        <v>OK</v>
      </c>
      <c r="F220" s="224" t="str">
        <f t="shared" si="103"/>
        <v>OK</v>
      </c>
      <c r="G220" s="224" t="str">
        <f t="shared" si="103"/>
        <v>OK</v>
      </c>
      <c r="H220" s="224" t="str">
        <f t="shared" si="103"/>
        <v>OK</v>
      </c>
      <c r="I220" s="224" t="str">
        <f t="shared" si="103"/>
        <v>OK</v>
      </c>
      <c r="J220" s="65"/>
      <c r="L220" s="224" t="str">
        <f t="shared" ref="L220" si="104">IF(L218=_xlfn.XLOOKUP($B200,$B$11:$B$23,L$11:L$23,0),"OK","ERROR")</f>
        <v>OK</v>
      </c>
      <c r="O220" s="49"/>
    </row>
    <row r="221" spans="1:35" x14ac:dyDescent="0.3">
      <c r="B221" s="42"/>
      <c r="F221" s="42"/>
      <c r="N221" s="49"/>
      <c r="O221" s="49"/>
    </row>
    <row r="222" spans="1:35" s="32" customFormat="1" ht="22.5" x14ac:dyDescent="0.3">
      <c r="A222" s="71"/>
      <c r="B222" s="72"/>
      <c r="C222" s="71"/>
      <c r="D222" s="71"/>
      <c r="E222" s="71"/>
      <c r="F222" s="71"/>
      <c r="G222" s="71"/>
      <c r="H222" s="71"/>
      <c r="I222" s="71"/>
      <c r="J222" s="71"/>
      <c r="K222" s="71"/>
      <c r="L222" s="71"/>
      <c r="M222" s="71"/>
      <c r="N222" s="223"/>
      <c r="O222" s="223"/>
      <c r="P222" s="223"/>
      <c r="Q222" s="223"/>
      <c r="R222" s="223"/>
      <c r="S222" s="223"/>
      <c r="T222" s="223"/>
      <c r="U222" s="223"/>
      <c r="V222" s="223"/>
      <c r="W222" s="281"/>
      <c r="X222" s="281"/>
      <c r="Y222" s="281"/>
      <c r="Z222" s="281"/>
      <c r="AA222" s="281"/>
      <c r="AB222" s="281"/>
      <c r="AC222" s="281"/>
      <c r="AD222" s="281"/>
      <c r="AE222" s="281"/>
      <c r="AF222" s="281"/>
      <c r="AG222" s="281"/>
      <c r="AH222" s="281"/>
      <c r="AI222" s="281"/>
    </row>
  </sheetData>
  <conditionalFormatting sqref="C26:I26">
    <cfRule type="expression" dxfId="85" priority="90">
      <formula>#REF!="Manual $ Spread"</formula>
    </cfRule>
    <cfRule type="cellIs" dxfId="84" priority="89" operator="equal">
      <formula>"OK"</formula>
    </cfRule>
    <cfRule type="cellIs" dxfId="83" priority="88" operator="equal">
      <formula>"ERROR"</formula>
    </cfRule>
  </conditionalFormatting>
  <conditionalFormatting sqref="C46:I46">
    <cfRule type="expression" dxfId="82" priority="93">
      <formula>#REF!="Manual $ Spread"</formula>
    </cfRule>
    <cfRule type="cellIs" dxfId="81" priority="91" operator="equal">
      <formula>"ERROR"</formula>
    </cfRule>
    <cfRule type="cellIs" dxfId="80" priority="92" operator="equal">
      <formula>"OK"</formula>
    </cfRule>
  </conditionalFormatting>
  <conditionalFormatting sqref="C66:I66">
    <cfRule type="expression" dxfId="79" priority="96">
      <formula>#REF!="Manual $ Spread"</formula>
    </cfRule>
    <cfRule type="cellIs" dxfId="78" priority="95" operator="equal">
      <formula>"OK"</formula>
    </cfRule>
    <cfRule type="cellIs" dxfId="77" priority="94" operator="equal">
      <formula>"ERROR"</formula>
    </cfRule>
  </conditionalFormatting>
  <conditionalFormatting sqref="C88:I88">
    <cfRule type="cellIs" dxfId="76" priority="995" operator="equal">
      <formula>"OK"</formula>
    </cfRule>
    <cfRule type="cellIs" dxfId="75" priority="994" operator="equal">
      <formula>"ERROR"</formula>
    </cfRule>
    <cfRule type="expression" dxfId="74" priority="996">
      <formula>$J70="Manual $ Spread"</formula>
    </cfRule>
  </conditionalFormatting>
  <conditionalFormatting sqref="C110:I110">
    <cfRule type="cellIs" dxfId="73" priority="46" operator="equal">
      <formula>"ERROR"</formula>
    </cfRule>
    <cfRule type="expression" dxfId="72" priority="48">
      <formula>$J92="Manual $ Spread"</formula>
    </cfRule>
    <cfRule type="cellIs" dxfId="71" priority="47" operator="equal">
      <formula>"OK"</formula>
    </cfRule>
  </conditionalFormatting>
  <conditionalFormatting sqref="C132:I132">
    <cfRule type="expression" dxfId="70" priority="45">
      <formula>$J114="Manual $ Spread"</formula>
    </cfRule>
    <cfRule type="cellIs" dxfId="69" priority="44" operator="equal">
      <formula>"OK"</formula>
    </cfRule>
    <cfRule type="cellIs" dxfId="68" priority="43" operator="equal">
      <formula>"ERROR"</formula>
    </cfRule>
  </conditionalFormatting>
  <conditionalFormatting sqref="C154:I154">
    <cfRule type="expression" dxfId="67" priority="42">
      <formula>$J136="Manual $ Spread"</formula>
    </cfRule>
    <cfRule type="cellIs" dxfId="66" priority="41" operator="equal">
      <formula>"OK"</formula>
    </cfRule>
    <cfRule type="cellIs" dxfId="65" priority="40" operator="equal">
      <formula>"ERROR"</formula>
    </cfRule>
  </conditionalFormatting>
  <conditionalFormatting sqref="C176:I176">
    <cfRule type="cellIs" dxfId="64" priority="38" operator="equal">
      <formula>"OK"</formula>
    </cfRule>
    <cfRule type="expression" dxfId="63" priority="39">
      <formula>$J158="Manual $ Spread"</formula>
    </cfRule>
    <cfRule type="cellIs" dxfId="62" priority="37" operator="equal">
      <formula>"ERROR"</formula>
    </cfRule>
  </conditionalFormatting>
  <conditionalFormatting sqref="C198:I198">
    <cfRule type="expression" dxfId="61" priority="36">
      <formula>$J180="Manual $ Spread"</formula>
    </cfRule>
    <cfRule type="cellIs" dxfId="60" priority="35" operator="equal">
      <formula>"OK"</formula>
    </cfRule>
    <cfRule type="cellIs" dxfId="59" priority="34" operator="equal">
      <formula>"ERROR"</formula>
    </cfRule>
  </conditionalFormatting>
  <conditionalFormatting sqref="C220:I220">
    <cfRule type="cellIs" dxfId="58" priority="31" operator="equal">
      <formula>"ERROR"</formula>
    </cfRule>
    <cfRule type="cellIs" dxfId="57" priority="32" operator="equal">
      <formula>"OK"</formula>
    </cfRule>
    <cfRule type="expression" dxfId="56" priority="33">
      <formula>$J202="Manual $ Spread"</formula>
    </cfRule>
  </conditionalFormatting>
  <conditionalFormatting sqref="L26">
    <cfRule type="expression" dxfId="55" priority="21">
      <formula>#REF!="Manual $ Spread"</formula>
    </cfRule>
    <cfRule type="cellIs" dxfId="54" priority="20" operator="equal">
      <formula>"OK"</formula>
    </cfRule>
    <cfRule type="cellIs" dxfId="53" priority="19" operator="equal">
      <formula>"ERROR"</formula>
    </cfRule>
  </conditionalFormatting>
  <conditionalFormatting sqref="L46">
    <cfRule type="expression" dxfId="52" priority="24">
      <formula>#REF!="Manual $ Spread"</formula>
    </cfRule>
    <cfRule type="cellIs" dxfId="51" priority="23" operator="equal">
      <formula>"OK"</formula>
    </cfRule>
    <cfRule type="cellIs" dxfId="50" priority="22" operator="equal">
      <formula>"ERROR"</formula>
    </cfRule>
  </conditionalFormatting>
  <conditionalFormatting sqref="L66">
    <cfRule type="expression" dxfId="49" priority="27">
      <formula>#REF!="Manual $ Spread"</formula>
    </cfRule>
    <cfRule type="cellIs" dxfId="48" priority="26" operator="equal">
      <formula>"OK"</formula>
    </cfRule>
    <cfRule type="cellIs" dxfId="47" priority="25" operator="equal">
      <formula>"ERROR"</formula>
    </cfRule>
  </conditionalFormatting>
  <conditionalFormatting sqref="L88">
    <cfRule type="expression" dxfId="46" priority="30">
      <formula>$J70="Manual $ Spread"</formula>
    </cfRule>
    <cfRule type="cellIs" dxfId="45" priority="29" operator="equal">
      <formula>"OK"</formula>
    </cfRule>
    <cfRule type="cellIs" dxfId="44" priority="28" operator="equal">
      <formula>"ERROR"</formula>
    </cfRule>
  </conditionalFormatting>
  <conditionalFormatting sqref="L110">
    <cfRule type="expression" dxfId="43" priority="18">
      <formula>$J92="Manual $ Spread"</formula>
    </cfRule>
    <cfRule type="cellIs" dxfId="42" priority="17" operator="equal">
      <formula>"OK"</formula>
    </cfRule>
    <cfRule type="cellIs" dxfId="41" priority="16" operator="equal">
      <formula>"ERROR"</formula>
    </cfRule>
  </conditionalFormatting>
  <conditionalFormatting sqref="L132">
    <cfRule type="expression" dxfId="40" priority="15">
      <formula>$J114="Manual $ Spread"</formula>
    </cfRule>
    <cfRule type="cellIs" dxfId="39" priority="14" operator="equal">
      <formula>"OK"</formula>
    </cfRule>
    <cfRule type="cellIs" dxfId="38" priority="13" operator="equal">
      <formula>"ERROR"</formula>
    </cfRule>
  </conditionalFormatting>
  <conditionalFormatting sqref="L154">
    <cfRule type="expression" dxfId="37" priority="12">
      <formula>$J136="Manual $ Spread"</formula>
    </cfRule>
    <cfRule type="cellIs" dxfId="36" priority="11" operator="equal">
      <formula>"OK"</formula>
    </cfRule>
    <cfRule type="cellIs" dxfId="35" priority="10" operator="equal">
      <formula>"ERROR"</formula>
    </cfRule>
  </conditionalFormatting>
  <conditionalFormatting sqref="L176">
    <cfRule type="cellIs" dxfId="34" priority="8" operator="equal">
      <formula>"OK"</formula>
    </cfRule>
    <cfRule type="expression" dxfId="33" priority="9">
      <formula>$J158="Manual $ Spread"</formula>
    </cfRule>
    <cfRule type="cellIs" dxfId="32" priority="7" operator="equal">
      <formula>"ERROR"</formula>
    </cfRule>
  </conditionalFormatting>
  <conditionalFormatting sqref="L198">
    <cfRule type="expression" dxfId="31" priority="6">
      <formula>$J180="Manual $ Spread"</formula>
    </cfRule>
    <cfRule type="cellIs" dxfId="30" priority="5" operator="equal">
      <formula>"OK"</formula>
    </cfRule>
    <cfRule type="cellIs" dxfId="29" priority="4" operator="equal">
      <formula>"ERROR"</formula>
    </cfRule>
  </conditionalFormatting>
  <conditionalFormatting sqref="L220">
    <cfRule type="cellIs" dxfId="28" priority="2" operator="equal">
      <formula>"OK"</formula>
    </cfRule>
    <cfRule type="expression" dxfId="27" priority="3">
      <formula>$J202="Manual $ Spread"</formula>
    </cfRule>
    <cfRule type="cellIs" dxfId="26" priority="1" operator="equal">
      <formula>"ERROR"</formula>
    </cfRule>
  </conditionalFormatting>
  <pageMargins left="0.7" right="0.7" top="0.75" bottom="0.75" header="0.3" footer="0.3"/>
  <pageSetup orientation="portrait" r:id="rId1"/>
  <headerFooter>
    <oddFooter>&amp;L_x000D_&amp;1#&amp;"Aptos"&amp;10&amp;K000000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69AB-C80D-4E16-B2DB-7762FE2F701D}">
  <sheetPr>
    <tabColor theme="0" tint="-4.9989318521683403E-2"/>
    <pageSetUpPr autoPageBreaks="0"/>
  </sheetPr>
  <dimension ref="A1:E77"/>
  <sheetViews>
    <sheetView showGridLines="0" topLeftCell="XFD1048576" zoomScaleNormal="100" workbookViewId="0">
      <selection activeCell="A2" sqref="A2"/>
    </sheetView>
  </sheetViews>
  <sheetFormatPr defaultColWidth="0" defaultRowHeight="15" customHeight="1" zeroHeight="1" x14ac:dyDescent="0.3"/>
  <cols>
    <col min="1" max="16384" width="7.109375" style="33" hidden="1"/>
  </cols>
  <sheetData>
    <row r="1" spans="1:1" ht="15" hidden="1" customHeight="1" x14ac:dyDescent="0.3">
      <c r="A1" s="58"/>
    </row>
    <row r="77" spans="5:5" ht="15" hidden="1" customHeight="1" x14ac:dyDescent="0.3">
      <c r="E77" s="34"/>
    </row>
  </sheetData>
  <pageMargins left="0.7" right="0.7" top="0.75" bottom="0.75" header="0.3" footer="0.3"/>
  <pageSetup paperSize="9" orientation="portrait" horizontalDpi="300" verticalDpi="300" r:id="rId1"/>
  <headerFooter>
    <oddFooter>&amp;L_x000D_&amp;1#&amp;"Aptos"&amp;10&amp;K000000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DD689-4F88-4953-9535-7B4921415884}">
  <dimension ref="A1:AI117"/>
  <sheetViews>
    <sheetView showGridLines="0" zoomScaleNormal="100" workbookViewId="0"/>
  </sheetViews>
  <sheetFormatPr defaultColWidth="9.109375" defaultRowHeight="16.5" x14ac:dyDescent="0.3"/>
  <cols>
    <col min="1" max="1" width="4.33203125" style="266" customWidth="1"/>
    <col min="2" max="2" width="37.5546875" style="266" customWidth="1"/>
    <col min="3" max="3" width="28.77734375" style="266" customWidth="1"/>
    <col min="4" max="4" width="16.109375" style="266" customWidth="1"/>
    <col min="5" max="12" width="12.33203125" style="266" customWidth="1"/>
    <col min="13" max="15" width="11.44140625" style="266" customWidth="1"/>
    <col min="16" max="16384" width="9.109375" style="266"/>
  </cols>
  <sheetData>
    <row r="1" spans="1:35" s="65" customFormat="1" ht="35.25" customHeight="1" x14ac:dyDescent="0.2">
      <c r="A1" s="66"/>
      <c r="B1" s="93" t="str">
        <f>Overview!$B$1</f>
        <v>Labour and overhead costs for Accelerated Syncons</v>
      </c>
      <c r="C1" s="68"/>
      <c r="D1" s="68"/>
      <c r="E1" s="68"/>
      <c r="F1" s="68"/>
      <c r="G1" s="68"/>
      <c r="H1" s="68"/>
      <c r="I1" s="68"/>
      <c r="J1" s="66"/>
      <c r="K1" s="68"/>
      <c r="L1" s="68"/>
      <c r="M1" s="68"/>
      <c r="N1" s="68"/>
      <c r="O1" s="68"/>
      <c r="P1" s="200"/>
      <c r="Q1" s="200"/>
      <c r="R1" s="200"/>
      <c r="S1" s="200"/>
      <c r="T1" s="200"/>
      <c r="U1" s="200"/>
      <c r="V1" s="201"/>
      <c r="W1" s="200"/>
      <c r="X1" s="202"/>
      <c r="Y1" s="200"/>
      <c r="Z1" s="200"/>
      <c r="AA1" s="200"/>
      <c r="AB1" s="200"/>
      <c r="AC1" s="200"/>
      <c r="AD1" s="200"/>
      <c r="AE1" s="200"/>
      <c r="AF1" s="200"/>
      <c r="AG1" s="200"/>
      <c r="AH1" s="201"/>
      <c r="AI1" s="200"/>
    </row>
    <row r="2" spans="1:35" s="65" customFormat="1" ht="26.25" customHeight="1" x14ac:dyDescent="0.2">
      <c r="A2" s="71"/>
      <c r="B2" s="72" t="s">
        <v>112</v>
      </c>
      <c r="C2" s="71"/>
      <c r="D2" s="71"/>
      <c r="E2" s="71"/>
      <c r="F2" s="71"/>
      <c r="G2" s="71"/>
      <c r="H2" s="71"/>
      <c r="I2" s="71"/>
      <c r="J2" s="71"/>
      <c r="K2" s="71"/>
      <c r="L2" s="71"/>
      <c r="M2" s="71"/>
      <c r="N2" s="71"/>
      <c r="O2" s="71"/>
      <c r="P2" s="203"/>
      <c r="Q2" s="203"/>
      <c r="R2" s="203"/>
      <c r="S2" s="203"/>
      <c r="T2" s="203"/>
      <c r="U2" s="203"/>
      <c r="V2" s="203"/>
      <c r="W2" s="203"/>
      <c r="X2" s="204"/>
      <c r="Y2" s="203"/>
      <c r="Z2" s="203"/>
      <c r="AA2" s="203"/>
      <c r="AB2" s="203"/>
      <c r="AC2" s="203"/>
      <c r="AD2" s="203"/>
      <c r="AE2" s="203"/>
      <c r="AF2" s="203"/>
      <c r="AG2" s="203"/>
      <c r="AH2" s="203"/>
    </row>
    <row r="3" spans="1:35" s="65" customFormat="1" ht="12.75" x14ac:dyDescent="0.2"/>
    <row r="4" spans="1:35" s="65" customFormat="1" ht="12.75" x14ac:dyDescent="0.2">
      <c r="B4" s="76" t="s">
        <v>48</v>
      </c>
      <c r="X4" s="76"/>
    </row>
    <row r="5" spans="1:35" s="65" customFormat="1" ht="15" customHeight="1" x14ac:dyDescent="0.2">
      <c r="B5" s="78" t="s">
        <v>193</v>
      </c>
      <c r="M5" s="78"/>
      <c r="N5" s="78"/>
      <c r="O5" s="78"/>
      <c r="X5" s="78"/>
      <c r="Y5" s="78"/>
      <c r="Z5" s="78"/>
    </row>
    <row r="6" spans="1:35" s="65" customFormat="1" ht="12.75" x14ac:dyDescent="0.2">
      <c r="C6" s="78"/>
      <c r="Y6" s="78"/>
      <c r="Z6" s="78"/>
      <c r="AA6" s="78"/>
    </row>
    <row r="7" spans="1:35" s="91" customFormat="1" ht="12.75" x14ac:dyDescent="0.2">
      <c r="M7" s="65"/>
      <c r="N7" s="65"/>
      <c r="O7" s="65"/>
    </row>
    <row r="8" spans="1:35" s="65" customFormat="1" ht="12.75" x14ac:dyDescent="0.2">
      <c r="B8" s="118" t="s">
        <v>194</v>
      </c>
      <c r="C8" s="118"/>
      <c r="D8" s="118"/>
      <c r="E8" s="118"/>
      <c r="F8" s="118"/>
      <c r="G8" s="118"/>
      <c r="H8" s="118"/>
      <c r="I8" s="118"/>
      <c r="J8" s="118"/>
      <c r="K8" s="118"/>
      <c r="L8" s="118"/>
      <c r="M8" s="118"/>
      <c r="N8" s="118"/>
      <c r="O8" s="118"/>
    </row>
    <row r="9" spans="1:35" s="65" customFormat="1" ht="12.75" x14ac:dyDescent="0.2"/>
    <row r="10" spans="1:35" s="65" customFormat="1" ht="12.75" x14ac:dyDescent="0.2">
      <c r="B10" s="271"/>
      <c r="C10" s="271"/>
      <c r="D10" s="279" t="s">
        <v>195</v>
      </c>
      <c r="E10" s="279"/>
      <c r="F10" s="279"/>
      <c r="G10" s="279"/>
      <c r="H10" s="279"/>
      <c r="I10" s="279"/>
      <c r="J10" s="279"/>
      <c r="K10" s="279"/>
    </row>
    <row r="11" spans="1:35" x14ac:dyDescent="0.3">
      <c r="B11" s="276" t="s">
        <v>196</v>
      </c>
      <c r="C11" s="276" t="s">
        <v>51</v>
      </c>
      <c r="D11" s="271" t="s">
        <v>197</v>
      </c>
      <c r="E11" s="271" t="s">
        <v>198</v>
      </c>
      <c r="F11" s="271" t="s">
        <v>199</v>
      </c>
      <c r="G11" s="271" t="s">
        <v>200</v>
      </c>
      <c r="H11" s="271" t="s">
        <v>201</v>
      </c>
      <c r="I11" s="271" t="s">
        <v>202</v>
      </c>
      <c r="J11" s="271" t="s">
        <v>203</v>
      </c>
      <c r="K11" s="271" t="s">
        <v>204</v>
      </c>
    </row>
    <row r="12" spans="1:35" x14ac:dyDescent="0.3">
      <c r="D12" s="268"/>
      <c r="E12" s="268"/>
      <c r="F12" s="268"/>
      <c r="G12" s="268"/>
      <c r="H12" s="268"/>
    </row>
    <row r="13" spans="1:35" x14ac:dyDescent="0.3">
      <c r="B13" s="274" t="s">
        <v>205</v>
      </c>
      <c r="C13" s="274" t="s">
        <v>206</v>
      </c>
      <c r="D13" s="278">
        <v>0</v>
      </c>
      <c r="E13" s="278">
        <v>0</v>
      </c>
      <c r="F13" s="278">
        <v>0</v>
      </c>
      <c r="G13" s="278">
        <v>0</v>
      </c>
      <c r="H13" s="278">
        <v>0</v>
      </c>
      <c r="I13" s="278">
        <v>0</v>
      </c>
      <c r="J13" s="278"/>
      <c r="K13" s="278"/>
    </row>
    <row r="14" spans="1:35" x14ac:dyDescent="0.3">
      <c r="B14" s="274" t="s">
        <v>205</v>
      </c>
      <c r="C14" s="274" t="s">
        <v>207</v>
      </c>
      <c r="D14" s="277">
        <v>16</v>
      </c>
      <c r="E14" s="277">
        <v>25</v>
      </c>
      <c r="F14" s="277">
        <v>7.5</v>
      </c>
      <c r="G14" s="277">
        <v>5</v>
      </c>
      <c r="H14" s="277">
        <v>16</v>
      </c>
      <c r="I14" s="277">
        <v>2.5</v>
      </c>
      <c r="J14" s="277"/>
      <c r="K14" s="277"/>
    </row>
    <row r="15" spans="1:35" x14ac:dyDescent="0.3">
      <c r="B15" s="274" t="s">
        <v>205</v>
      </c>
      <c r="C15" s="274" t="s">
        <v>208</v>
      </c>
      <c r="D15" s="145">
        <f t="shared" ref="D15:K15" si="0">D13*D14</f>
        <v>0</v>
      </c>
      <c r="E15" s="145">
        <f t="shared" si="0"/>
        <v>0</v>
      </c>
      <c r="F15" s="145">
        <f t="shared" si="0"/>
        <v>0</v>
      </c>
      <c r="G15" s="145">
        <f t="shared" si="0"/>
        <v>0</v>
      </c>
      <c r="H15" s="145">
        <f t="shared" si="0"/>
        <v>0</v>
      </c>
      <c r="I15" s="145">
        <f t="shared" si="0"/>
        <v>0</v>
      </c>
      <c r="J15" s="145">
        <f t="shared" si="0"/>
        <v>0</v>
      </c>
      <c r="K15" s="145">
        <f t="shared" si="0"/>
        <v>0</v>
      </c>
    </row>
    <row r="16" spans="1:35" ht="15.75" customHeight="1" x14ac:dyDescent="0.3">
      <c r="B16" s="274" t="s">
        <v>205</v>
      </c>
      <c r="C16" s="274" t="s">
        <v>209</v>
      </c>
      <c r="D16" s="277">
        <v>5</v>
      </c>
      <c r="E16" s="277">
        <v>5</v>
      </c>
      <c r="F16" s="277">
        <v>5</v>
      </c>
      <c r="G16" s="277">
        <v>5</v>
      </c>
      <c r="H16" s="277">
        <v>5</v>
      </c>
      <c r="I16" s="277">
        <v>1</v>
      </c>
      <c r="J16" s="277"/>
      <c r="K16" s="277"/>
    </row>
    <row r="17" spans="2:11" x14ac:dyDescent="0.3">
      <c r="B17" s="274" t="s">
        <v>205</v>
      </c>
      <c r="C17" s="274" t="s">
        <v>210</v>
      </c>
      <c r="D17" s="278">
        <v>160</v>
      </c>
      <c r="E17" s="278">
        <v>160</v>
      </c>
      <c r="F17" s="278">
        <v>160</v>
      </c>
      <c r="G17" s="278">
        <v>160</v>
      </c>
      <c r="H17" s="278">
        <v>160</v>
      </c>
      <c r="I17" s="278">
        <v>500</v>
      </c>
      <c r="J17" s="278"/>
      <c r="K17" s="278"/>
    </row>
    <row r="18" spans="2:11" x14ac:dyDescent="0.3">
      <c r="B18" s="274" t="s">
        <v>205</v>
      </c>
      <c r="C18" s="274" t="s">
        <v>211</v>
      </c>
      <c r="D18" s="278">
        <v>0</v>
      </c>
      <c r="E18" s="278">
        <v>0</v>
      </c>
      <c r="F18" s="278">
        <v>0</v>
      </c>
      <c r="G18" s="278">
        <v>0</v>
      </c>
      <c r="H18" s="278">
        <v>0</v>
      </c>
      <c r="I18" s="278">
        <v>0</v>
      </c>
      <c r="J18" s="278"/>
      <c r="K18" s="278"/>
    </row>
    <row r="19" spans="2:11" x14ac:dyDescent="0.3">
      <c r="B19" s="274" t="s">
        <v>205</v>
      </c>
      <c r="C19" s="274" t="s">
        <v>212</v>
      </c>
      <c r="D19" s="145">
        <f t="shared" ref="D19:K19" si="1">D16*(D17+D18)</f>
        <v>800</v>
      </c>
      <c r="E19" s="145">
        <f t="shared" si="1"/>
        <v>800</v>
      </c>
      <c r="F19" s="145">
        <f t="shared" si="1"/>
        <v>800</v>
      </c>
      <c r="G19" s="145">
        <f t="shared" si="1"/>
        <v>800</v>
      </c>
      <c r="H19" s="145">
        <f t="shared" si="1"/>
        <v>800</v>
      </c>
      <c r="I19" s="145">
        <f t="shared" si="1"/>
        <v>500</v>
      </c>
      <c r="J19" s="145">
        <f t="shared" si="1"/>
        <v>0</v>
      </c>
      <c r="K19" s="145">
        <f t="shared" si="1"/>
        <v>0</v>
      </c>
    </row>
    <row r="20" spans="2:11" x14ac:dyDescent="0.3">
      <c r="B20" s="274" t="s">
        <v>205</v>
      </c>
      <c r="C20" s="274" t="s">
        <v>213</v>
      </c>
      <c r="D20" s="145">
        <f t="shared" ref="D20:K20" si="2">D15+D19</f>
        <v>800</v>
      </c>
      <c r="E20" s="145">
        <f t="shared" si="2"/>
        <v>800</v>
      </c>
      <c r="F20" s="145">
        <f t="shared" si="2"/>
        <v>800</v>
      </c>
      <c r="G20" s="145">
        <f t="shared" si="2"/>
        <v>800</v>
      </c>
      <c r="H20" s="145">
        <f t="shared" si="2"/>
        <v>800</v>
      </c>
      <c r="I20" s="145">
        <f t="shared" si="2"/>
        <v>500</v>
      </c>
      <c r="J20" s="145">
        <f t="shared" si="2"/>
        <v>0</v>
      </c>
      <c r="K20" s="145">
        <f t="shared" si="2"/>
        <v>0</v>
      </c>
    </row>
    <row r="21" spans="2:11" x14ac:dyDescent="0.3">
      <c r="D21" s="268"/>
      <c r="E21" s="268"/>
      <c r="F21" s="268"/>
      <c r="G21" s="268"/>
      <c r="H21" s="268"/>
    </row>
    <row r="22" spans="2:11" x14ac:dyDescent="0.3">
      <c r="B22" s="274" t="s">
        <v>214</v>
      </c>
      <c r="C22" s="274" t="s">
        <v>206</v>
      </c>
      <c r="D22" s="278">
        <v>311</v>
      </c>
      <c r="E22" s="278">
        <v>311</v>
      </c>
      <c r="F22" s="278">
        <v>311</v>
      </c>
      <c r="G22" s="278">
        <v>311</v>
      </c>
      <c r="H22" s="278">
        <v>311</v>
      </c>
      <c r="I22" s="278"/>
      <c r="J22" s="278"/>
      <c r="K22" s="278"/>
    </row>
    <row r="23" spans="2:11" x14ac:dyDescent="0.3">
      <c r="B23" s="274" t="s">
        <v>214</v>
      </c>
      <c r="C23" s="274" t="s">
        <v>207</v>
      </c>
      <c r="D23" s="277">
        <v>17.922705314009661</v>
      </c>
      <c r="E23" s="277">
        <v>27.626016260162601</v>
      </c>
      <c r="F23" s="277">
        <v>7.413145539906103</v>
      </c>
      <c r="G23" s="277">
        <v>7.0100502512562812</v>
      </c>
      <c r="H23" s="277">
        <v>15.264705882352942</v>
      </c>
      <c r="I23" s="277"/>
      <c r="J23" s="277"/>
      <c r="K23" s="277"/>
    </row>
    <row r="24" spans="2:11" x14ac:dyDescent="0.3">
      <c r="B24" s="274" t="s">
        <v>214</v>
      </c>
      <c r="C24" s="274" t="s">
        <v>208</v>
      </c>
      <c r="D24" s="145">
        <f t="shared" ref="D24:K24" si="3">D22*D23</f>
        <v>5573.9613526570047</v>
      </c>
      <c r="E24" s="145">
        <f t="shared" si="3"/>
        <v>8591.6910569105694</v>
      </c>
      <c r="F24" s="145">
        <f t="shared" si="3"/>
        <v>2305.4882629107979</v>
      </c>
      <c r="G24" s="145">
        <f t="shared" si="3"/>
        <v>2180.1256281407036</v>
      </c>
      <c r="H24" s="145">
        <f t="shared" si="3"/>
        <v>4747.3235294117649</v>
      </c>
      <c r="I24" s="145">
        <f t="shared" si="3"/>
        <v>0</v>
      </c>
      <c r="J24" s="145">
        <f t="shared" si="3"/>
        <v>0</v>
      </c>
      <c r="K24" s="145">
        <f t="shared" si="3"/>
        <v>0</v>
      </c>
    </row>
    <row r="25" spans="2:11" ht="15.75" customHeight="1" x14ac:dyDescent="0.3">
      <c r="B25" s="274" t="s">
        <v>214</v>
      </c>
      <c r="C25" s="274" t="s">
        <v>209</v>
      </c>
      <c r="D25" s="277">
        <v>6.9227053140096615</v>
      </c>
      <c r="E25" s="277">
        <v>7.6260162601626016</v>
      </c>
      <c r="F25" s="277">
        <v>7.009389671361502</v>
      </c>
      <c r="G25" s="277">
        <v>7.0100502512562812</v>
      </c>
      <c r="H25" s="277">
        <v>7.5248868778280542</v>
      </c>
      <c r="I25" s="277"/>
      <c r="J25" s="277"/>
      <c r="K25" s="277"/>
    </row>
    <row r="26" spans="2:11" x14ac:dyDescent="0.3">
      <c r="B26" s="274" t="s">
        <v>214</v>
      </c>
      <c r="C26" s="274" t="s">
        <v>215</v>
      </c>
      <c r="D26" s="278">
        <v>262.10000000000002</v>
      </c>
      <c r="E26" s="278">
        <v>262.10000000000002</v>
      </c>
      <c r="F26" s="278">
        <v>262.10000000000002</v>
      </c>
      <c r="G26" s="278">
        <v>37.5</v>
      </c>
      <c r="H26" s="278">
        <v>262.10000000000002</v>
      </c>
      <c r="I26" s="278"/>
      <c r="J26" s="278"/>
      <c r="K26" s="278"/>
    </row>
    <row r="27" spans="2:11" x14ac:dyDescent="0.3">
      <c r="B27" s="274" t="s">
        <v>214</v>
      </c>
      <c r="C27" s="274" t="s">
        <v>211</v>
      </c>
      <c r="D27" s="278">
        <v>0</v>
      </c>
      <c r="E27" s="278">
        <v>0</v>
      </c>
      <c r="F27" s="278">
        <v>0</v>
      </c>
      <c r="G27" s="278">
        <v>0</v>
      </c>
      <c r="H27" s="278">
        <v>0</v>
      </c>
      <c r="I27" s="278"/>
      <c r="J27" s="278"/>
      <c r="K27" s="278"/>
    </row>
    <row r="28" spans="2:11" x14ac:dyDescent="0.3">
      <c r="B28" s="274" t="s">
        <v>214</v>
      </c>
      <c r="C28" s="274" t="s">
        <v>212</v>
      </c>
      <c r="D28" s="145">
        <f t="shared" ref="D28:K28" si="4">D25*(D26+D27)</f>
        <v>1814.4410628019325</v>
      </c>
      <c r="E28" s="145">
        <f t="shared" si="4"/>
        <v>1998.7788617886181</v>
      </c>
      <c r="F28" s="145">
        <f t="shared" si="4"/>
        <v>1837.1610328638499</v>
      </c>
      <c r="G28" s="145">
        <f t="shared" si="4"/>
        <v>262.87688442211055</v>
      </c>
      <c r="H28" s="145">
        <f t="shared" si="4"/>
        <v>1972.2728506787332</v>
      </c>
      <c r="I28" s="145">
        <f t="shared" si="4"/>
        <v>0</v>
      </c>
      <c r="J28" s="145">
        <f t="shared" si="4"/>
        <v>0</v>
      </c>
      <c r="K28" s="145">
        <f t="shared" si="4"/>
        <v>0</v>
      </c>
    </row>
    <row r="29" spans="2:11" x14ac:dyDescent="0.3">
      <c r="B29" s="274" t="s">
        <v>214</v>
      </c>
      <c r="C29" s="274" t="s">
        <v>213</v>
      </c>
      <c r="D29" s="145">
        <f t="shared" ref="D29:K29" si="5">D24+D28</f>
        <v>7388.402415458937</v>
      </c>
      <c r="E29" s="145">
        <f t="shared" si="5"/>
        <v>10590.469918699187</v>
      </c>
      <c r="F29" s="145">
        <f t="shared" si="5"/>
        <v>4142.6492957746477</v>
      </c>
      <c r="G29" s="145">
        <f t="shared" si="5"/>
        <v>2443.002512562814</v>
      </c>
      <c r="H29" s="145">
        <f t="shared" si="5"/>
        <v>6719.5963800904983</v>
      </c>
      <c r="I29" s="145">
        <f t="shared" si="5"/>
        <v>0</v>
      </c>
      <c r="J29" s="145">
        <f t="shared" si="5"/>
        <v>0</v>
      </c>
      <c r="K29" s="145">
        <f t="shared" si="5"/>
        <v>0</v>
      </c>
    </row>
    <row r="30" spans="2:11" x14ac:dyDescent="0.3">
      <c r="D30" s="268"/>
      <c r="E30" s="268"/>
      <c r="F30" s="268"/>
      <c r="G30" s="268"/>
      <c r="H30" s="268"/>
    </row>
    <row r="31" spans="2:11" x14ac:dyDescent="0.3">
      <c r="B31" s="274" t="s">
        <v>216</v>
      </c>
      <c r="C31" s="274" t="s">
        <v>206</v>
      </c>
      <c r="D31" s="278">
        <v>260</v>
      </c>
      <c r="E31" s="278">
        <v>260</v>
      </c>
      <c r="F31" s="278">
        <v>260</v>
      </c>
      <c r="G31" s="278">
        <v>260</v>
      </c>
      <c r="H31" s="278">
        <v>260</v>
      </c>
      <c r="I31" s="278"/>
      <c r="J31" s="278"/>
      <c r="K31" s="278"/>
    </row>
    <row r="32" spans="2:11" x14ac:dyDescent="0.3">
      <c r="B32" s="274" t="s">
        <v>216</v>
      </c>
      <c r="C32" s="274" t="s">
        <v>207</v>
      </c>
      <c r="D32" s="277">
        <v>20.661538461538463</v>
      </c>
      <c r="E32" s="277">
        <v>29.611650485436893</v>
      </c>
      <c r="F32" s="277">
        <v>7.5</v>
      </c>
      <c r="G32" s="277">
        <v>9.6610169491525415</v>
      </c>
      <c r="H32" s="277">
        <v>15.530701754385966</v>
      </c>
      <c r="I32" s="277"/>
      <c r="J32" s="277"/>
      <c r="K32" s="277"/>
    </row>
    <row r="33" spans="2:11" x14ac:dyDescent="0.3">
      <c r="B33" s="274" t="s">
        <v>216</v>
      </c>
      <c r="C33" s="274" t="s">
        <v>208</v>
      </c>
      <c r="D33" s="145">
        <f t="shared" ref="D33:K33" si="6">D31*D32</f>
        <v>5372</v>
      </c>
      <c r="E33" s="145">
        <f t="shared" si="6"/>
        <v>7699.0291262135925</v>
      </c>
      <c r="F33" s="145">
        <f t="shared" si="6"/>
        <v>1950</v>
      </c>
      <c r="G33" s="145">
        <f t="shared" si="6"/>
        <v>2511.8644067796608</v>
      </c>
      <c r="H33" s="145">
        <f t="shared" si="6"/>
        <v>4037.9824561403511</v>
      </c>
      <c r="I33" s="145">
        <f t="shared" si="6"/>
        <v>0</v>
      </c>
      <c r="J33" s="145">
        <f t="shared" si="6"/>
        <v>0</v>
      </c>
      <c r="K33" s="145">
        <f t="shared" si="6"/>
        <v>0</v>
      </c>
    </row>
    <row r="34" spans="2:11" ht="15.75" customHeight="1" x14ac:dyDescent="0.3">
      <c r="B34" s="274" t="s">
        <v>216</v>
      </c>
      <c r="C34" s="274" t="s">
        <v>217</v>
      </c>
      <c r="D34" s="277">
        <v>9.661538461538461</v>
      </c>
      <c r="E34" s="277">
        <v>9.6116504854368934</v>
      </c>
      <c r="F34" s="277">
        <v>9.6850393700787407</v>
      </c>
      <c r="G34" s="277">
        <v>9.6610169491525415</v>
      </c>
      <c r="H34" s="277">
        <v>9.692982456140351</v>
      </c>
      <c r="I34" s="277"/>
      <c r="J34" s="277"/>
      <c r="K34" s="277"/>
    </row>
    <row r="35" spans="2:11" x14ac:dyDescent="0.3">
      <c r="B35" s="274" t="s">
        <v>216</v>
      </c>
      <c r="C35" s="274" t="s">
        <v>215</v>
      </c>
      <c r="D35" s="278">
        <v>262.10000000000002</v>
      </c>
      <c r="E35" s="278">
        <v>262.10000000000002</v>
      </c>
      <c r="F35" s="278">
        <v>262.10000000000002</v>
      </c>
      <c r="G35" s="278">
        <v>37.5</v>
      </c>
      <c r="H35" s="278">
        <v>262.10000000000002</v>
      </c>
      <c r="I35" s="278"/>
      <c r="J35" s="278"/>
      <c r="K35" s="278"/>
    </row>
    <row r="36" spans="2:11" x14ac:dyDescent="0.3">
      <c r="B36" s="274" t="s">
        <v>216</v>
      </c>
      <c r="C36" s="274" t="s">
        <v>211</v>
      </c>
      <c r="D36" s="278">
        <v>0</v>
      </c>
      <c r="E36" s="278">
        <v>0</v>
      </c>
      <c r="F36" s="278">
        <v>0</v>
      </c>
      <c r="G36" s="278">
        <v>0</v>
      </c>
      <c r="H36" s="278">
        <v>0</v>
      </c>
      <c r="I36" s="278"/>
      <c r="J36" s="278"/>
      <c r="K36" s="278"/>
    </row>
    <row r="37" spans="2:11" x14ac:dyDescent="0.3">
      <c r="B37" s="274" t="s">
        <v>216</v>
      </c>
      <c r="C37" s="274" t="s">
        <v>212</v>
      </c>
      <c r="D37" s="145">
        <f t="shared" ref="D37:K37" si="7">D34*(D35+D36)</f>
        <v>2532.2892307692309</v>
      </c>
      <c r="E37" s="145">
        <f t="shared" si="7"/>
        <v>2519.2135922330099</v>
      </c>
      <c r="F37" s="145">
        <f t="shared" si="7"/>
        <v>2538.4488188976384</v>
      </c>
      <c r="G37" s="145">
        <f t="shared" si="7"/>
        <v>362.28813559322032</v>
      </c>
      <c r="H37" s="145">
        <f t="shared" si="7"/>
        <v>2540.5307017543864</v>
      </c>
      <c r="I37" s="145">
        <f t="shared" si="7"/>
        <v>0</v>
      </c>
      <c r="J37" s="145">
        <f t="shared" si="7"/>
        <v>0</v>
      </c>
      <c r="K37" s="145">
        <f t="shared" si="7"/>
        <v>0</v>
      </c>
    </row>
    <row r="38" spans="2:11" x14ac:dyDescent="0.3">
      <c r="B38" s="274" t="s">
        <v>216</v>
      </c>
      <c r="C38" s="274" t="s">
        <v>213</v>
      </c>
      <c r="D38" s="145">
        <f t="shared" ref="D38:K38" si="8">D33+D37</f>
        <v>7904.2892307692309</v>
      </c>
      <c r="E38" s="145">
        <f t="shared" si="8"/>
        <v>10218.242718446603</v>
      </c>
      <c r="F38" s="145">
        <f t="shared" si="8"/>
        <v>4488.4488188976384</v>
      </c>
      <c r="G38" s="145">
        <f t="shared" si="8"/>
        <v>2874.1525423728813</v>
      </c>
      <c r="H38" s="145">
        <f t="shared" si="8"/>
        <v>6578.5131578947376</v>
      </c>
      <c r="I38" s="145">
        <f t="shared" si="8"/>
        <v>0</v>
      </c>
      <c r="J38" s="145">
        <f t="shared" si="8"/>
        <v>0</v>
      </c>
      <c r="K38" s="145">
        <f t="shared" si="8"/>
        <v>0</v>
      </c>
    </row>
    <row r="40" spans="2:11" x14ac:dyDescent="0.3">
      <c r="B40" s="274" t="s">
        <v>218</v>
      </c>
      <c r="C40" s="274" t="s">
        <v>206</v>
      </c>
      <c r="D40" s="278"/>
      <c r="E40" s="278"/>
      <c r="F40" s="278"/>
      <c r="G40" s="278"/>
      <c r="H40" s="278"/>
      <c r="I40" s="278"/>
      <c r="J40" s="278"/>
      <c r="K40" s="278"/>
    </row>
    <row r="41" spans="2:11" x14ac:dyDescent="0.3">
      <c r="B41" s="274" t="s">
        <v>218</v>
      </c>
      <c r="C41" s="274" t="s">
        <v>207</v>
      </c>
      <c r="D41" s="277"/>
      <c r="E41" s="277"/>
      <c r="F41" s="277"/>
      <c r="G41" s="277"/>
      <c r="H41" s="277"/>
      <c r="I41" s="277"/>
      <c r="J41" s="277"/>
      <c r="K41" s="277"/>
    </row>
    <row r="42" spans="2:11" x14ac:dyDescent="0.3">
      <c r="B42" s="274" t="s">
        <v>218</v>
      </c>
      <c r="C42" s="274" t="s">
        <v>208</v>
      </c>
      <c r="D42" s="145">
        <f t="shared" ref="D42:K42" si="9">D40*D41</f>
        <v>0</v>
      </c>
      <c r="E42" s="145">
        <f t="shared" si="9"/>
        <v>0</v>
      </c>
      <c r="F42" s="145">
        <f t="shared" si="9"/>
        <v>0</v>
      </c>
      <c r="G42" s="145">
        <f t="shared" si="9"/>
        <v>0</v>
      </c>
      <c r="H42" s="145">
        <f t="shared" si="9"/>
        <v>0</v>
      </c>
      <c r="I42" s="145">
        <f t="shared" si="9"/>
        <v>0</v>
      </c>
      <c r="J42" s="145">
        <f t="shared" si="9"/>
        <v>0</v>
      </c>
      <c r="K42" s="145">
        <f t="shared" si="9"/>
        <v>0</v>
      </c>
    </row>
    <row r="43" spans="2:11" ht="17.100000000000001" customHeight="1" x14ac:dyDescent="0.3">
      <c r="B43" s="274" t="s">
        <v>218</v>
      </c>
      <c r="C43" s="274" t="s">
        <v>219</v>
      </c>
      <c r="D43" s="277"/>
      <c r="E43" s="277"/>
      <c r="F43" s="277"/>
      <c r="G43" s="277"/>
      <c r="H43" s="277"/>
      <c r="I43" s="277"/>
      <c r="J43" s="277">
        <v>6</v>
      </c>
      <c r="K43" s="277">
        <v>6</v>
      </c>
    </row>
    <row r="44" spans="2:11" x14ac:dyDescent="0.3">
      <c r="B44" s="274" t="s">
        <v>218</v>
      </c>
      <c r="C44" s="274" t="s">
        <v>220</v>
      </c>
      <c r="D44" s="278"/>
      <c r="E44" s="278"/>
      <c r="F44" s="278"/>
      <c r="G44" s="278"/>
      <c r="H44" s="278"/>
      <c r="I44" s="278"/>
      <c r="J44" s="278">
        <v>2050</v>
      </c>
      <c r="K44" s="278">
        <f>12000/6</f>
        <v>2000</v>
      </c>
    </row>
    <row r="45" spans="2:11" x14ac:dyDescent="0.3">
      <c r="B45" s="274" t="s">
        <v>218</v>
      </c>
      <c r="C45" s="274" t="s">
        <v>221</v>
      </c>
      <c r="D45" s="278"/>
      <c r="E45" s="278"/>
      <c r="F45" s="278"/>
      <c r="G45" s="278"/>
      <c r="H45" s="278"/>
      <c r="I45" s="278"/>
      <c r="J45" s="278">
        <f>6*500</f>
        <v>3000</v>
      </c>
      <c r="K45" s="278">
        <f>6*500</f>
        <v>3000</v>
      </c>
    </row>
    <row r="46" spans="2:11" x14ac:dyDescent="0.3">
      <c r="B46" s="274" t="s">
        <v>218</v>
      </c>
      <c r="C46" s="274" t="s">
        <v>222</v>
      </c>
      <c r="D46" s="278"/>
      <c r="E46" s="278"/>
      <c r="F46" s="278"/>
      <c r="G46" s="278"/>
      <c r="H46" s="278"/>
      <c r="I46" s="278"/>
      <c r="J46" s="278">
        <v>26200</v>
      </c>
      <c r="K46" s="278">
        <v>20000</v>
      </c>
    </row>
    <row r="47" spans="2:11" x14ac:dyDescent="0.3">
      <c r="B47" s="274" t="s">
        <v>218</v>
      </c>
      <c r="C47" s="274" t="s">
        <v>212</v>
      </c>
      <c r="D47" s="145">
        <f>SUM(D44:D46)</f>
        <v>0</v>
      </c>
      <c r="E47" s="145">
        <f t="shared" ref="E47:K47" si="10">SUM(E44:E46)</f>
        <v>0</v>
      </c>
      <c r="F47" s="145">
        <f t="shared" si="10"/>
        <v>0</v>
      </c>
      <c r="G47" s="145">
        <f t="shared" si="10"/>
        <v>0</v>
      </c>
      <c r="H47" s="145">
        <f t="shared" si="10"/>
        <v>0</v>
      </c>
      <c r="I47" s="145">
        <f t="shared" si="10"/>
        <v>0</v>
      </c>
      <c r="J47" s="145">
        <f t="shared" si="10"/>
        <v>31250</v>
      </c>
      <c r="K47" s="145">
        <f t="shared" si="10"/>
        <v>25000</v>
      </c>
    </row>
    <row r="48" spans="2:11" x14ac:dyDescent="0.3">
      <c r="B48" s="274" t="s">
        <v>218</v>
      </c>
      <c r="C48" s="274" t="s">
        <v>213</v>
      </c>
      <c r="D48" s="145">
        <f t="shared" ref="D48:K48" si="11">D42+D47</f>
        <v>0</v>
      </c>
      <c r="E48" s="145">
        <f t="shared" si="11"/>
        <v>0</v>
      </c>
      <c r="F48" s="145">
        <f t="shared" si="11"/>
        <v>0</v>
      </c>
      <c r="G48" s="145">
        <f t="shared" si="11"/>
        <v>0</v>
      </c>
      <c r="H48" s="145">
        <f t="shared" si="11"/>
        <v>0</v>
      </c>
      <c r="I48" s="145">
        <f t="shared" si="11"/>
        <v>0</v>
      </c>
      <c r="J48" s="145">
        <f t="shared" si="11"/>
        <v>31250</v>
      </c>
      <c r="K48" s="145">
        <f t="shared" si="11"/>
        <v>25000</v>
      </c>
    </row>
    <row r="49" spans="2:15" x14ac:dyDescent="0.3">
      <c r="J49" s="280"/>
      <c r="K49" s="267"/>
    </row>
    <row r="50" spans="2:15" s="65" customFormat="1" ht="12.75" x14ac:dyDescent="0.2">
      <c r="B50" s="118" t="s">
        <v>223</v>
      </c>
      <c r="C50" s="118"/>
      <c r="D50" s="118"/>
      <c r="E50" s="118"/>
      <c r="F50" s="118"/>
      <c r="G50" s="118"/>
      <c r="H50" s="118"/>
      <c r="I50" s="118"/>
      <c r="J50" s="118"/>
      <c r="K50" s="118"/>
      <c r="L50" s="118"/>
      <c r="M50" s="118"/>
      <c r="N50" s="118"/>
      <c r="O50" s="118"/>
    </row>
    <row r="51" spans="2:15" s="65" customFormat="1" ht="12.75" x14ac:dyDescent="0.2"/>
    <row r="52" spans="2:15" s="65" customFormat="1" ht="12.75" x14ac:dyDescent="0.2">
      <c r="B52" s="279"/>
      <c r="C52" s="279"/>
      <c r="D52" s="279"/>
      <c r="E52" s="279" t="s">
        <v>224</v>
      </c>
      <c r="F52" s="279"/>
      <c r="G52" s="279"/>
      <c r="H52" s="279"/>
      <c r="I52" s="279"/>
      <c r="N52" s="279"/>
    </row>
    <row r="53" spans="2:15" ht="25.5" x14ac:dyDescent="0.3">
      <c r="B53" s="150" t="s">
        <v>225</v>
      </c>
      <c r="C53" s="150" t="s">
        <v>195</v>
      </c>
      <c r="D53" s="271" t="s">
        <v>226</v>
      </c>
      <c r="E53" s="271" t="str">
        <f>'Key assumptions'!H$16</f>
        <v>RY2026
01Feb-30Sep</v>
      </c>
      <c r="F53" s="271" t="str">
        <f>'Key assumptions'!I$16</f>
        <v>RY2027</v>
      </c>
      <c r="G53" s="271" t="str">
        <f>'Key assumptions'!J$16</f>
        <v>RY2028</v>
      </c>
      <c r="H53" s="271" t="str">
        <f>'Key assumptions'!K$16</f>
        <v>RY2029</v>
      </c>
      <c r="I53" s="271" t="s">
        <v>133</v>
      </c>
      <c r="N53" s="271" t="s">
        <v>254</v>
      </c>
    </row>
    <row r="54" spans="2:15" x14ac:dyDescent="0.3">
      <c r="B54" s="274" t="s">
        <v>205</v>
      </c>
      <c r="C54" s="274" t="s">
        <v>202</v>
      </c>
      <c r="D54" s="145" cm="1">
        <f t="array" ref="D54">_xlfn.XLOOKUP($B54&amp;"|"&amp;"Cost per trip per staff",
         $B$13:$B$48&amp;"|"&amp;$C$13:$C$48,
         _xlfn.XLOOKUP($C54,$D$11:$K$11,$D$13:$K$48))</f>
        <v>500</v>
      </c>
      <c r="E54" s="272">
        <v>216</v>
      </c>
      <c r="F54" s="272">
        <v>348</v>
      </c>
      <c r="G54" s="272">
        <v>348</v>
      </c>
      <c r="H54" s="272">
        <v>145</v>
      </c>
      <c r="I54" s="272">
        <f>SUM(E54:H54)</f>
        <v>1057</v>
      </c>
      <c r="N54" s="272">
        <f t="shared" ref="N54:N71" si="12">E54*(150/242)</f>
        <v>133.88429752066116</v>
      </c>
    </row>
    <row r="55" spans="2:15" x14ac:dyDescent="0.3">
      <c r="B55" s="274" t="s">
        <v>205</v>
      </c>
      <c r="C55" s="274" t="s">
        <v>200</v>
      </c>
      <c r="D55" s="145" cm="1">
        <f t="array" ref="D55">_xlfn.XLOOKUP($B55&amp;"|"&amp;"Cost per trip per staff",
         $B$13:$B$48&amp;"|"&amp;$C$13:$C$48,
         _xlfn.XLOOKUP($C55,$D$11:$K$11,$D$13:$K$48))</f>
        <v>800</v>
      </c>
      <c r="E55" s="272">
        <v>40</v>
      </c>
      <c r="F55" s="272">
        <v>66</v>
      </c>
      <c r="G55" s="272">
        <v>66</v>
      </c>
      <c r="H55" s="272">
        <v>27.5</v>
      </c>
      <c r="I55" s="272">
        <f t="shared" ref="I55:I71" si="13">SUM(E55:H55)</f>
        <v>199.5</v>
      </c>
      <c r="N55" s="272">
        <f t="shared" si="12"/>
        <v>24.793388429752067</v>
      </c>
    </row>
    <row r="56" spans="2:15" x14ac:dyDescent="0.3">
      <c r="B56" s="274" t="s">
        <v>205</v>
      </c>
      <c r="C56" s="274" t="s">
        <v>197</v>
      </c>
      <c r="D56" s="145" cm="1">
        <f t="array" ref="D56">_xlfn.XLOOKUP($B56&amp;"|"&amp;"Cost per trip per staff",
         $B$13:$B$48&amp;"|"&amp;$C$13:$C$48,
         _xlfn.XLOOKUP($C56,$D$11:$K$11,$D$13:$K$48))</f>
        <v>800</v>
      </c>
      <c r="E56" s="272">
        <v>40</v>
      </c>
      <c r="F56" s="272">
        <v>66</v>
      </c>
      <c r="G56" s="272">
        <v>66</v>
      </c>
      <c r="H56" s="272">
        <v>27.5</v>
      </c>
      <c r="I56" s="272">
        <f t="shared" si="13"/>
        <v>199.5</v>
      </c>
      <c r="N56" s="272">
        <f t="shared" si="12"/>
        <v>24.793388429752067</v>
      </c>
    </row>
    <row r="57" spans="2:15" x14ac:dyDescent="0.3">
      <c r="B57" s="274" t="s">
        <v>205</v>
      </c>
      <c r="C57" s="274" t="s">
        <v>199</v>
      </c>
      <c r="D57" s="145" cm="1">
        <f t="array" ref="D57">_xlfn.XLOOKUP($B57&amp;"|"&amp;"Cost per trip per staff",
         $B$13:$B$48&amp;"|"&amp;$C$13:$C$48,
         _xlfn.XLOOKUP($C57,$D$11:$K$11,$D$13:$K$48))</f>
        <v>800</v>
      </c>
      <c r="E57" s="272">
        <v>40</v>
      </c>
      <c r="F57" s="272">
        <v>66</v>
      </c>
      <c r="G57" s="272">
        <v>66</v>
      </c>
      <c r="H57" s="272">
        <v>27.5</v>
      </c>
      <c r="I57" s="272">
        <f t="shared" si="13"/>
        <v>199.5</v>
      </c>
      <c r="N57" s="272">
        <f t="shared" si="12"/>
        <v>24.793388429752067</v>
      </c>
    </row>
    <row r="58" spans="2:15" x14ac:dyDescent="0.3">
      <c r="B58" s="274" t="s">
        <v>205</v>
      </c>
      <c r="C58" s="274" t="s">
        <v>201</v>
      </c>
      <c r="D58" s="145" cm="1">
        <f t="array" ref="D58">_xlfn.XLOOKUP($B58&amp;"|"&amp;"Cost per trip per staff",
         $B$13:$B$48&amp;"|"&amp;$C$13:$C$48,
         _xlfn.XLOOKUP($C58,$D$11:$K$11,$D$13:$K$48))</f>
        <v>800</v>
      </c>
      <c r="E58" s="272">
        <v>40</v>
      </c>
      <c r="F58" s="272">
        <v>66</v>
      </c>
      <c r="G58" s="272">
        <v>66</v>
      </c>
      <c r="H58" s="272">
        <v>27.5</v>
      </c>
      <c r="I58" s="272">
        <f t="shared" si="13"/>
        <v>199.5</v>
      </c>
      <c r="N58" s="272">
        <f t="shared" si="12"/>
        <v>24.793388429752067</v>
      </c>
    </row>
    <row r="59" spans="2:15" x14ac:dyDescent="0.3">
      <c r="B59" s="274" t="s">
        <v>205</v>
      </c>
      <c r="C59" s="274" t="s">
        <v>198</v>
      </c>
      <c r="D59" s="145" cm="1">
        <f t="array" ref="D59">_xlfn.XLOOKUP($B59&amp;"|"&amp;"Cost per trip per staff",
         $B$13:$B$48&amp;"|"&amp;$C$13:$C$48,
         _xlfn.XLOOKUP($C59,$D$11:$K$11,$D$13:$K$48))</f>
        <v>800</v>
      </c>
      <c r="E59" s="272">
        <v>40</v>
      </c>
      <c r="F59" s="272">
        <v>66</v>
      </c>
      <c r="G59" s="272">
        <v>66</v>
      </c>
      <c r="H59" s="272">
        <v>27.5</v>
      </c>
      <c r="I59" s="272">
        <f t="shared" si="13"/>
        <v>199.5</v>
      </c>
      <c r="N59" s="272">
        <f t="shared" si="12"/>
        <v>24.793388429752067</v>
      </c>
    </row>
    <row r="60" spans="2:15" x14ac:dyDescent="0.3">
      <c r="B60" s="274" t="s">
        <v>218</v>
      </c>
      <c r="C60" s="274" t="s">
        <v>203</v>
      </c>
      <c r="D60" s="145" cm="1">
        <f t="array" ref="D60">_xlfn.XLOOKUP($B60&amp;"|"&amp;"Cost per trip per staff",
         $B$13:$B$48&amp;"|"&amp;$C$13:$C$48,
         _xlfn.XLOOKUP($C60,$D$11:$K$11,$D$13:$K$48))</f>
        <v>31250</v>
      </c>
      <c r="E60" s="272">
        <v>8</v>
      </c>
      <c r="F60" s="272">
        <v>32</v>
      </c>
      <c r="G60" s="272">
        <v>12</v>
      </c>
      <c r="H60" s="272"/>
      <c r="I60" s="272">
        <f t="shared" si="13"/>
        <v>52</v>
      </c>
      <c r="N60" s="272">
        <f t="shared" si="12"/>
        <v>4.9586776859504136</v>
      </c>
    </row>
    <row r="61" spans="2:15" x14ac:dyDescent="0.3">
      <c r="B61" s="274" t="s">
        <v>218</v>
      </c>
      <c r="C61" s="274" t="s">
        <v>204</v>
      </c>
      <c r="D61" s="145" cm="1">
        <f t="array" ref="D61">_xlfn.XLOOKUP($B61&amp;"|"&amp;"Cost per trip per staff",
         $B$13:$B$48&amp;"|"&amp;$C$13:$C$48,
         _xlfn.XLOOKUP($C61,$D$11:$K$11,$D$13:$K$48))</f>
        <v>25000</v>
      </c>
      <c r="E61" s="272">
        <v>0</v>
      </c>
      <c r="F61" s="272">
        <v>36</v>
      </c>
      <c r="G61" s="272">
        <v>12</v>
      </c>
      <c r="H61" s="272"/>
      <c r="I61" s="272">
        <f t="shared" si="13"/>
        <v>48</v>
      </c>
      <c r="N61" s="272">
        <f t="shared" si="12"/>
        <v>0</v>
      </c>
    </row>
    <row r="62" spans="2:15" x14ac:dyDescent="0.3">
      <c r="B62" s="274" t="s">
        <v>214</v>
      </c>
      <c r="C62" s="274" t="s">
        <v>200</v>
      </c>
      <c r="D62" s="145" cm="1">
        <f t="array" ref="D62">_xlfn.XLOOKUP($B62&amp;"|"&amp;"Cost per trip per staff",
         $B$13:$B$48&amp;"|"&amp;$C$13:$C$48,
         _xlfn.XLOOKUP($C62,$D$11:$K$11,$D$13:$K$48))</f>
        <v>2443.002512562814</v>
      </c>
      <c r="E62" s="272">
        <v>38</v>
      </c>
      <c r="F62" s="272">
        <v>84</v>
      </c>
      <c r="G62" s="272">
        <v>84</v>
      </c>
      <c r="H62" s="272">
        <v>0</v>
      </c>
      <c r="I62" s="272">
        <f t="shared" si="13"/>
        <v>206</v>
      </c>
      <c r="N62" s="272">
        <f t="shared" si="12"/>
        <v>23.553719008264466</v>
      </c>
    </row>
    <row r="63" spans="2:15" x14ac:dyDescent="0.3">
      <c r="B63" s="274" t="s">
        <v>214</v>
      </c>
      <c r="C63" s="274" t="s">
        <v>197</v>
      </c>
      <c r="D63" s="145" cm="1">
        <f t="array" ref="D63">_xlfn.XLOOKUP($B63&amp;"|"&amp;"Cost per trip per staff",
         $B$13:$B$48&amp;"|"&amp;$C$13:$C$48,
         _xlfn.XLOOKUP($C63,$D$11:$K$11,$D$13:$K$48))</f>
        <v>7388.402415458937</v>
      </c>
      <c r="E63" s="272">
        <v>24</v>
      </c>
      <c r="F63" s="272">
        <v>84</v>
      </c>
      <c r="G63" s="272">
        <v>84</v>
      </c>
      <c r="H63" s="272">
        <v>7</v>
      </c>
      <c r="I63" s="272">
        <f t="shared" si="13"/>
        <v>199</v>
      </c>
      <c r="N63" s="272">
        <f t="shared" si="12"/>
        <v>14.876033057851242</v>
      </c>
    </row>
    <row r="64" spans="2:15" x14ac:dyDescent="0.3">
      <c r="B64" s="274" t="s">
        <v>214</v>
      </c>
      <c r="C64" s="274" t="s">
        <v>199</v>
      </c>
      <c r="D64" s="145" cm="1">
        <f t="array" ref="D64">_xlfn.XLOOKUP($B64&amp;"|"&amp;"Cost per trip per staff",
         $B$13:$B$48&amp;"|"&amp;$C$13:$C$48,
         _xlfn.XLOOKUP($C64,$D$11:$K$11,$D$13:$K$48))</f>
        <v>4142.6492957746477</v>
      </c>
      <c r="E64" s="272">
        <v>34</v>
      </c>
      <c r="F64" s="272">
        <v>84</v>
      </c>
      <c r="G64" s="272">
        <v>84</v>
      </c>
      <c r="H64" s="272">
        <v>7</v>
      </c>
      <c r="I64" s="272">
        <f t="shared" si="13"/>
        <v>209</v>
      </c>
      <c r="N64" s="272">
        <f t="shared" si="12"/>
        <v>21.074380165289259</v>
      </c>
    </row>
    <row r="65" spans="2:15" x14ac:dyDescent="0.3">
      <c r="B65" s="274" t="s">
        <v>214</v>
      </c>
      <c r="C65" s="274" t="s">
        <v>201</v>
      </c>
      <c r="D65" s="145" cm="1">
        <f t="array" ref="D65">_xlfn.XLOOKUP($B65&amp;"|"&amp;"Cost per trip per staff",
         $B$13:$B$48&amp;"|"&amp;$C$13:$C$48,
         _xlfn.XLOOKUP($C65,$D$11:$K$11,$D$13:$K$48))</f>
        <v>6719.5963800904983</v>
      </c>
      <c r="E65" s="272">
        <v>34</v>
      </c>
      <c r="F65" s="272">
        <v>92</v>
      </c>
      <c r="G65" s="272">
        <v>84</v>
      </c>
      <c r="H65" s="272">
        <v>7</v>
      </c>
      <c r="I65" s="272">
        <f t="shared" si="13"/>
        <v>217</v>
      </c>
      <c r="N65" s="272">
        <f t="shared" si="12"/>
        <v>21.074380165289259</v>
      </c>
    </row>
    <row r="66" spans="2:15" x14ac:dyDescent="0.3">
      <c r="B66" s="274" t="s">
        <v>214</v>
      </c>
      <c r="C66" s="274" t="s">
        <v>198</v>
      </c>
      <c r="D66" s="145" cm="1">
        <f t="array" ref="D66">_xlfn.XLOOKUP($B66&amp;"|"&amp;"Cost per trip per staff",
         $B$13:$B$48&amp;"|"&amp;$C$13:$C$48,
         _xlfn.XLOOKUP($C66,$D$11:$K$11,$D$13:$K$48))</f>
        <v>10590.469918699187</v>
      </c>
      <c r="E66" s="272">
        <v>36</v>
      </c>
      <c r="F66" s="272">
        <v>90</v>
      </c>
      <c r="G66" s="272">
        <v>96</v>
      </c>
      <c r="H66" s="272">
        <v>24</v>
      </c>
      <c r="I66" s="272">
        <f t="shared" si="13"/>
        <v>246</v>
      </c>
      <c r="N66" s="272">
        <f t="shared" si="12"/>
        <v>22.314049586776861</v>
      </c>
    </row>
    <row r="67" spans="2:15" x14ac:dyDescent="0.3">
      <c r="B67" s="274" t="s">
        <v>216</v>
      </c>
      <c r="C67" s="274" t="s">
        <v>200</v>
      </c>
      <c r="D67" s="145" cm="1">
        <f t="array" ref="D67">_xlfn.XLOOKUP($B67&amp;"|"&amp;"Cost per trip per staff",
         $B$13:$B$48&amp;"|"&amp;$C$13:$C$48,
         _xlfn.XLOOKUP($C67,$D$11:$K$11,$D$13:$K$48))</f>
        <v>2874.1525423728813</v>
      </c>
      <c r="E67" s="272">
        <v>15</v>
      </c>
      <c r="F67" s="272">
        <v>48</v>
      </c>
      <c r="G67" s="272">
        <v>42</v>
      </c>
      <c r="H67" s="272">
        <v>0</v>
      </c>
      <c r="I67" s="272">
        <f t="shared" si="13"/>
        <v>105</v>
      </c>
      <c r="N67" s="272">
        <f t="shared" si="12"/>
        <v>9.2975206611570247</v>
      </c>
    </row>
    <row r="68" spans="2:15" x14ac:dyDescent="0.3">
      <c r="B68" s="274" t="s">
        <v>216</v>
      </c>
      <c r="C68" s="274" t="s">
        <v>197</v>
      </c>
      <c r="D68" s="145" cm="1">
        <f t="array" ref="D68">_xlfn.XLOOKUP($B68&amp;"|"&amp;"Cost per trip per staff",
         $B$13:$B$48&amp;"|"&amp;$C$13:$C$48,
         _xlfn.XLOOKUP($C68,$D$11:$K$11,$D$13:$K$48))</f>
        <v>7904.2892307692309</v>
      </c>
      <c r="E68" s="272">
        <v>15</v>
      </c>
      <c r="F68" s="272">
        <v>51</v>
      </c>
      <c r="G68" s="272">
        <v>45</v>
      </c>
      <c r="H68" s="272">
        <v>3</v>
      </c>
      <c r="I68" s="272">
        <f t="shared" si="13"/>
        <v>114</v>
      </c>
      <c r="N68" s="272">
        <f t="shared" si="12"/>
        <v>9.2975206611570247</v>
      </c>
    </row>
    <row r="69" spans="2:15" x14ac:dyDescent="0.3">
      <c r="B69" s="274" t="s">
        <v>216</v>
      </c>
      <c r="C69" s="274" t="s">
        <v>199</v>
      </c>
      <c r="D69" s="145" cm="1">
        <f t="array" ref="D69">_xlfn.XLOOKUP($B69&amp;"|"&amp;"Cost per trip per staff",
         $B$13:$B$48&amp;"|"&amp;$C$13:$C$48,
         _xlfn.XLOOKUP($C69,$D$11:$K$11,$D$13:$K$48))</f>
        <v>4488.4488188976384</v>
      </c>
      <c r="E69" s="272">
        <v>15</v>
      </c>
      <c r="F69" s="272">
        <v>51</v>
      </c>
      <c r="G69" s="272">
        <v>47</v>
      </c>
      <c r="H69" s="272">
        <v>3</v>
      </c>
      <c r="I69" s="272">
        <f t="shared" si="13"/>
        <v>116</v>
      </c>
      <c r="N69" s="272">
        <f t="shared" si="12"/>
        <v>9.2975206611570247</v>
      </c>
    </row>
    <row r="70" spans="2:15" x14ac:dyDescent="0.3">
      <c r="B70" s="274" t="s">
        <v>216</v>
      </c>
      <c r="C70" s="274" t="s">
        <v>201</v>
      </c>
      <c r="D70" s="145" cm="1">
        <f t="array" ref="D70">_xlfn.XLOOKUP($B70&amp;"|"&amp;"Cost per trip per staff",
         $B$13:$B$48&amp;"|"&amp;$C$13:$C$48,
         _xlfn.XLOOKUP($C70,$D$11:$K$11,$D$13:$K$48))</f>
        <v>6578.5131578947376</v>
      </c>
      <c r="E70" s="272">
        <v>5</v>
      </c>
      <c r="F70" s="272">
        <v>51</v>
      </c>
      <c r="G70" s="272">
        <v>46</v>
      </c>
      <c r="H70" s="272">
        <v>3</v>
      </c>
      <c r="I70" s="272">
        <f t="shared" si="13"/>
        <v>105</v>
      </c>
      <c r="N70" s="272">
        <f t="shared" si="12"/>
        <v>3.0991735537190084</v>
      </c>
    </row>
    <row r="71" spans="2:15" x14ac:dyDescent="0.3">
      <c r="B71" s="274" t="s">
        <v>216</v>
      </c>
      <c r="C71" s="274" t="s">
        <v>198</v>
      </c>
      <c r="D71" s="145" cm="1">
        <f t="array" ref="D71">_xlfn.XLOOKUP($B71&amp;"|"&amp;"Cost per trip per staff",
         $B$13:$B$48&amp;"|"&amp;$C$13:$C$48,
         _xlfn.XLOOKUP($C71,$D$11:$K$11,$D$13:$K$48))</f>
        <v>10218.242718446603</v>
      </c>
      <c r="E71" s="272">
        <v>5</v>
      </c>
      <c r="F71" s="272">
        <v>42</v>
      </c>
      <c r="G71" s="272">
        <v>48</v>
      </c>
      <c r="H71" s="272">
        <v>8</v>
      </c>
      <c r="I71" s="272">
        <f t="shared" si="13"/>
        <v>103</v>
      </c>
      <c r="N71" s="272">
        <f t="shared" si="12"/>
        <v>3.0991735537190084</v>
      </c>
    </row>
    <row r="72" spans="2:15" x14ac:dyDescent="0.3">
      <c r="B72" s="274" t="s">
        <v>133</v>
      </c>
      <c r="E72" s="273">
        <f>SUM(E54:E71)</f>
        <v>645</v>
      </c>
      <c r="F72" s="273">
        <f>SUM(F54:F71)</f>
        <v>1423</v>
      </c>
      <c r="G72" s="273">
        <f>SUM(G54:G71)</f>
        <v>1362</v>
      </c>
      <c r="H72" s="273">
        <f>SUM(H54:H71)</f>
        <v>344.5</v>
      </c>
      <c r="I72" s="273">
        <f>SUM(I54:I71)</f>
        <v>3774.5</v>
      </c>
      <c r="N72" s="273">
        <f>SUM(N54:N71)</f>
        <v>399.7933884297521</v>
      </c>
    </row>
    <row r="74" spans="2:15" s="65" customFormat="1" ht="12.75" x14ac:dyDescent="0.2">
      <c r="B74" s="118" t="s">
        <v>227</v>
      </c>
      <c r="C74" s="118"/>
      <c r="D74" s="118"/>
      <c r="E74" s="118"/>
      <c r="F74" s="118"/>
      <c r="G74" s="118"/>
      <c r="H74" s="118"/>
      <c r="I74" s="118"/>
      <c r="J74" s="118"/>
      <c r="K74" s="118"/>
      <c r="L74" s="118"/>
      <c r="M74" s="118"/>
      <c r="N74" s="118"/>
      <c r="O74" s="118"/>
    </row>
    <row r="75" spans="2:15" s="65" customFormat="1" ht="12.75" x14ac:dyDescent="0.2"/>
    <row r="76" spans="2:15" ht="25.5" x14ac:dyDescent="0.3">
      <c r="B76" s="150" t="s">
        <v>225</v>
      </c>
      <c r="C76" s="150" t="s">
        <v>195</v>
      </c>
      <c r="D76" s="150"/>
      <c r="E76" s="271" t="str">
        <f>'Key assumptions'!H$16</f>
        <v>RY2026
01Feb-30Sep</v>
      </c>
      <c r="F76" s="271" t="str">
        <f>'Key assumptions'!I$16</f>
        <v>RY2027</v>
      </c>
      <c r="G76" s="271" t="str">
        <f>'Key assumptions'!J$16</f>
        <v>RY2028</v>
      </c>
      <c r="H76" s="271" t="str">
        <f>'Key assumptions'!K$16</f>
        <v>RY2029</v>
      </c>
      <c r="I76" s="271" t="s">
        <v>133</v>
      </c>
      <c r="N76" s="271" t="s">
        <v>254</v>
      </c>
    </row>
    <row r="77" spans="2:15" x14ac:dyDescent="0.3">
      <c r="B77" s="274" t="s">
        <v>205</v>
      </c>
      <c r="C77" s="274" t="s">
        <v>202</v>
      </c>
      <c r="D77" s="65"/>
      <c r="E77" s="145">
        <f t="shared" ref="E77:H94" si="14">$D54*E54</f>
        <v>108000</v>
      </c>
      <c r="F77" s="145">
        <f t="shared" si="14"/>
        <v>174000</v>
      </c>
      <c r="G77" s="145">
        <f t="shared" si="14"/>
        <v>174000</v>
      </c>
      <c r="H77" s="145">
        <f t="shared" si="14"/>
        <v>72500</v>
      </c>
      <c r="I77" s="145">
        <f>SUM(E77:H77)</f>
        <v>528500</v>
      </c>
      <c r="N77" s="145">
        <f t="shared" ref="N77" si="15">$D54*N54</f>
        <v>66942.148760330587</v>
      </c>
    </row>
    <row r="78" spans="2:15" x14ac:dyDescent="0.3">
      <c r="B78" s="274" t="s">
        <v>205</v>
      </c>
      <c r="C78" s="274" t="s">
        <v>200</v>
      </c>
      <c r="D78" s="65"/>
      <c r="E78" s="145">
        <f t="shared" si="14"/>
        <v>32000</v>
      </c>
      <c r="F78" s="145">
        <f t="shared" si="14"/>
        <v>52800</v>
      </c>
      <c r="G78" s="145">
        <f t="shared" si="14"/>
        <v>52800</v>
      </c>
      <c r="H78" s="145">
        <f t="shared" si="14"/>
        <v>22000</v>
      </c>
      <c r="I78" s="145">
        <f t="shared" ref="I78:I94" si="16">SUM(E78:H78)</f>
        <v>159600</v>
      </c>
      <c r="N78" s="145">
        <f t="shared" ref="N78" si="17">$D55*N55</f>
        <v>19834.710743801654</v>
      </c>
    </row>
    <row r="79" spans="2:15" x14ac:dyDescent="0.3">
      <c r="B79" s="274" t="s">
        <v>205</v>
      </c>
      <c r="C79" s="274" t="s">
        <v>197</v>
      </c>
      <c r="D79" s="65"/>
      <c r="E79" s="145">
        <f t="shared" si="14"/>
        <v>32000</v>
      </c>
      <c r="F79" s="145">
        <f t="shared" si="14"/>
        <v>52800</v>
      </c>
      <c r="G79" s="145">
        <f t="shared" si="14"/>
        <v>52800</v>
      </c>
      <c r="H79" s="145">
        <f t="shared" si="14"/>
        <v>22000</v>
      </c>
      <c r="I79" s="145">
        <f t="shared" si="16"/>
        <v>159600</v>
      </c>
      <c r="N79" s="145">
        <f t="shared" ref="N79" si="18">$D56*N56</f>
        <v>19834.710743801654</v>
      </c>
    </row>
    <row r="80" spans="2:15" x14ac:dyDescent="0.3">
      <c r="B80" s="274" t="s">
        <v>205</v>
      </c>
      <c r="C80" s="274" t="s">
        <v>199</v>
      </c>
      <c r="D80" s="65"/>
      <c r="E80" s="145">
        <f t="shared" si="14"/>
        <v>32000</v>
      </c>
      <c r="F80" s="145">
        <f t="shared" si="14"/>
        <v>52800</v>
      </c>
      <c r="G80" s="145">
        <f t="shared" si="14"/>
        <v>52800</v>
      </c>
      <c r="H80" s="145">
        <f t="shared" si="14"/>
        <v>22000</v>
      </c>
      <c r="I80" s="145">
        <f t="shared" si="16"/>
        <v>159600</v>
      </c>
      <c r="N80" s="145">
        <f t="shared" ref="N80" si="19">$D57*N57</f>
        <v>19834.710743801654</v>
      </c>
    </row>
    <row r="81" spans="2:14" x14ac:dyDescent="0.3">
      <c r="B81" s="274" t="s">
        <v>205</v>
      </c>
      <c r="C81" s="274" t="s">
        <v>201</v>
      </c>
      <c r="D81" s="65"/>
      <c r="E81" s="145">
        <f t="shared" si="14"/>
        <v>32000</v>
      </c>
      <c r="F81" s="145">
        <f t="shared" si="14"/>
        <v>52800</v>
      </c>
      <c r="G81" s="145">
        <f t="shared" si="14"/>
        <v>52800</v>
      </c>
      <c r="H81" s="145">
        <f t="shared" si="14"/>
        <v>22000</v>
      </c>
      <c r="I81" s="145">
        <f t="shared" si="16"/>
        <v>159600</v>
      </c>
      <c r="N81" s="145">
        <f t="shared" ref="N81" si="20">$D58*N58</f>
        <v>19834.710743801654</v>
      </c>
    </row>
    <row r="82" spans="2:14" x14ac:dyDescent="0.3">
      <c r="B82" s="274" t="s">
        <v>205</v>
      </c>
      <c r="C82" s="274" t="s">
        <v>198</v>
      </c>
      <c r="D82" s="65"/>
      <c r="E82" s="145">
        <f t="shared" si="14"/>
        <v>32000</v>
      </c>
      <c r="F82" s="145">
        <f t="shared" si="14"/>
        <v>52800</v>
      </c>
      <c r="G82" s="145">
        <f t="shared" si="14"/>
        <v>52800</v>
      </c>
      <c r="H82" s="145">
        <f t="shared" si="14"/>
        <v>22000</v>
      </c>
      <c r="I82" s="145">
        <f t="shared" si="16"/>
        <v>159600</v>
      </c>
      <c r="N82" s="145">
        <f t="shared" ref="N82" si="21">$D59*N59</f>
        <v>19834.710743801654</v>
      </c>
    </row>
    <row r="83" spans="2:14" x14ac:dyDescent="0.3">
      <c r="B83" s="274" t="s">
        <v>218</v>
      </c>
      <c r="C83" s="274" t="s">
        <v>203</v>
      </c>
      <c r="D83" s="65"/>
      <c r="E83" s="145">
        <f t="shared" si="14"/>
        <v>250000</v>
      </c>
      <c r="F83" s="145">
        <f t="shared" si="14"/>
        <v>1000000</v>
      </c>
      <c r="G83" s="145">
        <f t="shared" si="14"/>
        <v>375000</v>
      </c>
      <c r="H83" s="145">
        <f t="shared" si="14"/>
        <v>0</v>
      </c>
      <c r="I83" s="145">
        <f t="shared" si="16"/>
        <v>1625000</v>
      </c>
      <c r="N83" s="145">
        <f t="shared" ref="N83" si="22">$D60*N60</f>
        <v>154958.67768595042</v>
      </c>
    </row>
    <row r="84" spans="2:14" x14ac:dyDescent="0.3">
      <c r="B84" s="274" t="s">
        <v>218</v>
      </c>
      <c r="C84" s="274" t="s">
        <v>204</v>
      </c>
      <c r="D84" s="65"/>
      <c r="E84" s="145">
        <f t="shared" si="14"/>
        <v>0</v>
      </c>
      <c r="F84" s="145">
        <f t="shared" si="14"/>
        <v>900000</v>
      </c>
      <c r="G84" s="145">
        <f t="shared" si="14"/>
        <v>300000</v>
      </c>
      <c r="H84" s="145">
        <f t="shared" si="14"/>
        <v>0</v>
      </c>
      <c r="I84" s="145">
        <f t="shared" si="16"/>
        <v>1200000</v>
      </c>
      <c r="N84" s="145">
        <f t="shared" ref="N84" si="23">$D61*N61</f>
        <v>0</v>
      </c>
    </row>
    <row r="85" spans="2:14" x14ac:dyDescent="0.3">
      <c r="B85" s="274" t="s">
        <v>214</v>
      </c>
      <c r="C85" s="274" t="s">
        <v>200</v>
      </c>
      <c r="D85" s="65"/>
      <c r="E85" s="145">
        <f t="shared" si="14"/>
        <v>92834.095477386931</v>
      </c>
      <c r="F85" s="145">
        <f t="shared" si="14"/>
        <v>205212.21105527636</v>
      </c>
      <c r="G85" s="145">
        <f t="shared" si="14"/>
        <v>205212.21105527636</v>
      </c>
      <c r="H85" s="145">
        <f t="shared" si="14"/>
        <v>0</v>
      </c>
      <c r="I85" s="145">
        <f t="shared" si="16"/>
        <v>503258.51758793963</v>
      </c>
      <c r="N85" s="145">
        <f t="shared" ref="N85" si="24">$D62*N62</f>
        <v>57541.794717388599</v>
      </c>
    </row>
    <row r="86" spans="2:14" x14ac:dyDescent="0.3">
      <c r="B86" s="274" t="s">
        <v>214</v>
      </c>
      <c r="C86" s="274" t="s">
        <v>197</v>
      </c>
      <c r="D86" s="65"/>
      <c r="E86" s="145">
        <f t="shared" si="14"/>
        <v>177321.6579710145</v>
      </c>
      <c r="F86" s="145">
        <f t="shared" si="14"/>
        <v>620625.80289855076</v>
      </c>
      <c r="G86" s="145">
        <f t="shared" si="14"/>
        <v>620625.80289855076</v>
      </c>
      <c r="H86" s="145">
        <f t="shared" si="14"/>
        <v>51718.816908212561</v>
      </c>
      <c r="I86" s="145">
        <f t="shared" si="16"/>
        <v>1470292.0806763286</v>
      </c>
      <c r="N86" s="145">
        <f t="shared" ref="N86" si="25">$D63*N63</f>
        <v>109910.1185770751</v>
      </c>
    </row>
    <row r="87" spans="2:14" x14ac:dyDescent="0.3">
      <c r="B87" s="274" t="s">
        <v>214</v>
      </c>
      <c r="C87" s="274" t="s">
        <v>199</v>
      </c>
      <c r="D87" s="65"/>
      <c r="E87" s="145">
        <f t="shared" si="14"/>
        <v>140850.07605633803</v>
      </c>
      <c r="F87" s="145">
        <f t="shared" si="14"/>
        <v>347982.54084507038</v>
      </c>
      <c r="G87" s="145">
        <f t="shared" si="14"/>
        <v>347982.54084507038</v>
      </c>
      <c r="H87" s="145">
        <f t="shared" si="14"/>
        <v>28998.545070422533</v>
      </c>
      <c r="I87" s="145">
        <f t="shared" si="16"/>
        <v>865813.70281690138</v>
      </c>
      <c r="N87" s="145">
        <f t="shared" ref="N87" si="26">$D64*N64</f>
        <v>87303.76615062276</v>
      </c>
    </row>
    <row r="88" spans="2:14" x14ac:dyDescent="0.3">
      <c r="B88" s="274" t="s">
        <v>214</v>
      </c>
      <c r="C88" s="274" t="s">
        <v>201</v>
      </c>
      <c r="D88" s="65"/>
      <c r="E88" s="145">
        <f t="shared" si="14"/>
        <v>228466.27692307695</v>
      </c>
      <c r="F88" s="145">
        <f t="shared" si="14"/>
        <v>618202.8669683258</v>
      </c>
      <c r="G88" s="145">
        <f t="shared" si="14"/>
        <v>564446.09592760191</v>
      </c>
      <c r="H88" s="145">
        <f t="shared" si="14"/>
        <v>47037.174660633485</v>
      </c>
      <c r="I88" s="145">
        <f t="shared" si="16"/>
        <v>1458152.4144796382</v>
      </c>
      <c r="N88" s="145">
        <f t="shared" ref="N88" si="27">$D65*N65</f>
        <v>141611.32867132869</v>
      </c>
    </row>
    <row r="89" spans="2:14" x14ac:dyDescent="0.3">
      <c r="B89" s="274" t="s">
        <v>214</v>
      </c>
      <c r="C89" s="274" t="s">
        <v>198</v>
      </c>
      <c r="D89" s="65"/>
      <c r="E89" s="145">
        <f t="shared" si="14"/>
        <v>381256.91707317077</v>
      </c>
      <c r="F89" s="145">
        <f t="shared" si="14"/>
        <v>953142.29268292687</v>
      </c>
      <c r="G89" s="145">
        <f t="shared" si="14"/>
        <v>1016685.1121951221</v>
      </c>
      <c r="H89" s="145">
        <f t="shared" si="14"/>
        <v>254171.27804878051</v>
      </c>
      <c r="I89" s="145">
        <f t="shared" si="16"/>
        <v>2605255.6000000006</v>
      </c>
      <c r="N89" s="145">
        <f t="shared" ref="N89" si="28">$D66*N66</f>
        <v>236316.27091312237</v>
      </c>
    </row>
    <row r="90" spans="2:14" x14ac:dyDescent="0.3">
      <c r="B90" s="274" t="s">
        <v>216</v>
      </c>
      <c r="C90" s="274" t="s">
        <v>200</v>
      </c>
      <c r="D90" s="65"/>
      <c r="E90" s="145">
        <f t="shared" si="14"/>
        <v>43112.288135593219</v>
      </c>
      <c r="F90" s="145">
        <f t="shared" si="14"/>
        <v>137959.32203389829</v>
      </c>
      <c r="G90" s="145">
        <f t="shared" si="14"/>
        <v>120714.40677966102</v>
      </c>
      <c r="H90" s="145">
        <f t="shared" si="14"/>
        <v>0</v>
      </c>
      <c r="I90" s="145">
        <f t="shared" si="16"/>
        <v>301786.01694915252</v>
      </c>
      <c r="N90" s="145">
        <f t="shared" ref="N90" si="29">$D67*N67</f>
        <v>26722.492646028855</v>
      </c>
    </row>
    <row r="91" spans="2:14" ht="15" customHeight="1" x14ac:dyDescent="0.3">
      <c r="B91" s="274" t="s">
        <v>216</v>
      </c>
      <c r="C91" s="274" t="s">
        <v>197</v>
      </c>
      <c r="D91" s="65"/>
      <c r="E91" s="145">
        <f t="shared" si="14"/>
        <v>118564.33846153846</v>
      </c>
      <c r="F91" s="145">
        <f t="shared" si="14"/>
        <v>403118.75076923077</v>
      </c>
      <c r="G91" s="145">
        <f t="shared" si="14"/>
        <v>355693.0153846154</v>
      </c>
      <c r="H91" s="145">
        <f t="shared" si="14"/>
        <v>23712.867692307693</v>
      </c>
      <c r="I91" s="145">
        <f t="shared" si="16"/>
        <v>901088.97230769228</v>
      </c>
      <c r="N91" s="145">
        <f t="shared" ref="N91" si="30">$D68*N68</f>
        <v>73490.292434837887</v>
      </c>
    </row>
    <row r="92" spans="2:14" x14ac:dyDescent="0.3">
      <c r="B92" s="274" t="s">
        <v>216</v>
      </c>
      <c r="C92" s="274" t="s">
        <v>199</v>
      </c>
      <c r="D92" s="65"/>
      <c r="E92" s="145">
        <f t="shared" si="14"/>
        <v>67326.732283464575</v>
      </c>
      <c r="F92" s="145">
        <f t="shared" si="14"/>
        <v>228910.88976377956</v>
      </c>
      <c r="G92" s="145">
        <f t="shared" si="14"/>
        <v>210957.094488189</v>
      </c>
      <c r="H92" s="145">
        <f t="shared" si="14"/>
        <v>13465.346456692914</v>
      </c>
      <c r="I92" s="145">
        <f t="shared" si="16"/>
        <v>520660.06299212598</v>
      </c>
      <c r="N92" s="145">
        <f t="shared" ref="N92" si="31">$D69*N69</f>
        <v>41731.445630246635</v>
      </c>
    </row>
    <row r="93" spans="2:14" x14ac:dyDescent="0.3">
      <c r="B93" s="274" t="s">
        <v>216</v>
      </c>
      <c r="C93" s="274" t="s">
        <v>201</v>
      </c>
      <c r="D93" s="65"/>
      <c r="E93" s="145">
        <f t="shared" si="14"/>
        <v>32892.565789473687</v>
      </c>
      <c r="F93" s="145">
        <f t="shared" si="14"/>
        <v>335504.17105263163</v>
      </c>
      <c r="G93" s="145">
        <f t="shared" si="14"/>
        <v>302611.60526315792</v>
      </c>
      <c r="H93" s="145">
        <f t="shared" si="14"/>
        <v>19735.539473684214</v>
      </c>
      <c r="I93" s="145">
        <f t="shared" si="16"/>
        <v>690743.88157894742</v>
      </c>
      <c r="N93" s="145">
        <f t="shared" ref="N93" si="32">$D70*N70</f>
        <v>20387.95400173989</v>
      </c>
    </row>
    <row r="94" spans="2:14" x14ac:dyDescent="0.3">
      <c r="B94" s="274" t="s">
        <v>216</v>
      </c>
      <c r="C94" s="274" t="s">
        <v>198</v>
      </c>
      <c r="D94" s="65"/>
      <c r="E94" s="145">
        <f t="shared" si="14"/>
        <v>51091.21359223302</v>
      </c>
      <c r="F94" s="145">
        <f t="shared" si="14"/>
        <v>429166.19417475734</v>
      </c>
      <c r="G94" s="145">
        <f t="shared" si="14"/>
        <v>490475.65048543696</v>
      </c>
      <c r="H94" s="145">
        <f t="shared" si="14"/>
        <v>81745.941747572826</v>
      </c>
      <c r="I94" s="145">
        <f t="shared" si="16"/>
        <v>1052479</v>
      </c>
      <c r="N94" s="145">
        <f t="shared" ref="N94" si="33">$D71*N71</f>
        <v>31668.107598491541</v>
      </c>
    </row>
    <row r="95" spans="2:14" x14ac:dyDescent="0.3">
      <c r="B95" s="274" t="s">
        <v>133</v>
      </c>
      <c r="D95" s="65"/>
      <c r="E95" s="275">
        <f>SUM(E77:E94)</f>
        <v>1851716.1617632904</v>
      </c>
      <c r="F95" s="275">
        <f>SUM(F77:F94)</f>
        <v>6617825.0422444483</v>
      </c>
      <c r="G95" s="275">
        <f>SUM(G77:G94)</f>
        <v>5348403.535322682</v>
      </c>
      <c r="H95" s="275">
        <f>SUM(H77:H94)</f>
        <v>703085.51005830674</v>
      </c>
      <c r="I95" s="275">
        <f>SUM(I77:I94)</f>
        <v>14521030.249388725</v>
      </c>
      <c r="N95" s="275">
        <f>SUM(N77:N94)</f>
        <v>1147757.9515061714</v>
      </c>
    </row>
    <row r="97" spans="2:15" s="65" customFormat="1" ht="12.75" x14ac:dyDescent="0.2">
      <c r="B97" s="118" t="s">
        <v>228</v>
      </c>
      <c r="C97" s="118"/>
      <c r="D97" s="118"/>
      <c r="E97" s="118"/>
      <c r="F97" s="118"/>
      <c r="G97" s="118"/>
      <c r="H97" s="118"/>
      <c r="I97" s="118"/>
      <c r="J97" s="118"/>
      <c r="K97" s="118"/>
      <c r="L97" s="118"/>
      <c r="M97" s="118"/>
      <c r="N97" s="118"/>
      <c r="O97" s="118"/>
    </row>
    <row r="98" spans="2:15" s="65" customFormat="1" ht="12.75" x14ac:dyDescent="0.2"/>
    <row r="99" spans="2:15" ht="27" x14ac:dyDescent="0.3">
      <c r="B99" s="136" t="str">
        <f>'Data source'!$B$5</f>
        <v>Broader cost category</v>
      </c>
      <c r="C99" s="136"/>
      <c r="D99" s="140" t="s">
        <v>68</v>
      </c>
      <c r="E99" s="140" t="s">
        <v>69</v>
      </c>
      <c r="F99" s="140" t="s">
        <v>70</v>
      </c>
      <c r="G99" s="140" t="s">
        <v>71</v>
      </c>
      <c r="H99" s="140" t="s">
        <v>72</v>
      </c>
      <c r="I99" s="140" t="s">
        <v>73</v>
      </c>
      <c r="J99" s="140" t="s">
        <v>74</v>
      </c>
      <c r="K99" s="140" t="s">
        <v>75</v>
      </c>
      <c r="L99" s="140" t="s">
        <v>133</v>
      </c>
      <c r="N99" s="140" t="s">
        <v>254</v>
      </c>
    </row>
    <row r="100" spans="2:15" x14ac:dyDescent="0.3">
      <c r="B100" s="206" t="s">
        <v>229</v>
      </c>
      <c r="D100" s="207"/>
      <c r="E100" s="207">
        <f t="shared" ref="E100:H112" si="34">SUMIFS(E$77:E$94,$B$77:$B$94,$B100)</f>
        <v>0</v>
      </c>
      <c r="F100" s="207">
        <f t="shared" si="34"/>
        <v>0</v>
      </c>
      <c r="G100" s="207">
        <f t="shared" si="34"/>
        <v>0</v>
      </c>
      <c r="H100" s="207">
        <f t="shared" si="34"/>
        <v>0</v>
      </c>
      <c r="I100" s="207"/>
      <c r="J100" s="207"/>
      <c r="K100" s="207"/>
      <c r="L100" s="207">
        <f t="shared" ref="L100:L113" si="35">SUM(D100:K100)</f>
        <v>0</v>
      </c>
      <c r="N100" s="207">
        <f t="shared" ref="N100:N112" si="36">SUMIFS(N$77:N$94,$B$77:$B$94,$B100)</f>
        <v>0</v>
      </c>
    </row>
    <row r="101" spans="2:15" x14ac:dyDescent="0.3">
      <c r="B101" s="206" t="s">
        <v>230</v>
      </c>
      <c r="D101" s="207"/>
      <c r="E101" s="207">
        <f t="shared" si="34"/>
        <v>0</v>
      </c>
      <c r="F101" s="207">
        <f t="shared" si="34"/>
        <v>0</v>
      </c>
      <c r="G101" s="207">
        <f t="shared" si="34"/>
        <v>0</v>
      </c>
      <c r="H101" s="207">
        <f t="shared" si="34"/>
        <v>0</v>
      </c>
      <c r="I101" s="207"/>
      <c r="J101" s="207"/>
      <c r="K101" s="207"/>
      <c r="L101" s="207">
        <f t="shared" si="35"/>
        <v>0</v>
      </c>
      <c r="N101" s="207">
        <f t="shared" si="36"/>
        <v>0</v>
      </c>
    </row>
    <row r="102" spans="2:15" x14ac:dyDescent="0.3">
      <c r="B102" s="206" t="s">
        <v>231</v>
      </c>
      <c r="D102" s="207"/>
      <c r="E102" s="207">
        <f t="shared" si="34"/>
        <v>0</v>
      </c>
      <c r="F102" s="207">
        <f t="shared" si="34"/>
        <v>0</v>
      </c>
      <c r="G102" s="207">
        <f t="shared" si="34"/>
        <v>0</v>
      </c>
      <c r="H102" s="207">
        <f t="shared" si="34"/>
        <v>0</v>
      </c>
      <c r="I102" s="207"/>
      <c r="J102" s="207"/>
      <c r="K102" s="207"/>
      <c r="L102" s="207">
        <f t="shared" si="35"/>
        <v>0</v>
      </c>
      <c r="N102" s="207">
        <f t="shared" si="36"/>
        <v>0</v>
      </c>
    </row>
    <row r="103" spans="2:15" x14ac:dyDescent="0.3">
      <c r="B103" s="206" t="s">
        <v>232</v>
      </c>
      <c r="D103" s="207"/>
      <c r="E103" s="207">
        <f t="shared" si="34"/>
        <v>0</v>
      </c>
      <c r="F103" s="207">
        <f t="shared" si="34"/>
        <v>0</v>
      </c>
      <c r="G103" s="207">
        <f t="shared" si="34"/>
        <v>0</v>
      </c>
      <c r="H103" s="207">
        <f t="shared" si="34"/>
        <v>0</v>
      </c>
      <c r="I103" s="207"/>
      <c r="J103" s="207"/>
      <c r="K103" s="207"/>
      <c r="L103" s="207">
        <f t="shared" si="35"/>
        <v>0</v>
      </c>
      <c r="N103" s="207">
        <f t="shared" si="36"/>
        <v>0</v>
      </c>
    </row>
    <row r="104" spans="2:15" x14ac:dyDescent="0.3">
      <c r="B104" s="206" t="s">
        <v>233</v>
      </c>
      <c r="D104" s="207"/>
      <c r="E104" s="207">
        <f t="shared" si="34"/>
        <v>0</v>
      </c>
      <c r="F104" s="207">
        <f t="shared" si="34"/>
        <v>0</v>
      </c>
      <c r="G104" s="207">
        <f t="shared" si="34"/>
        <v>0</v>
      </c>
      <c r="H104" s="207">
        <f t="shared" si="34"/>
        <v>0</v>
      </c>
      <c r="I104" s="207"/>
      <c r="J104" s="207"/>
      <c r="K104" s="207"/>
      <c r="L104" s="207">
        <f t="shared" si="35"/>
        <v>0</v>
      </c>
      <c r="N104" s="207">
        <f t="shared" si="36"/>
        <v>0</v>
      </c>
    </row>
    <row r="105" spans="2:15" x14ac:dyDescent="0.3">
      <c r="B105" s="206" t="s">
        <v>216</v>
      </c>
      <c r="D105" s="207"/>
      <c r="E105" s="207">
        <f t="shared" si="34"/>
        <v>312987.13826230296</v>
      </c>
      <c r="F105" s="207">
        <f t="shared" si="34"/>
        <v>1534659.3277942976</v>
      </c>
      <c r="G105" s="207">
        <f t="shared" si="34"/>
        <v>1480451.7724010602</v>
      </c>
      <c r="H105" s="207">
        <f t="shared" si="34"/>
        <v>138659.69537025766</v>
      </c>
      <c r="I105" s="207"/>
      <c r="J105" s="207"/>
      <c r="K105" s="207"/>
      <c r="L105" s="207">
        <f t="shared" si="35"/>
        <v>3466757.933827919</v>
      </c>
      <c r="N105" s="207">
        <f t="shared" si="36"/>
        <v>194000.29231134479</v>
      </c>
    </row>
    <row r="106" spans="2:15" ht="15" customHeight="1" x14ac:dyDescent="0.3">
      <c r="B106" s="206" t="s">
        <v>214</v>
      </c>
      <c r="D106" s="207"/>
      <c r="E106" s="207">
        <f t="shared" si="34"/>
        <v>1020729.0235009872</v>
      </c>
      <c r="F106" s="207">
        <f t="shared" si="34"/>
        <v>2745165.7144501498</v>
      </c>
      <c r="G106" s="207">
        <f t="shared" si="34"/>
        <v>2754951.7629216211</v>
      </c>
      <c r="H106" s="207">
        <f t="shared" si="34"/>
        <v>381925.81468804908</v>
      </c>
      <c r="I106" s="207"/>
      <c r="J106" s="207"/>
      <c r="K106" s="207"/>
      <c r="L106" s="207">
        <f t="shared" si="35"/>
        <v>6902772.3155608075</v>
      </c>
      <c r="N106" s="207">
        <f t="shared" si="36"/>
        <v>632683.27902953746</v>
      </c>
    </row>
    <row r="107" spans="2:15" x14ac:dyDescent="0.3">
      <c r="B107" s="206" t="s">
        <v>234</v>
      </c>
      <c r="D107" s="207"/>
      <c r="E107" s="207">
        <f t="shared" si="34"/>
        <v>0</v>
      </c>
      <c r="F107" s="207">
        <f t="shared" si="34"/>
        <v>0</v>
      </c>
      <c r="G107" s="207">
        <f t="shared" si="34"/>
        <v>0</v>
      </c>
      <c r="H107" s="207">
        <f t="shared" si="34"/>
        <v>0</v>
      </c>
      <c r="I107" s="207"/>
      <c r="J107" s="207"/>
      <c r="K107" s="207"/>
      <c r="L107" s="207">
        <f t="shared" si="35"/>
        <v>0</v>
      </c>
      <c r="N107" s="207">
        <f t="shared" si="36"/>
        <v>0</v>
      </c>
    </row>
    <row r="108" spans="2:15" x14ac:dyDescent="0.3">
      <c r="B108" s="206" t="s">
        <v>235</v>
      </c>
      <c r="D108" s="207"/>
      <c r="E108" s="207">
        <f t="shared" si="34"/>
        <v>0</v>
      </c>
      <c r="F108" s="207">
        <f t="shared" si="34"/>
        <v>0</v>
      </c>
      <c r="G108" s="207">
        <f t="shared" si="34"/>
        <v>0</v>
      </c>
      <c r="H108" s="207">
        <f t="shared" si="34"/>
        <v>0</v>
      </c>
      <c r="I108" s="207"/>
      <c r="J108" s="207"/>
      <c r="K108" s="207"/>
      <c r="L108" s="207">
        <f t="shared" si="35"/>
        <v>0</v>
      </c>
      <c r="N108" s="207">
        <f t="shared" si="36"/>
        <v>0</v>
      </c>
    </row>
    <row r="109" spans="2:15" x14ac:dyDescent="0.3">
      <c r="B109" s="206" t="s">
        <v>205</v>
      </c>
      <c r="D109" s="207"/>
      <c r="E109" s="207">
        <f t="shared" si="34"/>
        <v>268000</v>
      </c>
      <c r="F109" s="207">
        <f t="shared" si="34"/>
        <v>438000</v>
      </c>
      <c r="G109" s="207">
        <f t="shared" si="34"/>
        <v>438000</v>
      </c>
      <c r="H109" s="207">
        <f t="shared" si="34"/>
        <v>182500</v>
      </c>
      <c r="I109" s="207"/>
      <c r="J109" s="207"/>
      <c r="K109" s="207"/>
      <c r="L109" s="207">
        <f t="shared" si="35"/>
        <v>1326500</v>
      </c>
      <c r="N109" s="207">
        <f t="shared" si="36"/>
        <v>166115.70247933886</v>
      </c>
    </row>
    <row r="110" spans="2:15" x14ac:dyDescent="0.3">
      <c r="B110" s="206" t="s">
        <v>218</v>
      </c>
      <c r="D110" s="207"/>
      <c r="E110" s="207">
        <f t="shared" si="34"/>
        <v>250000</v>
      </c>
      <c r="F110" s="207">
        <f t="shared" si="34"/>
        <v>1900000</v>
      </c>
      <c r="G110" s="207">
        <f t="shared" si="34"/>
        <v>675000</v>
      </c>
      <c r="H110" s="207">
        <f t="shared" si="34"/>
        <v>0</v>
      </c>
      <c r="I110" s="207"/>
      <c r="J110" s="207"/>
      <c r="K110" s="207"/>
      <c r="L110" s="207">
        <f t="shared" si="35"/>
        <v>2825000</v>
      </c>
      <c r="N110" s="207">
        <f t="shared" si="36"/>
        <v>154958.67768595042</v>
      </c>
    </row>
    <row r="111" spans="2:15" x14ac:dyDescent="0.3">
      <c r="B111" s="206" t="s">
        <v>236</v>
      </c>
      <c r="D111" s="207"/>
      <c r="E111" s="207">
        <f t="shared" si="34"/>
        <v>0</v>
      </c>
      <c r="F111" s="207">
        <f t="shared" si="34"/>
        <v>0</v>
      </c>
      <c r="G111" s="207">
        <f t="shared" si="34"/>
        <v>0</v>
      </c>
      <c r="H111" s="207">
        <f t="shared" si="34"/>
        <v>0</v>
      </c>
      <c r="I111" s="207"/>
      <c r="J111" s="207"/>
      <c r="K111" s="207"/>
      <c r="L111" s="207">
        <f t="shared" si="35"/>
        <v>0</v>
      </c>
      <c r="N111" s="207">
        <f t="shared" si="36"/>
        <v>0</v>
      </c>
    </row>
    <row r="112" spans="2:15" x14ac:dyDescent="0.3">
      <c r="B112" s="206" t="s">
        <v>237</v>
      </c>
      <c r="D112" s="207"/>
      <c r="E112" s="207">
        <f t="shared" si="34"/>
        <v>0</v>
      </c>
      <c r="F112" s="207">
        <f t="shared" si="34"/>
        <v>0</v>
      </c>
      <c r="G112" s="207">
        <f t="shared" si="34"/>
        <v>0</v>
      </c>
      <c r="H112" s="207">
        <f t="shared" si="34"/>
        <v>0</v>
      </c>
      <c r="I112" s="207"/>
      <c r="J112" s="207"/>
      <c r="K112" s="207"/>
      <c r="L112" s="207">
        <f t="shared" si="35"/>
        <v>0</v>
      </c>
      <c r="N112" s="207">
        <f t="shared" si="36"/>
        <v>0</v>
      </c>
    </row>
    <row r="113" spans="2:15" x14ac:dyDescent="0.3">
      <c r="B113" s="208" t="s">
        <v>133</v>
      </c>
      <c r="D113" s="209">
        <f t="shared" ref="D113:K113" si="37">SUM(D100:D112)</f>
        <v>0</v>
      </c>
      <c r="E113" s="209">
        <f t="shared" si="37"/>
        <v>1851716.1617632902</v>
      </c>
      <c r="F113" s="209">
        <f t="shared" si="37"/>
        <v>6617825.0422444474</v>
      </c>
      <c r="G113" s="209">
        <f t="shared" si="37"/>
        <v>5348403.5353226811</v>
      </c>
      <c r="H113" s="209">
        <f t="shared" si="37"/>
        <v>703085.51005830674</v>
      </c>
      <c r="I113" s="209">
        <f t="shared" si="37"/>
        <v>0</v>
      </c>
      <c r="J113" s="209">
        <f t="shared" si="37"/>
        <v>0</v>
      </c>
      <c r="K113" s="209">
        <f t="shared" si="37"/>
        <v>0</v>
      </c>
      <c r="L113" s="209">
        <f t="shared" si="35"/>
        <v>14521030.249388725</v>
      </c>
      <c r="N113" s="209">
        <f t="shared" ref="N113" si="38">SUM(N100:N112)</f>
        <v>1147757.9515061714</v>
      </c>
    </row>
    <row r="114" spans="2:15" x14ac:dyDescent="0.3">
      <c r="B114" s="262" t="s">
        <v>134</v>
      </c>
      <c r="D114" s="262"/>
      <c r="E114" s="262"/>
      <c r="F114" s="262"/>
      <c r="G114" s="262"/>
      <c r="H114" s="262"/>
      <c r="I114" s="262"/>
      <c r="J114" s="262"/>
      <c r="K114" s="261"/>
      <c r="L114" s="159" t="str">
        <f>IF(ROUND(I95,0)=ROUND(L113,0),"OK","ERROR")</f>
        <v>OK</v>
      </c>
    </row>
    <row r="116" spans="2:15" s="65" customFormat="1" ht="12.75" x14ac:dyDescent="0.2">
      <c r="B116" s="118"/>
      <c r="C116" s="118"/>
      <c r="D116" s="118"/>
      <c r="E116" s="118"/>
      <c r="F116" s="118"/>
      <c r="G116" s="118"/>
      <c r="H116" s="118"/>
      <c r="I116" s="118"/>
      <c r="J116" s="118"/>
      <c r="K116" s="118"/>
      <c r="L116" s="118"/>
      <c r="M116" s="118"/>
      <c r="N116" s="118"/>
      <c r="O116" s="118"/>
    </row>
    <row r="117" spans="2:15" s="65" customFormat="1" ht="12.75" x14ac:dyDescent="0.2"/>
  </sheetData>
  <phoneticPr fontId="53" type="noConversion"/>
  <conditionalFormatting sqref="L114">
    <cfRule type="cellIs" dxfId="25" priority="1" operator="equal">
      <formula>"ERROR"</formula>
    </cfRule>
    <cfRule type="cellIs" dxfId="24" priority="2" operator="equal">
      <formula>"OK"</formula>
    </cfRule>
    <cfRule type="expression" dxfId="23" priority="3">
      <formula>#REF!="Manual $ Spread"</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988A-D78C-4F0E-8730-D1C6E826A7B6}">
  <sheetPr codeName="Sheet15">
    <tabColor theme="0" tint="-4.9989318521683403E-2"/>
    <pageSetUpPr autoPageBreaks="0"/>
  </sheetPr>
  <dimension ref="E77"/>
  <sheetViews>
    <sheetView showGridLines="0" topLeftCell="XFD1048576" zoomScaleNormal="100" workbookViewId="0">
      <selection activeCell="A2" sqref="A2"/>
    </sheetView>
  </sheetViews>
  <sheetFormatPr defaultColWidth="0" defaultRowHeight="15" customHeight="1" zeroHeight="1" x14ac:dyDescent="0.3"/>
  <cols>
    <col min="1" max="16384" width="7.109375" style="33" hidden="1"/>
  </cols>
  <sheetData>
    <row r="77" spans="5:5" ht="15" hidden="1" customHeight="1" x14ac:dyDescent="0.3">
      <c r="E77" s="34"/>
    </row>
  </sheetData>
  <pageMargins left="0.7" right="0.7" top="0.75" bottom="0.75" header="0.3" footer="0.3"/>
  <pageSetup paperSize="9" orientation="portrait" horizontalDpi="300" verticalDpi="300" r:id="rId1"/>
  <headerFooter>
    <oddFooter>&amp;L_x000D_&amp;1#&amp;"Aptos"&amp;10&amp;K000000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D3E74-EE00-4D8C-96B2-8DD03C9FD960}">
  <sheetPr codeName="Sheet16">
    <tabColor theme="7"/>
    <pageSetUpPr autoPageBreaks="0"/>
  </sheetPr>
  <dimension ref="A1:AA66"/>
  <sheetViews>
    <sheetView showGridLines="0" zoomScaleNormal="100" workbookViewId="0"/>
  </sheetViews>
  <sheetFormatPr defaultColWidth="9.21875" defaultRowHeight="15" x14ac:dyDescent="0.3"/>
  <cols>
    <col min="1" max="1" width="3.6640625" style="20" customWidth="1"/>
    <col min="2" max="2" width="47.88671875" style="20" customWidth="1"/>
    <col min="3" max="13" width="10.109375" style="20" customWidth="1"/>
    <col min="14" max="18" width="10" style="20" customWidth="1"/>
    <col min="19" max="19" width="10.109375" style="20" customWidth="1"/>
    <col min="20" max="20" width="10" style="20" customWidth="1"/>
    <col min="21" max="16384" width="9.21875" style="20"/>
  </cols>
  <sheetData>
    <row r="1" spans="1:27" s="32" customFormat="1" ht="30" x14ac:dyDescent="0.3">
      <c r="A1" s="29"/>
      <c r="B1" s="94" t="str">
        <f>Overview!$B$1</f>
        <v>Labour and overhead costs for Accelerated Syncons</v>
      </c>
      <c r="C1" s="94"/>
      <c r="D1" s="94"/>
      <c r="E1" s="30"/>
      <c r="F1" s="30"/>
      <c r="G1" s="30"/>
      <c r="H1" s="30"/>
      <c r="I1" s="30"/>
      <c r="J1" s="30"/>
      <c r="K1" s="30"/>
      <c r="L1" s="30"/>
      <c r="M1" s="30"/>
      <c r="N1" s="30"/>
      <c r="O1" s="30"/>
      <c r="P1" s="30"/>
      <c r="Q1" s="30"/>
      <c r="R1" s="30"/>
      <c r="S1" s="30"/>
      <c r="T1" s="30"/>
      <c r="U1" s="20"/>
      <c r="V1" s="20"/>
      <c r="W1" s="20"/>
      <c r="X1" s="20"/>
      <c r="Y1" s="20"/>
      <c r="Z1" s="20"/>
      <c r="AA1" s="20"/>
    </row>
    <row r="2" spans="1:27" s="32" customFormat="1" ht="22.5" x14ac:dyDescent="0.3">
      <c r="A2" s="31"/>
      <c r="B2" s="72" t="s">
        <v>46</v>
      </c>
      <c r="C2" s="72"/>
      <c r="D2" s="72"/>
      <c r="E2" s="31"/>
      <c r="F2" s="31"/>
      <c r="G2" s="31"/>
      <c r="H2" s="31"/>
      <c r="I2" s="31"/>
      <c r="J2" s="31"/>
      <c r="K2" s="31"/>
      <c r="L2" s="31"/>
      <c r="M2" s="31"/>
      <c r="N2" s="31"/>
      <c r="O2" s="31"/>
      <c r="P2" s="31"/>
      <c r="Q2" s="31"/>
      <c r="R2" s="31"/>
      <c r="S2" s="31"/>
      <c r="T2" s="31"/>
      <c r="U2" s="20"/>
      <c r="V2" s="20"/>
      <c r="W2" s="20"/>
      <c r="X2" s="20"/>
      <c r="Y2" s="20"/>
      <c r="Z2" s="20"/>
      <c r="AA2" s="20"/>
    </row>
    <row r="4" spans="1:27" x14ac:dyDescent="0.3">
      <c r="B4" s="35" t="s">
        <v>48</v>
      </c>
      <c r="C4" s="35"/>
      <c r="D4" s="35"/>
    </row>
    <row r="5" spans="1:27" x14ac:dyDescent="0.3">
      <c r="B5" s="36" t="s">
        <v>238</v>
      </c>
      <c r="C5" s="36"/>
      <c r="D5" s="36"/>
      <c r="E5" s="36"/>
      <c r="H5" s="41"/>
      <c r="I5" s="41"/>
      <c r="J5" s="41"/>
      <c r="K5" s="41"/>
    </row>
    <row r="6" spans="1:27" x14ac:dyDescent="0.3">
      <c r="E6" s="36"/>
    </row>
    <row r="7" spans="1:27" s="188" customFormat="1" ht="18" x14ac:dyDescent="0.35">
      <c r="A7" s="20"/>
      <c r="B7" s="118" t="s">
        <v>239</v>
      </c>
      <c r="C7" s="132" t="str">
        <f>"(Real "&amp;'Key assumptions'!$D$11&amp;")"</f>
        <v>(Real $RY2026)</v>
      </c>
      <c r="D7" s="118"/>
      <c r="E7" s="118"/>
      <c r="F7" s="118"/>
      <c r="G7" s="118"/>
      <c r="H7" s="118"/>
      <c r="I7" s="118"/>
      <c r="J7" s="118"/>
      <c r="K7" s="118"/>
      <c r="L7" s="118"/>
      <c r="M7" s="118"/>
      <c r="N7" s="118"/>
      <c r="O7" s="118"/>
      <c r="P7" s="162"/>
      <c r="Q7" s="162"/>
      <c r="R7" s="20"/>
      <c r="S7" s="118"/>
      <c r="T7" s="20"/>
    </row>
    <row r="9" spans="1:27" ht="15.95" customHeight="1" thickBot="1" x14ac:dyDescent="0.35">
      <c r="A9" s="38"/>
      <c r="B9" s="136"/>
      <c r="C9" s="165" t="s">
        <v>240</v>
      </c>
      <c r="D9" s="165"/>
      <c r="E9" s="165"/>
      <c r="F9" s="165"/>
      <c r="G9" s="165" t="s">
        <v>58</v>
      </c>
      <c r="H9" s="165"/>
      <c r="I9" s="165"/>
      <c r="J9" s="165"/>
      <c r="K9" s="165"/>
      <c r="L9" s="165"/>
      <c r="M9" s="166"/>
      <c r="N9" s="168" t="s">
        <v>241</v>
      </c>
      <c r="O9" s="225" t="s">
        <v>241</v>
      </c>
      <c r="P9" s="37"/>
      <c r="Q9" s="225"/>
      <c r="R9" s="37"/>
      <c r="S9" s="287" t="s">
        <v>58</v>
      </c>
      <c r="T9" s="37"/>
    </row>
    <row r="10" spans="1:27" s="45" customFormat="1" ht="58.5" customHeight="1" thickBot="1" x14ac:dyDescent="0.25">
      <c r="A10" s="63"/>
      <c r="B10" s="136" t="s">
        <v>131</v>
      </c>
      <c r="C10" s="226" t="str">
        <f>'Key assumptions'!D16</f>
        <v>RY2023</v>
      </c>
      <c r="D10" s="226" t="str">
        <f>'Key assumptions'!E16</f>
        <v>RY2024</v>
      </c>
      <c r="E10" s="226" t="str">
        <f>'Key assumptions'!F16</f>
        <v>RY2025</v>
      </c>
      <c r="F10" s="226" t="str">
        <f>'Key assumptions'!G16</f>
        <v>RY2026
01Oct-31Jan</v>
      </c>
      <c r="G10" s="226" t="str">
        <f>'Key assumptions'!H16</f>
        <v>RY2026
01Feb-30Sep</v>
      </c>
      <c r="H10" s="226" t="str">
        <f>'Key assumptions'!I16</f>
        <v>RY2027</v>
      </c>
      <c r="I10" s="226" t="str">
        <f>'Key assumptions'!J16</f>
        <v>RY2028</v>
      </c>
      <c r="J10" s="226" t="str">
        <f>'Key assumptions'!K16</f>
        <v>RY2029</v>
      </c>
      <c r="K10" s="226" t="str">
        <f>'Key assumptions'!L16</f>
        <v>RY2030</v>
      </c>
      <c r="L10" s="226" t="str">
        <f>'Key assumptions'!M16</f>
        <v>RY2031</v>
      </c>
      <c r="M10" s="226" t="str">
        <f>'Key assumptions'!N16</f>
        <v>RY2032</v>
      </c>
      <c r="N10" s="226" t="s">
        <v>242</v>
      </c>
      <c r="O10" s="226" t="s">
        <v>243</v>
      </c>
      <c r="Q10" s="248" t="s">
        <v>134</v>
      </c>
      <c r="S10" s="226" t="s">
        <v>256</v>
      </c>
      <c r="U10" s="46"/>
      <c r="V10" s="46"/>
      <c r="W10" s="46"/>
      <c r="X10" s="46"/>
    </row>
    <row r="11" spans="1:27" s="45" customFormat="1" ht="15.95" customHeight="1" x14ac:dyDescent="0.3">
      <c r="A11" s="63"/>
      <c r="B11" s="169" t="s">
        <v>244</v>
      </c>
      <c r="C11" s="169"/>
      <c r="D11" s="169"/>
      <c r="E11" s="170"/>
      <c r="F11" s="242"/>
      <c r="G11" s="245"/>
      <c r="H11" s="170"/>
      <c r="I11" s="170"/>
      <c r="J11" s="170"/>
      <c r="K11" s="170"/>
      <c r="L11" s="170"/>
      <c r="M11" s="170"/>
      <c r="N11" s="171"/>
      <c r="O11" s="172"/>
      <c r="S11" s="245"/>
    </row>
    <row r="12" spans="1:27" s="45" customFormat="1" ht="15.95" customHeight="1" x14ac:dyDescent="0.3">
      <c r="A12" s="63"/>
      <c r="B12" s="173" t="str" cm="1">
        <f t="array" ref="B12:B24">CostCategories</f>
        <v>Community and Stakeholder Engagement</v>
      </c>
      <c r="C12" s="174">
        <f>_xlfn.XLOOKUP($B12,'Historical indirect capex'!$B$8:$B$20,'Historical indirect capex'!H$8:H$20,0)*labour_direct</f>
        <v>0</v>
      </c>
      <c r="D12" s="174">
        <f>_xlfn.XLOOKUP($B12,'Historical indirect capex'!$B$8:$B$20,'Historical indirect capex'!I$8:I$20,0)*labour_direct</f>
        <v>0</v>
      </c>
      <c r="E12" s="174">
        <f>_xlfn.XLOOKUP($B12,'Historical indirect capex'!$B$8:$B$20,'Historical indirect capex'!J$8:J$20,0)*labour_direct</f>
        <v>51806.469811413299</v>
      </c>
      <c r="F12" s="243">
        <f>_xlfn.XLOOKUP($B12,'Historical indirect capex'!$B$8:$B$20,'Historical indirect capex'!K$8:K$20,0)*labour_direct</f>
        <v>0</v>
      </c>
      <c r="G12" s="246">
        <f>_xlfn.XLOOKUP($B12,Internal_labour_calcs!$B$31:$B$43,Internal_labour_calcs!C$31:C$43,0)+_xlfn.XLOOKUP($B12,Outsourced_labour_calcs!$B$31:$B$43,Outsourced_labour_calcs!C$31:C$43,0)</f>
        <v>75739.064510280878</v>
      </c>
      <c r="H12" s="174">
        <f>_xlfn.XLOOKUP($B12,Internal_labour_calcs!$B$31:$B$43,Internal_labour_calcs!D$31:D$43,0)+_xlfn.XLOOKUP($B12,Outsourced_labour_calcs!$B$31:$B$43,Outsourced_labour_calcs!D$31:D$43,0)</f>
        <v>28002.985470088573</v>
      </c>
      <c r="I12" s="174">
        <f>_xlfn.XLOOKUP($B12,Internal_labour_calcs!$B$31:$B$43,Internal_labour_calcs!E$31:E$43,0)+_xlfn.XLOOKUP($B12,Outsourced_labour_calcs!$B$31:$B$43,Outsourced_labour_calcs!E$31:E$43,0)</f>
        <v>0</v>
      </c>
      <c r="J12" s="174">
        <f>_xlfn.XLOOKUP($B12,Internal_labour_calcs!$B$31:$B$43,Internal_labour_calcs!F$31:F$43,0)+_xlfn.XLOOKUP($B12,Outsourced_labour_calcs!$B$31:$B$43,Outsourced_labour_calcs!F$31:F$43,0)</f>
        <v>0</v>
      </c>
      <c r="K12" s="174">
        <f>_xlfn.XLOOKUP($B12,Internal_labour_calcs!$B$31:$B$43,Internal_labour_calcs!G$31:G$43,0)+_xlfn.XLOOKUP($B12,Outsourced_labour_calcs!$B$31:$B$43,Outsourced_labour_calcs!G$31:G$43,0)</f>
        <v>0</v>
      </c>
      <c r="L12" s="174">
        <f>_xlfn.XLOOKUP($B12,Internal_labour_calcs!$B$31:$B$43,Internal_labour_calcs!H$31:H$43,0)+_xlfn.XLOOKUP($B12,Outsourced_labour_calcs!$B$31:$B$43,Outsourced_labour_calcs!H$31:H$43,0)</f>
        <v>0</v>
      </c>
      <c r="M12" s="174">
        <f>_xlfn.XLOOKUP($B12,Internal_labour_calcs!$B$31:$B$43,Internal_labour_calcs!I$31:I$43,0)+_xlfn.XLOOKUP($B12,Outsourced_labour_calcs!$B$31:$B$43,Outsourced_labour_calcs!I$31:I$43,0)</f>
        <v>0</v>
      </c>
      <c r="N12" s="175">
        <f>SUM(C12:M12)</f>
        <v>155548.51979178275</v>
      </c>
      <c r="O12" s="175">
        <f>SUM(G12:M12)</f>
        <v>103742.04998036945</v>
      </c>
      <c r="Q12" s="227" t="str">
        <f>IF(ROUND(SUM(IFERROR(_xlfn.XLOOKUP($B12,Internal_labour_calcs!$B$31:$B$43,Internal_labour_calcs!$J$31:$J$43),0),IFERROR(_xlfn.XLOOKUP($B12,Outsourced_labour_calcs!$B$31:$B$43,Outsourced_labour_calcs!$J$31:$J$43),0))-O12,4)=0,"OK","ERROR")</f>
        <v>OK</v>
      </c>
      <c r="S12" s="246">
        <f>_xlfn.XLOOKUP($B12,Internal_labour_calcs!$B$31:$B$43,Internal_labour_calcs!L$31:L$43,0)+_xlfn.XLOOKUP($B12,Outsourced_labour_calcs!$B$31:$B$43,Outsourced_labour_calcs!L$31:L$43,0)</f>
        <v>45903.689999999995</v>
      </c>
      <c r="U12" s="47"/>
      <c r="V12" s="47"/>
      <c r="W12" s="47"/>
      <c r="X12" s="47"/>
      <c r="Y12" s="47"/>
    </row>
    <row r="13" spans="1:27" s="45" customFormat="1" ht="15.95" customHeight="1" x14ac:dyDescent="0.3">
      <c r="A13" s="63"/>
      <c r="B13" s="173" t="str">
        <v>Fleet</v>
      </c>
      <c r="C13" s="174">
        <f>_xlfn.XLOOKUP($B13,'Historical indirect capex'!$B$8:$B$20,'Historical indirect capex'!H$8:H$20,0)*labour_direct</f>
        <v>0</v>
      </c>
      <c r="D13" s="174">
        <f>_xlfn.XLOOKUP($B13,'Historical indirect capex'!$B$8:$B$20,'Historical indirect capex'!I$8:I$20,0)*labour_direct</f>
        <v>0</v>
      </c>
      <c r="E13" s="174">
        <f>_xlfn.XLOOKUP($B13,'Historical indirect capex'!$B$8:$B$20,'Historical indirect capex'!J$8:J$20,0)*labour_direct</f>
        <v>0</v>
      </c>
      <c r="F13" s="243">
        <f>_xlfn.XLOOKUP($B13,'Historical indirect capex'!$B$8:$B$20,'Historical indirect capex'!K$8:K$20,0)*labour_direct</f>
        <v>0</v>
      </c>
      <c r="G13" s="246">
        <f>_xlfn.XLOOKUP($B13,Internal_labour_calcs!$B$31:$B$43,Internal_labour_calcs!C$31:C$43,0)+_xlfn.XLOOKUP($B13,Outsourced_labour_calcs!$B$31:$B$43,Outsourced_labour_calcs!C$31:C$43,0)</f>
        <v>0</v>
      </c>
      <c r="H13" s="174">
        <f>_xlfn.XLOOKUP($B13,Internal_labour_calcs!$B$31:$B$43,Internal_labour_calcs!D$31:D$43,0)+_xlfn.XLOOKUP($B13,Outsourced_labour_calcs!$B$31:$B$43,Outsourced_labour_calcs!D$31:D$43,0)</f>
        <v>0</v>
      </c>
      <c r="I13" s="174">
        <f>_xlfn.XLOOKUP($B13,Internal_labour_calcs!$B$31:$B$43,Internal_labour_calcs!E$31:E$43,0)+_xlfn.XLOOKUP($B13,Outsourced_labour_calcs!$B$31:$B$43,Outsourced_labour_calcs!E$31:E$43,0)</f>
        <v>0</v>
      </c>
      <c r="J13" s="174">
        <f>_xlfn.XLOOKUP($B13,Internal_labour_calcs!$B$31:$B$43,Internal_labour_calcs!F$31:F$43,0)+_xlfn.XLOOKUP($B13,Outsourced_labour_calcs!$B$31:$B$43,Outsourced_labour_calcs!F$31:F$43,0)</f>
        <v>0</v>
      </c>
      <c r="K13" s="174">
        <f>_xlfn.XLOOKUP($B13,Internal_labour_calcs!$B$31:$B$43,Internal_labour_calcs!G$31:G$43,0)+_xlfn.XLOOKUP($B13,Outsourced_labour_calcs!$B$31:$B$43,Outsourced_labour_calcs!G$31:G$43,0)</f>
        <v>0</v>
      </c>
      <c r="L13" s="174">
        <f>_xlfn.XLOOKUP($B13,Internal_labour_calcs!$B$31:$B$43,Internal_labour_calcs!H$31:H$43,0)+_xlfn.XLOOKUP($B13,Outsourced_labour_calcs!$B$31:$B$43,Outsourced_labour_calcs!H$31:H$43,0)</f>
        <v>0</v>
      </c>
      <c r="M13" s="174">
        <f>_xlfn.XLOOKUP($B13,Internal_labour_calcs!$B$31:$B$43,Internal_labour_calcs!I$31:I$43,0)+_xlfn.XLOOKUP($B13,Outsourced_labour_calcs!$B$31:$B$43,Outsourced_labour_calcs!I$31:I$43,0)</f>
        <v>0</v>
      </c>
      <c r="N13" s="175">
        <f t="shared" ref="N13:N24" si="0">SUM(C13:M13)</f>
        <v>0</v>
      </c>
      <c r="O13" s="175">
        <f t="shared" ref="O13:O24" si="1">SUM(G13:M13)</f>
        <v>0</v>
      </c>
      <c r="Q13" s="227" t="str">
        <f>IF(ROUND(SUM(IFERROR(_xlfn.XLOOKUP($B13,Internal_labour_calcs!$B$31:$B$43,Internal_labour_calcs!$J$31:$J$43),0),IFERROR(_xlfn.XLOOKUP($B13,Outsourced_labour_calcs!$B$31:$B$43,Outsourced_labour_calcs!$J$31:$J$43),0))-O13,4)=0,"OK","ERROR")</f>
        <v>OK</v>
      </c>
      <c r="S13" s="246">
        <f>_xlfn.XLOOKUP($B13,Internal_labour_calcs!$B$31:$B$43,Internal_labour_calcs!L$31:L$43,0)+_xlfn.XLOOKUP($B13,Outsourced_labour_calcs!$B$31:$B$43,Outsourced_labour_calcs!L$31:L$43,0)</f>
        <v>0</v>
      </c>
      <c r="U13" s="47"/>
      <c r="V13" s="47"/>
      <c r="W13" s="47"/>
      <c r="X13" s="47"/>
      <c r="Y13" s="47"/>
    </row>
    <row r="14" spans="1:27" s="45" customFormat="1" ht="15.95" customHeight="1" x14ac:dyDescent="0.3">
      <c r="A14" s="63"/>
      <c r="B14" s="173" t="str">
        <v>Land and Environment</v>
      </c>
      <c r="C14" s="174">
        <f>_xlfn.XLOOKUP($B14,'Historical indirect capex'!$B$8:$B$20,'Historical indirect capex'!H$8:H$20,0)*labour_direct</f>
        <v>0</v>
      </c>
      <c r="D14" s="174">
        <f>_xlfn.XLOOKUP($B14,'Historical indirect capex'!$B$8:$B$20,'Historical indirect capex'!I$8:I$20,0)*labour_direct</f>
        <v>15288.972413913769</v>
      </c>
      <c r="E14" s="174">
        <f>_xlfn.XLOOKUP($B14,'Historical indirect capex'!$B$8:$B$20,'Historical indirect capex'!J$8:J$20,0)*labour_direct</f>
        <v>418204.10482590471</v>
      </c>
      <c r="F14" s="243">
        <f>_xlfn.XLOOKUP($B14,'Historical indirect capex'!$B$8:$B$20,'Historical indirect capex'!K$8:K$20,0)*labour_direct</f>
        <v>151370.41919155684</v>
      </c>
      <c r="G14" s="246">
        <f>_xlfn.XLOOKUP($B14,Internal_labour_calcs!$B$31:$B$43,Internal_labour_calcs!C$31:C$43,0)+_xlfn.XLOOKUP($B14,Outsourced_labour_calcs!$B$31:$B$43,Outsourced_labour_calcs!C$31:C$43,0)</f>
        <v>632753.02567675617</v>
      </c>
      <c r="H14" s="174">
        <f>_xlfn.XLOOKUP($B14,Internal_labour_calcs!$B$31:$B$43,Internal_labour_calcs!D$31:D$43,0)+_xlfn.XLOOKUP($B14,Outsourced_labour_calcs!$B$31:$B$43,Outsourced_labour_calcs!D$31:D$43,0)</f>
        <v>1171253.3305256178</v>
      </c>
      <c r="I14" s="174">
        <f>_xlfn.XLOOKUP($B14,Internal_labour_calcs!$B$31:$B$43,Internal_labour_calcs!E$31:E$43,0)+_xlfn.XLOOKUP($B14,Outsourced_labour_calcs!$B$31:$B$43,Outsourced_labour_calcs!E$31:E$43,0)</f>
        <v>1174410.6943128512</v>
      </c>
      <c r="J14" s="174">
        <f>_xlfn.XLOOKUP($B14,Internal_labour_calcs!$B$31:$B$43,Internal_labour_calcs!F$31:F$43,0)+_xlfn.XLOOKUP($B14,Outsourced_labour_calcs!$B$31:$B$43,Outsourced_labour_calcs!F$31:F$43,0)</f>
        <v>112673.73299572215</v>
      </c>
      <c r="K14" s="174">
        <f>_xlfn.XLOOKUP($B14,Internal_labour_calcs!$B$31:$B$43,Internal_labour_calcs!G$31:G$43,0)+_xlfn.XLOOKUP($B14,Outsourced_labour_calcs!$B$31:$B$43,Outsourced_labour_calcs!G$31:G$43,0)</f>
        <v>0</v>
      </c>
      <c r="L14" s="174">
        <f>_xlfn.XLOOKUP($B14,Internal_labour_calcs!$B$31:$B$43,Internal_labour_calcs!H$31:H$43,0)+_xlfn.XLOOKUP($B14,Outsourced_labour_calcs!$B$31:$B$43,Outsourced_labour_calcs!H$31:H$43,0)</f>
        <v>0</v>
      </c>
      <c r="M14" s="174">
        <f>_xlfn.XLOOKUP($B14,Internal_labour_calcs!$B$31:$B$43,Internal_labour_calcs!I$31:I$43,0)+_xlfn.XLOOKUP($B14,Outsourced_labour_calcs!$B$31:$B$43,Outsourced_labour_calcs!I$31:I$43,0)</f>
        <v>0</v>
      </c>
      <c r="N14" s="175">
        <f t="shared" si="0"/>
        <v>3675954.2799423221</v>
      </c>
      <c r="O14" s="175">
        <f t="shared" si="1"/>
        <v>3091090.7835109471</v>
      </c>
      <c r="Q14" s="227" t="str">
        <f>IF(ROUND(SUM(IFERROR(_xlfn.XLOOKUP($B14,Internal_labour_calcs!$B$31:$B$43,Internal_labour_calcs!$J$31:$J$43),0),IFERROR(_xlfn.XLOOKUP($B14,Outsourced_labour_calcs!$B$31:$B$43,Outsourced_labour_calcs!$J$31:$J$43),0))-O14,4)=0,"OK","ERROR")</f>
        <v>OK</v>
      </c>
      <c r="S14" s="246">
        <f>_xlfn.XLOOKUP($B14,Internal_labour_calcs!$B$31:$B$43,Internal_labour_calcs!L$31:L$43,0)+_xlfn.XLOOKUP($B14,Outsourced_labour_calcs!$B$31:$B$43,Outsourced_labour_calcs!L$31:L$43,0)</f>
        <v>293705.60800000001</v>
      </c>
      <c r="U14" s="47"/>
      <c r="V14" s="47"/>
      <c r="W14" s="47"/>
      <c r="X14" s="47"/>
      <c r="Y14" s="47"/>
    </row>
    <row r="15" spans="1:27" s="45" customFormat="1" ht="15.95" customHeight="1" x14ac:dyDescent="0.3">
      <c r="A15" s="63"/>
      <c r="B15" s="173" t="str">
        <v>Other Support &amp; Corporate Roles</v>
      </c>
      <c r="C15" s="174">
        <f>_xlfn.XLOOKUP($B15,'Historical indirect capex'!$B$8:$B$20,'Historical indirect capex'!H$8:H$20,0)*labour_direct</f>
        <v>0</v>
      </c>
      <c r="D15" s="174">
        <f>_xlfn.XLOOKUP($B15,'Historical indirect capex'!$B$8:$B$20,'Historical indirect capex'!I$8:I$20,0)*labour_direct</f>
        <v>32546.722127872938</v>
      </c>
      <c r="E15" s="174">
        <f>_xlfn.XLOOKUP($B15,'Historical indirect capex'!$B$8:$B$20,'Historical indirect capex'!J$8:J$20,0)*labour_direct</f>
        <v>256432.07834259025</v>
      </c>
      <c r="F15" s="243">
        <f>_xlfn.XLOOKUP($B15,'Historical indirect capex'!$B$8:$B$20,'Historical indirect capex'!K$8:K$20,0)*labour_direct</f>
        <v>169902.78999756885</v>
      </c>
      <c r="G15" s="246">
        <f>_xlfn.XLOOKUP($B15,Internal_labour_calcs!$B$31:$B$43,Internal_labour_calcs!C$31:C$43,0)+_xlfn.XLOOKUP($B15,Outsourced_labour_calcs!$B$31:$B$43,Outsourced_labour_calcs!C$31:C$43,0)</f>
        <v>3705417.8070752649</v>
      </c>
      <c r="H15" s="174">
        <f>_xlfn.XLOOKUP($B15,Internal_labour_calcs!$B$31:$B$43,Internal_labour_calcs!D$31:D$43,0)+_xlfn.XLOOKUP($B15,Outsourced_labour_calcs!$B$31:$B$43,Outsourced_labour_calcs!D$31:D$43,0)</f>
        <v>4953374.6683863821</v>
      </c>
      <c r="I15" s="174">
        <f>_xlfn.XLOOKUP($B15,Internal_labour_calcs!$B$31:$B$43,Internal_labour_calcs!E$31:E$43,0)+_xlfn.XLOOKUP($B15,Outsourced_labour_calcs!$B$31:$B$43,Outsourced_labour_calcs!E$31:E$43,0)</f>
        <v>4553990.4154246887</v>
      </c>
      <c r="J15" s="174">
        <f>_xlfn.XLOOKUP($B15,Internal_labour_calcs!$B$31:$B$43,Internal_labour_calcs!F$31:F$43,0)+_xlfn.XLOOKUP($B15,Outsourced_labour_calcs!$B$31:$B$43,Outsourced_labour_calcs!F$31:F$43,0)</f>
        <v>2203527.8910876876</v>
      </c>
      <c r="K15" s="174">
        <f>_xlfn.XLOOKUP($B15,Internal_labour_calcs!$B$31:$B$43,Internal_labour_calcs!G$31:G$43,0)+_xlfn.XLOOKUP($B15,Outsourced_labour_calcs!$B$31:$B$43,Outsourced_labour_calcs!G$31:G$43,0)</f>
        <v>0</v>
      </c>
      <c r="L15" s="174">
        <f>_xlfn.XLOOKUP($B15,Internal_labour_calcs!$B$31:$B$43,Internal_labour_calcs!H$31:H$43,0)+_xlfn.XLOOKUP($B15,Outsourced_labour_calcs!$B$31:$B$43,Outsourced_labour_calcs!H$31:H$43,0)</f>
        <v>0</v>
      </c>
      <c r="M15" s="174">
        <f>_xlfn.XLOOKUP($B15,Internal_labour_calcs!$B$31:$B$43,Internal_labour_calcs!I$31:I$43,0)+_xlfn.XLOOKUP($B15,Outsourced_labour_calcs!$B$31:$B$43,Outsourced_labour_calcs!I$31:I$43,0)</f>
        <v>0</v>
      </c>
      <c r="N15" s="175">
        <f t="shared" si="0"/>
        <v>15875192.372442055</v>
      </c>
      <c r="O15" s="175">
        <f t="shared" si="1"/>
        <v>15416310.781974025</v>
      </c>
      <c r="Q15" s="227" t="str">
        <f>IF(ROUND(SUM(IFERROR(_xlfn.XLOOKUP($B15,Internal_labour_calcs!$B$31:$B$43,Internal_labour_calcs!$J$31:$J$43),0),IFERROR(_xlfn.XLOOKUP($B15,Outsourced_labour_calcs!$B$31:$B$43,Outsourced_labour_calcs!$J$31:$J$43),0))-O15,4)=0,"OK","ERROR")</f>
        <v>OK</v>
      </c>
      <c r="S15" s="246">
        <f>_xlfn.XLOOKUP($B15,Internal_labour_calcs!$B$31:$B$43,Internal_labour_calcs!L$31:L$43,0)+_xlfn.XLOOKUP($B15,Outsourced_labour_calcs!$B$31:$B$43,Outsourced_labour_calcs!L$31:L$43,0)</f>
        <v>2139221.1637645047</v>
      </c>
      <c r="U15" s="47"/>
      <c r="V15" s="47"/>
      <c r="W15" s="47"/>
      <c r="X15" s="47"/>
      <c r="Y15" s="47"/>
    </row>
    <row r="16" spans="1:27" s="45" customFormat="1" ht="15.95" customHeight="1" x14ac:dyDescent="0.3">
      <c r="A16" s="63"/>
      <c r="B16" s="173" t="str">
        <v>Project Delivery Management - Commercial Management</v>
      </c>
      <c r="C16" s="174">
        <f>_xlfn.XLOOKUP($B16,'Historical indirect capex'!$B$8:$B$20,'Historical indirect capex'!H$8:H$20,0)*labour_direct</f>
        <v>0</v>
      </c>
      <c r="D16" s="174">
        <f>_xlfn.XLOOKUP($B16,'Historical indirect capex'!$B$8:$B$20,'Historical indirect capex'!I$8:I$20,0)*labour_direct</f>
        <v>0</v>
      </c>
      <c r="E16" s="174">
        <f>_xlfn.XLOOKUP($B16,'Historical indirect capex'!$B$8:$B$20,'Historical indirect capex'!J$8:J$20,0)*labour_direct</f>
        <v>133.60304748434396</v>
      </c>
      <c r="F16" s="243">
        <f>_xlfn.XLOOKUP($B16,'Historical indirect capex'!$B$8:$B$20,'Historical indirect capex'!K$8:K$20,0)*labour_direct</f>
        <v>0</v>
      </c>
      <c r="G16" s="246">
        <f>_xlfn.XLOOKUP($B16,Internal_labour_calcs!$B$31:$B$43,Internal_labour_calcs!C$31:C$43,0)+_xlfn.XLOOKUP($B16,Outsourced_labour_calcs!$B$31:$B$43,Outsourced_labour_calcs!C$31:C$43,0)</f>
        <v>1378968.8482887158</v>
      </c>
      <c r="H16" s="174">
        <f>_xlfn.XLOOKUP($B16,Internal_labour_calcs!$B$31:$B$43,Internal_labour_calcs!D$31:D$43,0)+_xlfn.XLOOKUP($B16,Outsourced_labour_calcs!$B$31:$B$43,Outsourced_labour_calcs!D$31:D$43,0)</f>
        <v>2168561.7797542438</v>
      </c>
      <c r="I16" s="174">
        <f>_xlfn.XLOOKUP($B16,Internal_labour_calcs!$B$31:$B$43,Internal_labour_calcs!E$31:E$43,0)+_xlfn.XLOOKUP($B16,Outsourced_labour_calcs!$B$31:$B$43,Outsourced_labour_calcs!E$31:E$43,0)</f>
        <v>2176088.1931729675</v>
      </c>
      <c r="J16" s="174">
        <f>_xlfn.XLOOKUP($B16,Internal_labour_calcs!$B$31:$B$43,Internal_labour_calcs!F$31:F$43,0)+_xlfn.XLOOKUP($B16,Outsourced_labour_calcs!$B$31:$B$43,Outsourced_labour_calcs!F$31:F$43,0)</f>
        <v>641981.10252632503</v>
      </c>
      <c r="K16" s="174">
        <f>_xlfn.XLOOKUP($B16,Internal_labour_calcs!$B$31:$B$43,Internal_labour_calcs!G$31:G$43,0)+_xlfn.XLOOKUP($B16,Outsourced_labour_calcs!$B$31:$B$43,Outsourced_labour_calcs!G$31:G$43,0)</f>
        <v>0</v>
      </c>
      <c r="L16" s="174">
        <f>_xlfn.XLOOKUP($B16,Internal_labour_calcs!$B$31:$B$43,Internal_labour_calcs!H$31:H$43,0)+_xlfn.XLOOKUP($B16,Outsourced_labour_calcs!$B$31:$B$43,Outsourced_labour_calcs!H$31:H$43,0)</f>
        <v>0</v>
      </c>
      <c r="M16" s="174">
        <f>_xlfn.XLOOKUP($B16,Internal_labour_calcs!$B$31:$B$43,Internal_labour_calcs!I$31:I$43,0)+_xlfn.XLOOKUP($B16,Outsourced_labour_calcs!$B$31:$B$43,Outsourced_labour_calcs!I$31:I$43,0)</f>
        <v>0</v>
      </c>
      <c r="N16" s="175">
        <f t="shared" si="0"/>
        <v>6365733.5267897369</v>
      </c>
      <c r="O16" s="175">
        <f t="shared" si="1"/>
        <v>6365599.9237422524</v>
      </c>
      <c r="Q16" s="227" t="str">
        <f>IF(ROUND(SUM(IFERROR(_xlfn.XLOOKUP($B16,Internal_labour_calcs!$B$31:$B$43,Internal_labour_calcs!$J$31:$J$43),0),IFERROR(_xlfn.XLOOKUP($B16,Outsourced_labour_calcs!$B$31:$B$43,Outsourced_labour_calcs!$J$31:$J$43),0))-O16,4)=0,"OK","ERROR")</f>
        <v>OK</v>
      </c>
      <c r="S16" s="246">
        <f>_xlfn.XLOOKUP($B16,Internal_labour_calcs!$B$31:$B$43,Internal_labour_calcs!L$31:L$43,0)+_xlfn.XLOOKUP($B16,Outsourced_labour_calcs!$B$31:$B$43,Outsourced_labour_calcs!L$31:L$43,0)</f>
        <v>781619.82499999995</v>
      </c>
      <c r="U16" s="47"/>
      <c r="V16" s="47"/>
      <c r="W16" s="47"/>
      <c r="X16" s="47"/>
      <c r="Y16" s="47"/>
    </row>
    <row r="17" spans="1:25" s="45" customFormat="1" ht="15.95" customHeight="1" x14ac:dyDescent="0.3">
      <c r="A17" s="63"/>
      <c r="B17" s="173" t="str">
        <v>Project Delivery Management - Commissioning</v>
      </c>
      <c r="C17" s="174">
        <f>_xlfn.XLOOKUP($B17,'Historical indirect capex'!$B$8:$B$20,'Historical indirect capex'!H$8:H$20,0)*labour_direct</f>
        <v>0</v>
      </c>
      <c r="D17" s="174">
        <f>_xlfn.XLOOKUP($B17,'Historical indirect capex'!$B$8:$B$20,'Historical indirect capex'!I$8:I$20,0)*labour_direct</f>
        <v>0</v>
      </c>
      <c r="E17" s="174">
        <f>_xlfn.XLOOKUP($B17,'Historical indirect capex'!$B$8:$B$20,'Historical indirect capex'!J$8:J$20,0)*labour_direct</f>
        <v>0</v>
      </c>
      <c r="F17" s="243">
        <f>_xlfn.XLOOKUP($B17,'Historical indirect capex'!$B$8:$B$20,'Historical indirect capex'!K$8:K$20,0)*labour_direct</f>
        <v>0</v>
      </c>
      <c r="G17" s="246">
        <f>_xlfn.XLOOKUP($B17,Internal_labour_calcs!$B$31:$B$43,Internal_labour_calcs!C$31:C$43,0)+_xlfn.XLOOKUP($B17,Outsourced_labour_calcs!$B$31:$B$43,Outsourced_labour_calcs!C$31:C$43,0)</f>
        <v>1226670.8825257898</v>
      </c>
      <c r="H17" s="174">
        <f>_xlfn.XLOOKUP($B17,Internal_labour_calcs!$B$31:$B$43,Internal_labour_calcs!D$31:D$43,0)+_xlfn.XLOOKUP($B17,Outsourced_labour_calcs!$B$31:$B$43,Outsourced_labour_calcs!D$31:D$43,0)</f>
        <v>6409059.1679068394</v>
      </c>
      <c r="I17" s="174">
        <f>_xlfn.XLOOKUP($B17,Internal_labour_calcs!$B$31:$B$43,Internal_labour_calcs!E$31:E$43,0)+_xlfn.XLOOKUP($B17,Outsourced_labour_calcs!$B$31:$B$43,Outsourced_labour_calcs!E$31:E$43,0)</f>
        <v>6370084.2053788826</v>
      </c>
      <c r="J17" s="174">
        <f>_xlfn.XLOOKUP($B17,Internal_labour_calcs!$B$31:$B$43,Internal_labour_calcs!F$31:F$43,0)+_xlfn.XLOOKUP($B17,Outsourced_labour_calcs!$B$31:$B$43,Outsourced_labour_calcs!F$31:F$43,0)</f>
        <v>956767.47312206903</v>
      </c>
      <c r="K17" s="174">
        <f>_xlfn.XLOOKUP($B17,Internal_labour_calcs!$B$31:$B$43,Internal_labour_calcs!G$31:G$43,0)+_xlfn.XLOOKUP($B17,Outsourced_labour_calcs!$B$31:$B$43,Outsourced_labour_calcs!G$31:G$43,0)</f>
        <v>0</v>
      </c>
      <c r="L17" s="174">
        <f>_xlfn.XLOOKUP($B17,Internal_labour_calcs!$B$31:$B$43,Internal_labour_calcs!H$31:H$43,0)+_xlfn.XLOOKUP($B17,Outsourced_labour_calcs!$B$31:$B$43,Outsourced_labour_calcs!H$31:H$43,0)</f>
        <v>0</v>
      </c>
      <c r="M17" s="174">
        <f>_xlfn.XLOOKUP($B17,Internal_labour_calcs!$B$31:$B$43,Internal_labour_calcs!I$31:I$43,0)+_xlfn.XLOOKUP($B17,Outsourced_labour_calcs!$B$31:$B$43,Outsourced_labour_calcs!I$31:I$43,0)</f>
        <v>0</v>
      </c>
      <c r="N17" s="175">
        <f t="shared" si="0"/>
        <v>14962581.728933582</v>
      </c>
      <c r="O17" s="175">
        <f t="shared" si="1"/>
        <v>14962581.728933582</v>
      </c>
      <c r="Q17" s="227" t="str">
        <f>IF(ROUND(SUM(IFERROR(_xlfn.XLOOKUP($B17,Internal_labour_calcs!$B$31:$B$43,Internal_labour_calcs!$J$31:$J$43),0),IFERROR(_xlfn.XLOOKUP($B17,Outsourced_labour_calcs!$B$31:$B$43,Outsourced_labour_calcs!$J$31:$J$43),0))-O17,4)=0,"OK","ERROR")</f>
        <v>OK</v>
      </c>
      <c r="S17" s="246">
        <f>_xlfn.XLOOKUP($B17,Internal_labour_calcs!$B$31:$B$43,Internal_labour_calcs!L$31:L$43,0)+_xlfn.XLOOKUP($B17,Outsourced_labour_calcs!$B$31:$B$43,Outsourced_labour_calcs!L$31:L$43,0)</f>
        <v>319168.56300000002</v>
      </c>
      <c r="U17" s="47"/>
      <c r="V17" s="47"/>
      <c r="W17" s="47"/>
      <c r="X17" s="47"/>
      <c r="Y17" s="47"/>
    </row>
    <row r="18" spans="1:25" s="45" customFormat="1" ht="15.95" customHeight="1" x14ac:dyDescent="0.3">
      <c r="A18" s="63"/>
      <c r="B18" s="173" t="str">
        <v>Project Delivery Management - Construction Management</v>
      </c>
      <c r="C18" s="174">
        <f>_xlfn.XLOOKUP($B18,'Historical indirect capex'!$B$8:$B$20,'Historical indirect capex'!H$8:H$20,0)*labour_direct</f>
        <v>0</v>
      </c>
      <c r="D18" s="174">
        <f>_xlfn.XLOOKUP($B18,'Historical indirect capex'!$B$8:$B$20,'Historical indirect capex'!I$8:I$20,0)*labour_direct</f>
        <v>1718.025235193305</v>
      </c>
      <c r="E18" s="174">
        <f>_xlfn.XLOOKUP($B18,'Historical indirect capex'!$B$8:$B$20,'Historical indirect capex'!J$8:J$20,0)*labour_direct</f>
        <v>65797.29491477758</v>
      </c>
      <c r="F18" s="243">
        <f>_xlfn.XLOOKUP($B18,'Historical indirect capex'!$B$8:$B$20,'Historical indirect capex'!K$8:K$20,0)*labour_direct</f>
        <v>0</v>
      </c>
      <c r="G18" s="246">
        <f>_xlfn.XLOOKUP($B18,Internal_labour_calcs!$B$31:$B$43,Internal_labour_calcs!C$31:C$43,0)+_xlfn.XLOOKUP($B18,Outsourced_labour_calcs!$B$31:$B$43,Outsourced_labour_calcs!C$31:C$43,0)</f>
        <v>2874336.2622471116</v>
      </c>
      <c r="H18" s="174">
        <f>_xlfn.XLOOKUP($B18,Internal_labour_calcs!$B$31:$B$43,Internal_labour_calcs!D$31:D$43,0)+_xlfn.XLOOKUP($B18,Outsourced_labour_calcs!$B$31:$B$43,Outsourced_labour_calcs!D$31:D$43,0)</f>
        <v>7013162.9089280758</v>
      </c>
      <c r="I18" s="174">
        <f>_xlfn.XLOOKUP($B18,Internal_labour_calcs!$B$31:$B$43,Internal_labour_calcs!E$31:E$43,0)+_xlfn.XLOOKUP($B18,Outsourced_labour_calcs!$B$31:$B$43,Outsourced_labour_calcs!E$31:E$43,0)</f>
        <v>6940502.3386801546</v>
      </c>
      <c r="J18" s="174">
        <f>_xlfn.XLOOKUP($B18,Internal_labour_calcs!$B$31:$B$43,Internal_labour_calcs!F$31:F$43,0)+_xlfn.XLOOKUP($B18,Outsourced_labour_calcs!$B$31:$B$43,Outsourced_labour_calcs!F$31:F$43,0)</f>
        <v>1281321.3826343832</v>
      </c>
      <c r="K18" s="174">
        <f>_xlfn.XLOOKUP($B18,Internal_labour_calcs!$B$31:$B$43,Internal_labour_calcs!G$31:G$43,0)+_xlfn.XLOOKUP($B18,Outsourced_labour_calcs!$B$31:$B$43,Outsourced_labour_calcs!G$31:G$43,0)</f>
        <v>0</v>
      </c>
      <c r="L18" s="174">
        <f>_xlfn.XLOOKUP($B18,Internal_labour_calcs!$B$31:$B$43,Internal_labour_calcs!H$31:H$43,0)+_xlfn.XLOOKUP($B18,Outsourced_labour_calcs!$B$31:$B$43,Outsourced_labour_calcs!H$31:H$43,0)</f>
        <v>0</v>
      </c>
      <c r="M18" s="174">
        <f>_xlfn.XLOOKUP($B18,Internal_labour_calcs!$B$31:$B$43,Internal_labour_calcs!I$31:I$43,0)+_xlfn.XLOOKUP($B18,Outsourced_labour_calcs!$B$31:$B$43,Outsourced_labour_calcs!I$31:I$43,0)</f>
        <v>0</v>
      </c>
      <c r="N18" s="175">
        <f t="shared" si="0"/>
        <v>18176838.212639697</v>
      </c>
      <c r="O18" s="175">
        <f t="shared" si="1"/>
        <v>18109322.892489724</v>
      </c>
      <c r="Q18" s="227" t="str">
        <f>IF(ROUND(SUM(IFERROR(_xlfn.XLOOKUP($B18,Internal_labour_calcs!$B$31:$B$43,Internal_labour_calcs!$J$31:$J$43),0),IFERROR(_xlfn.XLOOKUP($B18,Outsourced_labour_calcs!$B$31:$B$43,Outsourced_labour_calcs!$J$31:$J$43),0))-O18,4)=0,"OK","ERROR")</f>
        <v>OK</v>
      </c>
      <c r="S18" s="246">
        <f>_xlfn.XLOOKUP($B18,Internal_labour_calcs!$B$31:$B$43,Internal_labour_calcs!L$31:L$43,0)+_xlfn.XLOOKUP($B18,Outsourced_labour_calcs!$B$31:$B$43,Outsourced_labour_calcs!L$31:L$43,0)</f>
        <v>1264332.4119999998</v>
      </c>
      <c r="U18" s="47"/>
      <c r="V18" s="47"/>
      <c r="W18" s="47"/>
      <c r="X18" s="47"/>
      <c r="Y18" s="47"/>
    </row>
    <row r="19" spans="1:25" s="45" customFormat="1" ht="15.95" customHeight="1" x14ac:dyDescent="0.3">
      <c r="A19" s="63"/>
      <c r="B19" s="173" t="str">
        <v>Project Delivery Management - Project Controls</v>
      </c>
      <c r="C19" s="174">
        <f>_xlfn.XLOOKUP($B19,'Historical indirect capex'!$B$8:$B$20,'Historical indirect capex'!H$8:H$20,0)*labour_direct</f>
        <v>0</v>
      </c>
      <c r="D19" s="174">
        <f>_xlfn.XLOOKUP($B19,'Historical indirect capex'!$B$8:$B$20,'Historical indirect capex'!I$8:I$20,0)*labour_direct</f>
        <v>0</v>
      </c>
      <c r="E19" s="174">
        <f>_xlfn.XLOOKUP($B19,'Historical indirect capex'!$B$8:$B$20,'Historical indirect capex'!J$8:J$20,0)*labour_direct</f>
        <v>1961.5835275390314</v>
      </c>
      <c r="F19" s="243">
        <f>_xlfn.XLOOKUP($B19,'Historical indirect capex'!$B$8:$B$20,'Historical indirect capex'!K$8:K$20,0)*labour_direct</f>
        <v>235269.36139889699</v>
      </c>
      <c r="G19" s="246">
        <f>_xlfn.XLOOKUP($B19,Internal_labour_calcs!$B$31:$B$43,Internal_labour_calcs!C$31:C$43,0)+_xlfn.XLOOKUP($B19,Outsourced_labour_calcs!$B$31:$B$43,Outsourced_labour_calcs!C$31:C$43,0)</f>
        <v>2718336.5468635564</v>
      </c>
      <c r="H19" s="174">
        <f>_xlfn.XLOOKUP($B19,Internal_labour_calcs!$B$31:$B$43,Internal_labour_calcs!D$31:D$43,0)+_xlfn.XLOOKUP($B19,Outsourced_labour_calcs!$B$31:$B$43,Outsourced_labour_calcs!D$31:D$43,0)</f>
        <v>3997889.303715812</v>
      </c>
      <c r="I19" s="174">
        <f>_xlfn.XLOOKUP($B19,Internal_labour_calcs!$B$31:$B$43,Internal_labour_calcs!E$31:E$43,0)+_xlfn.XLOOKUP($B19,Outsourced_labour_calcs!$B$31:$B$43,Outsourced_labour_calcs!E$31:E$43,0)</f>
        <v>3989510.7437278824</v>
      </c>
      <c r="J19" s="174">
        <f>_xlfn.XLOOKUP($B19,Internal_labour_calcs!$B$31:$B$43,Internal_labour_calcs!F$31:F$43,0)+_xlfn.XLOOKUP($B19,Outsourced_labour_calcs!$B$31:$B$43,Outsourced_labour_calcs!F$31:F$43,0)</f>
        <v>1295867.3209148343</v>
      </c>
      <c r="K19" s="174">
        <f>_xlfn.XLOOKUP($B19,Internal_labour_calcs!$B$31:$B$43,Internal_labour_calcs!G$31:G$43,0)+_xlfn.XLOOKUP($B19,Outsourced_labour_calcs!$B$31:$B$43,Outsourced_labour_calcs!G$31:G$43,0)</f>
        <v>0</v>
      </c>
      <c r="L19" s="174">
        <f>_xlfn.XLOOKUP($B19,Internal_labour_calcs!$B$31:$B$43,Internal_labour_calcs!H$31:H$43,0)+_xlfn.XLOOKUP($B19,Outsourced_labour_calcs!$B$31:$B$43,Outsourced_labour_calcs!H$31:H$43,0)</f>
        <v>0</v>
      </c>
      <c r="M19" s="174">
        <f>_xlfn.XLOOKUP($B19,Internal_labour_calcs!$B$31:$B$43,Internal_labour_calcs!I$31:I$43,0)+_xlfn.XLOOKUP($B19,Outsourced_labour_calcs!$B$31:$B$43,Outsourced_labour_calcs!I$31:I$43,0)</f>
        <v>0</v>
      </c>
      <c r="N19" s="175">
        <f t="shared" si="0"/>
        <v>12238834.860148523</v>
      </c>
      <c r="O19" s="175">
        <f t="shared" si="1"/>
        <v>12001603.915222086</v>
      </c>
      <c r="Q19" s="227" t="str">
        <f>IF(ROUND(SUM(IFERROR(_xlfn.XLOOKUP($B19,Internal_labour_calcs!$B$31:$B$43,Internal_labour_calcs!$J$31:$J$43),0),IFERROR(_xlfn.XLOOKUP($B19,Outsourced_labour_calcs!$B$31:$B$43,Outsourced_labour_calcs!$J$31:$J$43),0))-O19,4)=0,"OK","ERROR")</f>
        <v>OK</v>
      </c>
      <c r="S19" s="246">
        <f>_xlfn.XLOOKUP($B19,Internal_labour_calcs!$B$31:$B$43,Internal_labour_calcs!L$31:L$43,0)+_xlfn.XLOOKUP($B19,Outsourced_labour_calcs!$B$31:$B$43,Outsourced_labour_calcs!L$31:L$43,0)</f>
        <v>1624657.44</v>
      </c>
      <c r="U19" s="47"/>
      <c r="V19" s="47"/>
      <c r="W19" s="47"/>
      <c r="X19" s="47"/>
      <c r="Y19" s="47"/>
    </row>
    <row r="20" spans="1:25" s="45" customFormat="1" ht="15.95" customHeight="1" x14ac:dyDescent="0.3">
      <c r="A20" s="63"/>
      <c r="B20" s="173" t="str">
        <v>Project Delivery Management - Project Engineering</v>
      </c>
      <c r="C20" s="174">
        <f>_xlfn.XLOOKUP($B20,'Historical indirect capex'!$B$8:$B$20,'Historical indirect capex'!H$8:H$20,0)*labour_direct</f>
        <v>0</v>
      </c>
      <c r="D20" s="174">
        <f>_xlfn.XLOOKUP($B20,'Historical indirect capex'!$B$8:$B$20,'Historical indirect capex'!I$8:I$20,0)*labour_direct</f>
        <v>0</v>
      </c>
      <c r="E20" s="174">
        <f>_xlfn.XLOOKUP($B20,'Historical indirect capex'!$B$8:$B$20,'Historical indirect capex'!J$8:J$20,0)*labour_direct</f>
        <v>0</v>
      </c>
      <c r="F20" s="243">
        <f>_xlfn.XLOOKUP($B20,'Historical indirect capex'!$B$8:$B$20,'Historical indirect capex'!K$8:K$20,0)*labour_direct</f>
        <v>0</v>
      </c>
      <c r="G20" s="246">
        <f>_xlfn.XLOOKUP($B20,Internal_labour_calcs!$B$31:$B$43,Internal_labour_calcs!C$31:C$43,0)+_xlfn.XLOOKUP($B20,Outsourced_labour_calcs!$B$31:$B$43,Outsourced_labour_calcs!C$31:C$43,0)</f>
        <v>611125.13482374209</v>
      </c>
      <c r="H20" s="174">
        <f>_xlfn.XLOOKUP($B20,Internal_labour_calcs!$B$31:$B$43,Internal_labour_calcs!D$31:D$43,0)+_xlfn.XLOOKUP($B20,Outsourced_labour_calcs!$B$31:$B$43,Outsourced_labour_calcs!D$31:D$43,0)</f>
        <v>540254.72684413241</v>
      </c>
      <c r="I20" s="174">
        <f>_xlfn.XLOOKUP($B20,Internal_labour_calcs!$B$31:$B$43,Internal_labour_calcs!E$31:E$43,0)+_xlfn.XLOOKUP($B20,Outsourced_labour_calcs!$B$31:$B$43,Outsourced_labour_calcs!E$31:E$43,0)</f>
        <v>353476.84644921555</v>
      </c>
      <c r="J20" s="174">
        <f>_xlfn.XLOOKUP($B20,Internal_labour_calcs!$B$31:$B$43,Internal_labour_calcs!F$31:F$43,0)+_xlfn.XLOOKUP($B20,Outsourced_labour_calcs!$B$31:$B$43,Outsourced_labour_calcs!F$31:F$43,0)</f>
        <v>138673.47004153774</v>
      </c>
      <c r="K20" s="174">
        <f>_xlfn.XLOOKUP($B20,Internal_labour_calcs!$B$31:$B$43,Internal_labour_calcs!G$31:G$43,0)+_xlfn.XLOOKUP($B20,Outsourced_labour_calcs!$B$31:$B$43,Outsourced_labour_calcs!G$31:G$43,0)</f>
        <v>0</v>
      </c>
      <c r="L20" s="174">
        <f>_xlfn.XLOOKUP($B20,Internal_labour_calcs!$B$31:$B$43,Internal_labour_calcs!H$31:H$43,0)+_xlfn.XLOOKUP($B20,Outsourced_labour_calcs!$B$31:$B$43,Outsourced_labour_calcs!H$31:H$43,0)</f>
        <v>0</v>
      </c>
      <c r="M20" s="174">
        <f>_xlfn.XLOOKUP($B20,Internal_labour_calcs!$B$31:$B$43,Internal_labour_calcs!I$31:I$43,0)+_xlfn.XLOOKUP($B20,Outsourced_labour_calcs!$B$31:$B$43,Outsourced_labour_calcs!I$31:I$43,0)</f>
        <v>0</v>
      </c>
      <c r="N20" s="175">
        <f t="shared" si="0"/>
        <v>1643530.1781586278</v>
      </c>
      <c r="O20" s="175">
        <f t="shared" si="1"/>
        <v>1643530.1781586278</v>
      </c>
      <c r="Q20" s="227" t="str">
        <f>IF(ROUND(SUM(IFERROR(_xlfn.XLOOKUP($B20,Internal_labour_calcs!$B$31:$B$43,Internal_labour_calcs!$J$31:$J$43),0),IFERROR(_xlfn.XLOOKUP($B20,Outsourced_labour_calcs!$B$31:$B$43,Outsourced_labour_calcs!$J$31:$J$43),0))-O20,4)=0,"OK","ERROR")</f>
        <v>OK</v>
      </c>
      <c r="S20" s="246">
        <f>_xlfn.XLOOKUP($B20,Internal_labour_calcs!$B$31:$B$43,Internal_labour_calcs!L$31:L$43,0)+_xlfn.XLOOKUP($B20,Outsourced_labour_calcs!$B$31:$B$43,Outsourced_labour_calcs!L$31:L$43,0)</f>
        <v>392037.8</v>
      </c>
      <c r="U20" s="47"/>
      <c r="V20" s="47"/>
      <c r="W20" s="47"/>
      <c r="X20" s="47"/>
      <c r="Y20" s="47"/>
    </row>
    <row r="21" spans="1:25" s="45" customFormat="1" ht="15.95" customHeight="1" x14ac:dyDescent="0.3">
      <c r="A21" s="63"/>
      <c r="B21" s="173" t="str">
        <v>Project Delivery Management - Project Management</v>
      </c>
      <c r="C21" s="174">
        <f>_xlfn.XLOOKUP($B21,'Historical indirect capex'!$B$8:$B$20,'Historical indirect capex'!H$8:H$20,0)*labour_direct</f>
        <v>0</v>
      </c>
      <c r="D21" s="174">
        <f>_xlfn.XLOOKUP($B21,'Historical indirect capex'!$B$8:$B$20,'Historical indirect capex'!I$8:I$20,0)*labour_direct</f>
        <v>141646.76075111862</v>
      </c>
      <c r="E21" s="174">
        <f>_xlfn.XLOOKUP($B21,'Historical indirect capex'!$B$8:$B$20,'Historical indirect capex'!J$8:J$20,0)*labour_direct</f>
        <v>1375775.0006237982</v>
      </c>
      <c r="F21" s="243">
        <f>_xlfn.XLOOKUP($B21,'Historical indirect capex'!$B$8:$B$20,'Historical indirect capex'!K$8:K$20,0)*labour_direct</f>
        <v>1909350.0807211301</v>
      </c>
      <c r="G21" s="246">
        <f>_xlfn.XLOOKUP($B21,Internal_labour_calcs!$B$31:$B$43,Internal_labour_calcs!C$31:C$43,0)+_xlfn.XLOOKUP($B21,Outsourced_labour_calcs!$B$31:$B$43,Outsourced_labour_calcs!C$31:C$43,0)</f>
        <v>4093479.4165957216</v>
      </c>
      <c r="H21" s="174">
        <f>_xlfn.XLOOKUP($B21,Internal_labour_calcs!$B$31:$B$43,Internal_labour_calcs!D$31:D$43,0)+_xlfn.XLOOKUP($B21,Outsourced_labour_calcs!$B$31:$B$43,Outsourced_labour_calcs!D$31:D$43,0)</f>
        <v>6254511.849027616</v>
      </c>
      <c r="I21" s="174">
        <f>_xlfn.XLOOKUP($B21,Internal_labour_calcs!$B$31:$B$43,Internal_labour_calcs!E$31:E$43,0)+_xlfn.XLOOKUP($B21,Outsourced_labour_calcs!$B$31:$B$43,Outsourced_labour_calcs!E$31:E$43,0)</f>
        <v>6267676.2534156675</v>
      </c>
      <c r="J21" s="174">
        <f>_xlfn.XLOOKUP($B21,Internal_labour_calcs!$B$31:$B$43,Internal_labour_calcs!F$31:F$43,0)+_xlfn.XLOOKUP($B21,Outsourced_labour_calcs!$B$31:$B$43,Outsourced_labour_calcs!F$31:F$43,0)</f>
        <v>2441636.7192825368</v>
      </c>
      <c r="K21" s="174">
        <f>_xlfn.XLOOKUP($B21,Internal_labour_calcs!$B$31:$B$43,Internal_labour_calcs!G$31:G$43,0)+_xlfn.XLOOKUP($B21,Outsourced_labour_calcs!$B$31:$B$43,Outsourced_labour_calcs!G$31:G$43,0)</f>
        <v>0</v>
      </c>
      <c r="L21" s="174">
        <f>_xlfn.XLOOKUP($B21,Internal_labour_calcs!$B$31:$B$43,Internal_labour_calcs!H$31:H$43,0)+_xlfn.XLOOKUP($B21,Outsourced_labour_calcs!$B$31:$B$43,Outsourced_labour_calcs!H$31:H$43,0)</f>
        <v>0</v>
      </c>
      <c r="M21" s="174">
        <f>_xlfn.XLOOKUP($B21,Internal_labour_calcs!$B$31:$B$43,Internal_labour_calcs!I$31:I$43,0)+_xlfn.XLOOKUP($B21,Outsourced_labour_calcs!$B$31:$B$43,Outsourced_labour_calcs!I$31:I$43,0)</f>
        <v>0</v>
      </c>
      <c r="N21" s="175">
        <f t="shared" si="0"/>
        <v>22484076.080417588</v>
      </c>
      <c r="O21" s="175">
        <f t="shared" si="1"/>
        <v>19057304.238321543</v>
      </c>
      <c r="Q21" s="227" t="str">
        <f>IF(ROUND(SUM(IFERROR(_xlfn.XLOOKUP($B21,Internal_labour_calcs!$B$31:$B$43,Internal_labour_calcs!$J$31:$J$43),0),IFERROR(_xlfn.XLOOKUP($B21,Outsourced_labour_calcs!$B$31:$B$43,Outsourced_labour_calcs!$J$31:$J$43),0))-O21,4)=0,"OK","ERROR")</f>
        <v>OK</v>
      </c>
      <c r="S21" s="246">
        <f>_xlfn.XLOOKUP($B21,Internal_labour_calcs!$B$31:$B$43,Internal_labour_calcs!L$31:L$43,0)+_xlfn.XLOOKUP($B21,Outsourced_labour_calcs!$B$31:$B$43,Outsourced_labour_calcs!L$31:L$43,0)</f>
        <v>2366443.0299999993</v>
      </c>
      <c r="U21" s="47"/>
      <c r="V21" s="47"/>
      <c r="W21" s="47"/>
      <c r="X21" s="47"/>
      <c r="Y21" s="47"/>
    </row>
    <row r="22" spans="1:25" s="45" customFormat="1" ht="15.95" customHeight="1" x14ac:dyDescent="0.3">
      <c r="A22" s="63"/>
      <c r="B22" s="173" t="str">
        <v>Project Development</v>
      </c>
      <c r="C22" s="174">
        <f>_xlfn.XLOOKUP($B22,'Historical indirect capex'!$B$8:$B$20,'Historical indirect capex'!H$8:H$20,0)*labour_direct</f>
        <v>1453939.6309982045</v>
      </c>
      <c r="D22" s="174">
        <f>_xlfn.XLOOKUP($B22,'Historical indirect capex'!$B$8:$B$20,'Historical indirect capex'!I$8:I$20,0)*labour_direct</f>
        <v>2458644.5146198254</v>
      </c>
      <c r="E22" s="174">
        <f>_xlfn.XLOOKUP($B22,'Historical indirect capex'!$B$8:$B$20,'Historical indirect capex'!J$8:J$20,0)*labour_direct</f>
        <v>5118325.026934417</v>
      </c>
      <c r="F22" s="243">
        <f>_xlfn.XLOOKUP($B22,'Historical indirect capex'!$B$8:$B$20,'Historical indirect capex'!K$8:K$20,0)*labour_direct</f>
        <v>520122.10678224202</v>
      </c>
      <c r="G22" s="246">
        <f>_xlfn.XLOOKUP($B22,Internal_labour_calcs!$B$31:$B$43,Internal_labour_calcs!C$31:C$43,0)+_xlfn.XLOOKUP($B22,Outsourced_labour_calcs!$B$31:$B$43,Outsourced_labour_calcs!C$31:C$43,0)</f>
        <v>2515115.4243027833</v>
      </c>
      <c r="H22" s="174">
        <f>_xlfn.XLOOKUP($B22,Internal_labour_calcs!$B$31:$B$43,Internal_labour_calcs!D$31:D$43,0)+_xlfn.XLOOKUP($B22,Outsourced_labour_calcs!$B$31:$B$43,Outsourced_labour_calcs!D$31:D$43,0)</f>
        <v>1098385.3448234037</v>
      </c>
      <c r="I22" s="174">
        <f>_xlfn.XLOOKUP($B22,Internal_labour_calcs!$B$31:$B$43,Internal_labour_calcs!E$31:E$43,0)+_xlfn.XLOOKUP($B22,Outsourced_labour_calcs!$B$31:$B$43,Outsourced_labour_calcs!E$31:E$43,0)</f>
        <v>192758.02653745675</v>
      </c>
      <c r="J22" s="174">
        <f>_xlfn.XLOOKUP($B22,Internal_labour_calcs!$B$31:$B$43,Internal_labour_calcs!F$31:F$43,0)+_xlfn.XLOOKUP($B22,Outsourced_labour_calcs!$B$31:$B$43,Outsourced_labour_calcs!F$31:F$43,0)</f>
        <v>69398.698144111826</v>
      </c>
      <c r="K22" s="174">
        <f>_xlfn.XLOOKUP($B22,Internal_labour_calcs!$B$31:$B$43,Internal_labour_calcs!G$31:G$43,0)+_xlfn.XLOOKUP($B22,Outsourced_labour_calcs!$B$31:$B$43,Outsourced_labour_calcs!G$31:G$43,0)</f>
        <v>0</v>
      </c>
      <c r="L22" s="174">
        <f>_xlfn.XLOOKUP($B22,Internal_labour_calcs!$B$31:$B$43,Internal_labour_calcs!H$31:H$43,0)+_xlfn.XLOOKUP($B22,Outsourced_labour_calcs!$B$31:$B$43,Outsourced_labour_calcs!H$31:H$43,0)</f>
        <v>0</v>
      </c>
      <c r="M22" s="174">
        <f>_xlfn.XLOOKUP($B22,Internal_labour_calcs!$B$31:$B$43,Internal_labour_calcs!I$31:I$43,0)+_xlfn.XLOOKUP($B22,Outsourced_labour_calcs!$B$31:$B$43,Outsourced_labour_calcs!I$31:I$43,0)</f>
        <v>0</v>
      </c>
      <c r="N22" s="175">
        <f t="shared" si="0"/>
        <v>13426688.773142446</v>
      </c>
      <c r="O22" s="175">
        <f t="shared" si="1"/>
        <v>3875657.4938077554</v>
      </c>
      <c r="Q22" s="227" t="str">
        <f>IF(ROUND(SUM(IFERROR(_xlfn.XLOOKUP($B22,Internal_labour_calcs!$B$31:$B$43,Internal_labour_calcs!$J$31:$J$43),0),IFERROR(_xlfn.XLOOKUP($B22,Outsourced_labour_calcs!$B$31:$B$43,Outsourced_labour_calcs!$J$31:$J$43),0))-O22,4)=0,"OK","ERROR")</f>
        <v>OK</v>
      </c>
      <c r="S22" s="246">
        <f>_xlfn.XLOOKUP($B22,Internal_labour_calcs!$B$31:$B$43,Internal_labour_calcs!L$31:L$43,0)+_xlfn.XLOOKUP($B22,Outsourced_labour_calcs!$B$31:$B$43,Outsourced_labour_calcs!L$31:L$43,0)</f>
        <v>1473953.0259999996</v>
      </c>
      <c r="U22" s="47"/>
      <c r="V22" s="47"/>
      <c r="W22" s="47"/>
      <c r="X22" s="47"/>
      <c r="Y22" s="47"/>
    </row>
    <row r="23" spans="1:25" s="45" customFormat="1" ht="15.95" customHeight="1" x14ac:dyDescent="0.3">
      <c r="A23" s="63"/>
      <c r="B23" s="173" t="str">
        <v>Regulatory Approvals</v>
      </c>
      <c r="C23" s="174">
        <f>_xlfn.XLOOKUP($B23,'Historical indirect capex'!$B$8:$B$20,'Historical indirect capex'!H$8:H$20,0)*labour_direct</f>
        <v>0</v>
      </c>
      <c r="D23" s="174">
        <f>_xlfn.XLOOKUP($B23,'Historical indirect capex'!$B$8:$B$20,'Historical indirect capex'!I$8:I$20,0)*labour_direct</f>
        <v>13404.419237510301</v>
      </c>
      <c r="E23" s="174">
        <f>_xlfn.XLOOKUP($B23,'Historical indirect capex'!$B$8:$B$20,'Historical indirect capex'!J$8:J$20,0)*labour_direct</f>
        <v>176542.99623688325</v>
      </c>
      <c r="F23" s="243">
        <f>_xlfn.XLOOKUP($B23,'Historical indirect capex'!$B$8:$B$20,'Historical indirect capex'!K$8:K$20,0)*labour_direct</f>
        <v>162392.68032717216</v>
      </c>
      <c r="G23" s="246">
        <f>_xlfn.XLOOKUP($B23,Internal_labour_calcs!$B$31:$B$43,Internal_labour_calcs!C$31:C$43,0)+_xlfn.XLOOKUP($B23,Outsourced_labour_calcs!$B$31:$B$43,Outsourced_labour_calcs!C$31:C$43,0)</f>
        <v>470457.38582210912</v>
      </c>
      <c r="H23" s="174">
        <f>_xlfn.XLOOKUP($B23,Internal_labour_calcs!$B$31:$B$43,Internal_labour_calcs!D$31:D$43,0)+_xlfn.XLOOKUP($B23,Outsourced_labour_calcs!$B$31:$B$43,Outsourced_labour_calcs!D$31:D$43,0)</f>
        <v>25454.1378810151</v>
      </c>
      <c r="I23" s="174">
        <f>_xlfn.XLOOKUP($B23,Internal_labour_calcs!$B$31:$B$43,Internal_labour_calcs!E$31:E$43,0)+_xlfn.XLOOKUP($B23,Outsourced_labour_calcs!$B$31:$B$43,Outsourced_labour_calcs!E$31:E$43,0)</f>
        <v>0</v>
      </c>
      <c r="J23" s="174">
        <f>_xlfn.XLOOKUP($B23,Internal_labour_calcs!$B$31:$B$43,Internal_labour_calcs!F$31:F$43,0)+_xlfn.XLOOKUP($B23,Outsourced_labour_calcs!$B$31:$B$43,Outsourced_labour_calcs!F$31:F$43,0)</f>
        <v>0</v>
      </c>
      <c r="K23" s="174">
        <f>_xlfn.XLOOKUP($B23,Internal_labour_calcs!$B$31:$B$43,Internal_labour_calcs!G$31:G$43,0)+_xlfn.XLOOKUP($B23,Outsourced_labour_calcs!$B$31:$B$43,Outsourced_labour_calcs!G$31:G$43,0)</f>
        <v>0</v>
      </c>
      <c r="L23" s="174">
        <f>_xlfn.XLOOKUP($B23,Internal_labour_calcs!$B$31:$B$43,Internal_labour_calcs!H$31:H$43,0)+_xlfn.XLOOKUP($B23,Outsourced_labour_calcs!$B$31:$B$43,Outsourced_labour_calcs!H$31:H$43,0)</f>
        <v>0</v>
      </c>
      <c r="M23" s="174">
        <f>_xlfn.XLOOKUP($B23,Internal_labour_calcs!$B$31:$B$43,Internal_labour_calcs!I$31:I$43,0)+_xlfn.XLOOKUP($B23,Outsourced_labour_calcs!$B$31:$B$43,Outsourced_labour_calcs!I$31:I$43,0)</f>
        <v>0</v>
      </c>
      <c r="N23" s="175">
        <f t="shared" si="0"/>
        <v>848251.61950468982</v>
      </c>
      <c r="O23" s="175">
        <f t="shared" si="1"/>
        <v>495911.5237031242</v>
      </c>
      <c r="Q23" s="227" t="str">
        <f>IF(ROUND(SUM(IFERROR(_xlfn.XLOOKUP($B23,Internal_labour_calcs!$B$31:$B$43,Internal_labour_calcs!$J$31:$J$43),0),IFERROR(_xlfn.XLOOKUP($B23,Outsourced_labour_calcs!$B$31:$B$43,Outsourced_labour_calcs!$J$31:$J$43),0))-O23,4)=0,"OK","ERROR")</f>
        <v>OK</v>
      </c>
      <c r="S23" s="246">
        <f>_xlfn.XLOOKUP($B23,Internal_labour_calcs!$B$31:$B$43,Internal_labour_calcs!L$31:L$43,0)+_xlfn.XLOOKUP($B23,Outsourced_labour_calcs!$B$31:$B$43,Outsourced_labour_calcs!L$31:L$43,0)</f>
        <v>345401.20999999996</v>
      </c>
      <c r="U23" s="47"/>
      <c r="V23" s="47"/>
      <c r="W23" s="47"/>
      <c r="X23" s="47"/>
      <c r="Y23" s="47"/>
    </row>
    <row r="24" spans="1:25" s="45" customFormat="1" ht="15.95" customHeight="1" x14ac:dyDescent="0.3">
      <c r="A24" s="63"/>
      <c r="B24" s="173" t="str">
        <v>Transaction Procurement Support</v>
      </c>
      <c r="C24" s="174">
        <f>_xlfn.XLOOKUP($B24,'Historical indirect capex'!$B$8:$B$20,'Historical indirect capex'!H$8:H$20,0)*labour_direct</f>
        <v>0</v>
      </c>
      <c r="D24" s="174">
        <f>_xlfn.XLOOKUP($B24,'Historical indirect capex'!$B$8:$B$20,'Historical indirect capex'!I$8:I$20,0)*labour_direct</f>
        <v>5219.4844715283643</v>
      </c>
      <c r="E24" s="174">
        <f>_xlfn.XLOOKUP($B24,'Historical indirect capex'!$B$8:$B$20,'Historical indirect capex'!J$8:J$20,0)*labour_direct</f>
        <v>231256.2629636997</v>
      </c>
      <c r="F24" s="243">
        <f>_xlfn.XLOOKUP($B24,'Historical indirect capex'!$B$8:$B$20,'Historical indirect capex'!K$8:K$20,0)*labour_direct</f>
        <v>222607.39634331965</v>
      </c>
      <c r="G24" s="246">
        <f>_xlfn.XLOOKUP($B24,Internal_labour_calcs!$B$31:$B$43,Internal_labour_calcs!C$31:C$43,0)+_xlfn.XLOOKUP($B24,Outsourced_labour_calcs!$B$31:$B$43,Outsourced_labour_calcs!C$31:C$43,0)</f>
        <v>365644.83870806679</v>
      </c>
      <c r="H24" s="174">
        <f>_xlfn.XLOOKUP($B24,Internal_labour_calcs!$B$31:$B$43,Internal_labour_calcs!D$31:D$43,0)+_xlfn.XLOOKUP($B24,Outsourced_labour_calcs!$B$31:$B$43,Outsourced_labour_calcs!D$31:D$43,0)</f>
        <v>298993.41783926892</v>
      </c>
      <c r="I24" s="174">
        <f>_xlfn.XLOOKUP($B24,Internal_labour_calcs!$B$31:$B$43,Internal_labour_calcs!E$31:E$43,0)+_xlfn.XLOOKUP($B24,Outsourced_labour_calcs!$B$31:$B$43,Outsourced_labour_calcs!E$31:E$43,0)</f>
        <v>285723.78837489866</v>
      </c>
      <c r="J24" s="174">
        <f>_xlfn.XLOOKUP($B24,Internal_labour_calcs!$B$31:$B$43,Internal_labour_calcs!F$31:F$43,0)+_xlfn.XLOOKUP($B24,Outsourced_labour_calcs!$B$31:$B$43,Outsourced_labour_calcs!F$31:F$43,0)</f>
        <v>0</v>
      </c>
      <c r="K24" s="174">
        <f>_xlfn.XLOOKUP($B24,Internal_labour_calcs!$B$31:$B$43,Internal_labour_calcs!G$31:G$43,0)+_xlfn.XLOOKUP($B24,Outsourced_labour_calcs!$B$31:$B$43,Outsourced_labour_calcs!G$31:G$43,0)</f>
        <v>0</v>
      </c>
      <c r="L24" s="174">
        <f>_xlfn.XLOOKUP($B24,Internal_labour_calcs!$B$31:$B$43,Internal_labour_calcs!H$31:H$43,0)+_xlfn.XLOOKUP($B24,Outsourced_labour_calcs!$B$31:$B$43,Outsourced_labour_calcs!H$31:H$43,0)</f>
        <v>0</v>
      </c>
      <c r="M24" s="174">
        <f>_xlfn.XLOOKUP($B24,Internal_labour_calcs!$B$31:$B$43,Internal_labour_calcs!I$31:I$43,0)+_xlfn.XLOOKUP($B24,Outsourced_labour_calcs!$B$31:$B$43,Outsourced_labour_calcs!I$31:I$43,0)</f>
        <v>0</v>
      </c>
      <c r="N24" s="175">
        <f t="shared" si="0"/>
        <v>1409445.1887007821</v>
      </c>
      <c r="O24" s="175">
        <f t="shared" si="1"/>
        <v>950362.04492223449</v>
      </c>
      <c r="Q24" s="227" t="str">
        <f>IF(ROUND(SUM(IFERROR(_xlfn.XLOOKUP($B24,Internal_labour_calcs!$B$31:$B$43,Internal_labour_calcs!$J$31:$J$43),0),IFERROR(_xlfn.XLOOKUP($B24,Outsourced_labour_calcs!$B$31:$B$43,Outsourced_labour_calcs!$J$31:$J$43),0))-O24,4)=0,"OK","ERROR")</f>
        <v>OK</v>
      </c>
      <c r="S24" s="246">
        <f>_xlfn.XLOOKUP($B24,Internal_labour_calcs!$B$31:$B$43,Internal_labour_calcs!L$31:L$43,0)+_xlfn.XLOOKUP($B24,Outsourced_labour_calcs!$B$31:$B$43,Outsourced_labour_calcs!L$31:L$43,0)</f>
        <v>204316.32899999997</v>
      </c>
      <c r="U24" s="47"/>
      <c r="V24" s="47"/>
      <c r="W24" s="47"/>
      <c r="X24" s="47"/>
      <c r="Y24" s="47"/>
    </row>
    <row r="25" spans="1:25" s="45" customFormat="1" ht="15.95" customHeight="1" x14ac:dyDescent="0.3">
      <c r="A25" s="63"/>
      <c r="B25" s="173" t="s">
        <v>132</v>
      </c>
      <c r="C25" s="174">
        <f t="shared" ref="C25:M25" si="2">SUM(C12:C24)</f>
        <v>1453939.6309982045</v>
      </c>
      <c r="D25" s="174">
        <f t="shared" si="2"/>
        <v>2668468.8988569626</v>
      </c>
      <c r="E25" s="174">
        <f t="shared" si="2"/>
        <v>7696234.4212285075</v>
      </c>
      <c r="F25" s="243">
        <f t="shared" si="2"/>
        <v>3371014.8347618869</v>
      </c>
      <c r="G25" s="246">
        <f t="shared" si="2"/>
        <v>20668044.637439895</v>
      </c>
      <c r="H25" s="174">
        <f t="shared" si="2"/>
        <v>33958903.62110249</v>
      </c>
      <c r="I25" s="174">
        <f t="shared" si="2"/>
        <v>32304221.505474661</v>
      </c>
      <c r="J25" s="174">
        <f t="shared" si="2"/>
        <v>9141847.7907492071</v>
      </c>
      <c r="K25" s="174">
        <f t="shared" si="2"/>
        <v>0</v>
      </c>
      <c r="L25" s="174">
        <f t="shared" si="2"/>
        <v>0</v>
      </c>
      <c r="M25" s="174">
        <f t="shared" si="2"/>
        <v>0</v>
      </c>
      <c r="N25" s="175">
        <f t="shared" ref="N25:N58" si="3">SUM(C25:M25)</f>
        <v>111262675.3406118</v>
      </c>
      <c r="O25" s="175">
        <f t="shared" ref="O25:O58" si="4">SUM(G25:M25)</f>
        <v>96073017.554766253</v>
      </c>
      <c r="S25" s="246">
        <f t="shared" ref="S25" si="5">SUM(S12:S24)</f>
        <v>11250760.096764505</v>
      </c>
      <c r="U25" s="47"/>
      <c r="V25" s="47"/>
      <c r="W25" s="47"/>
      <c r="X25" s="47"/>
      <c r="Y25" s="47"/>
    </row>
    <row r="26" spans="1:25" s="45" customFormat="1" ht="15.95" customHeight="1" x14ac:dyDescent="0.3">
      <c r="A26" s="63"/>
      <c r="B26" s="169" t="s">
        <v>245</v>
      </c>
      <c r="C26" s="169"/>
      <c r="D26" s="169"/>
      <c r="E26" s="176"/>
      <c r="F26" s="243"/>
      <c r="G26" s="246"/>
      <c r="H26" s="174"/>
      <c r="I26" s="174"/>
      <c r="J26" s="174"/>
      <c r="K26" s="174"/>
      <c r="L26" s="174"/>
      <c r="M26" s="174"/>
      <c r="N26" s="175">
        <f t="shared" si="3"/>
        <v>0</v>
      </c>
      <c r="O26" s="175">
        <f t="shared" si="4"/>
        <v>0</v>
      </c>
      <c r="S26" s="246"/>
      <c r="U26" s="47"/>
      <c r="V26" s="47"/>
      <c r="W26" s="47"/>
      <c r="X26" s="47"/>
      <c r="Y26" s="47"/>
    </row>
    <row r="27" spans="1:25" s="45" customFormat="1" ht="15.95" customHeight="1" x14ac:dyDescent="0.3">
      <c r="A27" s="63"/>
      <c r="B27" s="178" t="str">
        <f>B12</f>
        <v>Community and Stakeholder Engagement</v>
      </c>
      <c r="C27" s="174">
        <f>_xlfn.XLOOKUP($B27,'Historical indirect capex'!$B$27:$B$39,'Historical indirect capex'!H$27:H$39,0)*labour_related_direct</f>
        <v>0</v>
      </c>
      <c r="D27" s="174">
        <f>_xlfn.XLOOKUP($B27,'Historical indirect capex'!$B$27:$B$39,'Historical indirect capex'!I$27:I$39,0)*labour_related_direct</f>
        <v>0</v>
      </c>
      <c r="E27" s="174">
        <f>_xlfn.XLOOKUP($B27,'Historical indirect capex'!$B$27:$B$39,'Historical indirect capex'!J$27:J$39,0)*labour_related_direct</f>
        <v>0</v>
      </c>
      <c r="F27" s="243">
        <f>_xlfn.XLOOKUP($B27,'Historical indirect capex'!$B$27:$B$39,'Historical indirect capex'!K$27:K$39,0)*labour_related_direct</f>
        <v>0</v>
      </c>
      <c r="G27" s="246">
        <f>_xlfn.XLOOKUP($B27,'Labour-related_calcs'!$B$103:$B$115,'Labour-related_calcs'!C$103:C$115,0)</f>
        <v>321.827570491095</v>
      </c>
      <c r="H27" s="174">
        <f>_xlfn.XLOOKUP($B27,'Labour-related_calcs'!$B$103:$B$115,'Labour-related_calcs'!D$103:D$115,0)</f>
        <v>131.94020982488226</v>
      </c>
      <c r="I27" s="174">
        <f>_xlfn.XLOOKUP($B27,'Labour-related_calcs'!$B$103:$B$115,'Labour-related_calcs'!E$103:E$115,0)</f>
        <v>0</v>
      </c>
      <c r="J27" s="174">
        <f>_xlfn.XLOOKUP($B27,'Labour-related_calcs'!$B$103:$B$115,'Labour-related_calcs'!F$103:F$115,0)</f>
        <v>0</v>
      </c>
      <c r="K27" s="174">
        <f>_xlfn.XLOOKUP($B27,'Labour-related_calcs'!$B$103:$B$115,'Labour-related_calcs'!G$103:G$115,0)</f>
        <v>0</v>
      </c>
      <c r="L27" s="174">
        <f>_xlfn.XLOOKUP($B27,'Labour-related_calcs'!$B$103:$B$115,'Labour-related_calcs'!H$103:H$115,0)</f>
        <v>0</v>
      </c>
      <c r="M27" s="174">
        <f>_xlfn.XLOOKUP($B27,'Labour-related_calcs'!$B$103:$B$115,'Labour-related_calcs'!I$103:I$115,0)</f>
        <v>0</v>
      </c>
      <c r="N27" s="175">
        <f t="shared" si="3"/>
        <v>453.76778031597723</v>
      </c>
      <c r="O27" s="175">
        <f t="shared" si="4"/>
        <v>453.76778031597723</v>
      </c>
      <c r="Q27" s="227" t="str">
        <f>IF(IFERROR(_xlfn.XLOOKUP($B27,'Labour-related_calcs'!$B$103:$B$116,'Labour-related_calcs'!$J$103:$J$116),0)=O27,"OK","ERROR")</f>
        <v>OK</v>
      </c>
      <c r="S27" s="246">
        <f>_xlfn.XLOOKUP($B27,'Labour-related_calcs'!$B$103:$B$115,'Labour-related_calcs'!L$103:L$115,0)</f>
        <v>202.0483097822999</v>
      </c>
      <c r="U27" s="47"/>
      <c r="V27" s="47"/>
      <c r="W27" s="47"/>
      <c r="X27" s="47"/>
      <c r="Y27" s="47"/>
    </row>
    <row r="28" spans="1:25" s="45" customFormat="1" ht="15.95" customHeight="1" x14ac:dyDescent="0.3">
      <c r="A28" s="63"/>
      <c r="B28" s="178" t="str">
        <f t="shared" ref="B28:B39" si="6">B13</f>
        <v>Fleet</v>
      </c>
      <c r="C28" s="174">
        <f>_xlfn.XLOOKUP($B28,'Historical indirect capex'!$B$27:$B$39,'Historical indirect capex'!H$27:H$39,0)*labour_related_direct</f>
        <v>0</v>
      </c>
      <c r="D28" s="174">
        <f>_xlfn.XLOOKUP($B28,'Historical indirect capex'!$B$27:$B$39,'Historical indirect capex'!I$27:I$39,0)*labour_related_direct</f>
        <v>0</v>
      </c>
      <c r="E28" s="174">
        <f>_xlfn.XLOOKUP($B28,'Historical indirect capex'!$B$27:$B$39,'Historical indirect capex'!J$27:J$39,0)*labour_related_direct</f>
        <v>0</v>
      </c>
      <c r="F28" s="243">
        <f>_xlfn.XLOOKUP($B28,'Historical indirect capex'!$B$27:$B$39,'Historical indirect capex'!K$27:K$39,0)*labour_related_direct</f>
        <v>0</v>
      </c>
      <c r="G28" s="246">
        <f>_xlfn.XLOOKUP($B28,'Labour-related_calcs'!$B$103:$B$115,'Labour-related_calcs'!C$103:C$115,0)</f>
        <v>0</v>
      </c>
      <c r="H28" s="174">
        <f>_xlfn.XLOOKUP($B28,'Labour-related_calcs'!$B$103:$B$115,'Labour-related_calcs'!D$103:D$115,0)</f>
        <v>0</v>
      </c>
      <c r="I28" s="174">
        <f>_xlfn.XLOOKUP($B28,'Labour-related_calcs'!$B$103:$B$115,'Labour-related_calcs'!E$103:E$115,0)</f>
        <v>0</v>
      </c>
      <c r="J28" s="174">
        <f>_xlfn.XLOOKUP($B28,'Labour-related_calcs'!$B$103:$B$115,'Labour-related_calcs'!F$103:F$115,0)</f>
        <v>0</v>
      </c>
      <c r="K28" s="174">
        <f>_xlfn.XLOOKUP($B28,'Labour-related_calcs'!$B$103:$B$115,'Labour-related_calcs'!G$103:G$115,0)</f>
        <v>0</v>
      </c>
      <c r="L28" s="174">
        <f>_xlfn.XLOOKUP($B28,'Labour-related_calcs'!$B$103:$B$115,'Labour-related_calcs'!H$103:H$115,0)</f>
        <v>0</v>
      </c>
      <c r="M28" s="174">
        <f>_xlfn.XLOOKUP($B28,'Labour-related_calcs'!$B$103:$B$115,'Labour-related_calcs'!I$103:I$115,0)</f>
        <v>0</v>
      </c>
      <c r="N28" s="175">
        <f t="shared" ref="N28:N39" si="7">SUM(C28:M28)</f>
        <v>0</v>
      </c>
      <c r="O28" s="175">
        <f t="shared" ref="O28:O39" si="8">SUM(G28:M28)</f>
        <v>0</v>
      </c>
      <c r="Q28" s="227" t="str">
        <f>IF(IFERROR(_xlfn.XLOOKUP($B28,'Labour-related_calcs'!$B$103:$B$116,'Labour-related_calcs'!$J$103:$J$116),0)=O28,"OK","ERROR")</f>
        <v>OK</v>
      </c>
      <c r="S28" s="246">
        <f>_xlfn.XLOOKUP($B28,'Labour-related_calcs'!$B$103:$B$115,'Labour-related_calcs'!L$103:L$115,0)</f>
        <v>0</v>
      </c>
      <c r="U28" s="47"/>
      <c r="V28" s="47"/>
      <c r="W28" s="47"/>
      <c r="X28" s="47"/>
      <c r="Y28" s="47"/>
    </row>
    <row r="29" spans="1:25" s="45" customFormat="1" ht="15.95" customHeight="1" x14ac:dyDescent="0.3">
      <c r="A29" s="63"/>
      <c r="B29" s="178" t="str">
        <f t="shared" si="6"/>
        <v>Land and Environment</v>
      </c>
      <c r="C29" s="174">
        <f>_xlfn.XLOOKUP($B29,'Historical indirect capex'!$B$27:$B$39,'Historical indirect capex'!H$27:H$39,0)*labour_related_direct</f>
        <v>0</v>
      </c>
      <c r="D29" s="174">
        <f>_xlfn.XLOOKUP($B29,'Historical indirect capex'!$B$27:$B$39,'Historical indirect capex'!I$27:I$39,0)*labour_related_direct</f>
        <v>0</v>
      </c>
      <c r="E29" s="174">
        <f>_xlfn.XLOOKUP($B29,'Historical indirect capex'!$B$27:$B$39,'Historical indirect capex'!J$27:J$39,0)*labour_related_direct</f>
        <v>122.36327404252751</v>
      </c>
      <c r="F29" s="243">
        <f>_xlfn.XLOOKUP($B29,'Historical indirect capex'!$B$27:$B$39,'Historical indirect capex'!K$27:K$39,0)*labour_related_direct</f>
        <v>582.45697374936026</v>
      </c>
      <c r="G29" s="246">
        <f>_xlfn.XLOOKUP($B29,'Labour-related_calcs'!$B$103:$B$115,'Labour-related_calcs'!C$103:C$115,0)</f>
        <v>22733.622471381866</v>
      </c>
      <c r="H29" s="174">
        <f>_xlfn.XLOOKUP($B29,'Labour-related_calcs'!$B$103:$B$115,'Labour-related_calcs'!D$103:D$115,0)</f>
        <v>4706.0564421641957</v>
      </c>
      <c r="I29" s="174">
        <f>_xlfn.XLOOKUP($B29,'Labour-related_calcs'!$B$103:$B$115,'Labour-related_calcs'!E$103:E$115,0)</f>
        <v>4654.5785025113601</v>
      </c>
      <c r="J29" s="174">
        <f>_xlfn.XLOOKUP($B29,'Labour-related_calcs'!$B$103:$B$115,'Labour-related_calcs'!F$103:F$115,0)</f>
        <v>446.76570641111158</v>
      </c>
      <c r="K29" s="174">
        <f>_xlfn.XLOOKUP($B29,'Labour-related_calcs'!$B$103:$B$115,'Labour-related_calcs'!G$103:G$115,0)</f>
        <v>0</v>
      </c>
      <c r="L29" s="174">
        <f>_xlfn.XLOOKUP($B29,'Labour-related_calcs'!$B$103:$B$115,'Labour-related_calcs'!H$103:H$115,0)</f>
        <v>0</v>
      </c>
      <c r="M29" s="174">
        <f>_xlfn.XLOOKUP($B29,'Labour-related_calcs'!$B$103:$B$115,'Labour-related_calcs'!I$103:I$115,0)</f>
        <v>0</v>
      </c>
      <c r="N29" s="175">
        <f t="shared" si="7"/>
        <v>33245.843370260423</v>
      </c>
      <c r="O29" s="175">
        <f t="shared" si="8"/>
        <v>32541.023122468534</v>
      </c>
      <c r="Q29" s="227" t="str">
        <f>IF(IFERROR(_xlfn.XLOOKUP($B29,'Labour-related_calcs'!$B$103:$B$116,'Labour-related_calcs'!$J$103:$J$116),0)=O29,"OK","ERROR")</f>
        <v>OK</v>
      </c>
      <c r="S29" s="246">
        <f>_xlfn.XLOOKUP($B29,'Labour-related_calcs'!$B$103:$B$115,'Labour-related_calcs'!L$103:L$115,0)</f>
        <v>21248.750207107616</v>
      </c>
      <c r="U29" s="47"/>
      <c r="V29" s="47"/>
      <c r="W29" s="47"/>
      <c r="X29" s="47"/>
      <c r="Y29" s="47"/>
    </row>
    <row r="30" spans="1:25" s="45" customFormat="1" ht="15.95" customHeight="1" x14ac:dyDescent="0.3">
      <c r="A30" s="63"/>
      <c r="B30" s="178" t="str">
        <f t="shared" si="6"/>
        <v>Other Support &amp; Corporate Roles</v>
      </c>
      <c r="C30" s="174">
        <f>_xlfn.XLOOKUP($B30,'Historical indirect capex'!$B$27:$B$39,'Historical indirect capex'!H$27:H$39,0)*labour_related_direct</f>
        <v>0</v>
      </c>
      <c r="D30" s="174">
        <f>_xlfn.XLOOKUP($B30,'Historical indirect capex'!$B$27:$B$39,'Historical indirect capex'!I$27:I$39,0)*labour_related_direct</f>
        <v>3117.2918015787786</v>
      </c>
      <c r="E30" s="174">
        <f>_xlfn.XLOOKUP($B30,'Historical indirect capex'!$B$27:$B$39,'Historical indirect capex'!J$27:J$39,0)*labour_related_direct</f>
        <v>2497.8444613387242</v>
      </c>
      <c r="F30" s="243">
        <f>_xlfn.XLOOKUP($B30,'Historical indirect capex'!$B$27:$B$39,'Historical indirect capex'!K$27:K$39,0)*labour_related_direct</f>
        <v>0</v>
      </c>
      <c r="G30" s="246">
        <f>_xlfn.XLOOKUP($B30,'Labour-related_calcs'!$B$103:$B$115,'Labour-related_calcs'!C$103:C$115,0)</f>
        <v>12074.112106567572</v>
      </c>
      <c r="H30" s="174">
        <f>_xlfn.XLOOKUP($B30,'Labour-related_calcs'!$B$103:$B$115,'Labour-related_calcs'!D$103:D$115,0)</f>
        <v>17080.080974233144</v>
      </c>
      <c r="I30" s="174">
        <f>_xlfn.XLOOKUP($B30,'Labour-related_calcs'!$B$103:$B$115,'Labour-related_calcs'!E$103:E$115,0)</f>
        <v>15576.80194631554</v>
      </c>
      <c r="J30" s="174">
        <f>_xlfn.XLOOKUP($B30,'Labour-related_calcs'!$B$103:$B$115,'Labour-related_calcs'!F$103:F$115,0)</f>
        <v>8007.192050916211</v>
      </c>
      <c r="K30" s="174">
        <f>_xlfn.XLOOKUP($B30,'Labour-related_calcs'!$B$103:$B$115,'Labour-related_calcs'!G$103:G$115,0)</f>
        <v>0</v>
      </c>
      <c r="L30" s="174">
        <f>_xlfn.XLOOKUP($B30,'Labour-related_calcs'!$B$103:$B$115,'Labour-related_calcs'!H$103:H$115,0)</f>
        <v>0</v>
      </c>
      <c r="M30" s="174">
        <f>_xlfn.XLOOKUP($B30,'Labour-related_calcs'!$B$103:$B$115,'Labour-related_calcs'!I$103:I$115,0)</f>
        <v>0</v>
      </c>
      <c r="N30" s="175">
        <f t="shared" si="7"/>
        <v>58353.323340949959</v>
      </c>
      <c r="O30" s="175">
        <f t="shared" si="8"/>
        <v>52738.187078032461</v>
      </c>
      <c r="Q30" s="227" t="str">
        <f>IF(IFERROR(_xlfn.XLOOKUP($B30,'Labour-related_calcs'!$B$103:$B$116,'Labour-related_calcs'!$J$103:$J$116),0)=O30,"OK","ERROR")</f>
        <v>OK</v>
      </c>
      <c r="S30" s="246">
        <f>_xlfn.XLOOKUP($B30,'Labour-related_calcs'!$B$103:$B$115,'Labour-related_calcs'!L$103:L$115,0)</f>
        <v>7294.4500691743615</v>
      </c>
      <c r="U30" s="47"/>
      <c r="V30" s="47"/>
      <c r="W30" s="47"/>
      <c r="X30" s="47"/>
      <c r="Y30" s="47"/>
    </row>
    <row r="31" spans="1:25" s="45" customFormat="1" ht="15.95" customHeight="1" x14ac:dyDescent="0.3">
      <c r="A31" s="63"/>
      <c r="B31" s="178" t="str">
        <f t="shared" si="6"/>
        <v>Project Delivery Management - Commercial Management</v>
      </c>
      <c r="C31" s="174">
        <f>_xlfn.XLOOKUP($B31,'Historical indirect capex'!$B$27:$B$39,'Historical indirect capex'!H$27:H$39,0)*labour_related_direct</f>
        <v>0</v>
      </c>
      <c r="D31" s="174">
        <f>_xlfn.XLOOKUP($B31,'Historical indirect capex'!$B$27:$B$39,'Historical indirect capex'!I$27:I$39,0)*labour_related_direct</f>
        <v>0</v>
      </c>
      <c r="E31" s="174">
        <f>_xlfn.XLOOKUP($B31,'Historical indirect capex'!$B$27:$B$39,'Historical indirect capex'!J$27:J$39,0)*labour_related_direct</f>
        <v>0</v>
      </c>
      <c r="F31" s="243">
        <f>_xlfn.XLOOKUP($B31,'Historical indirect capex'!$B$27:$B$39,'Historical indirect capex'!K$27:K$39,0)*labour_related_direct</f>
        <v>0</v>
      </c>
      <c r="G31" s="246">
        <f>_xlfn.XLOOKUP($B31,'Labour-related_calcs'!$B$103:$B$115,'Labour-related_calcs'!C$103:C$115,0)</f>
        <v>122394.21818792378</v>
      </c>
      <c r="H31" s="174">
        <f>_xlfn.XLOOKUP($B31,'Labour-related_calcs'!$B$103:$B$115,'Labour-related_calcs'!D$103:D$115,0)</f>
        <v>9499.6951073915243</v>
      </c>
      <c r="I31" s="174">
        <f>_xlfn.XLOOKUP($B31,'Labour-related_calcs'!$B$103:$B$115,'Labour-related_calcs'!E$103:E$115,0)</f>
        <v>9499.6951073915243</v>
      </c>
      <c r="J31" s="174">
        <f>_xlfn.XLOOKUP($B31,'Labour-related_calcs'!$B$103:$B$115,'Labour-related_calcs'!F$103:F$115,0)</f>
        <v>2940.3818189545191</v>
      </c>
      <c r="K31" s="174">
        <f>_xlfn.XLOOKUP($B31,'Labour-related_calcs'!$B$103:$B$115,'Labour-related_calcs'!G$103:G$115,0)</f>
        <v>0</v>
      </c>
      <c r="L31" s="174">
        <f>_xlfn.XLOOKUP($B31,'Labour-related_calcs'!$B$103:$B$115,'Labour-related_calcs'!H$103:H$115,0)</f>
        <v>0</v>
      </c>
      <c r="M31" s="174">
        <f>_xlfn.XLOOKUP($B31,'Labour-related_calcs'!$B$103:$B$115,'Labour-related_calcs'!I$103:I$115,0)</f>
        <v>0</v>
      </c>
      <c r="N31" s="175">
        <f t="shared" si="7"/>
        <v>144333.99022166131</v>
      </c>
      <c r="O31" s="175">
        <f t="shared" si="8"/>
        <v>144333.99022166131</v>
      </c>
      <c r="Q31" s="227" t="str">
        <f>IF(IFERROR(_xlfn.XLOOKUP($B31,'Labour-related_calcs'!$B$103:$B$116,'Labour-related_calcs'!$J$103:$J$116),0)=O31,"OK","ERROR")</f>
        <v>OK</v>
      </c>
      <c r="S31" s="246">
        <f>_xlfn.XLOOKUP($B31,'Labour-related_calcs'!$B$103:$B$115,'Labour-related_calcs'!L$103:L$115,0)</f>
        <v>119704.40492819309</v>
      </c>
      <c r="U31" s="47"/>
      <c r="V31" s="47"/>
      <c r="W31" s="47"/>
      <c r="X31" s="47"/>
      <c r="Y31" s="47"/>
    </row>
    <row r="32" spans="1:25" s="45" customFormat="1" ht="15.95" customHeight="1" x14ac:dyDescent="0.3">
      <c r="A32" s="63"/>
      <c r="B32" s="178" t="str">
        <f t="shared" si="6"/>
        <v>Project Delivery Management - Commissioning</v>
      </c>
      <c r="C32" s="174">
        <f>_xlfn.XLOOKUP($B32,'Historical indirect capex'!$B$27:$B$39,'Historical indirect capex'!H$27:H$39,0)*labour_related_direct</f>
        <v>0</v>
      </c>
      <c r="D32" s="174">
        <f>_xlfn.XLOOKUP($B32,'Historical indirect capex'!$B$27:$B$39,'Historical indirect capex'!I$27:I$39,0)*labour_related_direct</f>
        <v>0</v>
      </c>
      <c r="E32" s="174">
        <f>_xlfn.XLOOKUP($B32,'Historical indirect capex'!$B$27:$B$39,'Historical indirect capex'!J$27:J$39,0)*labour_related_direct</f>
        <v>0</v>
      </c>
      <c r="F32" s="243">
        <f>_xlfn.XLOOKUP($B32,'Historical indirect capex'!$B$27:$B$39,'Historical indirect capex'!K$27:K$39,0)*labour_related_direct</f>
        <v>0</v>
      </c>
      <c r="G32" s="246">
        <f>_xlfn.XLOOKUP($B32,'Labour-related_calcs'!$B$103:$B$115,'Labour-related_calcs'!C$103:C$115,0)</f>
        <v>225044.84207326386</v>
      </c>
      <c r="H32" s="174">
        <f>_xlfn.XLOOKUP($B32,'Labour-related_calcs'!$B$103:$B$115,'Labour-related_calcs'!D$103:D$115,0)</f>
        <v>1107457.0130836128</v>
      </c>
      <c r="I32" s="174">
        <f>_xlfn.XLOOKUP($B32,'Labour-related_calcs'!$B$103:$B$115,'Labour-related_calcs'!E$103:E$115,0)</f>
        <v>1068937.7843956084</v>
      </c>
      <c r="J32" s="174">
        <f>_xlfn.XLOOKUP($B32,'Labour-related_calcs'!$B$103:$B$115,'Labour-related_calcs'!F$103:F$115,0)</f>
        <v>103009.59756493918</v>
      </c>
      <c r="K32" s="174">
        <f>_xlfn.XLOOKUP($B32,'Labour-related_calcs'!$B$103:$B$115,'Labour-related_calcs'!G$103:G$115,0)</f>
        <v>0</v>
      </c>
      <c r="L32" s="174">
        <f>_xlfn.XLOOKUP($B32,'Labour-related_calcs'!$B$103:$B$115,'Labour-related_calcs'!H$103:H$115,0)</f>
        <v>0</v>
      </c>
      <c r="M32" s="174">
        <f>_xlfn.XLOOKUP($B32,'Labour-related_calcs'!$B$103:$B$115,'Labour-related_calcs'!I$103:I$115,0)</f>
        <v>0</v>
      </c>
      <c r="N32" s="175">
        <f t="shared" si="7"/>
        <v>2504449.2371174246</v>
      </c>
      <c r="O32" s="175">
        <f t="shared" si="8"/>
        <v>2504449.2371174246</v>
      </c>
      <c r="Q32" s="227" t="str">
        <f>IF(IFERROR(_xlfn.XLOOKUP($B32,'Labour-related_calcs'!$B$103:$B$116,'Labour-related_calcs'!$J$103:$J$116),0)=O32,"OK","ERROR")</f>
        <v>OK</v>
      </c>
      <c r="S32" s="246">
        <f>_xlfn.XLOOKUP($B32,'Labour-related_calcs'!$B$103:$B$115,'Labour-related_calcs'!L$103:L$115,0)</f>
        <v>133381.14716158787</v>
      </c>
      <c r="U32" s="47"/>
      <c r="V32" s="47"/>
      <c r="W32" s="47"/>
      <c r="X32" s="47"/>
      <c r="Y32" s="47"/>
    </row>
    <row r="33" spans="1:25" s="45" customFormat="1" ht="15.95" customHeight="1" x14ac:dyDescent="0.3">
      <c r="A33" s="63"/>
      <c r="B33" s="178" t="str">
        <f t="shared" si="6"/>
        <v>Project Delivery Management - Construction Management</v>
      </c>
      <c r="C33" s="174">
        <f>_xlfn.XLOOKUP($B33,'Historical indirect capex'!$B$27:$B$39,'Historical indirect capex'!H$27:H$39,0)*labour_related_direct</f>
        <v>0</v>
      </c>
      <c r="D33" s="174">
        <f>_xlfn.XLOOKUP($B33,'Historical indirect capex'!$B$27:$B$39,'Historical indirect capex'!I$27:I$39,0)*labour_related_direct</f>
        <v>0</v>
      </c>
      <c r="E33" s="174">
        <f>_xlfn.XLOOKUP($B33,'Historical indirect capex'!$B$27:$B$39,'Historical indirect capex'!J$27:J$39,0)*labour_related_direct</f>
        <v>2650.6420367322257</v>
      </c>
      <c r="F33" s="243">
        <f>_xlfn.XLOOKUP($B33,'Historical indirect capex'!$B$27:$B$39,'Historical indirect capex'!K$27:K$39,0)*labour_related_direct</f>
        <v>0</v>
      </c>
      <c r="G33" s="246">
        <f>_xlfn.XLOOKUP($B33,'Labour-related_calcs'!$B$103:$B$115,'Labour-related_calcs'!C$103:C$115,0)</f>
        <v>724861.45473703381</v>
      </c>
      <c r="H33" s="174">
        <f>_xlfn.XLOOKUP($B33,'Labour-related_calcs'!$B$103:$B$115,'Labour-related_calcs'!D$103:D$115,0)</f>
        <v>1949057.324601521</v>
      </c>
      <c r="I33" s="174">
        <f>_xlfn.XLOOKUP($B33,'Labour-related_calcs'!$B$103:$B$115,'Labour-related_calcs'!E$103:E$115,0)</f>
        <v>1955372.8081206633</v>
      </c>
      <c r="J33" s="174">
        <f>_xlfn.XLOOKUP($B33,'Labour-related_calcs'!$B$103:$B$115,'Labour-related_calcs'!F$103:F$115,0)</f>
        <v>273215.26292653283</v>
      </c>
      <c r="K33" s="174">
        <f>_xlfn.XLOOKUP($B33,'Labour-related_calcs'!$B$103:$B$115,'Labour-related_calcs'!G$103:G$115,0)</f>
        <v>0</v>
      </c>
      <c r="L33" s="174">
        <f>_xlfn.XLOOKUP($B33,'Labour-related_calcs'!$B$103:$B$115,'Labour-related_calcs'!H$103:H$115,0)</f>
        <v>0</v>
      </c>
      <c r="M33" s="174">
        <f>_xlfn.XLOOKUP($B33,'Labour-related_calcs'!$B$103:$B$115,'Labour-related_calcs'!I$103:I$115,0)</f>
        <v>0</v>
      </c>
      <c r="N33" s="175">
        <f t="shared" si="7"/>
        <v>4905157.4924224829</v>
      </c>
      <c r="O33" s="175">
        <f t="shared" si="8"/>
        <v>4902506.8503857506</v>
      </c>
      <c r="Q33" s="227" t="str">
        <f>IF(IFERROR(_xlfn.XLOOKUP($B33,'Labour-related_calcs'!$B$103:$B$116,'Labour-related_calcs'!$J$103:$J$116),0)=O33,"OK","ERROR")</f>
        <v>OK</v>
      </c>
      <c r="S33" s="246">
        <f>_xlfn.XLOOKUP($B33,'Labour-related_calcs'!$B$103:$B$115,'Labour-related_calcs'!L$103:L$115,0)</f>
        <v>434724.60326736327</v>
      </c>
      <c r="U33" s="47"/>
      <c r="V33" s="47"/>
      <c r="W33" s="47"/>
      <c r="X33" s="47"/>
      <c r="Y33" s="47"/>
    </row>
    <row r="34" spans="1:25" s="45" customFormat="1" ht="15.95" customHeight="1" x14ac:dyDescent="0.3">
      <c r="A34" s="63"/>
      <c r="B34" s="178" t="str">
        <f t="shared" si="6"/>
        <v>Project Delivery Management - Project Controls</v>
      </c>
      <c r="C34" s="174">
        <f>_xlfn.XLOOKUP($B34,'Historical indirect capex'!$B$27:$B$39,'Historical indirect capex'!H$27:H$39,0)*labour_related_direct</f>
        <v>0</v>
      </c>
      <c r="D34" s="174">
        <f>_xlfn.XLOOKUP($B34,'Historical indirect capex'!$B$27:$B$39,'Historical indirect capex'!I$27:I$39,0)*labour_related_direct</f>
        <v>0</v>
      </c>
      <c r="E34" s="174">
        <f>_xlfn.XLOOKUP($B34,'Historical indirect capex'!$B$27:$B$39,'Historical indirect capex'!J$27:J$39,0)*labour_related_direct</f>
        <v>0</v>
      </c>
      <c r="F34" s="243">
        <f>_xlfn.XLOOKUP($B34,'Historical indirect capex'!$B$27:$B$39,'Historical indirect capex'!K$27:K$39,0)*labour_related_direct</f>
        <v>1629.0664864083515</v>
      </c>
      <c r="G34" s="246">
        <f>_xlfn.XLOOKUP($B34,'Labour-related_calcs'!$B$103:$B$115,'Labour-related_calcs'!C$103:C$115,0)</f>
        <v>75762.528854362274</v>
      </c>
      <c r="H34" s="174">
        <f>_xlfn.XLOOKUP($B34,'Labour-related_calcs'!$B$103:$B$115,'Labour-related_calcs'!D$103:D$115,0)</f>
        <v>16467.15856155963</v>
      </c>
      <c r="I34" s="174">
        <f>_xlfn.XLOOKUP($B34,'Labour-related_calcs'!$B$103:$B$115,'Labour-related_calcs'!E$103:E$115,0)</f>
        <v>16395.732282556692</v>
      </c>
      <c r="J34" s="174">
        <f>_xlfn.XLOOKUP($B34,'Labour-related_calcs'!$B$103:$B$115,'Labour-related_calcs'!F$103:F$115,0)</f>
        <v>5759.5940574576161</v>
      </c>
      <c r="K34" s="174">
        <f>_xlfn.XLOOKUP($B34,'Labour-related_calcs'!$B$103:$B$115,'Labour-related_calcs'!G$103:G$115,0)</f>
        <v>0</v>
      </c>
      <c r="L34" s="174">
        <f>_xlfn.XLOOKUP($B34,'Labour-related_calcs'!$B$103:$B$115,'Labour-related_calcs'!H$103:H$115,0)</f>
        <v>0</v>
      </c>
      <c r="M34" s="174">
        <f>_xlfn.XLOOKUP($B34,'Labour-related_calcs'!$B$103:$B$115,'Labour-related_calcs'!I$103:I$115,0)</f>
        <v>0</v>
      </c>
      <c r="N34" s="175">
        <f t="shared" si="7"/>
        <v>116014.08024234456</v>
      </c>
      <c r="O34" s="175">
        <f t="shared" si="8"/>
        <v>114385.0137559362</v>
      </c>
      <c r="Q34" s="227" t="str">
        <f>IF(IFERROR(_xlfn.XLOOKUP($B34,'Labour-related_calcs'!$B$103:$B$116,'Labour-related_calcs'!$J$103:$J$116),0)=O34,"OK","ERROR")</f>
        <v>OK</v>
      </c>
      <c r="S34" s="246">
        <f>_xlfn.XLOOKUP($B34,'Labour-related_calcs'!$B$103:$B$115,'Labour-related_calcs'!L$103:L$115,0)</f>
        <v>71527.584364115275</v>
      </c>
      <c r="U34" s="47"/>
      <c r="V34" s="47"/>
      <c r="W34" s="47"/>
      <c r="X34" s="47"/>
      <c r="Y34" s="47"/>
    </row>
    <row r="35" spans="1:25" s="45" customFormat="1" ht="15.95" customHeight="1" x14ac:dyDescent="0.3">
      <c r="A35" s="63"/>
      <c r="B35" s="178" t="str">
        <f t="shared" si="6"/>
        <v>Project Delivery Management - Project Engineering</v>
      </c>
      <c r="C35" s="174">
        <f>_xlfn.XLOOKUP($B35,'Historical indirect capex'!$B$27:$B$39,'Historical indirect capex'!H$27:H$39,0)*labour_related_direct</f>
        <v>0</v>
      </c>
      <c r="D35" s="174">
        <f>_xlfn.XLOOKUP($B35,'Historical indirect capex'!$B$27:$B$39,'Historical indirect capex'!I$27:I$39,0)*labour_related_direct</f>
        <v>0</v>
      </c>
      <c r="E35" s="174">
        <f>_xlfn.XLOOKUP($B35,'Historical indirect capex'!$B$27:$B$39,'Historical indirect capex'!J$27:J$39,0)*labour_related_direct</f>
        <v>0</v>
      </c>
      <c r="F35" s="243">
        <f>_xlfn.XLOOKUP($B35,'Historical indirect capex'!$B$27:$B$39,'Historical indirect capex'!K$27:K$39,0)*labour_related_direct</f>
        <v>0</v>
      </c>
      <c r="G35" s="246">
        <f>_xlfn.XLOOKUP($B35,'Labour-related_calcs'!$B$103:$B$115,'Labour-related_calcs'!C$103:C$115,0)</f>
        <v>1331.9044149692772</v>
      </c>
      <c r="H35" s="174">
        <f>_xlfn.XLOOKUP($B35,'Labour-related_calcs'!$B$103:$B$115,'Labour-related_calcs'!D$103:D$115,0)</f>
        <v>1357.0993010559321</v>
      </c>
      <c r="I35" s="174">
        <f>_xlfn.XLOOKUP($B35,'Labour-related_calcs'!$B$103:$B$115,'Labour-related_calcs'!E$103:E$115,0)</f>
        <v>1357.0993010559321</v>
      </c>
      <c r="J35" s="174">
        <f>_xlfn.XLOOKUP($B35,'Labour-related_calcs'!$B$103:$B$115,'Labour-related_calcs'!F$103:F$115,0)</f>
        <v>565.45804210663835</v>
      </c>
      <c r="K35" s="174">
        <f>_xlfn.XLOOKUP($B35,'Labour-related_calcs'!$B$103:$B$115,'Labour-related_calcs'!G$103:G$115,0)</f>
        <v>0</v>
      </c>
      <c r="L35" s="174">
        <f>_xlfn.XLOOKUP($B35,'Labour-related_calcs'!$B$103:$B$115,'Labour-related_calcs'!H$103:H$115,0)</f>
        <v>0</v>
      </c>
      <c r="M35" s="174">
        <f>_xlfn.XLOOKUP($B35,'Labour-related_calcs'!$B$103:$B$115,'Labour-related_calcs'!I$103:I$115,0)</f>
        <v>0</v>
      </c>
      <c r="N35" s="175">
        <f t="shared" si="7"/>
        <v>4611.5610591877803</v>
      </c>
      <c r="O35" s="175">
        <f t="shared" si="8"/>
        <v>4611.5610591877803</v>
      </c>
      <c r="Q35" s="227" t="str">
        <f>IF(IFERROR(_xlfn.XLOOKUP($B35,'Labour-related_calcs'!$B$103:$B$116,'Labour-related_calcs'!$J$103:$J$116),0)=O35,"OK","ERROR")</f>
        <v>OK</v>
      </c>
      <c r="S35" s="246">
        <f>_xlfn.XLOOKUP($B35,'Labour-related_calcs'!$B$103:$B$115,'Labour-related_calcs'!L$103:L$115,0)</f>
        <v>986.26971554749764</v>
      </c>
      <c r="U35" s="47"/>
      <c r="V35" s="47"/>
      <c r="W35" s="47"/>
      <c r="X35" s="47"/>
      <c r="Y35" s="47"/>
    </row>
    <row r="36" spans="1:25" s="45" customFormat="1" ht="15.95" customHeight="1" x14ac:dyDescent="0.3">
      <c r="A36" s="63"/>
      <c r="B36" s="178" t="str">
        <f t="shared" si="6"/>
        <v>Project Delivery Management - Project Management</v>
      </c>
      <c r="C36" s="174">
        <f>_xlfn.XLOOKUP($B36,'Historical indirect capex'!$B$27:$B$39,'Historical indirect capex'!H$27:H$39,0)*labour_related_direct</f>
        <v>0</v>
      </c>
      <c r="D36" s="174">
        <f>_xlfn.XLOOKUP($B36,'Historical indirect capex'!$B$27:$B$39,'Historical indirect capex'!I$27:I$39,0)*labour_related_direct</f>
        <v>0</v>
      </c>
      <c r="E36" s="174">
        <f>_xlfn.XLOOKUP($B36,'Historical indirect capex'!$B$27:$B$39,'Historical indirect capex'!J$27:J$39,0)*labour_related_direct</f>
        <v>14747.983676311074</v>
      </c>
      <c r="F36" s="243">
        <f>_xlfn.XLOOKUP($B36,'Historical indirect capex'!$B$27:$B$39,'Historical indirect capex'!K$27:K$39,0)*labour_related_direct</f>
        <v>53811.57235139441</v>
      </c>
      <c r="G36" s="246">
        <f>_xlfn.XLOOKUP($B36,'Labour-related_calcs'!$B$103:$B$115,'Labour-related_calcs'!C$103:C$115,0)</f>
        <v>353324.24311358627</v>
      </c>
      <c r="H36" s="174">
        <f>_xlfn.XLOOKUP($B36,'Labour-related_calcs'!$B$103:$B$115,'Labour-related_calcs'!D$103:D$115,0)</f>
        <v>336447.25633835513</v>
      </c>
      <c r="I36" s="174">
        <f>_xlfn.XLOOKUP($B36,'Labour-related_calcs'!$B$103:$B$115,'Labour-related_calcs'!E$103:E$115,0)</f>
        <v>336411.54319885367</v>
      </c>
      <c r="J36" s="174">
        <f>_xlfn.XLOOKUP($B36,'Labour-related_calcs'!$B$103:$B$115,'Labour-related_calcs'!F$103:F$115,0)</f>
        <v>140395.25741591043</v>
      </c>
      <c r="K36" s="174">
        <f>_xlfn.XLOOKUP($B36,'Labour-related_calcs'!$B$103:$B$115,'Labour-related_calcs'!G$103:G$115,0)</f>
        <v>0</v>
      </c>
      <c r="L36" s="174">
        <f>_xlfn.XLOOKUP($B36,'Labour-related_calcs'!$B$103:$B$115,'Labour-related_calcs'!H$103:H$115,0)</f>
        <v>0</v>
      </c>
      <c r="M36" s="174">
        <f>_xlfn.XLOOKUP($B36,'Labour-related_calcs'!$B$103:$B$115,'Labour-related_calcs'!I$103:I$115,0)</f>
        <v>0</v>
      </c>
      <c r="N36" s="175">
        <f t="shared" si="7"/>
        <v>1235137.8560944111</v>
      </c>
      <c r="O36" s="175">
        <f t="shared" si="8"/>
        <v>1166578.3000667056</v>
      </c>
      <c r="Q36" s="227" t="str">
        <f>IF(IFERROR(_xlfn.XLOOKUP($B36,'Labour-related_calcs'!$B$103:$B$116,'Labour-related_calcs'!$J$103:$J$116),0)=O36,"OK","ERROR")</f>
        <v>OK</v>
      </c>
      <c r="S36" s="246">
        <f>_xlfn.XLOOKUP($B36,'Labour-related_calcs'!$B$103:$B$115,'Labour-related_calcs'!L$103:L$115,0)</f>
        <v>270685.21245053504</v>
      </c>
      <c r="U36" s="47"/>
      <c r="V36" s="47"/>
      <c r="W36" s="47"/>
      <c r="X36" s="47"/>
      <c r="Y36" s="47"/>
    </row>
    <row r="37" spans="1:25" s="45" customFormat="1" ht="15.95" customHeight="1" x14ac:dyDescent="0.3">
      <c r="A37" s="63"/>
      <c r="B37" s="178" t="str">
        <f t="shared" si="6"/>
        <v>Project Development</v>
      </c>
      <c r="C37" s="174">
        <f>_xlfn.XLOOKUP($B37,'Historical indirect capex'!$B$27:$B$39,'Historical indirect capex'!H$27:H$39,0)*labour_related_direct</f>
        <v>10244.132780264286</v>
      </c>
      <c r="D37" s="174">
        <f>_xlfn.XLOOKUP($B37,'Historical indirect capex'!$B$27:$B$39,'Historical indirect capex'!I$27:I$39,0)*labour_related_direct</f>
        <v>7530.9011269606599</v>
      </c>
      <c r="E37" s="174">
        <f>_xlfn.XLOOKUP($B37,'Historical indirect capex'!$B$27:$B$39,'Historical indirect capex'!J$27:J$39,0)*labour_related_direct</f>
        <v>45987.48810756037</v>
      </c>
      <c r="F37" s="243">
        <f>_xlfn.XLOOKUP($B37,'Historical indirect capex'!$B$27:$B$39,'Historical indirect capex'!K$27:K$39,0)*labour_related_direct</f>
        <v>6648.0611118504212</v>
      </c>
      <c r="G37" s="246">
        <f>_xlfn.XLOOKUP($B37,'Labour-related_calcs'!$B$103:$B$115,'Labour-related_calcs'!C$103:C$115,0)</f>
        <v>186778.65088754433</v>
      </c>
      <c r="H37" s="174">
        <f>_xlfn.XLOOKUP($B37,'Labour-related_calcs'!$B$103:$B$115,'Labour-related_calcs'!D$103:D$115,0)</f>
        <v>1335868.5616485793</v>
      </c>
      <c r="I37" s="174">
        <f>_xlfn.XLOOKUP($B37,'Labour-related_calcs'!$B$103:$B$115,'Labour-related_calcs'!E$103:E$115,0)</f>
        <v>473518.41969478357</v>
      </c>
      <c r="J37" s="174">
        <f>_xlfn.XLOOKUP($B37,'Labour-related_calcs'!$B$103:$B$115,'Labour-related_calcs'!F$103:F$115,0)</f>
        <v>384.51146863251404</v>
      </c>
      <c r="K37" s="174">
        <f>_xlfn.XLOOKUP($B37,'Labour-related_calcs'!$B$103:$B$115,'Labour-related_calcs'!G$103:G$115,0)</f>
        <v>0</v>
      </c>
      <c r="L37" s="174">
        <f>_xlfn.XLOOKUP($B37,'Labour-related_calcs'!$B$103:$B$115,'Labour-related_calcs'!H$103:H$115,0)</f>
        <v>0</v>
      </c>
      <c r="M37" s="174">
        <f>_xlfn.XLOOKUP($B37,'Labour-related_calcs'!$B$103:$B$115,'Labour-related_calcs'!I$103:I$115,0)</f>
        <v>0</v>
      </c>
      <c r="N37" s="175">
        <f t="shared" si="7"/>
        <v>2066960.7268261756</v>
      </c>
      <c r="O37" s="175">
        <f t="shared" si="8"/>
        <v>1996550.1436995398</v>
      </c>
      <c r="Q37" s="227" t="str">
        <f>IF(IFERROR(_xlfn.XLOOKUP($B37,'Labour-related_calcs'!$B$103:$B$116,'Labour-related_calcs'!$J$103:$J$116),0)=O37,"OK","ERROR")</f>
        <v>OK</v>
      </c>
      <c r="S37" s="246">
        <f>_xlfn.XLOOKUP($B37,'Labour-related_calcs'!$B$103:$B$115,'Labour-related_calcs'!L$103:L$115,0)</f>
        <v>112304.79749369939</v>
      </c>
      <c r="U37" s="47"/>
      <c r="V37" s="47"/>
      <c r="W37" s="47"/>
      <c r="X37" s="47"/>
      <c r="Y37" s="47"/>
    </row>
    <row r="38" spans="1:25" s="45" customFormat="1" ht="15.95" customHeight="1" x14ac:dyDescent="0.3">
      <c r="A38" s="63"/>
      <c r="B38" s="178" t="str">
        <f t="shared" si="6"/>
        <v>Regulatory Approvals</v>
      </c>
      <c r="C38" s="174">
        <f>_xlfn.XLOOKUP($B38,'Historical indirect capex'!$B$27:$B$39,'Historical indirect capex'!H$27:H$39,0)*labour_related_direct</f>
        <v>0</v>
      </c>
      <c r="D38" s="174">
        <f>_xlfn.XLOOKUP($B38,'Historical indirect capex'!$B$27:$B$39,'Historical indirect capex'!I$27:I$39,0)*labour_related_direct</f>
        <v>0</v>
      </c>
      <c r="E38" s="174">
        <f>_xlfn.XLOOKUP($B38,'Historical indirect capex'!$B$27:$B$39,'Historical indirect capex'!J$27:J$39,0)*labour_related_direct</f>
        <v>0</v>
      </c>
      <c r="F38" s="243">
        <f>_xlfn.XLOOKUP($B38,'Historical indirect capex'!$B$27:$B$39,'Historical indirect capex'!K$27:K$39,0)*labour_related_direct</f>
        <v>0</v>
      </c>
      <c r="G38" s="246">
        <f>_xlfn.XLOOKUP($B38,'Labour-related_calcs'!$B$103:$B$115,'Labour-related_calcs'!C$103:C$115,0)</f>
        <v>855.37861316915803</v>
      </c>
      <c r="H38" s="174">
        <f>_xlfn.XLOOKUP($B38,'Labour-related_calcs'!$B$103:$B$115,'Labour-related_calcs'!D$103:D$115,0)</f>
        <v>113.09160842132765</v>
      </c>
      <c r="I38" s="174">
        <f>_xlfn.XLOOKUP($B38,'Labour-related_calcs'!$B$103:$B$115,'Labour-related_calcs'!E$103:E$115,0)</f>
        <v>0</v>
      </c>
      <c r="J38" s="174">
        <f>_xlfn.XLOOKUP($B38,'Labour-related_calcs'!$B$103:$B$115,'Labour-related_calcs'!F$103:F$115,0)</f>
        <v>0</v>
      </c>
      <c r="K38" s="174">
        <f>_xlfn.XLOOKUP($B38,'Labour-related_calcs'!$B$103:$B$115,'Labour-related_calcs'!G$103:G$115,0)</f>
        <v>0</v>
      </c>
      <c r="L38" s="174">
        <f>_xlfn.XLOOKUP($B38,'Labour-related_calcs'!$B$103:$B$115,'Labour-related_calcs'!H$103:H$115,0)</f>
        <v>0</v>
      </c>
      <c r="M38" s="174">
        <f>_xlfn.XLOOKUP($B38,'Labour-related_calcs'!$B$103:$B$115,'Labour-related_calcs'!I$103:I$115,0)</f>
        <v>0</v>
      </c>
      <c r="N38" s="175">
        <f t="shared" si="7"/>
        <v>968.47022159048572</v>
      </c>
      <c r="O38" s="175">
        <f t="shared" si="8"/>
        <v>968.47022159048572</v>
      </c>
      <c r="Q38" s="227" t="str">
        <f>IF(IFERROR(_xlfn.XLOOKUP($B38,'Labour-related_calcs'!$B$103:$B$116,'Labour-related_calcs'!$J$103:$J$116),0)=O38,"OK","ERROR")</f>
        <v>OK</v>
      </c>
      <c r="S38" s="246">
        <f>_xlfn.XLOOKUP($B38,'Labour-related_calcs'!$B$103:$B$115,'Labour-related_calcs'!L$103:L$115,0)</f>
        <v>680.99575597327214</v>
      </c>
      <c r="U38" s="47"/>
      <c r="V38" s="47"/>
      <c r="W38" s="47"/>
      <c r="X38" s="47"/>
      <c r="Y38" s="47"/>
    </row>
    <row r="39" spans="1:25" s="45" customFormat="1" ht="15.95" customHeight="1" x14ac:dyDescent="0.3">
      <c r="A39" s="63"/>
      <c r="B39" s="178" t="str">
        <f t="shared" si="6"/>
        <v>Transaction Procurement Support</v>
      </c>
      <c r="C39" s="174">
        <f>_xlfn.XLOOKUP($B39,'Historical indirect capex'!$B$27:$B$39,'Historical indirect capex'!H$27:H$39,0)*labour_related_direct</f>
        <v>0</v>
      </c>
      <c r="D39" s="174">
        <f>_xlfn.XLOOKUP($B39,'Historical indirect capex'!$B$27:$B$39,'Historical indirect capex'!I$27:I$39,0)*labour_related_direct</f>
        <v>13043.445701084203</v>
      </c>
      <c r="E39" s="174">
        <f>_xlfn.XLOOKUP($B39,'Historical indirect capex'!$B$27:$B$39,'Historical indirect capex'!J$27:J$39,0)*labour_related_direct</f>
        <v>39942.037490227536</v>
      </c>
      <c r="F39" s="243">
        <f>_xlfn.XLOOKUP($B39,'Historical indirect capex'!$B$27:$B$39,'Historical indirect capex'!K$27:K$39,0)*labour_related_direct</f>
        <v>0</v>
      </c>
      <c r="G39" s="246">
        <f>_xlfn.XLOOKUP($B39,'Labour-related_calcs'!$B$103:$B$115,'Labour-related_calcs'!C$103:C$115,0)</f>
        <v>0</v>
      </c>
      <c r="H39" s="174">
        <f>_xlfn.XLOOKUP($B39,'Labour-related_calcs'!$B$103:$B$115,'Labour-related_calcs'!D$103:D$115,0)</f>
        <v>0</v>
      </c>
      <c r="I39" s="174">
        <f>_xlfn.XLOOKUP($B39,'Labour-related_calcs'!$B$103:$B$115,'Labour-related_calcs'!E$103:E$115,0)</f>
        <v>0</v>
      </c>
      <c r="J39" s="174">
        <f>_xlfn.XLOOKUP($B39,'Labour-related_calcs'!$B$103:$B$115,'Labour-related_calcs'!F$103:F$115,0)</f>
        <v>0</v>
      </c>
      <c r="K39" s="174">
        <f>_xlfn.XLOOKUP($B39,'Labour-related_calcs'!$B$103:$B$115,'Labour-related_calcs'!G$103:G$115,0)</f>
        <v>0</v>
      </c>
      <c r="L39" s="174">
        <f>_xlfn.XLOOKUP($B39,'Labour-related_calcs'!$B$103:$B$115,'Labour-related_calcs'!H$103:H$115,0)</f>
        <v>0</v>
      </c>
      <c r="M39" s="174">
        <f>_xlfn.XLOOKUP($B39,'Labour-related_calcs'!$B$103:$B$115,'Labour-related_calcs'!I$103:I$115,0)</f>
        <v>0</v>
      </c>
      <c r="N39" s="175">
        <f t="shared" si="7"/>
        <v>52985.483191311738</v>
      </c>
      <c r="O39" s="175">
        <f t="shared" si="8"/>
        <v>0</v>
      </c>
      <c r="Q39" s="227" t="str">
        <f>IF(IFERROR(_xlfn.XLOOKUP($B39,'Labour-related_calcs'!$B$103:$B$116,'Labour-related_calcs'!$J$103:$J$116),0)=O39,"OK","ERROR")</f>
        <v>OK</v>
      </c>
      <c r="S39" s="246">
        <f>_xlfn.XLOOKUP($B39,'Labour-related_calcs'!$B$103:$B$115,'Labour-related_calcs'!L$103:L$115,0)</f>
        <v>0</v>
      </c>
      <c r="U39" s="47"/>
      <c r="V39" s="47"/>
      <c r="W39" s="47"/>
      <c r="X39" s="47"/>
      <c r="Y39" s="47"/>
    </row>
    <row r="40" spans="1:25" s="45" customFormat="1" ht="15.95" customHeight="1" x14ac:dyDescent="0.3">
      <c r="A40" s="63"/>
      <c r="B40" s="178" t="s">
        <v>132</v>
      </c>
      <c r="C40" s="174">
        <f t="shared" ref="C40:F40" si="9">SUM(C27:C39)</f>
        <v>10244.132780264286</v>
      </c>
      <c r="D40" s="174">
        <f t="shared" si="9"/>
        <v>23691.638629623641</v>
      </c>
      <c r="E40" s="174">
        <f t="shared" si="9"/>
        <v>105948.35904621246</v>
      </c>
      <c r="F40" s="243">
        <f t="shared" si="9"/>
        <v>62671.156923402545</v>
      </c>
      <c r="G40" s="246">
        <f t="shared" ref="G40:M40" si="10">SUM(G27:G39)</f>
        <v>1725482.783030293</v>
      </c>
      <c r="H40" s="174">
        <f t="shared" si="10"/>
        <v>4778185.2778767189</v>
      </c>
      <c r="I40" s="174">
        <f t="shared" si="10"/>
        <v>3881724.46254974</v>
      </c>
      <c r="J40" s="174">
        <f t="shared" si="10"/>
        <v>534724.021051861</v>
      </c>
      <c r="K40" s="174">
        <f t="shared" si="10"/>
        <v>0</v>
      </c>
      <c r="L40" s="174">
        <f t="shared" si="10"/>
        <v>0</v>
      </c>
      <c r="M40" s="174">
        <f t="shared" si="10"/>
        <v>0</v>
      </c>
      <c r="N40" s="175">
        <f t="shared" si="3"/>
        <v>11122671.831888117</v>
      </c>
      <c r="O40" s="175">
        <f t="shared" si="4"/>
        <v>10920116.544508614</v>
      </c>
      <c r="S40" s="246">
        <f t="shared" ref="S40" si="11">SUM(S27:S39)</f>
        <v>1172740.2637230791</v>
      </c>
      <c r="U40" s="47"/>
      <c r="V40" s="47"/>
      <c r="W40" s="47"/>
      <c r="X40" s="47"/>
      <c r="Y40" s="47"/>
    </row>
    <row r="41" spans="1:25" s="45" customFormat="1" ht="15.95" customHeight="1" x14ac:dyDescent="0.3">
      <c r="A41" s="63"/>
      <c r="B41" s="169" t="s">
        <v>246</v>
      </c>
      <c r="C41" s="169"/>
      <c r="D41" s="169"/>
      <c r="E41" s="174"/>
      <c r="F41" s="243"/>
      <c r="G41" s="246"/>
      <c r="H41" s="174"/>
      <c r="I41" s="174"/>
      <c r="J41" s="174"/>
      <c r="K41" s="174"/>
      <c r="L41" s="174"/>
      <c r="M41" s="174"/>
      <c r="N41" s="175">
        <f t="shared" si="3"/>
        <v>0</v>
      </c>
      <c r="O41" s="175">
        <f t="shared" si="4"/>
        <v>0</v>
      </c>
      <c r="S41" s="246"/>
      <c r="U41" s="47"/>
      <c r="V41" s="47"/>
      <c r="W41" s="47"/>
      <c r="X41" s="47"/>
      <c r="Y41" s="47"/>
    </row>
    <row r="42" spans="1:25" s="45" customFormat="1" ht="15.95" customHeight="1" x14ac:dyDescent="0.3">
      <c r="A42" s="63"/>
      <c r="B42" s="177" t="s">
        <v>247</v>
      </c>
      <c r="C42" s="174">
        <f>'Historical indirect capex'!H21*(1-labour_direct)</f>
        <v>623116.98471351631</v>
      </c>
      <c r="D42" s="174">
        <f>'Historical indirect capex'!I21*(1-labour_direct)</f>
        <v>1143629.5280815556</v>
      </c>
      <c r="E42" s="174">
        <f>'Historical indirect capex'!J21*(1-labour_direct)</f>
        <v>3298386.1805265038</v>
      </c>
      <c r="F42" s="243">
        <f>'Historical indirect capex'!K21*(1-labour_direct)</f>
        <v>1444720.6434693804</v>
      </c>
      <c r="G42" s="246">
        <f>Internal_labour_calcs!C64+Outsourced_labour_calcs!C64</f>
        <v>8857733.4160456751</v>
      </c>
      <c r="H42" s="174">
        <f>Internal_labour_calcs!D64+Outsourced_labour_calcs!D64</f>
        <v>14553815.83761536</v>
      </c>
      <c r="I42" s="174">
        <f>Internal_labour_calcs!E64+Outsourced_labour_calcs!E64</f>
        <v>13844666.359489145</v>
      </c>
      <c r="J42" s="174">
        <f>Internal_labour_calcs!F64+Outsourced_labour_calcs!F64</f>
        <v>3917934.7674639467</v>
      </c>
      <c r="K42" s="174">
        <f>Internal_labour_calcs!G64+Outsourced_labour_calcs!G64</f>
        <v>0</v>
      </c>
      <c r="L42" s="174">
        <f>Internal_labour_calcs!H64+Outsourced_labour_calcs!H64</f>
        <v>0</v>
      </c>
      <c r="M42" s="174">
        <f>Internal_labour_calcs!I64+Outsourced_labour_calcs!I64</f>
        <v>0</v>
      </c>
      <c r="N42" s="175">
        <f t="shared" si="3"/>
        <v>47684003.717405081</v>
      </c>
      <c r="O42" s="175">
        <f t="shared" si="4"/>
        <v>41174150.380614124</v>
      </c>
      <c r="Q42" s="227" t="str">
        <f>IF(Internal_labour_calcs!J64+Outsourced_labour_calcs!J64=O42,"OK","ERROR")</f>
        <v>OK</v>
      </c>
      <c r="S42" s="246">
        <f>Internal_labour_calcs!L64+Outsourced_labour_calcs!L64</f>
        <v>4821754.3271847889</v>
      </c>
      <c r="U42" s="47"/>
      <c r="V42" s="47"/>
      <c r="W42" s="47"/>
      <c r="X42" s="47"/>
      <c r="Y42" s="47"/>
    </row>
    <row r="43" spans="1:25" s="45" customFormat="1" ht="15.95" customHeight="1" x14ac:dyDescent="0.3">
      <c r="A43" s="63"/>
      <c r="B43" s="177" t="s">
        <v>248</v>
      </c>
      <c r="C43" s="174">
        <f>'Historical indirect capex'!H40*(1-labour_related_direct)</f>
        <v>4390.3426201132661</v>
      </c>
      <c r="D43" s="174">
        <f>'Historical indirect capex'!I40*(1-labour_related_direct)</f>
        <v>10153.559412695849</v>
      </c>
      <c r="E43" s="174">
        <f>'Historical indirect capex'!J40*(1-labour_related_direct)</f>
        <v>45406.439591233917</v>
      </c>
      <c r="F43" s="243">
        <f>'Historical indirect capex'!K40*(1-labour_related_direct)</f>
        <v>26859.067252886805</v>
      </c>
      <c r="G43" s="246">
        <f>'Labour-related_calcs'!C134</f>
        <v>739492.62129869731</v>
      </c>
      <c r="H43" s="174">
        <f>'Labour-related_calcs'!D134</f>
        <v>2047793.6905185943</v>
      </c>
      <c r="I43" s="174">
        <f>'Labour-related_calcs'!E134</f>
        <v>1663596.1982356033</v>
      </c>
      <c r="J43" s="174">
        <f>'Labour-related_calcs'!F134</f>
        <v>229167.43759365479</v>
      </c>
      <c r="K43" s="174">
        <f>'Labour-related_calcs'!G134</f>
        <v>0</v>
      </c>
      <c r="L43" s="174">
        <f>'Labour-related_calcs'!H134</f>
        <v>0</v>
      </c>
      <c r="M43" s="174">
        <f>'Labour-related_calcs'!I134</f>
        <v>0</v>
      </c>
      <c r="N43" s="175">
        <f t="shared" si="3"/>
        <v>4766859.3565234793</v>
      </c>
      <c r="O43" s="175">
        <f t="shared" si="4"/>
        <v>4680049.9476465499</v>
      </c>
      <c r="Q43" s="227" t="str">
        <f>IF(ROUND('Labour-related_calcs'!J134,2)=ROUND(O43,2),"OK","ERROR")</f>
        <v>OK</v>
      </c>
      <c r="S43" s="246">
        <f>'Labour-related_calcs'!L134</f>
        <v>502602.9701670339</v>
      </c>
      <c r="U43" s="47"/>
      <c r="V43" s="47"/>
      <c r="W43" s="47"/>
      <c r="X43" s="47"/>
      <c r="Y43" s="47"/>
    </row>
    <row r="44" spans="1:25" s="45" customFormat="1" ht="15.95" customHeight="1" x14ac:dyDescent="0.3">
      <c r="A44" s="63"/>
      <c r="B44" s="178" t="str">
        <f>B12</f>
        <v>Community and Stakeholder Engagement</v>
      </c>
      <c r="C44" s="174">
        <f>_xlfn.XLOOKUP($B44,'Historical indirect capex'!$B$46:$B$59,'Historical indirect capex'!H$46:H$59,0)</f>
        <v>0</v>
      </c>
      <c r="D44" s="174">
        <f>_xlfn.XLOOKUP($B44,'Historical indirect capex'!$B$46:$B$59,'Historical indirect capex'!I$46:I$59,0)</f>
        <v>0</v>
      </c>
      <c r="E44" s="174">
        <f>_xlfn.XLOOKUP($B44,'Historical indirect capex'!$B$46:$B$59,'Historical indirect capex'!J$46:J$59,0)</f>
        <v>78.947781439757492</v>
      </c>
      <c r="F44" s="243">
        <f>_xlfn.XLOOKUP($B44,'Historical indirect capex'!$B$46:$B$59,'Historical indirect capex'!K$46:K$59,0)</f>
        <v>0</v>
      </c>
      <c r="G44" s="246">
        <f>_xlfn.XLOOKUP($B44,'Non-labour_calcs'!$B$51:$B$63,'Non-labour_calcs'!C$51:C$63,0)</f>
        <v>0</v>
      </c>
      <c r="H44" s="174">
        <f>_xlfn.XLOOKUP($B44,'Non-labour_calcs'!$B$51:$B$63,'Non-labour_calcs'!D$51:D$63,0)</f>
        <v>0</v>
      </c>
      <c r="I44" s="174">
        <f>_xlfn.XLOOKUP($B44,'Non-labour_calcs'!$B$51:$B$63,'Non-labour_calcs'!E$51:E$63,0)</f>
        <v>0</v>
      </c>
      <c r="J44" s="174">
        <f>_xlfn.XLOOKUP($B44,'Non-labour_calcs'!$B$51:$B$63,'Non-labour_calcs'!F$51:F$63,0)</f>
        <v>0</v>
      </c>
      <c r="K44" s="174">
        <f>_xlfn.XLOOKUP($B44,'Non-labour_calcs'!$B$51:$B$63,'Non-labour_calcs'!G$51:G$63,0)</f>
        <v>0</v>
      </c>
      <c r="L44" s="174">
        <f>_xlfn.XLOOKUP($B44,'Non-labour_calcs'!$B$51:$B$63,'Non-labour_calcs'!H$51:H$63,0)</f>
        <v>0</v>
      </c>
      <c r="M44" s="174">
        <f>_xlfn.XLOOKUP($B44,'Non-labour_calcs'!$B$51:$B$63,'Non-labour_calcs'!I$51:I$63,0)</f>
        <v>0</v>
      </c>
      <c r="N44" s="175">
        <f t="shared" si="3"/>
        <v>78.947781439757492</v>
      </c>
      <c r="O44" s="175">
        <f t="shared" si="4"/>
        <v>0</v>
      </c>
      <c r="Q44" s="227" t="str">
        <f>IF(IFERROR(_xlfn.XLOOKUP($B44,'Non-labour_calcs'!$B$51:$B$64,'Non-labour_calcs'!$J$51:$J$64),0)=O44,"OK","ERROR")</f>
        <v>OK</v>
      </c>
      <c r="S44" s="246">
        <f>_xlfn.XLOOKUP($B44,'Non-labour_calcs'!$B$51:$B$63,'Non-labour_calcs'!L$51:L$63,0)</f>
        <v>0</v>
      </c>
      <c r="U44" s="47"/>
      <c r="V44" s="47"/>
      <c r="W44" s="47"/>
      <c r="X44" s="47"/>
      <c r="Y44" s="47"/>
    </row>
    <row r="45" spans="1:25" s="45" customFormat="1" ht="15.95" customHeight="1" x14ac:dyDescent="0.3">
      <c r="A45" s="63"/>
      <c r="B45" s="178" t="str">
        <f t="shared" ref="B45:B56" si="12">B13</f>
        <v>Fleet</v>
      </c>
      <c r="C45" s="174">
        <f>_xlfn.XLOOKUP($B45,'Historical indirect capex'!$B$46:$B$59,'Historical indirect capex'!H$46:H$59,0)</f>
        <v>0</v>
      </c>
      <c r="D45" s="174">
        <f>_xlfn.XLOOKUP($B45,'Historical indirect capex'!$B$46:$B$59,'Historical indirect capex'!I$46:I$59,0)</f>
        <v>0</v>
      </c>
      <c r="E45" s="174">
        <f>_xlfn.XLOOKUP($B45,'Historical indirect capex'!$B$46:$B$59,'Historical indirect capex'!J$46:J$59,0)</f>
        <v>0</v>
      </c>
      <c r="F45" s="243">
        <f>_xlfn.XLOOKUP($B45,'Historical indirect capex'!$B$46:$B$59,'Historical indirect capex'!K$46:K$59,0)</f>
        <v>0</v>
      </c>
      <c r="G45" s="246">
        <f>_xlfn.XLOOKUP($B45,'Non-labour_calcs'!$B$51:$B$63,'Non-labour_calcs'!C$51:C$63,0)</f>
        <v>9483.2805599948369</v>
      </c>
      <c r="H45" s="174">
        <f>_xlfn.XLOOKUP($B45,'Non-labour_calcs'!$B$51:$B$63,'Non-labour_calcs'!D$51:D$63,0)</f>
        <v>44415.361810343005</v>
      </c>
      <c r="I45" s="174">
        <f>_xlfn.XLOOKUP($B45,'Non-labour_calcs'!$B$51:$B$63,'Non-labour_calcs'!E$51:E$63,0)</f>
        <v>0</v>
      </c>
      <c r="J45" s="174">
        <f>_xlfn.XLOOKUP($B45,'Non-labour_calcs'!$B$51:$B$63,'Non-labour_calcs'!F$51:F$63,0)</f>
        <v>0</v>
      </c>
      <c r="K45" s="174">
        <f>_xlfn.XLOOKUP($B45,'Non-labour_calcs'!$B$51:$B$63,'Non-labour_calcs'!G$51:G$63,0)</f>
        <v>0</v>
      </c>
      <c r="L45" s="174">
        <f>_xlfn.XLOOKUP($B45,'Non-labour_calcs'!$B$51:$B$63,'Non-labour_calcs'!H$51:H$63,0)</f>
        <v>0</v>
      </c>
      <c r="M45" s="174">
        <f>_xlfn.XLOOKUP($B45,'Non-labour_calcs'!$B$51:$B$63,'Non-labour_calcs'!I$51:I$63,0)</f>
        <v>0</v>
      </c>
      <c r="N45" s="175">
        <f t="shared" ref="N45:N56" si="13">SUM(C45:M45)</f>
        <v>53898.642370337839</v>
      </c>
      <c r="O45" s="175">
        <f t="shared" ref="O45:O56" si="14">SUM(G45:M45)</f>
        <v>53898.642370337839</v>
      </c>
      <c r="Q45" s="227" t="str">
        <f>IF(IFERROR(_xlfn.XLOOKUP($B45,'Non-labour_calcs'!$B$51:$B$64,'Non-labour_calcs'!$J$51:$J$64),0)=O45,"OK","ERROR")</f>
        <v>OK</v>
      </c>
      <c r="S45" s="246">
        <f>_xlfn.XLOOKUP($B45,'Non-labour_calcs'!$B$51:$B$63,'Non-labour_calcs'!L$51:L$63,0)</f>
        <v>6700</v>
      </c>
      <c r="U45" s="47"/>
      <c r="V45" s="47"/>
      <c r="W45" s="47"/>
      <c r="X45" s="47"/>
      <c r="Y45" s="47"/>
    </row>
    <row r="46" spans="1:25" s="45" customFormat="1" ht="15.95" customHeight="1" x14ac:dyDescent="0.3">
      <c r="A46" s="63"/>
      <c r="B46" s="178" t="str">
        <f t="shared" si="12"/>
        <v>Land and Environment</v>
      </c>
      <c r="C46" s="174">
        <f>_xlfn.XLOOKUP($B46,'Historical indirect capex'!$B$46:$B$59,'Historical indirect capex'!H$46:H$59,0)</f>
        <v>0</v>
      </c>
      <c r="D46" s="174">
        <f>_xlfn.XLOOKUP($B46,'Historical indirect capex'!$B$46:$B$59,'Historical indirect capex'!I$46:I$59,0)</f>
        <v>0</v>
      </c>
      <c r="E46" s="174">
        <f>_xlfn.XLOOKUP($B46,'Historical indirect capex'!$B$46:$B$59,'Historical indirect capex'!J$46:J$59,0)</f>
        <v>315144.07592938095</v>
      </c>
      <c r="F46" s="243">
        <f>_xlfn.XLOOKUP($B46,'Historical indirect capex'!$B$46:$B$59,'Historical indirect capex'!K$46:K$59,0)</f>
        <v>168374.89175909388</v>
      </c>
      <c r="G46" s="246">
        <f>_xlfn.XLOOKUP($B46,'Non-labour_calcs'!$B$51:$B$63,'Non-labour_calcs'!C$51:C$63,0)</f>
        <v>0</v>
      </c>
      <c r="H46" s="174">
        <f>_xlfn.XLOOKUP($B46,'Non-labour_calcs'!$B$51:$B$63,'Non-labour_calcs'!D$51:D$63,0)</f>
        <v>0</v>
      </c>
      <c r="I46" s="174">
        <f>_xlfn.XLOOKUP($B46,'Non-labour_calcs'!$B$51:$B$63,'Non-labour_calcs'!E$51:E$63,0)</f>
        <v>0</v>
      </c>
      <c r="J46" s="174">
        <f>_xlfn.XLOOKUP($B46,'Non-labour_calcs'!$B$51:$B$63,'Non-labour_calcs'!F$51:F$63,0)</f>
        <v>0</v>
      </c>
      <c r="K46" s="174">
        <f>_xlfn.XLOOKUP($B46,'Non-labour_calcs'!$B$51:$B$63,'Non-labour_calcs'!G$51:G$63,0)</f>
        <v>0</v>
      </c>
      <c r="L46" s="174">
        <f>_xlfn.XLOOKUP($B46,'Non-labour_calcs'!$B$51:$B$63,'Non-labour_calcs'!H$51:H$63,0)</f>
        <v>0</v>
      </c>
      <c r="M46" s="174">
        <f>_xlfn.XLOOKUP($B46,'Non-labour_calcs'!$B$51:$B$63,'Non-labour_calcs'!I$51:I$63,0)</f>
        <v>0</v>
      </c>
      <c r="N46" s="175">
        <f t="shared" si="13"/>
        <v>483518.9676884748</v>
      </c>
      <c r="O46" s="175">
        <f t="shared" si="14"/>
        <v>0</v>
      </c>
      <c r="Q46" s="227" t="str">
        <f>IF(IFERROR(_xlfn.XLOOKUP($B46,'Non-labour_calcs'!$B$51:$B$64,'Non-labour_calcs'!$J$51:$J$64),0)=O46,"OK","ERROR")</f>
        <v>OK</v>
      </c>
      <c r="S46" s="246">
        <f>_xlfn.XLOOKUP($B46,'Non-labour_calcs'!$B$51:$B$63,'Non-labour_calcs'!L$51:L$63,0)</f>
        <v>0</v>
      </c>
      <c r="U46" s="47"/>
      <c r="V46" s="47"/>
      <c r="W46" s="47"/>
      <c r="X46" s="47"/>
      <c r="Y46" s="47"/>
    </row>
    <row r="47" spans="1:25" s="45" customFormat="1" ht="15.95" customHeight="1" x14ac:dyDescent="0.3">
      <c r="A47" s="63"/>
      <c r="B47" s="178" t="str">
        <f t="shared" si="12"/>
        <v>Other Support &amp; Corporate Roles</v>
      </c>
      <c r="C47" s="174">
        <f>_xlfn.XLOOKUP($B47,'Historical indirect capex'!$B$46:$B$59,'Historical indirect capex'!H$46:H$59,0)</f>
        <v>0</v>
      </c>
      <c r="D47" s="174">
        <f>_xlfn.XLOOKUP($B47,'Historical indirect capex'!$B$46:$B$59,'Historical indirect capex'!I$46:I$59,0)</f>
        <v>37935.588498912955</v>
      </c>
      <c r="E47" s="174">
        <f>_xlfn.XLOOKUP($B47,'Historical indirect capex'!$B$46:$B$59,'Historical indirect capex'!J$46:J$59,0)</f>
        <v>1513228.3125709291</v>
      </c>
      <c r="F47" s="243">
        <f>_xlfn.XLOOKUP($B47,'Historical indirect capex'!$B$46:$B$59,'Historical indirect capex'!K$46:K$59,0)</f>
        <v>147154.78706869745</v>
      </c>
      <c r="G47" s="246">
        <f>_xlfn.XLOOKUP($B47,'Non-labour_calcs'!$B$51:$B$63,'Non-labour_calcs'!C$51:C$63,0)</f>
        <v>10115421.452843221</v>
      </c>
      <c r="H47" s="174">
        <f>_xlfn.XLOOKUP($B47,'Non-labour_calcs'!$B$51:$B$63,'Non-labour_calcs'!D$51:D$63,0)</f>
        <v>4916864.2428120421</v>
      </c>
      <c r="I47" s="174">
        <f>_xlfn.XLOOKUP($B47,'Non-labour_calcs'!$B$51:$B$63,'Non-labour_calcs'!E$51:E$63,0)</f>
        <v>6080736.2784350207</v>
      </c>
      <c r="J47" s="174">
        <f>_xlfn.XLOOKUP($B47,'Non-labour_calcs'!$B$51:$B$63,'Non-labour_calcs'!F$51:F$63,0)</f>
        <v>2394581.3521636976</v>
      </c>
      <c r="K47" s="174">
        <f>_xlfn.XLOOKUP($B47,'Non-labour_calcs'!$B$51:$B$63,'Non-labour_calcs'!G$51:G$63,0)</f>
        <v>0</v>
      </c>
      <c r="L47" s="174">
        <f>_xlfn.XLOOKUP($B47,'Non-labour_calcs'!$B$51:$B$63,'Non-labour_calcs'!H$51:H$63,0)</f>
        <v>0</v>
      </c>
      <c r="M47" s="174">
        <f>_xlfn.XLOOKUP($B47,'Non-labour_calcs'!$B$51:$B$63,'Non-labour_calcs'!I$51:I$63,0)</f>
        <v>0</v>
      </c>
      <c r="N47" s="175">
        <f t="shared" si="13"/>
        <v>25205922.014392521</v>
      </c>
      <c r="O47" s="175">
        <f t="shared" si="14"/>
        <v>23507603.326253984</v>
      </c>
      <c r="Q47" s="227" t="str">
        <f>IF(IFERROR(_xlfn.XLOOKUP($B47,'Non-labour_calcs'!$B$51:$B$64,'Non-labour_calcs'!$J$51:$J$64),0)=O47,"OK","ERROR")</f>
        <v>OK</v>
      </c>
      <c r="S47" s="246">
        <f>_xlfn.XLOOKUP($B47,'Non-labour_calcs'!$B$51:$B$63,'Non-labour_calcs'!L$51:L$63,0)</f>
        <v>6295077.568635609</v>
      </c>
      <c r="U47" s="47"/>
      <c r="V47" s="47"/>
      <c r="W47" s="47"/>
      <c r="X47" s="47"/>
      <c r="Y47" s="47"/>
    </row>
    <row r="48" spans="1:25" s="45" customFormat="1" ht="15.95" customHeight="1" x14ac:dyDescent="0.3">
      <c r="A48" s="63"/>
      <c r="B48" s="178" t="str">
        <f t="shared" si="12"/>
        <v>Project Delivery Management - Commercial Management</v>
      </c>
      <c r="C48" s="174">
        <f>_xlfn.XLOOKUP($B48,'Historical indirect capex'!$B$46:$B$59,'Historical indirect capex'!H$46:H$59,0)</f>
        <v>0</v>
      </c>
      <c r="D48" s="174">
        <f>_xlfn.XLOOKUP($B48,'Historical indirect capex'!$B$46:$B$59,'Historical indirect capex'!I$46:I$59,0)</f>
        <v>0</v>
      </c>
      <c r="E48" s="174">
        <f>_xlfn.XLOOKUP($B48,'Historical indirect capex'!$B$46:$B$59,'Historical indirect capex'!J$46:J$59,0)</f>
        <v>117858.74701512797</v>
      </c>
      <c r="F48" s="243">
        <f>_xlfn.XLOOKUP($B48,'Historical indirect capex'!$B$46:$B$59,'Historical indirect capex'!K$46:K$59,0)</f>
        <v>0</v>
      </c>
      <c r="G48" s="246">
        <f>_xlfn.XLOOKUP($B48,'Non-labour_calcs'!$B$51:$B$63,'Non-labour_calcs'!C$51:C$63,0)</f>
        <v>0</v>
      </c>
      <c r="H48" s="174">
        <f>_xlfn.XLOOKUP($B48,'Non-labour_calcs'!$B$51:$B$63,'Non-labour_calcs'!D$51:D$63,0)</f>
        <v>0</v>
      </c>
      <c r="I48" s="174">
        <f>_xlfn.XLOOKUP($B48,'Non-labour_calcs'!$B$51:$B$63,'Non-labour_calcs'!E$51:E$63,0)</f>
        <v>0</v>
      </c>
      <c r="J48" s="174">
        <f>_xlfn.XLOOKUP($B48,'Non-labour_calcs'!$B$51:$B$63,'Non-labour_calcs'!F$51:F$63,0)</f>
        <v>0</v>
      </c>
      <c r="K48" s="174">
        <f>_xlfn.XLOOKUP($B48,'Non-labour_calcs'!$B$51:$B$63,'Non-labour_calcs'!G$51:G$63,0)</f>
        <v>0</v>
      </c>
      <c r="L48" s="174">
        <f>_xlfn.XLOOKUP($B48,'Non-labour_calcs'!$B$51:$B$63,'Non-labour_calcs'!H$51:H$63,0)</f>
        <v>0</v>
      </c>
      <c r="M48" s="174">
        <f>_xlfn.XLOOKUP($B48,'Non-labour_calcs'!$B$51:$B$63,'Non-labour_calcs'!I$51:I$63,0)</f>
        <v>0</v>
      </c>
      <c r="N48" s="175">
        <f t="shared" si="13"/>
        <v>117858.74701512797</v>
      </c>
      <c r="O48" s="175">
        <f t="shared" si="14"/>
        <v>0</v>
      </c>
      <c r="Q48" s="227" t="str">
        <f>IF(IFERROR(_xlfn.XLOOKUP($B48,'Non-labour_calcs'!$B$51:$B$64,'Non-labour_calcs'!$J$51:$J$64),0)=O48,"OK","ERROR")</f>
        <v>OK</v>
      </c>
      <c r="S48" s="246">
        <f>_xlfn.XLOOKUP($B48,'Non-labour_calcs'!$B$51:$B$63,'Non-labour_calcs'!L$51:L$63,0)</f>
        <v>0</v>
      </c>
      <c r="U48" s="47"/>
      <c r="V48" s="47"/>
      <c r="W48" s="47"/>
      <c r="X48" s="47"/>
      <c r="Y48" s="47"/>
    </row>
    <row r="49" spans="1:25" s="45" customFormat="1" ht="15.95" customHeight="1" x14ac:dyDescent="0.3">
      <c r="A49" s="63"/>
      <c r="B49" s="178" t="str">
        <f t="shared" si="12"/>
        <v>Project Delivery Management - Commissioning</v>
      </c>
      <c r="C49" s="174">
        <f>_xlfn.XLOOKUP($B49,'Historical indirect capex'!$B$46:$B$59,'Historical indirect capex'!H$46:H$59,0)</f>
        <v>0</v>
      </c>
      <c r="D49" s="174">
        <f>_xlfn.XLOOKUP($B49,'Historical indirect capex'!$B$46:$B$59,'Historical indirect capex'!I$46:I$59,0)</f>
        <v>0</v>
      </c>
      <c r="E49" s="174">
        <f>_xlfn.XLOOKUP($B49,'Historical indirect capex'!$B$46:$B$59,'Historical indirect capex'!J$46:J$59,0)</f>
        <v>0</v>
      </c>
      <c r="F49" s="243">
        <f>_xlfn.XLOOKUP($B49,'Historical indirect capex'!$B$46:$B$59,'Historical indirect capex'!K$46:K$59,0)</f>
        <v>0</v>
      </c>
      <c r="G49" s="246">
        <f>_xlfn.XLOOKUP($B49,'Non-labour_calcs'!$B$51:$B$63,'Non-labour_calcs'!C$51:C$63,0)</f>
        <v>0</v>
      </c>
      <c r="H49" s="174">
        <f>_xlfn.XLOOKUP($B49,'Non-labour_calcs'!$B$51:$B$63,'Non-labour_calcs'!D$51:D$63,0)</f>
        <v>0</v>
      </c>
      <c r="I49" s="174">
        <f>_xlfn.XLOOKUP($B49,'Non-labour_calcs'!$B$51:$B$63,'Non-labour_calcs'!E$51:E$63,0)</f>
        <v>0</v>
      </c>
      <c r="J49" s="174">
        <f>_xlfn.XLOOKUP($B49,'Non-labour_calcs'!$B$51:$B$63,'Non-labour_calcs'!F$51:F$63,0)</f>
        <v>0</v>
      </c>
      <c r="K49" s="174">
        <f>_xlfn.XLOOKUP($B49,'Non-labour_calcs'!$B$51:$B$63,'Non-labour_calcs'!G$51:G$63,0)</f>
        <v>0</v>
      </c>
      <c r="L49" s="174">
        <f>_xlfn.XLOOKUP($B49,'Non-labour_calcs'!$B$51:$B$63,'Non-labour_calcs'!H$51:H$63,0)</f>
        <v>0</v>
      </c>
      <c r="M49" s="174">
        <f>_xlfn.XLOOKUP($B49,'Non-labour_calcs'!$B$51:$B$63,'Non-labour_calcs'!I$51:I$63,0)</f>
        <v>0</v>
      </c>
      <c r="N49" s="175">
        <f t="shared" si="13"/>
        <v>0</v>
      </c>
      <c r="O49" s="175">
        <f t="shared" si="14"/>
        <v>0</v>
      </c>
      <c r="Q49" s="227" t="str">
        <f>IF(IFERROR(_xlfn.XLOOKUP($B49,'Non-labour_calcs'!$B$51:$B$64,'Non-labour_calcs'!$J$51:$J$64),0)=O49,"OK","ERROR")</f>
        <v>OK</v>
      </c>
      <c r="S49" s="246">
        <f>_xlfn.XLOOKUP($B49,'Non-labour_calcs'!$B$51:$B$63,'Non-labour_calcs'!L$51:L$63,0)</f>
        <v>0</v>
      </c>
      <c r="U49" s="47"/>
      <c r="V49" s="47"/>
      <c r="W49" s="47"/>
      <c r="X49" s="47"/>
      <c r="Y49" s="47"/>
    </row>
    <row r="50" spans="1:25" s="45" customFormat="1" ht="15.95" customHeight="1" x14ac:dyDescent="0.3">
      <c r="A50" s="63"/>
      <c r="B50" s="178" t="str">
        <f t="shared" si="12"/>
        <v>Project Delivery Management - Construction Management</v>
      </c>
      <c r="C50" s="174">
        <f>_xlfn.XLOOKUP($B50,'Historical indirect capex'!$B$46:$B$59,'Historical indirect capex'!H$46:H$59,0)</f>
        <v>0</v>
      </c>
      <c r="D50" s="174">
        <f>_xlfn.XLOOKUP($B50,'Historical indirect capex'!$B$46:$B$59,'Historical indirect capex'!I$46:I$59,0)</f>
        <v>0</v>
      </c>
      <c r="E50" s="174">
        <f>_xlfn.XLOOKUP($B50,'Historical indirect capex'!$B$46:$B$59,'Historical indirect capex'!J$46:J$59,0)</f>
        <v>328.79651798341229</v>
      </c>
      <c r="F50" s="243">
        <f>_xlfn.XLOOKUP($B50,'Historical indirect capex'!$B$46:$B$59,'Historical indirect capex'!K$46:K$59,0)</f>
        <v>13764.013010624765</v>
      </c>
      <c r="G50" s="246">
        <f>_xlfn.XLOOKUP($B50,'Non-labour_calcs'!$B$51:$B$63,'Non-labour_calcs'!C$51:C$63,0)</f>
        <v>0</v>
      </c>
      <c r="H50" s="174">
        <f>_xlfn.XLOOKUP($B50,'Non-labour_calcs'!$B$51:$B$63,'Non-labour_calcs'!D$51:D$63,0)</f>
        <v>0</v>
      </c>
      <c r="I50" s="174">
        <f>_xlfn.XLOOKUP($B50,'Non-labour_calcs'!$B$51:$B$63,'Non-labour_calcs'!E$51:E$63,0)</f>
        <v>0</v>
      </c>
      <c r="J50" s="174">
        <f>_xlfn.XLOOKUP($B50,'Non-labour_calcs'!$B$51:$B$63,'Non-labour_calcs'!F$51:F$63,0)</f>
        <v>0</v>
      </c>
      <c r="K50" s="174">
        <f>_xlfn.XLOOKUP($B50,'Non-labour_calcs'!$B$51:$B$63,'Non-labour_calcs'!G$51:G$63,0)</f>
        <v>0</v>
      </c>
      <c r="L50" s="174">
        <f>_xlfn.XLOOKUP($B50,'Non-labour_calcs'!$B$51:$B$63,'Non-labour_calcs'!H$51:H$63,0)</f>
        <v>0</v>
      </c>
      <c r="M50" s="174">
        <f>_xlfn.XLOOKUP($B50,'Non-labour_calcs'!$B$51:$B$63,'Non-labour_calcs'!I$51:I$63,0)</f>
        <v>0</v>
      </c>
      <c r="N50" s="175">
        <f t="shared" si="13"/>
        <v>14092.809528608177</v>
      </c>
      <c r="O50" s="175">
        <f t="shared" si="14"/>
        <v>0</v>
      </c>
      <c r="Q50" s="227" t="str">
        <f>IF(IFERROR(_xlfn.XLOOKUP($B50,'Non-labour_calcs'!$B$51:$B$64,'Non-labour_calcs'!$J$51:$J$64),0)=O50,"OK","ERROR")</f>
        <v>OK</v>
      </c>
      <c r="S50" s="246">
        <f>_xlfn.XLOOKUP($B50,'Non-labour_calcs'!$B$51:$B$63,'Non-labour_calcs'!L$51:L$63,0)</f>
        <v>0</v>
      </c>
      <c r="U50" s="47"/>
      <c r="V50" s="47"/>
      <c r="W50" s="47"/>
      <c r="X50" s="47"/>
      <c r="Y50" s="47"/>
    </row>
    <row r="51" spans="1:25" s="45" customFormat="1" ht="15.95" customHeight="1" x14ac:dyDescent="0.3">
      <c r="A51" s="63"/>
      <c r="B51" s="178" t="str">
        <f t="shared" si="12"/>
        <v>Project Delivery Management - Project Controls</v>
      </c>
      <c r="C51" s="174">
        <f>_xlfn.XLOOKUP($B51,'Historical indirect capex'!$B$46:$B$59,'Historical indirect capex'!H$46:H$59,0)</f>
        <v>0</v>
      </c>
      <c r="D51" s="174">
        <f>_xlfn.XLOOKUP($B51,'Historical indirect capex'!$B$46:$B$59,'Historical indirect capex'!I$46:I$59,0)</f>
        <v>0</v>
      </c>
      <c r="E51" s="174">
        <f>_xlfn.XLOOKUP($B51,'Historical indirect capex'!$B$46:$B$59,'Historical indirect capex'!J$46:J$59,0)</f>
        <v>0</v>
      </c>
      <c r="F51" s="243">
        <f>_xlfn.XLOOKUP($B51,'Historical indirect capex'!$B$46:$B$59,'Historical indirect capex'!K$46:K$59,0)</f>
        <v>4628.085643098384</v>
      </c>
      <c r="G51" s="246">
        <f>_xlfn.XLOOKUP($B51,'Non-labour_calcs'!$B$51:$B$63,'Non-labour_calcs'!C$51:C$63,0)</f>
        <v>0</v>
      </c>
      <c r="H51" s="174">
        <f>_xlfn.XLOOKUP($B51,'Non-labour_calcs'!$B$51:$B$63,'Non-labour_calcs'!D$51:D$63,0)</f>
        <v>0</v>
      </c>
      <c r="I51" s="174">
        <f>_xlfn.XLOOKUP($B51,'Non-labour_calcs'!$B$51:$B$63,'Non-labour_calcs'!E$51:E$63,0)</f>
        <v>0</v>
      </c>
      <c r="J51" s="174">
        <f>_xlfn.XLOOKUP($B51,'Non-labour_calcs'!$B$51:$B$63,'Non-labour_calcs'!F$51:F$63,0)</f>
        <v>0</v>
      </c>
      <c r="K51" s="174">
        <f>_xlfn.XLOOKUP($B51,'Non-labour_calcs'!$B$51:$B$63,'Non-labour_calcs'!G$51:G$63,0)</f>
        <v>0</v>
      </c>
      <c r="L51" s="174">
        <f>_xlfn.XLOOKUP($B51,'Non-labour_calcs'!$B$51:$B$63,'Non-labour_calcs'!H$51:H$63,0)</f>
        <v>0</v>
      </c>
      <c r="M51" s="174">
        <f>_xlfn.XLOOKUP($B51,'Non-labour_calcs'!$B$51:$B$63,'Non-labour_calcs'!I$51:I$63,0)</f>
        <v>0</v>
      </c>
      <c r="N51" s="175">
        <f t="shared" si="13"/>
        <v>4628.085643098384</v>
      </c>
      <c r="O51" s="175">
        <f t="shared" si="14"/>
        <v>0</v>
      </c>
      <c r="Q51" s="227" t="str">
        <f>IF(IFERROR(_xlfn.XLOOKUP($B51,'Non-labour_calcs'!$B$51:$B$64,'Non-labour_calcs'!$J$51:$J$64),0)=O51,"OK","ERROR")</f>
        <v>OK</v>
      </c>
      <c r="S51" s="246">
        <f>_xlfn.XLOOKUP($B51,'Non-labour_calcs'!$B$51:$B$63,'Non-labour_calcs'!L$51:L$63,0)</f>
        <v>0</v>
      </c>
      <c r="U51" s="47"/>
      <c r="V51" s="47"/>
      <c r="W51" s="47"/>
      <c r="X51" s="47"/>
      <c r="Y51" s="47"/>
    </row>
    <row r="52" spans="1:25" s="45" customFormat="1" ht="15.95" customHeight="1" x14ac:dyDescent="0.3">
      <c r="A52" s="63"/>
      <c r="B52" s="178" t="str">
        <f t="shared" si="12"/>
        <v>Project Delivery Management - Project Engineering</v>
      </c>
      <c r="C52" s="174">
        <f>_xlfn.XLOOKUP($B52,'Historical indirect capex'!$B$46:$B$59,'Historical indirect capex'!H$46:H$59,0)</f>
        <v>0</v>
      </c>
      <c r="D52" s="174">
        <f>_xlfn.XLOOKUP($B52,'Historical indirect capex'!$B$46:$B$59,'Historical indirect capex'!I$46:I$59,0)</f>
        <v>0</v>
      </c>
      <c r="E52" s="174">
        <f>_xlfn.XLOOKUP($B52,'Historical indirect capex'!$B$46:$B$59,'Historical indirect capex'!J$46:J$59,0)</f>
        <v>0</v>
      </c>
      <c r="F52" s="243">
        <f>_xlfn.XLOOKUP($B52,'Historical indirect capex'!$B$46:$B$59,'Historical indirect capex'!K$46:K$59,0)</f>
        <v>0</v>
      </c>
      <c r="G52" s="246">
        <f>_xlfn.XLOOKUP($B52,'Non-labour_calcs'!$B$51:$B$63,'Non-labour_calcs'!C$51:C$63,0)</f>
        <v>0</v>
      </c>
      <c r="H52" s="174">
        <f>_xlfn.XLOOKUP($B52,'Non-labour_calcs'!$B$51:$B$63,'Non-labour_calcs'!D$51:D$63,0)</f>
        <v>0</v>
      </c>
      <c r="I52" s="174">
        <f>_xlfn.XLOOKUP($B52,'Non-labour_calcs'!$B$51:$B$63,'Non-labour_calcs'!E$51:E$63,0)</f>
        <v>0</v>
      </c>
      <c r="J52" s="174">
        <f>_xlfn.XLOOKUP($B52,'Non-labour_calcs'!$B$51:$B$63,'Non-labour_calcs'!F$51:F$63,0)</f>
        <v>0</v>
      </c>
      <c r="K52" s="174">
        <f>_xlfn.XLOOKUP($B52,'Non-labour_calcs'!$B$51:$B$63,'Non-labour_calcs'!G$51:G$63,0)</f>
        <v>0</v>
      </c>
      <c r="L52" s="174">
        <f>_xlfn.XLOOKUP($B52,'Non-labour_calcs'!$B$51:$B$63,'Non-labour_calcs'!H$51:H$63,0)</f>
        <v>0</v>
      </c>
      <c r="M52" s="174">
        <f>_xlfn.XLOOKUP($B52,'Non-labour_calcs'!$B$51:$B$63,'Non-labour_calcs'!I$51:I$63,0)</f>
        <v>0</v>
      </c>
      <c r="N52" s="175">
        <f t="shared" si="13"/>
        <v>0</v>
      </c>
      <c r="O52" s="175">
        <f t="shared" si="14"/>
        <v>0</v>
      </c>
      <c r="Q52" s="227" t="str">
        <f>IF(IFERROR(_xlfn.XLOOKUP($B52,'Non-labour_calcs'!$B$51:$B$64,'Non-labour_calcs'!$J$51:$J$64),0)=O52,"OK","ERROR")</f>
        <v>OK</v>
      </c>
      <c r="S52" s="246">
        <f>_xlfn.XLOOKUP($B52,'Non-labour_calcs'!$B$51:$B$63,'Non-labour_calcs'!L$51:L$63,0)</f>
        <v>0</v>
      </c>
      <c r="U52" s="47"/>
      <c r="V52" s="47"/>
      <c r="W52" s="47"/>
      <c r="X52" s="47"/>
      <c r="Y52" s="47"/>
    </row>
    <row r="53" spans="1:25" s="45" customFormat="1" ht="15.95" customHeight="1" x14ac:dyDescent="0.3">
      <c r="A53" s="63"/>
      <c r="B53" s="178" t="str">
        <f t="shared" si="12"/>
        <v>Project Delivery Management - Project Management</v>
      </c>
      <c r="C53" s="174">
        <f>_xlfn.XLOOKUP($B53,'Historical indirect capex'!$B$46:$B$59,'Historical indirect capex'!H$46:H$59,0)</f>
        <v>0</v>
      </c>
      <c r="D53" s="174">
        <f>_xlfn.XLOOKUP($B53,'Historical indirect capex'!$B$46:$B$59,'Historical indirect capex'!I$46:I$59,0)</f>
        <v>18149.531638802684</v>
      </c>
      <c r="E53" s="174">
        <f>_xlfn.XLOOKUP($B53,'Historical indirect capex'!$B$46:$B$59,'Historical indirect capex'!J$46:J$59,0)</f>
        <v>93363.090760503866</v>
      </c>
      <c r="F53" s="243">
        <f>_xlfn.XLOOKUP($B53,'Historical indirect capex'!$B$46:$B$59,'Historical indirect capex'!K$46:K$59,0)</f>
        <v>58749.51449956854</v>
      </c>
      <c r="G53" s="246">
        <f>_xlfn.XLOOKUP($B53,'Non-labour_calcs'!$B$51:$B$63,'Non-labour_calcs'!C$51:C$63,0)</f>
        <v>269202.80299340183</v>
      </c>
      <c r="H53" s="174">
        <f>_xlfn.XLOOKUP($B53,'Non-labour_calcs'!$B$51:$B$63,'Non-labour_calcs'!D$51:D$63,0)</f>
        <v>521140.24524135789</v>
      </c>
      <c r="I53" s="174">
        <f>_xlfn.XLOOKUP($B53,'Non-labour_calcs'!$B$51:$B$63,'Non-labour_calcs'!E$51:E$63,0)</f>
        <v>507686.94283265236</v>
      </c>
      <c r="J53" s="174">
        <f>_xlfn.XLOOKUP($B53,'Non-labour_calcs'!$B$51:$B$63,'Non-labour_calcs'!F$51:F$63,0)</f>
        <v>206075.39131444503</v>
      </c>
      <c r="K53" s="174">
        <f>_xlfn.XLOOKUP($B53,'Non-labour_calcs'!$B$51:$B$63,'Non-labour_calcs'!G$51:G$63,0)</f>
        <v>0</v>
      </c>
      <c r="L53" s="174">
        <f>_xlfn.XLOOKUP($B53,'Non-labour_calcs'!$B$51:$B$63,'Non-labour_calcs'!H$51:H$63,0)</f>
        <v>0</v>
      </c>
      <c r="M53" s="174">
        <f>_xlfn.XLOOKUP($B53,'Non-labour_calcs'!$B$51:$B$63,'Non-labour_calcs'!I$51:I$63,0)</f>
        <v>0</v>
      </c>
      <c r="N53" s="175">
        <f t="shared" si="13"/>
        <v>1674367.5192807321</v>
      </c>
      <c r="O53" s="175">
        <f t="shared" si="14"/>
        <v>1504105.3823818571</v>
      </c>
      <c r="Q53" s="227" t="str">
        <f>IF(IFERROR(_xlfn.XLOOKUP($B53,'Non-labour_calcs'!$B$51:$B$64,'Non-labour_calcs'!$J$51:$J$64),0)=O53,"OK","ERROR")</f>
        <v>OK</v>
      </c>
      <c r="S53" s="246">
        <f>_xlfn.XLOOKUP($B53,'Non-labour_calcs'!$B$51:$B$63,'Non-labour_calcs'!L$51:L$63,0)</f>
        <v>132000</v>
      </c>
      <c r="U53" s="47"/>
      <c r="V53" s="47"/>
      <c r="W53" s="47"/>
      <c r="X53" s="47"/>
      <c r="Y53" s="47"/>
    </row>
    <row r="54" spans="1:25" s="45" customFormat="1" ht="15.95" customHeight="1" x14ac:dyDescent="0.3">
      <c r="A54" s="63"/>
      <c r="B54" s="178" t="str">
        <f t="shared" si="12"/>
        <v>Project Development</v>
      </c>
      <c r="C54" s="174">
        <f>_xlfn.XLOOKUP($B54,'Historical indirect capex'!$B$46:$B$59,'Historical indirect capex'!H$46:H$59,0)</f>
        <v>1047927.060218823</v>
      </c>
      <c r="D54" s="174">
        <f>_xlfn.XLOOKUP($B54,'Historical indirect capex'!$B$46:$B$59,'Historical indirect capex'!I$46:I$59,0)</f>
        <v>1557127.4098467005</v>
      </c>
      <c r="E54" s="174">
        <f>_xlfn.XLOOKUP($B54,'Historical indirect capex'!$B$46:$B$59,'Historical indirect capex'!J$46:J$59,0)</f>
        <v>5365265.9629349727</v>
      </c>
      <c r="F54" s="243">
        <f>_xlfn.XLOOKUP($B54,'Historical indirect capex'!$B$46:$B$59,'Historical indirect capex'!K$46:K$59,0)</f>
        <v>292402.26208111085</v>
      </c>
      <c r="G54" s="246">
        <f>_xlfn.XLOOKUP($B54,'Non-labour_calcs'!$B$51:$B$63,'Non-labour_calcs'!C$51:C$63,0)</f>
        <v>1013604.6371874483</v>
      </c>
      <c r="H54" s="174">
        <f>_xlfn.XLOOKUP($B54,'Non-labour_calcs'!$B$51:$B$63,'Non-labour_calcs'!D$51:D$63,0)</f>
        <v>361924.00425580121</v>
      </c>
      <c r="I54" s="174">
        <f>_xlfn.XLOOKUP($B54,'Non-labour_calcs'!$B$51:$B$63,'Non-labour_calcs'!E$51:E$63,0)</f>
        <v>0</v>
      </c>
      <c r="J54" s="174">
        <f>_xlfn.XLOOKUP($B54,'Non-labour_calcs'!$B$51:$B$63,'Non-labour_calcs'!F$51:F$63,0)</f>
        <v>0</v>
      </c>
      <c r="K54" s="174">
        <f>_xlfn.XLOOKUP($B54,'Non-labour_calcs'!$B$51:$B$63,'Non-labour_calcs'!G$51:G$63,0)</f>
        <v>0</v>
      </c>
      <c r="L54" s="174">
        <f>_xlfn.XLOOKUP($B54,'Non-labour_calcs'!$B$51:$B$63,'Non-labour_calcs'!H$51:H$63,0)</f>
        <v>0</v>
      </c>
      <c r="M54" s="174">
        <f>_xlfn.XLOOKUP($B54,'Non-labour_calcs'!$B$51:$B$63,'Non-labour_calcs'!I$51:I$63,0)</f>
        <v>0</v>
      </c>
      <c r="N54" s="175">
        <f t="shared" si="13"/>
        <v>9638251.3365248553</v>
      </c>
      <c r="O54" s="175">
        <f t="shared" si="14"/>
        <v>1375528.6414432495</v>
      </c>
      <c r="Q54" s="227" t="str">
        <f>IF(IFERROR(_xlfn.XLOOKUP($B54,'Non-labour_calcs'!$B$51:$B$64,'Non-labour_calcs'!$J$51:$J$64),0)=O54,"OK","ERROR")</f>
        <v>OK</v>
      </c>
      <c r="S54" s="246">
        <f>_xlfn.XLOOKUP($B54,'Non-labour_calcs'!$B$51:$B$63,'Non-labour_calcs'!L$51:L$63,0)</f>
        <v>555207</v>
      </c>
      <c r="U54" s="47"/>
      <c r="V54" s="47"/>
      <c r="W54" s="47"/>
      <c r="X54" s="47"/>
      <c r="Y54" s="47"/>
    </row>
    <row r="55" spans="1:25" s="45" customFormat="1" ht="15.95" customHeight="1" x14ac:dyDescent="0.3">
      <c r="A55" s="63"/>
      <c r="B55" s="178" t="str">
        <f t="shared" si="12"/>
        <v>Regulatory Approvals</v>
      </c>
      <c r="C55" s="174">
        <f>_xlfn.XLOOKUP($B55,'Historical indirect capex'!$B$46:$B$59,'Historical indirect capex'!H$46:H$59,0)</f>
        <v>0</v>
      </c>
      <c r="D55" s="174">
        <f>_xlfn.XLOOKUP($B55,'Historical indirect capex'!$B$46:$B$59,'Historical indirect capex'!I$46:I$59,0)</f>
        <v>34903.570773278203</v>
      </c>
      <c r="E55" s="174">
        <f>_xlfn.XLOOKUP($B55,'Historical indirect capex'!$B$46:$B$59,'Historical indirect capex'!J$46:J$59,0)</f>
        <v>127718.58100010072</v>
      </c>
      <c r="F55" s="243">
        <f>_xlfn.XLOOKUP($B55,'Historical indirect capex'!$B$46:$B$59,'Historical indirect capex'!K$46:K$59,0)</f>
        <v>503501.01528050011</v>
      </c>
      <c r="G55" s="246">
        <f>_xlfn.XLOOKUP($B55,'Non-labour_calcs'!$B$51:$B$63,'Non-labour_calcs'!C$51:C$63,0)</f>
        <v>397685.95896752545</v>
      </c>
      <c r="H55" s="174">
        <f>_xlfn.XLOOKUP($B55,'Non-labour_calcs'!$B$51:$B$63,'Non-labour_calcs'!D$51:D$63,0)</f>
        <v>0</v>
      </c>
      <c r="I55" s="174">
        <f>_xlfn.XLOOKUP($B55,'Non-labour_calcs'!$B$51:$B$63,'Non-labour_calcs'!E$51:E$63,0)</f>
        <v>0</v>
      </c>
      <c r="J55" s="174">
        <f>_xlfn.XLOOKUP($B55,'Non-labour_calcs'!$B$51:$B$63,'Non-labour_calcs'!F$51:F$63,0)</f>
        <v>0</v>
      </c>
      <c r="K55" s="174">
        <f>_xlfn.XLOOKUP($B55,'Non-labour_calcs'!$B$51:$B$63,'Non-labour_calcs'!G$51:G$63,0)</f>
        <v>0</v>
      </c>
      <c r="L55" s="174">
        <f>_xlfn.XLOOKUP($B55,'Non-labour_calcs'!$B$51:$B$63,'Non-labour_calcs'!H$51:H$63,0)</f>
        <v>0</v>
      </c>
      <c r="M55" s="174">
        <f>_xlfn.XLOOKUP($B55,'Non-labour_calcs'!$B$51:$B$63,'Non-labour_calcs'!I$51:I$63,0)</f>
        <v>0</v>
      </c>
      <c r="N55" s="175">
        <f t="shared" si="13"/>
        <v>1063809.1260214045</v>
      </c>
      <c r="O55" s="175">
        <f t="shared" si="14"/>
        <v>397685.95896752545</v>
      </c>
      <c r="Q55" s="227" t="str">
        <f>IF(IFERROR(_xlfn.XLOOKUP($B55,'Non-labour_calcs'!$B$51:$B$64,'Non-labour_calcs'!$J$51:$J$64),0)=O55,"OK","ERROR")</f>
        <v>OK</v>
      </c>
      <c r="S55" s="246">
        <f>_xlfn.XLOOKUP($B55,'Non-labour_calcs'!$B$51:$B$63,'Non-labour_calcs'!L$51:L$63,0)</f>
        <v>390000</v>
      </c>
      <c r="U55" s="47"/>
      <c r="V55" s="47"/>
      <c r="W55" s="47"/>
      <c r="X55" s="47"/>
      <c r="Y55" s="47"/>
    </row>
    <row r="56" spans="1:25" s="45" customFormat="1" ht="15.95" customHeight="1" x14ac:dyDescent="0.3">
      <c r="A56" s="63"/>
      <c r="B56" s="178" t="str">
        <f t="shared" si="12"/>
        <v>Transaction Procurement Support</v>
      </c>
      <c r="C56" s="174">
        <f>_xlfn.XLOOKUP($B56,'Historical indirect capex'!$B$46:$B$59,'Historical indirect capex'!H$46:H$59,0)</f>
        <v>0</v>
      </c>
      <c r="D56" s="174">
        <f>_xlfn.XLOOKUP($B56,'Historical indirect capex'!$B$46:$B$59,'Historical indirect capex'!I$46:I$59,0)</f>
        <v>0</v>
      </c>
      <c r="E56" s="174">
        <f>_xlfn.XLOOKUP($B56,'Historical indirect capex'!$B$46:$B$59,'Historical indirect capex'!J$46:J$59,0)</f>
        <v>1653830.639080601</v>
      </c>
      <c r="F56" s="243">
        <f>_xlfn.XLOOKUP($B56,'Historical indirect capex'!$B$46:$B$59,'Historical indirect capex'!K$46:K$59,0)</f>
        <v>632834.53483736829</v>
      </c>
      <c r="G56" s="246">
        <f>_xlfn.XLOOKUP($B56,'Non-labour_calcs'!$B$51:$B$63,'Non-labour_calcs'!C$51:C$63,0)</f>
        <v>76472.970494280948</v>
      </c>
      <c r="H56" s="174">
        <f>_xlfn.XLOOKUP($B56,'Non-labour_calcs'!$B$51:$B$63,'Non-labour_calcs'!D$51:D$63,0)</f>
        <v>0</v>
      </c>
      <c r="I56" s="174">
        <f>_xlfn.XLOOKUP($B56,'Non-labour_calcs'!$B$51:$B$63,'Non-labour_calcs'!E$51:E$63,0)</f>
        <v>0</v>
      </c>
      <c r="J56" s="174">
        <f>_xlfn.XLOOKUP($B56,'Non-labour_calcs'!$B$51:$B$63,'Non-labour_calcs'!F$51:F$63,0)</f>
        <v>0</v>
      </c>
      <c r="K56" s="174">
        <f>_xlfn.XLOOKUP($B56,'Non-labour_calcs'!$B$51:$B$63,'Non-labour_calcs'!G$51:G$63,0)</f>
        <v>0</v>
      </c>
      <c r="L56" s="174">
        <f>_xlfn.XLOOKUP($B56,'Non-labour_calcs'!$B$51:$B$63,'Non-labour_calcs'!H$51:H$63,0)</f>
        <v>0</v>
      </c>
      <c r="M56" s="174">
        <f>_xlfn.XLOOKUP($B56,'Non-labour_calcs'!$B$51:$B$63,'Non-labour_calcs'!I$51:I$63,0)</f>
        <v>0</v>
      </c>
      <c r="N56" s="175">
        <f t="shared" si="13"/>
        <v>2363138.1444122503</v>
      </c>
      <c r="O56" s="175">
        <f t="shared" si="14"/>
        <v>76472.970494280948</v>
      </c>
      <c r="Q56" s="227" t="str">
        <f>IF(IFERROR(_xlfn.XLOOKUP($B56,'Non-labour_calcs'!$B$51:$B$64,'Non-labour_calcs'!$J$51:$J$64),0)=O56,"OK","ERROR")</f>
        <v>OK</v>
      </c>
      <c r="S56" s="246">
        <f>_xlfn.XLOOKUP($B56,'Non-labour_calcs'!$B$51:$B$63,'Non-labour_calcs'!L$51:L$63,0)</f>
        <v>74995</v>
      </c>
      <c r="U56" s="47"/>
      <c r="V56" s="47"/>
      <c r="W56" s="47"/>
      <c r="X56" s="47"/>
      <c r="Y56" s="47"/>
    </row>
    <row r="57" spans="1:25" s="45" customFormat="1" ht="15.95" customHeight="1" x14ac:dyDescent="0.3">
      <c r="A57" s="63"/>
      <c r="B57" s="178" t="s">
        <v>132</v>
      </c>
      <c r="C57" s="174">
        <f t="shared" ref="C57:D57" si="15">SUM(C42:C56)</f>
        <v>1675434.3875524527</v>
      </c>
      <c r="D57" s="174">
        <f t="shared" si="15"/>
        <v>2801899.1882519461</v>
      </c>
      <c r="E57" s="174">
        <f t="shared" ref="E57:M57" si="16">SUM(E42:E56)</f>
        <v>12530609.773708778</v>
      </c>
      <c r="F57" s="243">
        <f t="shared" si="16"/>
        <v>3292988.8149023294</v>
      </c>
      <c r="G57" s="246">
        <f t="shared" si="16"/>
        <v>21479097.140390243</v>
      </c>
      <c r="H57" s="174">
        <f t="shared" si="16"/>
        <v>22445953.382253502</v>
      </c>
      <c r="I57" s="174">
        <f t="shared" si="16"/>
        <v>22096685.778992422</v>
      </c>
      <c r="J57" s="174">
        <f t="shared" si="16"/>
        <v>6747758.9485357441</v>
      </c>
      <c r="K57" s="174">
        <f t="shared" si="16"/>
        <v>0</v>
      </c>
      <c r="L57" s="174">
        <f t="shared" si="16"/>
        <v>0</v>
      </c>
      <c r="M57" s="174">
        <f t="shared" si="16"/>
        <v>0</v>
      </c>
      <c r="N57" s="175">
        <f t="shared" si="3"/>
        <v>93070427.414587408</v>
      </c>
      <c r="O57" s="175">
        <f t="shared" si="4"/>
        <v>72769495.250171915</v>
      </c>
      <c r="S57" s="246">
        <f t="shared" ref="S57" si="17">SUM(S42:S56)</f>
        <v>12778336.865987431</v>
      </c>
      <c r="U57" s="47"/>
      <c r="V57" s="47"/>
      <c r="W57" s="47"/>
      <c r="X57" s="47"/>
      <c r="Y57" s="47"/>
    </row>
    <row r="58" spans="1:25" s="45" customFormat="1" ht="15.95" customHeight="1" x14ac:dyDescent="0.3">
      <c r="A58" s="63"/>
      <c r="B58" s="169" t="s">
        <v>133</v>
      </c>
      <c r="C58" s="175">
        <f>SUM(C12:C24,C27:C39,C42:C56)</f>
        <v>3139618.1513309213</v>
      </c>
      <c r="D58" s="175">
        <f t="shared" ref="D58" si="18">SUM(D12:D24,D27:D39,D42:D56)</f>
        <v>5494059.7257385319</v>
      </c>
      <c r="E58" s="175">
        <f t="shared" ref="E58:M58" si="19">SUM(E12:E24,E27:E39,E42:E56)</f>
        <v>20332792.553983498</v>
      </c>
      <c r="F58" s="244">
        <f t="shared" si="19"/>
        <v>6726674.8065876178</v>
      </c>
      <c r="G58" s="247">
        <f t="shared" si="19"/>
        <v>43872624.560860433</v>
      </c>
      <c r="H58" s="175">
        <f t="shared" si="19"/>
        <v>61183042.281232715</v>
      </c>
      <c r="I58" s="175">
        <f t="shared" si="19"/>
        <v>58282631.74701681</v>
      </c>
      <c r="J58" s="175">
        <f t="shared" si="19"/>
        <v>16424330.760336814</v>
      </c>
      <c r="K58" s="175">
        <f t="shared" si="19"/>
        <v>0</v>
      </c>
      <c r="L58" s="175">
        <f t="shared" si="19"/>
        <v>0</v>
      </c>
      <c r="M58" s="175">
        <f t="shared" si="19"/>
        <v>0</v>
      </c>
      <c r="N58" s="175">
        <f t="shared" si="3"/>
        <v>215455774.58708736</v>
      </c>
      <c r="O58" s="175">
        <f t="shared" si="4"/>
        <v>179762629.34944677</v>
      </c>
      <c r="S58" s="247">
        <f t="shared" ref="S58" si="20">SUM(S12:S24,S27:S39,S42:S56)</f>
        <v>25201837.226475015</v>
      </c>
      <c r="U58" s="47"/>
      <c r="V58" s="47"/>
      <c r="W58" s="47"/>
      <c r="X58" s="47"/>
      <c r="Y58" s="47"/>
    </row>
    <row r="59" spans="1:25" ht="15.95" customHeight="1" x14ac:dyDescent="0.3">
      <c r="E59" s="20" t="s">
        <v>174</v>
      </c>
    </row>
    <row r="60" spans="1:25" ht="15.95" customHeight="1" x14ac:dyDescent="0.3">
      <c r="B60" s="169" t="s">
        <v>249</v>
      </c>
      <c r="C60" s="235"/>
      <c r="D60" s="235"/>
    </row>
    <row r="61" spans="1:25" ht="15.95" customHeight="1" x14ac:dyDescent="0.3">
      <c r="B61" s="178" t="s">
        <v>244</v>
      </c>
      <c r="C61" s="236"/>
      <c r="D61" s="236"/>
      <c r="G61" s="227" t="str">
        <f>IF(ROUND(SUM(G12:G24)-(
Internal_labour_calcs!C44
+Outsourced_labour_calcs!C44),4)=0,
"OK","ERROR")</f>
        <v>OK</v>
      </c>
      <c r="H61" s="227" t="str">
        <f>IF(ROUND(SUM(H12:H24)-(
Internal_labour_calcs!D44
+Outsourced_labour_calcs!D44),4)=0,
"OK","ERROR")</f>
        <v>OK</v>
      </c>
      <c r="I61" s="227" t="str">
        <f>IF(ROUND(SUM(I12:I24)-(
Internal_labour_calcs!E44
+Outsourced_labour_calcs!E44),4)=0,
"OK","ERROR")</f>
        <v>OK</v>
      </c>
      <c r="J61" s="227" t="str">
        <f>IF(ROUND(SUM(J12:J24)-(
Internal_labour_calcs!F44
+Outsourced_labour_calcs!F44),4)=0,
"OK","ERROR")</f>
        <v>OK</v>
      </c>
      <c r="K61" s="227" t="str">
        <f>IF(ROUND(SUM(K12:K24)-(
Internal_labour_calcs!G44
+Outsourced_labour_calcs!G44),4)=0,
"OK","ERROR")</f>
        <v>OK</v>
      </c>
      <c r="L61" s="227" t="str">
        <f>IF(ROUND(SUM(L12:L24)-(
Internal_labour_calcs!H44
+Outsourced_labour_calcs!H44),4)=0,
"OK","ERROR")</f>
        <v>OK</v>
      </c>
      <c r="M61" s="227" t="str">
        <f>IF(ROUND(SUM(M12:M24)-(
Internal_labour_calcs!I44
+Outsourced_labour_calcs!I44),4)=0,
"OK","ERROR")</f>
        <v>OK</v>
      </c>
      <c r="S61" s="227" t="str">
        <f>IF(ROUND(SUM(S12:S24)-(
Internal_labour_calcs!L44
+Outsourced_labour_calcs!L44),4)=0,
"OK","ERROR")</f>
        <v>OK</v>
      </c>
    </row>
    <row r="62" spans="1:25" ht="15.95" customHeight="1" x14ac:dyDescent="0.3">
      <c r="B62" s="178" t="s">
        <v>245</v>
      </c>
      <c r="C62" s="236"/>
      <c r="D62" s="236"/>
      <c r="G62" s="227" t="str">
        <f>IF(ROUND(SUM(G27:G39)-'Labour-related_calcs'!C116,4)=0,"OK","ERROR")</f>
        <v>OK</v>
      </c>
      <c r="H62" s="227" t="str">
        <f>IF(ROUND(SUM(H27:H39)-'Labour-related_calcs'!D116,4)=0,"OK","ERROR")</f>
        <v>OK</v>
      </c>
      <c r="I62" s="227" t="str">
        <f>IF(ROUND(SUM(I27:I39)-'Labour-related_calcs'!E116,4)=0,"OK","ERROR")</f>
        <v>OK</v>
      </c>
      <c r="J62" s="227" t="str">
        <f>IF(ROUND(SUM(J27:J39)-'Labour-related_calcs'!F116,4)=0,"OK","ERROR")</f>
        <v>OK</v>
      </c>
      <c r="K62" s="227" t="str">
        <f>IF(ROUND(SUM(K27:K39)-'Labour-related_calcs'!G116,4)=0,"OK","ERROR")</f>
        <v>OK</v>
      </c>
      <c r="L62" s="227" t="str">
        <f>IF(ROUND(SUM(L27:L39)-'Labour-related_calcs'!H116,4)=0,"OK","ERROR")</f>
        <v>OK</v>
      </c>
      <c r="M62" s="227" t="str">
        <f>IF(ROUND(SUM(M27:M39)-'Labour-related_calcs'!I116,4)=0,"OK","ERROR")</f>
        <v>OK</v>
      </c>
      <c r="S62" s="227" t="str">
        <f>IF(ROUND(SUM(S27:S39)-'Labour-related_calcs'!L116,4)=0,"OK","ERROR")</f>
        <v>OK</v>
      </c>
    </row>
    <row r="63" spans="1:25" ht="15.95" customHeight="1" x14ac:dyDescent="0.3">
      <c r="B63" s="178" t="s">
        <v>250</v>
      </c>
      <c r="D63" s="236"/>
      <c r="G63" s="227" t="str">
        <f>IF(ROUND(SUM(G44:G56)-'Non-labour_calcs'!C64,4)=0,"OK","ERROR")</f>
        <v>OK</v>
      </c>
      <c r="H63" s="227" t="str">
        <f>IF(ROUND(SUM(H44:H56)-'Non-labour_calcs'!D64,4)=0,"OK","ERROR")</f>
        <v>OK</v>
      </c>
      <c r="I63" s="227" t="str">
        <f>IF(ROUND(SUM(I44:I56)-'Non-labour_calcs'!E64,4)=0,"OK","ERROR")</f>
        <v>OK</v>
      </c>
      <c r="J63" s="227" t="str">
        <f>IF(ROUND(SUM(J44:J56)-'Non-labour_calcs'!F64,4)=0,"OK","ERROR")</f>
        <v>OK</v>
      </c>
      <c r="K63" s="227" t="str">
        <f>IF(ROUND(SUM(K44:K56)-'Non-labour_calcs'!G64,4)=0,"OK","ERROR")</f>
        <v>OK</v>
      </c>
      <c r="L63" s="227" t="str">
        <f>IF(ROUND(SUM(L44:L56)-'Non-labour_calcs'!H64,4)=0,"OK","ERROR")</f>
        <v>OK</v>
      </c>
      <c r="M63" s="227" t="str">
        <f>IF(ROUND(SUM(M44:M56)-'Non-labour_calcs'!I64,4)=0,"OK","ERROR")</f>
        <v>OK</v>
      </c>
      <c r="S63" s="227" t="str">
        <f>IF(ROUND(SUM(S44:S56)-'Non-labour_calcs'!L64,4)=0,"OK","ERROR")</f>
        <v>OK</v>
      </c>
    </row>
    <row r="64" spans="1:25" ht="15.95" customHeight="1" x14ac:dyDescent="0.3">
      <c r="B64" s="178" t="s">
        <v>251</v>
      </c>
      <c r="C64" s="227" t="str">
        <f>IF(ROUND(C58-SUM('Historical indirect capex'!H78),5)=0,"OK","ERROR")</f>
        <v>OK</v>
      </c>
      <c r="D64" s="227" t="str">
        <f>IF(ROUND(D58-SUM('Historical indirect capex'!I78),5)=0,"OK","ERROR")</f>
        <v>OK</v>
      </c>
      <c r="E64" s="227" t="str">
        <f>IF(ROUND(E58-SUM('Historical indirect capex'!J78),5)=0,"OK","ERROR")</f>
        <v>OK</v>
      </c>
      <c r="F64" s="227" t="str">
        <f>IF(ROUND(F58-SUM('Historical indirect capex'!K78),5)=0,"OK","ERROR")</f>
        <v>OK</v>
      </c>
      <c r="G64" s="227" t="str">
        <f>IF(ROUND((Internal_labour_calcs!C44
+Outsourced_labour_calcs!C44
+'Labour-related_calcs'!C116
+'Non-labour_calcs'!C64
+Internal_labour_calcs!C64+Outsourced_labour_calcs!C64+'Labour-related_calcs'!C134)-G58,4)=0,"OK","ERROR")</f>
        <v>OK</v>
      </c>
      <c r="H64" s="227" t="str">
        <f>IF(ROUND((Internal_labour_calcs!D44
+Outsourced_labour_calcs!D44
+'Labour-related_calcs'!D116
+'Non-labour_calcs'!D64
+Internal_labour_calcs!D64+Outsourced_labour_calcs!D64+'Labour-related_calcs'!D134)-H58,4)=0,"OK","ERROR")</f>
        <v>OK</v>
      </c>
      <c r="I64" s="227" t="str">
        <f>IF(ROUND((Internal_labour_calcs!E44
+Outsourced_labour_calcs!E44
+'Labour-related_calcs'!E116
+'Non-labour_calcs'!E64
+Internal_labour_calcs!E64+Outsourced_labour_calcs!E64+'Labour-related_calcs'!E134)-I58,4)=0,"OK","ERROR")</f>
        <v>OK</v>
      </c>
      <c r="J64" s="227" t="str">
        <f>IF(ROUND((Internal_labour_calcs!F44
+Outsourced_labour_calcs!F44
+'Labour-related_calcs'!F116
+'Non-labour_calcs'!F64
+Internal_labour_calcs!F64+Outsourced_labour_calcs!F64+'Labour-related_calcs'!F134)-J58,4)=0,"OK","ERROR")</f>
        <v>OK</v>
      </c>
      <c r="K64" s="227" t="str">
        <f>IF(ROUND((Internal_labour_calcs!G44
+Outsourced_labour_calcs!G44
+'Labour-related_calcs'!G116
+'Non-labour_calcs'!G64
+Internal_labour_calcs!G64+Outsourced_labour_calcs!G64+'Labour-related_calcs'!G134)-K58,4)=0,"OK","ERROR")</f>
        <v>OK</v>
      </c>
      <c r="L64" s="227" t="str">
        <f>IF(ROUND((Internal_labour_calcs!H44
+Outsourced_labour_calcs!H44
+'Labour-related_calcs'!H116
+'Non-labour_calcs'!H64
+Internal_labour_calcs!H64+Outsourced_labour_calcs!H64+'Labour-related_calcs'!H134)-L58,4)=0,"OK","ERROR")</f>
        <v>OK</v>
      </c>
      <c r="M64" s="227" t="str">
        <f>IF(ROUND((Internal_labour_calcs!I44
+Outsourced_labour_calcs!I44
+'Labour-related_calcs'!I116
+'Non-labour_calcs'!I64
+Internal_labour_calcs!I64+Outsourced_labour_calcs!I64+'Labour-related_calcs'!I134)-M58,4)=0,"OK","ERROR")</f>
        <v>OK</v>
      </c>
      <c r="N64" s="227" t="str">
        <f>IF(ROUND(SUM(C11:M24,C26:M39,C41:M56)-N58,4)=0,"OK","ERROR")</f>
        <v>OK</v>
      </c>
      <c r="O64" s="227" t="str">
        <f>IF(ROUND(Internal_labour_calcs!J44
+Outsourced_labour_calcs!J44
+'Labour-related_calcs'!J116
+'Non-labour_calcs'!J64
+Internal_labour_calcs!J64+Outsourced_labour_calcs!J64+'Labour-related_calcs'!J134
-O58,2)=0,"OK","ERROR")</f>
        <v>OK</v>
      </c>
      <c r="S64" s="227" t="str">
        <f>IF(ROUND((Internal_labour_calcs!L44
+Outsourced_labour_calcs!L44
+'Labour-related_calcs'!L116
+'Non-labour_calcs'!L64
+Internal_labour_calcs!L64+Outsourced_labour_calcs!L64+'Labour-related_calcs'!L134)-S58,4)=0,"OK","ERROR")</f>
        <v>OK</v>
      </c>
    </row>
    <row r="65" spans="1:27" ht="16.5" x14ac:dyDescent="0.3">
      <c r="C65" s="236"/>
      <c r="E65" s="54"/>
      <c r="F65" s="54"/>
    </row>
    <row r="66" spans="1:27" s="32" customFormat="1" ht="22.5" x14ac:dyDescent="0.3">
      <c r="A66" s="31"/>
      <c r="B66" s="72"/>
      <c r="C66" s="72"/>
      <c r="D66" s="72"/>
      <c r="E66" s="31"/>
      <c r="F66" s="31"/>
      <c r="G66" s="31"/>
      <c r="H66" s="31"/>
      <c r="I66" s="31"/>
      <c r="J66" s="31"/>
      <c r="K66" s="31"/>
      <c r="L66" s="31"/>
      <c r="M66" s="31"/>
      <c r="N66" s="31"/>
      <c r="O66" s="31"/>
      <c r="P66" s="31"/>
      <c r="Q66" s="31"/>
      <c r="R66" s="31"/>
      <c r="S66" s="31"/>
      <c r="T66" s="31"/>
      <c r="U66" s="20"/>
      <c r="V66" s="20"/>
      <c r="W66" s="20"/>
      <c r="X66" s="20"/>
      <c r="Y66" s="20"/>
      <c r="Z66" s="20"/>
      <c r="AA66" s="20"/>
    </row>
  </sheetData>
  <conditionalFormatting sqref="C64:F64">
    <cfRule type="cellIs" dxfId="22" priority="11" operator="equal">
      <formula>"ERROR"</formula>
    </cfRule>
    <cfRule type="cellIs" dxfId="21" priority="12" operator="equal">
      <formula>"OK"</formula>
    </cfRule>
  </conditionalFormatting>
  <conditionalFormatting sqref="C64:O64">
    <cfRule type="cellIs" dxfId="20" priority="13" operator="equal">
      <formula>"ERROR"</formula>
    </cfRule>
    <cfRule type="cellIs" dxfId="19" priority="14" operator="equal">
      <formula>"OK"</formula>
    </cfRule>
    <cfRule type="expression" dxfId="18" priority="15">
      <formula>$Q64="Manual $ Spread"</formula>
    </cfRule>
    <cfRule type="expression" priority="16">
      <formula>$Q64="Manual $ Spread"</formula>
    </cfRule>
  </conditionalFormatting>
  <conditionalFormatting sqref="E61:E63">
    <cfRule type="cellIs" dxfId="17" priority="896" operator="equal">
      <formula>"ERROR"</formula>
    </cfRule>
    <cfRule type="cellIs" dxfId="16" priority="897" operator="equal">
      <formula>"OK"</formula>
    </cfRule>
    <cfRule type="expression" dxfId="15" priority="898">
      <formula>#REF!="Manual $ Spread"</formula>
    </cfRule>
    <cfRule type="expression" priority="899">
      <formula>#REF!="Manual $ Spread"</formula>
    </cfRule>
  </conditionalFormatting>
  <conditionalFormatting sqref="E65:F65">
    <cfRule type="expression" priority="914">
      <formula>#REF!="Manual $ Spread"</formula>
    </cfRule>
  </conditionalFormatting>
  <conditionalFormatting sqref="G61:M64 N64:O64">
    <cfRule type="cellIs" dxfId="14" priority="17" operator="equal">
      <formula>"ERROR"</formula>
    </cfRule>
    <cfRule type="cellIs" dxfId="13" priority="18" operator="equal">
      <formula>"OK"</formula>
    </cfRule>
  </conditionalFormatting>
  <conditionalFormatting sqref="Q12:Q24 Q27:Q39 E65:F65">
    <cfRule type="cellIs" dxfId="12" priority="603" operator="equal">
      <formula>"ERROR"</formula>
    </cfRule>
    <cfRule type="cellIs" dxfId="11" priority="604" operator="equal">
      <formula>"OK"</formula>
    </cfRule>
  </conditionalFormatting>
  <conditionalFormatting sqref="Q12:Q24 Q27:Q39 Q42:Q56 G61:M63">
    <cfRule type="cellIs" dxfId="10" priority="871" operator="equal">
      <formula>"ERROR"</formula>
    </cfRule>
    <cfRule type="cellIs" dxfId="9" priority="872" operator="equal">
      <formula>"OK"</formula>
    </cfRule>
    <cfRule type="expression" dxfId="8" priority="873">
      <formula>$Q12="Manual $ Spread"</formula>
    </cfRule>
    <cfRule type="expression" priority="874">
      <formula>$Q12="Manual $ Spread"</formula>
    </cfRule>
  </conditionalFormatting>
  <conditionalFormatting sqref="Q42:Q56 E61:E63">
    <cfRule type="cellIs" dxfId="7" priority="25" operator="equal">
      <formula>"ERROR"</formula>
    </cfRule>
    <cfRule type="cellIs" dxfId="6" priority="26" operator="equal">
      <formula>"OK"</formula>
    </cfRule>
  </conditionalFormatting>
  <conditionalFormatting sqref="S61:S64">
    <cfRule type="cellIs" dxfId="5" priority="1" operator="equal">
      <formula>"ERROR"</formula>
    </cfRule>
    <cfRule type="cellIs" dxfId="4" priority="2" operator="equal">
      <formula>"OK"</formula>
    </cfRule>
    <cfRule type="expression" dxfId="3" priority="3">
      <formula>$Q61="Manual $ Spread"</formula>
    </cfRule>
    <cfRule type="expression" priority="4">
      <formula>$Q61="Manual $ Spread"</formula>
    </cfRule>
    <cfRule type="cellIs" dxfId="2" priority="5" operator="equal">
      <formula>"ERROR"</formula>
    </cfRule>
    <cfRule type="cellIs" dxfId="1" priority="6" operator="equal">
      <formula>"OK"</formula>
    </cfRule>
  </conditionalFormatting>
  <conditionalFormatting sqref="Z10:Z24">
    <cfRule type="duplicateValues" dxfId="0" priority="912"/>
  </conditionalFormatting>
  <pageMargins left="0.7" right="0.7" top="0.75" bottom="0.75" header="0.3" footer="0.3"/>
  <pageSetup orientation="portrait" r:id="rId1"/>
  <headerFooter>
    <oddFooter>&amp;L_x000D_&amp;1#&amp;"Aptos"&amp;10&amp;K000000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06236-1F14-47BB-A205-A27763B5C90D}">
  <sheetPr codeName="Sheet1">
    <tabColor theme="0" tint="-4.9989318521683403E-2"/>
    <pageSetUpPr autoPageBreaks="0"/>
  </sheetPr>
  <dimension ref="E77"/>
  <sheetViews>
    <sheetView showGridLines="0" topLeftCell="XFD1048576" zoomScaleNormal="100" workbookViewId="0">
      <selection activeCell="A2" sqref="A2"/>
    </sheetView>
  </sheetViews>
  <sheetFormatPr defaultColWidth="0" defaultRowHeight="15" customHeight="1" zeroHeight="1" x14ac:dyDescent="0.3"/>
  <cols>
    <col min="1" max="16384" width="7.109375" style="33" hidden="1"/>
  </cols>
  <sheetData>
    <row r="77" spans="5:5" ht="15" hidden="1" customHeight="1" x14ac:dyDescent="0.3">
      <c r="E77" s="34"/>
    </row>
  </sheetData>
  <pageMargins left="0.7" right="0.7" top="0.75" bottom="0.75" header="0.3" footer="0.3"/>
  <pageSetup paperSize="9" orientation="portrait" horizontalDpi="300" verticalDpi="300" r:id="rId1"/>
  <headerFooter>
    <oddFooter>&amp;L_x000D_&amp;1#&amp;"Aptos"&amp;10&amp;K000000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2605-3A77-4DB0-8551-18EED483F856}">
  <sheetPr codeName="Sheet3">
    <tabColor theme="4"/>
    <pageSetUpPr autoPageBreaks="0"/>
  </sheetPr>
  <dimension ref="A1:GS124"/>
  <sheetViews>
    <sheetView showGridLines="0" zoomScaleNormal="100" workbookViewId="0"/>
  </sheetViews>
  <sheetFormatPr defaultColWidth="9.21875" defaultRowHeight="12.75" x14ac:dyDescent="0.2"/>
  <cols>
    <col min="1" max="1" width="3.6640625" style="65" customWidth="1"/>
    <col min="2" max="2" width="23.44140625" style="65" customWidth="1"/>
    <col min="3" max="8" width="11.5546875" style="65" customWidth="1"/>
    <col min="9" max="13" width="11.5546875" style="77" customWidth="1"/>
    <col min="14" max="14" width="11.5546875" style="65" customWidth="1"/>
    <col min="15" max="16384" width="9.21875" style="65"/>
  </cols>
  <sheetData>
    <row r="1" spans="1:37" ht="25.5" x14ac:dyDescent="0.2">
      <c r="A1" s="66"/>
      <c r="B1" s="67" t="str">
        <f>Overview!$B$1</f>
        <v>Labour and overhead costs for Accelerated Syncons</v>
      </c>
      <c r="C1" s="68"/>
      <c r="D1" s="68"/>
      <c r="E1" s="68"/>
      <c r="F1" s="68"/>
      <c r="G1" s="68"/>
      <c r="H1" s="68"/>
      <c r="I1" s="69"/>
      <c r="J1" s="70"/>
      <c r="K1" s="70"/>
      <c r="L1" s="70"/>
      <c r="M1" s="70"/>
      <c r="N1" s="70"/>
      <c r="O1" s="70"/>
      <c r="P1" s="70"/>
      <c r="Q1" s="70"/>
    </row>
    <row r="2" spans="1:37" ht="20.25" x14ac:dyDescent="0.2">
      <c r="A2" s="71"/>
      <c r="B2" s="72" t="s">
        <v>22</v>
      </c>
      <c r="C2" s="71"/>
      <c r="D2" s="73"/>
      <c r="E2" s="73"/>
      <c r="F2" s="71"/>
      <c r="G2" s="71"/>
      <c r="H2" s="71"/>
      <c r="I2" s="74"/>
      <c r="J2" s="74"/>
      <c r="K2" s="74"/>
      <c r="L2" s="74"/>
      <c r="M2" s="74"/>
      <c r="N2" s="74"/>
      <c r="O2" s="74"/>
      <c r="P2" s="74"/>
      <c r="Q2" s="74"/>
    </row>
    <row r="3" spans="1:37" x14ac:dyDescent="0.2">
      <c r="N3" s="77"/>
      <c r="O3" s="77"/>
    </row>
    <row r="4" spans="1:37" x14ac:dyDescent="0.2">
      <c r="B4" s="76" t="s">
        <v>48</v>
      </c>
      <c r="N4" s="77"/>
      <c r="O4" s="77"/>
    </row>
    <row r="5" spans="1:37" x14ac:dyDescent="0.2">
      <c r="B5" s="78" t="s">
        <v>49</v>
      </c>
      <c r="C5" s="78"/>
      <c r="N5" s="77"/>
      <c r="O5" s="77"/>
    </row>
    <row r="6" spans="1:37" x14ac:dyDescent="0.2">
      <c r="B6" s="78"/>
      <c r="C6" s="78"/>
      <c r="N6" s="77"/>
      <c r="O6" s="77"/>
    </row>
    <row r="7" spans="1:37" x14ac:dyDescent="0.2">
      <c r="N7" s="77"/>
      <c r="O7" s="77"/>
    </row>
    <row r="8" spans="1:37" s="219" customFormat="1" ht="17.25" customHeight="1" x14ac:dyDescent="0.2">
      <c r="A8" s="120"/>
      <c r="B8" s="120" t="s">
        <v>50</v>
      </c>
      <c r="C8" s="120"/>
      <c r="D8" s="249"/>
      <c r="E8" s="65"/>
      <c r="F8" s="65"/>
      <c r="G8" s="65"/>
      <c r="H8" s="65"/>
      <c r="I8" s="65"/>
      <c r="J8" s="65"/>
      <c r="K8" s="65"/>
      <c r="L8" s="65"/>
      <c r="M8" s="65"/>
      <c r="N8" s="65"/>
      <c r="O8" s="65"/>
      <c r="P8" s="65"/>
      <c r="Q8" s="65"/>
      <c r="R8" s="65"/>
    </row>
    <row r="9" spans="1:37" x14ac:dyDescent="0.2">
      <c r="A9" s="79"/>
      <c r="B9" s="80"/>
      <c r="C9" s="79"/>
      <c r="D9" s="79"/>
      <c r="E9" s="79"/>
      <c r="F9" s="79"/>
      <c r="G9" s="79"/>
      <c r="H9" s="79"/>
      <c r="I9" s="81"/>
      <c r="J9" s="81"/>
      <c r="K9" s="81"/>
      <c r="L9" s="81"/>
      <c r="M9" s="81"/>
      <c r="S9" s="79"/>
      <c r="T9" s="79"/>
      <c r="U9" s="79"/>
      <c r="V9" s="79"/>
      <c r="W9" s="79"/>
      <c r="X9" s="79"/>
      <c r="Y9" s="79"/>
      <c r="Z9" s="79"/>
      <c r="AA9" s="79"/>
      <c r="AB9" s="79"/>
      <c r="AC9" s="79"/>
      <c r="AD9" s="79"/>
      <c r="AE9" s="79"/>
      <c r="AF9" s="79"/>
      <c r="AG9" s="79"/>
      <c r="AH9" s="79"/>
    </row>
    <row r="10" spans="1:37" x14ac:dyDescent="0.2">
      <c r="B10" s="124" t="s">
        <v>51</v>
      </c>
      <c r="C10" s="124" t="s">
        <v>52</v>
      </c>
      <c r="D10" s="151" t="s">
        <v>50</v>
      </c>
      <c r="E10" s="84"/>
      <c r="F10" s="81"/>
      <c r="G10" s="81"/>
      <c r="H10" s="81"/>
      <c r="I10" s="81"/>
      <c r="J10" s="81"/>
      <c r="S10" s="79"/>
      <c r="T10" s="79"/>
      <c r="U10" s="79"/>
      <c r="V10" s="79"/>
      <c r="W10" s="79"/>
      <c r="X10" s="79"/>
      <c r="Y10" s="79"/>
      <c r="Z10" s="79"/>
      <c r="AA10" s="79"/>
      <c r="AB10" s="79"/>
      <c r="AC10" s="79"/>
      <c r="AD10" s="79"/>
      <c r="AE10" s="79"/>
      <c r="AF10" s="79"/>
      <c r="AG10" s="79"/>
      <c r="AH10" s="79"/>
    </row>
    <row r="11" spans="1:37" x14ac:dyDescent="0.2">
      <c r="B11" s="181" t="s">
        <v>53</v>
      </c>
      <c r="C11" s="181" t="s">
        <v>54</v>
      </c>
      <c r="D11" s="230" t="s">
        <v>55</v>
      </c>
      <c r="E11" s="84"/>
      <c r="F11" s="81"/>
      <c r="G11" s="81"/>
      <c r="H11" s="81"/>
      <c r="I11" s="81"/>
      <c r="J11" s="81"/>
      <c r="S11" s="79"/>
      <c r="T11" s="79"/>
      <c r="U11" s="79"/>
      <c r="V11" s="79"/>
      <c r="W11" s="79"/>
      <c r="X11" s="79"/>
      <c r="Y11" s="79"/>
      <c r="Z11" s="79"/>
      <c r="AA11" s="79"/>
      <c r="AB11" s="79"/>
      <c r="AC11" s="79"/>
      <c r="AD11" s="79"/>
      <c r="AE11" s="79"/>
      <c r="AF11" s="79"/>
      <c r="AG11" s="79"/>
      <c r="AH11" s="79"/>
    </row>
    <row r="12" spans="1:37" x14ac:dyDescent="0.2">
      <c r="A12" s="79"/>
      <c r="B12" s="80"/>
      <c r="C12" s="79"/>
      <c r="D12" s="79"/>
      <c r="E12" s="79"/>
      <c r="F12" s="79"/>
      <c r="G12" s="79"/>
      <c r="H12" s="79"/>
      <c r="I12" s="81"/>
      <c r="J12" s="81"/>
      <c r="K12" s="81"/>
      <c r="L12" s="81"/>
      <c r="M12" s="81"/>
      <c r="S12" s="79"/>
      <c r="T12" s="79"/>
      <c r="U12" s="79"/>
      <c r="V12" s="79"/>
      <c r="W12" s="79"/>
      <c r="X12" s="79"/>
      <c r="Y12" s="79"/>
      <c r="Z12" s="79"/>
      <c r="AA12" s="79"/>
      <c r="AB12" s="79"/>
      <c r="AC12" s="79"/>
      <c r="AD12" s="79"/>
      <c r="AE12" s="79"/>
      <c r="AF12" s="79"/>
      <c r="AG12" s="79"/>
      <c r="AH12" s="79"/>
    </row>
    <row r="13" spans="1:37" s="219" customFormat="1" ht="17.25" customHeight="1" x14ac:dyDescent="0.2">
      <c r="A13" s="120"/>
      <c r="B13" s="120" t="s">
        <v>56</v>
      </c>
      <c r="C13" s="120"/>
      <c r="D13" s="120"/>
      <c r="E13" s="120"/>
      <c r="F13" s="120"/>
      <c r="G13" s="120"/>
      <c r="H13" s="120"/>
      <c r="I13" s="121"/>
      <c r="J13" s="121"/>
      <c r="K13" s="121"/>
      <c r="L13" s="121"/>
      <c r="M13" s="121"/>
      <c r="N13" s="121"/>
      <c r="O13" s="77"/>
      <c r="P13" s="65"/>
      <c r="Q13" s="65"/>
      <c r="R13" s="65"/>
    </row>
    <row r="14" spans="1:37" x14ac:dyDescent="0.2">
      <c r="A14" s="79"/>
      <c r="B14" s="80"/>
      <c r="C14" s="79"/>
      <c r="D14" s="79"/>
      <c r="E14" s="79"/>
      <c r="F14" s="79"/>
      <c r="G14" s="79"/>
      <c r="H14" s="79"/>
      <c r="I14" s="81"/>
      <c r="J14" s="81"/>
      <c r="K14" s="81"/>
      <c r="L14" s="81"/>
      <c r="M14" s="81"/>
      <c r="O14" s="77"/>
      <c r="S14" s="79"/>
      <c r="T14" s="79"/>
      <c r="U14" s="79"/>
      <c r="V14" s="79"/>
      <c r="W14" s="79"/>
      <c r="X14" s="79"/>
      <c r="Y14" s="79"/>
      <c r="Z14" s="79"/>
      <c r="AA14" s="79"/>
      <c r="AB14" s="79"/>
      <c r="AC14" s="79"/>
      <c r="AD14" s="79"/>
      <c r="AE14" s="79"/>
      <c r="AF14" s="79"/>
      <c r="AG14" s="79"/>
      <c r="AH14" s="79"/>
    </row>
    <row r="15" spans="1:37" x14ac:dyDescent="0.2">
      <c r="A15" s="79"/>
      <c r="B15" s="124"/>
      <c r="C15" s="124"/>
      <c r="D15" s="182" t="s">
        <v>57</v>
      </c>
      <c r="E15" s="183"/>
      <c r="F15" s="183"/>
      <c r="G15" s="183"/>
      <c r="H15" s="183" t="s">
        <v>58</v>
      </c>
      <c r="I15" s="183"/>
      <c r="J15" s="183"/>
      <c r="K15" s="183"/>
      <c r="L15" s="184"/>
      <c r="M15" s="183"/>
      <c r="N15" s="183"/>
      <c r="S15" s="79"/>
      <c r="T15" s="79"/>
      <c r="U15" s="79"/>
      <c r="V15" s="79"/>
      <c r="W15" s="79"/>
      <c r="X15" s="79"/>
      <c r="Y15" s="79"/>
      <c r="Z15" s="79"/>
      <c r="AA15" s="79"/>
      <c r="AB15" s="79"/>
      <c r="AC15" s="79"/>
      <c r="AD15" s="79"/>
      <c r="AE15" s="79"/>
      <c r="AF15" s="79"/>
      <c r="AG15" s="79"/>
      <c r="AH15" s="79"/>
    </row>
    <row r="16" spans="1:37" ht="36.950000000000003" customHeight="1" x14ac:dyDescent="0.2">
      <c r="A16" s="79"/>
      <c r="B16" s="124" t="s">
        <v>51</v>
      </c>
      <c r="C16" s="124" t="s">
        <v>52</v>
      </c>
      <c r="D16" s="151" t="str">
        <f>"RY"&amp;YEAR(D18)</f>
        <v>RY2023</v>
      </c>
      <c r="E16" s="151" t="str">
        <f>"RY"&amp;YEAR(E18)</f>
        <v>RY2024</v>
      </c>
      <c r="F16" s="151" t="str">
        <f>"RY"&amp;YEAR(F18)</f>
        <v>RY2025</v>
      </c>
      <c r="G16" s="151" t="str">
        <f>"RY2026"&amp;CHAR(10)&amp;IF(G17&gt;0,TEXT(G17,"ddmmm"),"n/a")&amp;"-"&amp;IF(G18&gt;0,TEXT(G18,"ddmmm"),"n/a")</f>
        <v>RY2026
01Oct-31Jan</v>
      </c>
      <c r="H16" s="151" t="str">
        <f>"RY2026"&amp;CHAR(10)&amp;IF(H17&gt;0,TEXT(H17,"ddmmm"),"n/a")&amp;"-"&amp;IF(H18&gt;0,TEXT(H18,"ddmmm"),"n/a")</f>
        <v>RY2026
01Feb-30Sep</v>
      </c>
      <c r="I16" s="151" t="str">
        <f t="shared" ref="I16:N16" si="0">"RY"&amp;YEAR(I18)</f>
        <v>RY2027</v>
      </c>
      <c r="J16" s="151" t="str">
        <f t="shared" si="0"/>
        <v>RY2028</v>
      </c>
      <c r="K16" s="151" t="str">
        <f t="shared" si="0"/>
        <v>RY2029</v>
      </c>
      <c r="L16" s="151" t="str">
        <f t="shared" si="0"/>
        <v>RY2030</v>
      </c>
      <c r="M16" s="151" t="str">
        <f t="shared" si="0"/>
        <v>RY2031</v>
      </c>
      <c r="N16" s="151" t="str">
        <f t="shared" si="0"/>
        <v>RY2032</v>
      </c>
      <c r="O16" s="77"/>
      <c r="P16" s="151" t="s">
        <v>254</v>
      </c>
      <c r="U16" s="79"/>
      <c r="V16" s="79"/>
      <c r="W16" s="79"/>
      <c r="X16" s="79"/>
      <c r="Y16" s="79"/>
      <c r="Z16" s="79"/>
      <c r="AA16" s="79"/>
      <c r="AB16" s="79"/>
      <c r="AC16" s="79"/>
      <c r="AD16" s="79"/>
      <c r="AE16" s="79"/>
      <c r="AF16" s="79"/>
      <c r="AG16" s="79"/>
      <c r="AH16" s="79"/>
      <c r="AI16" s="79"/>
      <c r="AJ16" s="79"/>
      <c r="AK16" s="79"/>
    </row>
    <row r="17" spans="1:37" x14ac:dyDescent="0.2">
      <c r="A17" s="79"/>
      <c r="B17" s="181" t="s">
        <v>59</v>
      </c>
      <c r="C17" s="181" t="s">
        <v>60</v>
      </c>
      <c r="D17" s="131">
        <v>44835</v>
      </c>
      <c r="E17" s="131">
        <f>D18+1</f>
        <v>45200</v>
      </c>
      <c r="F17" s="131">
        <f>E18+1</f>
        <v>45566</v>
      </c>
      <c r="G17" s="131">
        <f t="shared" ref="G17:I17" si="1">F18+1</f>
        <v>45931</v>
      </c>
      <c r="H17" s="131">
        <f>G18+1</f>
        <v>46054</v>
      </c>
      <c r="I17" s="131">
        <f t="shared" si="1"/>
        <v>46296</v>
      </c>
      <c r="J17" s="131">
        <f t="shared" ref="J17" si="2">I18+1</f>
        <v>46661</v>
      </c>
      <c r="K17" s="131">
        <f t="shared" ref="K17" si="3">J18+1</f>
        <v>47027</v>
      </c>
      <c r="L17" s="131">
        <f t="shared" ref="L17" si="4">K18+1</f>
        <v>47392</v>
      </c>
      <c r="M17" s="131">
        <f t="shared" ref="M17" si="5">L18+1</f>
        <v>47757</v>
      </c>
      <c r="N17" s="131">
        <f t="shared" ref="N17" si="6">M18+1</f>
        <v>48122</v>
      </c>
      <c r="O17" s="77"/>
      <c r="P17" s="131">
        <v>46054</v>
      </c>
      <c r="U17" s="79"/>
      <c r="V17" s="79"/>
      <c r="W17" s="79"/>
      <c r="X17" s="79"/>
      <c r="Y17" s="79"/>
      <c r="Z17" s="79"/>
      <c r="AA17" s="79"/>
      <c r="AB17" s="79"/>
      <c r="AC17" s="79"/>
      <c r="AD17" s="79"/>
      <c r="AE17" s="79"/>
      <c r="AF17" s="79"/>
      <c r="AG17" s="79"/>
      <c r="AH17" s="79"/>
      <c r="AI17" s="79"/>
      <c r="AJ17" s="79"/>
      <c r="AK17" s="79"/>
    </row>
    <row r="18" spans="1:37" x14ac:dyDescent="0.2">
      <c r="A18" s="79"/>
      <c r="B18" s="181" t="s">
        <v>61</v>
      </c>
      <c r="C18" s="181" t="s">
        <v>60</v>
      </c>
      <c r="D18" s="131">
        <f>EDATE(D17,12)-1</f>
        <v>45199</v>
      </c>
      <c r="E18" s="131">
        <f>EDATE(E17,12)-1</f>
        <v>45565</v>
      </c>
      <c r="F18" s="131">
        <f>EDATE(F17,12)-1</f>
        <v>45930</v>
      </c>
      <c r="G18" s="131">
        <v>46053</v>
      </c>
      <c r="H18" s="131">
        <v>46295</v>
      </c>
      <c r="I18" s="131">
        <f t="shared" ref="I18:N18" si="7">EDATE(I17,12)-1</f>
        <v>46660</v>
      </c>
      <c r="J18" s="131">
        <f t="shared" si="7"/>
        <v>47026</v>
      </c>
      <c r="K18" s="131">
        <f t="shared" si="7"/>
        <v>47391</v>
      </c>
      <c r="L18" s="131">
        <f t="shared" si="7"/>
        <v>47756</v>
      </c>
      <c r="M18" s="131">
        <f t="shared" si="7"/>
        <v>48121</v>
      </c>
      <c r="N18" s="131">
        <f t="shared" si="7"/>
        <v>48487</v>
      </c>
      <c r="O18" s="77"/>
      <c r="P18" s="131">
        <v>46203</v>
      </c>
      <c r="U18" s="79"/>
      <c r="V18" s="79"/>
      <c r="W18" s="79"/>
      <c r="X18" s="79"/>
      <c r="Y18" s="79"/>
      <c r="Z18" s="79"/>
      <c r="AA18" s="79"/>
      <c r="AB18" s="79"/>
      <c r="AC18" s="79"/>
      <c r="AD18" s="79"/>
      <c r="AE18" s="79"/>
      <c r="AF18" s="79"/>
      <c r="AG18" s="79"/>
      <c r="AH18" s="79"/>
      <c r="AI18" s="79"/>
      <c r="AJ18" s="79"/>
      <c r="AK18" s="79"/>
    </row>
    <row r="19" spans="1:37" x14ac:dyDescent="0.2">
      <c r="B19" s="180" t="s">
        <v>62</v>
      </c>
      <c r="C19" s="181" t="s">
        <v>63</v>
      </c>
      <c r="D19" s="229">
        <f>((D18-D17)+1)/(DATE(_xlfn.NUMBERVALUE(MID(D16,3,4)),9,30)-DATE(_xlfn.NUMBERVALUE(MID(D16,3,4))-1,10,1)+1)</f>
        <v>1</v>
      </c>
      <c r="E19" s="229">
        <f t="shared" ref="E19:N19" si="8">((E18-E17)+1)/(DATE(_xlfn.NUMBERVALUE(MID(E16,3,4)),9,30)-DATE(_xlfn.NUMBERVALUE(MID(E16,3,4))-1,10,1)+1)</f>
        <v>1</v>
      </c>
      <c r="F19" s="229">
        <f t="shared" si="8"/>
        <v>1</v>
      </c>
      <c r="G19" s="229">
        <f t="shared" si="8"/>
        <v>0.33698630136986302</v>
      </c>
      <c r="H19" s="229">
        <f t="shared" si="8"/>
        <v>0.66301369863013704</v>
      </c>
      <c r="I19" s="229">
        <f t="shared" si="8"/>
        <v>1</v>
      </c>
      <c r="J19" s="229">
        <f t="shared" si="8"/>
        <v>1</v>
      </c>
      <c r="K19" s="229">
        <f t="shared" si="8"/>
        <v>1</v>
      </c>
      <c r="L19" s="229">
        <f t="shared" si="8"/>
        <v>1</v>
      </c>
      <c r="M19" s="229">
        <f t="shared" si="8"/>
        <v>1</v>
      </c>
      <c r="N19" s="229">
        <f t="shared" si="8"/>
        <v>1</v>
      </c>
      <c r="O19" s="77"/>
      <c r="P19" s="229">
        <f>((P18-P17)+1)/(DATE(_xlfn.NUMBERVALUE(MID(P16,1,4)),9,30)-DATE(_xlfn.NUMBERVALUE(MID(P16,1,4))-1,10,1)+1)</f>
        <v>0.41095890410958902</v>
      </c>
    </row>
    <row r="20" spans="1:37" x14ac:dyDescent="0.2">
      <c r="A20" s="79"/>
      <c r="B20" s="79"/>
      <c r="C20" s="79"/>
      <c r="D20" s="250"/>
      <c r="E20" s="250"/>
      <c r="F20" s="250"/>
      <c r="G20" s="250"/>
      <c r="H20" s="250"/>
      <c r="I20" s="81"/>
      <c r="J20" s="81"/>
      <c r="K20" s="81"/>
      <c r="L20" s="81"/>
      <c r="M20" s="81"/>
      <c r="S20" s="79"/>
      <c r="T20" s="79"/>
      <c r="U20" s="79"/>
      <c r="V20" s="79"/>
      <c r="W20" s="79"/>
      <c r="X20" s="79"/>
      <c r="Y20" s="79"/>
      <c r="Z20" s="79"/>
      <c r="AA20" s="79"/>
      <c r="AB20" s="79"/>
      <c r="AC20" s="79"/>
      <c r="AD20" s="79"/>
      <c r="AE20" s="79"/>
      <c r="AF20" s="79"/>
      <c r="AG20" s="79"/>
      <c r="AH20" s="79"/>
      <c r="AI20" s="79"/>
    </row>
    <row r="21" spans="1:37" s="219" customFormat="1" ht="17.25" customHeight="1" x14ac:dyDescent="0.2">
      <c r="A21" s="120"/>
      <c r="B21" s="120" t="s">
        <v>64</v>
      </c>
      <c r="C21" s="120"/>
      <c r="D21" s="249"/>
      <c r="E21" s="65"/>
      <c r="F21" s="65"/>
      <c r="G21" s="65"/>
      <c r="H21" s="65"/>
      <c r="I21" s="65"/>
      <c r="J21" s="65"/>
      <c r="K21" s="65"/>
      <c r="L21" s="65"/>
      <c r="M21" s="65"/>
      <c r="N21" s="65"/>
      <c r="O21" s="65"/>
      <c r="P21" s="65"/>
      <c r="Q21" s="65"/>
      <c r="R21" s="65"/>
    </row>
    <row r="22" spans="1:37" x14ac:dyDescent="0.2">
      <c r="A22" s="79"/>
      <c r="B22" s="80"/>
      <c r="C22" s="79"/>
      <c r="D22" s="79"/>
      <c r="E22" s="79"/>
      <c r="F22" s="79"/>
      <c r="G22" s="79"/>
      <c r="H22" s="79"/>
      <c r="I22" s="81"/>
      <c r="J22" s="81"/>
      <c r="K22" s="81"/>
      <c r="L22" s="81"/>
      <c r="M22" s="81"/>
      <c r="S22" s="79"/>
      <c r="T22" s="79"/>
      <c r="U22" s="79"/>
      <c r="V22" s="79"/>
      <c r="W22" s="79"/>
      <c r="X22" s="79"/>
      <c r="Y22" s="79"/>
      <c r="Z22" s="79"/>
      <c r="AA22" s="79"/>
      <c r="AB22" s="79"/>
      <c r="AC22" s="79"/>
      <c r="AD22" s="79"/>
      <c r="AE22" s="79"/>
      <c r="AF22" s="79"/>
      <c r="AG22" s="79"/>
      <c r="AH22" s="79"/>
    </row>
    <row r="23" spans="1:37" ht="25.5" x14ac:dyDescent="0.2">
      <c r="B23" s="124" t="s">
        <v>51</v>
      </c>
      <c r="C23" s="124" t="s">
        <v>52</v>
      </c>
      <c r="D23" s="151" t="s">
        <v>64</v>
      </c>
      <c r="E23" s="84"/>
      <c r="F23" s="81"/>
      <c r="G23" s="81"/>
      <c r="H23" s="81"/>
      <c r="I23" s="81"/>
      <c r="J23" s="81"/>
      <c r="S23" s="79"/>
      <c r="T23" s="79"/>
      <c r="U23" s="79"/>
      <c r="V23" s="79"/>
      <c r="W23" s="79"/>
      <c r="X23" s="79"/>
      <c r="Y23" s="79"/>
      <c r="Z23" s="79"/>
      <c r="AA23" s="79"/>
      <c r="AB23" s="79"/>
      <c r="AC23" s="79"/>
      <c r="AD23" s="79"/>
      <c r="AE23" s="79"/>
      <c r="AF23" s="79"/>
      <c r="AG23" s="79"/>
      <c r="AH23" s="79"/>
    </row>
    <row r="24" spans="1:37" x14ac:dyDescent="0.2">
      <c r="B24" s="181" t="s">
        <v>59</v>
      </c>
      <c r="C24" s="181" t="s">
        <v>60</v>
      </c>
      <c r="D24" s="230">
        <f>H17</f>
        <v>46054</v>
      </c>
      <c r="E24" s="84"/>
      <c r="F24" s="81"/>
      <c r="G24" s="81"/>
      <c r="H24" s="81"/>
      <c r="I24" s="81"/>
      <c r="J24" s="81"/>
      <c r="S24" s="79"/>
      <c r="T24" s="79"/>
      <c r="U24" s="79"/>
      <c r="V24" s="79"/>
      <c r="W24" s="79"/>
      <c r="X24" s="79"/>
      <c r="Y24" s="79"/>
      <c r="Z24" s="79"/>
      <c r="AA24" s="79"/>
      <c r="AB24" s="79"/>
      <c r="AC24" s="79"/>
      <c r="AD24" s="79"/>
      <c r="AE24" s="79"/>
      <c r="AF24" s="79"/>
      <c r="AG24" s="79"/>
      <c r="AH24" s="79"/>
    </row>
    <row r="25" spans="1:37" x14ac:dyDescent="0.2">
      <c r="B25" s="181" t="s">
        <v>61</v>
      </c>
      <c r="C25" s="181" t="s">
        <v>60</v>
      </c>
      <c r="D25" s="230">
        <f>K18</f>
        <v>47391</v>
      </c>
      <c r="E25" s="84"/>
      <c r="F25" s="81"/>
      <c r="G25" s="81"/>
      <c r="H25" s="81"/>
      <c r="I25" s="81"/>
      <c r="J25" s="81"/>
      <c r="S25" s="79"/>
      <c r="T25" s="79"/>
      <c r="U25" s="79"/>
      <c r="V25" s="79"/>
      <c r="W25" s="79"/>
      <c r="X25" s="79"/>
      <c r="Y25" s="79"/>
      <c r="Z25" s="79"/>
      <c r="AA25" s="79"/>
      <c r="AB25" s="79"/>
      <c r="AC25" s="79"/>
      <c r="AD25" s="79"/>
      <c r="AE25" s="79"/>
      <c r="AF25" s="79"/>
      <c r="AG25" s="79"/>
      <c r="AH25" s="79"/>
    </row>
    <row r="26" spans="1:37" x14ac:dyDescent="0.2">
      <c r="C26" s="82"/>
      <c r="D26" s="84"/>
      <c r="E26" s="84"/>
      <c r="F26" s="81"/>
      <c r="G26" s="81"/>
      <c r="H26" s="81"/>
      <c r="I26" s="81"/>
      <c r="J26" s="81"/>
      <c r="S26" s="79"/>
      <c r="T26" s="79"/>
      <c r="U26" s="79"/>
      <c r="V26" s="79"/>
      <c r="W26" s="79"/>
      <c r="X26" s="79"/>
      <c r="Y26" s="79"/>
      <c r="Z26" s="79"/>
      <c r="AA26" s="79"/>
      <c r="AB26" s="79"/>
      <c r="AC26" s="79"/>
      <c r="AD26" s="79"/>
      <c r="AE26" s="79"/>
      <c r="AF26" s="79"/>
      <c r="AG26" s="79"/>
      <c r="AH26" s="79"/>
    </row>
    <row r="27" spans="1:37" s="220" customFormat="1" ht="17.25" customHeight="1" x14ac:dyDescent="0.2">
      <c r="A27" s="120"/>
      <c r="B27" s="120" t="s">
        <v>65</v>
      </c>
      <c r="C27" s="120"/>
      <c r="D27" s="120"/>
      <c r="E27" s="120"/>
      <c r="F27" s="120"/>
      <c r="G27" s="120"/>
      <c r="H27" s="120"/>
      <c r="I27" s="120"/>
      <c r="J27" s="121"/>
      <c r="K27" s="121"/>
      <c r="L27" s="121"/>
      <c r="M27" s="121"/>
      <c r="N27" s="65"/>
      <c r="O27" s="65"/>
      <c r="P27" s="65"/>
      <c r="Q27" s="65"/>
      <c r="R27" s="65"/>
      <c r="S27" s="219"/>
      <c r="T27" s="219"/>
      <c r="U27" s="219"/>
      <c r="V27" s="219"/>
      <c r="W27" s="219"/>
      <c r="X27" s="219"/>
      <c r="Y27" s="219"/>
      <c r="Z27" s="219"/>
      <c r="AA27" s="219"/>
      <c r="AB27" s="219"/>
    </row>
    <row r="28" spans="1:37" x14ac:dyDescent="0.2">
      <c r="I28" s="65"/>
    </row>
    <row r="29" spans="1:37" x14ac:dyDescent="0.2">
      <c r="B29" s="124" t="s">
        <v>51</v>
      </c>
      <c r="C29" s="124" t="s">
        <v>52</v>
      </c>
      <c r="D29" s="151" t="s">
        <v>66</v>
      </c>
      <c r="E29" s="151" t="s">
        <v>67</v>
      </c>
      <c r="F29" s="151" t="s">
        <v>68</v>
      </c>
      <c r="G29" s="151" t="s">
        <v>69</v>
      </c>
      <c r="H29" s="151" t="s">
        <v>70</v>
      </c>
      <c r="I29" s="151" t="s">
        <v>71</v>
      </c>
      <c r="J29" s="151" t="s">
        <v>72</v>
      </c>
      <c r="K29" s="151" t="s">
        <v>73</v>
      </c>
      <c r="L29" s="151" t="s">
        <v>74</v>
      </c>
      <c r="M29" s="151" t="s">
        <v>75</v>
      </c>
      <c r="N29" s="77"/>
      <c r="O29" s="77"/>
    </row>
    <row r="30" spans="1:37" x14ac:dyDescent="0.2">
      <c r="B30" s="180" t="s">
        <v>76</v>
      </c>
      <c r="C30" s="181" t="s">
        <v>63</v>
      </c>
      <c r="D30" s="260">
        <v>7.0217917675544639E-2</v>
      </c>
      <c r="E30" s="260">
        <v>3.6199095022624528E-2</v>
      </c>
      <c r="F30" s="260">
        <v>2.4017467248908186E-2</v>
      </c>
      <c r="G30" s="260">
        <v>3.9803563181593393E-2</v>
      </c>
      <c r="H30" s="260">
        <v>2.6499209007902591E-2</v>
      </c>
      <c r="I30" s="260">
        <v>2.6499209007902591E-2</v>
      </c>
      <c r="J30" s="260">
        <v>2.6499209007902591E-2</v>
      </c>
      <c r="K30" s="260">
        <v>2.6499209007902591E-2</v>
      </c>
      <c r="L30" s="260">
        <v>2.6499209007902591E-2</v>
      </c>
      <c r="M30" s="260">
        <f>L30</f>
        <v>2.6499209007902591E-2</v>
      </c>
      <c r="N30" s="77"/>
      <c r="O30" s="77"/>
    </row>
    <row r="31" spans="1:37" x14ac:dyDescent="0.2">
      <c r="B31" s="180" t="s">
        <v>77</v>
      </c>
      <c r="C31" s="181" t="s">
        <v>78</v>
      </c>
      <c r="D31" s="111">
        <f t="shared" ref="D31" si="9">E31/(1+E30)</f>
        <v>0.90635456253013968</v>
      </c>
      <c r="E31" s="111">
        <f t="shared" ref="E31" si="10">F31/(1+F30)</f>
        <v>0.93916377746335744</v>
      </c>
      <c r="F31" s="111">
        <f t="shared" ref="F31" si="11">G31/(1+G30)</f>
        <v>0.96172011272994451</v>
      </c>
      <c r="G31" s="149">
        <v>1</v>
      </c>
      <c r="H31" s="111">
        <f>G31*(1+H30)</f>
        <v>1.0264992090079026</v>
      </c>
      <c r="I31" s="111">
        <f>H31*(1+I30)</f>
        <v>1.0537006260938497</v>
      </c>
      <c r="J31" s="111">
        <f t="shared" ref="J31:M31" si="12">I31*(1+J30)</f>
        <v>1.0816228592164685</v>
      </c>
      <c r="K31" s="111">
        <f t="shared" si="12"/>
        <v>1.110285009430571</v>
      </c>
      <c r="L31" s="111">
        <f t="shared" si="12"/>
        <v>1.1397066839538128</v>
      </c>
      <c r="M31" s="111">
        <f t="shared" si="12"/>
        <v>1.1699080095796084</v>
      </c>
      <c r="N31" s="77"/>
      <c r="O31" s="77"/>
    </row>
    <row r="32" spans="1:37" x14ac:dyDescent="0.2">
      <c r="B32" s="180" t="s">
        <v>79</v>
      </c>
      <c r="C32" s="181" t="s">
        <v>78</v>
      </c>
      <c r="D32" s="111">
        <f t="shared" ref="D32:E32" si="13">D31/(1+D30)^0.5</f>
        <v>0.87611681657336482</v>
      </c>
      <c r="E32" s="111">
        <f t="shared" si="13"/>
        <v>0.92261333974041093</v>
      </c>
      <c r="F32" s="111">
        <f>F31/(1+F30)^0.5</f>
        <v>0.95037502804626584</v>
      </c>
      <c r="G32" s="111">
        <f t="shared" ref="G32" si="14">G31/(1+G30)^0.5</f>
        <v>0.98067329561375571</v>
      </c>
      <c r="H32" s="111">
        <f>H31/(1+H30)^0.5</f>
        <v>1.0131629725803755</v>
      </c>
      <c r="I32" s="111">
        <f t="shared" ref="I32:K32" si="15">I31/(1+I30)^0.5</f>
        <v>1.0400109899498506</v>
      </c>
      <c r="J32" s="111">
        <f t="shared" si="15"/>
        <v>1.0675704585430474</v>
      </c>
      <c r="K32" s="111">
        <f t="shared" si="15"/>
        <v>1.0958602312546422</v>
      </c>
      <c r="L32" s="111">
        <f>L31/(1+L30)^0.5</f>
        <v>1.1248996605661075</v>
      </c>
      <c r="M32" s="111">
        <f>M31/(1+M30)^0.5</f>
        <v>1.1547086117843672</v>
      </c>
      <c r="N32" s="77"/>
      <c r="O32" s="77"/>
    </row>
    <row r="33" spans="1:34" x14ac:dyDescent="0.2">
      <c r="B33" s="180" t="s">
        <v>80</v>
      </c>
      <c r="C33" s="181" t="s">
        <v>78</v>
      </c>
      <c r="D33" s="107">
        <f t="shared" ref="D33:E33" si="16">1/D32</f>
        <v>1.1414003031138729</v>
      </c>
      <c r="E33" s="107">
        <f t="shared" si="16"/>
        <v>1.0838776732638211</v>
      </c>
      <c r="F33" s="107">
        <f t="shared" ref="F33:G33" si="17">1/F32</f>
        <v>1.0522161993836798</v>
      </c>
      <c r="G33" s="107">
        <f t="shared" si="17"/>
        <v>1.0197075870962191</v>
      </c>
      <c r="H33" s="107">
        <f>1/H32</f>
        <v>0.98700804022984445</v>
      </c>
      <c r="I33" s="107">
        <f t="shared" ref="I33:K33" si="18">1/I32</f>
        <v>0.96152830081941731</v>
      </c>
      <c r="J33" s="107">
        <f t="shared" si="18"/>
        <v>0.93670632415656829</v>
      </c>
      <c r="K33" s="107">
        <f t="shared" si="18"/>
        <v>0.91252513001143176</v>
      </c>
      <c r="L33" s="107">
        <f>1/L32</f>
        <v>0.88896817650095872</v>
      </c>
      <c r="M33" s="107">
        <f>1/M32</f>
        <v>0.86601934877293718</v>
      </c>
      <c r="N33" s="77"/>
      <c r="O33" s="77"/>
    </row>
    <row r="34" spans="1:34" x14ac:dyDescent="0.2">
      <c r="E34" s="77"/>
      <c r="F34" s="77"/>
      <c r="G34" s="77"/>
      <c r="H34" s="77"/>
    </row>
    <row r="35" spans="1:34" s="220" customFormat="1" ht="17.25" customHeight="1" x14ac:dyDescent="0.2">
      <c r="A35" s="120"/>
      <c r="B35" s="120" t="s">
        <v>81</v>
      </c>
      <c r="C35" s="120"/>
      <c r="D35" s="120"/>
      <c r="E35" s="65"/>
      <c r="F35" s="65"/>
      <c r="G35" s="65"/>
      <c r="H35" s="65"/>
      <c r="I35" s="65"/>
      <c r="J35" s="65"/>
      <c r="K35" s="65"/>
      <c r="L35" s="65"/>
      <c r="M35" s="65"/>
      <c r="N35" s="65"/>
      <c r="O35" s="65"/>
      <c r="P35" s="65"/>
      <c r="Q35" s="65"/>
      <c r="R35" s="65"/>
      <c r="S35" s="219"/>
      <c r="T35" s="219"/>
      <c r="U35" s="219"/>
      <c r="V35" s="219"/>
      <c r="W35" s="219"/>
      <c r="X35" s="219"/>
      <c r="Y35" s="219"/>
      <c r="Z35" s="219"/>
      <c r="AA35" s="219"/>
    </row>
    <row r="36" spans="1:34" x14ac:dyDescent="0.2">
      <c r="B36" s="76"/>
      <c r="I36" s="81"/>
      <c r="J36" s="81"/>
      <c r="K36" s="81"/>
      <c r="L36" s="81"/>
      <c r="M36" s="81"/>
      <c r="S36" s="79"/>
      <c r="T36" s="79"/>
      <c r="U36" s="79"/>
      <c r="V36" s="79"/>
      <c r="W36" s="79"/>
      <c r="X36" s="79"/>
      <c r="Y36" s="79"/>
      <c r="Z36" s="79"/>
      <c r="AA36" s="79"/>
      <c r="AB36" s="79"/>
      <c r="AC36" s="79"/>
      <c r="AD36" s="79"/>
      <c r="AE36" s="79"/>
      <c r="AF36" s="79"/>
      <c r="AG36" s="79"/>
      <c r="AH36" s="79"/>
    </row>
    <row r="37" spans="1:34" ht="25.5" x14ac:dyDescent="0.2">
      <c r="B37" s="124" t="s">
        <v>51</v>
      </c>
      <c r="C37" s="124" t="s">
        <v>52</v>
      </c>
      <c r="D37" s="151" t="s">
        <v>82</v>
      </c>
      <c r="I37" s="81"/>
      <c r="J37" s="81"/>
      <c r="K37" s="81"/>
      <c r="L37" s="81"/>
      <c r="M37" s="81"/>
      <c r="S37" s="79"/>
      <c r="T37" s="79"/>
      <c r="U37" s="79"/>
      <c r="V37" s="79"/>
      <c r="W37" s="79"/>
      <c r="X37" s="79"/>
      <c r="Y37" s="79"/>
      <c r="Z37" s="79"/>
      <c r="AA37" s="79"/>
      <c r="AB37" s="79"/>
      <c r="AC37" s="79"/>
      <c r="AD37" s="79"/>
      <c r="AE37" s="79"/>
      <c r="AF37" s="79"/>
      <c r="AG37" s="79"/>
      <c r="AH37" s="79"/>
    </row>
    <row r="38" spans="1:34" x14ac:dyDescent="0.2">
      <c r="B38" s="181" t="s">
        <v>83</v>
      </c>
      <c r="C38" s="181" t="s">
        <v>63</v>
      </c>
      <c r="D38" s="213">
        <v>0.7</v>
      </c>
      <c r="E38" s="84"/>
      <c r="I38" s="81"/>
      <c r="J38" s="81"/>
      <c r="K38" s="81"/>
      <c r="L38" s="81"/>
      <c r="M38" s="81"/>
      <c r="S38" s="79"/>
      <c r="T38" s="79"/>
      <c r="U38" s="79"/>
      <c r="V38" s="79"/>
      <c r="W38" s="79"/>
      <c r="X38" s="79"/>
      <c r="Y38" s="79"/>
      <c r="Z38" s="79"/>
      <c r="AA38" s="79"/>
      <c r="AB38" s="79"/>
      <c r="AC38" s="79"/>
      <c r="AD38" s="79"/>
      <c r="AE38" s="79"/>
      <c r="AF38" s="79"/>
      <c r="AG38" s="79"/>
      <c r="AH38" s="79"/>
    </row>
    <row r="39" spans="1:34" x14ac:dyDescent="0.2">
      <c r="B39" s="181" t="s">
        <v>84</v>
      </c>
      <c r="C39" s="181" t="s">
        <v>63</v>
      </c>
      <c r="D39" s="213">
        <v>0.7</v>
      </c>
      <c r="E39" s="84"/>
      <c r="I39" s="81"/>
      <c r="J39" s="81"/>
      <c r="K39" s="81"/>
      <c r="L39" s="81"/>
      <c r="M39" s="81"/>
      <c r="S39" s="79"/>
      <c r="T39" s="79"/>
      <c r="U39" s="79"/>
      <c r="V39" s="79"/>
      <c r="W39" s="79"/>
      <c r="X39" s="79"/>
      <c r="Y39" s="79"/>
      <c r="Z39" s="79"/>
      <c r="AA39" s="79"/>
      <c r="AB39" s="79"/>
      <c r="AC39" s="79"/>
      <c r="AD39" s="79"/>
      <c r="AE39" s="79"/>
      <c r="AF39" s="79"/>
      <c r="AG39" s="79"/>
      <c r="AH39" s="79"/>
    </row>
    <row r="40" spans="1:34" x14ac:dyDescent="0.2">
      <c r="B40" s="181" t="s">
        <v>85</v>
      </c>
      <c r="C40" s="181" t="s">
        <v>63</v>
      </c>
      <c r="D40" s="213">
        <v>0</v>
      </c>
      <c r="E40" s="84"/>
      <c r="H40" s="79"/>
      <c r="I40" s="81"/>
      <c r="J40" s="81"/>
      <c r="K40" s="81"/>
      <c r="L40" s="81"/>
      <c r="M40" s="81"/>
      <c r="S40" s="79"/>
      <c r="T40" s="79"/>
      <c r="U40" s="79"/>
      <c r="V40" s="79"/>
      <c r="W40" s="79"/>
      <c r="X40" s="79"/>
      <c r="Y40" s="79"/>
      <c r="Z40" s="79"/>
      <c r="AA40" s="79"/>
      <c r="AB40" s="79"/>
      <c r="AC40" s="79"/>
      <c r="AD40" s="79"/>
      <c r="AE40" s="79"/>
      <c r="AF40" s="79"/>
      <c r="AG40" s="79"/>
      <c r="AH40" s="79"/>
    </row>
    <row r="41" spans="1:34" x14ac:dyDescent="0.2">
      <c r="B41" s="105"/>
      <c r="F41" s="106"/>
      <c r="H41" s="81"/>
      <c r="I41" s="81"/>
    </row>
    <row r="42" spans="1:34" s="220" customFormat="1" ht="17.25" customHeight="1" x14ac:dyDescent="0.2">
      <c r="A42" s="120"/>
      <c r="B42" s="120" t="s">
        <v>86</v>
      </c>
      <c r="C42" s="120"/>
      <c r="D42" s="120"/>
      <c r="E42" s="120"/>
      <c r="F42" s="120"/>
      <c r="G42" s="65"/>
      <c r="H42" s="65"/>
      <c r="I42" s="65"/>
      <c r="J42" s="65"/>
      <c r="K42" s="65"/>
      <c r="L42" s="65"/>
      <c r="M42" s="65"/>
      <c r="N42" s="65"/>
      <c r="O42" s="65"/>
      <c r="P42" s="65"/>
      <c r="Q42" s="65"/>
      <c r="R42" s="65"/>
      <c r="S42" s="219"/>
      <c r="T42" s="219"/>
      <c r="U42" s="219"/>
      <c r="V42" s="219"/>
      <c r="W42" s="219"/>
      <c r="X42" s="219"/>
      <c r="Y42" s="219"/>
      <c r="Z42" s="219"/>
      <c r="AA42" s="219"/>
    </row>
    <row r="43" spans="1:34" x14ac:dyDescent="0.2">
      <c r="B43" s="105"/>
      <c r="F43" s="106"/>
      <c r="H43" s="81"/>
      <c r="I43" s="81"/>
    </row>
    <row r="44" spans="1:34" x14ac:dyDescent="0.2">
      <c r="B44" s="124" t="s">
        <v>87</v>
      </c>
      <c r="F44" s="106"/>
      <c r="H44" s="81"/>
      <c r="I44" s="81"/>
    </row>
    <row r="45" spans="1:34" x14ac:dyDescent="0.2">
      <c r="B45" s="256" t="str" cm="1">
        <f t="array" ref="B45:B57">_xlfn._xlws.SORT(_xlfn.UNIQUE(_xlfn._xlws.FILTER(ds_broadcostcat, (ds_broadcostcat&lt;&gt;"")*('Data source'!I6:I303&gt;0))))</f>
        <v>Community and Stakeholder Engagement</v>
      </c>
      <c r="F45" s="106"/>
      <c r="H45" s="81"/>
      <c r="I45" s="81"/>
    </row>
    <row r="46" spans="1:34" x14ac:dyDescent="0.2">
      <c r="B46" s="256" t="str">
        <v>Fleet</v>
      </c>
      <c r="F46" s="106"/>
      <c r="H46" s="81"/>
      <c r="I46" s="81"/>
    </row>
    <row r="47" spans="1:34" x14ac:dyDescent="0.2">
      <c r="B47" s="256" t="str">
        <v>Land and Environment</v>
      </c>
      <c r="F47" s="106"/>
      <c r="H47" s="81"/>
      <c r="I47" s="81"/>
    </row>
    <row r="48" spans="1:34" x14ac:dyDescent="0.2">
      <c r="B48" s="256" t="str">
        <v>Other Support &amp; Corporate Roles</v>
      </c>
      <c r="F48" s="106"/>
      <c r="H48" s="81"/>
      <c r="I48" s="81"/>
    </row>
    <row r="49" spans="1:32" x14ac:dyDescent="0.2">
      <c r="B49" s="256" t="str">
        <v>Project Delivery Management - Commercial Management</v>
      </c>
      <c r="F49" s="106"/>
      <c r="H49" s="81"/>
      <c r="I49" s="81"/>
    </row>
    <row r="50" spans="1:32" x14ac:dyDescent="0.2">
      <c r="B50" s="256" t="str">
        <v>Project Delivery Management - Commissioning</v>
      </c>
      <c r="F50" s="106"/>
      <c r="H50" s="81"/>
      <c r="I50" s="81"/>
    </row>
    <row r="51" spans="1:32" x14ac:dyDescent="0.2">
      <c r="B51" s="256" t="str">
        <v>Project Delivery Management - Construction Management</v>
      </c>
      <c r="F51" s="106"/>
      <c r="H51" s="81"/>
      <c r="I51" s="81"/>
    </row>
    <row r="52" spans="1:32" x14ac:dyDescent="0.2">
      <c r="B52" s="256" t="str">
        <v>Project Delivery Management - Project Controls</v>
      </c>
      <c r="F52" s="106"/>
      <c r="H52" s="81"/>
      <c r="I52" s="81"/>
    </row>
    <row r="53" spans="1:32" x14ac:dyDescent="0.2">
      <c r="B53" s="256" t="str">
        <v>Project Delivery Management - Project Engineering</v>
      </c>
      <c r="F53" s="106"/>
      <c r="H53" s="81"/>
      <c r="I53" s="81"/>
    </row>
    <row r="54" spans="1:32" x14ac:dyDescent="0.2">
      <c r="B54" s="256" t="str">
        <v>Project Delivery Management - Project Management</v>
      </c>
      <c r="F54" s="106"/>
      <c r="H54" s="81"/>
      <c r="I54" s="81"/>
    </row>
    <row r="55" spans="1:32" x14ac:dyDescent="0.2">
      <c r="B55" s="256" t="str">
        <v>Project Development</v>
      </c>
      <c r="F55" s="106"/>
      <c r="H55" s="81"/>
      <c r="I55" s="81"/>
    </row>
    <row r="56" spans="1:32" x14ac:dyDescent="0.2">
      <c r="B56" s="256" t="str">
        <v>Regulatory Approvals</v>
      </c>
      <c r="F56" s="106"/>
      <c r="H56" s="81"/>
      <c r="I56" s="81"/>
    </row>
    <row r="57" spans="1:32" x14ac:dyDescent="0.2">
      <c r="B57" s="256" t="str">
        <v>Transaction Procurement Support</v>
      </c>
      <c r="F57" s="106"/>
      <c r="H57" s="81"/>
      <c r="I57" s="81"/>
    </row>
    <row r="58" spans="1:32" x14ac:dyDescent="0.2">
      <c r="B58" s="105"/>
      <c r="F58" s="106"/>
      <c r="H58" s="81"/>
      <c r="I58" s="81"/>
    </row>
    <row r="59" spans="1:32" s="220" customFormat="1" ht="17.25" customHeight="1" x14ac:dyDescent="0.2">
      <c r="A59" s="120"/>
      <c r="B59" s="120" t="s">
        <v>88</v>
      </c>
      <c r="C59" s="120"/>
      <c r="D59" s="120"/>
      <c r="E59" s="120"/>
      <c r="F59" s="120"/>
      <c r="G59" s="65"/>
      <c r="H59" s="65"/>
      <c r="I59" s="65"/>
      <c r="J59" s="65"/>
      <c r="K59" s="65"/>
      <c r="L59" s="65"/>
      <c r="M59" s="65"/>
      <c r="N59" s="65"/>
      <c r="O59" s="65"/>
      <c r="P59" s="65"/>
      <c r="Q59" s="65"/>
      <c r="R59" s="65"/>
      <c r="S59" s="219"/>
      <c r="T59" s="219"/>
      <c r="U59" s="219"/>
      <c r="V59" s="219"/>
      <c r="W59" s="219"/>
      <c r="X59" s="219"/>
      <c r="Y59" s="219"/>
      <c r="Z59" s="219"/>
      <c r="AA59" s="219"/>
    </row>
    <row r="60" spans="1:32" x14ac:dyDescent="0.2">
      <c r="B60" s="76"/>
      <c r="I60" s="65"/>
      <c r="J60" s="65"/>
      <c r="K60" s="65"/>
      <c r="L60" s="79"/>
      <c r="M60" s="79"/>
      <c r="S60" s="60"/>
      <c r="T60" s="60"/>
      <c r="U60" s="79"/>
      <c r="V60" s="79"/>
      <c r="W60" s="79"/>
      <c r="X60" s="79"/>
      <c r="Y60" s="79"/>
      <c r="Z60" s="79"/>
      <c r="AA60" s="79"/>
      <c r="AB60" s="79"/>
      <c r="AC60" s="79"/>
      <c r="AD60" s="79"/>
      <c r="AE60" s="79"/>
      <c r="AF60" s="79"/>
    </row>
    <row r="61" spans="1:32" ht="25.5" x14ac:dyDescent="0.2">
      <c r="B61" s="124" t="s">
        <v>89</v>
      </c>
      <c r="C61" s="124" t="s">
        <v>52</v>
      </c>
      <c r="D61" s="151" t="s">
        <v>90</v>
      </c>
      <c r="E61" s="151" t="s">
        <v>91</v>
      </c>
      <c r="F61" s="151" t="s">
        <v>92</v>
      </c>
      <c r="I61" s="65"/>
      <c r="J61" s="65"/>
      <c r="K61" s="65"/>
      <c r="L61" s="79"/>
      <c r="M61" s="79"/>
      <c r="S61" s="79"/>
      <c r="T61" s="79"/>
      <c r="U61" s="79"/>
      <c r="V61" s="79"/>
      <c r="W61" s="79"/>
      <c r="X61" s="79"/>
      <c r="Y61" s="79"/>
      <c r="Z61" s="79"/>
      <c r="AA61" s="79"/>
      <c r="AB61" s="79"/>
      <c r="AC61" s="79"/>
      <c r="AD61" s="79"/>
      <c r="AE61" s="79"/>
      <c r="AF61" s="79"/>
    </row>
    <row r="62" spans="1:32" x14ac:dyDescent="0.2">
      <c r="B62" s="257" t="str" cm="1">
        <f t="array" ref="B62:B74">CostCategories</f>
        <v>Community and Stakeholder Engagement</v>
      </c>
      <c r="C62" s="112" t="s">
        <v>93</v>
      </c>
      <c r="D62" s="186">
        <v>1</v>
      </c>
      <c r="E62" s="186">
        <v>1</v>
      </c>
      <c r="F62" s="217">
        <v>1</v>
      </c>
      <c r="I62" s="65"/>
      <c r="J62" s="65"/>
      <c r="K62" s="65"/>
      <c r="L62" s="79"/>
      <c r="M62" s="79"/>
      <c r="S62" s="79"/>
      <c r="T62" s="79"/>
      <c r="U62" s="79"/>
      <c r="V62" s="79"/>
      <c r="W62" s="79"/>
      <c r="X62" s="79"/>
      <c r="Y62" s="79"/>
      <c r="Z62" s="79"/>
      <c r="AA62" s="79"/>
      <c r="AB62" s="79"/>
      <c r="AC62" s="79"/>
      <c r="AD62" s="79"/>
      <c r="AE62" s="79"/>
      <c r="AF62" s="79"/>
    </row>
    <row r="63" spans="1:32" x14ac:dyDescent="0.2">
      <c r="B63" s="112" t="str">
        <v>Fleet</v>
      </c>
      <c r="C63" s="112" t="s">
        <v>93</v>
      </c>
      <c r="D63" s="186">
        <v>1</v>
      </c>
      <c r="E63" s="186">
        <v>1</v>
      </c>
      <c r="F63" s="217">
        <v>1</v>
      </c>
      <c r="I63" s="65"/>
      <c r="J63" s="65"/>
      <c r="K63" s="65"/>
      <c r="L63" s="79"/>
      <c r="M63" s="79"/>
      <c r="S63" s="79"/>
      <c r="T63" s="79"/>
      <c r="U63" s="79"/>
      <c r="V63" s="79"/>
      <c r="W63" s="79"/>
      <c r="X63" s="79"/>
      <c r="Y63" s="79"/>
      <c r="Z63" s="79"/>
      <c r="AA63" s="79"/>
      <c r="AB63" s="79"/>
      <c r="AC63" s="79"/>
      <c r="AD63" s="79"/>
      <c r="AE63" s="79"/>
      <c r="AF63" s="79"/>
    </row>
    <row r="64" spans="1:32" x14ac:dyDescent="0.2">
      <c r="B64" s="112" t="str">
        <v>Land and Environment</v>
      </c>
      <c r="C64" s="112" t="s">
        <v>93</v>
      </c>
      <c r="D64" s="186">
        <v>1</v>
      </c>
      <c r="E64" s="186">
        <v>1</v>
      </c>
      <c r="F64" s="217">
        <v>1</v>
      </c>
      <c r="I64" s="65"/>
      <c r="J64" s="65"/>
      <c r="K64" s="65"/>
      <c r="L64" s="79"/>
      <c r="M64" s="79"/>
      <c r="S64" s="79"/>
      <c r="T64" s="79"/>
      <c r="U64" s="79"/>
      <c r="V64" s="79"/>
      <c r="W64" s="79"/>
      <c r="X64" s="79"/>
      <c r="Y64" s="79"/>
      <c r="Z64" s="79"/>
      <c r="AA64" s="79"/>
      <c r="AB64" s="79"/>
      <c r="AC64" s="79"/>
      <c r="AD64" s="79"/>
      <c r="AE64" s="79"/>
      <c r="AF64" s="79"/>
    </row>
    <row r="65" spans="1:34" x14ac:dyDescent="0.2">
      <c r="B65" s="112" t="str">
        <v>Other Support &amp; Corporate Roles</v>
      </c>
      <c r="C65" s="112" t="s">
        <v>93</v>
      </c>
      <c r="D65" s="186">
        <v>1</v>
      </c>
      <c r="E65" s="186">
        <v>1</v>
      </c>
      <c r="F65" s="217">
        <v>1</v>
      </c>
      <c r="I65" s="65"/>
      <c r="J65" s="65"/>
      <c r="K65" s="65"/>
      <c r="L65" s="79"/>
      <c r="M65" s="79"/>
      <c r="S65" s="79"/>
      <c r="T65" s="79"/>
      <c r="U65" s="79"/>
      <c r="V65" s="79"/>
      <c r="W65" s="79"/>
      <c r="X65" s="79"/>
      <c r="Y65" s="79"/>
      <c r="Z65" s="79"/>
      <c r="AA65" s="79"/>
      <c r="AB65" s="79"/>
      <c r="AC65" s="79"/>
      <c r="AD65" s="79"/>
      <c r="AE65" s="79"/>
      <c r="AF65" s="79"/>
    </row>
    <row r="66" spans="1:34" x14ac:dyDescent="0.2">
      <c r="B66" s="112" t="str">
        <v>Project Delivery Management - Commercial Management</v>
      </c>
      <c r="C66" s="112" t="s">
        <v>93</v>
      </c>
      <c r="D66" s="186">
        <v>1</v>
      </c>
      <c r="E66" s="186">
        <v>1</v>
      </c>
      <c r="F66" s="217">
        <v>1</v>
      </c>
      <c r="I66" s="65"/>
      <c r="J66" s="65"/>
      <c r="K66" s="65"/>
      <c r="L66" s="79"/>
      <c r="M66" s="79"/>
      <c r="S66" s="79"/>
      <c r="T66" s="79"/>
      <c r="U66" s="79"/>
      <c r="V66" s="79"/>
      <c r="W66" s="79"/>
      <c r="X66" s="79"/>
      <c r="Y66" s="79"/>
      <c r="Z66" s="79"/>
      <c r="AA66" s="79"/>
      <c r="AB66" s="79"/>
      <c r="AC66" s="79"/>
      <c r="AD66" s="79"/>
      <c r="AE66" s="79"/>
      <c r="AF66" s="79"/>
    </row>
    <row r="67" spans="1:34" x14ac:dyDescent="0.2">
      <c r="B67" s="112" t="str">
        <v>Project Delivery Management - Commissioning</v>
      </c>
      <c r="C67" s="112" t="s">
        <v>93</v>
      </c>
      <c r="D67" s="186">
        <v>1</v>
      </c>
      <c r="E67" s="186">
        <v>1</v>
      </c>
      <c r="F67" s="217">
        <v>1</v>
      </c>
      <c r="I67" s="65"/>
      <c r="J67" s="65"/>
      <c r="K67" s="65"/>
      <c r="L67" s="79"/>
      <c r="M67" s="79"/>
      <c r="S67" s="79"/>
      <c r="T67" s="79"/>
      <c r="U67" s="79"/>
      <c r="V67" s="79"/>
      <c r="W67" s="79"/>
      <c r="X67" s="79"/>
      <c r="Y67" s="79"/>
      <c r="Z67" s="79"/>
      <c r="AA67" s="79"/>
      <c r="AB67" s="79"/>
      <c r="AC67" s="79"/>
      <c r="AD67" s="79"/>
      <c r="AE67" s="79"/>
      <c r="AF67" s="79"/>
    </row>
    <row r="68" spans="1:34" x14ac:dyDescent="0.2">
      <c r="B68" s="112" t="str">
        <v>Project Delivery Management - Construction Management</v>
      </c>
      <c r="C68" s="112" t="s">
        <v>93</v>
      </c>
      <c r="D68" s="186">
        <v>1</v>
      </c>
      <c r="E68" s="186">
        <v>1</v>
      </c>
      <c r="F68" s="217">
        <v>1</v>
      </c>
      <c r="I68" s="65"/>
      <c r="J68" s="65"/>
      <c r="K68" s="65"/>
      <c r="L68" s="79"/>
      <c r="M68" s="79"/>
      <c r="S68" s="79"/>
      <c r="T68" s="79"/>
      <c r="U68" s="79"/>
      <c r="V68" s="79"/>
      <c r="W68" s="79"/>
      <c r="X68" s="79"/>
      <c r="Y68" s="79"/>
      <c r="Z68" s="79"/>
      <c r="AA68" s="79"/>
      <c r="AB68" s="79"/>
      <c r="AC68" s="79"/>
      <c r="AD68" s="79"/>
      <c r="AE68" s="79"/>
      <c r="AF68" s="79"/>
    </row>
    <row r="69" spans="1:34" x14ac:dyDescent="0.2">
      <c r="B69" s="112" t="str">
        <v>Project Delivery Management - Project Controls</v>
      </c>
      <c r="C69" s="112" t="s">
        <v>93</v>
      </c>
      <c r="D69" s="186">
        <v>1</v>
      </c>
      <c r="E69" s="186">
        <v>1</v>
      </c>
      <c r="F69" s="217">
        <v>1</v>
      </c>
      <c r="I69" s="65"/>
      <c r="J69" s="65"/>
      <c r="K69" s="65"/>
      <c r="L69" s="79"/>
      <c r="M69" s="79"/>
      <c r="S69" s="79"/>
      <c r="T69" s="79"/>
      <c r="U69" s="79"/>
      <c r="V69" s="79"/>
      <c r="W69" s="79"/>
      <c r="X69" s="79"/>
      <c r="Y69" s="79"/>
      <c r="Z69" s="79"/>
      <c r="AA69" s="79"/>
      <c r="AB69" s="79"/>
      <c r="AC69" s="79"/>
      <c r="AD69" s="79"/>
      <c r="AE69" s="79"/>
      <c r="AF69" s="79"/>
    </row>
    <row r="70" spans="1:34" x14ac:dyDescent="0.2">
      <c r="B70" s="112" t="str">
        <v>Project Delivery Management - Project Engineering</v>
      </c>
      <c r="C70" s="112" t="s">
        <v>93</v>
      </c>
      <c r="D70" s="186">
        <v>1</v>
      </c>
      <c r="E70" s="186">
        <v>1</v>
      </c>
      <c r="F70" s="217">
        <v>1</v>
      </c>
      <c r="I70" s="65"/>
      <c r="J70" s="65"/>
      <c r="K70" s="65"/>
      <c r="L70" s="79"/>
      <c r="M70" s="79"/>
      <c r="S70" s="79"/>
      <c r="T70" s="79"/>
      <c r="U70" s="79"/>
      <c r="V70" s="79"/>
      <c r="W70" s="79"/>
      <c r="X70" s="79"/>
      <c r="Y70" s="79"/>
      <c r="Z70" s="79"/>
      <c r="AA70" s="79"/>
      <c r="AB70" s="79"/>
      <c r="AC70" s="79"/>
      <c r="AD70" s="79"/>
      <c r="AE70" s="79"/>
      <c r="AF70" s="79"/>
    </row>
    <row r="71" spans="1:34" x14ac:dyDescent="0.2">
      <c r="B71" s="112" t="str">
        <v>Project Delivery Management - Project Management</v>
      </c>
      <c r="C71" s="112" t="s">
        <v>93</v>
      </c>
      <c r="D71" s="186">
        <v>1</v>
      </c>
      <c r="E71" s="186">
        <v>1</v>
      </c>
      <c r="F71" s="217">
        <v>1</v>
      </c>
      <c r="I71" s="65"/>
      <c r="J71" s="65"/>
      <c r="K71" s="65"/>
      <c r="L71" s="79"/>
      <c r="M71" s="79"/>
      <c r="S71" s="79"/>
      <c r="T71" s="79"/>
      <c r="U71" s="79"/>
      <c r="V71" s="79"/>
      <c r="W71" s="79"/>
      <c r="X71" s="79"/>
      <c r="Y71" s="79"/>
      <c r="Z71" s="79"/>
      <c r="AA71" s="79"/>
      <c r="AB71" s="79"/>
      <c r="AC71" s="79"/>
      <c r="AD71" s="79"/>
      <c r="AE71" s="79"/>
      <c r="AF71" s="79"/>
    </row>
    <row r="72" spans="1:34" x14ac:dyDescent="0.2">
      <c r="B72" s="112" t="str">
        <v>Project Development</v>
      </c>
      <c r="C72" s="112" t="s">
        <v>93</v>
      </c>
      <c r="D72" s="186">
        <v>1</v>
      </c>
      <c r="E72" s="186">
        <v>1</v>
      </c>
      <c r="F72" s="217">
        <v>1</v>
      </c>
      <c r="I72" s="65"/>
      <c r="J72" s="65"/>
      <c r="K72" s="65"/>
      <c r="L72" s="79"/>
      <c r="M72" s="79"/>
      <c r="S72" s="79"/>
      <c r="T72" s="79"/>
      <c r="U72" s="79"/>
      <c r="V72" s="79"/>
      <c r="W72" s="79"/>
      <c r="X72" s="79"/>
      <c r="Y72" s="79"/>
      <c r="Z72" s="79"/>
      <c r="AA72" s="79"/>
      <c r="AB72" s="79"/>
      <c r="AC72" s="79"/>
      <c r="AD72" s="79"/>
      <c r="AE72" s="79"/>
      <c r="AF72" s="79"/>
    </row>
    <row r="73" spans="1:34" x14ac:dyDescent="0.2">
      <c r="B73" s="112" t="str">
        <v>Regulatory Approvals</v>
      </c>
      <c r="C73" s="112" t="s">
        <v>93</v>
      </c>
      <c r="D73" s="186">
        <v>1</v>
      </c>
      <c r="E73" s="186">
        <v>1</v>
      </c>
      <c r="F73" s="217">
        <v>1</v>
      </c>
      <c r="I73" s="65"/>
      <c r="J73" s="65"/>
      <c r="K73" s="65"/>
      <c r="L73" s="79"/>
      <c r="M73" s="79"/>
      <c r="S73" s="79"/>
      <c r="T73" s="79"/>
      <c r="U73" s="79"/>
      <c r="V73" s="79"/>
      <c r="W73" s="79"/>
      <c r="X73" s="79"/>
      <c r="Y73" s="79"/>
      <c r="Z73" s="79"/>
      <c r="AA73" s="79"/>
      <c r="AB73" s="79"/>
      <c r="AC73" s="79"/>
      <c r="AD73" s="79"/>
      <c r="AE73" s="79"/>
      <c r="AF73" s="79"/>
    </row>
    <row r="74" spans="1:34" x14ac:dyDescent="0.2">
      <c r="B74" s="112" t="str">
        <v>Transaction Procurement Support</v>
      </c>
      <c r="C74" s="112" t="s">
        <v>93</v>
      </c>
      <c r="D74" s="186">
        <v>0</v>
      </c>
      <c r="E74" s="186">
        <v>0</v>
      </c>
      <c r="F74" s="217">
        <v>0</v>
      </c>
      <c r="I74" s="65"/>
      <c r="J74" s="65"/>
      <c r="K74" s="65"/>
      <c r="L74" s="79"/>
      <c r="M74" s="79"/>
      <c r="S74" s="79"/>
      <c r="T74" s="79"/>
      <c r="U74" s="79"/>
      <c r="V74" s="79"/>
      <c r="W74" s="79"/>
      <c r="X74" s="79"/>
      <c r="Y74" s="79"/>
      <c r="Z74" s="79"/>
      <c r="AA74" s="79"/>
      <c r="AB74" s="79"/>
      <c r="AC74" s="79"/>
      <c r="AD74" s="79"/>
      <c r="AE74" s="79"/>
      <c r="AF74" s="79"/>
    </row>
    <row r="75" spans="1:34" x14ac:dyDescent="0.2">
      <c r="B75" s="76"/>
      <c r="C75" s="79"/>
      <c r="D75" s="79"/>
      <c r="E75" s="79"/>
      <c r="F75" s="79"/>
      <c r="G75" s="79"/>
      <c r="H75" s="81"/>
      <c r="I75" s="81"/>
      <c r="J75" s="81"/>
      <c r="K75" s="81"/>
      <c r="L75" s="81"/>
      <c r="M75" s="81"/>
      <c r="S75" s="79"/>
      <c r="T75" s="79"/>
      <c r="U75" s="79"/>
      <c r="V75" s="79"/>
      <c r="W75" s="79"/>
      <c r="X75" s="79"/>
      <c r="Y75" s="79"/>
      <c r="Z75" s="79"/>
      <c r="AA75" s="79"/>
      <c r="AB75" s="79"/>
      <c r="AC75" s="79"/>
      <c r="AD75" s="79"/>
      <c r="AE75" s="79"/>
      <c r="AF75" s="79"/>
      <c r="AG75" s="79"/>
      <c r="AH75" s="79"/>
    </row>
    <row r="76" spans="1:34" s="220" customFormat="1" ht="17.25" customHeight="1" x14ac:dyDescent="0.2">
      <c r="A76" s="120"/>
      <c r="B76" s="120" t="s">
        <v>94</v>
      </c>
      <c r="C76" s="120"/>
      <c r="D76" s="120"/>
      <c r="E76" s="65"/>
      <c r="F76" s="65"/>
      <c r="G76" s="65"/>
      <c r="H76" s="65"/>
      <c r="I76" s="65"/>
      <c r="J76" s="65"/>
      <c r="K76" s="65"/>
      <c r="L76" s="65"/>
      <c r="M76" s="65"/>
      <c r="N76" s="65"/>
      <c r="O76" s="65"/>
      <c r="P76" s="65"/>
      <c r="Q76" s="65"/>
      <c r="R76" s="65"/>
      <c r="S76" s="219"/>
      <c r="T76" s="219"/>
      <c r="U76" s="219"/>
      <c r="V76" s="219"/>
      <c r="W76" s="219"/>
      <c r="X76" s="219"/>
      <c r="Y76" s="219"/>
      <c r="Z76" s="219"/>
      <c r="AA76" s="219"/>
    </row>
    <row r="77" spans="1:34" x14ac:dyDescent="0.2">
      <c r="G77" s="82"/>
      <c r="H77" s="83"/>
    </row>
    <row r="78" spans="1:34" x14ac:dyDescent="0.2">
      <c r="B78" s="124" t="s">
        <v>51</v>
      </c>
      <c r="C78" s="124" t="s">
        <v>52</v>
      </c>
      <c r="D78" s="151" t="s">
        <v>95</v>
      </c>
      <c r="G78" s="82"/>
      <c r="H78" s="83"/>
    </row>
    <row r="79" spans="1:34" x14ac:dyDescent="0.2">
      <c r="B79" s="112" t="s">
        <v>96</v>
      </c>
      <c r="C79" s="181" t="s">
        <v>97</v>
      </c>
      <c r="D79" s="265">
        <v>150</v>
      </c>
    </row>
    <row r="80" spans="1:34" x14ac:dyDescent="0.2">
      <c r="G80" s="82"/>
      <c r="H80" s="83"/>
    </row>
    <row r="81" spans="1:34" s="220" customFormat="1" ht="17.25" customHeight="1" x14ac:dyDescent="0.2">
      <c r="A81" s="120"/>
      <c r="B81" s="120" t="s">
        <v>98</v>
      </c>
      <c r="C81" s="120"/>
      <c r="D81" s="120"/>
      <c r="E81" s="65"/>
      <c r="F81" s="65"/>
      <c r="G81" s="65"/>
      <c r="H81" s="65"/>
      <c r="I81" s="65"/>
      <c r="J81" s="65"/>
      <c r="K81" s="65"/>
      <c r="L81" s="65"/>
      <c r="M81" s="65"/>
      <c r="N81" s="65"/>
      <c r="O81" s="65"/>
      <c r="P81" s="65"/>
      <c r="Q81" s="65"/>
      <c r="R81" s="65"/>
      <c r="S81" s="219"/>
      <c r="T81" s="219"/>
      <c r="U81" s="219"/>
      <c r="V81" s="219"/>
      <c r="W81" s="219"/>
      <c r="X81" s="219"/>
      <c r="Y81" s="219"/>
      <c r="Z81" s="219"/>
      <c r="AA81" s="219"/>
    </row>
    <row r="82" spans="1:34" x14ac:dyDescent="0.2">
      <c r="G82" s="82"/>
      <c r="H82" s="83"/>
    </row>
    <row r="83" spans="1:34" x14ac:dyDescent="0.2">
      <c r="B83" s="124" t="s">
        <v>51</v>
      </c>
      <c r="C83" s="124" t="s">
        <v>52</v>
      </c>
      <c r="D83" s="151" t="s">
        <v>95</v>
      </c>
      <c r="G83" s="82"/>
      <c r="H83" s="83"/>
    </row>
    <row r="84" spans="1:34" x14ac:dyDescent="0.2">
      <c r="B84" s="112" t="s">
        <v>99</v>
      </c>
      <c r="C84" s="181" t="s">
        <v>63</v>
      </c>
      <c r="D84" s="213">
        <v>0.15</v>
      </c>
      <c r="E84" s="84"/>
      <c r="F84" s="81"/>
      <c r="G84" s="81"/>
      <c r="H84" s="81"/>
      <c r="I84" s="81"/>
      <c r="J84" s="81"/>
      <c r="S84" s="79"/>
      <c r="T84" s="79"/>
      <c r="U84" s="79"/>
      <c r="V84" s="79"/>
      <c r="W84" s="79"/>
      <c r="X84" s="79"/>
      <c r="Y84" s="79"/>
      <c r="Z84" s="79"/>
      <c r="AA84" s="79"/>
      <c r="AB84" s="79"/>
      <c r="AC84" s="79"/>
      <c r="AD84" s="79"/>
      <c r="AE84" s="79"/>
      <c r="AF84" s="79"/>
      <c r="AG84" s="79"/>
      <c r="AH84" s="79"/>
    </row>
    <row r="85" spans="1:34" x14ac:dyDescent="0.2">
      <c r="B85" s="112" t="s">
        <v>100</v>
      </c>
      <c r="C85" s="181" t="s">
        <v>63</v>
      </c>
      <c r="D85" s="213">
        <v>0.5</v>
      </c>
      <c r="E85" s="84"/>
      <c r="F85" s="81"/>
      <c r="G85" s="81"/>
      <c r="H85" s="81"/>
      <c r="I85" s="81"/>
      <c r="J85" s="81"/>
      <c r="S85" s="79"/>
      <c r="T85" s="79"/>
      <c r="U85" s="79"/>
      <c r="V85" s="79"/>
      <c r="W85" s="79"/>
      <c r="X85" s="79"/>
      <c r="Y85" s="79"/>
      <c r="Z85" s="79"/>
      <c r="AA85" s="79"/>
      <c r="AB85" s="79"/>
      <c r="AC85" s="79"/>
      <c r="AD85" s="79"/>
      <c r="AE85" s="79"/>
      <c r="AF85" s="79"/>
      <c r="AG85" s="79"/>
      <c r="AH85" s="79"/>
    </row>
    <row r="86" spans="1:34" ht="25.5" x14ac:dyDescent="0.2">
      <c r="B86" s="181" t="s">
        <v>101</v>
      </c>
      <c r="C86" s="65" t="s">
        <v>102</v>
      </c>
      <c r="D86" s="269" t="s">
        <v>103</v>
      </c>
      <c r="G86" s="82"/>
      <c r="H86" s="83"/>
    </row>
    <row r="87" spans="1:34" x14ac:dyDescent="0.2">
      <c r="B87" s="181" t="s">
        <v>104</v>
      </c>
      <c r="C87" s="181" t="s">
        <v>78</v>
      </c>
      <c r="D87" s="263">
        <f>1/(1+H30)^0.25</f>
        <v>0.99348278305657833</v>
      </c>
      <c r="G87" s="82"/>
      <c r="H87" s="83"/>
    </row>
    <row r="88" spans="1:34" x14ac:dyDescent="0.2">
      <c r="B88" s="76"/>
      <c r="C88" s="79"/>
      <c r="D88" s="79"/>
      <c r="E88" s="79"/>
      <c r="F88" s="79"/>
      <c r="G88" s="79"/>
      <c r="H88" s="79"/>
      <c r="I88" s="81"/>
      <c r="J88" s="81"/>
      <c r="K88" s="81"/>
      <c r="L88" s="81"/>
      <c r="M88" s="81"/>
      <c r="S88" s="79"/>
      <c r="T88" s="79"/>
      <c r="U88" s="79"/>
      <c r="V88" s="79"/>
      <c r="W88" s="79"/>
      <c r="X88" s="79"/>
      <c r="Y88" s="79"/>
      <c r="Z88" s="79"/>
      <c r="AA88" s="79"/>
      <c r="AB88" s="79"/>
      <c r="AC88" s="79"/>
      <c r="AD88" s="79"/>
      <c r="AE88" s="79"/>
      <c r="AF88" s="79"/>
      <c r="AG88" s="79"/>
      <c r="AH88" s="79"/>
    </row>
    <row r="89" spans="1:34" s="220" customFormat="1" ht="17.25" customHeight="1" x14ac:dyDescent="0.2">
      <c r="A89" s="120"/>
      <c r="B89" s="120" t="s">
        <v>105</v>
      </c>
      <c r="C89" s="120"/>
      <c r="D89" s="120"/>
      <c r="E89" s="65"/>
      <c r="F89" s="65"/>
      <c r="G89" s="65"/>
      <c r="H89" s="65"/>
      <c r="I89" s="65"/>
      <c r="J89" s="65"/>
      <c r="K89" s="65"/>
      <c r="L89" s="65"/>
      <c r="M89" s="65"/>
      <c r="N89" s="65"/>
      <c r="O89" s="65"/>
      <c r="P89" s="65"/>
      <c r="Q89" s="65"/>
      <c r="R89" s="65"/>
      <c r="S89" s="219"/>
      <c r="T89" s="219"/>
      <c r="U89" s="219"/>
      <c r="V89" s="219"/>
      <c r="W89" s="219"/>
      <c r="X89" s="219"/>
      <c r="Y89" s="219"/>
      <c r="Z89" s="219"/>
      <c r="AA89" s="219"/>
    </row>
    <row r="90" spans="1:34" x14ac:dyDescent="0.2">
      <c r="B90" s="76"/>
      <c r="C90" s="79"/>
      <c r="D90" s="79"/>
      <c r="E90" s="79"/>
      <c r="F90" s="79"/>
      <c r="G90" s="79"/>
      <c r="H90" s="79"/>
      <c r="I90" s="81"/>
      <c r="J90" s="81"/>
      <c r="K90" s="81"/>
      <c r="L90" s="81"/>
      <c r="M90" s="81"/>
      <c r="S90" s="79"/>
      <c r="T90" s="79"/>
      <c r="U90" s="79"/>
      <c r="V90" s="79"/>
      <c r="W90" s="79"/>
      <c r="X90" s="79"/>
      <c r="Y90" s="79"/>
      <c r="Z90" s="79"/>
      <c r="AA90" s="79"/>
      <c r="AB90" s="79"/>
      <c r="AC90" s="79"/>
      <c r="AD90" s="79"/>
      <c r="AE90" s="79"/>
      <c r="AF90" s="79"/>
      <c r="AG90" s="79"/>
      <c r="AH90" s="79"/>
    </row>
    <row r="91" spans="1:34" x14ac:dyDescent="0.2">
      <c r="B91" s="124" t="s">
        <v>51</v>
      </c>
      <c r="C91" s="124" t="s">
        <v>52</v>
      </c>
      <c r="D91" s="151" t="s">
        <v>95</v>
      </c>
      <c r="G91" s="82"/>
      <c r="H91" s="83"/>
    </row>
    <row r="92" spans="1:34" ht="25.5" x14ac:dyDescent="0.2">
      <c r="B92" s="181" t="s">
        <v>106</v>
      </c>
      <c r="C92" s="270" t="s">
        <v>107</v>
      </c>
      <c r="D92" s="179">
        <v>1919.8874136125662</v>
      </c>
      <c r="G92" s="82"/>
      <c r="H92" s="83"/>
    </row>
    <row r="93" spans="1:34" x14ac:dyDescent="0.2">
      <c r="B93" s="181" t="s">
        <v>108</v>
      </c>
      <c r="C93" s="181" t="s">
        <v>78</v>
      </c>
      <c r="D93" s="239">
        <f>(1+$G$30)^0.25</f>
        <v>1.0098057175002622</v>
      </c>
      <c r="G93" s="82"/>
      <c r="H93" s="83"/>
    </row>
    <row r="94" spans="1:34" x14ac:dyDescent="0.2">
      <c r="B94" s="181" t="s">
        <v>106</v>
      </c>
      <c r="C94" s="258" t="str">
        <f>$D$11</f>
        <v>$RY2026</v>
      </c>
      <c r="D94" s="238">
        <f>D92*D93</f>
        <v>1938.7132872227601</v>
      </c>
      <c r="E94" s="115"/>
      <c r="I94" s="81"/>
      <c r="J94" s="81"/>
      <c r="K94" s="81"/>
      <c r="L94" s="81"/>
      <c r="M94" s="81"/>
      <c r="S94" s="79"/>
      <c r="T94" s="79"/>
      <c r="U94" s="79"/>
      <c r="V94" s="79"/>
      <c r="W94" s="79"/>
      <c r="X94" s="79"/>
      <c r="Y94" s="79"/>
      <c r="Z94" s="79"/>
      <c r="AA94" s="79"/>
      <c r="AB94" s="79"/>
      <c r="AC94" s="79"/>
      <c r="AD94" s="79"/>
      <c r="AE94" s="79"/>
      <c r="AF94" s="79"/>
      <c r="AG94" s="79"/>
      <c r="AH94" s="79"/>
    </row>
    <row r="95" spans="1:34" x14ac:dyDescent="0.2">
      <c r="B95" s="76"/>
      <c r="C95" s="79"/>
      <c r="D95" s="79"/>
      <c r="E95" s="79"/>
      <c r="F95" s="85"/>
      <c r="G95" s="82"/>
      <c r="H95" s="86"/>
      <c r="I95" s="81"/>
      <c r="J95" s="81"/>
      <c r="K95" s="81"/>
      <c r="L95" s="81"/>
      <c r="M95" s="81"/>
      <c r="S95" s="79"/>
      <c r="T95" s="79"/>
      <c r="U95" s="79"/>
      <c r="V95" s="79"/>
      <c r="W95" s="79"/>
      <c r="X95" s="79"/>
      <c r="Y95" s="79"/>
      <c r="Z95" s="79"/>
      <c r="AA95" s="79"/>
      <c r="AB95" s="79"/>
      <c r="AC95" s="79"/>
      <c r="AD95" s="79"/>
      <c r="AE95" s="79"/>
      <c r="AF95" s="79"/>
      <c r="AG95" s="79"/>
      <c r="AH95" s="79"/>
    </row>
    <row r="96" spans="1:34" s="220" customFormat="1" ht="17.25" customHeight="1" x14ac:dyDescent="0.2">
      <c r="A96" s="120"/>
      <c r="B96" s="120" t="s">
        <v>109</v>
      </c>
      <c r="C96" s="120"/>
      <c r="D96" s="120"/>
      <c r="E96" s="65"/>
      <c r="F96" s="65"/>
      <c r="G96" s="65"/>
      <c r="H96" s="65"/>
      <c r="I96" s="65"/>
      <c r="J96" s="65"/>
      <c r="K96" s="65"/>
      <c r="L96" s="65"/>
      <c r="M96" s="65"/>
      <c r="N96" s="65"/>
      <c r="O96" s="65"/>
      <c r="P96" s="65"/>
      <c r="Q96" s="65"/>
      <c r="R96" s="65"/>
      <c r="S96" s="219"/>
      <c r="T96" s="219"/>
      <c r="U96" s="219"/>
      <c r="V96" s="219"/>
      <c r="W96" s="219"/>
      <c r="X96" s="219"/>
      <c r="Y96" s="219"/>
      <c r="Z96" s="219"/>
      <c r="AA96" s="219"/>
    </row>
    <row r="97" spans="1:34" ht="10.5" customHeight="1" x14ac:dyDescent="0.2">
      <c r="B97" s="76"/>
      <c r="J97" s="81"/>
      <c r="K97" s="81"/>
      <c r="L97" s="81"/>
      <c r="M97" s="81"/>
      <c r="S97" s="79"/>
      <c r="T97" s="79"/>
      <c r="U97" s="79"/>
      <c r="V97" s="79"/>
      <c r="W97" s="79"/>
      <c r="X97" s="79"/>
      <c r="Y97" s="79"/>
      <c r="Z97" s="79"/>
      <c r="AA97" s="79"/>
      <c r="AB97" s="79"/>
      <c r="AC97" s="79"/>
      <c r="AD97" s="79"/>
      <c r="AE97" s="79"/>
      <c r="AF97" s="79"/>
      <c r="AG97" s="79"/>
      <c r="AH97" s="79"/>
    </row>
    <row r="98" spans="1:34" x14ac:dyDescent="0.2">
      <c r="B98" s="124" t="s">
        <v>51</v>
      </c>
      <c r="C98" s="124" t="s">
        <v>52</v>
      </c>
      <c r="D98" s="151" t="s">
        <v>95</v>
      </c>
      <c r="G98" s="82"/>
      <c r="H98" s="83"/>
    </row>
    <row r="99" spans="1:34" ht="25.5" x14ac:dyDescent="0.2">
      <c r="B99" s="181" t="s">
        <v>110</v>
      </c>
      <c r="C99" s="270" t="s">
        <v>107</v>
      </c>
      <c r="D99" s="179">
        <v>3660.9510281286475</v>
      </c>
      <c r="G99" s="82"/>
      <c r="H99" s="83"/>
    </row>
    <row r="100" spans="1:34" x14ac:dyDescent="0.2">
      <c r="B100" s="181" t="s">
        <v>111</v>
      </c>
      <c r="C100" s="181" t="s">
        <v>78</v>
      </c>
      <c r="D100" s="239">
        <f>(1+$G$30)^0.25</f>
        <v>1.0098057175002622</v>
      </c>
      <c r="G100" s="82"/>
      <c r="H100" s="83"/>
    </row>
    <row r="101" spans="1:34" x14ac:dyDescent="0.2">
      <c r="B101" s="181" t="s">
        <v>110</v>
      </c>
      <c r="C101" s="258" t="str">
        <f>$D$11</f>
        <v>$RY2026</v>
      </c>
      <c r="D101" s="241">
        <f>D99*D100</f>
        <v>3696.8492796927712</v>
      </c>
      <c r="E101" s="119"/>
      <c r="F101" s="84"/>
      <c r="G101" s="79"/>
      <c r="H101" s="79"/>
      <c r="I101" s="65"/>
      <c r="J101" s="65"/>
      <c r="K101" s="65"/>
      <c r="L101" s="65"/>
      <c r="M101" s="65"/>
      <c r="S101" s="79"/>
      <c r="T101" s="79"/>
      <c r="U101" s="79"/>
      <c r="V101" s="79"/>
      <c r="W101" s="79"/>
      <c r="X101" s="79"/>
      <c r="Y101" s="79"/>
      <c r="Z101" s="79"/>
      <c r="AA101" s="79"/>
      <c r="AB101" s="79"/>
      <c r="AC101" s="79"/>
      <c r="AD101" s="79"/>
      <c r="AE101" s="79"/>
      <c r="AF101" s="79"/>
    </row>
    <row r="102" spans="1:34" x14ac:dyDescent="0.2">
      <c r="B102" s="76"/>
      <c r="C102" s="79"/>
      <c r="D102" s="79"/>
      <c r="E102" s="79"/>
      <c r="F102" s="85"/>
      <c r="G102" s="82"/>
      <c r="H102" s="86"/>
      <c r="I102" s="81"/>
      <c r="J102" s="81"/>
      <c r="K102" s="81"/>
      <c r="L102" s="81"/>
      <c r="M102" s="65"/>
      <c r="S102" s="79"/>
      <c r="T102" s="79"/>
      <c r="U102" s="79"/>
      <c r="V102" s="79"/>
      <c r="W102" s="79"/>
      <c r="X102" s="79"/>
      <c r="Y102" s="79"/>
      <c r="Z102" s="79"/>
      <c r="AA102" s="79"/>
      <c r="AB102" s="79"/>
      <c r="AC102" s="79"/>
      <c r="AD102" s="79"/>
      <c r="AE102" s="79"/>
      <c r="AF102" s="79"/>
      <c r="AG102" s="79"/>
      <c r="AH102" s="79"/>
    </row>
    <row r="103" spans="1:34" s="220" customFormat="1" ht="17.25" customHeight="1" x14ac:dyDescent="0.2">
      <c r="A103" s="120"/>
      <c r="B103" s="120" t="s">
        <v>112</v>
      </c>
      <c r="C103" s="120"/>
      <c r="D103" s="120"/>
      <c r="E103" s="105"/>
      <c r="F103" s="105"/>
      <c r="G103" s="105"/>
      <c r="H103" s="105"/>
      <c r="I103" s="105"/>
      <c r="J103" s="105"/>
      <c r="K103" s="105"/>
      <c r="L103" s="105"/>
      <c r="M103" s="65"/>
      <c r="N103" s="65"/>
      <c r="O103" s="65"/>
      <c r="P103" s="65"/>
      <c r="Q103" s="65"/>
      <c r="R103" s="65"/>
      <c r="S103" s="219"/>
      <c r="T103" s="219"/>
      <c r="U103" s="219"/>
      <c r="V103" s="219"/>
      <c r="W103" s="219"/>
      <c r="X103" s="219"/>
      <c r="Y103" s="219"/>
      <c r="Z103" s="219"/>
      <c r="AA103" s="219"/>
    </row>
    <row r="104" spans="1:34" s="105" customFormat="1" x14ac:dyDescent="0.2">
      <c r="M104" s="65"/>
      <c r="N104" s="65"/>
      <c r="O104" s="65"/>
      <c r="P104" s="65"/>
      <c r="Q104" s="65"/>
      <c r="R104" s="65"/>
    </row>
    <row r="105" spans="1:34" x14ac:dyDescent="0.2">
      <c r="B105" s="181" t="s">
        <v>113</v>
      </c>
      <c r="C105" s="258" t="s">
        <v>102</v>
      </c>
      <c r="D105" s="259" t="s">
        <v>55</v>
      </c>
      <c r="G105" s="82"/>
      <c r="H105" s="83"/>
    </row>
    <row r="106" spans="1:34" x14ac:dyDescent="0.2">
      <c r="B106" s="181" t="s">
        <v>114</v>
      </c>
      <c r="C106" s="181" t="s">
        <v>78</v>
      </c>
      <c r="D106" s="263">
        <v>1</v>
      </c>
      <c r="G106" s="82"/>
      <c r="H106" s="83"/>
    </row>
    <row r="107" spans="1:34" s="105" customFormat="1" ht="16.5" x14ac:dyDescent="0.2">
      <c r="B107" s="233" t="s">
        <v>115</v>
      </c>
      <c r="M107" s="65"/>
      <c r="N107" s="65"/>
      <c r="O107" s="65"/>
      <c r="P107" s="65"/>
      <c r="Q107" s="65"/>
      <c r="R107" s="65"/>
    </row>
    <row r="108" spans="1:34" s="105" customFormat="1" x14ac:dyDescent="0.2">
      <c r="M108" s="65"/>
      <c r="N108" s="65"/>
      <c r="O108" s="65"/>
      <c r="P108" s="65"/>
      <c r="Q108" s="65"/>
      <c r="R108" s="65"/>
    </row>
    <row r="109" spans="1:34" s="220" customFormat="1" ht="17.25" customHeight="1" x14ac:dyDescent="0.2">
      <c r="A109" s="120"/>
      <c r="B109" s="120" t="s">
        <v>116</v>
      </c>
      <c r="C109" s="120"/>
      <c r="D109" s="65"/>
      <c r="E109" s="65"/>
      <c r="F109" s="65"/>
      <c r="G109" s="65"/>
      <c r="H109" s="65"/>
      <c r="I109" s="65"/>
      <c r="J109" s="65"/>
      <c r="K109" s="65"/>
      <c r="L109" s="65"/>
      <c r="M109" s="65"/>
      <c r="N109" s="65"/>
      <c r="O109" s="65"/>
      <c r="P109" s="65"/>
      <c r="Q109" s="65"/>
      <c r="R109" s="65"/>
      <c r="S109" s="219"/>
      <c r="T109" s="219"/>
      <c r="U109" s="219"/>
      <c r="V109" s="219"/>
      <c r="W109" s="219"/>
      <c r="X109" s="219"/>
      <c r="Y109" s="219"/>
      <c r="Z109" s="219"/>
      <c r="AA109" s="219"/>
    </row>
    <row r="110" spans="1:34" x14ac:dyDescent="0.2">
      <c r="H110" s="81"/>
      <c r="I110" s="81"/>
    </row>
    <row r="111" spans="1:34" x14ac:dyDescent="0.2">
      <c r="B111" s="124" t="s">
        <v>117</v>
      </c>
      <c r="C111" s="124" t="s">
        <v>118</v>
      </c>
      <c r="H111" s="81"/>
      <c r="I111" s="81"/>
    </row>
    <row r="112" spans="1:34" x14ac:dyDescent="0.2">
      <c r="B112" s="187" t="s">
        <v>119</v>
      </c>
      <c r="C112" s="187">
        <v>2024</v>
      </c>
      <c r="H112" s="81"/>
      <c r="I112" s="81"/>
    </row>
    <row r="113" spans="1:201" x14ac:dyDescent="0.2">
      <c r="B113" s="187" t="s">
        <v>120</v>
      </c>
      <c r="C113" s="187">
        <v>2025</v>
      </c>
      <c r="H113" s="81"/>
      <c r="I113" s="81"/>
    </row>
    <row r="114" spans="1:201" x14ac:dyDescent="0.2">
      <c r="B114" s="187" t="s">
        <v>121</v>
      </c>
      <c r="C114" s="187">
        <v>2026</v>
      </c>
      <c r="H114" s="81"/>
      <c r="I114" s="81"/>
    </row>
    <row r="115" spans="1:201" x14ac:dyDescent="0.2">
      <c r="B115" s="187" t="s">
        <v>122</v>
      </c>
      <c r="C115" s="187">
        <v>2027</v>
      </c>
      <c r="H115" s="81"/>
      <c r="I115" s="81"/>
    </row>
    <row r="116" spans="1:201" x14ac:dyDescent="0.2">
      <c r="B116" s="187" t="s">
        <v>123</v>
      </c>
      <c r="C116" s="187">
        <v>2028</v>
      </c>
      <c r="H116" s="81"/>
      <c r="I116" s="81"/>
    </row>
    <row r="117" spans="1:201" x14ac:dyDescent="0.2">
      <c r="B117" s="187" t="s">
        <v>124</v>
      </c>
      <c r="C117" s="187">
        <v>2029</v>
      </c>
      <c r="H117" s="81"/>
      <c r="I117" s="81"/>
    </row>
    <row r="118" spans="1:201" x14ac:dyDescent="0.2">
      <c r="B118" s="187" t="s">
        <v>125</v>
      </c>
      <c r="C118" s="187">
        <v>2030</v>
      </c>
      <c r="H118" s="81"/>
      <c r="I118" s="81"/>
    </row>
    <row r="119" spans="1:201" x14ac:dyDescent="0.2">
      <c r="B119" s="187" t="s">
        <v>126</v>
      </c>
      <c r="C119" s="187">
        <v>2031</v>
      </c>
      <c r="H119" s="81"/>
      <c r="I119" s="81"/>
    </row>
    <row r="120" spans="1:201" x14ac:dyDescent="0.2">
      <c r="B120" s="187" t="s">
        <v>127</v>
      </c>
      <c r="C120" s="251" t="s">
        <v>128</v>
      </c>
      <c r="H120" s="81"/>
      <c r="I120" s="81"/>
    </row>
    <row r="121" spans="1:201" x14ac:dyDescent="0.2">
      <c r="H121" s="81"/>
      <c r="I121" s="81"/>
    </row>
    <row r="122" spans="1:201" ht="26.25" customHeight="1" x14ac:dyDescent="0.2">
      <c r="A122" s="72"/>
      <c r="B122" s="72"/>
      <c r="C122" s="71"/>
      <c r="D122" s="71"/>
      <c r="E122" s="74"/>
      <c r="F122" s="74"/>
      <c r="G122" s="74"/>
      <c r="H122" s="71"/>
      <c r="I122" s="71"/>
      <c r="J122" s="71"/>
      <c r="K122" s="71"/>
      <c r="L122" s="71"/>
      <c r="M122" s="71"/>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3"/>
      <c r="EM122" s="203"/>
      <c r="EN122" s="203"/>
      <c r="EO122" s="203"/>
      <c r="EP122" s="203"/>
      <c r="EQ122" s="203"/>
      <c r="ER122" s="203"/>
      <c r="ES122" s="203"/>
      <c r="ET122" s="203"/>
      <c r="EU122" s="203"/>
      <c r="EV122" s="203"/>
      <c r="EW122" s="203"/>
      <c r="EX122" s="203"/>
      <c r="EY122" s="203"/>
      <c r="EZ122" s="203"/>
      <c r="FA122" s="203"/>
      <c r="FB122" s="203"/>
      <c r="FC122" s="203"/>
      <c r="FD122" s="203"/>
      <c r="FE122" s="203"/>
      <c r="FF122" s="203"/>
      <c r="FG122" s="203"/>
      <c r="FH122" s="203"/>
      <c r="FI122" s="203"/>
      <c r="FJ122" s="203"/>
      <c r="FK122" s="203"/>
      <c r="FL122" s="203"/>
      <c r="FM122" s="203"/>
      <c r="FN122" s="203"/>
      <c r="FO122" s="203"/>
      <c r="FP122" s="203"/>
      <c r="FQ122" s="203"/>
      <c r="FR122" s="203"/>
      <c r="FS122" s="203"/>
      <c r="FT122" s="203"/>
      <c r="FU122" s="203"/>
      <c r="FV122" s="203"/>
      <c r="FW122" s="203"/>
      <c r="FX122" s="203"/>
      <c r="FY122" s="203"/>
      <c r="FZ122" s="203"/>
      <c r="GA122" s="203"/>
      <c r="GB122" s="203"/>
      <c r="GC122" s="203"/>
      <c r="GD122" s="203"/>
      <c r="GE122" s="203"/>
      <c r="GF122" s="203"/>
      <c r="GG122" s="203"/>
      <c r="GH122" s="203"/>
      <c r="GI122" s="203"/>
      <c r="GJ122" s="203"/>
      <c r="GK122" s="203"/>
      <c r="GL122" s="203"/>
      <c r="GM122" s="203"/>
      <c r="GN122" s="203"/>
      <c r="GO122" s="203"/>
      <c r="GP122" s="203"/>
      <c r="GQ122" s="203"/>
      <c r="GR122" s="203"/>
      <c r="GS122" s="203"/>
    </row>
    <row r="123" spans="1:201" x14ac:dyDescent="0.2">
      <c r="H123" s="81"/>
      <c r="I123" s="81"/>
    </row>
    <row r="124" spans="1:201" x14ac:dyDescent="0.2">
      <c r="H124" s="81"/>
      <c r="I124" s="81"/>
    </row>
  </sheetData>
  <phoneticPr fontId="53" type="noConversion"/>
  <conditionalFormatting sqref="B112">
    <cfRule type="expression" dxfId="176" priority="906">
      <formula>$K41="Manual $ Spread"</formula>
    </cfRule>
  </conditionalFormatting>
  <conditionalFormatting sqref="B113:B114">
    <cfRule type="expression" dxfId="175" priority="893">
      <formula>$K109="Manual $ Spread"</formula>
    </cfRule>
  </conditionalFormatting>
  <conditionalFormatting sqref="B115:B117">
    <cfRule type="expression" dxfId="174" priority="895">
      <formula>#REF!="Manual $ Spread"</formula>
    </cfRule>
  </conditionalFormatting>
  <conditionalFormatting sqref="B118:B120">
    <cfRule type="expression" dxfId="173" priority="1">
      <formula>$K111="Manual $ Spread"</formula>
    </cfRule>
  </conditionalFormatting>
  <conditionalFormatting sqref="C112:C120">
    <cfRule type="expression" dxfId="172" priority="2">
      <formula>$K111="Manual $ Spread"</formula>
    </cfRule>
  </conditionalFormatting>
  <hyperlinks>
    <hyperlink ref="B107" location="'Travel costs'!A1" display="See Travel_calcs sheet" xr:uid="{433F5117-0D18-4435-9FAF-2749770B5915}"/>
  </hyperlinks>
  <pageMargins left="0.7" right="0.7" top="0.75" bottom="0.75" header="0.3" footer="0.3"/>
  <pageSetup orientation="portrait" r:id="rId1"/>
  <headerFooter>
    <oddFooter>&amp;L_x000D_&amp;1#&amp;"Aptos"&amp;10&amp;K000000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3C0C-4349-49B7-898E-821D09E9A876}">
  <sheetPr>
    <tabColor theme="4"/>
    <pageSetUpPr autoPageBreaks="0"/>
  </sheetPr>
  <dimension ref="A1:M82"/>
  <sheetViews>
    <sheetView showGridLines="0" zoomScaleNormal="100" workbookViewId="0"/>
  </sheetViews>
  <sheetFormatPr defaultColWidth="9.21875" defaultRowHeight="12.75" x14ac:dyDescent="0.2"/>
  <cols>
    <col min="1" max="1" width="3.6640625" style="65" customWidth="1"/>
    <col min="2" max="2" width="41.88671875" style="65" customWidth="1"/>
    <col min="3" max="12" width="10.33203125" style="65" customWidth="1"/>
    <col min="13" max="16384" width="9.21875" style="65"/>
  </cols>
  <sheetData>
    <row r="1" spans="1:13" ht="35.25" customHeight="1" x14ac:dyDescent="0.2">
      <c r="A1" s="66"/>
      <c r="B1" s="67" t="str">
        <f>Overview!$B$1</f>
        <v>Labour and overhead costs for Accelerated Syncons</v>
      </c>
      <c r="C1" s="67"/>
      <c r="D1" s="67"/>
      <c r="E1" s="68"/>
      <c r="F1" s="68"/>
      <c r="G1" s="68"/>
      <c r="H1" s="68"/>
      <c r="I1" s="68"/>
      <c r="J1" s="68"/>
      <c r="K1" s="68"/>
      <c r="L1" s="68"/>
      <c r="M1" s="68"/>
    </row>
    <row r="2" spans="1:13" ht="26.25" customHeight="1" x14ac:dyDescent="0.2">
      <c r="A2" s="71"/>
      <c r="B2" s="72" t="str">
        <f>"Historical data ("&amp;TEXT('Key assumptions'!D17,"ddmmmyy")&amp;"-"&amp;TEXT(MAX('Key assumptions'!G18,'Key assumptions'!F18),"ddmmmyy")&amp;")"</f>
        <v>Historical data (01Oct22-31Jan26)</v>
      </c>
      <c r="C2" s="72"/>
      <c r="D2" s="72"/>
      <c r="E2" s="71"/>
      <c r="F2" s="71"/>
      <c r="G2" s="71"/>
      <c r="H2" s="71"/>
      <c r="I2" s="71"/>
      <c r="J2" s="71"/>
      <c r="K2" s="71"/>
      <c r="L2" s="71"/>
      <c r="M2" s="71"/>
    </row>
    <row r="4" spans="1:13" x14ac:dyDescent="0.2">
      <c r="B4" s="118" t="s">
        <v>129</v>
      </c>
      <c r="C4" s="118"/>
      <c r="D4" s="118"/>
      <c r="E4" s="118"/>
      <c r="F4" s="118"/>
      <c r="G4" s="118"/>
      <c r="H4" s="118"/>
      <c r="I4" s="118"/>
      <c r="J4" s="118"/>
      <c r="K4" s="118"/>
      <c r="L4" s="118"/>
    </row>
    <row r="6" spans="1:13" x14ac:dyDescent="0.2">
      <c r="B6" s="124"/>
      <c r="C6" s="166" t="s">
        <v>130</v>
      </c>
      <c r="D6" s="165"/>
      <c r="E6" s="165"/>
      <c r="F6" s="166"/>
      <c r="G6" s="166"/>
      <c r="H6" s="165" t="str">
        <f>"Historical (Real "&amp;'Key assumptions'!$D$11&amp;")"</f>
        <v>Historical (Real $RY2026)</v>
      </c>
      <c r="I6" s="166"/>
      <c r="J6" s="165"/>
      <c r="K6" s="165"/>
      <c r="L6" s="166"/>
    </row>
    <row r="7" spans="1:13" ht="25.5" x14ac:dyDescent="0.2">
      <c r="B7" s="150" t="s">
        <v>131</v>
      </c>
      <c r="C7" s="163" t="str">
        <f>'Key assumptions'!D$16</f>
        <v>RY2023</v>
      </c>
      <c r="D7" s="163" t="str">
        <f>'Key assumptions'!E$16</f>
        <v>RY2024</v>
      </c>
      <c r="E7" s="163" t="str">
        <f>'Key assumptions'!F$16</f>
        <v>RY2025</v>
      </c>
      <c r="F7" s="163" t="str">
        <f>'Key assumptions'!G$16</f>
        <v>RY2026
01Oct-31Jan</v>
      </c>
      <c r="G7" s="164" t="s">
        <v>132</v>
      </c>
      <c r="H7" s="167" t="str">
        <f>'Key assumptions'!D$16</f>
        <v>RY2023</v>
      </c>
      <c r="I7" s="167" t="str">
        <f>'Key assumptions'!E$16</f>
        <v>RY2024</v>
      </c>
      <c r="J7" s="167" t="str">
        <f>'Key assumptions'!F$16</f>
        <v>RY2025</v>
      </c>
      <c r="K7" s="163" t="str">
        <f>'Key assumptions'!G$16</f>
        <v>RY2026
01Oct-31Jan</v>
      </c>
      <c r="L7" s="164" t="s">
        <v>132</v>
      </c>
    </row>
    <row r="8" spans="1:13" x14ac:dyDescent="0.2">
      <c r="B8" s="127" t="str" cm="1">
        <f t="array" ref="B8:B20">CostCategories</f>
        <v>Community and Stakeholder Engagement</v>
      </c>
      <c r="C8" s="234">
        <v>0</v>
      </c>
      <c r="D8" s="234">
        <v>0</v>
      </c>
      <c r="E8" s="234">
        <v>70336.53599999992</v>
      </c>
      <c r="F8" s="234">
        <v>0</v>
      </c>
      <c r="G8" s="130">
        <f>SUM(C8:F8)</f>
        <v>70336.53599999992</v>
      </c>
      <c r="H8" s="128">
        <f>C8*'Key assumptions'!D$33</f>
        <v>0</v>
      </c>
      <c r="I8" s="128">
        <f>D8*'Key assumptions'!E$33</f>
        <v>0</v>
      </c>
      <c r="J8" s="128">
        <f>E8*'Key assumptions'!F$33</f>
        <v>74009.242587733286</v>
      </c>
      <c r="K8" s="128">
        <f>F8*'Key assumptions'!G$33</f>
        <v>0</v>
      </c>
      <c r="L8" s="130">
        <f>SUM(H8:K8)</f>
        <v>74009.242587733286</v>
      </c>
    </row>
    <row r="9" spans="1:13" x14ac:dyDescent="0.2">
      <c r="B9" s="127" t="str">
        <v>Fleet</v>
      </c>
      <c r="C9" s="234">
        <v>0</v>
      </c>
      <c r="D9" s="234">
        <v>0</v>
      </c>
      <c r="E9" s="234">
        <v>0</v>
      </c>
      <c r="F9" s="234">
        <v>0</v>
      </c>
      <c r="G9" s="130">
        <f t="shared" ref="G9:G20" si="0">SUM(C9:F9)</f>
        <v>0</v>
      </c>
      <c r="H9" s="128">
        <f>C9*'Key assumptions'!D$33</f>
        <v>0</v>
      </c>
      <c r="I9" s="128">
        <f>D9*'Key assumptions'!E$33</f>
        <v>0</v>
      </c>
      <c r="J9" s="128">
        <f>E9*'Key assumptions'!F$33</f>
        <v>0</v>
      </c>
      <c r="K9" s="128">
        <f>F9*'Key assumptions'!G$33</f>
        <v>0</v>
      </c>
      <c r="L9" s="130">
        <f t="shared" ref="L9:L11" si="1">SUM(H9:K9)</f>
        <v>0</v>
      </c>
    </row>
    <row r="10" spans="1:13" x14ac:dyDescent="0.2">
      <c r="B10" s="127" t="str">
        <v>Land and Environment</v>
      </c>
      <c r="C10" s="234">
        <v>0</v>
      </c>
      <c r="D10" s="234">
        <v>20151.156999999996</v>
      </c>
      <c r="E10" s="234">
        <v>567786.76836140396</v>
      </c>
      <c r="F10" s="234">
        <v>212064.18263859965</v>
      </c>
      <c r="G10" s="130">
        <f t="shared" si="0"/>
        <v>800002.10800000362</v>
      </c>
      <c r="H10" s="128">
        <f>C10*'Key assumptions'!D$33</f>
        <v>0</v>
      </c>
      <c r="I10" s="128">
        <f>D10*'Key assumptions'!E$33</f>
        <v>21841.389162733958</v>
      </c>
      <c r="J10" s="128">
        <f>E10*'Key assumptions'!F$33</f>
        <v>597434.43546557822</v>
      </c>
      <c r="K10" s="128">
        <f>F10*'Key assumptions'!G$33</f>
        <v>216243.45598793836</v>
      </c>
      <c r="L10" s="130">
        <f t="shared" si="1"/>
        <v>835519.28061625047</v>
      </c>
    </row>
    <row r="11" spans="1:13" x14ac:dyDescent="0.2">
      <c r="B11" s="127" t="str">
        <v>Other Support &amp; Corporate Roles</v>
      </c>
      <c r="C11" s="234">
        <v>0</v>
      </c>
      <c r="D11" s="234">
        <v>42897.199999999983</v>
      </c>
      <c r="E11" s="234">
        <v>348152.34806685924</v>
      </c>
      <c r="F11" s="234">
        <v>238027.3271441253</v>
      </c>
      <c r="G11" s="130">
        <f t="shared" si="0"/>
        <v>629076.87521098461</v>
      </c>
      <c r="H11" s="128">
        <f>C11*'Key assumptions'!D$33</f>
        <v>0</v>
      </c>
      <c r="I11" s="128">
        <f>D11*'Key assumptions'!E$33</f>
        <v>46495.317325532771</v>
      </c>
      <c r="J11" s="128">
        <f>E11*'Key assumptions'!F$33</f>
        <v>366331.54048941465</v>
      </c>
      <c r="K11" s="128">
        <f>F11*'Key assumptions'!G$33</f>
        <v>242718.27142509838</v>
      </c>
      <c r="L11" s="130">
        <f t="shared" si="1"/>
        <v>655545.12924004579</v>
      </c>
    </row>
    <row r="12" spans="1:13" x14ac:dyDescent="0.2">
      <c r="B12" s="127" t="str">
        <v>Project Delivery Management - Commercial Management</v>
      </c>
      <c r="C12" s="234">
        <v>0</v>
      </c>
      <c r="D12" s="234">
        <v>0</v>
      </c>
      <c r="E12" s="234">
        <v>181.39</v>
      </c>
      <c r="F12" s="234">
        <v>0</v>
      </c>
      <c r="G12" s="130">
        <f t="shared" si="0"/>
        <v>181.39</v>
      </c>
      <c r="H12" s="128">
        <f>C12*'Key assumptions'!D$33</f>
        <v>0</v>
      </c>
      <c r="I12" s="128">
        <f>D12*'Key assumptions'!E$33</f>
        <v>0</v>
      </c>
      <c r="J12" s="128">
        <f>E12*'Key assumptions'!F$33</f>
        <v>190.86149640620567</v>
      </c>
      <c r="K12" s="128">
        <f>F12*'Key assumptions'!G$33</f>
        <v>0</v>
      </c>
      <c r="L12" s="130">
        <f t="shared" ref="L12:L20" si="2">SUM(H12:K12)</f>
        <v>190.86149640620567</v>
      </c>
    </row>
    <row r="13" spans="1:13" x14ac:dyDescent="0.2">
      <c r="B13" s="127" t="str">
        <v>Project Delivery Management - Commissioning</v>
      </c>
      <c r="C13" s="234">
        <v>0</v>
      </c>
      <c r="D13" s="234">
        <v>0</v>
      </c>
      <c r="E13" s="234">
        <v>0</v>
      </c>
      <c r="F13" s="234">
        <v>0</v>
      </c>
      <c r="G13" s="130">
        <f t="shared" si="0"/>
        <v>0</v>
      </c>
      <c r="H13" s="128">
        <f>C13*'Key assumptions'!D$33</f>
        <v>0</v>
      </c>
      <c r="I13" s="128">
        <f>D13*'Key assumptions'!E$33</f>
        <v>0</v>
      </c>
      <c r="J13" s="128">
        <f>E13*'Key assumptions'!F$33</f>
        <v>0</v>
      </c>
      <c r="K13" s="128">
        <f>F13*'Key assumptions'!G$33</f>
        <v>0</v>
      </c>
      <c r="L13" s="130">
        <f t="shared" si="2"/>
        <v>0</v>
      </c>
    </row>
    <row r="14" spans="1:13" x14ac:dyDescent="0.2">
      <c r="B14" s="127" t="str">
        <v>Project Delivery Management - Construction Management</v>
      </c>
      <c r="C14" s="234">
        <v>0</v>
      </c>
      <c r="D14" s="234">
        <v>2264.3900000000003</v>
      </c>
      <c r="E14" s="234">
        <v>89331.580000000249</v>
      </c>
      <c r="F14" s="234">
        <v>0</v>
      </c>
      <c r="G14" s="130">
        <f t="shared" si="0"/>
        <v>91595.970000000249</v>
      </c>
      <c r="H14" s="128">
        <f>C14*'Key assumptions'!D$33</f>
        <v>0</v>
      </c>
      <c r="I14" s="128">
        <f>D14*'Key assumptions'!E$33</f>
        <v>2454.3217645618643</v>
      </c>
      <c r="J14" s="128">
        <f>E14*'Key assumptions'!F$33</f>
        <v>93996.135592539402</v>
      </c>
      <c r="K14" s="128">
        <f>F14*'Key assumptions'!G$33</f>
        <v>0</v>
      </c>
      <c r="L14" s="130">
        <f t="shared" si="2"/>
        <v>96450.457357101259</v>
      </c>
    </row>
    <row r="15" spans="1:13" x14ac:dyDescent="0.2">
      <c r="B15" s="127" t="str">
        <v>Project Delivery Management - Project Controls</v>
      </c>
      <c r="C15" s="234">
        <v>0</v>
      </c>
      <c r="D15" s="234">
        <v>0</v>
      </c>
      <c r="E15" s="234">
        <v>2663.2000000000003</v>
      </c>
      <c r="F15" s="234">
        <v>329603.40000000008</v>
      </c>
      <c r="G15" s="130">
        <f t="shared" si="0"/>
        <v>332266.60000000009</v>
      </c>
      <c r="H15" s="128">
        <f>C15*'Key assumptions'!D$33</f>
        <v>0</v>
      </c>
      <c r="I15" s="128">
        <f>D15*'Key assumptions'!E$33</f>
        <v>0</v>
      </c>
      <c r="J15" s="128">
        <f>E15*'Key assumptions'!F$33</f>
        <v>2802.2621821986163</v>
      </c>
      <c r="K15" s="128">
        <f>F15*'Key assumptions'!G$33</f>
        <v>336099.08771271002</v>
      </c>
      <c r="L15" s="130">
        <f t="shared" si="2"/>
        <v>338901.34989490866</v>
      </c>
    </row>
    <row r="16" spans="1:13" x14ac:dyDescent="0.2">
      <c r="B16" s="127" t="str">
        <v>Project Delivery Management - Project Engineering</v>
      </c>
      <c r="C16" s="234">
        <v>0</v>
      </c>
      <c r="D16" s="234">
        <v>0</v>
      </c>
      <c r="E16" s="234">
        <v>0</v>
      </c>
      <c r="F16" s="234">
        <v>0</v>
      </c>
      <c r="G16" s="130">
        <f t="shared" si="0"/>
        <v>0</v>
      </c>
      <c r="H16" s="128">
        <f>C16*'Key assumptions'!D$33</f>
        <v>0</v>
      </c>
      <c r="I16" s="128">
        <f>D16*'Key assumptions'!E$33</f>
        <v>0</v>
      </c>
      <c r="J16" s="128">
        <f>E16*'Key assumptions'!F$33</f>
        <v>0</v>
      </c>
      <c r="K16" s="128">
        <f>F16*'Key assumptions'!G$33</f>
        <v>0</v>
      </c>
      <c r="L16" s="130">
        <f t="shared" si="2"/>
        <v>0</v>
      </c>
    </row>
    <row r="17" spans="2:12" x14ac:dyDescent="0.2">
      <c r="B17" s="127" t="str">
        <v>Project Delivery Management - Project Management</v>
      </c>
      <c r="C17" s="234">
        <v>0</v>
      </c>
      <c r="D17" s="234">
        <v>186693.13000000076</v>
      </c>
      <c r="E17" s="234">
        <v>1867860.292575991</v>
      </c>
      <c r="F17" s="234">
        <v>2674926.6230588304</v>
      </c>
      <c r="G17" s="130">
        <f t="shared" si="0"/>
        <v>4729480.045634822</v>
      </c>
      <c r="H17" s="128">
        <f>C17*'Key assumptions'!D$33</f>
        <v>0</v>
      </c>
      <c r="I17" s="128">
        <f>D17*'Key assumptions'!E$33</f>
        <v>202352.5153587409</v>
      </c>
      <c r="J17" s="128">
        <f>E17*'Key assumptions'!F$33</f>
        <v>1965392.8580339975</v>
      </c>
      <c r="K17" s="128">
        <f>F17*'Key assumptions'!G$33</f>
        <v>2727642.9724587575</v>
      </c>
      <c r="L17" s="130">
        <f t="shared" si="2"/>
        <v>4895388.3458514959</v>
      </c>
    </row>
    <row r="18" spans="2:12" x14ac:dyDescent="0.2">
      <c r="B18" s="127" t="str">
        <v>Project Development</v>
      </c>
      <c r="C18" s="234">
        <v>1819744.2299999997</v>
      </c>
      <c r="D18" s="234">
        <v>3240540.3240969134</v>
      </c>
      <c r="E18" s="234">
        <v>6949040.4157467168</v>
      </c>
      <c r="F18" s="234">
        <v>728671.22939958726</v>
      </c>
      <c r="G18" s="130">
        <f t="shared" si="0"/>
        <v>12737996.199243218</v>
      </c>
      <c r="H18" s="128">
        <f>C18*'Key assumptions'!D$33</f>
        <v>2077056.6157117209</v>
      </c>
      <c r="I18" s="128">
        <f>D18*'Key assumptions'!E$33</f>
        <v>3512349.3065997511</v>
      </c>
      <c r="J18" s="128">
        <f>E18*'Key assumptions'!F$33</f>
        <v>7311892.8956205966</v>
      </c>
      <c r="K18" s="128">
        <f>F18*'Key assumptions'!G$33</f>
        <v>743031.58111748868</v>
      </c>
      <c r="L18" s="130">
        <f t="shared" si="2"/>
        <v>13644330.399049558</v>
      </c>
    </row>
    <row r="19" spans="2:12" x14ac:dyDescent="0.2">
      <c r="B19" s="127" t="str">
        <v>Regulatory Approvals</v>
      </c>
      <c r="C19" s="234">
        <v>0</v>
      </c>
      <c r="D19" s="234">
        <v>17667.279999999992</v>
      </c>
      <c r="E19" s="234">
        <v>239688.64999999962</v>
      </c>
      <c r="F19" s="234">
        <v>227505.94999999861</v>
      </c>
      <c r="G19" s="130">
        <f t="shared" si="0"/>
        <v>484861.87999999826</v>
      </c>
      <c r="H19" s="128">
        <f>C19*'Key assumptions'!D$33</f>
        <v>0</v>
      </c>
      <c r="I19" s="128">
        <f>D19*'Key assumptions'!E$33</f>
        <v>19149.170339300432</v>
      </c>
      <c r="J19" s="128">
        <f>E19*'Key assumptions'!F$33</f>
        <v>252204.28033840464</v>
      </c>
      <c r="K19" s="128">
        <f>F19*'Key assumptions'!G$33</f>
        <v>231989.54332453167</v>
      </c>
      <c r="L19" s="130">
        <f t="shared" si="2"/>
        <v>503342.99400223675</v>
      </c>
    </row>
    <row r="20" spans="2:12" x14ac:dyDescent="0.2">
      <c r="B20" s="127" t="str">
        <v>Transaction Procurement Support</v>
      </c>
      <c r="C20" s="234">
        <v>0</v>
      </c>
      <c r="D20" s="234">
        <v>6879.3799999999983</v>
      </c>
      <c r="E20" s="234">
        <v>313971.68200000108</v>
      </c>
      <c r="F20" s="234">
        <v>311864.47000000114</v>
      </c>
      <c r="G20" s="130">
        <f t="shared" si="0"/>
        <v>632715.53200000222</v>
      </c>
      <c r="H20" s="128">
        <f>C20*'Key assumptions'!D$33</f>
        <v>0</v>
      </c>
      <c r="I20" s="128">
        <f>D20*'Key assumptions'!E$33</f>
        <v>7456.406387897664</v>
      </c>
      <c r="J20" s="128">
        <f>E20*'Key assumptions'!F$33</f>
        <v>330366.08994814247</v>
      </c>
      <c r="K20" s="128">
        <f>F20*'Key assumptions'!G$33</f>
        <v>318010.56620474235</v>
      </c>
      <c r="L20" s="130">
        <f t="shared" si="2"/>
        <v>655833.0625407825</v>
      </c>
    </row>
    <row r="21" spans="2:12" x14ac:dyDescent="0.2">
      <c r="B21" s="129" t="s">
        <v>133</v>
      </c>
      <c r="C21" s="128">
        <f t="shared" ref="C21:L21" si="3">SUM(C8:C20)</f>
        <v>1819744.2299999997</v>
      </c>
      <c r="D21" s="128">
        <f t="shared" si="3"/>
        <v>3517092.8610969139</v>
      </c>
      <c r="E21" s="128">
        <f t="shared" si="3"/>
        <v>10449012.862750974</v>
      </c>
      <c r="F21" s="128">
        <f t="shared" si="3"/>
        <v>4722663.1822411418</v>
      </c>
      <c r="G21" s="128">
        <f t="shared" si="3"/>
        <v>20508513.136089027</v>
      </c>
      <c r="H21" s="128">
        <f t="shared" si="3"/>
        <v>2077056.6157117209</v>
      </c>
      <c r="I21" s="128">
        <f t="shared" si="3"/>
        <v>3812098.4269385184</v>
      </c>
      <c r="J21" s="128">
        <f t="shared" si="3"/>
        <v>10994620.601755012</v>
      </c>
      <c r="K21" s="128">
        <f t="shared" si="3"/>
        <v>4815735.4782312671</v>
      </c>
      <c r="L21" s="128">
        <f t="shared" si="3"/>
        <v>21699511.122636516</v>
      </c>
    </row>
    <row r="23" spans="2:12" x14ac:dyDescent="0.2">
      <c r="B23" s="118" t="s">
        <v>84</v>
      </c>
      <c r="C23" s="118"/>
      <c r="D23" s="118"/>
      <c r="E23" s="118"/>
      <c r="F23" s="118"/>
      <c r="G23" s="118"/>
      <c r="H23" s="118"/>
      <c r="I23" s="118"/>
      <c r="J23" s="118"/>
      <c r="K23" s="118"/>
      <c r="L23" s="118"/>
    </row>
    <row r="25" spans="2:12" x14ac:dyDescent="0.2">
      <c r="B25" s="124"/>
      <c r="C25" s="166" t="s">
        <v>130</v>
      </c>
      <c r="D25" s="165"/>
      <c r="E25" s="165"/>
      <c r="F25" s="166"/>
      <c r="G25" s="166"/>
      <c r="H25" s="165" t="str">
        <f>"Historical (Real "&amp;'Key assumptions'!$D$11&amp;")"</f>
        <v>Historical (Real $RY2026)</v>
      </c>
      <c r="I25" s="166"/>
      <c r="J25" s="165"/>
      <c r="K25" s="165"/>
      <c r="L25" s="166"/>
    </row>
    <row r="26" spans="2:12" ht="25.5" x14ac:dyDescent="0.2">
      <c r="B26" s="150" t="s">
        <v>131</v>
      </c>
      <c r="C26" s="163" t="str">
        <f>'Key assumptions'!D$16</f>
        <v>RY2023</v>
      </c>
      <c r="D26" s="163" t="str">
        <f>'Key assumptions'!E$16</f>
        <v>RY2024</v>
      </c>
      <c r="E26" s="163" t="str">
        <f>'Key assumptions'!F$16</f>
        <v>RY2025</v>
      </c>
      <c r="F26" s="163" t="str">
        <f>'Key assumptions'!G$16</f>
        <v>RY2026
01Oct-31Jan</v>
      </c>
      <c r="G26" s="164" t="s">
        <v>132</v>
      </c>
      <c r="H26" s="167" t="str">
        <f>'Key assumptions'!D$16</f>
        <v>RY2023</v>
      </c>
      <c r="I26" s="167" t="str">
        <f>'Key assumptions'!E$16</f>
        <v>RY2024</v>
      </c>
      <c r="J26" s="167" t="str">
        <f>'Key assumptions'!F$16</f>
        <v>RY2025</v>
      </c>
      <c r="K26" s="163" t="str">
        <f>'Key assumptions'!G$16</f>
        <v>RY2026
01Oct-31Jan</v>
      </c>
      <c r="L26" s="164" t="s">
        <v>132</v>
      </c>
    </row>
    <row r="27" spans="2:12" x14ac:dyDescent="0.2">
      <c r="B27" s="127" t="str" cm="1">
        <f t="array" ref="B27:B39">CostCategories</f>
        <v>Community and Stakeholder Engagement</v>
      </c>
      <c r="C27" s="234">
        <v>0</v>
      </c>
      <c r="D27" s="234">
        <v>0</v>
      </c>
      <c r="E27" s="234">
        <v>0</v>
      </c>
      <c r="F27" s="234">
        <v>0</v>
      </c>
      <c r="G27" s="130">
        <f>SUM(C27:F27)</f>
        <v>0</v>
      </c>
      <c r="H27" s="128">
        <f>C27*'Key assumptions'!D$33</f>
        <v>0</v>
      </c>
      <c r="I27" s="128">
        <f>D27*'Key assumptions'!E$33</f>
        <v>0</v>
      </c>
      <c r="J27" s="128">
        <f>E27*'Key assumptions'!F$33</f>
        <v>0</v>
      </c>
      <c r="K27" s="128">
        <f>F27*'Key assumptions'!G$33</f>
        <v>0</v>
      </c>
      <c r="L27" s="130">
        <f>SUM(H27:K27)</f>
        <v>0</v>
      </c>
    </row>
    <row r="28" spans="2:12" x14ac:dyDescent="0.2">
      <c r="B28" s="127" t="str">
        <v>Fleet</v>
      </c>
      <c r="C28" s="234">
        <v>0</v>
      </c>
      <c r="D28" s="234">
        <v>0</v>
      </c>
      <c r="E28" s="234">
        <v>0</v>
      </c>
      <c r="F28" s="234">
        <v>0</v>
      </c>
      <c r="G28" s="130">
        <f t="shared" ref="G28:G39" si="4">SUM(C28:F28)</f>
        <v>0</v>
      </c>
      <c r="H28" s="128">
        <f>C28*'Key assumptions'!D$33</f>
        <v>0</v>
      </c>
      <c r="I28" s="128">
        <f>D28*'Key assumptions'!E$33</f>
        <v>0</v>
      </c>
      <c r="J28" s="128">
        <f>E28*'Key assumptions'!F$33</f>
        <v>0</v>
      </c>
      <c r="K28" s="128">
        <f>F28*'Key assumptions'!G$33</f>
        <v>0</v>
      </c>
      <c r="L28" s="130">
        <f t="shared" ref="L28:L39" si="5">SUM(H28:K28)</f>
        <v>0</v>
      </c>
    </row>
    <row r="29" spans="2:12" x14ac:dyDescent="0.2">
      <c r="B29" s="127" t="str">
        <v>Land and Environment</v>
      </c>
      <c r="C29" s="234">
        <v>0</v>
      </c>
      <c r="D29" s="234">
        <v>0</v>
      </c>
      <c r="E29" s="234">
        <v>166.13</v>
      </c>
      <c r="F29" s="234">
        <v>816</v>
      </c>
      <c r="G29" s="130">
        <f t="shared" si="4"/>
        <v>982.13</v>
      </c>
      <c r="H29" s="128">
        <f>C29*'Key assumptions'!D$33</f>
        <v>0</v>
      </c>
      <c r="I29" s="128">
        <f>D29*'Key assumptions'!E$33</f>
        <v>0</v>
      </c>
      <c r="J29" s="128">
        <f>E29*'Key assumptions'!F$33</f>
        <v>174.80467720361074</v>
      </c>
      <c r="K29" s="128">
        <f>F29*'Key assumptions'!G$33</f>
        <v>832.08139107051477</v>
      </c>
      <c r="L29" s="130">
        <f t="shared" si="5"/>
        <v>1006.8860682741255</v>
      </c>
    </row>
    <row r="30" spans="2:12" x14ac:dyDescent="0.2">
      <c r="B30" s="127" t="str">
        <v>Other Support &amp; Corporate Roles</v>
      </c>
      <c r="C30" s="234">
        <v>0</v>
      </c>
      <c r="D30" s="234">
        <v>4108.6499999999996</v>
      </c>
      <c r="E30" s="234">
        <v>3391.27</v>
      </c>
      <c r="F30" s="234">
        <v>0</v>
      </c>
      <c r="G30" s="130">
        <f t="shared" si="4"/>
        <v>7499.92</v>
      </c>
      <c r="H30" s="128">
        <f>C30*'Key assumptions'!D$33</f>
        <v>0</v>
      </c>
      <c r="I30" s="128">
        <f>D30*'Key assumptions'!E$33</f>
        <v>4453.274002255398</v>
      </c>
      <c r="J30" s="128">
        <f>E30*'Key assumptions'!F$33</f>
        <v>3568.3492304838919</v>
      </c>
      <c r="K30" s="128">
        <f>F30*'Key assumptions'!G$33</f>
        <v>0</v>
      </c>
      <c r="L30" s="130">
        <f t="shared" si="5"/>
        <v>8021.62323273929</v>
      </c>
    </row>
    <row r="31" spans="2:12" x14ac:dyDescent="0.2">
      <c r="B31" s="127" t="str">
        <v>Project Delivery Management - Commercial Management</v>
      </c>
      <c r="C31" s="234">
        <v>0</v>
      </c>
      <c r="D31" s="234">
        <v>0</v>
      </c>
      <c r="E31" s="234">
        <v>0</v>
      </c>
      <c r="F31" s="234">
        <v>0</v>
      </c>
      <c r="G31" s="130">
        <f t="shared" si="4"/>
        <v>0</v>
      </c>
      <c r="H31" s="128">
        <f>C31*'Key assumptions'!D$33</f>
        <v>0</v>
      </c>
      <c r="I31" s="128">
        <f>D31*'Key assumptions'!E$33</f>
        <v>0</v>
      </c>
      <c r="J31" s="128">
        <f>E31*'Key assumptions'!F$33</f>
        <v>0</v>
      </c>
      <c r="K31" s="128">
        <f>F31*'Key assumptions'!G$33</f>
        <v>0</v>
      </c>
      <c r="L31" s="130">
        <f t="shared" si="5"/>
        <v>0</v>
      </c>
    </row>
    <row r="32" spans="2:12" x14ac:dyDescent="0.2">
      <c r="B32" s="127" t="str">
        <v>Project Delivery Management - Commissioning</v>
      </c>
      <c r="C32" s="234">
        <v>0</v>
      </c>
      <c r="D32" s="234">
        <v>0</v>
      </c>
      <c r="E32" s="234">
        <v>0</v>
      </c>
      <c r="F32" s="234">
        <v>0</v>
      </c>
      <c r="G32" s="130">
        <f t="shared" si="4"/>
        <v>0</v>
      </c>
      <c r="H32" s="128">
        <f>C32*'Key assumptions'!D$33</f>
        <v>0</v>
      </c>
      <c r="I32" s="128">
        <f>D32*'Key assumptions'!E$33</f>
        <v>0</v>
      </c>
      <c r="J32" s="128">
        <f>E32*'Key assumptions'!F$33</f>
        <v>0</v>
      </c>
      <c r="K32" s="128">
        <f>F32*'Key assumptions'!G$33</f>
        <v>0</v>
      </c>
      <c r="L32" s="130">
        <f t="shared" si="5"/>
        <v>0</v>
      </c>
    </row>
    <row r="33" spans="2:12" x14ac:dyDescent="0.2">
      <c r="B33" s="127" t="str">
        <v>Project Delivery Management - Construction Management</v>
      </c>
      <c r="C33" s="234">
        <v>0</v>
      </c>
      <c r="D33" s="234">
        <v>0</v>
      </c>
      <c r="E33" s="234">
        <v>3598.7200000000003</v>
      </c>
      <c r="F33" s="234">
        <v>0</v>
      </c>
      <c r="G33" s="130">
        <f t="shared" si="4"/>
        <v>3598.7200000000003</v>
      </c>
      <c r="H33" s="128">
        <f>C33*'Key assumptions'!D$33</f>
        <v>0</v>
      </c>
      <c r="I33" s="128">
        <f>D33*'Key assumptions'!E$33</f>
        <v>0</v>
      </c>
      <c r="J33" s="128">
        <f>E33*'Key assumptions'!F$33</f>
        <v>3786.6314810460367</v>
      </c>
      <c r="K33" s="128">
        <f>F33*'Key assumptions'!G$33</f>
        <v>0</v>
      </c>
      <c r="L33" s="130">
        <f t="shared" si="5"/>
        <v>3786.6314810460367</v>
      </c>
    </row>
    <row r="34" spans="2:12" x14ac:dyDescent="0.2">
      <c r="B34" s="127" t="str">
        <v>Project Delivery Management - Project Controls</v>
      </c>
      <c r="C34" s="234">
        <v>0</v>
      </c>
      <c r="D34" s="234">
        <v>0</v>
      </c>
      <c r="E34" s="234">
        <v>0</v>
      </c>
      <c r="F34" s="234">
        <v>2282.2599999999998</v>
      </c>
      <c r="G34" s="130">
        <f t="shared" si="4"/>
        <v>2282.2599999999998</v>
      </c>
      <c r="H34" s="128">
        <f>C34*'Key assumptions'!D$33</f>
        <v>0</v>
      </c>
      <c r="I34" s="128">
        <f>D34*'Key assumptions'!E$33</f>
        <v>0</v>
      </c>
      <c r="J34" s="128">
        <f>E34*'Key assumptions'!F$33</f>
        <v>0</v>
      </c>
      <c r="K34" s="128">
        <f>F34*'Key assumptions'!G$33</f>
        <v>2327.2378377262166</v>
      </c>
      <c r="L34" s="130">
        <f t="shared" si="5"/>
        <v>2327.2378377262166</v>
      </c>
    </row>
    <row r="35" spans="2:12" x14ac:dyDescent="0.2">
      <c r="B35" s="127" t="str">
        <v>Project Delivery Management - Project Engineering</v>
      </c>
      <c r="C35" s="234">
        <v>0</v>
      </c>
      <c r="D35" s="234">
        <v>0</v>
      </c>
      <c r="E35" s="234">
        <v>0</v>
      </c>
      <c r="F35" s="234">
        <v>0</v>
      </c>
      <c r="G35" s="130">
        <f t="shared" si="4"/>
        <v>0</v>
      </c>
      <c r="H35" s="128">
        <f>C35*'Key assumptions'!D$33</f>
        <v>0</v>
      </c>
      <c r="I35" s="128">
        <f>D35*'Key assumptions'!E$33</f>
        <v>0</v>
      </c>
      <c r="J35" s="128">
        <f>E35*'Key assumptions'!F$33</f>
        <v>0</v>
      </c>
      <c r="K35" s="128">
        <f>F35*'Key assumptions'!G$33</f>
        <v>0</v>
      </c>
      <c r="L35" s="130">
        <f t="shared" si="5"/>
        <v>0</v>
      </c>
    </row>
    <row r="36" spans="2:12" x14ac:dyDescent="0.2">
      <c r="B36" s="127" t="str">
        <v>Project Delivery Management - Project Management</v>
      </c>
      <c r="C36" s="234">
        <v>0</v>
      </c>
      <c r="D36" s="234">
        <v>0</v>
      </c>
      <c r="E36" s="234">
        <v>20023.022000000012</v>
      </c>
      <c r="F36" s="234">
        <v>75387.960000000021</v>
      </c>
      <c r="G36" s="130">
        <f t="shared" si="4"/>
        <v>95410.982000000033</v>
      </c>
      <c r="H36" s="128">
        <f>C36*'Key assumptions'!D$33</f>
        <v>0</v>
      </c>
      <c r="I36" s="128">
        <f>D36*'Key assumptions'!E$33</f>
        <v>0</v>
      </c>
      <c r="J36" s="128">
        <f>E36*'Key assumptions'!F$33</f>
        <v>21068.548109015821</v>
      </c>
      <c r="K36" s="128">
        <f>F36*'Key assumptions'!G$33</f>
        <v>76873.674787706303</v>
      </c>
      <c r="L36" s="130">
        <f t="shared" si="5"/>
        <v>97942.222896722116</v>
      </c>
    </row>
    <row r="37" spans="2:12" x14ac:dyDescent="0.2">
      <c r="B37" s="127" t="str">
        <v>Project Development</v>
      </c>
      <c r="C37" s="234">
        <v>12821.51</v>
      </c>
      <c r="D37" s="234">
        <v>9925.8711999999996</v>
      </c>
      <c r="E37" s="234">
        <v>62436.229000000007</v>
      </c>
      <c r="F37" s="234">
        <v>9313.6800000000021</v>
      </c>
      <c r="G37" s="130">
        <f t="shared" si="4"/>
        <v>94497.290200000018</v>
      </c>
      <c r="H37" s="128">
        <f>C37*'Key assumptions'!D$33</f>
        <v>14634.475400377552</v>
      </c>
      <c r="I37" s="128">
        <f>D37*'Key assumptions'!E$33</f>
        <v>10758.430181372372</v>
      </c>
      <c r="J37" s="128">
        <f>E37*'Key assumptions'!F$33</f>
        <v>65696.411582229106</v>
      </c>
      <c r="K37" s="128">
        <f>F37*'Key assumptions'!G$33</f>
        <v>9497.230159786317</v>
      </c>
      <c r="L37" s="130">
        <f t="shared" si="5"/>
        <v>100586.54732376534</v>
      </c>
    </row>
    <row r="38" spans="2:12" x14ac:dyDescent="0.2">
      <c r="B38" s="127" t="str">
        <v>Regulatory Approvals</v>
      </c>
      <c r="C38" s="234">
        <v>0</v>
      </c>
      <c r="D38" s="234">
        <v>0</v>
      </c>
      <c r="E38" s="234">
        <v>0</v>
      </c>
      <c r="F38" s="234">
        <v>0</v>
      </c>
      <c r="G38" s="130">
        <f t="shared" si="4"/>
        <v>0</v>
      </c>
      <c r="H38" s="128">
        <f>C38*'Key assumptions'!D$33</f>
        <v>0</v>
      </c>
      <c r="I38" s="128">
        <f>D38*'Key assumptions'!E$33</f>
        <v>0</v>
      </c>
      <c r="J38" s="128">
        <f>E38*'Key assumptions'!F$33</f>
        <v>0</v>
      </c>
      <c r="K38" s="128">
        <f>F38*'Key assumptions'!G$33</f>
        <v>0</v>
      </c>
      <c r="L38" s="130">
        <f t="shared" si="5"/>
        <v>0</v>
      </c>
    </row>
    <row r="39" spans="2:12" x14ac:dyDescent="0.2">
      <c r="B39" s="127" t="str">
        <v>Transaction Procurement Support</v>
      </c>
      <c r="C39" s="234">
        <v>0</v>
      </c>
      <c r="D39" s="234">
        <v>17191.510000000006</v>
      </c>
      <c r="E39" s="234">
        <v>54228.45</v>
      </c>
      <c r="F39" s="234">
        <v>0</v>
      </c>
      <c r="G39" s="130">
        <f t="shared" si="4"/>
        <v>71419.960000000006</v>
      </c>
      <c r="H39" s="128">
        <f>C39*'Key assumptions'!D$33</f>
        <v>0</v>
      </c>
      <c r="I39" s="128">
        <f>D39*'Key assumptions'!E$33</f>
        <v>18633.49385869172</v>
      </c>
      <c r="J39" s="128">
        <f>E39*'Key assumptions'!F$33</f>
        <v>57060.053557467909</v>
      </c>
      <c r="K39" s="128">
        <f>F39*'Key assumptions'!G$33</f>
        <v>0</v>
      </c>
      <c r="L39" s="130">
        <f t="shared" si="5"/>
        <v>75693.547416159621</v>
      </c>
    </row>
    <row r="40" spans="2:12" x14ac:dyDescent="0.2">
      <c r="B40" s="129" t="s">
        <v>133</v>
      </c>
      <c r="C40" s="128">
        <f>SUM(C27:C39)</f>
        <v>12821.51</v>
      </c>
      <c r="D40" s="128">
        <f>SUM(D27:D39)</f>
        <v>31226.031200000005</v>
      </c>
      <c r="E40" s="128">
        <f>SUM(E27:E39)</f>
        <v>143843.821</v>
      </c>
      <c r="F40" s="128">
        <f>SUM(F27:F39)</f>
        <v>87799.900000000023</v>
      </c>
      <c r="G40" s="128">
        <f>SUM(G27:G39)</f>
        <v>275691.26220000006</v>
      </c>
      <c r="H40" s="128">
        <f t="shared" ref="H40" si="6">SUM(H27:H39)</f>
        <v>14634.475400377552</v>
      </c>
      <c r="I40" s="128">
        <f t="shared" ref="I40" si="7">SUM(I27:I39)</f>
        <v>33845.198042319491</v>
      </c>
      <c r="J40" s="128">
        <f t="shared" ref="J40" si="8">SUM(J27:J39)</f>
        <v>151354.79863744637</v>
      </c>
      <c r="K40" s="128">
        <f t="shared" ref="K40" si="9">SUM(K27:K39)</f>
        <v>89530.224176289339</v>
      </c>
      <c r="L40" s="128">
        <f t="shared" ref="L40" si="10">SUM(L27:L39)</f>
        <v>289364.69625643274</v>
      </c>
    </row>
    <row r="42" spans="2:12" x14ac:dyDescent="0.2">
      <c r="B42" s="118" t="s">
        <v>85</v>
      </c>
      <c r="C42" s="118"/>
      <c r="D42" s="118"/>
      <c r="E42" s="118"/>
      <c r="F42" s="118"/>
      <c r="G42" s="118"/>
      <c r="H42" s="118"/>
      <c r="I42" s="118"/>
      <c r="J42" s="118"/>
      <c r="K42" s="118"/>
      <c r="L42" s="118"/>
    </row>
    <row r="44" spans="2:12" x14ac:dyDescent="0.2">
      <c r="B44" s="124"/>
      <c r="C44" s="166" t="s">
        <v>130</v>
      </c>
      <c r="D44" s="165"/>
      <c r="E44" s="165"/>
      <c r="F44" s="166"/>
      <c r="G44" s="166"/>
      <c r="H44" s="165" t="str">
        <f>"Historical (Real "&amp;'Key assumptions'!$D$11&amp;")"</f>
        <v>Historical (Real $RY2026)</v>
      </c>
      <c r="I44" s="166"/>
      <c r="J44" s="165"/>
      <c r="K44" s="165"/>
      <c r="L44" s="166"/>
    </row>
    <row r="45" spans="2:12" ht="25.5" x14ac:dyDescent="0.2">
      <c r="B45" s="150" t="s">
        <v>131</v>
      </c>
      <c r="C45" s="163" t="str">
        <f>'Key assumptions'!D$16</f>
        <v>RY2023</v>
      </c>
      <c r="D45" s="163" t="str">
        <f>'Key assumptions'!E$16</f>
        <v>RY2024</v>
      </c>
      <c r="E45" s="163" t="str">
        <f>'Key assumptions'!F$16</f>
        <v>RY2025</v>
      </c>
      <c r="F45" s="163" t="str">
        <f>'Key assumptions'!G$16</f>
        <v>RY2026
01Oct-31Jan</v>
      </c>
      <c r="G45" s="164" t="s">
        <v>132</v>
      </c>
      <c r="H45" s="167" t="str">
        <f>'Key assumptions'!D$16</f>
        <v>RY2023</v>
      </c>
      <c r="I45" s="167" t="str">
        <f>'Key assumptions'!E$16</f>
        <v>RY2024</v>
      </c>
      <c r="J45" s="167" t="str">
        <f>'Key assumptions'!F$16</f>
        <v>RY2025</v>
      </c>
      <c r="K45" s="163" t="str">
        <f>'Key assumptions'!G$16</f>
        <v>RY2026
01Oct-31Jan</v>
      </c>
      <c r="L45" s="164" t="s">
        <v>132</v>
      </c>
    </row>
    <row r="46" spans="2:12" x14ac:dyDescent="0.2">
      <c r="B46" s="127" t="str" cm="1">
        <f t="array" ref="B46:B58">CostCategories</f>
        <v>Community and Stakeholder Engagement</v>
      </c>
      <c r="C46" s="234">
        <v>0</v>
      </c>
      <c r="D46" s="234">
        <v>0</v>
      </c>
      <c r="E46" s="234">
        <v>75.03</v>
      </c>
      <c r="F46" s="234">
        <v>0</v>
      </c>
      <c r="G46" s="130">
        <f>SUM(C46:F46)</f>
        <v>75.03</v>
      </c>
      <c r="H46" s="128">
        <f>C46*'Key assumptions'!D$33</f>
        <v>0</v>
      </c>
      <c r="I46" s="128">
        <f>D46*'Key assumptions'!E$33</f>
        <v>0</v>
      </c>
      <c r="J46" s="128">
        <f>E46*'Key assumptions'!F$33</f>
        <v>78.947781439757492</v>
      </c>
      <c r="K46" s="128">
        <f>F46*'Key assumptions'!G$33</f>
        <v>0</v>
      </c>
      <c r="L46" s="130">
        <f>SUM(H46:K46)</f>
        <v>78.947781439757492</v>
      </c>
    </row>
    <row r="47" spans="2:12" x14ac:dyDescent="0.2">
      <c r="B47" s="127" t="str">
        <v>Fleet</v>
      </c>
      <c r="C47" s="234">
        <v>0</v>
      </c>
      <c r="D47" s="234">
        <v>0</v>
      </c>
      <c r="E47" s="234">
        <v>0</v>
      </c>
      <c r="F47" s="234">
        <v>0</v>
      </c>
      <c r="G47" s="130">
        <f t="shared" ref="G47:G58" si="11">SUM(C47:F47)</f>
        <v>0</v>
      </c>
      <c r="H47" s="128">
        <f>C47*'Key assumptions'!D$33</f>
        <v>0</v>
      </c>
      <c r="I47" s="128">
        <f>D47*'Key assumptions'!E$33</f>
        <v>0</v>
      </c>
      <c r="J47" s="128">
        <f>E47*'Key assumptions'!F$33</f>
        <v>0</v>
      </c>
      <c r="K47" s="128">
        <f>F47*'Key assumptions'!G$33</f>
        <v>0</v>
      </c>
      <c r="L47" s="130">
        <f t="shared" ref="L47:L58" si="12">SUM(H47:K47)</f>
        <v>0</v>
      </c>
    </row>
    <row r="48" spans="2:12" x14ac:dyDescent="0.2">
      <c r="B48" s="127" t="str">
        <v>Land and Environment</v>
      </c>
      <c r="C48" s="234">
        <v>0</v>
      </c>
      <c r="D48" s="234">
        <v>0</v>
      </c>
      <c r="E48" s="234">
        <v>299505.05999999994</v>
      </c>
      <c r="F48" s="234">
        <v>165120.75999999998</v>
      </c>
      <c r="G48" s="130">
        <f t="shared" si="11"/>
        <v>464625.81999999995</v>
      </c>
      <c r="H48" s="128">
        <f>C48*'Key assumptions'!D$33</f>
        <v>0</v>
      </c>
      <c r="I48" s="128">
        <f>D48*'Key assumptions'!E$33</f>
        <v>0</v>
      </c>
      <c r="J48" s="128">
        <f>E48*'Key assumptions'!F$33</f>
        <v>315144.07592938095</v>
      </c>
      <c r="K48" s="128">
        <f>F48*'Key assumptions'!G$33</f>
        <v>168374.89175909388</v>
      </c>
      <c r="L48" s="130">
        <f t="shared" si="12"/>
        <v>483518.9676884748</v>
      </c>
    </row>
    <row r="49" spans="2:12" x14ac:dyDescent="0.2">
      <c r="B49" s="127" t="str">
        <v>Other Support &amp; Corporate Roles</v>
      </c>
      <c r="C49" s="234">
        <v>0</v>
      </c>
      <c r="D49" s="234">
        <v>34999.880000000005</v>
      </c>
      <c r="E49" s="234">
        <v>1438134.4000000004</v>
      </c>
      <c r="F49" s="234">
        <v>144310.77000000002</v>
      </c>
      <c r="G49" s="130">
        <f t="shared" si="11"/>
        <v>1617445.0500000003</v>
      </c>
      <c r="H49" s="128">
        <f>C49*'Key assumptions'!D$33</f>
        <v>0</v>
      </c>
      <c r="I49" s="128">
        <f>D49*'Key assumptions'!E$33</f>
        <v>37935.588498912955</v>
      </c>
      <c r="J49" s="128">
        <f>E49*'Key assumptions'!F$33</f>
        <v>1513228.3125709291</v>
      </c>
      <c r="K49" s="128">
        <f>F49*'Key assumptions'!G$33</f>
        <v>147154.78706869745</v>
      </c>
      <c r="L49" s="130">
        <f t="shared" si="12"/>
        <v>1698318.6881385394</v>
      </c>
    </row>
    <row r="50" spans="2:12" x14ac:dyDescent="0.2">
      <c r="B50" s="127" t="str">
        <v>Project Delivery Management - Commercial Management</v>
      </c>
      <c r="C50" s="234">
        <v>0</v>
      </c>
      <c r="D50" s="234">
        <v>0</v>
      </c>
      <c r="E50" s="234">
        <v>112010.01</v>
      </c>
      <c r="F50" s="234">
        <v>0</v>
      </c>
      <c r="G50" s="130">
        <f t="shared" si="11"/>
        <v>112010.01</v>
      </c>
      <c r="H50" s="128">
        <f>C50*'Key assumptions'!D$33</f>
        <v>0</v>
      </c>
      <c r="I50" s="128">
        <f>D50*'Key assumptions'!E$33</f>
        <v>0</v>
      </c>
      <c r="J50" s="128">
        <f>E50*'Key assumptions'!F$33</f>
        <v>117858.74701512797</v>
      </c>
      <c r="K50" s="128">
        <f>F50*'Key assumptions'!G$33</f>
        <v>0</v>
      </c>
      <c r="L50" s="130">
        <f t="shared" si="12"/>
        <v>117858.74701512797</v>
      </c>
    </row>
    <row r="51" spans="2:12" x14ac:dyDescent="0.2">
      <c r="B51" s="127" t="str">
        <v>Project Delivery Management - Commissioning</v>
      </c>
      <c r="C51" s="234">
        <v>0</v>
      </c>
      <c r="D51" s="234">
        <v>0</v>
      </c>
      <c r="E51" s="234">
        <v>0</v>
      </c>
      <c r="F51" s="234">
        <v>0</v>
      </c>
      <c r="G51" s="130">
        <f t="shared" si="11"/>
        <v>0</v>
      </c>
      <c r="H51" s="128">
        <f>C51*'Key assumptions'!D$33</f>
        <v>0</v>
      </c>
      <c r="I51" s="128">
        <f>D51*'Key assumptions'!E$33</f>
        <v>0</v>
      </c>
      <c r="J51" s="128">
        <f>E51*'Key assumptions'!F$33</f>
        <v>0</v>
      </c>
      <c r="K51" s="128">
        <f>F51*'Key assumptions'!G$33</f>
        <v>0</v>
      </c>
      <c r="L51" s="130">
        <f t="shared" si="12"/>
        <v>0</v>
      </c>
    </row>
    <row r="52" spans="2:12" x14ac:dyDescent="0.2">
      <c r="B52" s="127" t="str">
        <v>Project Delivery Management - Construction Management</v>
      </c>
      <c r="C52" s="234">
        <v>0</v>
      </c>
      <c r="D52" s="234">
        <v>0</v>
      </c>
      <c r="E52" s="234">
        <v>312.48</v>
      </c>
      <c r="F52" s="234">
        <v>13498</v>
      </c>
      <c r="G52" s="130">
        <f t="shared" si="11"/>
        <v>13810.48</v>
      </c>
      <c r="H52" s="128">
        <f>C52*'Key assumptions'!D$33</f>
        <v>0</v>
      </c>
      <c r="I52" s="128">
        <f>D52*'Key assumptions'!E$33</f>
        <v>0</v>
      </c>
      <c r="J52" s="128">
        <f>E52*'Key assumptions'!F$33</f>
        <v>328.79651798341229</v>
      </c>
      <c r="K52" s="128">
        <f>F52*'Key assumptions'!G$33</f>
        <v>13764.013010624765</v>
      </c>
      <c r="L52" s="130">
        <f t="shared" si="12"/>
        <v>14092.809528608177</v>
      </c>
    </row>
    <row r="53" spans="2:12" x14ac:dyDescent="0.2">
      <c r="B53" s="127" t="str">
        <v>Project Delivery Management - Project Controls</v>
      </c>
      <c r="C53" s="234">
        <v>0</v>
      </c>
      <c r="D53" s="234">
        <v>0</v>
      </c>
      <c r="E53" s="234">
        <v>0</v>
      </c>
      <c r="F53" s="234">
        <v>4538.6400000000003</v>
      </c>
      <c r="G53" s="130">
        <f t="shared" si="11"/>
        <v>4538.6400000000003</v>
      </c>
      <c r="H53" s="128">
        <f>C53*'Key assumptions'!D$33</f>
        <v>0</v>
      </c>
      <c r="I53" s="128">
        <f>D53*'Key assumptions'!E$33</f>
        <v>0</v>
      </c>
      <c r="J53" s="128">
        <f>E53*'Key assumptions'!F$33</f>
        <v>0</v>
      </c>
      <c r="K53" s="128">
        <f>F53*'Key assumptions'!G$33</f>
        <v>4628.085643098384</v>
      </c>
      <c r="L53" s="130">
        <f t="shared" si="12"/>
        <v>4628.085643098384</v>
      </c>
    </row>
    <row r="54" spans="2:12" x14ac:dyDescent="0.2">
      <c r="B54" s="127" t="str">
        <v>Project Delivery Management - Project Engineering</v>
      </c>
      <c r="C54" s="234">
        <v>0</v>
      </c>
      <c r="D54" s="234">
        <v>0</v>
      </c>
      <c r="E54" s="234">
        <v>0</v>
      </c>
      <c r="F54" s="234">
        <v>0</v>
      </c>
      <c r="G54" s="130">
        <f t="shared" si="11"/>
        <v>0</v>
      </c>
      <c r="H54" s="128">
        <f>C54*'Key assumptions'!D$33</f>
        <v>0</v>
      </c>
      <c r="I54" s="128">
        <f>D54*'Key assumptions'!E$33</f>
        <v>0</v>
      </c>
      <c r="J54" s="128">
        <f>E54*'Key assumptions'!F$33</f>
        <v>0</v>
      </c>
      <c r="K54" s="128">
        <f>F54*'Key assumptions'!G$33</f>
        <v>0</v>
      </c>
      <c r="L54" s="130">
        <f t="shared" si="12"/>
        <v>0</v>
      </c>
    </row>
    <row r="55" spans="2:12" x14ac:dyDescent="0.2">
      <c r="B55" s="127" t="str">
        <v>Project Delivery Management - Project Management</v>
      </c>
      <c r="C55" s="234">
        <v>0</v>
      </c>
      <c r="D55" s="234">
        <v>16745</v>
      </c>
      <c r="E55" s="234">
        <v>88729.949999999924</v>
      </c>
      <c r="F55" s="234">
        <v>57614.080000000002</v>
      </c>
      <c r="G55" s="130">
        <f t="shared" si="11"/>
        <v>163089.02999999991</v>
      </c>
      <c r="H55" s="128">
        <f>C55*'Key assumptions'!D$33</f>
        <v>0</v>
      </c>
      <c r="I55" s="128">
        <f>D55*'Key assumptions'!E$33</f>
        <v>18149.531638802684</v>
      </c>
      <c r="J55" s="128">
        <f>E55*'Key assumptions'!F$33</f>
        <v>93363.090760503866</v>
      </c>
      <c r="K55" s="128">
        <f>F55*'Key assumptions'!G$33</f>
        <v>58749.51449956854</v>
      </c>
      <c r="L55" s="130">
        <f t="shared" si="12"/>
        <v>170262.13689887509</v>
      </c>
    </row>
    <row r="56" spans="2:12" x14ac:dyDescent="0.2">
      <c r="B56" s="127" t="str">
        <v>Project Development</v>
      </c>
      <c r="C56" s="234">
        <v>918106.52</v>
      </c>
      <c r="D56" s="234">
        <v>1436626.52</v>
      </c>
      <c r="E56" s="234">
        <v>5099014.79</v>
      </c>
      <c r="F56" s="234">
        <v>286751.09000000008</v>
      </c>
      <c r="G56" s="130">
        <f t="shared" si="11"/>
        <v>7740498.9199999999</v>
      </c>
      <c r="H56" s="128">
        <f>C56*'Key assumptions'!D$33</f>
        <v>1047927.060218823</v>
      </c>
      <c r="I56" s="128">
        <f>D56*'Key assumptions'!E$33</f>
        <v>1557127.4098467005</v>
      </c>
      <c r="J56" s="128">
        <f>E56*'Key assumptions'!F$33</f>
        <v>5365265.9629349727</v>
      </c>
      <c r="K56" s="128">
        <f>F56*'Key assumptions'!G$33</f>
        <v>292402.26208111085</v>
      </c>
      <c r="L56" s="130">
        <f t="shared" si="12"/>
        <v>8262722.6950816065</v>
      </c>
    </row>
    <row r="57" spans="2:12" x14ac:dyDescent="0.2">
      <c r="B57" s="127" t="str">
        <v>Regulatory Approvals</v>
      </c>
      <c r="C57" s="234">
        <v>0</v>
      </c>
      <c r="D57" s="234">
        <v>32202.5</v>
      </c>
      <c r="E57" s="234">
        <v>121380.55</v>
      </c>
      <c r="F57" s="234">
        <v>493770</v>
      </c>
      <c r="G57" s="130">
        <f t="shared" si="11"/>
        <v>647353.05000000005</v>
      </c>
      <c r="H57" s="128">
        <f>C57*'Key assumptions'!D$33</f>
        <v>0</v>
      </c>
      <c r="I57" s="128">
        <f>D57*'Key assumptions'!E$33</f>
        <v>34903.570773278203</v>
      </c>
      <c r="J57" s="128">
        <f>E57*'Key assumptions'!F$33</f>
        <v>127718.58100010072</v>
      </c>
      <c r="K57" s="128">
        <f>F57*'Key assumptions'!G$33</f>
        <v>503501.01528050011</v>
      </c>
      <c r="L57" s="130">
        <f t="shared" si="12"/>
        <v>666123.16705387901</v>
      </c>
    </row>
    <row r="58" spans="2:12" x14ac:dyDescent="0.2">
      <c r="B58" s="127" t="str">
        <v>Transaction Procurement Support</v>
      </c>
      <c r="C58" s="234">
        <v>0</v>
      </c>
      <c r="D58" s="234">
        <v>0</v>
      </c>
      <c r="E58" s="234">
        <v>1571759.34</v>
      </c>
      <c r="F58" s="234">
        <v>620603.92885716003</v>
      </c>
      <c r="G58" s="130">
        <f t="shared" si="11"/>
        <v>2192363.2688571601</v>
      </c>
      <c r="H58" s="128">
        <f>C58*'Key assumptions'!D$33</f>
        <v>0</v>
      </c>
      <c r="I58" s="128">
        <f>D58*'Key assumptions'!E$33</f>
        <v>0</v>
      </c>
      <c r="J58" s="128">
        <f>E58*'Key assumptions'!F$33</f>
        <v>1653830.639080601</v>
      </c>
      <c r="K58" s="128">
        <f>F58*'Key assumptions'!G$33</f>
        <v>632834.53483736829</v>
      </c>
      <c r="L58" s="130">
        <f t="shared" si="12"/>
        <v>2286665.1739179692</v>
      </c>
    </row>
    <row r="59" spans="2:12" x14ac:dyDescent="0.2">
      <c r="B59" s="129" t="s">
        <v>133</v>
      </c>
      <c r="C59" s="128">
        <f t="shared" ref="C59:E59" si="13">SUM(C46:C58)</f>
        <v>918106.52</v>
      </c>
      <c r="D59" s="128">
        <f t="shared" si="13"/>
        <v>1520573.9</v>
      </c>
      <c r="E59" s="128">
        <f t="shared" si="13"/>
        <v>8730921.6100000013</v>
      </c>
      <c r="F59" s="128">
        <f>SUM(F46:F58)</f>
        <v>1786207.2688571601</v>
      </c>
      <c r="G59" s="128">
        <f>SUM(G46:G58)</f>
        <v>12955809.298857162</v>
      </c>
      <c r="H59" s="128">
        <f t="shared" ref="H59" si="14">SUM(H46:H58)</f>
        <v>1047927.060218823</v>
      </c>
      <c r="I59" s="128">
        <f t="shared" ref="I59" si="15">SUM(I46:I58)</f>
        <v>1648116.1007576943</v>
      </c>
      <c r="J59" s="128">
        <f t="shared" ref="J59" si="16">SUM(J46:J58)</f>
        <v>9186817.1535910405</v>
      </c>
      <c r="K59" s="128">
        <f t="shared" ref="K59" si="17">SUM(K46:K58)</f>
        <v>1821409.1041800622</v>
      </c>
      <c r="L59" s="128">
        <f t="shared" ref="L59" si="18">SUM(L46:L58)</f>
        <v>13704269.418747619</v>
      </c>
    </row>
    <row r="61" spans="2:12" x14ac:dyDescent="0.2">
      <c r="B61" s="118" t="s">
        <v>133</v>
      </c>
      <c r="C61" s="118"/>
      <c r="D61" s="118"/>
      <c r="E61" s="118"/>
      <c r="F61" s="118"/>
      <c r="G61" s="118"/>
      <c r="H61" s="118"/>
      <c r="I61" s="118"/>
      <c r="J61" s="118"/>
      <c r="K61" s="118"/>
      <c r="L61" s="118"/>
    </row>
    <row r="63" spans="2:12" x14ac:dyDescent="0.2">
      <c r="B63" s="124"/>
      <c r="C63" s="166" t="s">
        <v>130</v>
      </c>
      <c r="D63" s="165"/>
      <c r="E63" s="165"/>
      <c r="F63" s="166"/>
      <c r="G63" s="166"/>
      <c r="H63" s="165" t="str">
        <f>"Historical (Real "&amp;'Key assumptions'!$D$11&amp;")"</f>
        <v>Historical (Real $RY2026)</v>
      </c>
      <c r="I63" s="166"/>
      <c r="J63" s="165"/>
      <c r="K63" s="165"/>
      <c r="L63" s="166"/>
    </row>
    <row r="64" spans="2:12" ht="25.5" x14ac:dyDescent="0.2">
      <c r="B64" s="150" t="s">
        <v>131</v>
      </c>
      <c r="C64" s="163" t="str">
        <f>'Key assumptions'!D$16</f>
        <v>RY2023</v>
      </c>
      <c r="D64" s="163" t="str">
        <f>'Key assumptions'!E$16</f>
        <v>RY2024</v>
      </c>
      <c r="E64" s="163" t="str">
        <f>'Key assumptions'!F$16</f>
        <v>RY2025</v>
      </c>
      <c r="F64" s="163" t="str">
        <f>'Key assumptions'!G$16</f>
        <v>RY2026
01Oct-31Jan</v>
      </c>
      <c r="G64" s="164" t="s">
        <v>132</v>
      </c>
      <c r="H64" s="167" t="str">
        <f>'Key assumptions'!D$16</f>
        <v>RY2023</v>
      </c>
      <c r="I64" s="167" t="str">
        <f>'Key assumptions'!E$16</f>
        <v>RY2024</v>
      </c>
      <c r="J64" s="167" t="str">
        <f>'Key assumptions'!F$16</f>
        <v>RY2025</v>
      </c>
      <c r="K64" s="163" t="str">
        <f>'Key assumptions'!G$16</f>
        <v>RY2026
01Oct-31Jan</v>
      </c>
      <c r="L64" s="164" t="s">
        <v>132</v>
      </c>
    </row>
    <row r="65" spans="2:12" x14ac:dyDescent="0.2">
      <c r="B65" s="127" t="str" cm="1">
        <f t="array" ref="B65:B77">CostCategories</f>
        <v>Community and Stakeholder Engagement</v>
      </c>
      <c r="C65" s="130">
        <f t="shared" ref="C65:F65" si="19">C8+C27+C46</f>
        <v>0</v>
      </c>
      <c r="D65" s="130">
        <f t="shared" si="19"/>
        <v>0</v>
      </c>
      <c r="E65" s="130">
        <f t="shared" si="19"/>
        <v>70411.565999999919</v>
      </c>
      <c r="F65" s="130">
        <f t="shared" si="19"/>
        <v>0</v>
      </c>
      <c r="G65" s="130">
        <f>SUM(C65:F65)</f>
        <v>70411.565999999919</v>
      </c>
      <c r="H65" s="130">
        <f t="shared" ref="H65:K65" si="20">H8+H27+H46</f>
        <v>0</v>
      </c>
      <c r="I65" s="130">
        <f t="shared" si="20"/>
        <v>0</v>
      </c>
      <c r="J65" s="130">
        <f t="shared" si="20"/>
        <v>74088.19036917304</v>
      </c>
      <c r="K65" s="130">
        <f t="shared" si="20"/>
        <v>0</v>
      </c>
      <c r="L65" s="130">
        <f>SUM(H65:K65)</f>
        <v>74088.19036917304</v>
      </c>
    </row>
    <row r="66" spans="2:12" x14ac:dyDescent="0.2">
      <c r="B66" s="127" t="str">
        <v>Fleet</v>
      </c>
      <c r="C66" s="130">
        <f t="shared" ref="C66:F66" si="21">C9+C28+C47</f>
        <v>0</v>
      </c>
      <c r="D66" s="130">
        <f t="shared" si="21"/>
        <v>0</v>
      </c>
      <c r="E66" s="130">
        <f t="shared" si="21"/>
        <v>0</v>
      </c>
      <c r="F66" s="130">
        <f t="shared" si="21"/>
        <v>0</v>
      </c>
      <c r="G66" s="130">
        <f t="shared" ref="G66:G77" si="22">SUM(C66:F66)</f>
        <v>0</v>
      </c>
      <c r="H66" s="130">
        <f t="shared" ref="H66:K66" si="23">H9+H28+H47</f>
        <v>0</v>
      </c>
      <c r="I66" s="130">
        <f t="shared" si="23"/>
        <v>0</v>
      </c>
      <c r="J66" s="130">
        <f t="shared" si="23"/>
        <v>0</v>
      </c>
      <c r="K66" s="130">
        <f t="shared" si="23"/>
        <v>0</v>
      </c>
      <c r="L66" s="130">
        <f t="shared" ref="L66:L77" si="24">SUM(H66:K66)</f>
        <v>0</v>
      </c>
    </row>
    <row r="67" spans="2:12" x14ac:dyDescent="0.2">
      <c r="B67" s="127" t="str">
        <v>Land and Environment</v>
      </c>
      <c r="C67" s="130">
        <f t="shared" ref="C67:F67" si="25">C10+C29+C48</f>
        <v>0</v>
      </c>
      <c r="D67" s="130">
        <f t="shared" si="25"/>
        <v>20151.156999999996</v>
      </c>
      <c r="E67" s="130">
        <f t="shared" si="25"/>
        <v>867457.9583614039</v>
      </c>
      <c r="F67" s="130">
        <f t="shared" si="25"/>
        <v>378000.94263859966</v>
      </c>
      <c r="G67" s="130">
        <f t="shared" si="22"/>
        <v>1265610.0580000035</v>
      </c>
      <c r="H67" s="130">
        <f t="shared" ref="H67:K67" si="26">H10+H29+H48</f>
        <v>0</v>
      </c>
      <c r="I67" s="130">
        <f t="shared" si="26"/>
        <v>21841.389162733958</v>
      </c>
      <c r="J67" s="130">
        <f t="shared" si="26"/>
        <v>912753.31607216282</v>
      </c>
      <c r="K67" s="130">
        <f t="shared" si="26"/>
        <v>385450.42913810274</v>
      </c>
      <c r="L67" s="130">
        <f t="shared" si="24"/>
        <v>1320045.1343729994</v>
      </c>
    </row>
    <row r="68" spans="2:12" x14ac:dyDescent="0.2">
      <c r="B68" s="127" t="str">
        <v>Other Support &amp; Corporate Roles</v>
      </c>
      <c r="C68" s="130">
        <f t="shared" ref="C68:F68" si="27">C11+C30+C49</f>
        <v>0</v>
      </c>
      <c r="D68" s="130">
        <f t="shared" si="27"/>
        <v>82005.729999999981</v>
      </c>
      <c r="E68" s="130">
        <f t="shared" si="27"/>
        <v>1789678.0180668596</v>
      </c>
      <c r="F68" s="130">
        <f t="shared" si="27"/>
        <v>382338.09714412532</v>
      </c>
      <c r="G68" s="130">
        <f t="shared" si="22"/>
        <v>2254021.8452109848</v>
      </c>
      <c r="H68" s="130">
        <f t="shared" ref="H68:K68" si="28">H11+H30+H49</f>
        <v>0</v>
      </c>
      <c r="I68" s="130">
        <f t="shared" si="28"/>
        <v>88884.179826701118</v>
      </c>
      <c r="J68" s="130">
        <f t="shared" si="28"/>
        <v>1883128.2022908276</v>
      </c>
      <c r="K68" s="130">
        <f t="shared" si="28"/>
        <v>389873.0584937958</v>
      </c>
      <c r="L68" s="130">
        <f t="shared" si="24"/>
        <v>2361885.4406113243</v>
      </c>
    </row>
    <row r="69" spans="2:12" x14ac:dyDescent="0.2">
      <c r="B69" s="127" t="str">
        <v>Project Delivery Management - Commercial Management</v>
      </c>
      <c r="C69" s="130">
        <f t="shared" ref="C69:F69" si="29">C12+C31+C50</f>
        <v>0</v>
      </c>
      <c r="D69" s="130">
        <f t="shared" si="29"/>
        <v>0</v>
      </c>
      <c r="E69" s="130">
        <f t="shared" si="29"/>
        <v>112191.4</v>
      </c>
      <c r="F69" s="130">
        <f t="shared" si="29"/>
        <v>0</v>
      </c>
      <c r="G69" s="130">
        <f t="shared" si="22"/>
        <v>112191.4</v>
      </c>
      <c r="H69" s="130">
        <f t="shared" ref="H69:K69" si="30">H12+H31+H50</f>
        <v>0</v>
      </c>
      <c r="I69" s="130">
        <f t="shared" si="30"/>
        <v>0</v>
      </c>
      <c r="J69" s="130">
        <f t="shared" si="30"/>
        <v>118049.60851153417</v>
      </c>
      <c r="K69" s="130">
        <f t="shared" si="30"/>
        <v>0</v>
      </c>
      <c r="L69" s="130">
        <f t="shared" si="24"/>
        <v>118049.60851153417</v>
      </c>
    </row>
    <row r="70" spans="2:12" x14ac:dyDescent="0.2">
      <c r="B70" s="127" t="str">
        <v>Project Delivery Management - Commissioning</v>
      </c>
      <c r="C70" s="130">
        <f t="shared" ref="C70:F70" si="31">C13+C32+C51</f>
        <v>0</v>
      </c>
      <c r="D70" s="130">
        <f t="shared" si="31"/>
        <v>0</v>
      </c>
      <c r="E70" s="130">
        <f t="shared" si="31"/>
        <v>0</v>
      </c>
      <c r="F70" s="130">
        <f t="shared" si="31"/>
        <v>0</v>
      </c>
      <c r="G70" s="130">
        <f t="shared" si="22"/>
        <v>0</v>
      </c>
      <c r="H70" s="130">
        <f t="shared" ref="H70:K70" si="32">H13+H32+H51</f>
        <v>0</v>
      </c>
      <c r="I70" s="130">
        <f t="shared" si="32"/>
        <v>0</v>
      </c>
      <c r="J70" s="130">
        <f t="shared" si="32"/>
        <v>0</v>
      </c>
      <c r="K70" s="130">
        <f t="shared" si="32"/>
        <v>0</v>
      </c>
      <c r="L70" s="130">
        <f t="shared" si="24"/>
        <v>0</v>
      </c>
    </row>
    <row r="71" spans="2:12" x14ac:dyDescent="0.2">
      <c r="B71" s="127" t="str">
        <v>Project Delivery Management - Construction Management</v>
      </c>
      <c r="C71" s="130">
        <f t="shared" ref="C71:F71" si="33">C14+C33+C52</f>
        <v>0</v>
      </c>
      <c r="D71" s="130">
        <f t="shared" si="33"/>
        <v>2264.3900000000003</v>
      </c>
      <c r="E71" s="130">
        <f t="shared" si="33"/>
        <v>93242.780000000246</v>
      </c>
      <c r="F71" s="130">
        <f t="shared" si="33"/>
        <v>13498</v>
      </c>
      <c r="G71" s="130">
        <f t="shared" si="22"/>
        <v>109005.17000000025</v>
      </c>
      <c r="H71" s="130">
        <f t="shared" ref="H71:K71" si="34">H14+H33+H52</f>
        <v>0</v>
      </c>
      <c r="I71" s="130">
        <f t="shared" si="34"/>
        <v>2454.3217645618643</v>
      </c>
      <c r="J71" s="130">
        <f t="shared" si="34"/>
        <v>98111.563591568847</v>
      </c>
      <c r="K71" s="130">
        <f t="shared" si="34"/>
        <v>13764.013010624765</v>
      </c>
      <c r="L71" s="130">
        <f t="shared" si="24"/>
        <v>114329.89836675549</v>
      </c>
    </row>
    <row r="72" spans="2:12" x14ac:dyDescent="0.2">
      <c r="B72" s="127" t="str">
        <v>Project Delivery Management - Project Controls</v>
      </c>
      <c r="C72" s="130">
        <f t="shared" ref="C72:F72" si="35">C15+C34+C53</f>
        <v>0</v>
      </c>
      <c r="D72" s="130">
        <f t="shared" si="35"/>
        <v>0</v>
      </c>
      <c r="E72" s="130">
        <f t="shared" si="35"/>
        <v>2663.2000000000003</v>
      </c>
      <c r="F72" s="130">
        <f t="shared" si="35"/>
        <v>336424.3000000001</v>
      </c>
      <c r="G72" s="130">
        <f t="shared" si="22"/>
        <v>339087.50000000012</v>
      </c>
      <c r="H72" s="130">
        <f t="shared" ref="H72:K72" si="36">H15+H34+H53</f>
        <v>0</v>
      </c>
      <c r="I72" s="130">
        <f t="shared" si="36"/>
        <v>0</v>
      </c>
      <c r="J72" s="130">
        <f t="shared" si="36"/>
        <v>2802.2621821986163</v>
      </c>
      <c r="K72" s="130">
        <f t="shared" si="36"/>
        <v>343054.41119353462</v>
      </c>
      <c r="L72" s="130">
        <f t="shared" si="24"/>
        <v>345856.67337573325</v>
      </c>
    </row>
    <row r="73" spans="2:12" x14ac:dyDescent="0.2">
      <c r="B73" s="127" t="str">
        <v>Project Delivery Management - Project Engineering</v>
      </c>
      <c r="C73" s="130">
        <f t="shared" ref="C73:F73" si="37">C16+C35+C54</f>
        <v>0</v>
      </c>
      <c r="D73" s="130">
        <f t="shared" si="37"/>
        <v>0</v>
      </c>
      <c r="E73" s="130">
        <f t="shared" si="37"/>
        <v>0</v>
      </c>
      <c r="F73" s="130">
        <f t="shared" si="37"/>
        <v>0</v>
      </c>
      <c r="G73" s="130">
        <f t="shared" si="22"/>
        <v>0</v>
      </c>
      <c r="H73" s="130">
        <f t="shared" ref="H73:K73" si="38">H16+H35+H54</f>
        <v>0</v>
      </c>
      <c r="I73" s="130">
        <f t="shared" si="38"/>
        <v>0</v>
      </c>
      <c r="J73" s="130">
        <f t="shared" si="38"/>
        <v>0</v>
      </c>
      <c r="K73" s="130">
        <f t="shared" si="38"/>
        <v>0</v>
      </c>
      <c r="L73" s="130">
        <f t="shared" si="24"/>
        <v>0</v>
      </c>
    </row>
    <row r="74" spans="2:12" x14ac:dyDescent="0.2">
      <c r="B74" s="127" t="str">
        <v>Project Delivery Management - Project Management</v>
      </c>
      <c r="C74" s="130">
        <f t="shared" ref="C74:F74" si="39">C17+C36+C55</f>
        <v>0</v>
      </c>
      <c r="D74" s="130">
        <f t="shared" si="39"/>
        <v>203438.13000000076</v>
      </c>
      <c r="E74" s="130">
        <f t="shared" si="39"/>
        <v>1976613.2645759911</v>
      </c>
      <c r="F74" s="130">
        <f t="shared" si="39"/>
        <v>2807928.6630588304</v>
      </c>
      <c r="G74" s="130">
        <f t="shared" si="22"/>
        <v>4987980.0576348221</v>
      </c>
      <c r="H74" s="130">
        <f t="shared" ref="H74:K74" si="40">H17+H36+H55</f>
        <v>0</v>
      </c>
      <c r="I74" s="130">
        <f t="shared" si="40"/>
        <v>220502.0469975436</v>
      </c>
      <c r="J74" s="130">
        <f t="shared" si="40"/>
        <v>2079824.4969035173</v>
      </c>
      <c r="K74" s="130">
        <f t="shared" si="40"/>
        <v>2863266.1617460321</v>
      </c>
      <c r="L74" s="130">
        <f t="shared" si="24"/>
        <v>5163592.7056470923</v>
      </c>
    </row>
    <row r="75" spans="2:12" x14ac:dyDescent="0.2">
      <c r="B75" s="127" t="str">
        <v>Project Development</v>
      </c>
      <c r="C75" s="130">
        <f t="shared" ref="C75:F75" si="41">C18+C37+C56</f>
        <v>2750672.26</v>
      </c>
      <c r="D75" s="130">
        <f t="shared" si="41"/>
        <v>4687092.7152969129</v>
      </c>
      <c r="E75" s="130">
        <f t="shared" si="41"/>
        <v>12110491.434746716</v>
      </c>
      <c r="F75" s="130">
        <f t="shared" si="41"/>
        <v>1024735.9993995874</v>
      </c>
      <c r="G75" s="130">
        <f t="shared" si="22"/>
        <v>20572992.409443215</v>
      </c>
      <c r="H75" s="130">
        <f t="shared" ref="H75:K75" si="42">H18+H37+H56</f>
        <v>3139618.1513309213</v>
      </c>
      <c r="I75" s="130">
        <f t="shared" si="42"/>
        <v>5080235.1466278238</v>
      </c>
      <c r="J75" s="130">
        <f t="shared" si="42"/>
        <v>12742855.270137798</v>
      </c>
      <c r="K75" s="130">
        <f t="shared" si="42"/>
        <v>1044931.0733583858</v>
      </c>
      <c r="L75" s="130">
        <f t="shared" si="24"/>
        <v>22007639.641454928</v>
      </c>
    </row>
    <row r="76" spans="2:12" x14ac:dyDescent="0.2">
      <c r="B76" s="127" t="str">
        <v>Regulatory Approvals</v>
      </c>
      <c r="C76" s="130">
        <f t="shared" ref="C76:F76" si="43">C19+C38+C57</f>
        <v>0</v>
      </c>
      <c r="D76" s="130">
        <f t="shared" si="43"/>
        <v>49869.779999999992</v>
      </c>
      <c r="E76" s="130">
        <f t="shared" si="43"/>
        <v>361069.1999999996</v>
      </c>
      <c r="F76" s="130">
        <f t="shared" si="43"/>
        <v>721275.94999999856</v>
      </c>
      <c r="G76" s="130">
        <f t="shared" si="22"/>
        <v>1132214.9299999981</v>
      </c>
      <c r="H76" s="130">
        <f t="shared" ref="H76:K76" si="44">H19+H38+H57</f>
        <v>0</v>
      </c>
      <c r="I76" s="130">
        <f t="shared" si="44"/>
        <v>54052.741112578631</v>
      </c>
      <c r="J76" s="130">
        <f t="shared" si="44"/>
        <v>379922.86133850535</v>
      </c>
      <c r="K76" s="130">
        <f t="shared" si="44"/>
        <v>735490.55860503181</v>
      </c>
      <c r="L76" s="130">
        <f t="shared" si="24"/>
        <v>1169466.1610561158</v>
      </c>
    </row>
    <row r="77" spans="2:12" x14ac:dyDescent="0.2">
      <c r="B77" s="127" t="str">
        <v>Transaction Procurement Support</v>
      </c>
      <c r="C77" s="130">
        <f t="shared" ref="C77:F77" si="45">C20+C39+C58</f>
        <v>0</v>
      </c>
      <c r="D77" s="130">
        <f t="shared" si="45"/>
        <v>24070.890000000003</v>
      </c>
      <c r="E77" s="130">
        <f t="shared" si="45"/>
        <v>1939959.4720000012</v>
      </c>
      <c r="F77" s="130">
        <f t="shared" si="45"/>
        <v>932468.39885716117</v>
      </c>
      <c r="G77" s="130">
        <f t="shared" si="22"/>
        <v>2896498.7608571621</v>
      </c>
      <c r="H77" s="130">
        <f t="shared" ref="H77:K77" si="46">H20+H39+H58</f>
        <v>0</v>
      </c>
      <c r="I77" s="130">
        <f t="shared" si="46"/>
        <v>26089.900246589383</v>
      </c>
      <c r="J77" s="130">
        <f t="shared" si="46"/>
        <v>2041256.7825862113</v>
      </c>
      <c r="K77" s="130">
        <f t="shared" si="46"/>
        <v>950845.10104211071</v>
      </c>
      <c r="L77" s="130">
        <f t="shared" si="24"/>
        <v>3018191.7838749113</v>
      </c>
    </row>
    <row r="78" spans="2:12" x14ac:dyDescent="0.2">
      <c r="B78" s="129" t="s">
        <v>133</v>
      </c>
      <c r="C78" s="128">
        <f t="shared" ref="C78:D78" si="47">SUM(C65:C77)</f>
        <v>2750672.26</v>
      </c>
      <c r="D78" s="128">
        <f t="shared" si="47"/>
        <v>5068892.7922969135</v>
      </c>
      <c r="E78" s="128">
        <f>SUM(E65:E77)</f>
        <v>19323778.293750975</v>
      </c>
      <c r="F78" s="128">
        <f>SUM(F65:F77)</f>
        <v>6596670.3510983028</v>
      </c>
      <c r="G78" s="128">
        <f>SUM(G65:G77)</f>
        <v>33740013.697146185</v>
      </c>
      <c r="H78" s="128">
        <f t="shared" ref="H78:I78" si="48">SUM(H65:H77)</f>
        <v>3139618.1513309213</v>
      </c>
      <c r="I78" s="128">
        <f t="shared" si="48"/>
        <v>5494059.7257385328</v>
      </c>
      <c r="J78" s="128">
        <f>SUM(J65:J77)</f>
        <v>20332792.553983495</v>
      </c>
      <c r="K78" s="128">
        <f>SUM(K65:K77)</f>
        <v>6726674.8065876178</v>
      </c>
      <c r="L78" s="128">
        <f>SUM(L65:L77)</f>
        <v>35693145.237640567</v>
      </c>
    </row>
    <row r="80" spans="2:12" ht="16.5" x14ac:dyDescent="0.2">
      <c r="B80" s="206" t="s">
        <v>134</v>
      </c>
      <c r="C80" s="159" t="s">
        <v>337</v>
      </c>
      <c r="D80" s="159" t="s">
        <v>337</v>
      </c>
      <c r="E80" s="159" t="s">
        <v>337</v>
      </c>
      <c r="F80" s="159" t="s">
        <v>337</v>
      </c>
      <c r="G80" s="159" t="str">
        <f>IF(ROUND(G78-SUM(C78:F78),4)=0,"OK","ERROR")</f>
        <v>OK</v>
      </c>
      <c r="H80" s="159" t="str">
        <f>IF(ROUND(H78-C78*'Key assumptions'!D$33,4)=0,"OK","ERROR")</f>
        <v>OK</v>
      </c>
      <c r="I80" s="159" t="str">
        <f>IF(ROUND(I78-D78*'Key assumptions'!E$33,4)=0,"OK","ERROR")</f>
        <v>OK</v>
      </c>
      <c r="J80" s="159" t="str">
        <f>IF(ROUND(J78-E78*'Key assumptions'!F$33,4)=0,"OK","ERROR")</f>
        <v>OK</v>
      </c>
      <c r="K80" s="159" t="str">
        <f>IF(ROUND(K78-F78*'Key assumptions'!G$33,4)=0,"OK","ERROR")</f>
        <v>OK</v>
      </c>
      <c r="L80" s="159" t="str">
        <f>IF(ROUND(L78-SUM(H78:K78),4)=0,"OK","ERROR")</f>
        <v>OK</v>
      </c>
    </row>
    <row r="82" spans="1:13" ht="26.25" customHeight="1" x14ac:dyDescent="0.2">
      <c r="A82" s="72"/>
      <c r="B82" s="72"/>
      <c r="C82" s="72"/>
      <c r="D82" s="72"/>
      <c r="E82" s="71"/>
      <c r="F82" s="71"/>
      <c r="G82" s="74"/>
      <c r="H82" s="74"/>
      <c r="I82" s="74"/>
      <c r="J82" s="74"/>
      <c r="K82" s="74"/>
      <c r="L82" s="71"/>
      <c r="M82" s="71"/>
    </row>
  </sheetData>
  <conditionalFormatting sqref="C80:L80">
    <cfRule type="cellIs" dxfId="171" priority="1" operator="equal">
      <formula>"ERROR"</formula>
    </cfRule>
    <cfRule type="cellIs" dxfId="170" priority="2" operator="equal">
      <formula>"OK"</formula>
    </cfRule>
    <cfRule type="expression" dxfId="169" priority="3">
      <formula>#REF!="Manual $ Spread"</formula>
    </cfRule>
  </conditionalFormatting>
  <pageMargins left="0.7" right="0.7" top="0.75" bottom="0.75" header="0.3" footer="0.3"/>
  <pageSetup orientation="portrait" r:id="rId1"/>
  <headerFooter>
    <oddFooter>&amp;L_x000D_&amp;1#&amp;"Aptos"&amp;10&amp;K000000 Official</oddFooter>
  </headerFooter>
  <ignoredErrors>
    <ignoredError sqref="G65:G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E10D-A2AC-4404-B7A7-C53C06F8ECF7}">
  <sheetPr codeName="Sheet4">
    <tabColor rgb="FFFFFF00"/>
    <pageSetUpPr autoPageBreaks="0"/>
  </sheetPr>
  <dimension ref="A1:FX503"/>
  <sheetViews>
    <sheetView showGridLines="0" zoomScaleNormal="100" workbookViewId="0">
      <pane xSplit="3" ySplit="5" topLeftCell="D6" activePane="bottomRight" state="frozen"/>
      <selection activeCell="A2" sqref="A2"/>
      <selection pane="topRight" activeCell="A2" sqref="A2"/>
      <selection pane="bottomLeft" activeCell="A2" sqref="A2"/>
      <selection pane="bottomRight"/>
    </sheetView>
  </sheetViews>
  <sheetFormatPr defaultColWidth="8.88671875" defaultRowHeight="12.75" outlineLevelCol="1" x14ac:dyDescent="0.2"/>
  <cols>
    <col min="1" max="1" width="2.88671875" style="65" customWidth="1"/>
    <col min="2" max="2" width="23.109375" style="65" customWidth="1"/>
    <col min="3" max="3" width="84.109375" style="65" customWidth="1"/>
    <col min="4" max="8" width="11.109375" style="65" customWidth="1"/>
    <col min="9" max="9" width="11.109375" style="79" customWidth="1"/>
    <col min="10" max="10" width="11.109375" style="77" customWidth="1"/>
    <col min="11" max="94" width="11.109375" style="65" customWidth="1" outlineLevel="1"/>
    <col min="95" max="95" width="11.109375" style="77" customWidth="1"/>
    <col min="96" max="179" width="11.109375" style="65" customWidth="1" outlineLevel="1"/>
    <col min="180" max="180" width="11.109375" style="77" customWidth="1"/>
    <col min="181" max="16384" width="8.88671875" style="65"/>
  </cols>
  <sheetData>
    <row r="1" spans="1:180" ht="25.5" x14ac:dyDescent="0.2">
      <c r="A1" s="68"/>
      <c r="B1" s="67" t="str">
        <f>Overview!$B$1</f>
        <v>Labour and overhead costs for Accelerated Syncons</v>
      </c>
      <c r="C1" s="68"/>
      <c r="D1" s="68"/>
      <c r="E1" s="68"/>
      <c r="F1" s="68"/>
      <c r="G1" s="68"/>
      <c r="H1" s="68"/>
      <c r="I1" s="68"/>
      <c r="J1" s="68"/>
      <c r="K1" s="69"/>
      <c r="L1" s="70"/>
      <c r="M1" s="70"/>
      <c r="N1" s="70"/>
      <c r="O1" s="70"/>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row>
    <row r="2" spans="1:180" ht="20.25" x14ac:dyDescent="0.2">
      <c r="A2" s="71"/>
      <c r="B2" s="72" t="s">
        <v>26</v>
      </c>
      <c r="C2" s="71"/>
      <c r="D2" s="71"/>
      <c r="E2" s="73"/>
      <c r="F2" s="73"/>
      <c r="G2" s="73"/>
      <c r="H2" s="71"/>
      <c r="I2" s="71"/>
      <c r="J2" s="71"/>
      <c r="K2" s="74"/>
      <c r="L2" s="74"/>
      <c r="M2" s="74"/>
      <c r="N2" s="74"/>
      <c r="O2" s="74"/>
      <c r="P2" s="71"/>
      <c r="Q2" s="71"/>
      <c r="R2" s="71"/>
      <c r="S2" s="71"/>
      <c r="T2" s="71"/>
      <c r="U2" s="71"/>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1"/>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1"/>
    </row>
    <row r="3" spans="1:180" x14ac:dyDescent="0.2">
      <c r="I3" s="65"/>
      <c r="J3" s="65"/>
      <c r="K3" s="77"/>
      <c r="L3" s="77"/>
      <c r="M3" s="77"/>
      <c r="N3" s="77"/>
      <c r="O3" s="77"/>
      <c r="CQ3" s="65"/>
      <c r="FX3" s="65"/>
    </row>
    <row r="4" spans="1:180" x14ac:dyDescent="0.2">
      <c r="B4" s="118" t="s">
        <v>135</v>
      </c>
      <c r="C4" s="117"/>
      <c r="D4" s="117"/>
      <c r="E4" s="117"/>
      <c r="F4" s="117"/>
      <c r="G4" s="117"/>
      <c r="H4" s="118"/>
      <c r="I4" s="118"/>
      <c r="J4" s="116" t="s">
        <v>136</v>
      </c>
      <c r="K4" s="118" t="s">
        <v>137</v>
      </c>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6" t="s">
        <v>136</v>
      </c>
      <c r="CR4" s="118" t="s">
        <v>138</v>
      </c>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18"/>
      <c r="FS4" s="118"/>
      <c r="FT4" s="118"/>
      <c r="FU4" s="118"/>
      <c r="FV4" s="118"/>
      <c r="FW4" s="118"/>
      <c r="FX4" s="116" t="s">
        <v>136</v>
      </c>
    </row>
    <row r="5" spans="1:180" s="122" customFormat="1" x14ac:dyDescent="0.2">
      <c r="B5" s="123" t="s">
        <v>139</v>
      </c>
      <c r="C5" s="123" t="s">
        <v>51</v>
      </c>
      <c r="D5" s="123" t="s">
        <v>140</v>
      </c>
      <c r="E5" s="123" t="s">
        <v>141</v>
      </c>
      <c r="F5" s="123" t="s">
        <v>142</v>
      </c>
      <c r="G5" s="123" t="s">
        <v>143</v>
      </c>
      <c r="H5" s="123" t="s">
        <v>144</v>
      </c>
      <c r="I5" s="124" t="s">
        <v>145</v>
      </c>
      <c r="J5" s="116"/>
      <c r="K5" s="125">
        <v>45658</v>
      </c>
      <c r="L5" s="125">
        <v>45689</v>
      </c>
      <c r="M5" s="125">
        <v>45717</v>
      </c>
      <c r="N5" s="125">
        <v>45748</v>
      </c>
      <c r="O5" s="125">
        <v>45778</v>
      </c>
      <c r="P5" s="125">
        <v>45809</v>
      </c>
      <c r="Q5" s="125">
        <v>45839</v>
      </c>
      <c r="R5" s="125">
        <v>45870</v>
      </c>
      <c r="S5" s="125">
        <v>45901</v>
      </c>
      <c r="T5" s="125">
        <v>45931</v>
      </c>
      <c r="U5" s="125">
        <v>45962</v>
      </c>
      <c r="V5" s="125">
        <v>45992</v>
      </c>
      <c r="W5" s="125">
        <v>46023</v>
      </c>
      <c r="X5" s="125">
        <v>46054</v>
      </c>
      <c r="Y5" s="125">
        <v>46082</v>
      </c>
      <c r="Z5" s="125">
        <v>46113</v>
      </c>
      <c r="AA5" s="125">
        <v>46143</v>
      </c>
      <c r="AB5" s="125">
        <v>46174</v>
      </c>
      <c r="AC5" s="125">
        <v>46204</v>
      </c>
      <c r="AD5" s="125">
        <v>46235</v>
      </c>
      <c r="AE5" s="125">
        <v>46266</v>
      </c>
      <c r="AF5" s="125">
        <v>46296</v>
      </c>
      <c r="AG5" s="125">
        <v>46327</v>
      </c>
      <c r="AH5" s="125">
        <v>46357</v>
      </c>
      <c r="AI5" s="125">
        <v>46388</v>
      </c>
      <c r="AJ5" s="125">
        <v>46419</v>
      </c>
      <c r="AK5" s="125">
        <v>46447</v>
      </c>
      <c r="AL5" s="125">
        <v>46478</v>
      </c>
      <c r="AM5" s="125">
        <v>46508</v>
      </c>
      <c r="AN5" s="125">
        <v>46539</v>
      </c>
      <c r="AO5" s="125">
        <v>46569</v>
      </c>
      <c r="AP5" s="125">
        <v>46600</v>
      </c>
      <c r="AQ5" s="125">
        <v>46631</v>
      </c>
      <c r="AR5" s="125">
        <v>46661</v>
      </c>
      <c r="AS5" s="125">
        <v>46692</v>
      </c>
      <c r="AT5" s="125">
        <v>46722</v>
      </c>
      <c r="AU5" s="125">
        <v>46753</v>
      </c>
      <c r="AV5" s="125">
        <v>46784</v>
      </c>
      <c r="AW5" s="125">
        <v>46813</v>
      </c>
      <c r="AX5" s="125">
        <v>46844</v>
      </c>
      <c r="AY5" s="125">
        <v>46874</v>
      </c>
      <c r="AZ5" s="125">
        <v>46905</v>
      </c>
      <c r="BA5" s="125">
        <v>46935</v>
      </c>
      <c r="BB5" s="125">
        <v>46966</v>
      </c>
      <c r="BC5" s="125">
        <v>46997</v>
      </c>
      <c r="BD5" s="125">
        <v>47027</v>
      </c>
      <c r="BE5" s="125">
        <v>47058</v>
      </c>
      <c r="BF5" s="125">
        <v>47088</v>
      </c>
      <c r="BG5" s="125">
        <v>47119</v>
      </c>
      <c r="BH5" s="125">
        <v>47150</v>
      </c>
      <c r="BI5" s="125">
        <v>47178</v>
      </c>
      <c r="BJ5" s="125">
        <v>47209</v>
      </c>
      <c r="BK5" s="125">
        <v>47239</v>
      </c>
      <c r="BL5" s="125">
        <v>47270</v>
      </c>
      <c r="BM5" s="125">
        <v>47300</v>
      </c>
      <c r="BN5" s="125">
        <v>47331</v>
      </c>
      <c r="BO5" s="125">
        <v>47362</v>
      </c>
      <c r="BP5" s="125">
        <v>47392</v>
      </c>
      <c r="BQ5" s="125">
        <v>47423</v>
      </c>
      <c r="BR5" s="125">
        <v>47453</v>
      </c>
      <c r="BS5" s="125">
        <v>47514</v>
      </c>
      <c r="BT5" s="125">
        <v>47542</v>
      </c>
      <c r="BU5" s="125">
        <v>47573</v>
      </c>
      <c r="BV5" s="125">
        <v>47603</v>
      </c>
      <c r="BW5" s="125">
        <v>47634</v>
      </c>
      <c r="BX5" s="125">
        <v>47664</v>
      </c>
      <c r="BY5" s="125">
        <v>47695</v>
      </c>
      <c r="BZ5" s="125">
        <v>47726</v>
      </c>
      <c r="CA5" s="125">
        <v>47756</v>
      </c>
      <c r="CB5" s="125">
        <v>47787</v>
      </c>
      <c r="CC5" s="125">
        <v>47817</v>
      </c>
      <c r="CD5" s="125">
        <v>47848</v>
      </c>
      <c r="CE5" s="125">
        <v>47879</v>
      </c>
      <c r="CF5" s="125">
        <v>47907</v>
      </c>
      <c r="CG5" s="125">
        <v>47938</v>
      </c>
      <c r="CH5" s="125">
        <v>47968</v>
      </c>
      <c r="CI5" s="125">
        <v>47999</v>
      </c>
      <c r="CJ5" s="125">
        <v>48029</v>
      </c>
      <c r="CK5" s="125">
        <v>48060</v>
      </c>
      <c r="CL5" s="125">
        <v>48091</v>
      </c>
      <c r="CM5" s="125">
        <v>48121</v>
      </c>
      <c r="CN5" s="125">
        <v>48152</v>
      </c>
      <c r="CO5" s="125">
        <v>48182</v>
      </c>
      <c r="CP5" s="125">
        <v>48213</v>
      </c>
      <c r="CQ5" s="116"/>
      <c r="CR5" s="125">
        <f t="shared" ref="CR5" si="0">K5</f>
        <v>45658</v>
      </c>
      <c r="CS5" s="125">
        <f t="shared" ref="CS5" si="1">L5</f>
        <v>45689</v>
      </c>
      <c r="CT5" s="125">
        <f t="shared" ref="CT5" si="2">M5</f>
        <v>45717</v>
      </c>
      <c r="CU5" s="125">
        <f t="shared" ref="CU5" si="3">N5</f>
        <v>45748</v>
      </c>
      <c r="CV5" s="125">
        <f t="shared" ref="CV5" si="4">O5</f>
        <v>45778</v>
      </c>
      <c r="CW5" s="125">
        <f t="shared" ref="CW5" si="5">P5</f>
        <v>45809</v>
      </c>
      <c r="CX5" s="125">
        <f t="shared" ref="CX5" si="6">Q5</f>
        <v>45839</v>
      </c>
      <c r="CY5" s="125">
        <f t="shared" ref="CY5" si="7">R5</f>
        <v>45870</v>
      </c>
      <c r="CZ5" s="125">
        <f t="shared" ref="CZ5" si="8">S5</f>
        <v>45901</v>
      </c>
      <c r="DA5" s="125">
        <f t="shared" ref="DA5" si="9">T5</f>
        <v>45931</v>
      </c>
      <c r="DB5" s="125">
        <f t="shared" ref="DB5" si="10">U5</f>
        <v>45962</v>
      </c>
      <c r="DC5" s="125">
        <f t="shared" ref="DC5" si="11">V5</f>
        <v>45992</v>
      </c>
      <c r="DD5" s="125">
        <f t="shared" ref="DD5" si="12">W5</f>
        <v>46023</v>
      </c>
      <c r="DE5" s="125">
        <f t="shared" ref="DE5" si="13">X5</f>
        <v>46054</v>
      </c>
      <c r="DF5" s="125">
        <f t="shared" ref="DF5" si="14">Y5</f>
        <v>46082</v>
      </c>
      <c r="DG5" s="125">
        <f t="shared" ref="DG5" si="15">Z5</f>
        <v>46113</v>
      </c>
      <c r="DH5" s="125">
        <f t="shared" ref="DH5" si="16">AA5</f>
        <v>46143</v>
      </c>
      <c r="DI5" s="125">
        <f t="shared" ref="DI5" si="17">AB5</f>
        <v>46174</v>
      </c>
      <c r="DJ5" s="125">
        <f t="shared" ref="DJ5" si="18">AC5</f>
        <v>46204</v>
      </c>
      <c r="DK5" s="125">
        <f t="shared" ref="DK5" si="19">AD5</f>
        <v>46235</v>
      </c>
      <c r="DL5" s="125">
        <f t="shared" ref="DL5" si="20">AE5</f>
        <v>46266</v>
      </c>
      <c r="DM5" s="125">
        <f t="shared" ref="DM5" si="21">AF5</f>
        <v>46296</v>
      </c>
      <c r="DN5" s="125">
        <f t="shared" ref="DN5" si="22">AG5</f>
        <v>46327</v>
      </c>
      <c r="DO5" s="125">
        <f t="shared" ref="DO5" si="23">AH5</f>
        <v>46357</v>
      </c>
      <c r="DP5" s="125">
        <f t="shared" ref="DP5" si="24">AI5</f>
        <v>46388</v>
      </c>
      <c r="DQ5" s="125">
        <f t="shared" ref="DQ5" si="25">AJ5</f>
        <v>46419</v>
      </c>
      <c r="DR5" s="125">
        <f t="shared" ref="DR5" si="26">AK5</f>
        <v>46447</v>
      </c>
      <c r="DS5" s="125">
        <f t="shared" ref="DS5" si="27">AL5</f>
        <v>46478</v>
      </c>
      <c r="DT5" s="125">
        <f t="shared" ref="DT5" si="28">AM5</f>
        <v>46508</v>
      </c>
      <c r="DU5" s="125">
        <f t="shared" ref="DU5" si="29">AN5</f>
        <v>46539</v>
      </c>
      <c r="DV5" s="125">
        <f t="shared" ref="DV5" si="30">AO5</f>
        <v>46569</v>
      </c>
      <c r="DW5" s="125">
        <f t="shared" ref="DW5" si="31">AP5</f>
        <v>46600</v>
      </c>
      <c r="DX5" s="125">
        <f t="shared" ref="DX5" si="32">AQ5</f>
        <v>46631</v>
      </c>
      <c r="DY5" s="125">
        <f t="shared" ref="DY5" si="33">AR5</f>
        <v>46661</v>
      </c>
      <c r="DZ5" s="125">
        <f t="shared" ref="DZ5" si="34">AS5</f>
        <v>46692</v>
      </c>
      <c r="EA5" s="125">
        <f t="shared" ref="EA5" si="35">AT5</f>
        <v>46722</v>
      </c>
      <c r="EB5" s="125">
        <f t="shared" ref="EB5" si="36">AU5</f>
        <v>46753</v>
      </c>
      <c r="EC5" s="125">
        <f t="shared" ref="EC5" si="37">AV5</f>
        <v>46784</v>
      </c>
      <c r="ED5" s="125">
        <f t="shared" ref="ED5" si="38">AW5</f>
        <v>46813</v>
      </c>
      <c r="EE5" s="125">
        <f t="shared" ref="EE5" si="39">AX5</f>
        <v>46844</v>
      </c>
      <c r="EF5" s="125">
        <f t="shared" ref="EF5" si="40">AY5</f>
        <v>46874</v>
      </c>
      <c r="EG5" s="125">
        <f t="shared" ref="EG5" si="41">AZ5</f>
        <v>46905</v>
      </c>
      <c r="EH5" s="125">
        <f t="shared" ref="EH5" si="42">BA5</f>
        <v>46935</v>
      </c>
      <c r="EI5" s="125">
        <f t="shared" ref="EI5" si="43">BB5</f>
        <v>46966</v>
      </c>
      <c r="EJ5" s="125">
        <f t="shared" ref="EJ5" si="44">BC5</f>
        <v>46997</v>
      </c>
      <c r="EK5" s="125">
        <f t="shared" ref="EK5" si="45">BD5</f>
        <v>47027</v>
      </c>
      <c r="EL5" s="125">
        <f t="shared" ref="EL5" si="46">BE5</f>
        <v>47058</v>
      </c>
      <c r="EM5" s="125">
        <f t="shared" ref="EM5" si="47">BF5</f>
        <v>47088</v>
      </c>
      <c r="EN5" s="125">
        <f t="shared" ref="EN5" si="48">BG5</f>
        <v>47119</v>
      </c>
      <c r="EO5" s="125">
        <f t="shared" ref="EO5" si="49">BH5</f>
        <v>47150</v>
      </c>
      <c r="EP5" s="125">
        <f t="shared" ref="EP5" si="50">BI5</f>
        <v>47178</v>
      </c>
      <c r="EQ5" s="125">
        <f t="shared" ref="EQ5" si="51">BJ5</f>
        <v>47209</v>
      </c>
      <c r="ER5" s="125">
        <f t="shared" ref="ER5" si="52">BK5</f>
        <v>47239</v>
      </c>
      <c r="ES5" s="125">
        <f t="shared" ref="ES5" si="53">BL5</f>
        <v>47270</v>
      </c>
      <c r="ET5" s="125">
        <f t="shared" ref="ET5" si="54">BM5</f>
        <v>47300</v>
      </c>
      <c r="EU5" s="125">
        <f t="shared" ref="EU5" si="55">BN5</f>
        <v>47331</v>
      </c>
      <c r="EV5" s="125">
        <f t="shared" ref="EV5" si="56">BO5</f>
        <v>47362</v>
      </c>
      <c r="EW5" s="125">
        <f t="shared" ref="EW5" si="57">BP5</f>
        <v>47392</v>
      </c>
      <c r="EX5" s="125">
        <f t="shared" ref="EX5" si="58">BQ5</f>
        <v>47423</v>
      </c>
      <c r="EY5" s="125">
        <f t="shared" ref="EY5" si="59">BR5</f>
        <v>47453</v>
      </c>
      <c r="EZ5" s="125">
        <f t="shared" ref="EZ5" si="60">BS5</f>
        <v>47514</v>
      </c>
      <c r="FA5" s="125">
        <f t="shared" ref="FA5" si="61">BT5</f>
        <v>47542</v>
      </c>
      <c r="FB5" s="125">
        <f t="shared" ref="FB5" si="62">BU5</f>
        <v>47573</v>
      </c>
      <c r="FC5" s="125">
        <f t="shared" ref="FC5" si="63">BV5</f>
        <v>47603</v>
      </c>
      <c r="FD5" s="125">
        <f t="shared" ref="FD5" si="64">BW5</f>
        <v>47634</v>
      </c>
      <c r="FE5" s="125">
        <f t="shared" ref="FE5" si="65">BX5</f>
        <v>47664</v>
      </c>
      <c r="FF5" s="125">
        <f t="shared" ref="FF5" si="66">BY5</f>
        <v>47695</v>
      </c>
      <c r="FG5" s="125">
        <f t="shared" ref="FG5" si="67">BZ5</f>
        <v>47726</v>
      </c>
      <c r="FH5" s="125">
        <f t="shared" ref="FH5" si="68">CA5</f>
        <v>47756</v>
      </c>
      <c r="FI5" s="125">
        <f t="shared" ref="FI5" si="69">CB5</f>
        <v>47787</v>
      </c>
      <c r="FJ5" s="125">
        <f t="shared" ref="FJ5" si="70">CC5</f>
        <v>47817</v>
      </c>
      <c r="FK5" s="125">
        <f t="shared" ref="FK5" si="71">CD5</f>
        <v>47848</v>
      </c>
      <c r="FL5" s="125">
        <f t="shared" ref="FL5" si="72">CE5</f>
        <v>47879</v>
      </c>
      <c r="FM5" s="125">
        <f t="shared" ref="FM5" si="73">CF5</f>
        <v>47907</v>
      </c>
      <c r="FN5" s="125">
        <f t="shared" ref="FN5" si="74">CG5</f>
        <v>47938</v>
      </c>
      <c r="FO5" s="125">
        <f t="shared" ref="FO5" si="75">CH5</f>
        <v>47968</v>
      </c>
      <c r="FP5" s="125">
        <f t="shared" ref="FP5" si="76">CI5</f>
        <v>47999</v>
      </c>
      <c r="FQ5" s="125">
        <f t="shared" ref="FQ5" si="77">CJ5</f>
        <v>48029</v>
      </c>
      <c r="FR5" s="125">
        <f t="shared" ref="FR5" si="78">CK5</f>
        <v>48060</v>
      </c>
      <c r="FS5" s="125">
        <f t="shared" ref="FS5" si="79">CL5</f>
        <v>48091</v>
      </c>
      <c r="FT5" s="125">
        <f t="shared" ref="FT5" si="80">CM5</f>
        <v>48121</v>
      </c>
      <c r="FU5" s="125">
        <f t="shared" ref="FU5" si="81">CN5</f>
        <v>48152</v>
      </c>
      <c r="FV5" s="125">
        <f t="shared" ref="FV5" si="82">CO5</f>
        <v>48182</v>
      </c>
      <c r="FW5" s="125">
        <f t="shared" ref="FW5" si="83">CP5</f>
        <v>48213</v>
      </c>
      <c r="FX5" s="116"/>
    </row>
    <row r="6" spans="1:180" x14ac:dyDescent="0.2">
      <c r="B6" s="253" t="s">
        <v>205</v>
      </c>
      <c r="C6" s="253" t="s">
        <v>257</v>
      </c>
      <c r="D6" s="253" t="s">
        <v>258</v>
      </c>
      <c r="E6" s="253" t="s">
        <v>127</v>
      </c>
      <c r="F6" s="253" t="s">
        <v>259</v>
      </c>
      <c r="G6" s="253" t="s">
        <v>260</v>
      </c>
      <c r="H6" s="237">
        <v>505.79</v>
      </c>
      <c r="I6" s="126">
        <f t="shared" ref="I6" si="84">SUM(CR6:FW6)</f>
        <v>2590316.2099999986</v>
      </c>
      <c r="J6" s="116"/>
      <c r="K6" s="254">
        <v>0</v>
      </c>
      <c r="L6" s="254">
        <v>0</v>
      </c>
      <c r="M6" s="254">
        <v>0</v>
      </c>
      <c r="N6" s="254">
        <v>0</v>
      </c>
      <c r="O6" s="254">
        <v>0</v>
      </c>
      <c r="P6" s="254">
        <v>0</v>
      </c>
      <c r="Q6" s="254">
        <v>0</v>
      </c>
      <c r="R6" s="254">
        <v>0</v>
      </c>
      <c r="S6" s="254">
        <v>0</v>
      </c>
      <c r="T6" s="254">
        <v>0</v>
      </c>
      <c r="U6" s="254">
        <v>0</v>
      </c>
      <c r="V6" s="254">
        <v>0</v>
      </c>
      <c r="W6" s="254">
        <v>1.1333333333333333</v>
      </c>
      <c r="X6" s="254">
        <v>1</v>
      </c>
      <c r="Y6" s="254">
        <v>1</v>
      </c>
      <c r="Z6" s="254">
        <v>1</v>
      </c>
      <c r="AA6" s="254">
        <v>0.92105263157894735</v>
      </c>
      <c r="AB6" s="254">
        <v>0.92105263157894735</v>
      </c>
      <c r="AC6" s="254">
        <v>1</v>
      </c>
      <c r="AD6" s="254">
        <v>1</v>
      </c>
      <c r="AE6" s="254">
        <v>1</v>
      </c>
      <c r="AF6" s="254">
        <v>1</v>
      </c>
      <c r="AG6" s="254">
        <v>1</v>
      </c>
      <c r="AH6" s="254">
        <v>1</v>
      </c>
      <c r="AI6" s="254">
        <v>1</v>
      </c>
      <c r="AJ6" s="254">
        <v>1</v>
      </c>
      <c r="AK6" s="254">
        <v>1</v>
      </c>
      <c r="AL6" s="254">
        <v>1</v>
      </c>
      <c r="AM6" s="254">
        <v>1</v>
      </c>
      <c r="AN6" s="254">
        <v>1</v>
      </c>
      <c r="AO6" s="254">
        <v>1</v>
      </c>
      <c r="AP6" s="254">
        <v>1</v>
      </c>
      <c r="AQ6" s="254">
        <v>1</v>
      </c>
      <c r="AR6" s="254">
        <v>1</v>
      </c>
      <c r="AS6" s="254">
        <v>1</v>
      </c>
      <c r="AT6" s="254">
        <v>1</v>
      </c>
      <c r="AU6" s="254">
        <v>1</v>
      </c>
      <c r="AV6" s="254">
        <v>1</v>
      </c>
      <c r="AW6" s="254">
        <v>1</v>
      </c>
      <c r="AX6" s="254">
        <v>1</v>
      </c>
      <c r="AY6" s="254">
        <v>1</v>
      </c>
      <c r="AZ6" s="254">
        <v>1</v>
      </c>
      <c r="BA6" s="254">
        <v>1</v>
      </c>
      <c r="BB6" s="254">
        <v>1</v>
      </c>
      <c r="BC6" s="254">
        <v>1</v>
      </c>
      <c r="BD6" s="254">
        <v>1</v>
      </c>
      <c r="BE6" s="254">
        <v>1</v>
      </c>
      <c r="BF6" s="254">
        <v>1</v>
      </c>
      <c r="BG6" s="254">
        <v>1</v>
      </c>
      <c r="BH6" s="254">
        <v>1</v>
      </c>
      <c r="BI6" s="254">
        <v>0</v>
      </c>
      <c r="BJ6" s="254">
        <v>0</v>
      </c>
      <c r="BK6" s="254">
        <v>0</v>
      </c>
      <c r="BL6" s="254">
        <v>0</v>
      </c>
      <c r="BM6" s="254">
        <v>0</v>
      </c>
      <c r="BN6" s="254">
        <v>0</v>
      </c>
      <c r="BO6" s="254">
        <v>0</v>
      </c>
      <c r="BP6" s="254">
        <v>0</v>
      </c>
      <c r="BQ6" s="254">
        <v>0</v>
      </c>
      <c r="BR6" s="254">
        <v>0</v>
      </c>
      <c r="BS6" s="254">
        <v>0</v>
      </c>
      <c r="BT6" s="254">
        <v>0</v>
      </c>
      <c r="BU6" s="254">
        <v>0</v>
      </c>
      <c r="BV6" s="254">
        <v>0</v>
      </c>
      <c r="BW6" s="254">
        <v>0</v>
      </c>
      <c r="BX6" s="254">
        <v>0</v>
      </c>
      <c r="BY6" s="254">
        <v>0</v>
      </c>
      <c r="BZ6" s="254">
        <v>0</v>
      </c>
      <c r="CA6" s="254">
        <v>0</v>
      </c>
      <c r="CB6" s="254">
        <v>0</v>
      </c>
      <c r="CC6" s="254">
        <v>0</v>
      </c>
      <c r="CD6" s="254">
        <v>0</v>
      </c>
      <c r="CE6" s="254">
        <v>0</v>
      </c>
      <c r="CF6" s="254">
        <v>0</v>
      </c>
      <c r="CG6" s="254">
        <v>0</v>
      </c>
      <c r="CH6" s="254">
        <v>0</v>
      </c>
      <c r="CI6" s="254">
        <v>0</v>
      </c>
      <c r="CJ6" s="254">
        <v>0</v>
      </c>
      <c r="CK6" s="254">
        <v>0</v>
      </c>
      <c r="CL6" s="254">
        <v>0</v>
      </c>
      <c r="CM6" s="254">
        <v>0</v>
      </c>
      <c r="CN6" s="254">
        <v>0</v>
      </c>
      <c r="CO6" s="254">
        <v>0</v>
      </c>
      <c r="CP6" s="254">
        <v>0</v>
      </c>
      <c r="CQ6" s="116"/>
      <c r="CR6" s="255">
        <v>0</v>
      </c>
      <c r="CS6" s="255">
        <v>0</v>
      </c>
      <c r="CT6" s="255">
        <v>0</v>
      </c>
      <c r="CU6" s="255">
        <v>0</v>
      </c>
      <c r="CV6" s="255">
        <v>0</v>
      </c>
      <c r="CW6" s="255">
        <v>0</v>
      </c>
      <c r="CX6" s="255">
        <v>0</v>
      </c>
      <c r="CY6" s="255">
        <v>0</v>
      </c>
      <c r="CZ6" s="255">
        <v>0</v>
      </c>
      <c r="DA6" s="255">
        <v>0</v>
      </c>
      <c r="DB6" s="255">
        <v>0</v>
      </c>
      <c r="DC6" s="255">
        <v>0</v>
      </c>
      <c r="DD6" s="255">
        <v>58431.209999999992</v>
      </c>
      <c r="DE6" s="255">
        <v>68742.8</v>
      </c>
      <c r="DF6" s="255">
        <v>68742.8</v>
      </c>
      <c r="DG6" s="255">
        <v>51557.1</v>
      </c>
      <c r="DH6" s="255">
        <v>68742.8</v>
      </c>
      <c r="DI6" s="255">
        <v>68742.8</v>
      </c>
      <c r="DJ6" s="255">
        <v>70810.600000000006</v>
      </c>
      <c r="DK6" s="255">
        <v>70810.600000000006</v>
      </c>
      <c r="DL6" s="255">
        <v>70810.600000000006</v>
      </c>
      <c r="DM6" s="255">
        <v>70810.600000000006</v>
      </c>
      <c r="DN6" s="255">
        <v>70810.600000000006</v>
      </c>
      <c r="DO6" s="255">
        <v>53107.950000000004</v>
      </c>
      <c r="DP6" s="255">
        <v>53107.950000000004</v>
      </c>
      <c r="DQ6" s="255">
        <v>70810.600000000006</v>
      </c>
      <c r="DR6" s="255">
        <v>70810.600000000006</v>
      </c>
      <c r="DS6" s="255">
        <v>53107.950000000004</v>
      </c>
      <c r="DT6" s="255">
        <v>76880.08</v>
      </c>
      <c r="DU6" s="255">
        <v>76880.08</v>
      </c>
      <c r="DV6" s="255">
        <v>72941.399999999994</v>
      </c>
      <c r="DW6" s="255">
        <v>72941.399999999994</v>
      </c>
      <c r="DX6" s="255">
        <v>72941.399999999994</v>
      </c>
      <c r="DY6" s="255">
        <v>72941.399999999994</v>
      </c>
      <c r="DZ6" s="255">
        <v>72941.399999999994</v>
      </c>
      <c r="EA6" s="255">
        <v>54706.049999999996</v>
      </c>
      <c r="EB6" s="255">
        <v>54706.049999999996</v>
      </c>
      <c r="EC6" s="255">
        <v>72941.399999999994</v>
      </c>
      <c r="ED6" s="255">
        <v>72941.399999999994</v>
      </c>
      <c r="EE6" s="255">
        <v>54706.049999999996</v>
      </c>
      <c r="EF6" s="255">
        <v>79193.52</v>
      </c>
      <c r="EG6" s="255">
        <v>79193.52</v>
      </c>
      <c r="EH6" s="255">
        <v>75133.799999999988</v>
      </c>
      <c r="EI6" s="255">
        <v>75133.799999999988</v>
      </c>
      <c r="EJ6" s="255">
        <v>75133.799999999988</v>
      </c>
      <c r="EK6" s="255">
        <v>75133.799999999988</v>
      </c>
      <c r="EL6" s="255">
        <v>75133.799999999988</v>
      </c>
      <c r="EM6" s="255">
        <v>56350.349999999991</v>
      </c>
      <c r="EN6" s="255">
        <v>56350.349999999991</v>
      </c>
      <c r="EO6" s="255">
        <v>75133.799999999988</v>
      </c>
      <c r="EP6" s="255">
        <v>0</v>
      </c>
      <c r="EQ6" s="255">
        <v>0</v>
      </c>
      <c r="ER6" s="255">
        <v>0</v>
      </c>
      <c r="ES6" s="255">
        <v>0</v>
      </c>
      <c r="ET6" s="255">
        <v>0</v>
      </c>
      <c r="EU6" s="255">
        <v>0</v>
      </c>
      <c r="EV6" s="255">
        <v>0</v>
      </c>
      <c r="EW6" s="255">
        <v>0</v>
      </c>
      <c r="EX6" s="255">
        <v>0</v>
      </c>
      <c r="EY6" s="255">
        <v>0</v>
      </c>
      <c r="EZ6" s="255">
        <v>0</v>
      </c>
      <c r="FA6" s="255">
        <v>0</v>
      </c>
      <c r="FB6" s="255">
        <v>0</v>
      </c>
      <c r="FC6" s="255">
        <v>0</v>
      </c>
      <c r="FD6" s="255">
        <v>0</v>
      </c>
      <c r="FE6" s="255">
        <v>0</v>
      </c>
      <c r="FF6" s="255">
        <v>0</v>
      </c>
      <c r="FG6" s="255">
        <v>0</v>
      </c>
      <c r="FH6" s="255">
        <v>0</v>
      </c>
      <c r="FI6" s="255">
        <v>0</v>
      </c>
      <c r="FJ6" s="255">
        <v>0</v>
      </c>
      <c r="FK6" s="255">
        <v>0</v>
      </c>
      <c r="FL6" s="255">
        <v>0</v>
      </c>
      <c r="FM6" s="255">
        <v>0</v>
      </c>
      <c r="FN6" s="255">
        <v>0</v>
      </c>
      <c r="FO6" s="255">
        <v>0</v>
      </c>
      <c r="FP6" s="255">
        <v>0</v>
      </c>
      <c r="FQ6" s="255">
        <v>0</v>
      </c>
      <c r="FR6" s="255">
        <v>0</v>
      </c>
      <c r="FS6" s="255">
        <v>0</v>
      </c>
      <c r="FT6" s="255">
        <v>0</v>
      </c>
      <c r="FU6" s="255">
        <v>0</v>
      </c>
      <c r="FV6" s="255">
        <v>0</v>
      </c>
      <c r="FW6" s="255">
        <v>0</v>
      </c>
      <c r="FX6" s="116"/>
    </row>
    <row r="7" spans="1:180" x14ac:dyDescent="0.2">
      <c r="B7" s="253" t="s">
        <v>205</v>
      </c>
      <c r="C7" s="253" t="s">
        <v>261</v>
      </c>
      <c r="D7" s="253" t="s">
        <v>258</v>
      </c>
      <c r="E7" s="253" t="s">
        <v>127</v>
      </c>
      <c r="F7" s="253" t="s">
        <v>259</v>
      </c>
      <c r="G7" s="253" t="s">
        <v>260</v>
      </c>
      <c r="H7" s="237">
        <v>316.45</v>
      </c>
      <c r="I7" s="126">
        <f t="shared" ref="I7:I70" si="85">SUM(CR7:FW7)</f>
        <v>1586014.8399999999</v>
      </c>
      <c r="J7" s="116"/>
      <c r="K7" s="254">
        <v>0</v>
      </c>
      <c r="L7" s="254">
        <v>0</v>
      </c>
      <c r="M7" s="254">
        <v>0</v>
      </c>
      <c r="N7" s="254">
        <v>0</v>
      </c>
      <c r="O7" s="254">
        <v>0</v>
      </c>
      <c r="P7" s="254">
        <v>0</v>
      </c>
      <c r="Q7" s="254">
        <v>0</v>
      </c>
      <c r="R7" s="254">
        <v>0</v>
      </c>
      <c r="S7" s="254">
        <v>0</v>
      </c>
      <c r="T7" s="254">
        <v>0</v>
      </c>
      <c r="U7" s="254">
        <v>0</v>
      </c>
      <c r="V7" s="254">
        <v>0</v>
      </c>
      <c r="W7" s="254">
        <v>6.6666666666666666E-2</v>
      </c>
      <c r="X7" s="254">
        <v>1</v>
      </c>
      <c r="Y7" s="254">
        <v>1</v>
      </c>
      <c r="Z7" s="254">
        <v>1</v>
      </c>
      <c r="AA7" s="254">
        <v>0.92105263157894735</v>
      </c>
      <c r="AB7" s="254">
        <v>0.92105263157894735</v>
      </c>
      <c r="AC7" s="254">
        <v>1</v>
      </c>
      <c r="AD7" s="254">
        <v>1</v>
      </c>
      <c r="AE7" s="254">
        <v>1</v>
      </c>
      <c r="AF7" s="254">
        <v>1</v>
      </c>
      <c r="AG7" s="254">
        <v>1</v>
      </c>
      <c r="AH7" s="254">
        <v>1</v>
      </c>
      <c r="AI7" s="254">
        <v>1</v>
      </c>
      <c r="AJ7" s="254">
        <v>1</v>
      </c>
      <c r="AK7" s="254">
        <v>1</v>
      </c>
      <c r="AL7" s="254">
        <v>1</v>
      </c>
      <c r="AM7" s="254">
        <v>1</v>
      </c>
      <c r="AN7" s="254">
        <v>1</v>
      </c>
      <c r="AO7" s="254">
        <v>1</v>
      </c>
      <c r="AP7" s="254">
        <v>1</v>
      </c>
      <c r="AQ7" s="254">
        <v>1</v>
      </c>
      <c r="AR7" s="254">
        <v>1</v>
      </c>
      <c r="AS7" s="254">
        <v>1</v>
      </c>
      <c r="AT7" s="254">
        <v>1</v>
      </c>
      <c r="AU7" s="254">
        <v>1</v>
      </c>
      <c r="AV7" s="254">
        <v>1</v>
      </c>
      <c r="AW7" s="254">
        <v>1</v>
      </c>
      <c r="AX7" s="254">
        <v>1</v>
      </c>
      <c r="AY7" s="254">
        <v>1</v>
      </c>
      <c r="AZ7" s="254">
        <v>1</v>
      </c>
      <c r="BA7" s="254">
        <v>1</v>
      </c>
      <c r="BB7" s="254">
        <v>1</v>
      </c>
      <c r="BC7" s="254">
        <v>1</v>
      </c>
      <c r="BD7" s="254">
        <v>1</v>
      </c>
      <c r="BE7" s="254">
        <v>1</v>
      </c>
      <c r="BF7" s="254">
        <v>1</v>
      </c>
      <c r="BG7" s="254">
        <v>1</v>
      </c>
      <c r="BH7" s="254">
        <v>1</v>
      </c>
      <c r="BI7" s="254">
        <v>0</v>
      </c>
      <c r="BJ7" s="254">
        <v>0</v>
      </c>
      <c r="BK7" s="254">
        <v>0</v>
      </c>
      <c r="BL7" s="254">
        <v>0</v>
      </c>
      <c r="BM7" s="254">
        <v>0</v>
      </c>
      <c r="BN7" s="254">
        <v>0</v>
      </c>
      <c r="BO7" s="254">
        <v>0</v>
      </c>
      <c r="BP7" s="254">
        <v>0</v>
      </c>
      <c r="BQ7" s="254">
        <v>0</v>
      </c>
      <c r="BR7" s="254">
        <v>0</v>
      </c>
      <c r="BS7" s="254">
        <v>0</v>
      </c>
      <c r="BT7" s="254">
        <v>0</v>
      </c>
      <c r="BU7" s="254">
        <v>0</v>
      </c>
      <c r="BV7" s="254">
        <v>0</v>
      </c>
      <c r="BW7" s="254">
        <v>0</v>
      </c>
      <c r="BX7" s="254">
        <v>0</v>
      </c>
      <c r="BY7" s="254">
        <v>0</v>
      </c>
      <c r="BZ7" s="254">
        <v>0</v>
      </c>
      <c r="CA7" s="254">
        <v>0</v>
      </c>
      <c r="CB7" s="254">
        <v>0</v>
      </c>
      <c r="CC7" s="254">
        <v>0</v>
      </c>
      <c r="CD7" s="254">
        <v>0</v>
      </c>
      <c r="CE7" s="254">
        <v>0</v>
      </c>
      <c r="CF7" s="254">
        <v>0</v>
      </c>
      <c r="CG7" s="254">
        <v>0</v>
      </c>
      <c r="CH7" s="254">
        <v>0</v>
      </c>
      <c r="CI7" s="254">
        <v>0</v>
      </c>
      <c r="CJ7" s="254">
        <v>0</v>
      </c>
      <c r="CK7" s="254">
        <v>0</v>
      </c>
      <c r="CL7" s="254">
        <v>0</v>
      </c>
      <c r="CM7" s="254">
        <v>0</v>
      </c>
      <c r="CN7" s="254">
        <v>0</v>
      </c>
      <c r="CO7" s="254">
        <v>0</v>
      </c>
      <c r="CP7" s="254">
        <v>0</v>
      </c>
      <c r="CQ7" s="116"/>
      <c r="CR7" s="255">
        <v>0</v>
      </c>
      <c r="CS7" s="255">
        <v>0</v>
      </c>
      <c r="CT7" s="255">
        <v>0</v>
      </c>
      <c r="CU7" s="255">
        <v>0</v>
      </c>
      <c r="CV7" s="255">
        <v>0</v>
      </c>
      <c r="CW7" s="255">
        <v>0</v>
      </c>
      <c r="CX7" s="255">
        <v>0</v>
      </c>
      <c r="CY7" s="255">
        <v>0</v>
      </c>
      <c r="CZ7" s="255">
        <v>0</v>
      </c>
      <c r="DA7" s="255">
        <v>0</v>
      </c>
      <c r="DB7" s="255">
        <v>0</v>
      </c>
      <c r="DC7" s="255">
        <v>0</v>
      </c>
      <c r="DD7" s="255">
        <v>2150.94</v>
      </c>
      <c r="DE7" s="255">
        <v>43019.199999999997</v>
      </c>
      <c r="DF7" s="255">
        <v>43019.199999999997</v>
      </c>
      <c r="DG7" s="255">
        <v>32264.399999999998</v>
      </c>
      <c r="DH7" s="255">
        <v>43019.199999999997</v>
      </c>
      <c r="DI7" s="255">
        <v>43019.199999999997</v>
      </c>
      <c r="DJ7" s="255">
        <v>44303</v>
      </c>
      <c r="DK7" s="255">
        <v>44303</v>
      </c>
      <c r="DL7" s="255">
        <v>44303</v>
      </c>
      <c r="DM7" s="255">
        <v>44303</v>
      </c>
      <c r="DN7" s="255">
        <v>44303</v>
      </c>
      <c r="DO7" s="255">
        <v>33227.25</v>
      </c>
      <c r="DP7" s="255">
        <v>33227.25</v>
      </c>
      <c r="DQ7" s="255">
        <v>44303</v>
      </c>
      <c r="DR7" s="255">
        <v>44303</v>
      </c>
      <c r="DS7" s="255">
        <v>33227.25</v>
      </c>
      <c r="DT7" s="255">
        <v>48100.4</v>
      </c>
      <c r="DU7" s="255">
        <v>48100.4</v>
      </c>
      <c r="DV7" s="255">
        <v>45619</v>
      </c>
      <c r="DW7" s="255">
        <v>45619</v>
      </c>
      <c r="DX7" s="255">
        <v>45619</v>
      </c>
      <c r="DY7" s="255">
        <v>45619</v>
      </c>
      <c r="DZ7" s="255">
        <v>45619</v>
      </c>
      <c r="EA7" s="255">
        <v>34214.25</v>
      </c>
      <c r="EB7" s="255">
        <v>34214.25</v>
      </c>
      <c r="EC7" s="255">
        <v>45619</v>
      </c>
      <c r="ED7" s="255">
        <v>45619</v>
      </c>
      <c r="EE7" s="255">
        <v>34214.25</v>
      </c>
      <c r="EF7" s="255">
        <v>49529.200000000004</v>
      </c>
      <c r="EG7" s="255">
        <v>49529.200000000004</v>
      </c>
      <c r="EH7" s="255">
        <v>46998</v>
      </c>
      <c r="EI7" s="255">
        <v>46998</v>
      </c>
      <c r="EJ7" s="255">
        <v>46998</v>
      </c>
      <c r="EK7" s="255">
        <v>46998</v>
      </c>
      <c r="EL7" s="255">
        <v>46998</v>
      </c>
      <c r="EM7" s="255">
        <v>35248.5</v>
      </c>
      <c r="EN7" s="255">
        <v>35248.5</v>
      </c>
      <c r="EO7" s="255">
        <v>46998</v>
      </c>
      <c r="EP7" s="255">
        <v>0</v>
      </c>
      <c r="EQ7" s="255">
        <v>0</v>
      </c>
      <c r="ER7" s="255">
        <v>0</v>
      </c>
      <c r="ES7" s="255">
        <v>0</v>
      </c>
      <c r="ET7" s="255">
        <v>0</v>
      </c>
      <c r="EU7" s="255">
        <v>0</v>
      </c>
      <c r="EV7" s="255">
        <v>0</v>
      </c>
      <c r="EW7" s="255">
        <v>0</v>
      </c>
      <c r="EX7" s="255">
        <v>0</v>
      </c>
      <c r="EY7" s="255">
        <v>0</v>
      </c>
      <c r="EZ7" s="255">
        <v>0</v>
      </c>
      <c r="FA7" s="255">
        <v>0</v>
      </c>
      <c r="FB7" s="255">
        <v>0</v>
      </c>
      <c r="FC7" s="255">
        <v>0</v>
      </c>
      <c r="FD7" s="255">
        <v>0</v>
      </c>
      <c r="FE7" s="255">
        <v>0</v>
      </c>
      <c r="FF7" s="255">
        <v>0</v>
      </c>
      <c r="FG7" s="255">
        <v>0</v>
      </c>
      <c r="FH7" s="255">
        <v>0</v>
      </c>
      <c r="FI7" s="255">
        <v>0</v>
      </c>
      <c r="FJ7" s="255">
        <v>0</v>
      </c>
      <c r="FK7" s="255">
        <v>0</v>
      </c>
      <c r="FL7" s="255">
        <v>0</v>
      </c>
      <c r="FM7" s="255">
        <v>0</v>
      </c>
      <c r="FN7" s="255">
        <v>0</v>
      </c>
      <c r="FO7" s="255">
        <v>0</v>
      </c>
      <c r="FP7" s="255">
        <v>0</v>
      </c>
      <c r="FQ7" s="255">
        <v>0</v>
      </c>
      <c r="FR7" s="255">
        <v>0</v>
      </c>
      <c r="FS7" s="255">
        <v>0</v>
      </c>
      <c r="FT7" s="255">
        <v>0</v>
      </c>
      <c r="FU7" s="255">
        <v>0</v>
      </c>
      <c r="FV7" s="255">
        <v>0</v>
      </c>
      <c r="FW7" s="255">
        <v>0</v>
      </c>
      <c r="FX7" s="116"/>
    </row>
    <row r="8" spans="1:180" x14ac:dyDescent="0.2">
      <c r="B8" s="253" t="s">
        <v>205</v>
      </c>
      <c r="C8" s="253" t="s">
        <v>261</v>
      </c>
      <c r="D8" s="253" t="s">
        <v>258</v>
      </c>
      <c r="E8" s="253" t="s">
        <v>127</v>
      </c>
      <c r="F8" s="253" t="s">
        <v>259</v>
      </c>
      <c r="G8" s="253" t="s">
        <v>260</v>
      </c>
      <c r="H8" s="237">
        <v>316.45</v>
      </c>
      <c r="I8" s="126">
        <f t="shared" si="85"/>
        <v>1870656.84</v>
      </c>
      <c r="J8" s="116"/>
      <c r="K8" s="254">
        <v>0</v>
      </c>
      <c r="L8" s="254">
        <v>0</v>
      </c>
      <c r="M8" s="254">
        <v>0</v>
      </c>
      <c r="N8" s="254">
        <v>0</v>
      </c>
      <c r="O8" s="254">
        <v>0</v>
      </c>
      <c r="P8" s="254">
        <v>0.78289473684210531</v>
      </c>
      <c r="Q8" s="254">
        <v>1.2</v>
      </c>
      <c r="R8" s="254">
        <v>1</v>
      </c>
      <c r="S8" s="254">
        <v>0.9</v>
      </c>
      <c r="T8" s="254">
        <v>1.1499999999999999</v>
      </c>
      <c r="U8" s="254">
        <v>1</v>
      </c>
      <c r="V8" s="254">
        <v>1</v>
      </c>
      <c r="W8" s="254">
        <v>1.3333333333333333</v>
      </c>
      <c r="X8" s="254">
        <v>1</v>
      </c>
      <c r="Y8" s="254">
        <v>1</v>
      </c>
      <c r="Z8" s="254">
        <v>1</v>
      </c>
      <c r="AA8" s="254">
        <v>0.92105263157894735</v>
      </c>
      <c r="AB8" s="254">
        <v>0.92105263157894735</v>
      </c>
      <c r="AC8" s="254">
        <v>1</v>
      </c>
      <c r="AD8" s="254">
        <v>1</v>
      </c>
      <c r="AE8" s="254">
        <v>1</v>
      </c>
      <c r="AF8" s="254">
        <v>1</v>
      </c>
      <c r="AG8" s="254">
        <v>1</v>
      </c>
      <c r="AH8" s="254">
        <v>1</v>
      </c>
      <c r="AI8" s="254">
        <v>1</v>
      </c>
      <c r="AJ8" s="254">
        <v>1</v>
      </c>
      <c r="AK8" s="254">
        <v>1</v>
      </c>
      <c r="AL8" s="254">
        <v>1</v>
      </c>
      <c r="AM8" s="254">
        <v>1</v>
      </c>
      <c r="AN8" s="254">
        <v>1</v>
      </c>
      <c r="AO8" s="254">
        <v>1</v>
      </c>
      <c r="AP8" s="254">
        <v>1</v>
      </c>
      <c r="AQ8" s="254">
        <v>1</v>
      </c>
      <c r="AR8" s="254">
        <v>1</v>
      </c>
      <c r="AS8" s="254">
        <v>1</v>
      </c>
      <c r="AT8" s="254">
        <v>1</v>
      </c>
      <c r="AU8" s="254">
        <v>1</v>
      </c>
      <c r="AV8" s="254">
        <v>1</v>
      </c>
      <c r="AW8" s="254">
        <v>1</v>
      </c>
      <c r="AX8" s="254">
        <v>1</v>
      </c>
      <c r="AY8" s="254">
        <v>1</v>
      </c>
      <c r="AZ8" s="254">
        <v>1</v>
      </c>
      <c r="BA8" s="254">
        <v>1</v>
      </c>
      <c r="BB8" s="254">
        <v>1</v>
      </c>
      <c r="BC8" s="254">
        <v>1</v>
      </c>
      <c r="BD8" s="254">
        <v>1</v>
      </c>
      <c r="BE8" s="254">
        <v>1</v>
      </c>
      <c r="BF8" s="254">
        <v>1</v>
      </c>
      <c r="BG8" s="254">
        <v>1</v>
      </c>
      <c r="BH8" s="254">
        <v>1</v>
      </c>
      <c r="BI8" s="254">
        <v>0</v>
      </c>
      <c r="BJ8" s="254">
        <v>0</v>
      </c>
      <c r="BK8" s="254">
        <v>0</v>
      </c>
      <c r="BL8" s="254">
        <v>0</v>
      </c>
      <c r="BM8" s="254">
        <v>0</v>
      </c>
      <c r="BN8" s="254">
        <v>0</v>
      </c>
      <c r="BO8" s="254">
        <v>0</v>
      </c>
      <c r="BP8" s="254">
        <v>0</v>
      </c>
      <c r="BQ8" s="254">
        <v>0</v>
      </c>
      <c r="BR8" s="254">
        <v>0</v>
      </c>
      <c r="BS8" s="254">
        <v>0</v>
      </c>
      <c r="BT8" s="254">
        <v>0</v>
      </c>
      <c r="BU8" s="254">
        <v>0</v>
      </c>
      <c r="BV8" s="254">
        <v>0</v>
      </c>
      <c r="BW8" s="254">
        <v>0</v>
      </c>
      <c r="BX8" s="254">
        <v>0</v>
      </c>
      <c r="BY8" s="254">
        <v>0</v>
      </c>
      <c r="BZ8" s="254">
        <v>0</v>
      </c>
      <c r="CA8" s="254">
        <v>0</v>
      </c>
      <c r="CB8" s="254">
        <v>0</v>
      </c>
      <c r="CC8" s="254">
        <v>0</v>
      </c>
      <c r="CD8" s="254">
        <v>0</v>
      </c>
      <c r="CE8" s="254">
        <v>0</v>
      </c>
      <c r="CF8" s="254">
        <v>0</v>
      </c>
      <c r="CG8" s="254">
        <v>0</v>
      </c>
      <c r="CH8" s="254">
        <v>0</v>
      </c>
      <c r="CI8" s="254">
        <v>0</v>
      </c>
      <c r="CJ8" s="254">
        <v>0</v>
      </c>
      <c r="CK8" s="254">
        <v>0</v>
      </c>
      <c r="CL8" s="254">
        <v>0</v>
      </c>
      <c r="CM8" s="254">
        <v>0</v>
      </c>
      <c r="CN8" s="254">
        <v>0</v>
      </c>
      <c r="CO8" s="254">
        <v>0</v>
      </c>
      <c r="CP8" s="254">
        <v>0</v>
      </c>
      <c r="CQ8" s="116"/>
      <c r="CR8" s="255">
        <v>0</v>
      </c>
      <c r="CS8" s="255">
        <v>0</v>
      </c>
      <c r="CT8" s="255">
        <v>0</v>
      </c>
      <c r="CU8" s="255">
        <v>0</v>
      </c>
      <c r="CV8" s="255">
        <v>0</v>
      </c>
      <c r="CW8" s="255">
        <v>34810.22</v>
      </c>
      <c r="CX8" s="255">
        <v>51312.720000000045</v>
      </c>
      <c r="CY8" s="255">
        <v>41828.960000000043</v>
      </c>
      <c r="CZ8" s="255">
        <v>35836.839999999982</v>
      </c>
      <c r="DA8" s="255">
        <v>33870.260000000038</v>
      </c>
      <c r="DB8" s="255">
        <v>29452.400000000031</v>
      </c>
      <c r="DC8" s="255">
        <v>22089.300000000014</v>
      </c>
      <c r="DD8" s="255">
        <v>37592.239999999991</v>
      </c>
      <c r="DE8" s="255">
        <v>43019.199999999997</v>
      </c>
      <c r="DF8" s="255">
        <v>43019.199999999997</v>
      </c>
      <c r="DG8" s="255">
        <v>32264.399999999998</v>
      </c>
      <c r="DH8" s="255">
        <v>43019.199999999997</v>
      </c>
      <c r="DI8" s="255">
        <v>43019.199999999997</v>
      </c>
      <c r="DJ8" s="255">
        <v>44303</v>
      </c>
      <c r="DK8" s="255">
        <v>44303</v>
      </c>
      <c r="DL8" s="255">
        <v>44303</v>
      </c>
      <c r="DM8" s="255">
        <v>44303</v>
      </c>
      <c r="DN8" s="255">
        <v>44303</v>
      </c>
      <c r="DO8" s="255">
        <v>33227.25</v>
      </c>
      <c r="DP8" s="255">
        <v>33227.25</v>
      </c>
      <c r="DQ8" s="255">
        <v>44303</v>
      </c>
      <c r="DR8" s="255">
        <v>44303</v>
      </c>
      <c r="DS8" s="255">
        <v>33227.25</v>
      </c>
      <c r="DT8" s="255">
        <v>48100.4</v>
      </c>
      <c r="DU8" s="255">
        <v>48100.4</v>
      </c>
      <c r="DV8" s="255">
        <v>45619</v>
      </c>
      <c r="DW8" s="255">
        <v>45619</v>
      </c>
      <c r="DX8" s="255">
        <v>45619</v>
      </c>
      <c r="DY8" s="255">
        <v>45619</v>
      </c>
      <c r="DZ8" s="255">
        <v>45619</v>
      </c>
      <c r="EA8" s="255">
        <v>34214.25</v>
      </c>
      <c r="EB8" s="255">
        <v>34214.25</v>
      </c>
      <c r="EC8" s="255">
        <v>45619</v>
      </c>
      <c r="ED8" s="255">
        <v>45619</v>
      </c>
      <c r="EE8" s="255">
        <v>34214.25</v>
      </c>
      <c r="EF8" s="255">
        <v>49529.200000000004</v>
      </c>
      <c r="EG8" s="255">
        <v>49529.200000000004</v>
      </c>
      <c r="EH8" s="255">
        <v>46998</v>
      </c>
      <c r="EI8" s="255">
        <v>46998</v>
      </c>
      <c r="EJ8" s="255">
        <v>46998</v>
      </c>
      <c r="EK8" s="255">
        <v>46998</v>
      </c>
      <c r="EL8" s="255">
        <v>46998</v>
      </c>
      <c r="EM8" s="255">
        <v>35248.5</v>
      </c>
      <c r="EN8" s="255">
        <v>35248.5</v>
      </c>
      <c r="EO8" s="255">
        <v>46998</v>
      </c>
      <c r="EP8" s="255">
        <v>0</v>
      </c>
      <c r="EQ8" s="255">
        <v>0</v>
      </c>
      <c r="ER8" s="255">
        <v>0</v>
      </c>
      <c r="ES8" s="255">
        <v>0</v>
      </c>
      <c r="ET8" s="255">
        <v>0</v>
      </c>
      <c r="EU8" s="255">
        <v>0</v>
      </c>
      <c r="EV8" s="255">
        <v>0</v>
      </c>
      <c r="EW8" s="255">
        <v>0</v>
      </c>
      <c r="EX8" s="255">
        <v>0</v>
      </c>
      <c r="EY8" s="255">
        <v>0</v>
      </c>
      <c r="EZ8" s="255">
        <v>0</v>
      </c>
      <c r="FA8" s="255">
        <v>0</v>
      </c>
      <c r="FB8" s="255">
        <v>0</v>
      </c>
      <c r="FC8" s="255">
        <v>0</v>
      </c>
      <c r="FD8" s="255">
        <v>0</v>
      </c>
      <c r="FE8" s="255">
        <v>0</v>
      </c>
      <c r="FF8" s="255">
        <v>0</v>
      </c>
      <c r="FG8" s="255">
        <v>0</v>
      </c>
      <c r="FH8" s="255">
        <v>0</v>
      </c>
      <c r="FI8" s="255">
        <v>0</v>
      </c>
      <c r="FJ8" s="255">
        <v>0</v>
      </c>
      <c r="FK8" s="255">
        <v>0</v>
      </c>
      <c r="FL8" s="255">
        <v>0</v>
      </c>
      <c r="FM8" s="255">
        <v>0</v>
      </c>
      <c r="FN8" s="255">
        <v>0</v>
      </c>
      <c r="FO8" s="255">
        <v>0</v>
      </c>
      <c r="FP8" s="255">
        <v>0</v>
      </c>
      <c r="FQ8" s="255">
        <v>0</v>
      </c>
      <c r="FR8" s="255">
        <v>0</v>
      </c>
      <c r="FS8" s="255">
        <v>0</v>
      </c>
      <c r="FT8" s="255">
        <v>0</v>
      </c>
      <c r="FU8" s="255">
        <v>0</v>
      </c>
      <c r="FV8" s="255">
        <v>0</v>
      </c>
      <c r="FW8" s="255">
        <v>0</v>
      </c>
      <c r="FX8" s="116"/>
    </row>
    <row r="9" spans="1:180" x14ac:dyDescent="0.2">
      <c r="B9" s="253" t="s">
        <v>205</v>
      </c>
      <c r="C9" s="253" t="s">
        <v>261</v>
      </c>
      <c r="D9" s="253" t="s">
        <v>258</v>
      </c>
      <c r="E9" s="253" t="s">
        <v>127</v>
      </c>
      <c r="F9" s="253" t="s">
        <v>259</v>
      </c>
      <c r="G9" s="253" t="s">
        <v>260</v>
      </c>
      <c r="H9" s="237">
        <v>316.45</v>
      </c>
      <c r="I9" s="126">
        <f t="shared" si="85"/>
        <v>1616128</v>
      </c>
      <c r="J9" s="116"/>
      <c r="K9" s="254">
        <v>0</v>
      </c>
      <c r="L9" s="254">
        <v>0</v>
      </c>
      <c r="M9" s="254">
        <v>0</v>
      </c>
      <c r="N9" s="254">
        <v>0</v>
      </c>
      <c r="O9" s="254">
        <v>0</v>
      </c>
      <c r="P9" s="254">
        <v>0</v>
      </c>
      <c r="Q9" s="254">
        <v>0</v>
      </c>
      <c r="R9" s="254">
        <v>0</v>
      </c>
      <c r="S9" s="254">
        <v>0</v>
      </c>
      <c r="T9" s="254">
        <v>0</v>
      </c>
      <c r="U9" s="254">
        <v>0</v>
      </c>
      <c r="V9" s="254">
        <v>0</v>
      </c>
      <c r="W9" s="254">
        <v>1</v>
      </c>
      <c r="X9" s="254">
        <v>1</v>
      </c>
      <c r="Y9" s="254">
        <v>1</v>
      </c>
      <c r="Z9" s="254">
        <v>1</v>
      </c>
      <c r="AA9" s="254">
        <v>0.92105263157894735</v>
      </c>
      <c r="AB9" s="254">
        <v>0.92105263157894735</v>
      </c>
      <c r="AC9" s="254">
        <v>1</v>
      </c>
      <c r="AD9" s="254">
        <v>1</v>
      </c>
      <c r="AE9" s="254">
        <v>1</v>
      </c>
      <c r="AF9" s="254">
        <v>1</v>
      </c>
      <c r="AG9" s="254">
        <v>1</v>
      </c>
      <c r="AH9" s="254">
        <v>1</v>
      </c>
      <c r="AI9" s="254">
        <v>1</v>
      </c>
      <c r="AJ9" s="254">
        <v>1</v>
      </c>
      <c r="AK9" s="254">
        <v>1</v>
      </c>
      <c r="AL9" s="254">
        <v>1</v>
      </c>
      <c r="AM9" s="254">
        <v>1</v>
      </c>
      <c r="AN9" s="254">
        <v>1</v>
      </c>
      <c r="AO9" s="254">
        <v>1</v>
      </c>
      <c r="AP9" s="254">
        <v>1</v>
      </c>
      <c r="AQ9" s="254">
        <v>1</v>
      </c>
      <c r="AR9" s="254">
        <v>1</v>
      </c>
      <c r="AS9" s="254">
        <v>1</v>
      </c>
      <c r="AT9" s="254">
        <v>1</v>
      </c>
      <c r="AU9" s="254">
        <v>1</v>
      </c>
      <c r="AV9" s="254">
        <v>1</v>
      </c>
      <c r="AW9" s="254">
        <v>1</v>
      </c>
      <c r="AX9" s="254">
        <v>1</v>
      </c>
      <c r="AY9" s="254">
        <v>1</v>
      </c>
      <c r="AZ9" s="254">
        <v>1</v>
      </c>
      <c r="BA9" s="254">
        <v>1</v>
      </c>
      <c r="BB9" s="254">
        <v>1</v>
      </c>
      <c r="BC9" s="254">
        <v>1</v>
      </c>
      <c r="BD9" s="254">
        <v>1</v>
      </c>
      <c r="BE9" s="254">
        <v>1</v>
      </c>
      <c r="BF9" s="254">
        <v>1</v>
      </c>
      <c r="BG9" s="254">
        <v>1</v>
      </c>
      <c r="BH9" s="254">
        <v>1</v>
      </c>
      <c r="BI9" s="254">
        <v>0</v>
      </c>
      <c r="BJ9" s="254">
        <v>0</v>
      </c>
      <c r="BK9" s="254">
        <v>0</v>
      </c>
      <c r="BL9" s="254">
        <v>0</v>
      </c>
      <c r="BM9" s="254">
        <v>0</v>
      </c>
      <c r="BN9" s="254">
        <v>0</v>
      </c>
      <c r="BO9" s="254">
        <v>0</v>
      </c>
      <c r="BP9" s="254">
        <v>0</v>
      </c>
      <c r="BQ9" s="254">
        <v>0</v>
      </c>
      <c r="BR9" s="254">
        <v>0</v>
      </c>
      <c r="BS9" s="254">
        <v>0</v>
      </c>
      <c r="BT9" s="254">
        <v>0</v>
      </c>
      <c r="BU9" s="254">
        <v>0</v>
      </c>
      <c r="BV9" s="254">
        <v>0</v>
      </c>
      <c r="BW9" s="254">
        <v>0</v>
      </c>
      <c r="BX9" s="254">
        <v>0</v>
      </c>
      <c r="BY9" s="254">
        <v>0</v>
      </c>
      <c r="BZ9" s="254">
        <v>0</v>
      </c>
      <c r="CA9" s="254">
        <v>0</v>
      </c>
      <c r="CB9" s="254">
        <v>0</v>
      </c>
      <c r="CC9" s="254">
        <v>0</v>
      </c>
      <c r="CD9" s="254">
        <v>0</v>
      </c>
      <c r="CE9" s="254">
        <v>0</v>
      </c>
      <c r="CF9" s="254">
        <v>0</v>
      </c>
      <c r="CG9" s="254">
        <v>0</v>
      </c>
      <c r="CH9" s="254">
        <v>0</v>
      </c>
      <c r="CI9" s="254">
        <v>0</v>
      </c>
      <c r="CJ9" s="254">
        <v>0</v>
      </c>
      <c r="CK9" s="254">
        <v>0</v>
      </c>
      <c r="CL9" s="254">
        <v>0</v>
      </c>
      <c r="CM9" s="254">
        <v>0</v>
      </c>
      <c r="CN9" s="254">
        <v>0</v>
      </c>
      <c r="CO9" s="254">
        <v>0</v>
      </c>
      <c r="CP9" s="254">
        <v>0</v>
      </c>
      <c r="CQ9" s="116"/>
      <c r="CR9" s="255">
        <v>0</v>
      </c>
      <c r="CS9" s="255">
        <v>0</v>
      </c>
      <c r="CT9" s="255">
        <v>0</v>
      </c>
      <c r="CU9" s="255">
        <v>0</v>
      </c>
      <c r="CV9" s="255">
        <v>0</v>
      </c>
      <c r="CW9" s="255">
        <v>0</v>
      </c>
      <c r="CX9" s="255">
        <v>0</v>
      </c>
      <c r="CY9" s="255">
        <v>0</v>
      </c>
      <c r="CZ9" s="255">
        <v>0</v>
      </c>
      <c r="DA9" s="255">
        <v>0</v>
      </c>
      <c r="DB9" s="255">
        <v>0</v>
      </c>
      <c r="DC9" s="255">
        <v>0</v>
      </c>
      <c r="DD9" s="255">
        <v>32264.100000000013</v>
      </c>
      <c r="DE9" s="255">
        <v>43019.199999999997</v>
      </c>
      <c r="DF9" s="255">
        <v>43019.199999999997</v>
      </c>
      <c r="DG9" s="255">
        <v>32264.399999999998</v>
      </c>
      <c r="DH9" s="255">
        <v>43019.199999999997</v>
      </c>
      <c r="DI9" s="255">
        <v>43019.199999999997</v>
      </c>
      <c r="DJ9" s="255">
        <v>44303</v>
      </c>
      <c r="DK9" s="255">
        <v>44303</v>
      </c>
      <c r="DL9" s="255">
        <v>44303</v>
      </c>
      <c r="DM9" s="255">
        <v>44303</v>
      </c>
      <c r="DN9" s="255">
        <v>44303</v>
      </c>
      <c r="DO9" s="255">
        <v>33227.25</v>
      </c>
      <c r="DP9" s="255">
        <v>33227.25</v>
      </c>
      <c r="DQ9" s="255">
        <v>44303</v>
      </c>
      <c r="DR9" s="255">
        <v>44303</v>
      </c>
      <c r="DS9" s="255">
        <v>33227.25</v>
      </c>
      <c r="DT9" s="255">
        <v>48100.4</v>
      </c>
      <c r="DU9" s="255">
        <v>48100.4</v>
      </c>
      <c r="DV9" s="255">
        <v>45619</v>
      </c>
      <c r="DW9" s="255">
        <v>45619</v>
      </c>
      <c r="DX9" s="255">
        <v>45619</v>
      </c>
      <c r="DY9" s="255">
        <v>45619</v>
      </c>
      <c r="DZ9" s="255">
        <v>45619</v>
      </c>
      <c r="EA9" s="255">
        <v>34214.25</v>
      </c>
      <c r="EB9" s="255">
        <v>34214.25</v>
      </c>
      <c r="EC9" s="255">
        <v>45619</v>
      </c>
      <c r="ED9" s="255">
        <v>45619</v>
      </c>
      <c r="EE9" s="255">
        <v>34214.25</v>
      </c>
      <c r="EF9" s="255">
        <v>49529.200000000004</v>
      </c>
      <c r="EG9" s="255">
        <v>49529.200000000004</v>
      </c>
      <c r="EH9" s="255">
        <v>46998</v>
      </c>
      <c r="EI9" s="255">
        <v>46998</v>
      </c>
      <c r="EJ9" s="255">
        <v>46998</v>
      </c>
      <c r="EK9" s="255">
        <v>46998</v>
      </c>
      <c r="EL9" s="255">
        <v>46998</v>
      </c>
      <c r="EM9" s="255">
        <v>35248.5</v>
      </c>
      <c r="EN9" s="255">
        <v>35248.5</v>
      </c>
      <c r="EO9" s="255">
        <v>46998</v>
      </c>
      <c r="EP9" s="255">
        <v>0</v>
      </c>
      <c r="EQ9" s="255">
        <v>0</v>
      </c>
      <c r="ER9" s="255">
        <v>0</v>
      </c>
      <c r="ES9" s="255">
        <v>0</v>
      </c>
      <c r="ET9" s="255">
        <v>0</v>
      </c>
      <c r="EU9" s="255">
        <v>0</v>
      </c>
      <c r="EV9" s="255">
        <v>0</v>
      </c>
      <c r="EW9" s="255">
        <v>0</v>
      </c>
      <c r="EX9" s="255">
        <v>0</v>
      </c>
      <c r="EY9" s="255">
        <v>0</v>
      </c>
      <c r="EZ9" s="255">
        <v>0</v>
      </c>
      <c r="FA9" s="255">
        <v>0</v>
      </c>
      <c r="FB9" s="255">
        <v>0</v>
      </c>
      <c r="FC9" s="255">
        <v>0</v>
      </c>
      <c r="FD9" s="255">
        <v>0</v>
      </c>
      <c r="FE9" s="255">
        <v>0</v>
      </c>
      <c r="FF9" s="255">
        <v>0</v>
      </c>
      <c r="FG9" s="255">
        <v>0</v>
      </c>
      <c r="FH9" s="255">
        <v>0</v>
      </c>
      <c r="FI9" s="255">
        <v>0</v>
      </c>
      <c r="FJ9" s="255">
        <v>0</v>
      </c>
      <c r="FK9" s="255">
        <v>0</v>
      </c>
      <c r="FL9" s="255">
        <v>0</v>
      </c>
      <c r="FM9" s="255">
        <v>0</v>
      </c>
      <c r="FN9" s="255">
        <v>0</v>
      </c>
      <c r="FO9" s="255">
        <v>0</v>
      </c>
      <c r="FP9" s="255">
        <v>0</v>
      </c>
      <c r="FQ9" s="255">
        <v>0</v>
      </c>
      <c r="FR9" s="255">
        <v>0</v>
      </c>
      <c r="FS9" s="255">
        <v>0</v>
      </c>
      <c r="FT9" s="255">
        <v>0</v>
      </c>
      <c r="FU9" s="255">
        <v>0</v>
      </c>
      <c r="FV9" s="255">
        <v>0</v>
      </c>
      <c r="FW9" s="255">
        <v>0</v>
      </c>
      <c r="FX9" s="116"/>
    </row>
    <row r="10" spans="1:180" x14ac:dyDescent="0.2">
      <c r="B10" s="253" t="s">
        <v>205</v>
      </c>
      <c r="C10" s="253" t="s">
        <v>262</v>
      </c>
      <c r="D10" s="253" t="s">
        <v>258</v>
      </c>
      <c r="E10" s="253" t="s">
        <v>127</v>
      </c>
      <c r="F10" s="253" t="s">
        <v>259</v>
      </c>
      <c r="G10" s="253" t="s">
        <v>260</v>
      </c>
      <c r="H10" s="237">
        <v>171.68</v>
      </c>
      <c r="I10" s="126">
        <f t="shared" si="85"/>
        <v>910713.18999999983</v>
      </c>
      <c r="J10" s="116"/>
      <c r="K10" s="254">
        <v>0</v>
      </c>
      <c r="L10" s="254">
        <v>0</v>
      </c>
      <c r="M10" s="254">
        <v>0</v>
      </c>
      <c r="N10" s="254">
        <v>0</v>
      </c>
      <c r="O10" s="254">
        <v>0</v>
      </c>
      <c r="P10" s="254">
        <v>0</v>
      </c>
      <c r="Q10" s="254">
        <v>0</v>
      </c>
      <c r="R10" s="254">
        <v>0</v>
      </c>
      <c r="S10" s="254">
        <v>0</v>
      </c>
      <c r="T10" s="254">
        <v>0</v>
      </c>
      <c r="U10" s="254">
        <v>0.50014285714285744</v>
      </c>
      <c r="V10" s="254">
        <v>1.5560000000000005</v>
      </c>
      <c r="W10" s="254">
        <v>0.14819047619047612</v>
      </c>
      <c r="X10" s="254">
        <v>1</v>
      </c>
      <c r="Y10" s="254">
        <v>1</v>
      </c>
      <c r="Z10" s="254">
        <v>1</v>
      </c>
      <c r="AA10" s="254">
        <v>0.92105263157894735</v>
      </c>
      <c r="AB10" s="254">
        <v>0.92105263157894735</v>
      </c>
      <c r="AC10" s="254">
        <v>1</v>
      </c>
      <c r="AD10" s="254">
        <v>1</v>
      </c>
      <c r="AE10" s="254">
        <v>1</v>
      </c>
      <c r="AF10" s="254">
        <v>1</v>
      </c>
      <c r="AG10" s="254">
        <v>1</v>
      </c>
      <c r="AH10" s="254">
        <v>1</v>
      </c>
      <c r="AI10" s="254">
        <v>1</v>
      </c>
      <c r="AJ10" s="254">
        <v>1</v>
      </c>
      <c r="AK10" s="254">
        <v>1</v>
      </c>
      <c r="AL10" s="254">
        <v>1</v>
      </c>
      <c r="AM10" s="254">
        <v>1</v>
      </c>
      <c r="AN10" s="254">
        <v>1</v>
      </c>
      <c r="AO10" s="254">
        <v>1</v>
      </c>
      <c r="AP10" s="254">
        <v>1</v>
      </c>
      <c r="AQ10" s="254">
        <v>1</v>
      </c>
      <c r="AR10" s="254">
        <v>1</v>
      </c>
      <c r="AS10" s="254">
        <v>1</v>
      </c>
      <c r="AT10" s="254">
        <v>1</v>
      </c>
      <c r="AU10" s="254">
        <v>1</v>
      </c>
      <c r="AV10" s="254">
        <v>1</v>
      </c>
      <c r="AW10" s="254">
        <v>1</v>
      </c>
      <c r="AX10" s="254">
        <v>1</v>
      </c>
      <c r="AY10" s="254">
        <v>1</v>
      </c>
      <c r="AZ10" s="254">
        <v>1</v>
      </c>
      <c r="BA10" s="254">
        <v>1</v>
      </c>
      <c r="BB10" s="254">
        <v>1</v>
      </c>
      <c r="BC10" s="254">
        <v>1</v>
      </c>
      <c r="BD10" s="254">
        <v>1</v>
      </c>
      <c r="BE10" s="254">
        <v>1</v>
      </c>
      <c r="BF10" s="254">
        <v>1</v>
      </c>
      <c r="BG10" s="254">
        <v>1</v>
      </c>
      <c r="BH10" s="254">
        <v>1</v>
      </c>
      <c r="BI10" s="254">
        <v>0</v>
      </c>
      <c r="BJ10" s="254">
        <v>0</v>
      </c>
      <c r="BK10" s="254">
        <v>0</v>
      </c>
      <c r="BL10" s="254">
        <v>0</v>
      </c>
      <c r="BM10" s="254">
        <v>0</v>
      </c>
      <c r="BN10" s="254">
        <v>0</v>
      </c>
      <c r="BO10" s="254">
        <v>0</v>
      </c>
      <c r="BP10" s="254">
        <v>0</v>
      </c>
      <c r="BQ10" s="254">
        <v>0</v>
      </c>
      <c r="BR10" s="254">
        <v>0</v>
      </c>
      <c r="BS10" s="254">
        <v>0</v>
      </c>
      <c r="BT10" s="254">
        <v>0</v>
      </c>
      <c r="BU10" s="254">
        <v>0</v>
      </c>
      <c r="BV10" s="254">
        <v>0</v>
      </c>
      <c r="BW10" s="254">
        <v>0</v>
      </c>
      <c r="BX10" s="254">
        <v>0</v>
      </c>
      <c r="BY10" s="254">
        <v>0</v>
      </c>
      <c r="BZ10" s="254">
        <v>0</v>
      </c>
      <c r="CA10" s="254">
        <v>0</v>
      </c>
      <c r="CB10" s="254">
        <v>0</v>
      </c>
      <c r="CC10" s="254">
        <v>0</v>
      </c>
      <c r="CD10" s="254">
        <v>0</v>
      </c>
      <c r="CE10" s="254">
        <v>0</v>
      </c>
      <c r="CF10" s="254">
        <v>0</v>
      </c>
      <c r="CG10" s="254">
        <v>0</v>
      </c>
      <c r="CH10" s="254">
        <v>0</v>
      </c>
      <c r="CI10" s="254">
        <v>0</v>
      </c>
      <c r="CJ10" s="254">
        <v>0</v>
      </c>
      <c r="CK10" s="254">
        <v>0</v>
      </c>
      <c r="CL10" s="254">
        <v>0</v>
      </c>
      <c r="CM10" s="254">
        <v>0</v>
      </c>
      <c r="CN10" s="254">
        <v>0</v>
      </c>
      <c r="CO10" s="254">
        <v>0</v>
      </c>
      <c r="CP10" s="254">
        <v>0</v>
      </c>
      <c r="CQ10" s="116"/>
      <c r="CR10" s="255">
        <v>0</v>
      </c>
      <c r="CS10" s="255">
        <v>0</v>
      </c>
      <c r="CT10" s="255">
        <v>0</v>
      </c>
      <c r="CU10" s="255">
        <v>0</v>
      </c>
      <c r="CV10" s="255">
        <v>0</v>
      </c>
      <c r="CW10" s="255">
        <v>0</v>
      </c>
      <c r="CX10" s="255">
        <v>0</v>
      </c>
      <c r="CY10" s="255">
        <v>0</v>
      </c>
      <c r="CZ10" s="255">
        <v>0</v>
      </c>
      <c r="DA10" s="255">
        <v>0</v>
      </c>
      <c r="DB10" s="255">
        <v>12175.62</v>
      </c>
      <c r="DC10" s="255">
        <v>28409.779999999973</v>
      </c>
      <c r="DD10" s="255">
        <v>2552.099999999999</v>
      </c>
      <c r="DE10" s="255">
        <v>22962.800000000003</v>
      </c>
      <c r="DF10" s="255">
        <v>24035.200000000001</v>
      </c>
      <c r="DG10" s="255">
        <v>18026.400000000001</v>
      </c>
      <c r="DH10" s="255">
        <v>24035.200000000001</v>
      </c>
      <c r="DI10" s="255">
        <v>24035.200000000001</v>
      </c>
      <c r="DJ10" s="255">
        <v>24035.200000000001</v>
      </c>
      <c r="DK10" s="255">
        <v>24035.200000000001</v>
      </c>
      <c r="DL10" s="255">
        <v>24035.200000000001</v>
      </c>
      <c r="DM10" s="255">
        <v>24035.200000000001</v>
      </c>
      <c r="DN10" s="255">
        <v>24035.200000000001</v>
      </c>
      <c r="DO10" s="255">
        <v>18026.400000000001</v>
      </c>
      <c r="DP10" s="255">
        <v>18026.400000000001</v>
      </c>
      <c r="DQ10" s="255">
        <v>24035.200000000001</v>
      </c>
      <c r="DR10" s="255">
        <v>24770.2</v>
      </c>
      <c r="DS10" s="255">
        <v>18577.650000000001</v>
      </c>
      <c r="DT10" s="255">
        <v>26893.360000000001</v>
      </c>
      <c r="DU10" s="255">
        <v>26893.360000000001</v>
      </c>
      <c r="DV10" s="255">
        <v>24770.2</v>
      </c>
      <c r="DW10" s="255">
        <v>24770.2</v>
      </c>
      <c r="DX10" s="255">
        <v>24770.2</v>
      </c>
      <c r="DY10" s="255">
        <v>24770.2</v>
      </c>
      <c r="DZ10" s="255">
        <v>24770.2</v>
      </c>
      <c r="EA10" s="255">
        <v>18577.650000000001</v>
      </c>
      <c r="EB10" s="255">
        <v>18577.650000000001</v>
      </c>
      <c r="EC10" s="255">
        <v>24770.2</v>
      </c>
      <c r="ED10" s="255">
        <v>25505.200000000001</v>
      </c>
      <c r="EE10" s="255">
        <v>19128.900000000001</v>
      </c>
      <c r="EF10" s="255">
        <v>27691.360000000001</v>
      </c>
      <c r="EG10" s="255">
        <v>27691.360000000001</v>
      </c>
      <c r="EH10" s="255">
        <v>25505.200000000001</v>
      </c>
      <c r="EI10" s="255">
        <v>25505.200000000001</v>
      </c>
      <c r="EJ10" s="255">
        <v>25505.200000000001</v>
      </c>
      <c r="EK10" s="255">
        <v>25505.200000000001</v>
      </c>
      <c r="EL10" s="255">
        <v>25505.200000000001</v>
      </c>
      <c r="EM10" s="255">
        <v>19128.900000000001</v>
      </c>
      <c r="EN10" s="255">
        <v>19128.900000000001</v>
      </c>
      <c r="EO10" s="255">
        <v>25505.200000000001</v>
      </c>
      <c r="EP10" s="255">
        <v>0</v>
      </c>
      <c r="EQ10" s="255">
        <v>0</v>
      </c>
      <c r="ER10" s="255">
        <v>0</v>
      </c>
      <c r="ES10" s="255">
        <v>0</v>
      </c>
      <c r="ET10" s="255">
        <v>0</v>
      </c>
      <c r="EU10" s="255">
        <v>0</v>
      </c>
      <c r="EV10" s="255">
        <v>0</v>
      </c>
      <c r="EW10" s="255">
        <v>0</v>
      </c>
      <c r="EX10" s="255">
        <v>0</v>
      </c>
      <c r="EY10" s="255">
        <v>0</v>
      </c>
      <c r="EZ10" s="255">
        <v>0</v>
      </c>
      <c r="FA10" s="255">
        <v>0</v>
      </c>
      <c r="FB10" s="255">
        <v>0</v>
      </c>
      <c r="FC10" s="255">
        <v>0</v>
      </c>
      <c r="FD10" s="255">
        <v>0</v>
      </c>
      <c r="FE10" s="255">
        <v>0</v>
      </c>
      <c r="FF10" s="255">
        <v>0</v>
      </c>
      <c r="FG10" s="255">
        <v>0</v>
      </c>
      <c r="FH10" s="255">
        <v>0</v>
      </c>
      <c r="FI10" s="255">
        <v>0</v>
      </c>
      <c r="FJ10" s="255">
        <v>0</v>
      </c>
      <c r="FK10" s="255">
        <v>0</v>
      </c>
      <c r="FL10" s="255">
        <v>0</v>
      </c>
      <c r="FM10" s="255">
        <v>0</v>
      </c>
      <c r="FN10" s="255">
        <v>0</v>
      </c>
      <c r="FO10" s="255">
        <v>0</v>
      </c>
      <c r="FP10" s="255">
        <v>0</v>
      </c>
      <c r="FQ10" s="255">
        <v>0</v>
      </c>
      <c r="FR10" s="255">
        <v>0</v>
      </c>
      <c r="FS10" s="255">
        <v>0</v>
      </c>
      <c r="FT10" s="255">
        <v>0</v>
      </c>
      <c r="FU10" s="255">
        <v>0</v>
      </c>
      <c r="FV10" s="255">
        <v>0</v>
      </c>
      <c r="FW10" s="255">
        <v>0</v>
      </c>
      <c r="FX10" s="116"/>
    </row>
    <row r="11" spans="1:180" x14ac:dyDescent="0.2">
      <c r="B11" s="253" t="s">
        <v>235</v>
      </c>
      <c r="C11" s="253" t="s">
        <v>261</v>
      </c>
      <c r="D11" s="253" t="s">
        <v>258</v>
      </c>
      <c r="E11" s="253" t="s">
        <v>127</v>
      </c>
      <c r="F11" s="253" t="s">
        <v>259</v>
      </c>
      <c r="G11" s="253" t="s">
        <v>260</v>
      </c>
      <c r="H11" s="237">
        <v>316.45</v>
      </c>
      <c r="I11" s="126">
        <f t="shared" si="85"/>
        <v>1620429.88</v>
      </c>
      <c r="J11" s="116"/>
      <c r="K11" s="254">
        <v>0</v>
      </c>
      <c r="L11" s="254">
        <v>0</v>
      </c>
      <c r="M11" s="254">
        <v>0</v>
      </c>
      <c r="N11" s="254">
        <v>0</v>
      </c>
      <c r="O11" s="254">
        <v>0</v>
      </c>
      <c r="P11" s="254">
        <v>0</v>
      </c>
      <c r="Q11" s="254">
        <v>0</v>
      </c>
      <c r="R11" s="254">
        <v>0</v>
      </c>
      <c r="S11" s="254">
        <v>0</v>
      </c>
      <c r="T11" s="254">
        <v>0</v>
      </c>
      <c r="U11" s="254">
        <v>0</v>
      </c>
      <c r="V11" s="254">
        <v>0</v>
      </c>
      <c r="W11" s="254">
        <v>1.1333333333333333</v>
      </c>
      <c r="X11" s="254">
        <v>1</v>
      </c>
      <c r="Y11" s="254">
        <v>1</v>
      </c>
      <c r="Z11" s="254">
        <v>1</v>
      </c>
      <c r="AA11" s="254">
        <v>0.92105263157894735</v>
      </c>
      <c r="AB11" s="254">
        <v>0.92105263157894735</v>
      </c>
      <c r="AC11" s="254">
        <v>1</v>
      </c>
      <c r="AD11" s="254">
        <v>1</v>
      </c>
      <c r="AE11" s="254">
        <v>1</v>
      </c>
      <c r="AF11" s="254">
        <v>1</v>
      </c>
      <c r="AG11" s="254">
        <v>1</v>
      </c>
      <c r="AH11" s="254">
        <v>1</v>
      </c>
      <c r="AI11" s="254">
        <v>1</v>
      </c>
      <c r="AJ11" s="254">
        <v>1</v>
      </c>
      <c r="AK11" s="254">
        <v>1</v>
      </c>
      <c r="AL11" s="254">
        <v>1</v>
      </c>
      <c r="AM11" s="254">
        <v>1</v>
      </c>
      <c r="AN11" s="254">
        <v>1</v>
      </c>
      <c r="AO11" s="254">
        <v>1</v>
      </c>
      <c r="AP11" s="254">
        <v>1</v>
      </c>
      <c r="AQ11" s="254">
        <v>1</v>
      </c>
      <c r="AR11" s="254">
        <v>1</v>
      </c>
      <c r="AS11" s="254">
        <v>1</v>
      </c>
      <c r="AT11" s="254">
        <v>1</v>
      </c>
      <c r="AU11" s="254">
        <v>1</v>
      </c>
      <c r="AV11" s="254">
        <v>1</v>
      </c>
      <c r="AW11" s="254">
        <v>1</v>
      </c>
      <c r="AX11" s="254">
        <v>1</v>
      </c>
      <c r="AY11" s="254">
        <v>1</v>
      </c>
      <c r="AZ11" s="254">
        <v>1</v>
      </c>
      <c r="BA11" s="254">
        <v>1</v>
      </c>
      <c r="BB11" s="254">
        <v>1</v>
      </c>
      <c r="BC11" s="254">
        <v>1</v>
      </c>
      <c r="BD11" s="254">
        <v>1</v>
      </c>
      <c r="BE11" s="254">
        <v>1</v>
      </c>
      <c r="BF11" s="254">
        <v>1</v>
      </c>
      <c r="BG11" s="254">
        <v>1</v>
      </c>
      <c r="BH11" s="254">
        <v>1</v>
      </c>
      <c r="BI11" s="254">
        <v>0</v>
      </c>
      <c r="BJ11" s="254">
        <v>0</v>
      </c>
      <c r="BK11" s="254">
        <v>0</v>
      </c>
      <c r="BL11" s="254">
        <v>0</v>
      </c>
      <c r="BM11" s="254">
        <v>0</v>
      </c>
      <c r="BN11" s="254">
        <v>0</v>
      </c>
      <c r="BO11" s="254">
        <v>0</v>
      </c>
      <c r="BP11" s="254">
        <v>0</v>
      </c>
      <c r="BQ11" s="254">
        <v>0</v>
      </c>
      <c r="BR11" s="254">
        <v>0</v>
      </c>
      <c r="BS11" s="254">
        <v>0</v>
      </c>
      <c r="BT11" s="254">
        <v>0</v>
      </c>
      <c r="BU11" s="254">
        <v>0</v>
      </c>
      <c r="BV11" s="254">
        <v>0</v>
      </c>
      <c r="BW11" s="254">
        <v>0</v>
      </c>
      <c r="BX11" s="254">
        <v>0</v>
      </c>
      <c r="BY11" s="254">
        <v>0</v>
      </c>
      <c r="BZ11" s="254">
        <v>0</v>
      </c>
      <c r="CA11" s="254">
        <v>0</v>
      </c>
      <c r="CB11" s="254">
        <v>0</v>
      </c>
      <c r="CC11" s="254">
        <v>0</v>
      </c>
      <c r="CD11" s="254">
        <v>0</v>
      </c>
      <c r="CE11" s="254">
        <v>0</v>
      </c>
      <c r="CF11" s="254">
        <v>0</v>
      </c>
      <c r="CG11" s="254">
        <v>0</v>
      </c>
      <c r="CH11" s="254">
        <v>0</v>
      </c>
      <c r="CI11" s="254">
        <v>0</v>
      </c>
      <c r="CJ11" s="254">
        <v>0</v>
      </c>
      <c r="CK11" s="254">
        <v>0</v>
      </c>
      <c r="CL11" s="254">
        <v>0</v>
      </c>
      <c r="CM11" s="254">
        <v>0</v>
      </c>
      <c r="CN11" s="254">
        <v>0</v>
      </c>
      <c r="CO11" s="254">
        <v>0</v>
      </c>
      <c r="CP11" s="254">
        <v>0</v>
      </c>
      <c r="CQ11" s="116"/>
      <c r="CR11" s="255">
        <v>0</v>
      </c>
      <c r="CS11" s="255">
        <v>0</v>
      </c>
      <c r="CT11" s="255">
        <v>0</v>
      </c>
      <c r="CU11" s="255">
        <v>0</v>
      </c>
      <c r="CV11" s="255">
        <v>0</v>
      </c>
      <c r="CW11" s="255">
        <v>0</v>
      </c>
      <c r="CX11" s="255">
        <v>0</v>
      </c>
      <c r="CY11" s="255">
        <v>0</v>
      </c>
      <c r="CZ11" s="255">
        <v>0</v>
      </c>
      <c r="DA11" s="255">
        <v>0</v>
      </c>
      <c r="DB11" s="255">
        <v>0</v>
      </c>
      <c r="DC11" s="255">
        <v>0</v>
      </c>
      <c r="DD11" s="255">
        <v>36565.980000000025</v>
      </c>
      <c r="DE11" s="255">
        <v>43019.199999999997</v>
      </c>
      <c r="DF11" s="255">
        <v>43019.199999999997</v>
      </c>
      <c r="DG11" s="255">
        <v>32264.399999999998</v>
      </c>
      <c r="DH11" s="255">
        <v>43019.199999999997</v>
      </c>
      <c r="DI11" s="255">
        <v>43019.199999999997</v>
      </c>
      <c r="DJ11" s="255">
        <v>44303</v>
      </c>
      <c r="DK11" s="255">
        <v>44303</v>
      </c>
      <c r="DL11" s="255">
        <v>44303</v>
      </c>
      <c r="DM11" s="255">
        <v>44303</v>
      </c>
      <c r="DN11" s="255">
        <v>44303</v>
      </c>
      <c r="DO11" s="255">
        <v>33227.25</v>
      </c>
      <c r="DP11" s="255">
        <v>33227.25</v>
      </c>
      <c r="DQ11" s="255">
        <v>44303</v>
      </c>
      <c r="DR11" s="255">
        <v>44303</v>
      </c>
      <c r="DS11" s="255">
        <v>33227.25</v>
      </c>
      <c r="DT11" s="255">
        <v>48100.4</v>
      </c>
      <c r="DU11" s="255">
        <v>48100.4</v>
      </c>
      <c r="DV11" s="255">
        <v>45619</v>
      </c>
      <c r="DW11" s="255">
        <v>45619</v>
      </c>
      <c r="DX11" s="255">
        <v>45619</v>
      </c>
      <c r="DY11" s="255">
        <v>45619</v>
      </c>
      <c r="DZ11" s="255">
        <v>45619</v>
      </c>
      <c r="EA11" s="255">
        <v>34214.25</v>
      </c>
      <c r="EB11" s="255">
        <v>34214.25</v>
      </c>
      <c r="EC11" s="255">
        <v>45619</v>
      </c>
      <c r="ED11" s="255">
        <v>45619</v>
      </c>
      <c r="EE11" s="255">
        <v>34214.25</v>
      </c>
      <c r="EF11" s="255">
        <v>49529.200000000004</v>
      </c>
      <c r="EG11" s="255">
        <v>49529.200000000004</v>
      </c>
      <c r="EH11" s="255">
        <v>46998</v>
      </c>
      <c r="EI11" s="255">
        <v>46998</v>
      </c>
      <c r="EJ11" s="255">
        <v>46998</v>
      </c>
      <c r="EK11" s="255">
        <v>46998</v>
      </c>
      <c r="EL11" s="255">
        <v>46998</v>
      </c>
      <c r="EM11" s="255">
        <v>35248.5</v>
      </c>
      <c r="EN11" s="255">
        <v>35248.5</v>
      </c>
      <c r="EO11" s="255">
        <v>46998</v>
      </c>
      <c r="EP11" s="255">
        <v>0</v>
      </c>
      <c r="EQ11" s="255">
        <v>0</v>
      </c>
      <c r="ER11" s="255">
        <v>0</v>
      </c>
      <c r="ES11" s="255">
        <v>0</v>
      </c>
      <c r="ET11" s="255">
        <v>0</v>
      </c>
      <c r="EU11" s="255">
        <v>0</v>
      </c>
      <c r="EV11" s="255">
        <v>0</v>
      </c>
      <c r="EW11" s="255">
        <v>0</v>
      </c>
      <c r="EX11" s="255">
        <v>0</v>
      </c>
      <c r="EY11" s="255">
        <v>0</v>
      </c>
      <c r="EZ11" s="255">
        <v>0</v>
      </c>
      <c r="FA11" s="255">
        <v>0</v>
      </c>
      <c r="FB11" s="255">
        <v>0</v>
      </c>
      <c r="FC11" s="255">
        <v>0</v>
      </c>
      <c r="FD11" s="255">
        <v>0</v>
      </c>
      <c r="FE11" s="255">
        <v>0</v>
      </c>
      <c r="FF11" s="255">
        <v>0</v>
      </c>
      <c r="FG11" s="255">
        <v>0</v>
      </c>
      <c r="FH11" s="255">
        <v>0</v>
      </c>
      <c r="FI11" s="255">
        <v>0</v>
      </c>
      <c r="FJ11" s="255">
        <v>0</v>
      </c>
      <c r="FK11" s="255">
        <v>0</v>
      </c>
      <c r="FL11" s="255">
        <v>0</v>
      </c>
      <c r="FM11" s="255">
        <v>0</v>
      </c>
      <c r="FN11" s="255">
        <v>0</v>
      </c>
      <c r="FO11" s="255">
        <v>0</v>
      </c>
      <c r="FP11" s="255">
        <v>0</v>
      </c>
      <c r="FQ11" s="255">
        <v>0</v>
      </c>
      <c r="FR11" s="255">
        <v>0</v>
      </c>
      <c r="FS11" s="255">
        <v>0</v>
      </c>
      <c r="FT11" s="255">
        <v>0</v>
      </c>
      <c r="FU11" s="255">
        <v>0</v>
      </c>
      <c r="FV11" s="255">
        <v>0</v>
      </c>
      <c r="FW11" s="255">
        <v>0</v>
      </c>
      <c r="FX11" s="116"/>
    </row>
    <row r="12" spans="1:180" x14ac:dyDescent="0.2">
      <c r="B12" s="253" t="s">
        <v>205</v>
      </c>
      <c r="C12" s="253" t="s">
        <v>261</v>
      </c>
      <c r="D12" s="253" t="s">
        <v>258</v>
      </c>
      <c r="E12" s="253" t="s">
        <v>127</v>
      </c>
      <c r="F12" s="253" t="s">
        <v>263</v>
      </c>
      <c r="G12" s="253" t="s">
        <v>260</v>
      </c>
      <c r="H12" s="237">
        <v>316.45</v>
      </c>
      <c r="I12" s="126">
        <f t="shared" si="85"/>
        <v>1497825.5</v>
      </c>
      <c r="J12" s="116"/>
      <c r="K12" s="254">
        <v>0</v>
      </c>
      <c r="L12" s="254">
        <v>0</v>
      </c>
      <c r="M12" s="254">
        <v>0</v>
      </c>
      <c r="N12" s="254">
        <v>0</v>
      </c>
      <c r="O12" s="254">
        <v>0</v>
      </c>
      <c r="P12" s="254">
        <v>0</v>
      </c>
      <c r="Q12" s="254">
        <v>0</v>
      </c>
      <c r="R12" s="254">
        <v>0</v>
      </c>
      <c r="S12" s="254">
        <v>0</v>
      </c>
      <c r="T12" s="254">
        <v>0</v>
      </c>
      <c r="U12" s="254">
        <v>0</v>
      </c>
      <c r="V12" s="254">
        <v>0</v>
      </c>
      <c r="W12" s="254">
        <v>0</v>
      </c>
      <c r="X12" s="254">
        <v>0</v>
      </c>
      <c r="Y12" s="254">
        <v>0</v>
      </c>
      <c r="Z12" s="254">
        <v>1</v>
      </c>
      <c r="AA12" s="254">
        <v>0.92105263157894735</v>
      </c>
      <c r="AB12" s="254">
        <v>0.92105263157894735</v>
      </c>
      <c r="AC12" s="254">
        <v>1</v>
      </c>
      <c r="AD12" s="254">
        <v>1</v>
      </c>
      <c r="AE12" s="254">
        <v>1</v>
      </c>
      <c r="AF12" s="254">
        <v>1</v>
      </c>
      <c r="AG12" s="254">
        <v>1</v>
      </c>
      <c r="AH12" s="254">
        <v>1</v>
      </c>
      <c r="AI12" s="254">
        <v>1</v>
      </c>
      <c r="AJ12" s="254">
        <v>1</v>
      </c>
      <c r="AK12" s="254">
        <v>1</v>
      </c>
      <c r="AL12" s="254">
        <v>1</v>
      </c>
      <c r="AM12" s="254">
        <v>1</v>
      </c>
      <c r="AN12" s="254">
        <v>1</v>
      </c>
      <c r="AO12" s="254">
        <v>1</v>
      </c>
      <c r="AP12" s="254">
        <v>1</v>
      </c>
      <c r="AQ12" s="254">
        <v>1</v>
      </c>
      <c r="AR12" s="254">
        <v>1</v>
      </c>
      <c r="AS12" s="254">
        <v>1</v>
      </c>
      <c r="AT12" s="254">
        <v>1</v>
      </c>
      <c r="AU12" s="254">
        <v>1</v>
      </c>
      <c r="AV12" s="254">
        <v>1</v>
      </c>
      <c r="AW12" s="254">
        <v>1</v>
      </c>
      <c r="AX12" s="254">
        <v>1</v>
      </c>
      <c r="AY12" s="254">
        <v>1</v>
      </c>
      <c r="AZ12" s="254">
        <v>1</v>
      </c>
      <c r="BA12" s="254">
        <v>1</v>
      </c>
      <c r="BB12" s="254">
        <v>1</v>
      </c>
      <c r="BC12" s="254">
        <v>1</v>
      </c>
      <c r="BD12" s="254">
        <v>1</v>
      </c>
      <c r="BE12" s="254">
        <v>1</v>
      </c>
      <c r="BF12" s="254">
        <v>1</v>
      </c>
      <c r="BG12" s="254">
        <v>1</v>
      </c>
      <c r="BH12" s="254">
        <v>1</v>
      </c>
      <c r="BI12" s="254">
        <v>0</v>
      </c>
      <c r="BJ12" s="254">
        <v>0</v>
      </c>
      <c r="BK12" s="254">
        <v>0</v>
      </c>
      <c r="BL12" s="254">
        <v>0</v>
      </c>
      <c r="BM12" s="254">
        <v>0</v>
      </c>
      <c r="BN12" s="254">
        <v>0</v>
      </c>
      <c r="BO12" s="254">
        <v>0</v>
      </c>
      <c r="BP12" s="254">
        <v>0</v>
      </c>
      <c r="BQ12" s="254">
        <v>0</v>
      </c>
      <c r="BR12" s="254">
        <v>0</v>
      </c>
      <c r="BS12" s="254">
        <v>0</v>
      </c>
      <c r="BT12" s="254">
        <v>0</v>
      </c>
      <c r="BU12" s="254">
        <v>0</v>
      </c>
      <c r="BV12" s="254">
        <v>0</v>
      </c>
      <c r="BW12" s="254">
        <v>0</v>
      </c>
      <c r="BX12" s="254">
        <v>0</v>
      </c>
      <c r="BY12" s="254">
        <v>0</v>
      </c>
      <c r="BZ12" s="254">
        <v>0</v>
      </c>
      <c r="CA12" s="254">
        <v>0</v>
      </c>
      <c r="CB12" s="254">
        <v>0</v>
      </c>
      <c r="CC12" s="254">
        <v>0</v>
      </c>
      <c r="CD12" s="254">
        <v>0</v>
      </c>
      <c r="CE12" s="254">
        <v>0</v>
      </c>
      <c r="CF12" s="254">
        <v>0</v>
      </c>
      <c r="CG12" s="254">
        <v>0</v>
      </c>
      <c r="CH12" s="254">
        <v>0</v>
      </c>
      <c r="CI12" s="254">
        <v>0</v>
      </c>
      <c r="CJ12" s="254">
        <v>0</v>
      </c>
      <c r="CK12" s="254">
        <v>0</v>
      </c>
      <c r="CL12" s="254">
        <v>0</v>
      </c>
      <c r="CM12" s="254">
        <v>0</v>
      </c>
      <c r="CN12" s="254">
        <v>0</v>
      </c>
      <c r="CO12" s="254">
        <v>0</v>
      </c>
      <c r="CP12" s="254">
        <v>0</v>
      </c>
      <c r="CQ12" s="116"/>
      <c r="CR12" s="255">
        <v>0</v>
      </c>
      <c r="CS12" s="255">
        <v>0</v>
      </c>
      <c r="CT12" s="255">
        <v>0</v>
      </c>
      <c r="CU12" s="255">
        <v>0</v>
      </c>
      <c r="CV12" s="255">
        <v>0</v>
      </c>
      <c r="CW12" s="255">
        <v>0</v>
      </c>
      <c r="CX12" s="255">
        <v>0</v>
      </c>
      <c r="CY12" s="255">
        <v>0</v>
      </c>
      <c r="CZ12" s="255">
        <v>0</v>
      </c>
      <c r="DA12" s="255">
        <v>0</v>
      </c>
      <c r="DB12" s="255">
        <v>0</v>
      </c>
      <c r="DC12" s="255">
        <v>0</v>
      </c>
      <c r="DD12" s="255">
        <v>0</v>
      </c>
      <c r="DE12" s="255">
        <v>0</v>
      </c>
      <c r="DF12" s="255">
        <v>0</v>
      </c>
      <c r="DG12" s="255">
        <v>32264.399999999998</v>
      </c>
      <c r="DH12" s="255">
        <v>43019.199999999997</v>
      </c>
      <c r="DI12" s="255">
        <v>43019.199999999997</v>
      </c>
      <c r="DJ12" s="255">
        <v>44303</v>
      </c>
      <c r="DK12" s="255">
        <v>44303</v>
      </c>
      <c r="DL12" s="255">
        <v>44303</v>
      </c>
      <c r="DM12" s="255">
        <v>44303</v>
      </c>
      <c r="DN12" s="255">
        <v>44303</v>
      </c>
      <c r="DO12" s="255">
        <v>33227.25</v>
      </c>
      <c r="DP12" s="255">
        <v>33227.25</v>
      </c>
      <c r="DQ12" s="255">
        <v>44303</v>
      </c>
      <c r="DR12" s="255">
        <v>44303</v>
      </c>
      <c r="DS12" s="255">
        <v>33227.25</v>
      </c>
      <c r="DT12" s="255">
        <v>48100.4</v>
      </c>
      <c r="DU12" s="255">
        <v>48100.4</v>
      </c>
      <c r="DV12" s="255">
        <v>45619</v>
      </c>
      <c r="DW12" s="255">
        <v>45619</v>
      </c>
      <c r="DX12" s="255">
        <v>45619</v>
      </c>
      <c r="DY12" s="255">
        <v>45619</v>
      </c>
      <c r="DZ12" s="255">
        <v>45619</v>
      </c>
      <c r="EA12" s="255">
        <v>34214.25</v>
      </c>
      <c r="EB12" s="255">
        <v>34214.25</v>
      </c>
      <c r="EC12" s="255">
        <v>45619</v>
      </c>
      <c r="ED12" s="255">
        <v>45619</v>
      </c>
      <c r="EE12" s="255">
        <v>34214.25</v>
      </c>
      <c r="EF12" s="255">
        <v>49529.200000000004</v>
      </c>
      <c r="EG12" s="255">
        <v>49529.200000000004</v>
      </c>
      <c r="EH12" s="255">
        <v>46998</v>
      </c>
      <c r="EI12" s="255">
        <v>46998</v>
      </c>
      <c r="EJ12" s="255">
        <v>46998</v>
      </c>
      <c r="EK12" s="255">
        <v>46998</v>
      </c>
      <c r="EL12" s="255">
        <v>46998</v>
      </c>
      <c r="EM12" s="255">
        <v>35248.5</v>
      </c>
      <c r="EN12" s="255">
        <v>35248.5</v>
      </c>
      <c r="EO12" s="255">
        <v>46998</v>
      </c>
      <c r="EP12" s="255">
        <v>0</v>
      </c>
      <c r="EQ12" s="255">
        <v>0</v>
      </c>
      <c r="ER12" s="255">
        <v>0</v>
      </c>
      <c r="ES12" s="255">
        <v>0</v>
      </c>
      <c r="ET12" s="255">
        <v>0</v>
      </c>
      <c r="EU12" s="255">
        <v>0</v>
      </c>
      <c r="EV12" s="255">
        <v>0</v>
      </c>
      <c r="EW12" s="255">
        <v>0</v>
      </c>
      <c r="EX12" s="255">
        <v>0</v>
      </c>
      <c r="EY12" s="255">
        <v>0</v>
      </c>
      <c r="EZ12" s="255">
        <v>0</v>
      </c>
      <c r="FA12" s="255">
        <v>0</v>
      </c>
      <c r="FB12" s="255">
        <v>0</v>
      </c>
      <c r="FC12" s="255">
        <v>0</v>
      </c>
      <c r="FD12" s="255">
        <v>0</v>
      </c>
      <c r="FE12" s="255">
        <v>0</v>
      </c>
      <c r="FF12" s="255">
        <v>0</v>
      </c>
      <c r="FG12" s="255">
        <v>0</v>
      </c>
      <c r="FH12" s="255">
        <v>0</v>
      </c>
      <c r="FI12" s="255">
        <v>0</v>
      </c>
      <c r="FJ12" s="255">
        <v>0</v>
      </c>
      <c r="FK12" s="255">
        <v>0</v>
      </c>
      <c r="FL12" s="255">
        <v>0</v>
      </c>
      <c r="FM12" s="255">
        <v>0</v>
      </c>
      <c r="FN12" s="255">
        <v>0</v>
      </c>
      <c r="FO12" s="255">
        <v>0</v>
      </c>
      <c r="FP12" s="255">
        <v>0</v>
      </c>
      <c r="FQ12" s="255">
        <v>0</v>
      </c>
      <c r="FR12" s="255">
        <v>0</v>
      </c>
      <c r="FS12" s="255">
        <v>0</v>
      </c>
      <c r="FT12" s="255">
        <v>0</v>
      </c>
      <c r="FU12" s="255">
        <v>0</v>
      </c>
      <c r="FV12" s="255">
        <v>0</v>
      </c>
      <c r="FW12" s="255">
        <v>0</v>
      </c>
      <c r="FX12" s="116"/>
    </row>
    <row r="13" spans="1:180" x14ac:dyDescent="0.2">
      <c r="B13" s="253" t="s">
        <v>205</v>
      </c>
      <c r="C13" s="253" t="s">
        <v>261</v>
      </c>
      <c r="D13" s="253" t="s">
        <v>258</v>
      </c>
      <c r="E13" s="253" t="s">
        <v>127</v>
      </c>
      <c r="F13" s="253" t="s">
        <v>259</v>
      </c>
      <c r="G13" s="253" t="s">
        <v>260</v>
      </c>
      <c r="H13" s="237">
        <v>316.45</v>
      </c>
      <c r="I13" s="126">
        <f t="shared" si="85"/>
        <v>1659032.92</v>
      </c>
      <c r="J13" s="116"/>
      <c r="K13" s="254">
        <v>0</v>
      </c>
      <c r="L13" s="254">
        <v>0</v>
      </c>
      <c r="M13" s="254">
        <v>0</v>
      </c>
      <c r="N13" s="254">
        <v>0</v>
      </c>
      <c r="O13" s="254">
        <v>0</v>
      </c>
      <c r="P13" s="254">
        <v>0</v>
      </c>
      <c r="Q13" s="254">
        <v>0</v>
      </c>
      <c r="R13" s="254">
        <v>0</v>
      </c>
      <c r="S13" s="254">
        <v>0</v>
      </c>
      <c r="T13" s="254">
        <v>0</v>
      </c>
      <c r="U13" s="254">
        <v>0</v>
      </c>
      <c r="V13" s="254">
        <v>0.8666666666666667</v>
      </c>
      <c r="W13" s="254">
        <v>0.89047619047619042</v>
      </c>
      <c r="X13" s="254">
        <v>1</v>
      </c>
      <c r="Y13" s="254">
        <v>1</v>
      </c>
      <c r="Z13" s="254">
        <v>1.3333333333333333</v>
      </c>
      <c r="AA13" s="254">
        <v>0.92105263157894735</v>
      </c>
      <c r="AB13" s="254">
        <v>0.92105263157894735</v>
      </c>
      <c r="AC13" s="254">
        <v>1</v>
      </c>
      <c r="AD13" s="254">
        <v>1</v>
      </c>
      <c r="AE13" s="254">
        <v>1</v>
      </c>
      <c r="AF13" s="254">
        <v>1</v>
      </c>
      <c r="AG13" s="254">
        <v>1</v>
      </c>
      <c r="AH13" s="254">
        <v>1</v>
      </c>
      <c r="AI13" s="254">
        <v>1</v>
      </c>
      <c r="AJ13" s="254">
        <v>1</v>
      </c>
      <c r="AK13" s="254">
        <v>1</v>
      </c>
      <c r="AL13" s="254">
        <v>1</v>
      </c>
      <c r="AM13" s="254">
        <v>1</v>
      </c>
      <c r="AN13" s="254">
        <v>1</v>
      </c>
      <c r="AO13" s="254">
        <v>1</v>
      </c>
      <c r="AP13" s="254">
        <v>1</v>
      </c>
      <c r="AQ13" s="254">
        <v>1</v>
      </c>
      <c r="AR13" s="254">
        <v>1</v>
      </c>
      <c r="AS13" s="254">
        <v>1</v>
      </c>
      <c r="AT13" s="254">
        <v>1</v>
      </c>
      <c r="AU13" s="254">
        <v>1</v>
      </c>
      <c r="AV13" s="254">
        <v>1</v>
      </c>
      <c r="AW13" s="254">
        <v>1</v>
      </c>
      <c r="AX13" s="254">
        <v>1</v>
      </c>
      <c r="AY13" s="254">
        <v>1</v>
      </c>
      <c r="AZ13" s="254">
        <v>1</v>
      </c>
      <c r="BA13" s="254">
        <v>1</v>
      </c>
      <c r="BB13" s="254">
        <v>1</v>
      </c>
      <c r="BC13" s="254">
        <v>1</v>
      </c>
      <c r="BD13" s="254">
        <v>1</v>
      </c>
      <c r="BE13" s="254">
        <v>1</v>
      </c>
      <c r="BF13" s="254">
        <v>1</v>
      </c>
      <c r="BG13" s="254">
        <v>1</v>
      </c>
      <c r="BH13" s="254">
        <v>1</v>
      </c>
      <c r="BI13" s="254">
        <v>0</v>
      </c>
      <c r="BJ13" s="254">
        <v>0</v>
      </c>
      <c r="BK13" s="254">
        <v>0</v>
      </c>
      <c r="BL13" s="254">
        <v>0</v>
      </c>
      <c r="BM13" s="254">
        <v>0</v>
      </c>
      <c r="BN13" s="254">
        <v>0</v>
      </c>
      <c r="BO13" s="254">
        <v>0</v>
      </c>
      <c r="BP13" s="254">
        <v>0</v>
      </c>
      <c r="BQ13" s="254">
        <v>0</v>
      </c>
      <c r="BR13" s="254">
        <v>0</v>
      </c>
      <c r="BS13" s="254">
        <v>0</v>
      </c>
      <c r="BT13" s="254">
        <v>0</v>
      </c>
      <c r="BU13" s="254">
        <v>0</v>
      </c>
      <c r="BV13" s="254">
        <v>0</v>
      </c>
      <c r="BW13" s="254">
        <v>0</v>
      </c>
      <c r="BX13" s="254">
        <v>0</v>
      </c>
      <c r="BY13" s="254">
        <v>0</v>
      </c>
      <c r="BZ13" s="254">
        <v>0</v>
      </c>
      <c r="CA13" s="254">
        <v>0</v>
      </c>
      <c r="CB13" s="254">
        <v>0</v>
      </c>
      <c r="CC13" s="254">
        <v>0</v>
      </c>
      <c r="CD13" s="254">
        <v>0</v>
      </c>
      <c r="CE13" s="254">
        <v>0</v>
      </c>
      <c r="CF13" s="254">
        <v>0</v>
      </c>
      <c r="CG13" s="254">
        <v>0</v>
      </c>
      <c r="CH13" s="254">
        <v>0</v>
      </c>
      <c r="CI13" s="254">
        <v>0</v>
      </c>
      <c r="CJ13" s="254">
        <v>0</v>
      </c>
      <c r="CK13" s="254">
        <v>0</v>
      </c>
      <c r="CL13" s="254">
        <v>0</v>
      </c>
      <c r="CM13" s="254">
        <v>0</v>
      </c>
      <c r="CN13" s="254">
        <v>0</v>
      </c>
      <c r="CO13" s="254">
        <v>0</v>
      </c>
      <c r="CP13" s="254">
        <v>0</v>
      </c>
      <c r="CQ13" s="116"/>
      <c r="CR13" s="255">
        <v>0</v>
      </c>
      <c r="CS13" s="255">
        <v>0</v>
      </c>
      <c r="CT13" s="255">
        <v>0</v>
      </c>
      <c r="CU13" s="255">
        <v>0</v>
      </c>
      <c r="CV13" s="255">
        <v>0</v>
      </c>
      <c r="CW13" s="255">
        <v>0</v>
      </c>
      <c r="CX13" s="255">
        <v>0</v>
      </c>
      <c r="CY13" s="255">
        <v>0</v>
      </c>
      <c r="CZ13" s="255">
        <v>0</v>
      </c>
      <c r="DA13" s="255">
        <v>0</v>
      </c>
      <c r="DB13" s="255">
        <v>0</v>
      </c>
      <c r="DC13" s="255">
        <v>31770.700000000004</v>
      </c>
      <c r="DD13" s="255">
        <v>32643.520000000004</v>
      </c>
      <c r="DE13" s="255">
        <v>43019.199999999997</v>
      </c>
      <c r="DF13" s="255">
        <v>43019.199999999997</v>
      </c>
      <c r="DG13" s="255">
        <v>43019.199999999997</v>
      </c>
      <c r="DH13" s="255">
        <v>43019.199999999997</v>
      </c>
      <c r="DI13" s="255">
        <v>43019.199999999997</v>
      </c>
      <c r="DJ13" s="255">
        <v>44303</v>
      </c>
      <c r="DK13" s="255">
        <v>44303</v>
      </c>
      <c r="DL13" s="255">
        <v>44303</v>
      </c>
      <c r="DM13" s="255">
        <v>44303</v>
      </c>
      <c r="DN13" s="255">
        <v>44303</v>
      </c>
      <c r="DO13" s="255">
        <v>33227.25</v>
      </c>
      <c r="DP13" s="255">
        <v>33227.25</v>
      </c>
      <c r="DQ13" s="255">
        <v>44303</v>
      </c>
      <c r="DR13" s="255">
        <v>44303</v>
      </c>
      <c r="DS13" s="255">
        <v>33227.25</v>
      </c>
      <c r="DT13" s="255">
        <v>48100.4</v>
      </c>
      <c r="DU13" s="255">
        <v>48100.4</v>
      </c>
      <c r="DV13" s="255">
        <v>45619</v>
      </c>
      <c r="DW13" s="255">
        <v>45619</v>
      </c>
      <c r="DX13" s="255">
        <v>45619</v>
      </c>
      <c r="DY13" s="255">
        <v>45619</v>
      </c>
      <c r="DZ13" s="255">
        <v>45619</v>
      </c>
      <c r="EA13" s="255">
        <v>34214.25</v>
      </c>
      <c r="EB13" s="255">
        <v>34214.25</v>
      </c>
      <c r="EC13" s="255">
        <v>45619</v>
      </c>
      <c r="ED13" s="255">
        <v>45619</v>
      </c>
      <c r="EE13" s="255">
        <v>34214.25</v>
      </c>
      <c r="EF13" s="255">
        <v>49529.200000000004</v>
      </c>
      <c r="EG13" s="255">
        <v>49529.200000000004</v>
      </c>
      <c r="EH13" s="255">
        <v>46998</v>
      </c>
      <c r="EI13" s="255">
        <v>46998</v>
      </c>
      <c r="EJ13" s="255">
        <v>46998</v>
      </c>
      <c r="EK13" s="255">
        <v>46998</v>
      </c>
      <c r="EL13" s="255">
        <v>46998</v>
      </c>
      <c r="EM13" s="255">
        <v>35248.5</v>
      </c>
      <c r="EN13" s="255">
        <v>35248.5</v>
      </c>
      <c r="EO13" s="255">
        <v>46998</v>
      </c>
      <c r="EP13" s="255">
        <v>0</v>
      </c>
      <c r="EQ13" s="255">
        <v>0</v>
      </c>
      <c r="ER13" s="255">
        <v>0</v>
      </c>
      <c r="ES13" s="255">
        <v>0</v>
      </c>
      <c r="ET13" s="255">
        <v>0</v>
      </c>
      <c r="EU13" s="255">
        <v>0</v>
      </c>
      <c r="EV13" s="255">
        <v>0</v>
      </c>
      <c r="EW13" s="255">
        <v>0</v>
      </c>
      <c r="EX13" s="255">
        <v>0</v>
      </c>
      <c r="EY13" s="255">
        <v>0</v>
      </c>
      <c r="EZ13" s="255">
        <v>0</v>
      </c>
      <c r="FA13" s="255">
        <v>0</v>
      </c>
      <c r="FB13" s="255">
        <v>0</v>
      </c>
      <c r="FC13" s="255">
        <v>0</v>
      </c>
      <c r="FD13" s="255">
        <v>0</v>
      </c>
      <c r="FE13" s="255">
        <v>0</v>
      </c>
      <c r="FF13" s="255">
        <v>0</v>
      </c>
      <c r="FG13" s="255">
        <v>0</v>
      </c>
      <c r="FH13" s="255">
        <v>0</v>
      </c>
      <c r="FI13" s="255">
        <v>0</v>
      </c>
      <c r="FJ13" s="255">
        <v>0</v>
      </c>
      <c r="FK13" s="255">
        <v>0</v>
      </c>
      <c r="FL13" s="255">
        <v>0</v>
      </c>
      <c r="FM13" s="255">
        <v>0</v>
      </c>
      <c r="FN13" s="255">
        <v>0</v>
      </c>
      <c r="FO13" s="255">
        <v>0</v>
      </c>
      <c r="FP13" s="255">
        <v>0</v>
      </c>
      <c r="FQ13" s="255">
        <v>0</v>
      </c>
      <c r="FR13" s="255">
        <v>0</v>
      </c>
      <c r="FS13" s="255">
        <v>0</v>
      </c>
      <c r="FT13" s="255">
        <v>0</v>
      </c>
      <c r="FU13" s="255">
        <v>0</v>
      </c>
      <c r="FV13" s="255">
        <v>0</v>
      </c>
      <c r="FW13" s="255">
        <v>0</v>
      </c>
      <c r="FX13" s="116"/>
    </row>
    <row r="14" spans="1:180" x14ac:dyDescent="0.2">
      <c r="B14" s="253" t="s">
        <v>232</v>
      </c>
      <c r="C14" s="253" t="s">
        <v>264</v>
      </c>
      <c r="D14" s="253" t="s">
        <v>85</v>
      </c>
      <c r="E14" s="253" t="s">
        <v>127</v>
      </c>
      <c r="F14" s="253">
        <v>0</v>
      </c>
      <c r="G14" s="253" t="s">
        <v>260</v>
      </c>
      <c r="H14" s="237">
        <v>0</v>
      </c>
      <c r="I14" s="126">
        <f t="shared" si="85"/>
        <v>4999999.9999999991</v>
      </c>
      <c r="J14" s="116"/>
      <c r="K14" s="254">
        <v>0</v>
      </c>
      <c r="L14" s="254">
        <v>0</v>
      </c>
      <c r="M14" s="254">
        <v>0</v>
      </c>
      <c r="N14" s="254">
        <v>0</v>
      </c>
      <c r="O14" s="254">
        <v>0</v>
      </c>
      <c r="P14" s="254">
        <v>0</v>
      </c>
      <c r="Q14" s="254">
        <v>0</v>
      </c>
      <c r="R14" s="254">
        <v>0</v>
      </c>
      <c r="S14" s="254">
        <v>0</v>
      </c>
      <c r="T14" s="254">
        <v>0</v>
      </c>
      <c r="U14" s="254">
        <v>0</v>
      </c>
      <c r="V14" s="254">
        <v>0</v>
      </c>
      <c r="W14" s="254">
        <v>0</v>
      </c>
      <c r="X14" s="254">
        <v>0</v>
      </c>
      <c r="Y14" s="254">
        <v>0</v>
      </c>
      <c r="Z14" s="254">
        <v>0</v>
      </c>
      <c r="AA14" s="254">
        <v>0</v>
      </c>
      <c r="AB14" s="254">
        <v>0</v>
      </c>
      <c r="AC14" s="254">
        <v>0</v>
      </c>
      <c r="AD14" s="254">
        <v>0</v>
      </c>
      <c r="AE14" s="254">
        <v>0</v>
      </c>
      <c r="AF14" s="254">
        <v>0</v>
      </c>
      <c r="AG14" s="254">
        <v>0</v>
      </c>
      <c r="AH14" s="254">
        <v>0</v>
      </c>
      <c r="AI14" s="254">
        <v>0</v>
      </c>
      <c r="AJ14" s="254">
        <v>0</v>
      </c>
      <c r="AK14" s="254">
        <v>0</v>
      </c>
      <c r="AL14" s="254">
        <v>0</v>
      </c>
      <c r="AM14" s="254">
        <v>0</v>
      </c>
      <c r="AN14" s="254">
        <v>0</v>
      </c>
      <c r="AO14" s="254">
        <v>1.2032333286006158E-4</v>
      </c>
      <c r="AP14" s="254">
        <v>1.2032333286006158E-4</v>
      </c>
      <c r="AQ14" s="254">
        <v>1.2032333286006158E-4</v>
      </c>
      <c r="AR14" s="254">
        <v>1.2032333286006158E-4</v>
      </c>
      <c r="AS14" s="254">
        <v>1.2032333286006158E-4</v>
      </c>
      <c r="AT14" s="254">
        <v>1.2032333286006158E-4</v>
      </c>
      <c r="AU14" s="254">
        <v>1.2032333286006158E-4</v>
      </c>
      <c r="AV14" s="254">
        <v>1.2032333286006158E-4</v>
      </c>
      <c r="AW14" s="254">
        <v>1.2032333286006158E-4</v>
      </c>
      <c r="AX14" s="254">
        <v>1.2032333286006158E-4</v>
      </c>
      <c r="AY14" s="254">
        <v>1.2032333286006158E-4</v>
      </c>
      <c r="AZ14" s="254">
        <v>1.2032333286006158E-4</v>
      </c>
      <c r="BA14" s="254">
        <v>1.1679268597483354E-4</v>
      </c>
      <c r="BB14" s="254">
        <v>1.1679268597483354E-4</v>
      </c>
      <c r="BC14" s="254">
        <v>1.1679268597483354E-4</v>
      </c>
      <c r="BD14" s="254">
        <v>1.1679268597483354E-4</v>
      </c>
      <c r="BE14" s="254">
        <v>1.1679268597483354E-4</v>
      </c>
      <c r="BF14" s="254">
        <v>1.1679268597483354E-4</v>
      </c>
      <c r="BG14" s="254">
        <v>1.1679268597483354E-4</v>
      </c>
      <c r="BH14" s="254">
        <v>1.1679268597483354E-4</v>
      </c>
      <c r="BI14" s="254">
        <v>1.1679268597483354E-4</v>
      </c>
      <c r="BJ14" s="254">
        <v>1.1679268597483354E-4</v>
      </c>
      <c r="BK14" s="254">
        <v>0</v>
      </c>
      <c r="BL14" s="254">
        <v>0</v>
      </c>
      <c r="BM14" s="254">
        <v>0</v>
      </c>
      <c r="BN14" s="254">
        <v>0</v>
      </c>
      <c r="BO14" s="254">
        <v>0</v>
      </c>
      <c r="BP14" s="254">
        <v>0</v>
      </c>
      <c r="BQ14" s="254">
        <v>0</v>
      </c>
      <c r="BR14" s="254">
        <v>0</v>
      </c>
      <c r="BS14" s="254">
        <v>0</v>
      </c>
      <c r="BT14" s="254">
        <v>0</v>
      </c>
      <c r="BU14" s="254">
        <v>0</v>
      </c>
      <c r="BV14" s="254">
        <v>0</v>
      </c>
      <c r="BW14" s="254">
        <v>0</v>
      </c>
      <c r="BX14" s="254">
        <v>0</v>
      </c>
      <c r="BY14" s="254">
        <v>0</v>
      </c>
      <c r="BZ14" s="254">
        <v>0</v>
      </c>
      <c r="CA14" s="254">
        <v>0</v>
      </c>
      <c r="CB14" s="254">
        <v>0</v>
      </c>
      <c r="CC14" s="254">
        <v>0</v>
      </c>
      <c r="CD14" s="254">
        <v>0</v>
      </c>
      <c r="CE14" s="254">
        <v>0</v>
      </c>
      <c r="CF14" s="254">
        <v>0</v>
      </c>
      <c r="CG14" s="254">
        <v>0</v>
      </c>
      <c r="CH14" s="254">
        <v>0</v>
      </c>
      <c r="CI14" s="254">
        <v>0</v>
      </c>
      <c r="CJ14" s="254">
        <v>0</v>
      </c>
      <c r="CK14" s="254">
        <v>0</v>
      </c>
      <c r="CL14" s="254">
        <v>0</v>
      </c>
      <c r="CM14" s="254">
        <v>0</v>
      </c>
      <c r="CN14" s="254">
        <v>0</v>
      </c>
      <c r="CO14" s="254">
        <v>0</v>
      </c>
      <c r="CP14" s="254">
        <v>0</v>
      </c>
      <c r="CQ14" s="116"/>
      <c r="CR14" s="255">
        <v>0</v>
      </c>
      <c r="CS14" s="255">
        <v>0</v>
      </c>
      <c r="CT14" s="255">
        <v>0</v>
      </c>
      <c r="CU14" s="255">
        <v>0</v>
      </c>
      <c r="CV14" s="255">
        <v>0</v>
      </c>
      <c r="CW14" s="255">
        <v>0</v>
      </c>
      <c r="CX14" s="255">
        <v>0</v>
      </c>
      <c r="CY14" s="255">
        <v>0</v>
      </c>
      <c r="CZ14" s="255">
        <v>0</v>
      </c>
      <c r="DA14" s="255">
        <v>0</v>
      </c>
      <c r="DB14" s="255">
        <v>0</v>
      </c>
      <c r="DC14" s="255">
        <v>0</v>
      </c>
      <c r="DD14" s="255">
        <v>0</v>
      </c>
      <c r="DE14" s="255">
        <v>0</v>
      </c>
      <c r="DF14" s="255">
        <v>0</v>
      </c>
      <c r="DG14" s="255">
        <v>0</v>
      </c>
      <c r="DH14" s="255">
        <v>0</v>
      </c>
      <c r="DI14" s="255">
        <v>0</v>
      </c>
      <c r="DJ14" s="255">
        <v>0</v>
      </c>
      <c r="DK14" s="255">
        <v>0</v>
      </c>
      <c r="DL14" s="255">
        <v>0</v>
      </c>
      <c r="DM14" s="255">
        <v>0</v>
      </c>
      <c r="DN14" s="255">
        <v>0</v>
      </c>
      <c r="DO14" s="255">
        <v>0</v>
      </c>
      <c r="DP14" s="255">
        <v>0</v>
      </c>
      <c r="DQ14" s="255">
        <v>0</v>
      </c>
      <c r="DR14" s="255">
        <v>0</v>
      </c>
      <c r="DS14" s="255">
        <v>0</v>
      </c>
      <c r="DT14" s="255">
        <v>0</v>
      </c>
      <c r="DU14" s="255">
        <v>0</v>
      </c>
      <c r="DV14" s="255">
        <v>227272.72727272726</v>
      </c>
      <c r="DW14" s="255">
        <v>227272.72727272726</v>
      </c>
      <c r="DX14" s="255">
        <v>227272.72727272726</v>
      </c>
      <c r="DY14" s="255">
        <v>227272.72727272726</v>
      </c>
      <c r="DZ14" s="255">
        <v>227272.72727272726</v>
      </c>
      <c r="EA14" s="255">
        <v>227272.72727272726</v>
      </c>
      <c r="EB14" s="255">
        <v>227272.72727272726</v>
      </c>
      <c r="EC14" s="255">
        <v>227272.72727272726</v>
      </c>
      <c r="ED14" s="255">
        <v>227272.72727272726</v>
      </c>
      <c r="EE14" s="255">
        <v>227272.72727272726</v>
      </c>
      <c r="EF14" s="255">
        <v>227272.72727272726</v>
      </c>
      <c r="EG14" s="255">
        <v>227272.72727272726</v>
      </c>
      <c r="EH14" s="255">
        <v>227272.72727272726</v>
      </c>
      <c r="EI14" s="255">
        <v>227272.72727272726</v>
      </c>
      <c r="EJ14" s="255">
        <v>227272.72727272726</v>
      </c>
      <c r="EK14" s="255">
        <v>227272.72727272726</v>
      </c>
      <c r="EL14" s="255">
        <v>227272.72727272726</v>
      </c>
      <c r="EM14" s="255">
        <v>227272.72727272726</v>
      </c>
      <c r="EN14" s="255">
        <v>227272.72727272726</v>
      </c>
      <c r="EO14" s="255">
        <v>227272.72727272726</v>
      </c>
      <c r="EP14" s="255">
        <v>227272.72727272726</v>
      </c>
      <c r="EQ14" s="255">
        <v>227272.72727272726</v>
      </c>
      <c r="ER14" s="255">
        <v>0</v>
      </c>
      <c r="ES14" s="255">
        <v>0</v>
      </c>
      <c r="ET14" s="255">
        <v>0</v>
      </c>
      <c r="EU14" s="255">
        <v>0</v>
      </c>
      <c r="EV14" s="255">
        <v>0</v>
      </c>
      <c r="EW14" s="255">
        <v>0</v>
      </c>
      <c r="EX14" s="255">
        <v>0</v>
      </c>
      <c r="EY14" s="255">
        <v>0</v>
      </c>
      <c r="EZ14" s="255">
        <v>0</v>
      </c>
      <c r="FA14" s="255">
        <v>0</v>
      </c>
      <c r="FB14" s="255">
        <v>0</v>
      </c>
      <c r="FC14" s="255">
        <v>0</v>
      </c>
      <c r="FD14" s="255">
        <v>0</v>
      </c>
      <c r="FE14" s="255">
        <v>0</v>
      </c>
      <c r="FF14" s="255">
        <v>0</v>
      </c>
      <c r="FG14" s="255">
        <v>0</v>
      </c>
      <c r="FH14" s="255">
        <v>0</v>
      </c>
      <c r="FI14" s="255">
        <v>0</v>
      </c>
      <c r="FJ14" s="255">
        <v>0</v>
      </c>
      <c r="FK14" s="255">
        <v>0</v>
      </c>
      <c r="FL14" s="255">
        <v>0</v>
      </c>
      <c r="FM14" s="255">
        <v>0</v>
      </c>
      <c r="FN14" s="255">
        <v>0</v>
      </c>
      <c r="FO14" s="255">
        <v>0</v>
      </c>
      <c r="FP14" s="255">
        <v>0</v>
      </c>
      <c r="FQ14" s="255">
        <v>0</v>
      </c>
      <c r="FR14" s="255">
        <v>0</v>
      </c>
      <c r="FS14" s="255">
        <v>0</v>
      </c>
      <c r="FT14" s="255">
        <v>0</v>
      </c>
      <c r="FU14" s="255">
        <v>0</v>
      </c>
      <c r="FV14" s="255">
        <v>0</v>
      </c>
      <c r="FW14" s="255">
        <v>0</v>
      </c>
      <c r="FX14" s="116"/>
    </row>
    <row r="15" spans="1:180" x14ac:dyDescent="0.2">
      <c r="B15" s="253" t="s">
        <v>233</v>
      </c>
      <c r="C15" s="253" t="s">
        <v>265</v>
      </c>
      <c r="D15" s="253" t="s">
        <v>258</v>
      </c>
      <c r="E15" s="253" t="s">
        <v>127</v>
      </c>
      <c r="F15" s="253" t="s">
        <v>263</v>
      </c>
      <c r="G15" s="253" t="s">
        <v>260</v>
      </c>
      <c r="H15" s="237">
        <v>333.23</v>
      </c>
      <c r="I15" s="126">
        <f t="shared" si="85"/>
        <v>1668284.1</v>
      </c>
      <c r="J15" s="116"/>
      <c r="K15" s="254">
        <v>0</v>
      </c>
      <c r="L15" s="254">
        <v>0</v>
      </c>
      <c r="M15" s="254">
        <v>0</v>
      </c>
      <c r="N15" s="254">
        <v>0</v>
      </c>
      <c r="O15" s="254">
        <v>0</v>
      </c>
      <c r="P15" s="254">
        <v>0</v>
      </c>
      <c r="Q15" s="254">
        <v>0</v>
      </c>
      <c r="R15" s="254">
        <v>0</v>
      </c>
      <c r="S15" s="254">
        <v>0</v>
      </c>
      <c r="T15" s="254">
        <v>0</v>
      </c>
      <c r="U15" s="254">
        <v>0</v>
      </c>
      <c r="V15" s="254">
        <v>0</v>
      </c>
      <c r="W15" s="254">
        <v>0</v>
      </c>
      <c r="X15" s="254">
        <v>1</v>
      </c>
      <c r="Y15" s="254">
        <v>1</v>
      </c>
      <c r="Z15" s="254">
        <v>1</v>
      </c>
      <c r="AA15" s="254">
        <v>0.92105263157894735</v>
      </c>
      <c r="AB15" s="254">
        <v>0.92105263157894735</v>
      </c>
      <c r="AC15" s="254">
        <v>1</v>
      </c>
      <c r="AD15" s="254">
        <v>1</v>
      </c>
      <c r="AE15" s="254">
        <v>1</v>
      </c>
      <c r="AF15" s="254">
        <v>1</v>
      </c>
      <c r="AG15" s="254">
        <v>1</v>
      </c>
      <c r="AH15" s="254">
        <v>1</v>
      </c>
      <c r="AI15" s="254">
        <v>1</v>
      </c>
      <c r="AJ15" s="254">
        <v>1</v>
      </c>
      <c r="AK15" s="254">
        <v>1</v>
      </c>
      <c r="AL15" s="254">
        <v>1</v>
      </c>
      <c r="AM15" s="254">
        <v>1</v>
      </c>
      <c r="AN15" s="254">
        <v>1</v>
      </c>
      <c r="AO15" s="254">
        <v>1</v>
      </c>
      <c r="AP15" s="254">
        <v>1</v>
      </c>
      <c r="AQ15" s="254">
        <v>1</v>
      </c>
      <c r="AR15" s="254">
        <v>1</v>
      </c>
      <c r="AS15" s="254">
        <v>1</v>
      </c>
      <c r="AT15" s="254">
        <v>1</v>
      </c>
      <c r="AU15" s="254">
        <v>1</v>
      </c>
      <c r="AV15" s="254">
        <v>1</v>
      </c>
      <c r="AW15" s="254">
        <v>1</v>
      </c>
      <c r="AX15" s="254">
        <v>1</v>
      </c>
      <c r="AY15" s="254">
        <v>1</v>
      </c>
      <c r="AZ15" s="254">
        <v>1</v>
      </c>
      <c r="BA15" s="254">
        <v>1</v>
      </c>
      <c r="BB15" s="254">
        <v>1</v>
      </c>
      <c r="BC15" s="254">
        <v>1</v>
      </c>
      <c r="BD15" s="254">
        <v>1</v>
      </c>
      <c r="BE15" s="254">
        <v>1</v>
      </c>
      <c r="BF15" s="254">
        <v>1</v>
      </c>
      <c r="BG15" s="254">
        <v>1</v>
      </c>
      <c r="BH15" s="254">
        <v>1</v>
      </c>
      <c r="BI15" s="254">
        <v>0</v>
      </c>
      <c r="BJ15" s="254">
        <v>0</v>
      </c>
      <c r="BK15" s="254">
        <v>0</v>
      </c>
      <c r="BL15" s="254">
        <v>0</v>
      </c>
      <c r="BM15" s="254">
        <v>0</v>
      </c>
      <c r="BN15" s="254">
        <v>0</v>
      </c>
      <c r="BO15" s="254">
        <v>0</v>
      </c>
      <c r="BP15" s="254">
        <v>0</v>
      </c>
      <c r="BQ15" s="254">
        <v>0</v>
      </c>
      <c r="BR15" s="254">
        <v>0</v>
      </c>
      <c r="BS15" s="254">
        <v>0</v>
      </c>
      <c r="BT15" s="254">
        <v>0</v>
      </c>
      <c r="BU15" s="254">
        <v>0</v>
      </c>
      <c r="BV15" s="254">
        <v>0</v>
      </c>
      <c r="BW15" s="254">
        <v>0</v>
      </c>
      <c r="BX15" s="254">
        <v>0</v>
      </c>
      <c r="BY15" s="254">
        <v>0</v>
      </c>
      <c r="BZ15" s="254">
        <v>0</v>
      </c>
      <c r="CA15" s="254">
        <v>0</v>
      </c>
      <c r="CB15" s="254">
        <v>0</v>
      </c>
      <c r="CC15" s="254">
        <v>0</v>
      </c>
      <c r="CD15" s="254">
        <v>0</v>
      </c>
      <c r="CE15" s="254">
        <v>0</v>
      </c>
      <c r="CF15" s="254">
        <v>0</v>
      </c>
      <c r="CG15" s="254">
        <v>0</v>
      </c>
      <c r="CH15" s="254">
        <v>0</v>
      </c>
      <c r="CI15" s="254">
        <v>0</v>
      </c>
      <c r="CJ15" s="254">
        <v>0</v>
      </c>
      <c r="CK15" s="254">
        <v>0</v>
      </c>
      <c r="CL15" s="254">
        <v>0</v>
      </c>
      <c r="CM15" s="254">
        <v>0</v>
      </c>
      <c r="CN15" s="254">
        <v>0</v>
      </c>
      <c r="CO15" s="254">
        <v>0</v>
      </c>
      <c r="CP15" s="254">
        <v>0</v>
      </c>
      <c r="CQ15" s="116"/>
      <c r="CR15" s="255">
        <v>0</v>
      </c>
      <c r="CS15" s="255">
        <v>0</v>
      </c>
      <c r="CT15" s="255">
        <v>0</v>
      </c>
      <c r="CU15" s="255">
        <v>0</v>
      </c>
      <c r="CV15" s="255">
        <v>0</v>
      </c>
      <c r="CW15" s="255">
        <v>0</v>
      </c>
      <c r="CX15" s="255">
        <v>0</v>
      </c>
      <c r="CY15" s="255">
        <v>0</v>
      </c>
      <c r="CZ15" s="255">
        <v>0</v>
      </c>
      <c r="DA15" s="255">
        <v>0</v>
      </c>
      <c r="DB15" s="255">
        <v>0</v>
      </c>
      <c r="DC15" s="255">
        <v>0</v>
      </c>
      <c r="DD15" s="255">
        <v>0</v>
      </c>
      <c r="DE15" s="255">
        <v>45305.4</v>
      </c>
      <c r="DF15" s="255">
        <v>45305.4</v>
      </c>
      <c r="DG15" s="255">
        <v>33979.050000000003</v>
      </c>
      <c r="DH15" s="255">
        <v>45305.4</v>
      </c>
      <c r="DI15" s="255">
        <v>45305.4</v>
      </c>
      <c r="DJ15" s="255">
        <v>46653.599999999999</v>
      </c>
      <c r="DK15" s="255">
        <v>46653.599999999999</v>
      </c>
      <c r="DL15" s="255">
        <v>46653.599999999999</v>
      </c>
      <c r="DM15" s="255">
        <v>46653.599999999999</v>
      </c>
      <c r="DN15" s="255">
        <v>46653.599999999999</v>
      </c>
      <c r="DO15" s="255">
        <v>34990.200000000004</v>
      </c>
      <c r="DP15" s="255">
        <v>34990.200000000004</v>
      </c>
      <c r="DQ15" s="255">
        <v>46653.599999999999</v>
      </c>
      <c r="DR15" s="255">
        <v>46653.599999999999</v>
      </c>
      <c r="DS15" s="255">
        <v>34990.200000000004</v>
      </c>
      <c r="DT15" s="255">
        <v>50652.480000000003</v>
      </c>
      <c r="DU15" s="255">
        <v>50652.480000000003</v>
      </c>
      <c r="DV15" s="255">
        <v>48063.4</v>
      </c>
      <c r="DW15" s="255">
        <v>48063.4</v>
      </c>
      <c r="DX15" s="255">
        <v>48063.4</v>
      </c>
      <c r="DY15" s="255">
        <v>48063.4</v>
      </c>
      <c r="DZ15" s="255">
        <v>48063.4</v>
      </c>
      <c r="EA15" s="255">
        <v>36047.550000000003</v>
      </c>
      <c r="EB15" s="255">
        <v>36047.550000000003</v>
      </c>
      <c r="EC15" s="255">
        <v>48063.4</v>
      </c>
      <c r="ED15" s="255">
        <v>48063.4</v>
      </c>
      <c r="EE15" s="255">
        <v>36047.550000000003</v>
      </c>
      <c r="EF15" s="255">
        <v>52183.12</v>
      </c>
      <c r="EG15" s="255">
        <v>52183.12</v>
      </c>
      <c r="EH15" s="255">
        <v>49504</v>
      </c>
      <c r="EI15" s="255">
        <v>49504</v>
      </c>
      <c r="EJ15" s="255">
        <v>49504</v>
      </c>
      <c r="EK15" s="255">
        <v>49504</v>
      </c>
      <c r="EL15" s="255">
        <v>49504</v>
      </c>
      <c r="EM15" s="255">
        <v>37128</v>
      </c>
      <c r="EN15" s="255">
        <v>37128</v>
      </c>
      <c r="EO15" s="255">
        <v>49504</v>
      </c>
      <c r="EP15" s="255">
        <v>0</v>
      </c>
      <c r="EQ15" s="255">
        <v>0</v>
      </c>
      <c r="ER15" s="255">
        <v>0</v>
      </c>
      <c r="ES15" s="255">
        <v>0</v>
      </c>
      <c r="ET15" s="255">
        <v>0</v>
      </c>
      <c r="EU15" s="255">
        <v>0</v>
      </c>
      <c r="EV15" s="255">
        <v>0</v>
      </c>
      <c r="EW15" s="255">
        <v>0</v>
      </c>
      <c r="EX15" s="255">
        <v>0</v>
      </c>
      <c r="EY15" s="255">
        <v>0</v>
      </c>
      <c r="EZ15" s="255">
        <v>0</v>
      </c>
      <c r="FA15" s="255">
        <v>0</v>
      </c>
      <c r="FB15" s="255">
        <v>0</v>
      </c>
      <c r="FC15" s="255">
        <v>0</v>
      </c>
      <c r="FD15" s="255">
        <v>0</v>
      </c>
      <c r="FE15" s="255">
        <v>0</v>
      </c>
      <c r="FF15" s="255">
        <v>0</v>
      </c>
      <c r="FG15" s="255">
        <v>0</v>
      </c>
      <c r="FH15" s="255">
        <v>0</v>
      </c>
      <c r="FI15" s="255">
        <v>0</v>
      </c>
      <c r="FJ15" s="255">
        <v>0</v>
      </c>
      <c r="FK15" s="255">
        <v>0</v>
      </c>
      <c r="FL15" s="255">
        <v>0</v>
      </c>
      <c r="FM15" s="255">
        <v>0</v>
      </c>
      <c r="FN15" s="255">
        <v>0</v>
      </c>
      <c r="FO15" s="255">
        <v>0</v>
      </c>
      <c r="FP15" s="255">
        <v>0</v>
      </c>
      <c r="FQ15" s="255">
        <v>0</v>
      </c>
      <c r="FR15" s="255">
        <v>0</v>
      </c>
      <c r="FS15" s="255">
        <v>0</v>
      </c>
      <c r="FT15" s="255">
        <v>0</v>
      </c>
      <c r="FU15" s="255">
        <v>0</v>
      </c>
      <c r="FV15" s="255">
        <v>0</v>
      </c>
      <c r="FW15" s="255">
        <v>0</v>
      </c>
      <c r="FX15" s="116"/>
    </row>
    <row r="16" spans="1:180" x14ac:dyDescent="0.2">
      <c r="B16" s="253" t="s">
        <v>232</v>
      </c>
      <c r="C16" s="253" t="s">
        <v>266</v>
      </c>
      <c r="D16" s="253" t="s">
        <v>258</v>
      </c>
      <c r="E16" s="253" t="s">
        <v>127</v>
      </c>
      <c r="F16" s="253" t="s">
        <v>259</v>
      </c>
      <c r="G16" s="253" t="s">
        <v>260</v>
      </c>
      <c r="H16" s="237">
        <v>366.81</v>
      </c>
      <c r="I16" s="126">
        <f t="shared" si="85"/>
        <v>21883286.018694162</v>
      </c>
      <c r="J16" s="116"/>
      <c r="K16" s="254">
        <v>0</v>
      </c>
      <c r="L16" s="254">
        <v>0</v>
      </c>
      <c r="M16" s="254">
        <v>0</v>
      </c>
      <c r="N16" s="254">
        <v>0</v>
      </c>
      <c r="O16" s="254">
        <v>0</v>
      </c>
      <c r="P16" s="254">
        <v>0</v>
      </c>
      <c r="Q16" s="254">
        <v>0</v>
      </c>
      <c r="R16" s="254">
        <v>0</v>
      </c>
      <c r="S16" s="254">
        <v>0</v>
      </c>
      <c r="T16" s="254">
        <v>0</v>
      </c>
      <c r="U16" s="254">
        <v>0</v>
      </c>
      <c r="V16" s="254">
        <v>0</v>
      </c>
      <c r="W16" s="254">
        <v>0</v>
      </c>
      <c r="X16" s="254">
        <v>10.08482123008381</v>
      </c>
      <c r="Y16" s="254">
        <v>10.620775311956608</v>
      </c>
      <c r="Z16" s="254">
        <v>17.135764252380081</v>
      </c>
      <c r="AA16" s="254">
        <v>11.076756560360472</v>
      </c>
      <c r="AB16" s="254">
        <v>11.495191737554459</v>
      </c>
      <c r="AC16" s="254">
        <v>13.943614410433183</v>
      </c>
      <c r="AD16" s="254">
        <v>12.180032334593337</v>
      </c>
      <c r="AE16" s="254">
        <v>14.932377497237901</v>
      </c>
      <c r="AF16" s="254">
        <v>10.529179616144637</v>
      </c>
      <c r="AG16" s="254">
        <v>10.798949221254679</v>
      </c>
      <c r="AH16" s="254">
        <v>13.696690953305019</v>
      </c>
      <c r="AI16" s="254">
        <v>19.708482394828586</v>
      </c>
      <c r="AJ16" s="254">
        <v>11.442790295535339</v>
      </c>
      <c r="AK16" s="254">
        <v>12.913894435284144</v>
      </c>
      <c r="AL16" s="254">
        <v>14.419580301754532</v>
      </c>
      <c r="AM16" s="254">
        <v>9.6328945454895116</v>
      </c>
      <c r="AN16" s="254">
        <v>10.977787641620454</v>
      </c>
      <c r="AO16" s="254">
        <v>9.6756443184316847</v>
      </c>
      <c r="AP16" s="254">
        <v>9.6756443184316847</v>
      </c>
      <c r="AQ16" s="254">
        <v>12.363323295773816</v>
      </c>
      <c r="AR16" s="254">
        <v>9.1381085229632593</v>
      </c>
      <c r="AS16" s="254">
        <v>10.568865213941045</v>
      </c>
      <c r="AT16" s="254">
        <v>10.682013359221028</v>
      </c>
      <c r="AU16" s="254">
        <v>18.058682316161352</v>
      </c>
      <c r="AV16" s="254">
        <v>10.599661359486014</v>
      </c>
      <c r="AW16" s="254">
        <v>13.651543502811782</v>
      </c>
      <c r="AX16" s="254">
        <v>11.870907393749375</v>
      </c>
      <c r="AY16" s="254">
        <v>12.573790068379273</v>
      </c>
      <c r="AZ16" s="254">
        <v>9.29367092010642</v>
      </c>
      <c r="BA16" s="254">
        <v>7.5778090163913765</v>
      </c>
      <c r="BB16" s="254">
        <v>9.6827559653889832</v>
      </c>
      <c r="BC16" s="254">
        <v>7.5778090163913765</v>
      </c>
      <c r="BD16" s="254">
        <v>7.8735634615312051</v>
      </c>
      <c r="BE16" s="254">
        <v>11.162169716708153</v>
      </c>
      <c r="BF16" s="254">
        <v>10.353316838685821</v>
      </c>
      <c r="BG16" s="254">
        <v>13.588728350775138</v>
      </c>
      <c r="BH16" s="254">
        <v>8.2765062548950183</v>
      </c>
      <c r="BI16" s="254">
        <v>8.3451147290769594</v>
      </c>
      <c r="BJ16" s="254">
        <v>9.7866412973539241</v>
      </c>
      <c r="BK16" s="254">
        <v>0</v>
      </c>
      <c r="BL16" s="254">
        <v>0</v>
      </c>
      <c r="BM16" s="254">
        <v>0</v>
      </c>
      <c r="BN16" s="254">
        <v>0</v>
      </c>
      <c r="BO16" s="254">
        <v>0</v>
      </c>
      <c r="BP16" s="254">
        <v>0</v>
      </c>
      <c r="BQ16" s="254">
        <v>0</v>
      </c>
      <c r="BR16" s="254">
        <v>0</v>
      </c>
      <c r="BS16" s="254">
        <v>0</v>
      </c>
      <c r="BT16" s="254">
        <v>0</v>
      </c>
      <c r="BU16" s="254">
        <v>0</v>
      </c>
      <c r="BV16" s="254">
        <v>0</v>
      </c>
      <c r="BW16" s="254">
        <v>0</v>
      </c>
      <c r="BX16" s="254">
        <v>0</v>
      </c>
      <c r="BY16" s="254">
        <v>0</v>
      </c>
      <c r="BZ16" s="254">
        <v>0</v>
      </c>
      <c r="CA16" s="254">
        <v>0</v>
      </c>
      <c r="CB16" s="254">
        <v>0</v>
      </c>
      <c r="CC16" s="254">
        <v>0</v>
      </c>
      <c r="CD16" s="254">
        <v>0</v>
      </c>
      <c r="CE16" s="254">
        <v>0</v>
      </c>
      <c r="CF16" s="254">
        <v>0</v>
      </c>
      <c r="CG16" s="254">
        <v>0</v>
      </c>
      <c r="CH16" s="254">
        <v>0</v>
      </c>
      <c r="CI16" s="254">
        <v>0</v>
      </c>
      <c r="CJ16" s="254">
        <v>0</v>
      </c>
      <c r="CK16" s="254">
        <v>0</v>
      </c>
      <c r="CL16" s="254">
        <v>0</v>
      </c>
      <c r="CM16" s="254">
        <v>0</v>
      </c>
      <c r="CN16" s="254">
        <v>0</v>
      </c>
      <c r="CO16" s="254">
        <v>0</v>
      </c>
      <c r="CP16" s="254">
        <v>0</v>
      </c>
      <c r="CQ16" s="116"/>
      <c r="CR16" s="255">
        <v>0</v>
      </c>
      <c r="CS16" s="255">
        <v>0</v>
      </c>
      <c r="CT16" s="255">
        <v>0</v>
      </c>
      <c r="CU16" s="255">
        <v>0</v>
      </c>
      <c r="CV16" s="255">
        <v>0</v>
      </c>
      <c r="CW16" s="255">
        <v>0</v>
      </c>
      <c r="CX16" s="255">
        <v>0</v>
      </c>
      <c r="CY16" s="255">
        <v>0</v>
      </c>
      <c r="CZ16" s="255">
        <v>0</v>
      </c>
      <c r="DA16" s="255">
        <v>0</v>
      </c>
      <c r="DB16" s="255">
        <v>0</v>
      </c>
      <c r="DC16" s="255">
        <v>0</v>
      </c>
      <c r="DD16" s="255">
        <v>0</v>
      </c>
      <c r="DE16" s="255">
        <v>502726.32135543192</v>
      </c>
      <c r="DF16" s="255">
        <v>529443.52514597448</v>
      </c>
      <c r="DG16" s="255">
        <v>640660.81562122249</v>
      </c>
      <c r="DH16" s="255">
        <v>599503.30768402806</v>
      </c>
      <c r="DI16" s="255">
        <v>622150.12414263445</v>
      </c>
      <c r="DJ16" s="255">
        <v>716052.00826473942</v>
      </c>
      <c r="DK16" s="255">
        <v>625486.07249130553</v>
      </c>
      <c r="DL16" s="255">
        <v>766828.35456665687</v>
      </c>
      <c r="DM16" s="255">
        <v>540709.17249972199</v>
      </c>
      <c r="DN16" s="255">
        <v>554562.75893878005</v>
      </c>
      <c r="DO16" s="255">
        <v>527528.73690109048</v>
      </c>
      <c r="DP16" s="255">
        <v>759073.18486094277</v>
      </c>
      <c r="DQ16" s="255">
        <v>587626.18716274446</v>
      </c>
      <c r="DR16" s="255">
        <v>663172.38649292069</v>
      </c>
      <c r="DS16" s="255">
        <v>555370.85630109091</v>
      </c>
      <c r="DT16" s="255">
        <v>537083.19133111311</v>
      </c>
      <c r="DU16" s="255">
        <v>612067.86729306541</v>
      </c>
      <c r="DV16" s="255">
        <v>511723.54158435127</v>
      </c>
      <c r="DW16" s="255">
        <v>511723.54158435127</v>
      </c>
      <c r="DX16" s="255">
        <v>653868.96980222641</v>
      </c>
      <c r="DY16" s="255">
        <v>483294.45594077621</v>
      </c>
      <c r="DZ16" s="255">
        <v>558964.02966187114</v>
      </c>
      <c r="EA16" s="255">
        <v>423711.13960485742</v>
      </c>
      <c r="EB16" s="255">
        <v>716312.98395050876</v>
      </c>
      <c r="EC16" s="255">
        <v>560592.77004822437</v>
      </c>
      <c r="ED16" s="255">
        <v>722000.10246800887</v>
      </c>
      <c r="EE16" s="255">
        <v>470869.63204435358</v>
      </c>
      <c r="EF16" s="255">
        <v>722000.10246800887</v>
      </c>
      <c r="EG16" s="255">
        <v>533652.24965026753</v>
      </c>
      <c r="EH16" s="255">
        <v>412889.0487525104</v>
      </c>
      <c r="EI16" s="255">
        <v>527580.45118376345</v>
      </c>
      <c r="EJ16" s="255">
        <v>412889.0487525104</v>
      </c>
      <c r="EK16" s="255">
        <v>429003.70290306618</v>
      </c>
      <c r="EL16" s="255">
        <v>608188.67648639041</v>
      </c>
      <c r="EM16" s="255">
        <v>423087.7749470541</v>
      </c>
      <c r="EN16" s="255">
        <v>555302.70461800846</v>
      </c>
      <c r="EO16" s="255">
        <v>450958.68570796296</v>
      </c>
      <c r="EP16" s="255">
        <v>454696.92819732463</v>
      </c>
      <c r="EQ16" s="255">
        <v>399930.60728430323</v>
      </c>
      <c r="ER16" s="255">
        <v>0</v>
      </c>
      <c r="ES16" s="255">
        <v>0</v>
      </c>
      <c r="ET16" s="255">
        <v>0</v>
      </c>
      <c r="EU16" s="255">
        <v>0</v>
      </c>
      <c r="EV16" s="255">
        <v>0</v>
      </c>
      <c r="EW16" s="255">
        <v>0</v>
      </c>
      <c r="EX16" s="255">
        <v>0</v>
      </c>
      <c r="EY16" s="255">
        <v>0</v>
      </c>
      <c r="EZ16" s="255">
        <v>0</v>
      </c>
      <c r="FA16" s="255">
        <v>0</v>
      </c>
      <c r="FB16" s="255">
        <v>0</v>
      </c>
      <c r="FC16" s="255">
        <v>0</v>
      </c>
      <c r="FD16" s="255">
        <v>0</v>
      </c>
      <c r="FE16" s="255">
        <v>0</v>
      </c>
      <c r="FF16" s="255">
        <v>0</v>
      </c>
      <c r="FG16" s="255">
        <v>0</v>
      </c>
      <c r="FH16" s="255">
        <v>0</v>
      </c>
      <c r="FI16" s="255">
        <v>0</v>
      </c>
      <c r="FJ16" s="255">
        <v>0</v>
      </c>
      <c r="FK16" s="255">
        <v>0</v>
      </c>
      <c r="FL16" s="255">
        <v>0</v>
      </c>
      <c r="FM16" s="255">
        <v>0</v>
      </c>
      <c r="FN16" s="255">
        <v>0</v>
      </c>
      <c r="FO16" s="255">
        <v>0</v>
      </c>
      <c r="FP16" s="255">
        <v>0</v>
      </c>
      <c r="FQ16" s="255">
        <v>0</v>
      </c>
      <c r="FR16" s="255">
        <v>0</v>
      </c>
      <c r="FS16" s="255">
        <v>0</v>
      </c>
      <c r="FT16" s="255">
        <v>0</v>
      </c>
      <c r="FU16" s="255">
        <v>0</v>
      </c>
      <c r="FV16" s="255">
        <v>0</v>
      </c>
      <c r="FW16" s="255">
        <v>0</v>
      </c>
      <c r="FX16" s="116"/>
    </row>
    <row r="17" spans="2:180" x14ac:dyDescent="0.2">
      <c r="B17" s="253" t="s">
        <v>205</v>
      </c>
      <c r="C17" s="253" t="s">
        <v>267</v>
      </c>
      <c r="D17" s="253" t="s">
        <v>85</v>
      </c>
      <c r="E17" s="253" t="s">
        <v>127</v>
      </c>
      <c r="F17" s="253">
        <v>0</v>
      </c>
      <c r="G17" s="253" t="s">
        <v>268</v>
      </c>
      <c r="H17" s="237">
        <v>0</v>
      </c>
      <c r="I17" s="126">
        <f t="shared" si="85"/>
        <v>1540000</v>
      </c>
      <c r="J17" s="116"/>
      <c r="K17" s="254">
        <v>0</v>
      </c>
      <c r="L17" s="254">
        <v>0</v>
      </c>
      <c r="M17" s="254">
        <v>0</v>
      </c>
      <c r="N17" s="254">
        <v>0</v>
      </c>
      <c r="O17" s="254">
        <v>0</v>
      </c>
      <c r="P17" s="254">
        <v>0</v>
      </c>
      <c r="Q17" s="254">
        <v>0</v>
      </c>
      <c r="R17" s="254">
        <v>0</v>
      </c>
      <c r="S17" s="254">
        <v>0</v>
      </c>
      <c r="T17" s="254">
        <v>0</v>
      </c>
      <c r="U17" s="254">
        <v>0</v>
      </c>
      <c r="V17" s="254">
        <v>0</v>
      </c>
      <c r="W17" s="254">
        <v>0</v>
      </c>
      <c r="X17" s="254">
        <v>0</v>
      </c>
      <c r="Y17" s="254">
        <v>0</v>
      </c>
      <c r="Z17" s="254">
        <v>2.8571428571428571E-2</v>
      </c>
      <c r="AA17" s="254">
        <v>2.8571428571428571E-2</v>
      </c>
      <c r="AB17" s="254">
        <v>2.8571428571428571E-2</v>
      </c>
      <c r="AC17" s="254">
        <v>2.8571428571428571E-2</v>
      </c>
      <c r="AD17" s="254">
        <v>2.8571428571428571E-2</v>
      </c>
      <c r="AE17" s="254">
        <v>2.8571428571428571E-2</v>
      </c>
      <c r="AF17" s="254">
        <v>2.8571428571428571E-2</v>
      </c>
      <c r="AG17" s="254">
        <v>2.8571428571428571E-2</v>
      </c>
      <c r="AH17" s="254">
        <v>2.8571428571428571E-2</v>
      </c>
      <c r="AI17" s="254">
        <v>2.8571428571428571E-2</v>
      </c>
      <c r="AJ17" s="254">
        <v>2.8571428571428571E-2</v>
      </c>
      <c r="AK17" s="254">
        <v>2.8571428571428571E-2</v>
      </c>
      <c r="AL17" s="254">
        <v>2.8571428571428571E-2</v>
      </c>
      <c r="AM17" s="254">
        <v>2.8571428571428571E-2</v>
      </c>
      <c r="AN17" s="254">
        <v>2.8571428571428571E-2</v>
      </c>
      <c r="AO17" s="254">
        <v>2.8571428571428571E-2</v>
      </c>
      <c r="AP17" s="254">
        <v>2.8571428571428571E-2</v>
      </c>
      <c r="AQ17" s="254">
        <v>2.8571428571428571E-2</v>
      </c>
      <c r="AR17" s="254">
        <v>2.8571428571428571E-2</v>
      </c>
      <c r="AS17" s="254">
        <v>2.8571428571428571E-2</v>
      </c>
      <c r="AT17" s="254">
        <v>2.8571428571428571E-2</v>
      </c>
      <c r="AU17" s="254">
        <v>2.8571428571428571E-2</v>
      </c>
      <c r="AV17" s="254">
        <v>2.8571428571428571E-2</v>
      </c>
      <c r="AW17" s="254">
        <v>2.8571428571428571E-2</v>
      </c>
      <c r="AX17" s="254">
        <v>2.8571428571428571E-2</v>
      </c>
      <c r="AY17" s="254">
        <v>2.8571428571428571E-2</v>
      </c>
      <c r="AZ17" s="254">
        <v>2.8571428571428571E-2</v>
      </c>
      <c r="BA17" s="254">
        <v>2.8571428571428571E-2</v>
      </c>
      <c r="BB17" s="254">
        <v>2.8571428571428571E-2</v>
      </c>
      <c r="BC17" s="254">
        <v>2.8571428571428571E-2</v>
      </c>
      <c r="BD17" s="254">
        <v>2.8571428571428571E-2</v>
      </c>
      <c r="BE17" s="254">
        <v>2.8571428571428571E-2</v>
      </c>
      <c r="BF17" s="254">
        <v>2.8571428571428571E-2</v>
      </c>
      <c r="BG17" s="254">
        <v>2.8571428571428571E-2</v>
      </c>
      <c r="BH17" s="254">
        <v>2.8571428571428571E-2</v>
      </c>
      <c r="BI17" s="254">
        <v>0</v>
      </c>
      <c r="BJ17" s="254">
        <v>0</v>
      </c>
      <c r="BK17" s="254">
        <v>0</v>
      </c>
      <c r="BL17" s="254">
        <v>0</v>
      </c>
      <c r="BM17" s="254">
        <v>0</v>
      </c>
      <c r="BN17" s="254">
        <v>0</v>
      </c>
      <c r="BO17" s="254">
        <v>0</v>
      </c>
      <c r="BP17" s="254">
        <v>0</v>
      </c>
      <c r="BQ17" s="254">
        <v>0</v>
      </c>
      <c r="BR17" s="254">
        <v>0</v>
      </c>
      <c r="BS17" s="254">
        <v>0</v>
      </c>
      <c r="BT17" s="254">
        <v>0</v>
      </c>
      <c r="BU17" s="254">
        <v>0</v>
      </c>
      <c r="BV17" s="254">
        <v>0</v>
      </c>
      <c r="BW17" s="254">
        <v>0</v>
      </c>
      <c r="BX17" s="254">
        <v>0</v>
      </c>
      <c r="BY17" s="254">
        <v>0</v>
      </c>
      <c r="BZ17" s="254">
        <v>0</v>
      </c>
      <c r="CA17" s="254">
        <v>0</v>
      </c>
      <c r="CB17" s="254">
        <v>0</v>
      </c>
      <c r="CC17" s="254">
        <v>0</v>
      </c>
      <c r="CD17" s="254">
        <v>0</v>
      </c>
      <c r="CE17" s="254">
        <v>0</v>
      </c>
      <c r="CF17" s="254">
        <v>0</v>
      </c>
      <c r="CG17" s="254">
        <v>0</v>
      </c>
      <c r="CH17" s="254">
        <v>0</v>
      </c>
      <c r="CI17" s="254">
        <v>0</v>
      </c>
      <c r="CJ17" s="254">
        <v>0</v>
      </c>
      <c r="CK17" s="254">
        <v>0</v>
      </c>
      <c r="CL17" s="254">
        <v>0</v>
      </c>
      <c r="CM17" s="254">
        <v>0</v>
      </c>
      <c r="CN17" s="254">
        <v>0</v>
      </c>
      <c r="CO17" s="254">
        <v>0</v>
      </c>
      <c r="CP17" s="254">
        <v>0</v>
      </c>
      <c r="CQ17" s="116"/>
      <c r="CR17" s="255">
        <v>0</v>
      </c>
      <c r="CS17" s="255">
        <v>0</v>
      </c>
      <c r="CT17" s="255">
        <v>0</v>
      </c>
      <c r="CU17" s="255">
        <v>0</v>
      </c>
      <c r="CV17" s="255">
        <v>0</v>
      </c>
      <c r="CW17" s="255">
        <v>0</v>
      </c>
      <c r="CX17" s="255">
        <v>0</v>
      </c>
      <c r="CY17" s="255">
        <v>0</v>
      </c>
      <c r="CZ17" s="255">
        <v>0</v>
      </c>
      <c r="DA17" s="255">
        <v>0</v>
      </c>
      <c r="DB17" s="255">
        <v>0</v>
      </c>
      <c r="DC17" s="255">
        <v>0</v>
      </c>
      <c r="DD17" s="255">
        <v>0</v>
      </c>
      <c r="DE17" s="255">
        <v>0</v>
      </c>
      <c r="DF17" s="255">
        <v>0</v>
      </c>
      <c r="DG17" s="255">
        <v>44000</v>
      </c>
      <c r="DH17" s="255">
        <v>44000</v>
      </c>
      <c r="DI17" s="255">
        <v>44000</v>
      </c>
      <c r="DJ17" s="255">
        <v>44000</v>
      </c>
      <c r="DK17" s="255">
        <v>44000</v>
      </c>
      <c r="DL17" s="255">
        <v>44000</v>
      </c>
      <c r="DM17" s="255">
        <v>44000</v>
      </c>
      <c r="DN17" s="255">
        <v>44000</v>
      </c>
      <c r="DO17" s="255">
        <v>44000</v>
      </c>
      <c r="DP17" s="255">
        <v>44000</v>
      </c>
      <c r="DQ17" s="255">
        <v>44000</v>
      </c>
      <c r="DR17" s="255">
        <v>44000</v>
      </c>
      <c r="DS17" s="255">
        <v>44000</v>
      </c>
      <c r="DT17" s="255">
        <v>44000</v>
      </c>
      <c r="DU17" s="255">
        <v>44000</v>
      </c>
      <c r="DV17" s="255">
        <v>44000</v>
      </c>
      <c r="DW17" s="255">
        <v>44000</v>
      </c>
      <c r="DX17" s="255">
        <v>44000</v>
      </c>
      <c r="DY17" s="255">
        <v>44000</v>
      </c>
      <c r="DZ17" s="255">
        <v>44000</v>
      </c>
      <c r="EA17" s="255">
        <v>44000</v>
      </c>
      <c r="EB17" s="255">
        <v>44000</v>
      </c>
      <c r="EC17" s="255">
        <v>44000</v>
      </c>
      <c r="ED17" s="255">
        <v>44000</v>
      </c>
      <c r="EE17" s="255">
        <v>44000</v>
      </c>
      <c r="EF17" s="255">
        <v>44000</v>
      </c>
      <c r="EG17" s="255">
        <v>44000</v>
      </c>
      <c r="EH17" s="255">
        <v>44000</v>
      </c>
      <c r="EI17" s="255">
        <v>44000</v>
      </c>
      <c r="EJ17" s="255">
        <v>44000</v>
      </c>
      <c r="EK17" s="255">
        <v>44000</v>
      </c>
      <c r="EL17" s="255">
        <v>44000</v>
      </c>
      <c r="EM17" s="255">
        <v>44000</v>
      </c>
      <c r="EN17" s="255">
        <v>44000</v>
      </c>
      <c r="EO17" s="255">
        <v>44000</v>
      </c>
      <c r="EP17" s="255">
        <v>0</v>
      </c>
      <c r="EQ17" s="255">
        <v>0</v>
      </c>
      <c r="ER17" s="255">
        <v>0</v>
      </c>
      <c r="ES17" s="255">
        <v>0</v>
      </c>
      <c r="ET17" s="255">
        <v>0</v>
      </c>
      <c r="EU17" s="255">
        <v>0</v>
      </c>
      <c r="EV17" s="255">
        <v>0</v>
      </c>
      <c r="EW17" s="255">
        <v>0</v>
      </c>
      <c r="EX17" s="255">
        <v>0</v>
      </c>
      <c r="EY17" s="255">
        <v>0</v>
      </c>
      <c r="EZ17" s="255">
        <v>0</v>
      </c>
      <c r="FA17" s="255">
        <v>0</v>
      </c>
      <c r="FB17" s="255">
        <v>0</v>
      </c>
      <c r="FC17" s="255">
        <v>0</v>
      </c>
      <c r="FD17" s="255">
        <v>0</v>
      </c>
      <c r="FE17" s="255">
        <v>0</v>
      </c>
      <c r="FF17" s="255">
        <v>0</v>
      </c>
      <c r="FG17" s="255">
        <v>0</v>
      </c>
      <c r="FH17" s="255">
        <v>0</v>
      </c>
      <c r="FI17" s="255">
        <v>0</v>
      </c>
      <c r="FJ17" s="255">
        <v>0</v>
      </c>
      <c r="FK17" s="255">
        <v>0</v>
      </c>
      <c r="FL17" s="255">
        <v>0</v>
      </c>
      <c r="FM17" s="255">
        <v>0</v>
      </c>
      <c r="FN17" s="255">
        <v>0</v>
      </c>
      <c r="FO17" s="255">
        <v>0</v>
      </c>
      <c r="FP17" s="255">
        <v>0</v>
      </c>
      <c r="FQ17" s="255">
        <v>0</v>
      </c>
      <c r="FR17" s="255">
        <v>0</v>
      </c>
      <c r="FS17" s="255">
        <v>0</v>
      </c>
      <c r="FT17" s="255">
        <v>0</v>
      </c>
      <c r="FU17" s="255">
        <v>0</v>
      </c>
      <c r="FV17" s="255">
        <v>0</v>
      </c>
      <c r="FW17" s="255">
        <v>0</v>
      </c>
      <c r="FX17" s="116"/>
    </row>
    <row r="18" spans="2:180" x14ac:dyDescent="0.2">
      <c r="B18" s="253" t="s">
        <v>205</v>
      </c>
      <c r="C18" s="253" t="s">
        <v>269</v>
      </c>
      <c r="D18" s="253" t="s">
        <v>258</v>
      </c>
      <c r="E18" s="253" t="s">
        <v>127</v>
      </c>
      <c r="F18" s="253" t="s">
        <v>259</v>
      </c>
      <c r="G18" s="253" t="s">
        <v>260</v>
      </c>
      <c r="H18" s="237">
        <v>225.37</v>
      </c>
      <c r="I18" s="126">
        <f t="shared" si="85"/>
        <v>1387702.3700000003</v>
      </c>
      <c r="J18" s="116"/>
      <c r="K18" s="254">
        <v>0</v>
      </c>
      <c r="L18" s="254">
        <v>0</v>
      </c>
      <c r="M18" s="254">
        <v>0</v>
      </c>
      <c r="N18" s="254">
        <v>0</v>
      </c>
      <c r="O18" s="254">
        <v>0</v>
      </c>
      <c r="P18" s="254">
        <v>0.78289473684210531</v>
      </c>
      <c r="Q18" s="254">
        <v>1.25</v>
      </c>
      <c r="R18" s="254">
        <v>1</v>
      </c>
      <c r="S18" s="254">
        <v>0.95</v>
      </c>
      <c r="T18" s="254">
        <v>1.1499999999999999</v>
      </c>
      <c r="U18" s="254">
        <v>0.7</v>
      </c>
      <c r="V18" s="254">
        <v>1</v>
      </c>
      <c r="W18" s="254">
        <v>0.93333333333333335</v>
      </c>
      <c r="X18" s="254">
        <v>1</v>
      </c>
      <c r="Y18" s="254">
        <v>1</v>
      </c>
      <c r="Z18" s="254">
        <v>1</v>
      </c>
      <c r="AA18" s="254">
        <v>0.92105263157894735</v>
      </c>
      <c r="AB18" s="254">
        <v>0.92105263157894735</v>
      </c>
      <c r="AC18" s="254">
        <v>1</v>
      </c>
      <c r="AD18" s="254">
        <v>1</v>
      </c>
      <c r="AE18" s="254">
        <v>1</v>
      </c>
      <c r="AF18" s="254">
        <v>1</v>
      </c>
      <c r="AG18" s="254">
        <v>1</v>
      </c>
      <c r="AH18" s="254">
        <v>1</v>
      </c>
      <c r="AI18" s="254">
        <v>1</v>
      </c>
      <c r="AJ18" s="254">
        <v>1</v>
      </c>
      <c r="AK18" s="254">
        <v>1</v>
      </c>
      <c r="AL18" s="254">
        <v>1</v>
      </c>
      <c r="AM18" s="254">
        <v>1</v>
      </c>
      <c r="AN18" s="254">
        <v>1</v>
      </c>
      <c r="AO18" s="254">
        <v>1</v>
      </c>
      <c r="AP18" s="254">
        <v>1</v>
      </c>
      <c r="AQ18" s="254">
        <v>1</v>
      </c>
      <c r="AR18" s="254">
        <v>1</v>
      </c>
      <c r="AS18" s="254">
        <v>1</v>
      </c>
      <c r="AT18" s="254">
        <v>1</v>
      </c>
      <c r="AU18" s="254">
        <v>1</v>
      </c>
      <c r="AV18" s="254">
        <v>1</v>
      </c>
      <c r="AW18" s="254">
        <v>1</v>
      </c>
      <c r="AX18" s="254">
        <v>1</v>
      </c>
      <c r="AY18" s="254">
        <v>0.92105263157894735</v>
      </c>
      <c r="AZ18" s="254">
        <v>0.92105263157894735</v>
      </c>
      <c r="BA18" s="254">
        <v>1</v>
      </c>
      <c r="BB18" s="254">
        <v>1</v>
      </c>
      <c r="BC18" s="254">
        <v>1</v>
      </c>
      <c r="BD18" s="254">
        <v>1</v>
      </c>
      <c r="BE18" s="254">
        <v>1</v>
      </c>
      <c r="BF18" s="254">
        <v>1</v>
      </c>
      <c r="BG18" s="254">
        <v>1</v>
      </c>
      <c r="BH18" s="254">
        <v>1</v>
      </c>
      <c r="BI18" s="254">
        <v>0</v>
      </c>
      <c r="BJ18" s="254">
        <v>0</v>
      </c>
      <c r="BK18" s="254">
        <v>0</v>
      </c>
      <c r="BL18" s="254">
        <v>0</v>
      </c>
      <c r="BM18" s="254">
        <v>0</v>
      </c>
      <c r="BN18" s="254">
        <v>0</v>
      </c>
      <c r="BO18" s="254">
        <v>0</v>
      </c>
      <c r="BP18" s="254">
        <v>0</v>
      </c>
      <c r="BQ18" s="254">
        <v>0</v>
      </c>
      <c r="BR18" s="254">
        <v>0</v>
      </c>
      <c r="BS18" s="254">
        <v>0</v>
      </c>
      <c r="BT18" s="254">
        <v>0</v>
      </c>
      <c r="BU18" s="254">
        <v>0</v>
      </c>
      <c r="BV18" s="254">
        <v>0</v>
      </c>
      <c r="BW18" s="254">
        <v>0</v>
      </c>
      <c r="BX18" s="254">
        <v>0</v>
      </c>
      <c r="BY18" s="254">
        <v>0</v>
      </c>
      <c r="BZ18" s="254">
        <v>0</v>
      </c>
      <c r="CA18" s="254">
        <v>0</v>
      </c>
      <c r="CB18" s="254">
        <v>0</v>
      </c>
      <c r="CC18" s="254">
        <v>0</v>
      </c>
      <c r="CD18" s="254">
        <v>0</v>
      </c>
      <c r="CE18" s="254">
        <v>0</v>
      </c>
      <c r="CF18" s="254">
        <v>0</v>
      </c>
      <c r="CG18" s="254">
        <v>0</v>
      </c>
      <c r="CH18" s="254">
        <v>0</v>
      </c>
      <c r="CI18" s="254">
        <v>0</v>
      </c>
      <c r="CJ18" s="254">
        <v>0</v>
      </c>
      <c r="CK18" s="254">
        <v>0</v>
      </c>
      <c r="CL18" s="254">
        <v>0</v>
      </c>
      <c r="CM18" s="254">
        <v>0</v>
      </c>
      <c r="CN18" s="254">
        <v>0</v>
      </c>
      <c r="CO18" s="254">
        <v>0</v>
      </c>
      <c r="CP18" s="254">
        <v>0</v>
      </c>
      <c r="CQ18" s="116"/>
      <c r="CR18" s="255">
        <v>0</v>
      </c>
      <c r="CS18" s="255">
        <v>0</v>
      </c>
      <c r="CT18" s="255">
        <v>0</v>
      </c>
      <c r="CU18" s="255">
        <v>0</v>
      </c>
      <c r="CV18" s="255">
        <v>0</v>
      </c>
      <c r="CW18" s="255">
        <v>34810.22</v>
      </c>
      <c r="CX18" s="255">
        <v>53463.660000000047</v>
      </c>
      <c r="CY18" s="255">
        <v>41828.959999999999</v>
      </c>
      <c r="CZ18" s="255">
        <v>37309.46</v>
      </c>
      <c r="DA18" s="255">
        <v>34548.580000000031</v>
      </c>
      <c r="DB18" s="255">
        <v>20616.680000000015</v>
      </c>
      <c r="DC18" s="255">
        <v>22089.300000000017</v>
      </c>
      <c r="DD18" s="255">
        <v>20616.680000000011</v>
      </c>
      <c r="DE18" s="255">
        <v>30643.200000000001</v>
      </c>
      <c r="DF18" s="255">
        <v>30643.200000000001</v>
      </c>
      <c r="DG18" s="255">
        <v>22982.399999999998</v>
      </c>
      <c r="DH18" s="255">
        <v>30643.200000000001</v>
      </c>
      <c r="DI18" s="255">
        <v>30643.200000000001</v>
      </c>
      <c r="DJ18" s="255">
        <v>31551.8</v>
      </c>
      <c r="DK18" s="255">
        <v>31551.8</v>
      </c>
      <c r="DL18" s="255">
        <v>31551.8</v>
      </c>
      <c r="DM18" s="255">
        <v>31551.8</v>
      </c>
      <c r="DN18" s="255">
        <v>31551.8</v>
      </c>
      <c r="DO18" s="255">
        <v>23663.850000000002</v>
      </c>
      <c r="DP18" s="255">
        <v>23663.850000000002</v>
      </c>
      <c r="DQ18" s="255">
        <v>31551.8</v>
      </c>
      <c r="DR18" s="255">
        <v>31551.8</v>
      </c>
      <c r="DS18" s="255">
        <v>23663.850000000002</v>
      </c>
      <c r="DT18" s="255">
        <v>34256.239999999998</v>
      </c>
      <c r="DU18" s="255">
        <v>34256.239999999998</v>
      </c>
      <c r="DV18" s="255">
        <v>32491.200000000001</v>
      </c>
      <c r="DW18" s="255">
        <v>32491.200000000001</v>
      </c>
      <c r="DX18" s="255">
        <v>32491.200000000001</v>
      </c>
      <c r="DY18" s="255">
        <v>32491.200000000001</v>
      </c>
      <c r="DZ18" s="255">
        <v>32491.200000000001</v>
      </c>
      <c r="EA18" s="255">
        <v>24368.400000000001</v>
      </c>
      <c r="EB18" s="255">
        <v>24368.400000000001</v>
      </c>
      <c r="EC18" s="255">
        <v>32491.200000000001</v>
      </c>
      <c r="ED18" s="255">
        <v>32491.200000000001</v>
      </c>
      <c r="EE18" s="255">
        <v>24368.400000000001</v>
      </c>
      <c r="EF18" s="255">
        <v>32491.200000000001</v>
      </c>
      <c r="EG18" s="255">
        <v>32491.200000000001</v>
      </c>
      <c r="EH18" s="255">
        <v>33462.800000000003</v>
      </c>
      <c r="EI18" s="255">
        <v>33462.800000000003</v>
      </c>
      <c r="EJ18" s="255">
        <v>33462.800000000003</v>
      </c>
      <c r="EK18" s="255">
        <v>33462.800000000003</v>
      </c>
      <c r="EL18" s="255">
        <v>33462.800000000003</v>
      </c>
      <c r="EM18" s="255">
        <v>25097.100000000002</v>
      </c>
      <c r="EN18" s="255">
        <v>25097.100000000002</v>
      </c>
      <c r="EO18" s="255">
        <v>33462.800000000003</v>
      </c>
      <c r="EP18" s="255">
        <v>0</v>
      </c>
      <c r="EQ18" s="255">
        <v>0</v>
      </c>
      <c r="ER18" s="255">
        <v>0</v>
      </c>
      <c r="ES18" s="255">
        <v>0</v>
      </c>
      <c r="ET18" s="255">
        <v>0</v>
      </c>
      <c r="EU18" s="255">
        <v>0</v>
      </c>
      <c r="EV18" s="255">
        <v>0</v>
      </c>
      <c r="EW18" s="255">
        <v>0</v>
      </c>
      <c r="EX18" s="255">
        <v>0</v>
      </c>
      <c r="EY18" s="255">
        <v>0</v>
      </c>
      <c r="EZ18" s="255">
        <v>0</v>
      </c>
      <c r="FA18" s="255">
        <v>0</v>
      </c>
      <c r="FB18" s="255">
        <v>0</v>
      </c>
      <c r="FC18" s="255">
        <v>0</v>
      </c>
      <c r="FD18" s="255">
        <v>0</v>
      </c>
      <c r="FE18" s="255">
        <v>0</v>
      </c>
      <c r="FF18" s="255">
        <v>0</v>
      </c>
      <c r="FG18" s="255">
        <v>0</v>
      </c>
      <c r="FH18" s="255">
        <v>0</v>
      </c>
      <c r="FI18" s="255">
        <v>0</v>
      </c>
      <c r="FJ18" s="255">
        <v>0</v>
      </c>
      <c r="FK18" s="255">
        <v>0</v>
      </c>
      <c r="FL18" s="255">
        <v>0</v>
      </c>
      <c r="FM18" s="255">
        <v>0</v>
      </c>
      <c r="FN18" s="255">
        <v>0</v>
      </c>
      <c r="FO18" s="255">
        <v>0</v>
      </c>
      <c r="FP18" s="255">
        <v>0</v>
      </c>
      <c r="FQ18" s="255">
        <v>0</v>
      </c>
      <c r="FR18" s="255">
        <v>0</v>
      </c>
      <c r="FS18" s="255">
        <v>0</v>
      </c>
      <c r="FT18" s="255">
        <v>0</v>
      </c>
      <c r="FU18" s="255">
        <v>0</v>
      </c>
      <c r="FV18" s="255">
        <v>0</v>
      </c>
      <c r="FW18" s="255">
        <v>0</v>
      </c>
      <c r="FX18" s="116"/>
    </row>
    <row r="19" spans="2:180" x14ac:dyDescent="0.2">
      <c r="B19" s="253" t="s">
        <v>205</v>
      </c>
      <c r="C19" s="253" t="s">
        <v>269</v>
      </c>
      <c r="D19" s="253" t="s">
        <v>258</v>
      </c>
      <c r="E19" s="253" t="s">
        <v>127</v>
      </c>
      <c r="F19" s="253" t="s">
        <v>263</v>
      </c>
      <c r="G19" s="253" t="s">
        <v>260</v>
      </c>
      <c r="H19" s="237">
        <v>225.37</v>
      </c>
      <c r="I19" s="126">
        <f t="shared" si="85"/>
        <v>1487305.0899999999</v>
      </c>
      <c r="J19" s="116"/>
      <c r="K19" s="254">
        <v>0</v>
      </c>
      <c r="L19" s="254">
        <v>0</v>
      </c>
      <c r="M19" s="254">
        <v>0</v>
      </c>
      <c r="N19" s="254">
        <v>0</v>
      </c>
      <c r="O19" s="254">
        <v>0</v>
      </c>
      <c r="P19" s="254">
        <v>0</v>
      </c>
      <c r="Q19" s="254">
        <v>0</v>
      </c>
      <c r="R19" s="254">
        <v>0</v>
      </c>
      <c r="S19" s="254">
        <v>0</v>
      </c>
      <c r="T19" s="254">
        <v>0</v>
      </c>
      <c r="U19" s="254">
        <v>0</v>
      </c>
      <c r="V19" s="254">
        <v>0</v>
      </c>
      <c r="W19" s="254">
        <v>0</v>
      </c>
      <c r="X19" s="254">
        <v>0</v>
      </c>
      <c r="Y19" s="254">
        <v>0</v>
      </c>
      <c r="Z19" s="254">
        <v>1</v>
      </c>
      <c r="AA19" s="254">
        <v>0.92105263157894735</v>
      </c>
      <c r="AB19" s="254">
        <v>0.92105263157894735</v>
      </c>
      <c r="AC19" s="254">
        <v>1</v>
      </c>
      <c r="AD19" s="254">
        <v>1</v>
      </c>
      <c r="AE19" s="254">
        <v>1</v>
      </c>
      <c r="AF19" s="254">
        <v>1</v>
      </c>
      <c r="AG19" s="254">
        <v>1</v>
      </c>
      <c r="AH19" s="254">
        <v>1</v>
      </c>
      <c r="AI19" s="254">
        <v>1</v>
      </c>
      <c r="AJ19" s="254">
        <v>1</v>
      </c>
      <c r="AK19" s="254">
        <v>1</v>
      </c>
      <c r="AL19" s="254">
        <v>1</v>
      </c>
      <c r="AM19" s="254">
        <v>1</v>
      </c>
      <c r="AN19" s="254">
        <v>1</v>
      </c>
      <c r="AO19" s="254">
        <v>1</v>
      </c>
      <c r="AP19" s="254">
        <v>1</v>
      </c>
      <c r="AQ19" s="254">
        <v>1</v>
      </c>
      <c r="AR19" s="254">
        <v>1</v>
      </c>
      <c r="AS19" s="254">
        <v>1</v>
      </c>
      <c r="AT19" s="254">
        <v>1</v>
      </c>
      <c r="AU19" s="254">
        <v>1</v>
      </c>
      <c r="AV19" s="254">
        <v>1</v>
      </c>
      <c r="AW19" s="254">
        <v>1</v>
      </c>
      <c r="AX19" s="254">
        <v>1</v>
      </c>
      <c r="AY19" s="254">
        <v>0.92105263157894735</v>
      </c>
      <c r="AZ19" s="254">
        <v>0.92105263157894735</v>
      </c>
      <c r="BA19" s="254">
        <v>1</v>
      </c>
      <c r="BB19" s="254">
        <v>1</v>
      </c>
      <c r="BC19" s="254">
        <v>1</v>
      </c>
      <c r="BD19" s="254">
        <v>1</v>
      </c>
      <c r="BE19" s="254">
        <v>1</v>
      </c>
      <c r="BF19" s="254">
        <v>1</v>
      </c>
      <c r="BG19" s="254">
        <v>1</v>
      </c>
      <c r="BH19" s="254">
        <v>1</v>
      </c>
      <c r="BI19" s="254">
        <v>16.980952380952381</v>
      </c>
      <c r="BJ19" s="254">
        <v>0</v>
      </c>
      <c r="BK19" s="254">
        <v>0</v>
      </c>
      <c r="BL19" s="254">
        <v>0</v>
      </c>
      <c r="BM19" s="254">
        <v>0</v>
      </c>
      <c r="BN19" s="254">
        <v>0</v>
      </c>
      <c r="BO19" s="254">
        <v>0</v>
      </c>
      <c r="BP19" s="254">
        <v>0</v>
      </c>
      <c r="BQ19" s="254">
        <v>0</v>
      </c>
      <c r="BR19" s="254">
        <v>0</v>
      </c>
      <c r="BS19" s="254">
        <v>0</v>
      </c>
      <c r="BT19" s="254">
        <v>0</v>
      </c>
      <c r="BU19" s="254">
        <v>0</v>
      </c>
      <c r="BV19" s="254">
        <v>0</v>
      </c>
      <c r="BW19" s="254">
        <v>0</v>
      </c>
      <c r="BX19" s="254">
        <v>0</v>
      </c>
      <c r="BY19" s="254">
        <v>0</v>
      </c>
      <c r="BZ19" s="254">
        <v>0</v>
      </c>
      <c r="CA19" s="254">
        <v>0</v>
      </c>
      <c r="CB19" s="254">
        <v>0</v>
      </c>
      <c r="CC19" s="254">
        <v>0</v>
      </c>
      <c r="CD19" s="254">
        <v>0</v>
      </c>
      <c r="CE19" s="254">
        <v>0</v>
      </c>
      <c r="CF19" s="254">
        <v>0</v>
      </c>
      <c r="CG19" s="254">
        <v>0</v>
      </c>
      <c r="CH19" s="254">
        <v>0</v>
      </c>
      <c r="CI19" s="254">
        <v>0</v>
      </c>
      <c r="CJ19" s="254">
        <v>0</v>
      </c>
      <c r="CK19" s="254">
        <v>0</v>
      </c>
      <c r="CL19" s="254">
        <v>0</v>
      </c>
      <c r="CM19" s="254">
        <v>0</v>
      </c>
      <c r="CN19" s="254">
        <v>0</v>
      </c>
      <c r="CO19" s="254">
        <v>0</v>
      </c>
      <c r="CP19" s="254">
        <v>0</v>
      </c>
      <c r="CQ19" s="116"/>
      <c r="CR19" s="255">
        <v>0</v>
      </c>
      <c r="CS19" s="255">
        <v>0</v>
      </c>
      <c r="CT19" s="255">
        <v>0</v>
      </c>
      <c r="CU19" s="255">
        <v>0</v>
      </c>
      <c r="CV19" s="255">
        <v>0</v>
      </c>
      <c r="CW19" s="255">
        <v>0</v>
      </c>
      <c r="CX19" s="255">
        <v>0</v>
      </c>
      <c r="CY19" s="255">
        <v>0</v>
      </c>
      <c r="CZ19" s="255">
        <v>0</v>
      </c>
      <c r="DA19" s="255">
        <v>0</v>
      </c>
      <c r="DB19" s="255">
        <v>0</v>
      </c>
      <c r="DC19" s="255">
        <v>0</v>
      </c>
      <c r="DD19" s="255">
        <v>0</v>
      </c>
      <c r="DE19" s="255">
        <v>0</v>
      </c>
      <c r="DF19" s="255">
        <v>0</v>
      </c>
      <c r="DG19" s="255">
        <v>22982.399999999998</v>
      </c>
      <c r="DH19" s="255">
        <v>30643.200000000001</v>
      </c>
      <c r="DI19" s="255">
        <v>30643.200000000001</v>
      </c>
      <c r="DJ19" s="255">
        <v>31551.8</v>
      </c>
      <c r="DK19" s="255">
        <v>31551.8</v>
      </c>
      <c r="DL19" s="255">
        <v>31551.8</v>
      </c>
      <c r="DM19" s="255">
        <v>31551.8</v>
      </c>
      <c r="DN19" s="255">
        <v>31551.8</v>
      </c>
      <c r="DO19" s="255">
        <v>23663.850000000002</v>
      </c>
      <c r="DP19" s="255">
        <v>23663.850000000002</v>
      </c>
      <c r="DQ19" s="255">
        <v>31551.8</v>
      </c>
      <c r="DR19" s="255">
        <v>31551.8</v>
      </c>
      <c r="DS19" s="255">
        <v>23663.850000000002</v>
      </c>
      <c r="DT19" s="255">
        <v>34256.239999999998</v>
      </c>
      <c r="DU19" s="255">
        <v>34256.239999999998</v>
      </c>
      <c r="DV19" s="255">
        <v>32491.200000000001</v>
      </c>
      <c r="DW19" s="255">
        <v>32491.200000000001</v>
      </c>
      <c r="DX19" s="255">
        <v>32491.200000000001</v>
      </c>
      <c r="DY19" s="255">
        <v>32491.200000000001</v>
      </c>
      <c r="DZ19" s="255">
        <v>32491.200000000001</v>
      </c>
      <c r="EA19" s="255">
        <v>24368.400000000001</v>
      </c>
      <c r="EB19" s="255">
        <v>24368.400000000001</v>
      </c>
      <c r="EC19" s="255">
        <v>32491.200000000001</v>
      </c>
      <c r="ED19" s="255">
        <v>32491.200000000001</v>
      </c>
      <c r="EE19" s="255">
        <v>24368.400000000001</v>
      </c>
      <c r="EF19" s="255">
        <v>32491.200000000001</v>
      </c>
      <c r="EG19" s="255">
        <v>32491.200000000001</v>
      </c>
      <c r="EH19" s="255">
        <v>33462.800000000003</v>
      </c>
      <c r="EI19" s="255">
        <v>33462.800000000003</v>
      </c>
      <c r="EJ19" s="255">
        <v>33462.800000000003</v>
      </c>
      <c r="EK19" s="255">
        <v>33462.800000000003</v>
      </c>
      <c r="EL19" s="255">
        <v>33462.800000000003</v>
      </c>
      <c r="EM19" s="255">
        <v>25097.100000000002</v>
      </c>
      <c r="EN19" s="255">
        <v>25097.100000000002</v>
      </c>
      <c r="EO19" s="255">
        <v>33462.800000000003</v>
      </c>
      <c r="EP19" s="255">
        <v>426172.66000000003</v>
      </c>
      <c r="EQ19" s="255">
        <v>0</v>
      </c>
      <c r="ER19" s="255">
        <v>0</v>
      </c>
      <c r="ES19" s="255">
        <v>0</v>
      </c>
      <c r="ET19" s="255">
        <v>0</v>
      </c>
      <c r="EU19" s="255">
        <v>0</v>
      </c>
      <c r="EV19" s="255">
        <v>0</v>
      </c>
      <c r="EW19" s="255">
        <v>0</v>
      </c>
      <c r="EX19" s="255">
        <v>0</v>
      </c>
      <c r="EY19" s="255">
        <v>0</v>
      </c>
      <c r="EZ19" s="255">
        <v>0</v>
      </c>
      <c r="FA19" s="255">
        <v>0</v>
      </c>
      <c r="FB19" s="255">
        <v>0</v>
      </c>
      <c r="FC19" s="255">
        <v>0</v>
      </c>
      <c r="FD19" s="255">
        <v>0</v>
      </c>
      <c r="FE19" s="255">
        <v>0</v>
      </c>
      <c r="FF19" s="255">
        <v>0</v>
      </c>
      <c r="FG19" s="255">
        <v>0</v>
      </c>
      <c r="FH19" s="255">
        <v>0</v>
      </c>
      <c r="FI19" s="255">
        <v>0</v>
      </c>
      <c r="FJ19" s="255">
        <v>0</v>
      </c>
      <c r="FK19" s="255">
        <v>0</v>
      </c>
      <c r="FL19" s="255">
        <v>0</v>
      </c>
      <c r="FM19" s="255">
        <v>0</v>
      </c>
      <c r="FN19" s="255">
        <v>0</v>
      </c>
      <c r="FO19" s="255">
        <v>0</v>
      </c>
      <c r="FP19" s="255">
        <v>0</v>
      </c>
      <c r="FQ19" s="255">
        <v>0</v>
      </c>
      <c r="FR19" s="255">
        <v>0</v>
      </c>
      <c r="FS19" s="255">
        <v>0</v>
      </c>
      <c r="FT19" s="255">
        <v>0</v>
      </c>
      <c r="FU19" s="255">
        <v>0</v>
      </c>
      <c r="FV19" s="255">
        <v>0</v>
      </c>
      <c r="FW19" s="255">
        <v>0</v>
      </c>
      <c r="FX19" s="116"/>
    </row>
    <row r="20" spans="2:180" x14ac:dyDescent="0.2">
      <c r="B20" s="253" t="s">
        <v>205</v>
      </c>
      <c r="C20" s="253" t="s">
        <v>269</v>
      </c>
      <c r="D20" s="253" t="s">
        <v>258</v>
      </c>
      <c r="E20" s="253" t="s">
        <v>127</v>
      </c>
      <c r="F20" s="253" t="s">
        <v>259</v>
      </c>
      <c r="G20" s="253" t="s">
        <v>260</v>
      </c>
      <c r="H20" s="237">
        <v>225.37</v>
      </c>
      <c r="I20" s="126">
        <f t="shared" si="85"/>
        <v>1393196.8400000003</v>
      </c>
      <c r="J20" s="116"/>
      <c r="K20" s="254">
        <v>0</v>
      </c>
      <c r="L20" s="254">
        <v>0</v>
      </c>
      <c r="M20" s="254">
        <v>0</v>
      </c>
      <c r="N20" s="254">
        <v>0</v>
      </c>
      <c r="O20" s="254">
        <v>0</v>
      </c>
      <c r="P20" s="254">
        <v>0.73684210526315785</v>
      </c>
      <c r="Q20" s="254">
        <v>1.1000000000000001</v>
      </c>
      <c r="R20" s="254">
        <v>1</v>
      </c>
      <c r="S20" s="254">
        <v>0.76685714285714313</v>
      </c>
      <c r="T20" s="254">
        <v>1.2225714285714291</v>
      </c>
      <c r="U20" s="254">
        <v>1.0002857142857231</v>
      </c>
      <c r="V20" s="254">
        <v>0.96323809523809567</v>
      </c>
      <c r="W20" s="254">
        <v>1.2596190476190472</v>
      </c>
      <c r="X20" s="254">
        <v>1</v>
      </c>
      <c r="Y20" s="254">
        <v>1</v>
      </c>
      <c r="Z20" s="254">
        <v>1</v>
      </c>
      <c r="AA20" s="254">
        <v>0.92105263157894735</v>
      </c>
      <c r="AB20" s="254">
        <v>0.92105263157894735</v>
      </c>
      <c r="AC20" s="254">
        <v>1</v>
      </c>
      <c r="AD20" s="254">
        <v>1</v>
      </c>
      <c r="AE20" s="254">
        <v>1</v>
      </c>
      <c r="AF20" s="254">
        <v>1</v>
      </c>
      <c r="AG20" s="254">
        <v>1</v>
      </c>
      <c r="AH20" s="254">
        <v>1</v>
      </c>
      <c r="AI20" s="254">
        <v>1</v>
      </c>
      <c r="AJ20" s="254">
        <v>1</v>
      </c>
      <c r="AK20" s="254">
        <v>1</v>
      </c>
      <c r="AL20" s="254">
        <v>1</v>
      </c>
      <c r="AM20" s="254">
        <v>1</v>
      </c>
      <c r="AN20" s="254">
        <v>1</v>
      </c>
      <c r="AO20" s="254">
        <v>1</v>
      </c>
      <c r="AP20" s="254">
        <v>1</v>
      </c>
      <c r="AQ20" s="254">
        <v>1</v>
      </c>
      <c r="AR20" s="254">
        <v>1</v>
      </c>
      <c r="AS20" s="254">
        <v>1</v>
      </c>
      <c r="AT20" s="254">
        <v>1</v>
      </c>
      <c r="AU20" s="254">
        <v>1</v>
      </c>
      <c r="AV20" s="254">
        <v>1</v>
      </c>
      <c r="AW20" s="254">
        <v>1</v>
      </c>
      <c r="AX20" s="254">
        <v>1</v>
      </c>
      <c r="AY20" s="254">
        <v>1</v>
      </c>
      <c r="AZ20" s="254">
        <v>1</v>
      </c>
      <c r="BA20" s="254">
        <v>1</v>
      </c>
      <c r="BB20" s="254">
        <v>1</v>
      </c>
      <c r="BC20" s="254">
        <v>1</v>
      </c>
      <c r="BD20" s="254">
        <v>1</v>
      </c>
      <c r="BE20" s="254">
        <v>1</v>
      </c>
      <c r="BF20" s="254">
        <v>1</v>
      </c>
      <c r="BG20" s="254">
        <v>1</v>
      </c>
      <c r="BH20" s="254">
        <v>1</v>
      </c>
      <c r="BI20" s="254">
        <v>0</v>
      </c>
      <c r="BJ20" s="254">
        <v>0</v>
      </c>
      <c r="BK20" s="254">
        <v>0</v>
      </c>
      <c r="BL20" s="254">
        <v>0</v>
      </c>
      <c r="BM20" s="254">
        <v>0</v>
      </c>
      <c r="BN20" s="254">
        <v>0</v>
      </c>
      <c r="BO20" s="254">
        <v>0</v>
      </c>
      <c r="BP20" s="254">
        <v>0</v>
      </c>
      <c r="BQ20" s="254">
        <v>0</v>
      </c>
      <c r="BR20" s="254">
        <v>0</v>
      </c>
      <c r="BS20" s="254">
        <v>0</v>
      </c>
      <c r="BT20" s="254">
        <v>0</v>
      </c>
      <c r="BU20" s="254">
        <v>0</v>
      </c>
      <c r="BV20" s="254">
        <v>0</v>
      </c>
      <c r="BW20" s="254">
        <v>0</v>
      </c>
      <c r="BX20" s="254">
        <v>0</v>
      </c>
      <c r="BY20" s="254">
        <v>0</v>
      </c>
      <c r="BZ20" s="254">
        <v>0</v>
      </c>
      <c r="CA20" s="254">
        <v>0</v>
      </c>
      <c r="CB20" s="254">
        <v>0</v>
      </c>
      <c r="CC20" s="254">
        <v>0</v>
      </c>
      <c r="CD20" s="254">
        <v>0</v>
      </c>
      <c r="CE20" s="254">
        <v>0</v>
      </c>
      <c r="CF20" s="254">
        <v>0</v>
      </c>
      <c r="CG20" s="254">
        <v>0</v>
      </c>
      <c r="CH20" s="254">
        <v>0</v>
      </c>
      <c r="CI20" s="254">
        <v>0</v>
      </c>
      <c r="CJ20" s="254">
        <v>0</v>
      </c>
      <c r="CK20" s="254">
        <v>0</v>
      </c>
      <c r="CL20" s="254">
        <v>0</v>
      </c>
      <c r="CM20" s="254">
        <v>0</v>
      </c>
      <c r="CN20" s="254">
        <v>0</v>
      </c>
      <c r="CO20" s="254">
        <v>0</v>
      </c>
      <c r="CP20" s="254">
        <v>0</v>
      </c>
      <c r="CQ20" s="116"/>
      <c r="CR20" s="255">
        <v>0</v>
      </c>
      <c r="CS20" s="255">
        <v>0</v>
      </c>
      <c r="CT20" s="255">
        <v>0</v>
      </c>
      <c r="CU20" s="255">
        <v>0</v>
      </c>
      <c r="CV20" s="255">
        <v>0</v>
      </c>
      <c r="CW20" s="255">
        <v>32762.560000000009</v>
      </c>
      <c r="CX20" s="255">
        <v>47010.830000000045</v>
      </c>
      <c r="CY20" s="255">
        <v>41828.960000000043</v>
      </c>
      <c r="CZ20" s="255">
        <v>25483.159999999996</v>
      </c>
      <c r="DA20" s="255">
        <v>38156.98000000004</v>
      </c>
      <c r="DB20" s="255">
        <v>29987.100000000017</v>
      </c>
      <c r="DC20" s="255">
        <v>21657.350000000057</v>
      </c>
      <c r="DD20" s="255">
        <v>28321.149999999958</v>
      </c>
      <c r="DE20" s="255">
        <v>30643.200000000001</v>
      </c>
      <c r="DF20" s="255">
        <v>30643.200000000001</v>
      </c>
      <c r="DG20" s="255">
        <v>22982.399999999998</v>
      </c>
      <c r="DH20" s="255">
        <v>30643.200000000001</v>
      </c>
      <c r="DI20" s="255">
        <v>30643.200000000001</v>
      </c>
      <c r="DJ20" s="255">
        <v>31551.8</v>
      </c>
      <c r="DK20" s="255">
        <v>31551.8</v>
      </c>
      <c r="DL20" s="255">
        <v>31551.8</v>
      </c>
      <c r="DM20" s="255">
        <v>31551.8</v>
      </c>
      <c r="DN20" s="255">
        <v>31551.8</v>
      </c>
      <c r="DO20" s="255">
        <v>23663.850000000002</v>
      </c>
      <c r="DP20" s="255">
        <v>23663.850000000002</v>
      </c>
      <c r="DQ20" s="255">
        <v>31551.8</v>
      </c>
      <c r="DR20" s="255">
        <v>31551.8</v>
      </c>
      <c r="DS20" s="255">
        <v>23663.850000000002</v>
      </c>
      <c r="DT20" s="255">
        <v>34256.239999999998</v>
      </c>
      <c r="DU20" s="255">
        <v>34256.239999999998</v>
      </c>
      <c r="DV20" s="255">
        <v>32491.200000000001</v>
      </c>
      <c r="DW20" s="255">
        <v>32491.200000000001</v>
      </c>
      <c r="DX20" s="255">
        <v>32491.200000000001</v>
      </c>
      <c r="DY20" s="255">
        <v>32491.200000000001</v>
      </c>
      <c r="DZ20" s="255">
        <v>32491.200000000001</v>
      </c>
      <c r="EA20" s="255">
        <v>24368.400000000001</v>
      </c>
      <c r="EB20" s="255">
        <v>24368.400000000001</v>
      </c>
      <c r="EC20" s="255">
        <v>32491.200000000001</v>
      </c>
      <c r="ED20" s="255">
        <v>32491.200000000001</v>
      </c>
      <c r="EE20" s="255">
        <v>24368.400000000001</v>
      </c>
      <c r="EF20" s="255">
        <v>35276.160000000003</v>
      </c>
      <c r="EG20" s="255">
        <v>35276.160000000003</v>
      </c>
      <c r="EH20" s="255">
        <v>33462.800000000003</v>
      </c>
      <c r="EI20" s="255">
        <v>33462.800000000003</v>
      </c>
      <c r="EJ20" s="255">
        <v>33462.800000000003</v>
      </c>
      <c r="EK20" s="255">
        <v>33462.800000000003</v>
      </c>
      <c r="EL20" s="255">
        <v>33462.800000000003</v>
      </c>
      <c r="EM20" s="255">
        <v>25097.100000000002</v>
      </c>
      <c r="EN20" s="255">
        <v>25097.100000000002</v>
      </c>
      <c r="EO20" s="255">
        <v>33462.800000000003</v>
      </c>
      <c r="EP20" s="255">
        <v>0</v>
      </c>
      <c r="EQ20" s="255">
        <v>0</v>
      </c>
      <c r="ER20" s="255">
        <v>0</v>
      </c>
      <c r="ES20" s="255">
        <v>0</v>
      </c>
      <c r="ET20" s="255">
        <v>0</v>
      </c>
      <c r="EU20" s="255">
        <v>0</v>
      </c>
      <c r="EV20" s="255">
        <v>0</v>
      </c>
      <c r="EW20" s="255">
        <v>0</v>
      </c>
      <c r="EX20" s="255">
        <v>0</v>
      </c>
      <c r="EY20" s="255">
        <v>0</v>
      </c>
      <c r="EZ20" s="255">
        <v>0</v>
      </c>
      <c r="FA20" s="255">
        <v>0</v>
      </c>
      <c r="FB20" s="255">
        <v>0</v>
      </c>
      <c r="FC20" s="255">
        <v>0</v>
      </c>
      <c r="FD20" s="255">
        <v>0</v>
      </c>
      <c r="FE20" s="255">
        <v>0</v>
      </c>
      <c r="FF20" s="255">
        <v>0</v>
      </c>
      <c r="FG20" s="255">
        <v>0</v>
      </c>
      <c r="FH20" s="255">
        <v>0</v>
      </c>
      <c r="FI20" s="255">
        <v>0</v>
      </c>
      <c r="FJ20" s="255">
        <v>0</v>
      </c>
      <c r="FK20" s="255">
        <v>0</v>
      </c>
      <c r="FL20" s="255">
        <v>0</v>
      </c>
      <c r="FM20" s="255">
        <v>0</v>
      </c>
      <c r="FN20" s="255">
        <v>0</v>
      </c>
      <c r="FO20" s="255">
        <v>0</v>
      </c>
      <c r="FP20" s="255">
        <v>0</v>
      </c>
      <c r="FQ20" s="255">
        <v>0</v>
      </c>
      <c r="FR20" s="255">
        <v>0</v>
      </c>
      <c r="FS20" s="255">
        <v>0</v>
      </c>
      <c r="FT20" s="255">
        <v>0</v>
      </c>
      <c r="FU20" s="255">
        <v>0</v>
      </c>
      <c r="FV20" s="255">
        <v>0</v>
      </c>
      <c r="FW20" s="255">
        <v>0</v>
      </c>
      <c r="FX20" s="116"/>
    </row>
    <row r="21" spans="2:180" x14ac:dyDescent="0.2">
      <c r="B21" s="253" t="s">
        <v>205</v>
      </c>
      <c r="C21" s="253" t="s">
        <v>261</v>
      </c>
      <c r="D21" s="253" t="s">
        <v>258</v>
      </c>
      <c r="E21" s="253" t="s">
        <v>127</v>
      </c>
      <c r="F21" s="253" t="s">
        <v>259</v>
      </c>
      <c r="G21" s="253" t="s">
        <v>260</v>
      </c>
      <c r="H21" s="237">
        <v>316.45</v>
      </c>
      <c r="I21" s="126">
        <f t="shared" si="85"/>
        <v>1736733.3399999999</v>
      </c>
      <c r="J21" s="116"/>
      <c r="K21" s="254">
        <v>0</v>
      </c>
      <c r="L21" s="254">
        <v>0</v>
      </c>
      <c r="M21" s="254">
        <v>0</v>
      </c>
      <c r="N21" s="254">
        <v>0</v>
      </c>
      <c r="O21" s="254">
        <v>0</v>
      </c>
      <c r="P21" s="254">
        <v>0</v>
      </c>
      <c r="Q21" s="254">
        <v>0</v>
      </c>
      <c r="R21" s="254">
        <v>0</v>
      </c>
      <c r="S21" s="254">
        <v>0</v>
      </c>
      <c r="T21" s="254">
        <v>0.55000000000000004</v>
      </c>
      <c r="U21" s="254">
        <v>1.1499999999999999</v>
      </c>
      <c r="V21" s="254">
        <v>1</v>
      </c>
      <c r="W21" s="254">
        <v>1.2666666666666666</v>
      </c>
      <c r="X21" s="254">
        <v>1</v>
      </c>
      <c r="Y21" s="254">
        <v>1</v>
      </c>
      <c r="Z21" s="254">
        <v>1</v>
      </c>
      <c r="AA21" s="254">
        <v>0.92105263157894735</v>
      </c>
      <c r="AB21" s="254">
        <v>0.92105263157894735</v>
      </c>
      <c r="AC21" s="254">
        <v>1</v>
      </c>
      <c r="AD21" s="254">
        <v>1</v>
      </c>
      <c r="AE21" s="254">
        <v>1</v>
      </c>
      <c r="AF21" s="254">
        <v>1</v>
      </c>
      <c r="AG21" s="254">
        <v>1</v>
      </c>
      <c r="AH21" s="254">
        <v>1</v>
      </c>
      <c r="AI21" s="254">
        <v>1</v>
      </c>
      <c r="AJ21" s="254">
        <v>1</v>
      </c>
      <c r="AK21" s="254">
        <v>1</v>
      </c>
      <c r="AL21" s="254">
        <v>1</v>
      </c>
      <c r="AM21" s="254">
        <v>1</v>
      </c>
      <c r="AN21" s="254">
        <v>1</v>
      </c>
      <c r="AO21" s="254">
        <v>1</v>
      </c>
      <c r="AP21" s="254">
        <v>1</v>
      </c>
      <c r="AQ21" s="254">
        <v>1</v>
      </c>
      <c r="AR21" s="254">
        <v>1</v>
      </c>
      <c r="AS21" s="254">
        <v>1</v>
      </c>
      <c r="AT21" s="254">
        <v>1</v>
      </c>
      <c r="AU21" s="254">
        <v>1</v>
      </c>
      <c r="AV21" s="254">
        <v>1</v>
      </c>
      <c r="AW21" s="254">
        <v>1</v>
      </c>
      <c r="AX21" s="254">
        <v>1</v>
      </c>
      <c r="AY21" s="254">
        <v>1</v>
      </c>
      <c r="AZ21" s="254">
        <v>1</v>
      </c>
      <c r="BA21" s="254">
        <v>1</v>
      </c>
      <c r="BB21" s="254">
        <v>1</v>
      </c>
      <c r="BC21" s="254">
        <v>1</v>
      </c>
      <c r="BD21" s="254">
        <v>1</v>
      </c>
      <c r="BE21" s="254">
        <v>1</v>
      </c>
      <c r="BF21" s="254">
        <v>1</v>
      </c>
      <c r="BG21" s="254">
        <v>1</v>
      </c>
      <c r="BH21" s="254">
        <v>1</v>
      </c>
      <c r="BI21" s="254">
        <v>0</v>
      </c>
      <c r="BJ21" s="254">
        <v>0</v>
      </c>
      <c r="BK21" s="254">
        <v>0</v>
      </c>
      <c r="BL21" s="254">
        <v>0</v>
      </c>
      <c r="BM21" s="254">
        <v>0</v>
      </c>
      <c r="BN21" s="254">
        <v>0</v>
      </c>
      <c r="BO21" s="254">
        <v>0</v>
      </c>
      <c r="BP21" s="254">
        <v>0</v>
      </c>
      <c r="BQ21" s="254">
        <v>0</v>
      </c>
      <c r="BR21" s="254">
        <v>0</v>
      </c>
      <c r="BS21" s="254">
        <v>0</v>
      </c>
      <c r="BT21" s="254">
        <v>0</v>
      </c>
      <c r="BU21" s="254">
        <v>0</v>
      </c>
      <c r="BV21" s="254">
        <v>0</v>
      </c>
      <c r="BW21" s="254">
        <v>0</v>
      </c>
      <c r="BX21" s="254">
        <v>0</v>
      </c>
      <c r="BY21" s="254">
        <v>0</v>
      </c>
      <c r="BZ21" s="254">
        <v>0</v>
      </c>
      <c r="CA21" s="254">
        <v>0</v>
      </c>
      <c r="CB21" s="254">
        <v>0</v>
      </c>
      <c r="CC21" s="254">
        <v>0</v>
      </c>
      <c r="CD21" s="254">
        <v>0</v>
      </c>
      <c r="CE21" s="254">
        <v>0</v>
      </c>
      <c r="CF21" s="254">
        <v>0</v>
      </c>
      <c r="CG21" s="254">
        <v>0</v>
      </c>
      <c r="CH21" s="254">
        <v>0</v>
      </c>
      <c r="CI21" s="254">
        <v>0</v>
      </c>
      <c r="CJ21" s="254">
        <v>0</v>
      </c>
      <c r="CK21" s="254">
        <v>0</v>
      </c>
      <c r="CL21" s="254">
        <v>0</v>
      </c>
      <c r="CM21" s="254">
        <v>0</v>
      </c>
      <c r="CN21" s="254">
        <v>0</v>
      </c>
      <c r="CO21" s="254">
        <v>0</v>
      </c>
      <c r="CP21" s="254">
        <v>0</v>
      </c>
      <c r="CQ21" s="116"/>
      <c r="CR21" s="255">
        <v>0</v>
      </c>
      <c r="CS21" s="255">
        <v>0</v>
      </c>
      <c r="CT21" s="255">
        <v>0</v>
      </c>
      <c r="CU21" s="255">
        <v>0</v>
      </c>
      <c r="CV21" s="255">
        <v>0</v>
      </c>
      <c r="CW21" s="255">
        <v>0</v>
      </c>
      <c r="CX21" s="255">
        <v>0</v>
      </c>
      <c r="CY21" s="255">
        <v>0</v>
      </c>
      <c r="CZ21" s="255">
        <v>0</v>
      </c>
      <c r="DA21" s="255">
        <v>24728.87999999999</v>
      </c>
      <c r="DB21" s="255">
        <v>51705.84</v>
      </c>
      <c r="DC21" s="255">
        <v>33721.199999999997</v>
      </c>
      <c r="DD21" s="255">
        <v>42713.51999999999</v>
      </c>
      <c r="DE21" s="255">
        <v>43019.199999999997</v>
      </c>
      <c r="DF21" s="255">
        <v>43019.199999999997</v>
      </c>
      <c r="DG21" s="255">
        <v>32264.399999999998</v>
      </c>
      <c r="DH21" s="255">
        <v>43019.199999999997</v>
      </c>
      <c r="DI21" s="255">
        <v>43019.199999999997</v>
      </c>
      <c r="DJ21" s="255">
        <v>44303</v>
      </c>
      <c r="DK21" s="255">
        <v>44303</v>
      </c>
      <c r="DL21" s="255">
        <v>44303</v>
      </c>
      <c r="DM21" s="255">
        <v>44303</v>
      </c>
      <c r="DN21" s="255">
        <v>44303</v>
      </c>
      <c r="DO21" s="255">
        <v>33227.25</v>
      </c>
      <c r="DP21" s="255">
        <v>33227.25</v>
      </c>
      <c r="DQ21" s="255">
        <v>44303</v>
      </c>
      <c r="DR21" s="255">
        <v>44303</v>
      </c>
      <c r="DS21" s="255">
        <v>33227.25</v>
      </c>
      <c r="DT21" s="255">
        <v>48100.4</v>
      </c>
      <c r="DU21" s="255">
        <v>48100.4</v>
      </c>
      <c r="DV21" s="255">
        <v>45619</v>
      </c>
      <c r="DW21" s="255">
        <v>45619</v>
      </c>
      <c r="DX21" s="255">
        <v>45619</v>
      </c>
      <c r="DY21" s="255">
        <v>45619</v>
      </c>
      <c r="DZ21" s="255">
        <v>45619</v>
      </c>
      <c r="EA21" s="255">
        <v>34214.25</v>
      </c>
      <c r="EB21" s="255">
        <v>34214.25</v>
      </c>
      <c r="EC21" s="255">
        <v>45619</v>
      </c>
      <c r="ED21" s="255">
        <v>45619</v>
      </c>
      <c r="EE21" s="255">
        <v>34214.25</v>
      </c>
      <c r="EF21" s="255">
        <v>49529.200000000004</v>
      </c>
      <c r="EG21" s="255">
        <v>49529.200000000004</v>
      </c>
      <c r="EH21" s="255">
        <v>46998</v>
      </c>
      <c r="EI21" s="255">
        <v>46998</v>
      </c>
      <c r="EJ21" s="255">
        <v>46998</v>
      </c>
      <c r="EK21" s="255">
        <v>46998</v>
      </c>
      <c r="EL21" s="255">
        <v>46998</v>
      </c>
      <c r="EM21" s="255">
        <v>35248.5</v>
      </c>
      <c r="EN21" s="255">
        <v>35248.5</v>
      </c>
      <c r="EO21" s="255">
        <v>46998</v>
      </c>
      <c r="EP21" s="255">
        <v>0</v>
      </c>
      <c r="EQ21" s="255">
        <v>0</v>
      </c>
      <c r="ER21" s="255">
        <v>0</v>
      </c>
      <c r="ES21" s="255">
        <v>0</v>
      </c>
      <c r="ET21" s="255">
        <v>0</v>
      </c>
      <c r="EU21" s="255">
        <v>0</v>
      </c>
      <c r="EV21" s="255">
        <v>0</v>
      </c>
      <c r="EW21" s="255">
        <v>0</v>
      </c>
      <c r="EX21" s="255">
        <v>0</v>
      </c>
      <c r="EY21" s="255">
        <v>0</v>
      </c>
      <c r="EZ21" s="255">
        <v>0</v>
      </c>
      <c r="FA21" s="255">
        <v>0</v>
      </c>
      <c r="FB21" s="255">
        <v>0</v>
      </c>
      <c r="FC21" s="255">
        <v>0</v>
      </c>
      <c r="FD21" s="255">
        <v>0</v>
      </c>
      <c r="FE21" s="255">
        <v>0</v>
      </c>
      <c r="FF21" s="255">
        <v>0</v>
      </c>
      <c r="FG21" s="255">
        <v>0</v>
      </c>
      <c r="FH21" s="255">
        <v>0</v>
      </c>
      <c r="FI21" s="255">
        <v>0</v>
      </c>
      <c r="FJ21" s="255">
        <v>0</v>
      </c>
      <c r="FK21" s="255">
        <v>0</v>
      </c>
      <c r="FL21" s="255">
        <v>0</v>
      </c>
      <c r="FM21" s="255">
        <v>0</v>
      </c>
      <c r="FN21" s="255">
        <v>0</v>
      </c>
      <c r="FO21" s="255">
        <v>0</v>
      </c>
      <c r="FP21" s="255">
        <v>0</v>
      </c>
      <c r="FQ21" s="255">
        <v>0</v>
      </c>
      <c r="FR21" s="255">
        <v>0</v>
      </c>
      <c r="FS21" s="255">
        <v>0</v>
      </c>
      <c r="FT21" s="255">
        <v>0</v>
      </c>
      <c r="FU21" s="255">
        <v>0</v>
      </c>
      <c r="FV21" s="255">
        <v>0</v>
      </c>
      <c r="FW21" s="255">
        <v>0</v>
      </c>
      <c r="FX21" s="116"/>
    </row>
    <row r="22" spans="2:180" x14ac:dyDescent="0.2">
      <c r="B22" s="253" t="s">
        <v>205</v>
      </c>
      <c r="C22" s="253" t="s">
        <v>270</v>
      </c>
      <c r="D22" s="253" t="s">
        <v>258</v>
      </c>
      <c r="E22" s="253" t="s">
        <v>127</v>
      </c>
      <c r="F22" s="253" t="s">
        <v>263</v>
      </c>
      <c r="G22" s="253" t="s">
        <v>260</v>
      </c>
      <c r="H22" s="237">
        <v>240.85</v>
      </c>
      <c r="I22" s="126">
        <f t="shared" si="85"/>
        <v>78298.000000000015</v>
      </c>
      <c r="J22" s="116"/>
      <c r="K22" s="254">
        <v>0</v>
      </c>
      <c r="L22" s="254">
        <v>0</v>
      </c>
      <c r="M22" s="254">
        <v>0</v>
      </c>
      <c r="N22" s="254">
        <v>0</v>
      </c>
      <c r="O22" s="254">
        <v>0</v>
      </c>
      <c r="P22" s="254">
        <v>0</v>
      </c>
      <c r="Q22" s="254">
        <v>0</v>
      </c>
      <c r="R22" s="254">
        <v>0</v>
      </c>
      <c r="S22" s="254">
        <v>0</v>
      </c>
      <c r="T22" s="254">
        <v>0</v>
      </c>
      <c r="U22" s="254">
        <v>0</v>
      </c>
      <c r="V22" s="254">
        <v>0</v>
      </c>
      <c r="W22" s="254">
        <v>0</v>
      </c>
      <c r="X22" s="254">
        <v>0.7857142857142857</v>
      </c>
      <c r="Y22" s="254">
        <v>0.7857142857142857</v>
      </c>
      <c r="Z22" s="254">
        <v>1.0476190476190477</v>
      </c>
      <c r="AA22" s="254">
        <v>0</v>
      </c>
      <c r="AB22" s="254">
        <v>0</v>
      </c>
      <c r="AC22" s="254">
        <v>0</v>
      </c>
      <c r="AD22" s="254">
        <v>0</v>
      </c>
      <c r="AE22" s="254">
        <v>0</v>
      </c>
      <c r="AF22" s="254">
        <v>0</v>
      </c>
      <c r="AG22" s="254">
        <v>0</v>
      </c>
      <c r="AH22" s="254">
        <v>0</v>
      </c>
      <c r="AI22" s="254">
        <v>0</v>
      </c>
      <c r="AJ22" s="254">
        <v>0</v>
      </c>
      <c r="AK22" s="254">
        <v>0</v>
      </c>
      <c r="AL22" s="254">
        <v>0</v>
      </c>
      <c r="AM22" s="254">
        <v>0</v>
      </c>
      <c r="AN22" s="254">
        <v>0</v>
      </c>
      <c r="AO22" s="254">
        <v>0</v>
      </c>
      <c r="AP22" s="254">
        <v>0</v>
      </c>
      <c r="AQ22" s="254">
        <v>0</v>
      </c>
      <c r="AR22" s="254">
        <v>0</v>
      </c>
      <c r="AS22" s="254">
        <v>0</v>
      </c>
      <c r="AT22" s="254">
        <v>0</v>
      </c>
      <c r="AU22" s="254">
        <v>0</v>
      </c>
      <c r="AV22" s="254">
        <v>0</v>
      </c>
      <c r="AW22" s="254">
        <v>0</v>
      </c>
      <c r="AX22" s="254">
        <v>0</v>
      </c>
      <c r="AY22" s="254">
        <v>0</v>
      </c>
      <c r="AZ22" s="254">
        <v>0</v>
      </c>
      <c r="BA22" s="254">
        <v>0</v>
      </c>
      <c r="BB22" s="254">
        <v>0</v>
      </c>
      <c r="BC22" s="254">
        <v>0</v>
      </c>
      <c r="BD22" s="254">
        <v>0</v>
      </c>
      <c r="BE22" s="254">
        <v>0</v>
      </c>
      <c r="BF22" s="254">
        <v>0</v>
      </c>
      <c r="BG22" s="254">
        <v>0</v>
      </c>
      <c r="BH22" s="254">
        <v>0</v>
      </c>
      <c r="BI22" s="254">
        <v>0</v>
      </c>
      <c r="BJ22" s="254">
        <v>0</v>
      </c>
      <c r="BK22" s="254">
        <v>0</v>
      </c>
      <c r="BL22" s="254">
        <v>0</v>
      </c>
      <c r="BM22" s="254">
        <v>0</v>
      </c>
      <c r="BN22" s="254">
        <v>0</v>
      </c>
      <c r="BO22" s="254">
        <v>0</v>
      </c>
      <c r="BP22" s="254">
        <v>0</v>
      </c>
      <c r="BQ22" s="254">
        <v>0</v>
      </c>
      <c r="BR22" s="254">
        <v>0</v>
      </c>
      <c r="BS22" s="254">
        <v>0</v>
      </c>
      <c r="BT22" s="254">
        <v>0</v>
      </c>
      <c r="BU22" s="254">
        <v>0</v>
      </c>
      <c r="BV22" s="254">
        <v>0</v>
      </c>
      <c r="BW22" s="254">
        <v>0</v>
      </c>
      <c r="BX22" s="254">
        <v>0</v>
      </c>
      <c r="BY22" s="254">
        <v>0</v>
      </c>
      <c r="BZ22" s="254">
        <v>0</v>
      </c>
      <c r="CA22" s="254">
        <v>0</v>
      </c>
      <c r="CB22" s="254">
        <v>0</v>
      </c>
      <c r="CC22" s="254">
        <v>0</v>
      </c>
      <c r="CD22" s="254">
        <v>0</v>
      </c>
      <c r="CE22" s="254">
        <v>0</v>
      </c>
      <c r="CF22" s="254">
        <v>0</v>
      </c>
      <c r="CG22" s="254">
        <v>0</v>
      </c>
      <c r="CH22" s="254">
        <v>0</v>
      </c>
      <c r="CI22" s="254">
        <v>0</v>
      </c>
      <c r="CJ22" s="254">
        <v>0</v>
      </c>
      <c r="CK22" s="254">
        <v>0</v>
      </c>
      <c r="CL22" s="254">
        <v>0</v>
      </c>
      <c r="CM22" s="254">
        <v>0</v>
      </c>
      <c r="CN22" s="254">
        <v>0</v>
      </c>
      <c r="CO22" s="254">
        <v>0</v>
      </c>
      <c r="CP22" s="254">
        <v>0</v>
      </c>
      <c r="CQ22" s="116"/>
      <c r="CR22" s="255">
        <v>0</v>
      </c>
      <c r="CS22" s="255">
        <v>0</v>
      </c>
      <c r="CT22" s="255">
        <v>0</v>
      </c>
      <c r="CU22" s="255">
        <v>0</v>
      </c>
      <c r="CV22" s="255">
        <v>0</v>
      </c>
      <c r="CW22" s="255">
        <v>0</v>
      </c>
      <c r="CX22" s="255">
        <v>0</v>
      </c>
      <c r="CY22" s="255">
        <v>0</v>
      </c>
      <c r="CZ22" s="255">
        <v>0</v>
      </c>
      <c r="DA22" s="255">
        <v>0</v>
      </c>
      <c r="DB22" s="255">
        <v>0</v>
      </c>
      <c r="DC22" s="255">
        <v>0</v>
      </c>
      <c r="DD22" s="255">
        <v>0</v>
      </c>
      <c r="DE22" s="255">
        <v>25308.800000000003</v>
      </c>
      <c r="DF22" s="255">
        <v>26494.600000000002</v>
      </c>
      <c r="DG22" s="255">
        <v>26494.600000000002</v>
      </c>
      <c r="DH22" s="255">
        <v>0</v>
      </c>
      <c r="DI22" s="255">
        <v>0</v>
      </c>
      <c r="DJ22" s="255">
        <v>0</v>
      </c>
      <c r="DK22" s="255">
        <v>0</v>
      </c>
      <c r="DL22" s="255">
        <v>0</v>
      </c>
      <c r="DM22" s="255">
        <v>0</v>
      </c>
      <c r="DN22" s="255">
        <v>0</v>
      </c>
      <c r="DO22" s="255">
        <v>0</v>
      </c>
      <c r="DP22" s="255">
        <v>0</v>
      </c>
      <c r="DQ22" s="255">
        <v>0</v>
      </c>
      <c r="DR22" s="255">
        <v>0</v>
      </c>
      <c r="DS22" s="255">
        <v>0</v>
      </c>
      <c r="DT22" s="255">
        <v>0</v>
      </c>
      <c r="DU22" s="255">
        <v>0</v>
      </c>
      <c r="DV22" s="255">
        <v>0</v>
      </c>
      <c r="DW22" s="255">
        <v>0</v>
      </c>
      <c r="DX22" s="255">
        <v>0</v>
      </c>
      <c r="DY22" s="255">
        <v>0</v>
      </c>
      <c r="DZ22" s="255">
        <v>0</v>
      </c>
      <c r="EA22" s="255">
        <v>0</v>
      </c>
      <c r="EB22" s="255">
        <v>0</v>
      </c>
      <c r="EC22" s="255">
        <v>0</v>
      </c>
      <c r="ED22" s="255">
        <v>0</v>
      </c>
      <c r="EE22" s="255">
        <v>0</v>
      </c>
      <c r="EF22" s="255">
        <v>0</v>
      </c>
      <c r="EG22" s="255">
        <v>0</v>
      </c>
      <c r="EH22" s="255">
        <v>0</v>
      </c>
      <c r="EI22" s="255">
        <v>0</v>
      </c>
      <c r="EJ22" s="255">
        <v>0</v>
      </c>
      <c r="EK22" s="255">
        <v>0</v>
      </c>
      <c r="EL22" s="255">
        <v>0</v>
      </c>
      <c r="EM22" s="255">
        <v>0</v>
      </c>
      <c r="EN22" s="255">
        <v>0</v>
      </c>
      <c r="EO22" s="255">
        <v>0</v>
      </c>
      <c r="EP22" s="255">
        <v>0</v>
      </c>
      <c r="EQ22" s="255">
        <v>0</v>
      </c>
      <c r="ER22" s="255">
        <v>0</v>
      </c>
      <c r="ES22" s="255">
        <v>0</v>
      </c>
      <c r="ET22" s="255">
        <v>0</v>
      </c>
      <c r="EU22" s="255">
        <v>0</v>
      </c>
      <c r="EV22" s="255">
        <v>0</v>
      </c>
      <c r="EW22" s="255">
        <v>0</v>
      </c>
      <c r="EX22" s="255">
        <v>0</v>
      </c>
      <c r="EY22" s="255">
        <v>0</v>
      </c>
      <c r="EZ22" s="255">
        <v>0</v>
      </c>
      <c r="FA22" s="255">
        <v>0</v>
      </c>
      <c r="FB22" s="255">
        <v>0</v>
      </c>
      <c r="FC22" s="255">
        <v>0</v>
      </c>
      <c r="FD22" s="255">
        <v>0</v>
      </c>
      <c r="FE22" s="255">
        <v>0</v>
      </c>
      <c r="FF22" s="255">
        <v>0</v>
      </c>
      <c r="FG22" s="255">
        <v>0</v>
      </c>
      <c r="FH22" s="255">
        <v>0</v>
      </c>
      <c r="FI22" s="255">
        <v>0</v>
      </c>
      <c r="FJ22" s="255">
        <v>0</v>
      </c>
      <c r="FK22" s="255">
        <v>0</v>
      </c>
      <c r="FL22" s="255">
        <v>0</v>
      </c>
      <c r="FM22" s="255">
        <v>0</v>
      </c>
      <c r="FN22" s="255">
        <v>0</v>
      </c>
      <c r="FO22" s="255">
        <v>0</v>
      </c>
      <c r="FP22" s="255">
        <v>0</v>
      </c>
      <c r="FQ22" s="255">
        <v>0</v>
      </c>
      <c r="FR22" s="255">
        <v>0</v>
      </c>
      <c r="FS22" s="255">
        <v>0</v>
      </c>
      <c r="FT22" s="255">
        <v>0</v>
      </c>
      <c r="FU22" s="255">
        <v>0</v>
      </c>
      <c r="FV22" s="255">
        <v>0</v>
      </c>
      <c r="FW22" s="255">
        <v>0</v>
      </c>
      <c r="FX22" s="116"/>
    </row>
    <row r="23" spans="2:180" x14ac:dyDescent="0.2">
      <c r="B23" s="253" t="s">
        <v>205</v>
      </c>
      <c r="C23" s="253" t="s">
        <v>271</v>
      </c>
      <c r="D23" s="253" t="s">
        <v>258</v>
      </c>
      <c r="E23" s="253" t="s">
        <v>127</v>
      </c>
      <c r="F23" s="253" t="s">
        <v>263</v>
      </c>
      <c r="G23" s="253" t="s">
        <v>260</v>
      </c>
      <c r="H23" s="237">
        <v>202.73</v>
      </c>
      <c r="I23" s="126">
        <f t="shared" si="85"/>
        <v>17972.699999999997</v>
      </c>
      <c r="J23" s="116"/>
      <c r="K23" s="254">
        <v>0</v>
      </c>
      <c r="L23" s="254">
        <v>0</v>
      </c>
      <c r="M23" s="254">
        <v>0</v>
      </c>
      <c r="N23" s="254">
        <v>0</v>
      </c>
      <c r="O23" s="254">
        <v>0</v>
      </c>
      <c r="P23" s="254">
        <v>0</v>
      </c>
      <c r="Q23" s="254">
        <v>0</v>
      </c>
      <c r="R23" s="254">
        <v>0</v>
      </c>
      <c r="S23" s="254">
        <v>0</v>
      </c>
      <c r="T23" s="254">
        <v>0</v>
      </c>
      <c r="U23" s="254">
        <v>0</v>
      </c>
      <c r="V23" s="254">
        <v>0</v>
      </c>
      <c r="W23" s="254">
        <v>0</v>
      </c>
      <c r="X23" s="254">
        <v>0.21428571428571427</v>
      </c>
      <c r="Y23" s="254">
        <v>0.21428571428571427</v>
      </c>
      <c r="Z23" s="254">
        <v>0.2857142857142857</v>
      </c>
      <c r="AA23" s="254">
        <v>0</v>
      </c>
      <c r="AB23" s="254">
        <v>0</v>
      </c>
      <c r="AC23" s="254">
        <v>0</v>
      </c>
      <c r="AD23" s="254">
        <v>0</v>
      </c>
      <c r="AE23" s="254">
        <v>0</v>
      </c>
      <c r="AF23" s="254">
        <v>0</v>
      </c>
      <c r="AG23" s="254">
        <v>0</v>
      </c>
      <c r="AH23" s="254">
        <v>0</v>
      </c>
      <c r="AI23" s="254">
        <v>0</v>
      </c>
      <c r="AJ23" s="254">
        <v>0</v>
      </c>
      <c r="AK23" s="254">
        <v>0</v>
      </c>
      <c r="AL23" s="254">
        <v>0</v>
      </c>
      <c r="AM23" s="254">
        <v>0</v>
      </c>
      <c r="AN23" s="254">
        <v>0</v>
      </c>
      <c r="AO23" s="254">
        <v>0</v>
      </c>
      <c r="AP23" s="254">
        <v>0</v>
      </c>
      <c r="AQ23" s="254">
        <v>0</v>
      </c>
      <c r="AR23" s="254">
        <v>0</v>
      </c>
      <c r="AS23" s="254">
        <v>0</v>
      </c>
      <c r="AT23" s="254">
        <v>0</v>
      </c>
      <c r="AU23" s="254">
        <v>0</v>
      </c>
      <c r="AV23" s="254">
        <v>0</v>
      </c>
      <c r="AW23" s="254">
        <v>0</v>
      </c>
      <c r="AX23" s="254">
        <v>0</v>
      </c>
      <c r="AY23" s="254">
        <v>0</v>
      </c>
      <c r="AZ23" s="254">
        <v>0</v>
      </c>
      <c r="BA23" s="254">
        <v>0</v>
      </c>
      <c r="BB23" s="254">
        <v>0</v>
      </c>
      <c r="BC23" s="254">
        <v>0</v>
      </c>
      <c r="BD23" s="254">
        <v>0</v>
      </c>
      <c r="BE23" s="254">
        <v>0</v>
      </c>
      <c r="BF23" s="254">
        <v>0</v>
      </c>
      <c r="BG23" s="254">
        <v>0</v>
      </c>
      <c r="BH23" s="254">
        <v>0</v>
      </c>
      <c r="BI23" s="254">
        <v>0</v>
      </c>
      <c r="BJ23" s="254">
        <v>0</v>
      </c>
      <c r="BK23" s="254">
        <v>0</v>
      </c>
      <c r="BL23" s="254">
        <v>0</v>
      </c>
      <c r="BM23" s="254">
        <v>0</v>
      </c>
      <c r="BN23" s="254">
        <v>0</v>
      </c>
      <c r="BO23" s="254">
        <v>0</v>
      </c>
      <c r="BP23" s="254">
        <v>0</v>
      </c>
      <c r="BQ23" s="254">
        <v>0</v>
      </c>
      <c r="BR23" s="254">
        <v>0</v>
      </c>
      <c r="BS23" s="254">
        <v>0</v>
      </c>
      <c r="BT23" s="254">
        <v>0</v>
      </c>
      <c r="BU23" s="254">
        <v>0</v>
      </c>
      <c r="BV23" s="254">
        <v>0</v>
      </c>
      <c r="BW23" s="254">
        <v>0</v>
      </c>
      <c r="BX23" s="254">
        <v>0</v>
      </c>
      <c r="BY23" s="254">
        <v>0</v>
      </c>
      <c r="BZ23" s="254">
        <v>0</v>
      </c>
      <c r="CA23" s="254">
        <v>0</v>
      </c>
      <c r="CB23" s="254">
        <v>0</v>
      </c>
      <c r="CC23" s="254">
        <v>0</v>
      </c>
      <c r="CD23" s="254">
        <v>0</v>
      </c>
      <c r="CE23" s="254">
        <v>0</v>
      </c>
      <c r="CF23" s="254">
        <v>0</v>
      </c>
      <c r="CG23" s="254">
        <v>0</v>
      </c>
      <c r="CH23" s="254">
        <v>0</v>
      </c>
      <c r="CI23" s="254">
        <v>0</v>
      </c>
      <c r="CJ23" s="254">
        <v>0</v>
      </c>
      <c r="CK23" s="254">
        <v>0</v>
      </c>
      <c r="CL23" s="254">
        <v>0</v>
      </c>
      <c r="CM23" s="254">
        <v>0</v>
      </c>
      <c r="CN23" s="254">
        <v>0</v>
      </c>
      <c r="CO23" s="254">
        <v>0</v>
      </c>
      <c r="CP23" s="254">
        <v>0</v>
      </c>
      <c r="CQ23" s="116"/>
      <c r="CR23" s="255">
        <v>0</v>
      </c>
      <c r="CS23" s="255">
        <v>0</v>
      </c>
      <c r="CT23" s="255">
        <v>0</v>
      </c>
      <c r="CU23" s="255">
        <v>0</v>
      </c>
      <c r="CV23" s="255">
        <v>0</v>
      </c>
      <c r="CW23" s="255">
        <v>0</v>
      </c>
      <c r="CX23" s="255">
        <v>0</v>
      </c>
      <c r="CY23" s="255">
        <v>0</v>
      </c>
      <c r="CZ23" s="255">
        <v>0</v>
      </c>
      <c r="DA23" s="255">
        <v>0</v>
      </c>
      <c r="DB23" s="255">
        <v>0</v>
      </c>
      <c r="DC23" s="255">
        <v>0</v>
      </c>
      <c r="DD23" s="255">
        <v>0</v>
      </c>
      <c r="DE23" s="255">
        <v>5808.9</v>
      </c>
      <c r="DF23" s="255">
        <v>6081.9</v>
      </c>
      <c r="DG23" s="255">
        <v>6081.9</v>
      </c>
      <c r="DH23" s="255">
        <v>0</v>
      </c>
      <c r="DI23" s="255">
        <v>0</v>
      </c>
      <c r="DJ23" s="255">
        <v>0</v>
      </c>
      <c r="DK23" s="255">
        <v>0</v>
      </c>
      <c r="DL23" s="255">
        <v>0</v>
      </c>
      <c r="DM23" s="255">
        <v>0</v>
      </c>
      <c r="DN23" s="255">
        <v>0</v>
      </c>
      <c r="DO23" s="255">
        <v>0</v>
      </c>
      <c r="DP23" s="255">
        <v>0</v>
      </c>
      <c r="DQ23" s="255">
        <v>0</v>
      </c>
      <c r="DR23" s="255">
        <v>0</v>
      </c>
      <c r="DS23" s="255">
        <v>0</v>
      </c>
      <c r="DT23" s="255">
        <v>0</v>
      </c>
      <c r="DU23" s="255">
        <v>0</v>
      </c>
      <c r="DV23" s="255">
        <v>0</v>
      </c>
      <c r="DW23" s="255">
        <v>0</v>
      </c>
      <c r="DX23" s="255">
        <v>0</v>
      </c>
      <c r="DY23" s="255">
        <v>0</v>
      </c>
      <c r="DZ23" s="255">
        <v>0</v>
      </c>
      <c r="EA23" s="255">
        <v>0</v>
      </c>
      <c r="EB23" s="255">
        <v>0</v>
      </c>
      <c r="EC23" s="255">
        <v>0</v>
      </c>
      <c r="ED23" s="255">
        <v>0</v>
      </c>
      <c r="EE23" s="255">
        <v>0</v>
      </c>
      <c r="EF23" s="255">
        <v>0</v>
      </c>
      <c r="EG23" s="255">
        <v>0</v>
      </c>
      <c r="EH23" s="255">
        <v>0</v>
      </c>
      <c r="EI23" s="255">
        <v>0</v>
      </c>
      <c r="EJ23" s="255">
        <v>0</v>
      </c>
      <c r="EK23" s="255">
        <v>0</v>
      </c>
      <c r="EL23" s="255">
        <v>0</v>
      </c>
      <c r="EM23" s="255">
        <v>0</v>
      </c>
      <c r="EN23" s="255">
        <v>0</v>
      </c>
      <c r="EO23" s="255">
        <v>0</v>
      </c>
      <c r="EP23" s="255">
        <v>0</v>
      </c>
      <c r="EQ23" s="255">
        <v>0</v>
      </c>
      <c r="ER23" s="255">
        <v>0</v>
      </c>
      <c r="ES23" s="255">
        <v>0</v>
      </c>
      <c r="ET23" s="255">
        <v>0</v>
      </c>
      <c r="EU23" s="255">
        <v>0</v>
      </c>
      <c r="EV23" s="255">
        <v>0</v>
      </c>
      <c r="EW23" s="255">
        <v>0</v>
      </c>
      <c r="EX23" s="255">
        <v>0</v>
      </c>
      <c r="EY23" s="255">
        <v>0</v>
      </c>
      <c r="EZ23" s="255">
        <v>0</v>
      </c>
      <c r="FA23" s="255">
        <v>0</v>
      </c>
      <c r="FB23" s="255">
        <v>0</v>
      </c>
      <c r="FC23" s="255">
        <v>0</v>
      </c>
      <c r="FD23" s="255">
        <v>0</v>
      </c>
      <c r="FE23" s="255">
        <v>0</v>
      </c>
      <c r="FF23" s="255">
        <v>0</v>
      </c>
      <c r="FG23" s="255">
        <v>0</v>
      </c>
      <c r="FH23" s="255">
        <v>0</v>
      </c>
      <c r="FI23" s="255">
        <v>0</v>
      </c>
      <c r="FJ23" s="255">
        <v>0</v>
      </c>
      <c r="FK23" s="255">
        <v>0</v>
      </c>
      <c r="FL23" s="255">
        <v>0</v>
      </c>
      <c r="FM23" s="255">
        <v>0</v>
      </c>
      <c r="FN23" s="255">
        <v>0</v>
      </c>
      <c r="FO23" s="255">
        <v>0</v>
      </c>
      <c r="FP23" s="255">
        <v>0</v>
      </c>
      <c r="FQ23" s="255">
        <v>0</v>
      </c>
      <c r="FR23" s="255">
        <v>0</v>
      </c>
      <c r="FS23" s="255">
        <v>0</v>
      </c>
      <c r="FT23" s="255">
        <v>0</v>
      </c>
      <c r="FU23" s="255">
        <v>0</v>
      </c>
      <c r="FV23" s="255">
        <v>0</v>
      </c>
      <c r="FW23" s="255">
        <v>0</v>
      </c>
      <c r="FX23" s="116"/>
    </row>
    <row r="24" spans="2:180" x14ac:dyDescent="0.2">
      <c r="B24" s="253" t="s">
        <v>205</v>
      </c>
      <c r="C24" s="253" t="s">
        <v>269</v>
      </c>
      <c r="D24" s="253" t="s">
        <v>258</v>
      </c>
      <c r="E24" s="253" t="s">
        <v>127</v>
      </c>
      <c r="F24" s="253" t="s">
        <v>259</v>
      </c>
      <c r="G24" s="253" t="s">
        <v>260</v>
      </c>
      <c r="H24" s="237">
        <v>225.37</v>
      </c>
      <c r="I24" s="126">
        <f t="shared" si="85"/>
        <v>96271.35000000002</v>
      </c>
      <c r="J24" s="116"/>
      <c r="K24" s="254">
        <v>0</v>
      </c>
      <c r="L24" s="254">
        <v>0</v>
      </c>
      <c r="M24" s="254">
        <v>0</v>
      </c>
      <c r="N24" s="254">
        <v>0</v>
      </c>
      <c r="O24" s="254">
        <v>0</v>
      </c>
      <c r="P24" s="254">
        <v>0</v>
      </c>
      <c r="Q24" s="254">
        <v>0</v>
      </c>
      <c r="R24" s="254">
        <v>0</v>
      </c>
      <c r="S24" s="254">
        <v>0</v>
      </c>
      <c r="T24" s="254">
        <v>0</v>
      </c>
      <c r="U24" s="254">
        <v>0</v>
      </c>
      <c r="V24" s="254">
        <v>0.37047619047619074</v>
      </c>
      <c r="W24" s="254">
        <v>1.1855238095238094</v>
      </c>
      <c r="X24" s="254">
        <v>1</v>
      </c>
      <c r="Y24" s="254">
        <v>1</v>
      </c>
      <c r="Z24" s="254">
        <v>0</v>
      </c>
      <c r="AA24" s="254">
        <v>0</v>
      </c>
      <c r="AB24" s="254">
        <v>0</v>
      </c>
      <c r="AC24" s="254">
        <v>0</v>
      </c>
      <c r="AD24" s="254">
        <v>0</v>
      </c>
      <c r="AE24" s="254">
        <v>0</v>
      </c>
      <c r="AF24" s="254">
        <v>0</v>
      </c>
      <c r="AG24" s="254">
        <v>0</v>
      </c>
      <c r="AH24" s="254">
        <v>0</v>
      </c>
      <c r="AI24" s="254">
        <v>0</v>
      </c>
      <c r="AJ24" s="254">
        <v>0</v>
      </c>
      <c r="AK24" s="254">
        <v>0</v>
      </c>
      <c r="AL24" s="254">
        <v>0</v>
      </c>
      <c r="AM24" s="254">
        <v>0</v>
      </c>
      <c r="AN24" s="254">
        <v>0</v>
      </c>
      <c r="AO24" s="254">
        <v>0</v>
      </c>
      <c r="AP24" s="254">
        <v>0</v>
      </c>
      <c r="AQ24" s="254">
        <v>0</v>
      </c>
      <c r="AR24" s="254">
        <v>0</v>
      </c>
      <c r="AS24" s="254">
        <v>0</v>
      </c>
      <c r="AT24" s="254">
        <v>0</v>
      </c>
      <c r="AU24" s="254">
        <v>0</v>
      </c>
      <c r="AV24" s="254">
        <v>0</v>
      </c>
      <c r="AW24" s="254">
        <v>0</v>
      </c>
      <c r="AX24" s="254">
        <v>0</v>
      </c>
      <c r="AY24" s="254">
        <v>0</v>
      </c>
      <c r="AZ24" s="254">
        <v>0</v>
      </c>
      <c r="BA24" s="254">
        <v>0</v>
      </c>
      <c r="BB24" s="254">
        <v>0</v>
      </c>
      <c r="BC24" s="254">
        <v>0</v>
      </c>
      <c r="BD24" s="254">
        <v>0</v>
      </c>
      <c r="BE24" s="254">
        <v>0</v>
      </c>
      <c r="BF24" s="254">
        <v>0</v>
      </c>
      <c r="BG24" s="254">
        <v>0</v>
      </c>
      <c r="BH24" s="254">
        <v>0</v>
      </c>
      <c r="BI24" s="254">
        <v>0</v>
      </c>
      <c r="BJ24" s="254">
        <v>0</v>
      </c>
      <c r="BK24" s="254">
        <v>0</v>
      </c>
      <c r="BL24" s="254">
        <v>0</v>
      </c>
      <c r="BM24" s="254">
        <v>0</v>
      </c>
      <c r="BN24" s="254">
        <v>0</v>
      </c>
      <c r="BO24" s="254">
        <v>0</v>
      </c>
      <c r="BP24" s="254">
        <v>0</v>
      </c>
      <c r="BQ24" s="254">
        <v>0</v>
      </c>
      <c r="BR24" s="254">
        <v>0</v>
      </c>
      <c r="BS24" s="254">
        <v>0</v>
      </c>
      <c r="BT24" s="254">
        <v>0</v>
      </c>
      <c r="BU24" s="254">
        <v>0</v>
      </c>
      <c r="BV24" s="254">
        <v>0</v>
      </c>
      <c r="BW24" s="254">
        <v>0</v>
      </c>
      <c r="BX24" s="254">
        <v>0</v>
      </c>
      <c r="BY24" s="254">
        <v>0</v>
      </c>
      <c r="BZ24" s="254">
        <v>0</v>
      </c>
      <c r="CA24" s="254">
        <v>0</v>
      </c>
      <c r="CB24" s="254">
        <v>0</v>
      </c>
      <c r="CC24" s="254">
        <v>0</v>
      </c>
      <c r="CD24" s="254">
        <v>0</v>
      </c>
      <c r="CE24" s="254">
        <v>0</v>
      </c>
      <c r="CF24" s="254">
        <v>0</v>
      </c>
      <c r="CG24" s="254">
        <v>0</v>
      </c>
      <c r="CH24" s="254">
        <v>0</v>
      </c>
      <c r="CI24" s="254">
        <v>0</v>
      </c>
      <c r="CJ24" s="254">
        <v>0</v>
      </c>
      <c r="CK24" s="254">
        <v>0</v>
      </c>
      <c r="CL24" s="254">
        <v>0</v>
      </c>
      <c r="CM24" s="254">
        <v>0</v>
      </c>
      <c r="CN24" s="254">
        <v>0</v>
      </c>
      <c r="CO24" s="254">
        <v>0</v>
      </c>
      <c r="CP24" s="254">
        <v>0</v>
      </c>
      <c r="CQ24" s="116"/>
      <c r="CR24" s="255">
        <v>0</v>
      </c>
      <c r="CS24" s="255">
        <v>0</v>
      </c>
      <c r="CT24" s="255">
        <v>0</v>
      </c>
      <c r="CU24" s="255">
        <v>0</v>
      </c>
      <c r="CV24" s="255">
        <v>0</v>
      </c>
      <c r="CW24" s="255">
        <v>0</v>
      </c>
      <c r="CX24" s="255">
        <v>0</v>
      </c>
      <c r="CY24" s="255">
        <v>0</v>
      </c>
      <c r="CZ24" s="255">
        <v>0</v>
      </c>
      <c r="DA24" s="255">
        <v>0</v>
      </c>
      <c r="DB24" s="255">
        <v>0</v>
      </c>
      <c r="DC24" s="255">
        <v>8329.75</v>
      </c>
      <c r="DD24" s="255">
        <v>26655.200000000019</v>
      </c>
      <c r="DE24" s="255">
        <v>30643.200000000001</v>
      </c>
      <c r="DF24" s="255">
        <v>30643.200000000001</v>
      </c>
      <c r="DG24" s="255">
        <v>0</v>
      </c>
      <c r="DH24" s="255">
        <v>0</v>
      </c>
      <c r="DI24" s="255">
        <v>0</v>
      </c>
      <c r="DJ24" s="255">
        <v>0</v>
      </c>
      <c r="DK24" s="255">
        <v>0</v>
      </c>
      <c r="DL24" s="255">
        <v>0</v>
      </c>
      <c r="DM24" s="255">
        <v>0</v>
      </c>
      <c r="DN24" s="255">
        <v>0</v>
      </c>
      <c r="DO24" s="255">
        <v>0</v>
      </c>
      <c r="DP24" s="255">
        <v>0</v>
      </c>
      <c r="DQ24" s="255">
        <v>0</v>
      </c>
      <c r="DR24" s="255">
        <v>0</v>
      </c>
      <c r="DS24" s="255">
        <v>0</v>
      </c>
      <c r="DT24" s="255">
        <v>0</v>
      </c>
      <c r="DU24" s="255">
        <v>0</v>
      </c>
      <c r="DV24" s="255">
        <v>0</v>
      </c>
      <c r="DW24" s="255">
        <v>0</v>
      </c>
      <c r="DX24" s="255">
        <v>0</v>
      </c>
      <c r="DY24" s="255">
        <v>0</v>
      </c>
      <c r="DZ24" s="255">
        <v>0</v>
      </c>
      <c r="EA24" s="255">
        <v>0</v>
      </c>
      <c r="EB24" s="255">
        <v>0</v>
      </c>
      <c r="EC24" s="255">
        <v>0</v>
      </c>
      <c r="ED24" s="255">
        <v>0</v>
      </c>
      <c r="EE24" s="255">
        <v>0</v>
      </c>
      <c r="EF24" s="255">
        <v>0</v>
      </c>
      <c r="EG24" s="255">
        <v>0</v>
      </c>
      <c r="EH24" s="255">
        <v>0</v>
      </c>
      <c r="EI24" s="255">
        <v>0</v>
      </c>
      <c r="EJ24" s="255">
        <v>0</v>
      </c>
      <c r="EK24" s="255">
        <v>0</v>
      </c>
      <c r="EL24" s="255">
        <v>0</v>
      </c>
      <c r="EM24" s="255">
        <v>0</v>
      </c>
      <c r="EN24" s="255">
        <v>0</v>
      </c>
      <c r="EO24" s="255">
        <v>0</v>
      </c>
      <c r="EP24" s="255">
        <v>0</v>
      </c>
      <c r="EQ24" s="255">
        <v>0</v>
      </c>
      <c r="ER24" s="255">
        <v>0</v>
      </c>
      <c r="ES24" s="255">
        <v>0</v>
      </c>
      <c r="ET24" s="255">
        <v>0</v>
      </c>
      <c r="EU24" s="255">
        <v>0</v>
      </c>
      <c r="EV24" s="255">
        <v>0</v>
      </c>
      <c r="EW24" s="255">
        <v>0</v>
      </c>
      <c r="EX24" s="255">
        <v>0</v>
      </c>
      <c r="EY24" s="255">
        <v>0</v>
      </c>
      <c r="EZ24" s="255">
        <v>0</v>
      </c>
      <c r="FA24" s="255">
        <v>0</v>
      </c>
      <c r="FB24" s="255">
        <v>0</v>
      </c>
      <c r="FC24" s="255">
        <v>0</v>
      </c>
      <c r="FD24" s="255">
        <v>0</v>
      </c>
      <c r="FE24" s="255">
        <v>0</v>
      </c>
      <c r="FF24" s="255">
        <v>0</v>
      </c>
      <c r="FG24" s="255">
        <v>0</v>
      </c>
      <c r="FH24" s="255">
        <v>0</v>
      </c>
      <c r="FI24" s="255">
        <v>0</v>
      </c>
      <c r="FJ24" s="255">
        <v>0</v>
      </c>
      <c r="FK24" s="255">
        <v>0</v>
      </c>
      <c r="FL24" s="255">
        <v>0</v>
      </c>
      <c r="FM24" s="255">
        <v>0</v>
      </c>
      <c r="FN24" s="255">
        <v>0</v>
      </c>
      <c r="FO24" s="255">
        <v>0</v>
      </c>
      <c r="FP24" s="255">
        <v>0</v>
      </c>
      <c r="FQ24" s="255">
        <v>0</v>
      </c>
      <c r="FR24" s="255">
        <v>0</v>
      </c>
      <c r="FS24" s="255">
        <v>0</v>
      </c>
      <c r="FT24" s="255">
        <v>0</v>
      </c>
      <c r="FU24" s="255">
        <v>0</v>
      </c>
      <c r="FV24" s="255">
        <v>0</v>
      </c>
      <c r="FW24" s="255">
        <v>0</v>
      </c>
      <c r="FX24" s="116"/>
    </row>
    <row r="25" spans="2:180" x14ac:dyDescent="0.2">
      <c r="B25" s="253" t="s">
        <v>235</v>
      </c>
      <c r="C25" s="253" t="s">
        <v>272</v>
      </c>
      <c r="D25" s="253" t="s">
        <v>258</v>
      </c>
      <c r="E25" s="253" t="s">
        <v>127</v>
      </c>
      <c r="F25" s="253" t="s">
        <v>259</v>
      </c>
      <c r="G25" s="253" t="s">
        <v>260</v>
      </c>
      <c r="H25" s="237">
        <v>254.01</v>
      </c>
      <c r="I25" s="126">
        <f t="shared" si="85"/>
        <v>120848.40000000004</v>
      </c>
      <c r="J25" s="116"/>
      <c r="K25" s="254">
        <v>0</v>
      </c>
      <c r="L25" s="254">
        <v>0</v>
      </c>
      <c r="M25" s="254">
        <v>0</v>
      </c>
      <c r="N25" s="254">
        <v>0</v>
      </c>
      <c r="O25" s="254">
        <v>0</v>
      </c>
      <c r="P25" s="254">
        <v>0</v>
      </c>
      <c r="Q25" s="254">
        <v>0</v>
      </c>
      <c r="R25" s="254">
        <v>0</v>
      </c>
      <c r="S25" s="254">
        <v>0</v>
      </c>
      <c r="T25" s="254">
        <v>0</v>
      </c>
      <c r="U25" s="254">
        <v>0</v>
      </c>
      <c r="V25" s="254">
        <v>0.6</v>
      </c>
      <c r="W25" s="254">
        <v>1.4</v>
      </c>
      <c r="X25" s="254">
        <v>1</v>
      </c>
      <c r="Y25" s="254">
        <v>1</v>
      </c>
      <c r="Z25" s="254">
        <v>0</v>
      </c>
      <c r="AA25" s="254">
        <v>0</v>
      </c>
      <c r="AB25" s="254">
        <v>0</v>
      </c>
      <c r="AC25" s="254">
        <v>0</v>
      </c>
      <c r="AD25" s="254">
        <v>0</v>
      </c>
      <c r="AE25" s="254">
        <v>0</v>
      </c>
      <c r="AF25" s="254">
        <v>0</v>
      </c>
      <c r="AG25" s="254">
        <v>0</v>
      </c>
      <c r="AH25" s="254">
        <v>0</v>
      </c>
      <c r="AI25" s="254">
        <v>0</v>
      </c>
      <c r="AJ25" s="254">
        <v>0</v>
      </c>
      <c r="AK25" s="254">
        <v>0</v>
      </c>
      <c r="AL25" s="254">
        <v>0</v>
      </c>
      <c r="AM25" s="254">
        <v>0</v>
      </c>
      <c r="AN25" s="254">
        <v>0</v>
      </c>
      <c r="AO25" s="254">
        <v>0</v>
      </c>
      <c r="AP25" s="254">
        <v>0</v>
      </c>
      <c r="AQ25" s="254">
        <v>0</v>
      </c>
      <c r="AR25" s="254">
        <v>0</v>
      </c>
      <c r="AS25" s="254">
        <v>0</v>
      </c>
      <c r="AT25" s="254">
        <v>0</v>
      </c>
      <c r="AU25" s="254">
        <v>0</v>
      </c>
      <c r="AV25" s="254">
        <v>0</v>
      </c>
      <c r="AW25" s="254">
        <v>0</v>
      </c>
      <c r="AX25" s="254">
        <v>0</v>
      </c>
      <c r="AY25" s="254">
        <v>0</v>
      </c>
      <c r="AZ25" s="254">
        <v>0</v>
      </c>
      <c r="BA25" s="254">
        <v>0</v>
      </c>
      <c r="BB25" s="254">
        <v>0</v>
      </c>
      <c r="BC25" s="254">
        <v>0</v>
      </c>
      <c r="BD25" s="254">
        <v>0</v>
      </c>
      <c r="BE25" s="254">
        <v>0</v>
      </c>
      <c r="BF25" s="254">
        <v>0</v>
      </c>
      <c r="BG25" s="254">
        <v>0</v>
      </c>
      <c r="BH25" s="254">
        <v>0</v>
      </c>
      <c r="BI25" s="254">
        <v>0</v>
      </c>
      <c r="BJ25" s="254">
        <v>0</v>
      </c>
      <c r="BK25" s="254">
        <v>0</v>
      </c>
      <c r="BL25" s="254">
        <v>0</v>
      </c>
      <c r="BM25" s="254">
        <v>0</v>
      </c>
      <c r="BN25" s="254">
        <v>0</v>
      </c>
      <c r="BO25" s="254">
        <v>0</v>
      </c>
      <c r="BP25" s="254">
        <v>0</v>
      </c>
      <c r="BQ25" s="254">
        <v>0</v>
      </c>
      <c r="BR25" s="254">
        <v>0</v>
      </c>
      <c r="BS25" s="254">
        <v>0</v>
      </c>
      <c r="BT25" s="254">
        <v>0</v>
      </c>
      <c r="BU25" s="254">
        <v>0</v>
      </c>
      <c r="BV25" s="254">
        <v>0</v>
      </c>
      <c r="BW25" s="254">
        <v>0</v>
      </c>
      <c r="BX25" s="254">
        <v>0</v>
      </c>
      <c r="BY25" s="254">
        <v>0</v>
      </c>
      <c r="BZ25" s="254">
        <v>0</v>
      </c>
      <c r="CA25" s="254">
        <v>0</v>
      </c>
      <c r="CB25" s="254">
        <v>0</v>
      </c>
      <c r="CC25" s="254">
        <v>0</v>
      </c>
      <c r="CD25" s="254">
        <v>0</v>
      </c>
      <c r="CE25" s="254">
        <v>0</v>
      </c>
      <c r="CF25" s="254">
        <v>0</v>
      </c>
      <c r="CG25" s="254">
        <v>0</v>
      </c>
      <c r="CH25" s="254">
        <v>0</v>
      </c>
      <c r="CI25" s="254">
        <v>0</v>
      </c>
      <c r="CJ25" s="254">
        <v>0</v>
      </c>
      <c r="CK25" s="254">
        <v>0</v>
      </c>
      <c r="CL25" s="254">
        <v>0</v>
      </c>
      <c r="CM25" s="254">
        <v>0</v>
      </c>
      <c r="CN25" s="254">
        <v>0</v>
      </c>
      <c r="CO25" s="254">
        <v>0</v>
      </c>
      <c r="CP25" s="254">
        <v>0</v>
      </c>
      <c r="CQ25" s="116"/>
      <c r="CR25" s="255">
        <v>0</v>
      </c>
      <c r="CS25" s="255">
        <v>0</v>
      </c>
      <c r="CT25" s="255">
        <v>0</v>
      </c>
      <c r="CU25" s="255">
        <v>0</v>
      </c>
      <c r="CV25" s="255">
        <v>0</v>
      </c>
      <c r="CW25" s="255">
        <v>0</v>
      </c>
      <c r="CX25" s="255">
        <v>0</v>
      </c>
      <c r="CY25" s="255">
        <v>0</v>
      </c>
      <c r="CZ25" s="255">
        <v>0</v>
      </c>
      <c r="DA25" s="255">
        <v>0</v>
      </c>
      <c r="DB25" s="255">
        <v>0</v>
      </c>
      <c r="DC25" s="255">
        <v>15537.599999999999</v>
      </c>
      <c r="DD25" s="255">
        <v>36254.400000000052</v>
      </c>
      <c r="DE25" s="255">
        <v>34528.199999999997</v>
      </c>
      <c r="DF25" s="255">
        <v>34528.199999999997</v>
      </c>
      <c r="DG25" s="255">
        <v>0</v>
      </c>
      <c r="DH25" s="255">
        <v>0</v>
      </c>
      <c r="DI25" s="255">
        <v>0</v>
      </c>
      <c r="DJ25" s="255">
        <v>0</v>
      </c>
      <c r="DK25" s="255">
        <v>0</v>
      </c>
      <c r="DL25" s="255">
        <v>0</v>
      </c>
      <c r="DM25" s="255">
        <v>0</v>
      </c>
      <c r="DN25" s="255">
        <v>0</v>
      </c>
      <c r="DO25" s="255">
        <v>0</v>
      </c>
      <c r="DP25" s="255">
        <v>0</v>
      </c>
      <c r="DQ25" s="255">
        <v>0</v>
      </c>
      <c r="DR25" s="255">
        <v>0</v>
      </c>
      <c r="DS25" s="255">
        <v>0</v>
      </c>
      <c r="DT25" s="255">
        <v>0</v>
      </c>
      <c r="DU25" s="255">
        <v>0</v>
      </c>
      <c r="DV25" s="255">
        <v>0</v>
      </c>
      <c r="DW25" s="255">
        <v>0</v>
      </c>
      <c r="DX25" s="255">
        <v>0</v>
      </c>
      <c r="DY25" s="255">
        <v>0</v>
      </c>
      <c r="DZ25" s="255">
        <v>0</v>
      </c>
      <c r="EA25" s="255">
        <v>0</v>
      </c>
      <c r="EB25" s="255">
        <v>0</v>
      </c>
      <c r="EC25" s="255">
        <v>0</v>
      </c>
      <c r="ED25" s="255">
        <v>0</v>
      </c>
      <c r="EE25" s="255">
        <v>0</v>
      </c>
      <c r="EF25" s="255">
        <v>0</v>
      </c>
      <c r="EG25" s="255">
        <v>0</v>
      </c>
      <c r="EH25" s="255">
        <v>0</v>
      </c>
      <c r="EI25" s="255">
        <v>0</v>
      </c>
      <c r="EJ25" s="255">
        <v>0</v>
      </c>
      <c r="EK25" s="255">
        <v>0</v>
      </c>
      <c r="EL25" s="255">
        <v>0</v>
      </c>
      <c r="EM25" s="255">
        <v>0</v>
      </c>
      <c r="EN25" s="255">
        <v>0</v>
      </c>
      <c r="EO25" s="255">
        <v>0</v>
      </c>
      <c r="EP25" s="255">
        <v>0</v>
      </c>
      <c r="EQ25" s="255">
        <v>0</v>
      </c>
      <c r="ER25" s="255">
        <v>0</v>
      </c>
      <c r="ES25" s="255">
        <v>0</v>
      </c>
      <c r="ET25" s="255">
        <v>0</v>
      </c>
      <c r="EU25" s="255">
        <v>0</v>
      </c>
      <c r="EV25" s="255">
        <v>0</v>
      </c>
      <c r="EW25" s="255">
        <v>0</v>
      </c>
      <c r="EX25" s="255">
        <v>0</v>
      </c>
      <c r="EY25" s="255">
        <v>0</v>
      </c>
      <c r="EZ25" s="255">
        <v>0</v>
      </c>
      <c r="FA25" s="255">
        <v>0</v>
      </c>
      <c r="FB25" s="255">
        <v>0</v>
      </c>
      <c r="FC25" s="255">
        <v>0</v>
      </c>
      <c r="FD25" s="255">
        <v>0</v>
      </c>
      <c r="FE25" s="255">
        <v>0</v>
      </c>
      <c r="FF25" s="255">
        <v>0</v>
      </c>
      <c r="FG25" s="255">
        <v>0</v>
      </c>
      <c r="FH25" s="255">
        <v>0</v>
      </c>
      <c r="FI25" s="255">
        <v>0</v>
      </c>
      <c r="FJ25" s="255">
        <v>0</v>
      </c>
      <c r="FK25" s="255">
        <v>0</v>
      </c>
      <c r="FL25" s="255">
        <v>0</v>
      </c>
      <c r="FM25" s="255">
        <v>0</v>
      </c>
      <c r="FN25" s="255">
        <v>0</v>
      </c>
      <c r="FO25" s="255">
        <v>0</v>
      </c>
      <c r="FP25" s="255">
        <v>0</v>
      </c>
      <c r="FQ25" s="255">
        <v>0</v>
      </c>
      <c r="FR25" s="255">
        <v>0</v>
      </c>
      <c r="FS25" s="255">
        <v>0</v>
      </c>
      <c r="FT25" s="255">
        <v>0</v>
      </c>
      <c r="FU25" s="255">
        <v>0</v>
      </c>
      <c r="FV25" s="255">
        <v>0</v>
      </c>
      <c r="FW25" s="255">
        <v>0</v>
      </c>
      <c r="FX25" s="116"/>
    </row>
    <row r="26" spans="2:180" x14ac:dyDescent="0.2">
      <c r="B26" s="253" t="s">
        <v>205</v>
      </c>
      <c r="C26" s="253" t="s">
        <v>273</v>
      </c>
      <c r="D26" s="253" t="s">
        <v>258</v>
      </c>
      <c r="E26" s="253" t="s">
        <v>127</v>
      </c>
      <c r="F26" s="253" t="s">
        <v>259</v>
      </c>
      <c r="G26" s="253" t="s">
        <v>260</v>
      </c>
      <c r="H26" s="237">
        <v>202.73</v>
      </c>
      <c r="I26" s="126">
        <f t="shared" si="85"/>
        <v>88632.080000000016</v>
      </c>
      <c r="J26" s="116"/>
      <c r="K26" s="254">
        <v>0</v>
      </c>
      <c r="L26" s="254">
        <v>0</v>
      </c>
      <c r="M26" s="254">
        <v>0</v>
      </c>
      <c r="N26" s="254">
        <v>0</v>
      </c>
      <c r="O26" s="254">
        <v>0</v>
      </c>
      <c r="P26" s="254">
        <v>0</v>
      </c>
      <c r="Q26" s="254">
        <v>0</v>
      </c>
      <c r="R26" s="254">
        <v>0</v>
      </c>
      <c r="S26" s="254">
        <v>0</v>
      </c>
      <c r="T26" s="254">
        <v>0</v>
      </c>
      <c r="U26" s="254">
        <v>0</v>
      </c>
      <c r="V26" s="254">
        <v>0.66685714285714326</v>
      </c>
      <c r="W26" s="254">
        <v>0.96323809523809478</v>
      </c>
      <c r="X26" s="254">
        <v>1</v>
      </c>
      <c r="Y26" s="254">
        <v>1</v>
      </c>
      <c r="Z26" s="254">
        <v>0</v>
      </c>
      <c r="AA26" s="254">
        <v>0</v>
      </c>
      <c r="AB26" s="254">
        <v>0</v>
      </c>
      <c r="AC26" s="254">
        <v>0</v>
      </c>
      <c r="AD26" s="254">
        <v>0</v>
      </c>
      <c r="AE26" s="254">
        <v>0</v>
      </c>
      <c r="AF26" s="254">
        <v>0</v>
      </c>
      <c r="AG26" s="254">
        <v>0</v>
      </c>
      <c r="AH26" s="254">
        <v>0</v>
      </c>
      <c r="AI26" s="254">
        <v>0</v>
      </c>
      <c r="AJ26" s="254">
        <v>0</v>
      </c>
      <c r="AK26" s="254">
        <v>0</v>
      </c>
      <c r="AL26" s="254">
        <v>0</v>
      </c>
      <c r="AM26" s="254">
        <v>0</v>
      </c>
      <c r="AN26" s="254">
        <v>0</v>
      </c>
      <c r="AO26" s="254">
        <v>0</v>
      </c>
      <c r="AP26" s="254">
        <v>0</v>
      </c>
      <c r="AQ26" s="254">
        <v>0</v>
      </c>
      <c r="AR26" s="254">
        <v>0</v>
      </c>
      <c r="AS26" s="254">
        <v>0</v>
      </c>
      <c r="AT26" s="254">
        <v>0</v>
      </c>
      <c r="AU26" s="254">
        <v>0</v>
      </c>
      <c r="AV26" s="254">
        <v>0</v>
      </c>
      <c r="AW26" s="254">
        <v>0</v>
      </c>
      <c r="AX26" s="254">
        <v>0</v>
      </c>
      <c r="AY26" s="254">
        <v>0</v>
      </c>
      <c r="AZ26" s="254">
        <v>0</v>
      </c>
      <c r="BA26" s="254">
        <v>0</v>
      </c>
      <c r="BB26" s="254">
        <v>0</v>
      </c>
      <c r="BC26" s="254">
        <v>0</v>
      </c>
      <c r="BD26" s="254">
        <v>0</v>
      </c>
      <c r="BE26" s="254">
        <v>0</v>
      </c>
      <c r="BF26" s="254">
        <v>0</v>
      </c>
      <c r="BG26" s="254">
        <v>0</v>
      </c>
      <c r="BH26" s="254">
        <v>0</v>
      </c>
      <c r="BI26" s="254">
        <v>0</v>
      </c>
      <c r="BJ26" s="254">
        <v>0</v>
      </c>
      <c r="BK26" s="254">
        <v>0</v>
      </c>
      <c r="BL26" s="254">
        <v>0</v>
      </c>
      <c r="BM26" s="254">
        <v>0</v>
      </c>
      <c r="BN26" s="254">
        <v>0</v>
      </c>
      <c r="BO26" s="254">
        <v>0</v>
      </c>
      <c r="BP26" s="254">
        <v>0</v>
      </c>
      <c r="BQ26" s="254">
        <v>0</v>
      </c>
      <c r="BR26" s="254">
        <v>0</v>
      </c>
      <c r="BS26" s="254">
        <v>0</v>
      </c>
      <c r="BT26" s="254">
        <v>0</v>
      </c>
      <c r="BU26" s="254">
        <v>0</v>
      </c>
      <c r="BV26" s="254">
        <v>0</v>
      </c>
      <c r="BW26" s="254">
        <v>0</v>
      </c>
      <c r="BX26" s="254">
        <v>0</v>
      </c>
      <c r="BY26" s="254">
        <v>0</v>
      </c>
      <c r="BZ26" s="254">
        <v>0</v>
      </c>
      <c r="CA26" s="254">
        <v>0</v>
      </c>
      <c r="CB26" s="254">
        <v>0</v>
      </c>
      <c r="CC26" s="254">
        <v>0</v>
      </c>
      <c r="CD26" s="254">
        <v>0</v>
      </c>
      <c r="CE26" s="254">
        <v>0</v>
      </c>
      <c r="CF26" s="254">
        <v>0</v>
      </c>
      <c r="CG26" s="254">
        <v>0</v>
      </c>
      <c r="CH26" s="254">
        <v>0</v>
      </c>
      <c r="CI26" s="254">
        <v>0</v>
      </c>
      <c r="CJ26" s="254">
        <v>0</v>
      </c>
      <c r="CK26" s="254">
        <v>0</v>
      </c>
      <c r="CL26" s="254">
        <v>0</v>
      </c>
      <c r="CM26" s="254">
        <v>0</v>
      </c>
      <c r="CN26" s="254">
        <v>0</v>
      </c>
      <c r="CO26" s="254">
        <v>0</v>
      </c>
      <c r="CP26" s="254">
        <v>0</v>
      </c>
      <c r="CQ26" s="116"/>
      <c r="CR26" s="255">
        <v>0</v>
      </c>
      <c r="CS26" s="255">
        <v>0</v>
      </c>
      <c r="CT26" s="255">
        <v>0</v>
      </c>
      <c r="CU26" s="255">
        <v>0</v>
      </c>
      <c r="CV26" s="255">
        <v>0</v>
      </c>
      <c r="CW26" s="255">
        <v>0</v>
      </c>
      <c r="CX26" s="255">
        <v>0</v>
      </c>
      <c r="CY26" s="255">
        <v>0</v>
      </c>
      <c r="CZ26" s="255">
        <v>0</v>
      </c>
      <c r="DA26" s="255">
        <v>0</v>
      </c>
      <c r="DB26" s="255">
        <v>0</v>
      </c>
      <c r="DC26" s="255">
        <v>13557.959999999992</v>
      </c>
      <c r="DD26" s="255">
        <v>19583.72000000003</v>
      </c>
      <c r="DE26" s="255">
        <v>27108.2</v>
      </c>
      <c r="DF26" s="255">
        <v>28382.199999999997</v>
      </c>
      <c r="DG26" s="255">
        <v>0</v>
      </c>
      <c r="DH26" s="255">
        <v>0</v>
      </c>
      <c r="DI26" s="255">
        <v>0</v>
      </c>
      <c r="DJ26" s="255">
        <v>0</v>
      </c>
      <c r="DK26" s="255">
        <v>0</v>
      </c>
      <c r="DL26" s="255">
        <v>0</v>
      </c>
      <c r="DM26" s="255">
        <v>0</v>
      </c>
      <c r="DN26" s="255">
        <v>0</v>
      </c>
      <c r="DO26" s="255">
        <v>0</v>
      </c>
      <c r="DP26" s="255">
        <v>0</v>
      </c>
      <c r="DQ26" s="255">
        <v>0</v>
      </c>
      <c r="DR26" s="255">
        <v>0</v>
      </c>
      <c r="DS26" s="255">
        <v>0</v>
      </c>
      <c r="DT26" s="255">
        <v>0</v>
      </c>
      <c r="DU26" s="255">
        <v>0</v>
      </c>
      <c r="DV26" s="255">
        <v>0</v>
      </c>
      <c r="DW26" s="255">
        <v>0</v>
      </c>
      <c r="DX26" s="255">
        <v>0</v>
      </c>
      <c r="DY26" s="255">
        <v>0</v>
      </c>
      <c r="DZ26" s="255">
        <v>0</v>
      </c>
      <c r="EA26" s="255">
        <v>0</v>
      </c>
      <c r="EB26" s="255">
        <v>0</v>
      </c>
      <c r="EC26" s="255">
        <v>0</v>
      </c>
      <c r="ED26" s="255">
        <v>0</v>
      </c>
      <c r="EE26" s="255">
        <v>0</v>
      </c>
      <c r="EF26" s="255">
        <v>0</v>
      </c>
      <c r="EG26" s="255">
        <v>0</v>
      </c>
      <c r="EH26" s="255">
        <v>0</v>
      </c>
      <c r="EI26" s="255">
        <v>0</v>
      </c>
      <c r="EJ26" s="255">
        <v>0</v>
      </c>
      <c r="EK26" s="255">
        <v>0</v>
      </c>
      <c r="EL26" s="255">
        <v>0</v>
      </c>
      <c r="EM26" s="255">
        <v>0</v>
      </c>
      <c r="EN26" s="255">
        <v>0</v>
      </c>
      <c r="EO26" s="255">
        <v>0</v>
      </c>
      <c r="EP26" s="255">
        <v>0</v>
      </c>
      <c r="EQ26" s="255">
        <v>0</v>
      </c>
      <c r="ER26" s="255">
        <v>0</v>
      </c>
      <c r="ES26" s="255">
        <v>0</v>
      </c>
      <c r="ET26" s="255">
        <v>0</v>
      </c>
      <c r="EU26" s="255">
        <v>0</v>
      </c>
      <c r="EV26" s="255">
        <v>0</v>
      </c>
      <c r="EW26" s="255">
        <v>0</v>
      </c>
      <c r="EX26" s="255">
        <v>0</v>
      </c>
      <c r="EY26" s="255">
        <v>0</v>
      </c>
      <c r="EZ26" s="255">
        <v>0</v>
      </c>
      <c r="FA26" s="255">
        <v>0</v>
      </c>
      <c r="FB26" s="255">
        <v>0</v>
      </c>
      <c r="FC26" s="255">
        <v>0</v>
      </c>
      <c r="FD26" s="255">
        <v>0</v>
      </c>
      <c r="FE26" s="255">
        <v>0</v>
      </c>
      <c r="FF26" s="255">
        <v>0</v>
      </c>
      <c r="FG26" s="255">
        <v>0</v>
      </c>
      <c r="FH26" s="255">
        <v>0</v>
      </c>
      <c r="FI26" s="255">
        <v>0</v>
      </c>
      <c r="FJ26" s="255">
        <v>0</v>
      </c>
      <c r="FK26" s="255">
        <v>0</v>
      </c>
      <c r="FL26" s="255">
        <v>0</v>
      </c>
      <c r="FM26" s="255">
        <v>0</v>
      </c>
      <c r="FN26" s="255">
        <v>0</v>
      </c>
      <c r="FO26" s="255">
        <v>0</v>
      </c>
      <c r="FP26" s="255">
        <v>0</v>
      </c>
      <c r="FQ26" s="255">
        <v>0</v>
      </c>
      <c r="FR26" s="255">
        <v>0</v>
      </c>
      <c r="FS26" s="255">
        <v>0</v>
      </c>
      <c r="FT26" s="255">
        <v>0</v>
      </c>
      <c r="FU26" s="255">
        <v>0</v>
      </c>
      <c r="FV26" s="255">
        <v>0</v>
      </c>
      <c r="FW26" s="255">
        <v>0</v>
      </c>
      <c r="FX26" s="116"/>
    </row>
    <row r="27" spans="2:180" x14ac:dyDescent="0.2">
      <c r="B27" s="253" t="s">
        <v>205</v>
      </c>
      <c r="C27" s="253" t="s">
        <v>273</v>
      </c>
      <c r="D27" s="253" t="s">
        <v>258</v>
      </c>
      <c r="E27" s="253" t="s">
        <v>127</v>
      </c>
      <c r="F27" s="253" t="s">
        <v>259</v>
      </c>
      <c r="G27" s="253" t="s">
        <v>260</v>
      </c>
      <c r="H27" s="237">
        <v>202.73</v>
      </c>
      <c r="I27" s="126">
        <f t="shared" si="85"/>
        <v>96164.280000000013</v>
      </c>
      <c r="J27" s="116"/>
      <c r="K27" s="254">
        <v>0</v>
      </c>
      <c r="L27" s="254">
        <v>0</v>
      </c>
      <c r="M27" s="254">
        <v>0</v>
      </c>
      <c r="N27" s="254">
        <v>0</v>
      </c>
      <c r="O27" s="254">
        <v>0</v>
      </c>
      <c r="P27" s="254">
        <v>0</v>
      </c>
      <c r="Q27" s="254">
        <v>0</v>
      </c>
      <c r="R27" s="254">
        <v>0</v>
      </c>
      <c r="S27" s="254">
        <v>0</v>
      </c>
      <c r="T27" s="254">
        <v>0</v>
      </c>
      <c r="U27" s="254">
        <v>0</v>
      </c>
      <c r="V27" s="254">
        <v>0.66685714285714326</v>
      </c>
      <c r="W27" s="254">
        <v>1.3337142857142856</v>
      </c>
      <c r="X27" s="254">
        <v>1</v>
      </c>
      <c r="Y27" s="254">
        <v>1</v>
      </c>
      <c r="Z27" s="254">
        <v>0</v>
      </c>
      <c r="AA27" s="254">
        <v>0</v>
      </c>
      <c r="AB27" s="254">
        <v>0</v>
      </c>
      <c r="AC27" s="254">
        <v>0</v>
      </c>
      <c r="AD27" s="254">
        <v>0</v>
      </c>
      <c r="AE27" s="254">
        <v>0</v>
      </c>
      <c r="AF27" s="254">
        <v>0</v>
      </c>
      <c r="AG27" s="254">
        <v>0</v>
      </c>
      <c r="AH27" s="254">
        <v>0</v>
      </c>
      <c r="AI27" s="254">
        <v>0</v>
      </c>
      <c r="AJ27" s="254">
        <v>0</v>
      </c>
      <c r="AK27" s="254">
        <v>0</v>
      </c>
      <c r="AL27" s="254">
        <v>0</v>
      </c>
      <c r="AM27" s="254">
        <v>0</v>
      </c>
      <c r="AN27" s="254">
        <v>0</v>
      </c>
      <c r="AO27" s="254">
        <v>0</v>
      </c>
      <c r="AP27" s="254">
        <v>0</v>
      </c>
      <c r="AQ27" s="254">
        <v>0</v>
      </c>
      <c r="AR27" s="254">
        <v>0</v>
      </c>
      <c r="AS27" s="254">
        <v>0</v>
      </c>
      <c r="AT27" s="254">
        <v>0</v>
      </c>
      <c r="AU27" s="254">
        <v>0</v>
      </c>
      <c r="AV27" s="254">
        <v>0</v>
      </c>
      <c r="AW27" s="254">
        <v>0</v>
      </c>
      <c r="AX27" s="254">
        <v>0</v>
      </c>
      <c r="AY27" s="254">
        <v>0</v>
      </c>
      <c r="AZ27" s="254">
        <v>0</v>
      </c>
      <c r="BA27" s="254">
        <v>0</v>
      </c>
      <c r="BB27" s="254">
        <v>0</v>
      </c>
      <c r="BC27" s="254">
        <v>0</v>
      </c>
      <c r="BD27" s="254">
        <v>0</v>
      </c>
      <c r="BE27" s="254">
        <v>0</v>
      </c>
      <c r="BF27" s="254">
        <v>0</v>
      </c>
      <c r="BG27" s="254">
        <v>0</v>
      </c>
      <c r="BH27" s="254">
        <v>0</v>
      </c>
      <c r="BI27" s="254">
        <v>0</v>
      </c>
      <c r="BJ27" s="254">
        <v>0</v>
      </c>
      <c r="BK27" s="254">
        <v>0</v>
      </c>
      <c r="BL27" s="254">
        <v>0</v>
      </c>
      <c r="BM27" s="254">
        <v>0</v>
      </c>
      <c r="BN27" s="254">
        <v>0</v>
      </c>
      <c r="BO27" s="254">
        <v>0</v>
      </c>
      <c r="BP27" s="254">
        <v>0</v>
      </c>
      <c r="BQ27" s="254">
        <v>0</v>
      </c>
      <c r="BR27" s="254">
        <v>0</v>
      </c>
      <c r="BS27" s="254">
        <v>0</v>
      </c>
      <c r="BT27" s="254">
        <v>0</v>
      </c>
      <c r="BU27" s="254">
        <v>0</v>
      </c>
      <c r="BV27" s="254">
        <v>0</v>
      </c>
      <c r="BW27" s="254">
        <v>0</v>
      </c>
      <c r="BX27" s="254">
        <v>0</v>
      </c>
      <c r="BY27" s="254">
        <v>0</v>
      </c>
      <c r="BZ27" s="254">
        <v>0</v>
      </c>
      <c r="CA27" s="254">
        <v>0</v>
      </c>
      <c r="CB27" s="254">
        <v>0</v>
      </c>
      <c r="CC27" s="254">
        <v>0</v>
      </c>
      <c r="CD27" s="254">
        <v>0</v>
      </c>
      <c r="CE27" s="254">
        <v>0</v>
      </c>
      <c r="CF27" s="254">
        <v>0</v>
      </c>
      <c r="CG27" s="254">
        <v>0</v>
      </c>
      <c r="CH27" s="254">
        <v>0</v>
      </c>
      <c r="CI27" s="254">
        <v>0</v>
      </c>
      <c r="CJ27" s="254">
        <v>0</v>
      </c>
      <c r="CK27" s="254">
        <v>0</v>
      </c>
      <c r="CL27" s="254">
        <v>0</v>
      </c>
      <c r="CM27" s="254">
        <v>0</v>
      </c>
      <c r="CN27" s="254">
        <v>0</v>
      </c>
      <c r="CO27" s="254">
        <v>0</v>
      </c>
      <c r="CP27" s="254">
        <v>0</v>
      </c>
      <c r="CQ27" s="116"/>
      <c r="CR27" s="255">
        <v>0</v>
      </c>
      <c r="CS27" s="255">
        <v>0</v>
      </c>
      <c r="CT27" s="255">
        <v>0</v>
      </c>
      <c r="CU27" s="255">
        <v>0</v>
      </c>
      <c r="CV27" s="255">
        <v>0</v>
      </c>
      <c r="CW27" s="255">
        <v>0</v>
      </c>
      <c r="CX27" s="255">
        <v>0</v>
      </c>
      <c r="CY27" s="255">
        <v>0</v>
      </c>
      <c r="CZ27" s="255">
        <v>0</v>
      </c>
      <c r="DA27" s="255">
        <v>0</v>
      </c>
      <c r="DB27" s="255">
        <v>0</v>
      </c>
      <c r="DC27" s="255">
        <v>13557.960000000006</v>
      </c>
      <c r="DD27" s="255">
        <v>27115.920000000013</v>
      </c>
      <c r="DE27" s="255">
        <v>27108.2</v>
      </c>
      <c r="DF27" s="255">
        <v>28382.199999999997</v>
      </c>
      <c r="DG27" s="255">
        <v>0</v>
      </c>
      <c r="DH27" s="255">
        <v>0</v>
      </c>
      <c r="DI27" s="255">
        <v>0</v>
      </c>
      <c r="DJ27" s="255">
        <v>0</v>
      </c>
      <c r="DK27" s="255">
        <v>0</v>
      </c>
      <c r="DL27" s="255">
        <v>0</v>
      </c>
      <c r="DM27" s="255">
        <v>0</v>
      </c>
      <c r="DN27" s="255">
        <v>0</v>
      </c>
      <c r="DO27" s="255">
        <v>0</v>
      </c>
      <c r="DP27" s="255">
        <v>0</v>
      </c>
      <c r="DQ27" s="255">
        <v>0</v>
      </c>
      <c r="DR27" s="255">
        <v>0</v>
      </c>
      <c r="DS27" s="255">
        <v>0</v>
      </c>
      <c r="DT27" s="255">
        <v>0</v>
      </c>
      <c r="DU27" s="255">
        <v>0</v>
      </c>
      <c r="DV27" s="255">
        <v>0</v>
      </c>
      <c r="DW27" s="255">
        <v>0</v>
      </c>
      <c r="DX27" s="255">
        <v>0</v>
      </c>
      <c r="DY27" s="255">
        <v>0</v>
      </c>
      <c r="DZ27" s="255">
        <v>0</v>
      </c>
      <c r="EA27" s="255">
        <v>0</v>
      </c>
      <c r="EB27" s="255">
        <v>0</v>
      </c>
      <c r="EC27" s="255">
        <v>0</v>
      </c>
      <c r="ED27" s="255">
        <v>0</v>
      </c>
      <c r="EE27" s="255">
        <v>0</v>
      </c>
      <c r="EF27" s="255">
        <v>0</v>
      </c>
      <c r="EG27" s="255">
        <v>0</v>
      </c>
      <c r="EH27" s="255">
        <v>0</v>
      </c>
      <c r="EI27" s="255">
        <v>0</v>
      </c>
      <c r="EJ27" s="255">
        <v>0</v>
      </c>
      <c r="EK27" s="255">
        <v>0</v>
      </c>
      <c r="EL27" s="255">
        <v>0</v>
      </c>
      <c r="EM27" s="255">
        <v>0</v>
      </c>
      <c r="EN27" s="255">
        <v>0</v>
      </c>
      <c r="EO27" s="255">
        <v>0</v>
      </c>
      <c r="EP27" s="255">
        <v>0</v>
      </c>
      <c r="EQ27" s="255">
        <v>0</v>
      </c>
      <c r="ER27" s="255">
        <v>0</v>
      </c>
      <c r="ES27" s="255">
        <v>0</v>
      </c>
      <c r="ET27" s="255">
        <v>0</v>
      </c>
      <c r="EU27" s="255">
        <v>0</v>
      </c>
      <c r="EV27" s="255">
        <v>0</v>
      </c>
      <c r="EW27" s="255">
        <v>0</v>
      </c>
      <c r="EX27" s="255">
        <v>0</v>
      </c>
      <c r="EY27" s="255">
        <v>0</v>
      </c>
      <c r="EZ27" s="255">
        <v>0</v>
      </c>
      <c r="FA27" s="255">
        <v>0</v>
      </c>
      <c r="FB27" s="255">
        <v>0</v>
      </c>
      <c r="FC27" s="255">
        <v>0</v>
      </c>
      <c r="FD27" s="255">
        <v>0</v>
      </c>
      <c r="FE27" s="255">
        <v>0</v>
      </c>
      <c r="FF27" s="255">
        <v>0</v>
      </c>
      <c r="FG27" s="255">
        <v>0</v>
      </c>
      <c r="FH27" s="255">
        <v>0</v>
      </c>
      <c r="FI27" s="255">
        <v>0</v>
      </c>
      <c r="FJ27" s="255">
        <v>0</v>
      </c>
      <c r="FK27" s="255">
        <v>0</v>
      </c>
      <c r="FL27" s="255">
        <v>0</v>
      </c>
      <c r="FM27" s="255">
        <v>0</v>
      </c>
      <c r="FN27" s="255">
        <v>0</v>
      </c>
      <c r="FO27" s="255">
        <v>0</v>
      </c>
      <c r="FP27" s="255">
        <v>0</v>
      </c>
      <c r="FQ27" s="255">
        <v>0</v>
      </c>
      <c r="FR27" s="255">
        <v>0</v>
      </c>
      <c r="FS27" s="255">
        <v>0</v>
      </c>
      <c r="FT27" s="255">
        <v>0</v>
      </c>
      <c r="FU27" s="255">
        <v>0</v>
      </c>
      <c r="FV27" s="255">
        <v>0</v>
      </c>
      <c r="FW27" s="255">
        <v>0</v>
      </c>
      <c r="FX27" s="116"/>
    </row>
    <row r="28" spans="2:180" x14ac:dyDescent="0.2">
      <c r="B28" s="253" t="s">
        <v>235</v>
      </c>
      <c r="C28" s="253" t="s">
        <v>272</v>
      </c>
      <c r="D28" s="253" t="s">
        <v>258</v>
      </c>
      <c r="E28" s="253" t="s">
        <v>127</v>
      </c>
      <c r="F28" s="253" t="s">
        <v>259</v>
      </c>
      <c r="G28" s="253" t="s">
        <v>260</v>
      </c>
      <c r="H28" s="237">
        <v>254.01</v>
      </c>
      <c r="I28" s="126">
        <f t="shared" si="85"/>
        <v>113942.80000000003</v>
      </c>
      <c r="J28" s="116"/>
      <c r="K28" s="254">
        <v>0</v>
      </c>
      <c r="L28" s="254">
        <v>0</v>
      </c>
      <c r="M28" s="254">
        <v>0</v>
      </c>
      <c r="N28" s="254">
        <v>0</v>
      </c>
      <c r="O28" s="254">
        <v>0</v>
      </c>
      <c r="P28" s="254">
        <v>0</v>
      </c>
      <c r="Q28" s="254">
        <v>0</v>
      </c>
      <c r="R28" s="254">
        <v>0</v>
      </c>
      <c r="S28" s="254">
        <v>0</v>
      </c>
      <c r="T28" s="254">
        <v>0</v>
      </c>
      <c r="U28" s="254">
        <v>0</v>
      </c>
      <c r="V28" s="254">
        <v>0.2</v>
      </c>
      <c r="W28" s="254">
        <v>1.5333333333333334</v>
      </c>
      <c r="X28" s="254">
        <v>1</v>
      </c>
      <c r="Y28" s="254">
        <v>1</v>
      </c>
      <c r="Z28" s="254">
        <v>0</v>
      </c>
      <c r="AA28" s="254">
        <v>0</v>
      </c>
      <c r="AB28" s="254">
        <v>0</v>
      </c>
      <c r="AC28" s="254">
        <v>0</v>
      </c>
      <c r="AD28" s="254">
        <v>0</v>
      </c>
      <c r="AE28" s="254">
        <v>0</v>
      </c>
      <c r="AF28" s="254">
        <v>0</v>
      </c>
      <c r="AG28" s="254">
        <v>0</v>
      </c>
      <c r="AH28" s="254">
        <v>0</v>
      </c>
      <c r="AI28" s="254">
        <v>0</v>
      </c>
      <c r="AJ28" s="254">
        <v>0</v>
      </c>
      <c r="AK28" s="254">
        <v>0</v>
      </c>
      <c r="AL28" s="254">
        <v>0</v>
      </c>
      <c r="AM28" s="254">
        <v>0</v>
      </c>
      <c r="AN28" s="254">
        <v>0</v>
      </c>
      <c r="AO28" s="254">
        <v>0</v>
      </c>
      <c r="AP28" s="254">
        <v>0</v>
      </c>
      <c r="AQ28" s="254">
        <v>0</v>
      </c>
      <c r="AR28" s="254">
        <v>0</v>
      </c>
      <c r="AS28" s="254">
        <v>0</v>
      </c>
      <c r="AT28" s="254">
        <v>0</v>
      </c>
      <c r="AU28" s="254">
        <v>0</v>
      </c>
      <c r="AV28" s="254">
        <v>0</v>
      </c>
      <c r="AW28" s="254">
        <v>0</v>
      </c>
      <c r="AX28" s="254">
        <v>0</v>
      </c>
      <c r="AY28" s="254">
        <v>0</v>
      </c>
      <c r="AZ28" s="254">
        <v>0</v>
      </c>
      <c r="BA28" s="254">
        <v>0</v>
      </c>
      <c r="BB28" s="254">
        <v>0</v>
      </c>
      <c r="BC28" s="254">
        <v>0</v>
      </c>
      <c r="BD28" s="254">
        <v>0</v>
      </c>
      <c r="BE28" s="254">
        <v>0</v>
      </c>
      <c r="BF28" s="254">
        <v>0</v>
      </c>
      <c r="BG28" s="254">
        <v>0</v>
      </c>
      <c r="BH28" s="254">
        <v>0</v>
      </c>
      <c r="BI28" s="254">
        <v>0</v>
      </c>
      <c r="BJ28" s="254">
        <v>0</v>
      </c>
      <c r="BK28" s="254">
        <v>0</v>
      </c>
      <c r="BL28" s="254">
        <v>0</v>
      </c>
      <c r="BM28" s="254">
        <v>0</v>
      </c>
      <c r="BN28" s="254">
        <v>0</v>
      </c>
      <c r="BO28" s="254">
        <v>0</v>
      </c>
      <c r="BP28" s="254">
        <v>0</v>
      </c>
      <c r="BQ28" s="254">
        <v>0</v>
      </c>
      <c r="BR28" s="254">
        <v>0</v>
      </c>
      <c r="BS28" s="254">
        <v>0</v>
      </c>
      <c r="BT28" s="254">
        <v>0</v>
      </c>
      <c r="BU28" s="254">
        <v>0</v>
      </c>
      <c r="BV28" s="254">
        <v>0</v>
      </c>
      <c r="BW28" s="254">
        <v>0</v>
      </c>
      <c r="BX28" s="254">
        <v>0</v>
      </c>
      <c r="BY28" s="254">
        <v>0</v>
      </c>
      <c r="BZ28" s="254">
        <v>0</v>
      </c>
      <c r="CA28" s="254">
        <v>0</v>
      </c>
      <c r="CB28" s="254">
        <v>0</v>
      </c>
      <c r="CC28" s="254">
        <v>0</v>
      </c>
      <c r="CD28" s="254">
        <v>0</v>
      </c>
      <c r="CE28" s="254">
        <v>0</v>
      </c>
      <c r="CF28" s="254">
        <v>0</v>
      </c>
      <c r="CG28" s="254">
        <v>0</v>
      </c>
      <c r="CH28" s="254">
        <v>0</v>
      </c>
      <c r="CI28" s="254">
        <v>0</v>
      </c>
      <c r="CJ28" s="254">
        <v>0</v>
      </c>
      <c r="CK28" s="254">
        <v>0</v>
      </c>
      <c r="CL28" s="254">
        <v>0</v>
      </c>
      <c r="CM28" s="254">
        <v>0</v>
      </c>
      <c r="CN28" s="254">
        <v>0</v>
      </c>
      <c r="CO28" s="254">
        <v>0</v>
      </c>
      <c r="CP28" s="254">
        <v>0</v>
      </c>
      <c r="CQ28" s="116"/>
      <c r="CR28" s="255">
        <v>0</v>
      </c>
      <c r="CS28" s="255">
        <v>0</v>
      </c>
      <c r="CT28" s="255">
        <v>0</v>
      </c>
      <c r="CU28" s="255">
        <v>0</v>
      </c>
      <c r="CV28" s="255">
        <v>0</v>
      </c>
      <c r="CW28" s="255">
        <v>0</v>
      </c>
      <c r="CX28" s="255">
        <v>0</v>
      </c>
      <c r="CY28" s="255">
        <v>0</v>
      </c>
      <c r="CZ28" s="255">
        <v>0</v>
      </c>
      <c r="DA28" s="255">
        <v>0</v>
      </c>
      <c r="DB28" s="255">
        <v>0</v>
      </c>
      <c r="DC28" s="255">
        <v>5179.1999999999989</v>
      </c>
      <c r="DD28" s="255">
        <v>39707.200000000041</v>
      </c>
      <c r="DE28" s="255">
        <v>34528.199999999997</v>
      </c>
      <c r="DF28" s="255">
        <v>34528.199999999997</v>
      </c>
      <c r="DG28" s="255">
        <v>0</v>
      </c>
      <c r="DH28" s="255">
        <v>0</v>
      </c>
      <c r="DI28" s="255">
        <v>0</v>
      </c>
      <c r="DJ28" s="255">
        <v>0</v>
      </c>
      <c r="DK28" s="255">
        <v>0</v>
      </c>
      <c r="DL28" s="255">
        <v>0</v>
      </c>
      <c r="DM28" s="255">
        <v>0</v>
      </c>
      <c r="DN28" s="255">
        <v>0</v>
      </c>
      <c r="DO28" s="255">
        <v>0</v>
      </c>
      <c r="DP28" s="255">
        <v>0</v>
      </c>
      <c r="DQ28" s="255">
        <v>0</v>
      </c>
      <c r="DR28" s="255">
        <v>0</v>
      </c>
      <c r="DS28" s="255">
        <v>0</v>
      </c>
      <c r="DT28" s="255">
        <v>0</v>
      </c>
      <c r="DU28" s="255">
        <v>0</v>
      </c>
      <c r="DV28" s="255">
        <v>0</v>
      </c>
      <c r="DW28" s="255">
        <v>0</v>
      </c>
      <c r="DX28" s="255">
        <v>0</v>
      </c>
      <c r="DY28" s="255">
        <v>0</v>
      </c>
      <c r="DZ28" s="255">
        <v>0</v>
      </c>
      <c r="EA28" s="255">
        <v>0</v>
      </c>
      <c r="EB28" s="255">
        <v>0</v>
      </c>
      <c r="EC28" s="255">
        <v>0</v>
      </c>
      <c r="ED28" s="255">
        <v>0</v>
      </c>
      <c r="EE28" s="255">
        <v>0</v>
      </c>
      <c r="EF28" s="255">
        <v>0</v>
      </c>
      <c r="EG28" s="255">
        <v>0</v>
      </c>
      <c r="EH28" s="255">
        <v>0</v>
      </c>
      <c r="EI28" s="255">
        <v>0</v>
      </c>
      <c r="EJ28" s="255">
        <v>0</v>
      </c>
      <c r="EK28" s="255">
        <v>0</v>
      </c>
      <c r="EL28" s="255">
        <v>0</v>
      </c>
      <c r="EM28" s="255">
        <v>0</v>
      </c>
      <c r="EN28" s="255">
        <v>0</v>
      </c>
      <c r="EO28" s="255">
        <v>0</v>
      </c>
      <c r="EP28" s="255">
        <v>0</v>
      </c>
      <c r="EQ28" s="255">
        <v>0</v>
      </c>
      <c r="ER28" s="255">
        <v>0</v>
      </c>
      <c r="ES28" s="255">
        <v>0</v>
      </c>
      <c r="ET28" s="255">
        <v>0</v>
      </c>
      <c r="EU28" s="255">
        <v>0</v>
      </c>
      <c r="EV28" s="255">
        <v>0</v>
      </c>
      <c r="EW28" s="255">
        <v>0</v>
      </c>
      <c r="EX28" s="255">
        <v>0</v>
      </c>
      <c r="EY28" s="255">
        <v>0</v>
      </c>
      <c r="EZ28" s="255">
        <v>0</v>
      </c>
      <c r="FA28" s="255">
        <v>0</v>
      </c>
      <c r="FB28" s="255">
        <v>0</v>
      </c>
      <c r="FC28" s="255">
        <v>0</v>
      </c>
      <c r="FD28" s="255">
        <v>0</v>
      </c>
      <c r="FE28" s="255">
        <v>0</v>
      </c>
      <c r="FF28" s="255">
        <v>0</v>
      </c>
      <c r="FG28" s="255">
        <v>0</v>
      </c>
      <c r="FH28" s="255">
        <v>0</v>
      </c>
      <c r="FI28" s="255">
        <v>0</v>
      </c>
      <c r="FJ28" s="255">
        <v>0</v>
      </c>
      <c r="FK28" s="255">
        <v>0</v>
      </c>
      <c r="FL28" s="255">
        <v>0</v>
      </c>
      <c r="FM28" s="255">
        <v>0</v>
      </c>
      <c r="FN28" s="255">
        <v>0</v>
      </c>
      <c r="FO28" s="255">
        <v>0</v>
      </c>
      <c r="FP28" s="255">
        <v>0</v>
      </c>
      <c r="FQ28" s="255">
        <v>0</v>
      </c>
      <c r="FR28" s="255">
        <v>0</v>
      </c>
      <c r="FS28" s="255">
        <v>0</v>
      </c>
      <c r="FT28" s="255">
        <v>0</v>
      </c>
      <c r="FU28" s="255">
        <v>0</v>
      </c>
      <c r="FV28" s="255">
        <v>0</v>
      </c>
      <c r="FW28" s="255">
        <v>0</v>
      </c>
      <c r="FX28" s="116"/>
    </row>
    <row r="29" spans="2:180" x14ac:dyDescent="0.2">
      <c r="B29" s="253" t="s">
        <v>205</v>
      </c>
      <c r="C29" s="253" t="s">
        <v>272</v>
      </c>
      <c r="D29" s="253" t="s">
        <v>258</v>
      </c>
      <c r="E29" s="253" t="s">
        <v>127</v>
      </c>
      <c r="F29" s="253" t="s">
        <v>259</v>
      </c>
      <c r="G29" s="253" t="s">
        <v>260</v>
      </c>
      <c r="H29" s="237">
        <v>254.01</v>
      </c>
      <c r="I29" s="126">
        <f t="shared" si="85"/>
        <v>117395.59999999999</v>
      </c>
      <c r="J29" s="116"/>
      <c r="K29" s="254">
        <v>0</v>
      </c>
      <c r="L29" s="254">
        <v>0</v>
      </c>
      <c r="M29" s="254">
        <v>0</v>
      </c>
      <c r="N29" s="254">
        <v>0</v>
      </c>
      <c r="O29" s="254">
        <v>0</v>
      </c>
      <c r="P29" s="254">
        <v>0</v>
      </c>
      <c r="Q29" s="254">
        <v>0</v>
      </c>
      <c r="R29" s="254">
        <v>0</v>
      </c>
      <c r="S29" s="254">
        <v>0</v>
      </c>
      <c r="T29" s="254">
        <v>0</v>
      </c>
      <c r="U29" s="254">
        <v>0</v>
      </c>
      <c r="V29" s="254">
        <v>0.73333333333333328</v>
      </c>
      <c r="W29" s="254">
        <v>1.1333333333333333</v>
      </c>
      <c r="X29" s="254">
        <v>1</v>
      </c>
      <c r="Y29" s="254">
        <v>1</v>
      </c>
      <c r="Z29" s="254">
        <v>0</v>
      </c>
      <c r="AA29" s="254">
        <v>0</v>
      </c>
      <c r="AB29" s="254">
        <v>0</v>
      </c>
      <c r="AC29" s="254">
        <v>0</v>
      </c>
      <c r="AD29" s="254">
        <v>0</v>
      </c>
      <c r="AE29" s="254">
        <v>0</v>
      </c>
      <c r="AF29" s="254">
        <v>0</v>
      </c>
      <c r="AG29" s="254">
        <v>0</v>
      </c>
      <c r="AH29" s="254">
        <v>0</v>
      </c>
      <c r="AI29" s="254">
        <v>0</v>
      </c>
      <c r="AJ29" s="254">
        <v>0</v>
      </c>
      <c r="AK29" s="254">
        <v>0</v>
      </c>
      <c r="AL29" s="254">
        <v>0</v>
      </c>
      <c r="AM29" s="254">
        <v>0</v>
      </c>
      <c r="AN29" s="254">
        <v>0</v>
      </c>
      <c r="AO29" s="254">
        <v>0</v>
      </c>
      <c r="AP29" s="254">
        <v>0</v>
      </c>
      <c r="AQ29" s="254">
        <v>0</v>
      </c>
      <c r="AR29" s="254">
        <v>0</v>
      </c>
      <c r="AS29" s="254">
        <v>0</v>
      </c>
      <c r="AT29" s="254">
        <v>0</v>
      </c>
      <c r="AU29" s="254">
        <v>0</v>
      </c>
      <c r="AV29" s="254">
        <v>0</v>
      </c>
      <c r="AW29" s="254">
        <v>0</v>
      </c>
      <c r="AX29" s="254">
        <v>0</v>
      </c>
      <c r="AY29" s="254">
        <v>0</v>
      </c>
      <c r="AZ29" s="254">
        <v>0</v>
      </c>
      <c r="BA29" s="254">
        <v>0</v>
      </c>
      <c r="BB29" s="254">
        <v>0</v>
      </c>
      <c r="BC29" s="254">
        <v>0</v>
      </c>
      <c r="BD29" s="254">
        <v>0</v>
      </c>
      <c r="BE29" s="254">
        <v>0</v>
      </c>
      <c r="BF29" s="254">
        <v>0</v>
      </c>
      <c r="BG29" s="254">
        <v>0</v>
      </c>
      <c r="BH29" s="254">
        <v>0</v>
      </c>
      <c r="BI29" s="254">
        <v>0</v>
      </c>
      <c r="BJ29" s="254">
        <v>0</v>
      </c>
      <c r="BK29" s="254">
        <v>0</v>
      </c>
      <c r="BL29" s="254">
        <v>0</v>
      </c>
      <c r="BM29" s="254">
        <v>0</v>
      </c>
      <c r="BN29" s="254">
        <v>0</v>
      </c>
      <c r="BO29" s="254">
        <v>0</v>
      </c>
      <c r="BP29" s="254">
        <v>0</v>
      </c>
      <c r="BQ29" s="254">
        <v>0</v>
      </c>
      <c r="BR29" s="254">
        <v>0</v>
      </c>
      <c r="BS29" s="254">
        <v>0</v>
      </c>
      <c r="BT29" s="254">
        <v>0</v>
      </c>
      <c r="BU29" s="254">
        <v>0</v>
      </c>
      <c r="BV29" s="254">
        <v>0</v>
      </c>
      <c r="BW29" s="254">
        <v>0</v>
      </c>
      <c r="BX29" s="254">
        <v>0</v>
      </c>
      <c r="BY29" s="254">
        <v>0</v>
      </c>
      <c r="BZ29" s="254">
        <v>0</v>
      </c>
      <c r="CA29" s="254">
        <v>0</v>
      </c>
      <c r="CB29" s="254">
        <v>0</v>
      </c>
      <c r="CC29" s="254">
        <v>0</v>
      </c>
      <c r="CD29" s="254">
        <v>0</v>
      </c>
      <c r="CE29" s="254">
        <v>0</v>
      </c>
      <c r="CF29" s="254">
        <v>0</v>
      </c>
      <c r="CG29" s="254">
        <v>0</v>
      </c>
      <c r="CH29" s="254">
        <v>0</v>
      </c>
      <c r="CI29" s="254">
        <v>0</v>
      </c>
      <c r="CJ29" s="254">
        <v>0</v>
      </c>
      <c r="CK29" s="254">
        <v>0</v>
      </c>
      <c r="CL29" s="254">
        <v>0</v>
      </c>
      <c r="CM29" s="254">
        <v>0</v>
      </c>
      <c r="CN29" s="254">
        <v>0</v>
      </c>
      <c r="CO29" s="254">
        <v>0</v>
      </c>
      <c r="CP29" s="254">
        <v>0</v>
      </c>
      <c r="CQ29" s="116"/>
      <c r="CR29" s="255">
        <v>0</v>
      </c>
      <c r="CS29" s="255">
        <v>0</v>
      </c>
      <c r="CT29" s="255">
        <v>0</v>
      </c>
      <c r="CU29" s="255">
        <v>0</v>
      </c>
      <c r="CV29" s="255">
        <v>0</v>
      </c>
      <c r="CW29" s="255">
        <v>0</v>
      </c>
      <c r="CX29" s="255">
        <v>0</v>
      </c>
      <c r="CY29" s="255">
        <v>0</v>
      </c>
      <c r="CZ29" s="255">
        <v>0</v>
      </c>
      <c r="DA29" s="255">
        <v>0</v>
      </c>
      <c r="DB29" s="255">
        <v>0</v>
      </c>
      <c r="DC29" s="255">
        <v>18990.399999999998</v>
      </c>
      <c r="DD29" s="255">
        <v>29348.800000000007</v>
      </c>
      <c r="DE29" s="255">
        <v>34528.199999999997</v>
      </c>
      <c r="DF29" s="255">
        <v>34528.199999999997</v>
      </c>
      <c r="DG29" s="255">
        <v>0</v>
      </c>
      <c r="DH29" s="255">
        <v>0</v>
      </c>
      <c r="DI29" s="255">
        <v>0</v>
      </c>
      <c r="DJ29" s="255">
        <v>0</v>
      </c>
      <c r="DK29" s="255">
        <v>0</v>
      </c>
      <c r="DL29" s="255">
        <v>0</v>
      </c>
      <c r="DM29" s="255">
        <v>0</v>
      </c>
      <c r="DN29" s="255">
        <v>0</v>
      </c>
      <c r="DO29" s="255">
        <v>0</v>
      </c>
      <c r="DP29" s="255">
        <v>0</v>
      </c>
      <c r="DQ29" s="255">
        <v>0</v>
      </c>
      <c r="DR29" s="255">
        <v>0</v>
      </c>
      <c r="DS29" s="255">
        <v>0</v>
      </c>
      <c r="DT29" s="255">
        <v>0</v>
      </c>
      <c r="DU29" s="255">
        <v>0</v>
      </c>
      <c r="DV29" s="255">
        <v>0</v>
      </c>
      <c r="DW29" s="255">
        <v>0</v>
      </c>
      <c r="DX29" s="255">
        <v>0</v>
      </c>
      <c r="DY29" s="255">
        <v>0</v>
      </c>
      <c r="DZ29" s="255">
        <v>0</v>
      </c>
      <c r="EA29" s="255">
        <v>0</v>
      </c>
      <c r="EB29" s="255">
        <v>0</v>
      </c>
      <c r="EC29" s="255">
        <v>0</v>
      </c>
      <c r="ED29" s="255">
        <v>0</v>
      </c>
      <c r="EE29" s="255">
        <v>0</v>
      </c>
      <c r="EF29" s="255">
        <v>0</v>
      </c>
      <c r="EG29" s="255">
        <v>0</v>
      </c>
      <c r="EH29" s="255">
        <v>0</v>
      </c>
      <c r="EI29" s="255">
        <v>0</v>
      </c>
      <c r="EJ29" s="255">
        <v>0</v>
      </c>
      <c r="EK29" s="255">
        <v>0</v>
      </c>
      <c r="EL29" s="255">
        <v>0</v>
      </c>
      <c r="EM29" s="255">
        <v>0</v>
      </c>
      <c r="EN29" s="255">
        <v>0</v>
      </c>
      <c r="EO29" s="255">
        <v>0</v>
      </c>
      <c r="EP29" s="255">
        <v>0</v>
      </c>
      <c r="EQ29" s="255">
        <v>0</v>
      </c>
      <c r="ER29" s="255">
        <v>0</v>
      </c>
      <c r="ES29" s="255">
        <v>0</v>
      </c>
      <c r="ET29" s="255">
        <v>0</v>
      </c>
      <c r="EU29" s="255">
        <v>0</v>
      </c>
      <c r="EV29" s="255">
        <v>0</v>
      </c>
      <c r="EW29" s="255">
        <v>0</v>
      </c>
      <c r="EX29" s="255">
        <v>0</v>
      </c>
      <c r="EY29" s="255">
        <v>0</v>
      </c>
      <c r="EZ29" s="255">
        <v>0</v>
      </c>
      <c r="FA29" s="255">
        <v>0</v>
      </c>
      <c r="FB29" s="255">
        <v>0</v>
      </c>
      <c r="FC29" s="255">
        <v>0</v>
      </c>
      <c r="FD29" s="255">
        <v>0</v>
      </c>
      <c r="FE29" s="255">
        <v>0</v>
      </c>
      <c r="FF29" s="255">
        <v>0</v>
      </c>
      <c r="FG29" s="255">
        <v>0</v>
      </c>
      <c r="FH29" s="255">
        <v>0</v>
      </c>
      <c r="FI29" s="255">
        <v>0</v>
      </c>
      <c r="FJ29" s="255">
        <v>0</v>
      </c>
      <c r="FK29" s="255">
        <v>0</v>
      </c>
      <c r="FL29" s="255">
        <v>0</v>
      </c>
      <c r="FM29" s="255">
        <v>0</v>
      </c>
      <c r="FN29" s="255">
        <v>0</v>
      </c>
      <c r="FO29" s="255">
        <v>0</v>
      </c>
      <c r="FP29" s="255">
        <v>0</v>
      </c>
      <c r="FQ29" s="255">
        <v>0</v>
      </c>
      <c r="FR29" s="255">
        <v>0</v>
      </c>
      <c r="FS29" s="255">
        <v>0</v>
      </c>
      <c r="FT29" s="255">
        <v>0</v>
      </c>
      <c r="FU29" s="255">
        <v>0</v>
      </c>
      <c r="FV29" s="255">
        <v>0</v>
      </c>
      <c r="FW29" s="255">
        <v>0</v>
      </c>
      <c r="FX29" s="116"/>
    </row>
    <row r="30" spans="2:180" x14ac:dyDescent="0.2">
      <c r="B30" s="253" t="s">
        <v>205</v>
      </c>
      <c r="C30" s="253" t="s">
        <v>274</v>
      </c>
      <c r="D30" s="253" t="s">
        <v>258</v>
      </c>
      <c r="E30" s="253" t="s">
        <v>127</v>
      </c>
      <c r="F30" s="253" t="s">
        <v>259</v>
      </c>
      <c r="G30" s="253" t="s">
        <v>260</v>
      </c>
      <c r="H30" s="237">
        <v>126.48</v>
      </c>
      <c r="I30" s="126">
        <f t="shared" si="85"/>
        <v>654236.25999999989</v>
      </c>
      <c r="J30" s="116"/>
      <c r="K30" s="254">
        <v>0</v>
      </c>
      <c r="L30" s="254">
        <v>0</v>
      </c>
      <c r="M30" s="254">
        <v>0</v>
      </c>
      <c r="N30" s="254">
        <v>0</v>
      </c>
      <c r="O30" s="254">
        <v>0</v>
      </c>
      <c r="P30" s="254">
        <v>0</v>
      </c>
      <c r="Q30" s="254">
        <v>0</v>
      </c>
      <c r="R30" s="254">
        <v>0</v>
      </c>
      <c r="S30" s="254">
        <v>0</v>
      </c>
      <c r="T30" s="254">
        <v>0</v>
      </c>
      <c r="U30" s="254">
        <v>0</v>
      </c>
      <c r="V30" s="254">
        <v>0</v>
      </c>
      <c r="W30" s="254">
        <v>0.44457142857142851</v>
      </c>
      <c r="X30" s="254">
        <v>1</v>
      </c>
      <c r="Y30" s="254">
        <v>1</v>
      </c>
      <c r="Z30" s="254">
        <v>1</v>
      </c>
      <c r="AA30" s="254">
        <v>0.92105263157894735</v>
      </c>
      <c r="AB30" s="254">
        <v>0.92105263157894735</v>
      </c>
      <c r="AC30" s="254">
        <v>1</v>
      </c>
      <c r="AD30" s="254">
        <v>1</v>
      </c>
      <c r="AE30" s="254">
        <v>1</v>
      </c>
      <c r="AF30" s="254">
        <v>1</v>
      </c>
      <c r="AG30" s="254">
        <v>1</v>
      </c>
      <c r="AH30" s="254">
        <v>1</v>
      </c>
      <c r="AI30" s="254">
        <v>1</v>
      </c>
      <c r="AJ30" s="254">
        <v>1</v>
      </c>
      <c r="AK30" s="254">
        <v>1</v>
      </c>
      <c r="AL30" s="254">
        <v>1</v>
      </c>
      <c r="AM30" s="254">
        <v>1</v>
      </c>
      <c r="AN30" s="254">
        <v>1</v>
      </c>
      <c r="AO30" s="254">
        <v>1</v>
      </c>
      <c r="AP30" s="254">
        <v>1</v>
      </c>
      <c r="AQ30" s="254">
        <v>1</v>
      </c>
      <c r="AR30" s="254">
        <v>1</v>
      </c>
      <c r="AS30" s="254">
        <v>1</v>
      </c>
      <c r="AT30" s="254">
        <v>1</v>
      </c>
      <c r="AU30" s="254">
        <v>1</v>
      </c>
      <c r="AV30" s="254">
        <v>1</v>
      </c>
      <c r="AW30" s="254">
        <v>1</v>
      </c>
      <c r="AX30" s="254">
        <v>1</v>
      </c>
      <c r="AY30" s="254">
        <v>1</v>
      </c>
      <c r="AZ30" s="254">
        <v>1</v>
      </c>
      <c r="BA30" s="254">
        <v>1</v>
      </c>
      <c r="BB30" s="254">
        <v>1</v>
      </c>
      <c r="BC30" s="254">
        <v>1</v>
      </c>
      <c r="BD30" s="254">
        <v>1</v>
      </c>
      <c r="BE30" s="254">
        <v>1</v>
      </c>
      <c r="BF30" s="254">
        <v>1.3333333333333333</v>
      </c>
      <c r="BG30" s="254">
        <v>1.3333333333333333</v>
      </c>
      <c r="BH30" s="254">
        <v>1</v>
      </c>
      <c r="BI30" s="254">
        <v>0</v>
      </c>
      <c r="BJ30" s="254">
        <v>0</v>
      </c>
      <c r="BK30" s="254">
        <v>0</v>
      </c>
      <c r="BL30" s="254">
        <v>0</v>
      </c>
      <c r="BM30" s="254">
        <v>0</v>
      </c>
      <c r="BN30" s="254">
        <v>0</v>
      </c>
      <c r="BO30" s="254">
        <v>0</v>
      </c>
      <c r="BP30" s="254">
        <v>0</v>
      </c>
      <c r="BQ30" s="254">
        <v>0</v>
      </c>
      <c r="BR30" s="254">
        <v>0</v>
      </c>
      <c r="BS30" s="254">
        <v>0</v>
      </c>
      <c r="BT30" s="254">
        <v>0</v>
      </c>
      <c r="BU30" s="254">
        <v>0</v>
      </c>
      <c r="BV30" s="254">
        <v>0</v>
      </c>
      <c r="BW30" s="254">
        <v>0</v>
      </c>
      <c r="BX30" s="254">
        <v>0</v>
      </c>
      <c r="BY30" s="254">
        <v>0</v>
      </c>
      <c r="BZ30" s="254">
        <v>0</v>
      </c>
      <c r="CA30" s="254">
        <v>0</v>
      </c>
      <c r="CB30" s="254">
        <v>0</v>
      </c>
      <c r="CC30" s="254">
        <v>0</v>
      </c>
      <c r="CD30" s="254">
        <v>0</v>
      </c>
      <c r="CE30" s="254">
        <v>0</v>
      </c>
      <c r="CF30" s="254">
        <v>0</v>
      </c>
      <c r="CG30" s="254">
        <v>0</v>
      </c>
      <c r="CH30" s="254">
        <v>0</v>
      </c>
      <c r="CI30" s="254">
        <v>0</v>
      </c>
      <c r="CJ30" s="254">
        <v>0</v>
      </c>
      <c r="CK30" s="254">
        <v>0</v>
      </c>
      <c r="CL30" s="254">
        <v>0</v>
      </c>
      <c r="CM30" s="254">
        <v>0</v>
      </c>
      <c r="CN30" s="254">
        <v>0</v>
      </c>
      <c r="CO30" s="254">
        <v>0</v>
      </c>
      <c r="CP30" s="254">
        <v>0</v>
      </c>
      <c r="CQ30" s="116"/>
      <c r="CR30" s="255">
        <v>0</v>
      </c>
      <c r="CS30" s="255">
        <v>0</v>
      </c>
      <c r="CT30" s="255">
        <v>0</v>
      </c>
      <c r="CU30" s="255">
        <v>0</v>
      </c>
      <c r="CV30" s="255">
        <v>0</v>
      </c>
      <c r="CW30" s="255">
        <v>0</v>
      </c>
      <c r="CX30" s="255">
        <v>0</v>
      </c>
      <c r="CY30" s="255">
        <v>0</v>
      </c>
      <c r="CZ30" s="255">
        <v>0</v>
      </c>
      <c r="DA30" s="255">
        <v>0</v>
      </c>
      <c r="DB30" s="255">
        <v>0</v>
      </c>
      <c r="DC30" s="255">
        <v>0</v>
      </c>
      <c r="DD30" s="255">
        <v>5635.8600000000024</v>
      </c>
      <c r="DE30" s="255">
        <v>16902.2</v>
      </c>
      <c r="DF30" s="255">
        <v>17707.2</v>
      </c>
      <c r="DG30" s="255">
        <v>13280.4</v>
      </c>
      <c r="DH30" s="255">
        <v>17707.2</v>
      </c>
      <c r="DI30" s="255">
        <v>17707.2</v>
      </c>
      <c r="DJ30" s="255">
        <v>17707.2</v>
      </c>
      <c r="DK30" s="255">
        <v>17707.2</v>
      </c>
      <c r="DL30" s="255">
        <v>17707.2</v>
      </c>
      <c r="DM30" s="255">
        <v>17707.2</v>
      </c>
      <c r="DN30" s="255">
        <v>17707.2</v>
      </c>
      <c r="DO30" s="255">
        <v>13280.4</v>
      </c>
      <c r="DP30" s="255">
        <v>13280.4</v>
      </c>
      <c r="DQ30" s="255">
        <v>17707.2</v>
      </c>
      <c r="DR30" s="255">
        <v>18250.400000000001</v>
      </c>
      <c r="DS30" s="255">
        <v>13687.800000000001</v>
      </c>
      <c r="DT30" s="255">
        <v>19814.72</v>
      </c>
      <c r="DU30" s="255">
        <v>19814.72</v>
      </c>
      <c r="DV30" s="255">
        <v>18250.400000000001</v>
      </c>
      <c r="DW30" s="255">
        <v>18250.400000000001</v>
      </c>
      <c r="DX30" s="255">
        <v>18250.400000000001</v>
      </c>
      <c r="DY30" s="255">
        <v>18250.400000000001</v>
      </c>
      <c r="DZ30" s="255">
        <v>18250.400000000001</v>
      </c>
      <c r="EA30" s="255">
        <v>13687.800000000001</v>
      </c>
      <c r="EB30" s="255">
        <v>13687.800000000001</v>
      </c>
      <c r="EC30" s="255">
        <v>18250.400000000001</v>
      </c>
      <c r="ED30" s="255">
        <v>18793.600000000002</v>
      </c>
      <c r="EE30" s="255">
        <v>14095.2</v>
      </c>
      <c r="EF30" s="255">
        <v>20404.480000000003</v>
      </c>
      <c r="EG30" s="255">
        <v>20404.480000000003</v>
      </c>
      <c r="EH30" s="255">
        <v>18793.600000000002</v>
      </c>
      <c r="EI30" s="255">
        <v>18793.600000000002</v>
      </c>
      <c r="EJ30" s="255">
        <v>18793.600000000002</v>
      </c>
      <c r="EK30" s="255">
        <v>18793.600000000002</v>
      </c>
      <c r="EL30" s="255">
        <v>18793.600000000002</v>
      </c>
      <c r="EM30" s="255">
        <v>18793.600000000002</v>
      </c>
      <c r="EN30" s="255">
        <v>18793.600000000002</v>
      </c>
      <c r="EO30" s="255">
        <v>18793.600000000002</v>
      </c>
      <c r="EP30" s="255">
        <v>0</v>
      </c>
      <c r="EQ30" s="255">
        <v>0</v>
      </c>
      <c r="ER30" s="255">
        <v>0</v>
      </c>
      <c r="ES30" s="255">
        <v>0</v>
      </c>
      <c r="ET30" s="255">
        <v>0</v>
      </c>
      <c r="EU30" s="255">
        <v>0</v>
      </c>
      <c r="EV30" s="255">
        <v>0</v>
      </c>
      <c r="EW30" s="255">
        <v>0</v>
      </c>
      <c r="EX30" s="255">
        <v>0</v>
      </c>
      <c r="EY30" s="255">
        <v>0</v>
      </c>
      <c r="EZ30" s="255">
        <v>0</v>
      </c>
      <c r="FA30" s="255">
        <v>0</v>
      </c>
      <c r="FB30" s="255">
        <v>0</v>
      </c>
      <c r="FC30" s="255">
        <v>0</v>
      </c>
      <c r="FD30" s="255">
        <v>0</v>
      </c>
      <c r="FE30" s="255">
        <v>0</v>
      </c>
      <c r="FF30" s="255">
        <v>0</v>
      </c>
      <c r="FG30" s="255">
        <v>0</v>
      </c>
      <c r="FH30" s="255">
        <v>0</v>
      </c>
      <c r="FI30" s="255">
        <v>0</v>
      </c>
      <c r="FJ30" s="255">
        <v>0</v>
      </c>
      <c r="FK30" s="255">
        <v>0</v>
      </c>
      <c r="FL30" s="255">
        <v>0</v>
      </c>
      <c r="FM30" s="255">
        <v>0</v>
      </c>
      <c r="FN30" s="255">
        <v>0</v>
      </c>
      <c r="FO30" s="255">
        <v>0</v>
      </c>
      <c r="FP30" s="255">
        <v>0</v>
      </c>
      <c r="FQ30" s="255">
        <v>0</v>
      </c>
      <c r="FR30" s="255">
        <v>0</v>
      </c>
      <c r="FS30" s="255">
        <v>0</v>
      </c>
      <c r="FT30" s="255">
        <v>0</v>
      </c>
      <c r="FU30" s="255">
        <v>0</v>
      </c>
      <c r="FV30" s="255">
        <v>0</v>
      </c>
      <c r="FW30" s="255">
        <v>0</v>
      </c>
      <c r="FX30" s="116"/>
    </row>
    <row r="31" spans="2:180" x14ac:dyDescent="0.2">
      <c r="B31" s="253" t="s">
        <v>237</v>
      </c>
      <c r="C31" s="286" t="s">
        <v>338</v>
      </c>
      <c r="D31" s="253" t="s">
        <v>85</v>
      </c>
      <c r="E31" s="253" t="s">
        <v>127</v>
      </c>
      <c r="F31" s="253">
        <v>0</v>
      </c>
      <c r="G31" s="253" t="s">
        <v>268</v>
      </c>
      <c r="H31" s="237">
        <v>0</v>
      </c>
      <c r="I31" s="126">
        <f t="shared" si="85"/>
        <v>49995</v>
      </c>
      <c r="J31" s="116"/>
      <c r="K31" s="254">
        <v>0</v>
      </c>
      <c r="L31" s="254">
        <v>0</v>
      </c>
      <c r="M31" s="254">
        <v>0</v>
      </c>
      <c r="N31" s="254">
        <v>0</v>
      </c>
      <c r="O31" s="254">
        <v>0</v>
      </c>
      <c r="P31" s="254">
        <v>0</v>
      </c>
      <c r="Q31" s="254">
        <v>0</v>
      </c>
      <c r="R31" s="254">
        <v>0</v>
      </c>
      <c r="S31" s="254">
        <v>0</v>
      </c>
      <c r="T31" s="254">
        <v>0</v>
      </c>
      <c r="U31" s="254">
        <v>0</v>
      </c>
      <c r="V31" s="254">
        <v>0</v>
      </c>
      <c r="W31" s="254">
        <v>0</v>
      </c>
      <c r="X31" s="254">
        <v>1</v>
      </c>
      <c r="Y31" s="254">
        <v>0</v>
      </c>
      <c r="Z31" s="254">
        <v>0</v>
      </c>
      <c r="AA31" s="254">
        <v>0</v>
      </c>
      <c r="AB31" s="254">
        <v>0</v>
      </c>
      <c r="AC31" s="254">
        <v>0</v>
      </c>
      <c r="AD31" s="254">
        <v>0</v>
      </c>
      <c r="AE31" s="254">
        <v>0</v>
      </c>
      <c r="AF31" s="254">
        <v>0</v>
      </c>
      <c r="AG31" s="254">
        <v>0</v>
      </c>
      <c r="AH31" s="254">
        <v>0</v>
      </c>
      <c r="AI31" s="254">
        <v>0</v>
      </c>
      <c r="AJ31" s="254">
        <v>0</v>
      </c>
      <c r="AK31" s="254">
        <v>0</v>
      </c>
      <c r="AL31" s="254">
        <v>0</v>
      </c>
      <c r="AM31" s="254">
        <v>0</v>
      </c>
      <c r="AN31" s="254">
        <v>0</v>
      </c>
      <c r="AO31" s="254">
        <v>0</v>
      </c>
      <c r="AP31" s="254">
        <v>0</v>
      </c>
      <c r="AQ31" s="254">
        <v>0</v>
      </c>
      <c r="AR31" s="254">
        <v>0</v>
      </c>
      <c r="AS31" s="254">
        <v>0</v>
      </c>
      <c r="AT31" s="254">
        <v>0</v>
      </c>
      <c r="AU31" s="254">
        <v>0</v>
      </c>
      <c r="AV31" s="254">
        <v>0</v>
      </c>
      <c r="AW31" s="254">
        <v>0</v>
      </c>
      <c r="AX31" s="254">
        <v>0</v>
      </c>
      <c r="AY31" s="254">
        <v>0</v>
      </c>
      <c r="AZ31" s="254">
        <v>0</v>
      </c>
      <c r="BA31" s="254">
        <v>0</v>
      </c>
      <c r="BB31" s="254">
        <v>0</v>
      </c>
      <c r="BC31" s="254">
        <v>0</v>
      </c>
      <c r="BD31" s="254">
        <v>0</v>
      </c>
      <c r="BE31" s="254">
        <v>0</v>
      </c>
      <c r="BF31" s="254">
        <v>0</v>
      </c>
      <c r="BG31" s="254">
        <v>0</v>
      </c>
      <c r="BH31" s="254">
        <v>0</v>
      </c>
      <c r="BI31" s="254">
        <v>0</v>
      </c>
      <c r="BJ31" s="254">
        <v>0</v>
      </c>
      <c r="BK31" s="254">
        <v>0</v>
      </c>
      <c r="BL31" s="254">
        <v>0</v>
      </c>
      <c r="BM31" s="254">
        <v>0</v>
      </c>
      <c r="BN31" s="254">
        <v>0</v>
      </c>
      <c r="BO31" s="254">
        <v>0</v>
      </c>
      <c r="BP31" s="254">
        <v>0</v>
      </c>
      <c r="BQ31" s="254">
        <v>0</v>
      </c>
      <c r="BR31" s="254">
        <v>0</v>
      </c>
      <c r="BS31" s="254">
        <v>0</v>
      </c>
      <c r="BT31" s="254">
        <v>0</v>
      </c>
      <c r="BU31" s="254">
        <v>0</v>
      </c>
      <c r="BV31" s="254">
        <v>0</v>
      </c>
      <c r="BW31" s="254">
        <v>0</v>
      </c>
      <c r="BX31" s="254">
        <v>0</v>
      </c>
      <c r="BY31" s="254">
        <v>0</v>
      </c>
      <c r="BZ31" s="254">
        <v>0</v>
      </c>
      <c r="CA31" s="254">
        <v>0</v>
      </c>
      <c r="CB31" s="254">
        <v>0</v>
      </c>
      <c r="CC31" s="254">
        <v>0</v>
      </c>
      <c r="CD31" s="254">
        <v>0</v>
      </c>
      <c r="CE31" s="254">
        <v>0</v>
      </c>
      <c r="CF31" s="254">
        <v>0</v>
      </c>
      <c r="CG31" s="254">
        <v>0</v>
      </c>
      <c r="CH31" s="254">
        <v>0</v>
      </c>
      <c r="CI31" s="254">
        <v>0</v>
      </c>
      <c r="CJ31" s="254">
        <v>0</v>
      </c>
      <c r="CK31" s="254">
        <v>0</v>
      </c>
      <c r="CL31" s="254">
        <v>0</v>
      </c>
      <c r="CM31" s="254">
        <v>0</v>
      </c>
      <c r="CN31" s="254">
        <v>0</v>
      </c>
      <c r="CO31" s="254">
        <v>0</v>
      </c>
      <c r="CP31" s="254">
        <v>0</v>
      </c>
      <c r="CQ31" s="116"/>
      <c r="CR31" s="255">
        <v>0</v>
      </c>
      <c r="CS31" s="255">
        <v>0</v>
      </c>
      <c r="CT31" s="255">
        <v>0</v>
      </c>
      <c r="CU31" s="255">
        <v>0</v>
      </c>
      <c r="CV31" s="255">
        <v>0</v>
      </c>
      <c r="CW31" s="255">
        <v>0</v>
      </c>
      <c r="CX31" s="255">
        <v>0</v>
      </c>
      <c r="CY31" s="255">
        <v>0</v>
      </c>
      <c r="CZ31" s="255">
        <v>0</v>
      </c>
      <c r="DA31" s="255">
        <v>0</v>
      </c>
      <c r="DB31" s="255">
        <v>0</v>
      </c>
      <c r="DC31" s="255">
        <v>0</v>
      </c>
      <c r="DD31" s="255">
        <v>0</v>
      </c>
      <c r="DE31" s="255">
        <v>49995</v>
      </c>
      <c r="DF31" s="255">
        <v>0</v>
      </c>
      <c r="DG31" s="255">
        <v>0</v>
      </c>
      <c r="DH31" s="255">
        <v>0</v>
      </c>
      <c r="DI31" s="255">
        <v>0</v>
      </c>
      <c r="DJ31" s="255">
        <v>0</v>
      </c>
      <c r="DK31" s="255">
        <v>0</v>
      </c>
      <c r="DL31" s="255">
        <v>0</v>
      </c>
      <c r="DM31" s="255">
        <v>0</v>
      </c>
      <c r="DN31" s="255">
        <v>0</v>
      </c>
      <c r="DO31" s="255">
        <v>0</v>
      </c>
      <c r="DP31" s="255">
        <v>0</v>
      </c>
      <c r="DQ31" s="255">
        <v>0</v>
      </c>
      <c r="DR31" s="255">
        <v>0</v>
      </c>
      <c r="DS31" s="255">
        <v>0</v>
      </c>
      <c r="DT31" s="255">
        <v>0</v>
      </c>
      <c r="DU31" s="255">
        <v>0</v>
      </c>
      <c r="DV31" s="255">
        <v>0</v>
      </c>
      <c r="DW31" s="255">
        <v>0</v>
      </c>
      <c r="DX31" s="255">
        <v>0</v>
      </c>
      <c r="DY31" s="255">
        <v>0</v>
      </c>
      <c r="DZ31" s="255">
        <v>0</v>
      </c>
      <c r="EA31" s="255">
        <v>0</v>
      </c>
      <c r="EB31" s="255">
        <v>0</v>
      </c>
      <c r="EC31" s="255">
        <v>0</v>
      </c>
      <c r="ED31" s="255">
        <v>0</v>
      </c>
      <c r="EE31" s="255">
        <v>0</v>
      </c>
      <c r="EF31" s="255">
        <v>0</v>
      </c>
      <c r="EG31" s="255">
        <v>0</v>
      </c>
      <c r="EH31" s="255">
        <v>0</v>
      </c>
      <c r="EI31" s="255">
        <v>0</v>
      </c>
      <c r="EJ31" s="255">
        <v>0</v>
      </c>
      <c r="EK31" s="255">
        <v>0</v>
      </c>
      <c r="EL31" s="255">
        <v>0</v>
      </c>
      <c r="EM31" s="255">
        <v>0</v>
      </c>
      <c r="EN31" s="255">
        <v>0</v>
      </c>
      <c r="EO31" s="255">
        <v>0</v>
      </c>
      <c r="EP31" s="255">
        <v>0</v>
      </c>
      <c r="EQ31" s="255">
        <v>0</v>
      </c>
      <c r="ER31" s="255">
        <v>0</v>
      </c>
      <c r="ES31" s="255">
        <v>0</v>
      </c>
      <c r="ET31" s="255">
        <v>0</v>
      </c>
      <c r="EU31" s="255">
        <v>0</v>
      </c>
      <c r="EV31" s="255">
        <v>0</v>
      </c>
      <c r="EW31" s="255">
        <v>0</v>
      </c>
      <c r="EX31" s="255">
        <v>0</v>
      </c>
      <c r="EY31" s="255">
        <v>0</v>
      </c>
      <c r="EZ31" s="255">
        <v>0</v>
      </c>
      <c r="FA31" s="255">
        <v>0</v>
      </c>
      <c r="FB31" s="255">
        <v>0</v>
      </c>
      <c r="FC31" s="255">
        <v>0</v>
      </c>
      <c r="FD31" s="255">
        <v>0</v>
      </c>
      <c r="FE31" s="255">
        <v>0</v>
      </c>
      <c r="FF31" s="255">
        <v>0</v>
      </c>
      <c r="FG31" s="255">
        <v>0</v>
      </c>
      <c r="FH31" s="255">
        <v>0</v>
      </c>
      <c r="FI31" s="255">
        <v>0</v>
      </c>
      <c r="FJ31" s="255">
        <v>0</v>
      </c>
      <c r="FK31" s="255">
        <v>0</v>
      </c>
      <c r="FL31" s="255">
        <v>0</v>
      </c>
      <c r="FM31" s="255">
        <v>0</v>
      </c>
      <c r="FN31" s="255">
        <v>0</v>
      </c>
      <c r="FO31" s="255">
        <v>0</v>
      </c>
      <c r="FP31" s="255">
        <v>0</v>
      </c>
      <c r="FQ31" s="255">
        <v>0</v>
      </c>
      <c r="FR31" s="255">
        <v>0</v>
      </c>
      <c r="FS31" s="255">
        <v>0</v>
      </c>
      <c r="FT31" s="255">
        <v>0</v>
      </c>
      <c r="FU31" s="255">
        <v>0</v>
      </c>
      <c r="FV31" s="255">
        <v>0</v>
      </c>
      <c r="FW31" s="255">
        <v>0</v>
      </c>
      <c r="FX31" s="116"/>
    </row>
    <row r="32" spans="2:180" x14ac:dyDescent="0.2">
      <c r="B32" s="253" t="s">
        <v>234</v>
      </c>
      <c r="C32" s="253" t="s">
        <v>275</v>
      </c>
      <c r="D32" s="253" t="s">
        <v>258</v>
      </c>
      <c r="E32" s="253" t="s">
        <v>127</v>
      </c>
      <c r="F32" s="253" t="s">
        <v>259</v>
      </c>
      <c r="G32" s="253" t="s">
        <v>260</v>
      </c>
      <c r="H32" s="237">
        <v>226.7</v>
      </c>
      <c r="I32" s="126">
        <f t="shared" si="85"/>
        <v>1341129.5200000003</v>
      </c>
      <c r="J32" s="116"/>
      <c r="K32" s="254">
        <v>0</v>
      </c>
      <c r="L32" s="254">
        <v>0</v>
      </c>
      <c r="M32" s="254">
        <v>0</v>
      </c>
      <c r="N32" s="254">
        <v>0</v>
      </c>
      <c r="O32" s="254">
        <v>0</v>
      </c>
      <c r="P32" s="254">
        <v>0</v>
      </c>
      <c r="Q32" s="254">
        <v>0</v>
      </c>
      <c r="R32" s="254">
        <v>0</v>
      </c>
      <c r="S32" s="254">
        <v>0</v>
      </c>
      <c r="T32" s="254">
        <v>0</v>
      </c>
      <c r="U32" s="254">
        <v>0</v>
      </c>
      <c r="V32" s="254">
        <v>0.83333333333333337</v>
      </c>
      <c r="W32" s="254">
        <v>1.2761904761904761</v>
      </c>
      <c r="X32" s="254">
        <v>1</v>
      </c>
      <c r="Y32" s="254">
        <v>1</v>
      </c>
      <c r="Z32" s="254">
        <v>1</v>
      </c>
      <c r="AA32" s="254">
        <v>0.92105263157894735</v>
      </c>
      <c r="AB32" s="254">
        <v>0.92105263157894735</v>
      </c>
      <c r="AC32" s="254">
        <v>1</v>
      </c>
      <c r="AD32" s="254">
        <v>1</v>
      </c>
      <c r="AE32" s="254">
        <v>1</v>
      </c>
      <c r="AF32" s="254">
        <v>1</v>
      </c>
      <c r="AG32" s="254">
        <v>1</v>
      </c>
      <c r="AH32" s="254">
        <v>1</v>
      </c>
      <c r="AI32" s="254">
        <v>1</v>
      </c>
      <c r="AJ32" s="254">
        <v>1</v>
      </c>
      <c r="AK32" s="254">
        <v>1</v>
      </c>
      <c r="AL32" s="254">
        <v>1</v>
      </c>
      <c r="AM32" s="254">
        <v>1</v>
      </c>
      <c r="AN32" s="254">
        <v>1</v>
      </c>
      <c r="AO32" s="254">
        <v>1</v>
      </c>
      <c r="AP32" s="254">
        <v>1</v>
      </c>
      <c r="AQ32" s="254">
        <v>1</v>
      </c>
      <c r="AR32" s="254">
        <v>1</v>
      </c>
      <c r="AS32" s="254">
        <v>1</v>
      </c>
      <c r="AT32" s="254">
        <v>1</v>
      </c>
      <c r="AU32" s="254">
        <v>1</v>
      </c>
      <c r="AV32" s="254">
        <v>1</v>
      </c>
      <c r="AW32" s="254">
        <v>1</v>
      </c>
      <c r="AX32" s="254">
        <v>1</v>
      </c>
      <c r="AY32" s="254">
        <v>0.92105263157894735</v>
      </c>
      <c r="AZ32" s="254">
        <v>0.92105263157894735</v>
      </c>
      <c r="BA32" s="254">
        <v>1</v>
      </c>
      <c r="BB32" s="254">
        <v>1</v>
      </c>
      <c r="BC32" s="254">
        <v>1</v>
      </c>
      <c r="BD32" s="254">
        <v>1</v>
      </c>
      <c r="BE32" s="254">
        <v>1</v>
      </c>
      <c r="BF32" s="254">
        <v>1</v>
      </c>
      <c r="BG32" s="254">
        <v>1</v>
      </c>
      <c r="BH32" s="254">
        <v>1</v>
      </c>
      <c r="BI32" s="254">
        <v>0</v>
      </c>
      <c r="BJ32" s="254">
        <v>0</v>
      </c>
      <c r="BK32" s="254">
        <v>0</v>
      </c>
      <c r="BL32" s="254">
        <v>0</v>
      </c>
      <c r="BM32" s="254">
        <v>0</v>
      </c>
      <c r="BN32" s="254">
        <v>0</v>
      </c>
      <c r="BO32" s="254">
        <v>0</v>
      </c>
      <c r="BP32" s="254">
        <v>0</v>
      </c>
      <c r="BQ32" s="254">
        <v>0</v>
      </c>
      <c r="BR32" s="254">
        <v>0</v>
      </c>
      <c r="BS32" s="254">
        <v>0</v>
      </c>
      <c r="BT32" s="254">
        <v>0</v>
      </c>
      <c r="BU32" s="254">
        <v>0</v>
      </c>
      <c r="BV32" s="254">
        <v>0</v>
      </c>
      <c r="BW32" s="254">
        <v>0</v>
      </c>
      <c r="BX32" s="254">
        <v>0</v>
      </c>
      <c r="BY32" s="254">
        <v>0</v>
      </c>
      <c r="BZ32" s="254">
        <v>0</v>
      </c>
      <c r="CA32" s="254">
        <v>0</v>
      </c>
      <c r="CB32" s="254">
        <v>0</v>
      </c>
      <c r="CC32" s="254">
        <v>0</v>
      </c>
      <c r="CD32" s="254">
        <v>0</v>
      </c>
      <c r="CE32" s="254">
        <v>0</v>
      </c>
      <c r="CF32" s="254">
        <v>0</v>
      </c>
      <c r="CG32" s="254">
        <v>0</v>
      </c>
      <c r="CH32" s="254">
        <v>0</v>
      </c>
      <c r="CI32" s="254">
        <v>0</v>
      </c>
      <c r="CJ32" s="254">
        <v>0</v>
      </c>
      <c r="CK32" s="254">
        <v>0</v>
      </c>
      <c r="CL32" s="254">
        <v>0</v>
      </c>
      <c r="CM32" s="254">
        <v>0</v>
      </c>
      <c r="CN32" s="254">
        <v>0</v>
      </c>
      <c r="CO32" s="254">
        <v>0</v>
      </c>
      <c r="CP32" s="254">
        <v>0</v>
      </c>
      <c r="CQ32" s="116"/>
      <c r="CR32" s="255">
        <v>0</v>
      </c>
      <c r="CS32" s="255">
        <v>0</v>
      </c>
      <c r="CT32" s="255">
        <v>0</v>
      </c>
      <c r="CU32" s="255">
        <v>0</v>
      </c>
      <c r="CV32" s="255">
        <v>0</v>
      </c>
      <c r="CW32" s="255">
        <v>0</v>
      </c>
      <c r="CX32" s="255">
        <v>0</v>
      </c>
      <c r="CY32" s="255">
        <v>0</v>
      </c>
      <c r="CZ32" s="255">
        <v>0</v>
      </c>
      <c r="DA32" s="255">
        <v>0</v>
      </c>
      <c r="DB32" s="255">
        <v>0</v>
      </c>
      <c r="DC32" s="255">
        <v>25261.280000000006</v>
      </c>
      <c r="DD32" s="255">
        <v>38685.860000000052</v>
      </c>
      <c r="DE32" s="255">
        <v>34872.6</v>
      </c>
      <c r="DF32" s="255">
        <v>34872.6</v>
      </c>
      <c r="DG32" s="255">
        <v>26154.45</v>
      </c>
      <c r="DH32" s="255">
        <v>34872.6</v>
      </c>
      <c r="DI32" s="255">
        <v>34872.6</v>
      </c>
      <c r="DJ32" s="255">
        <v>35905.800000000003</v>
      </c>
      <c r="DK32" s="255">
        <v>35905.800000000003</v>
      </c>
      <c r="DL32" s="255">
        <v>35905.800000000003</v>
      </c>
      <c r="DM32" s="255">
        <v>35905.800000000003</v>
      </c>
      <c r="DN32" s="255">
        <v>35905.800000000003</v>
      </c>
      <c r="DO32" s="255">
        <v>26929.350000000002</v>
      </c>
      <c r="DP32" s="255">
        <v>26929.350000000002</v>
      </c>
      <c r="DQ32" s="255">
        <v>35905.800000000003</v>
      </c>
      <c r="DR32" s="255">
        <v>35905.800000000003</v>
      </c>
      <c r="DS32" s="255">
        <v>26929.350000000002</v>
      </c>
      <c r="DT32" s="255">
        <v>38983.440000000002</v>
      </c>
      <c r="DU32" s="255">
        <v>38983.440000000002</v>
      </c>
      <c r="DV32" s="255">
        <v>36971.199999999997</v>
      </c>
      <c r="DW32" s="255">
        <v>36971.199999999997</v>
      </c>
      <c r="DX32" s="255">
        <v>36971.199999999997</v>
      </c>
      <c r="DY32" s="255">
        <v>36971.199999999997</v>
      </c>
      <c r="DZ32" s="255">
        <v>36971.199999999997</v>
      </c>
      <c r="EA32" s="255">
        <v>27728.399999999998</v>
      </c>
      <c r="EB32" s="255">
        <v>27728.399999999998</v>
      </c>
      <c r="EC32" s="255">
        <v>36971.199999999997</v>
      </c>
      <c r="ED32" s="255">
        <v>36971.199999999997</v>
      </c>
      <c r="EE32" s="255">
        <v>27728.399999999998</v>
      </c>
      <c r="EF32" s="255">
        <v>36971.199999999997</v>
      </c>
      <c r="EG32" s="255">
        <v>36971.199999999997</v>
      </c>
      <c r="EH32" s="255">
        <v>38068.800000000003</v>
      </c>
      <c r="EI32" s="255">
        <v>38068.800000000003</v>
      </c>
      <c r="EJ32" s="255">
        <v>38068.800000000003</v>
      </c>
      <c r="EK32" s="255">
        <v>38068.800000000003</v>
      </c>
      <c r="EL32" s="255">
        <v>38068.800000000003</v>
      </c>
      <c r="EM32" s="255">
        <v>28551.600000000002</v>
      </c>
      <c r="EN32" s="255">
        <v>28551.600000000002</v>
      </c>
      <c r="EO32" s="255">
        <v>38068.800000000003</v>
      </c>
      <c r="EP32" s="255">
        <v>0</v>
      </c>
      <c r="EQ32" s="255">
        <v>0</v>
      </c>
      <c r="ER32" s="255">
        <v>0</v>
      </c>
      <c r="ES32" s="255">
        <v>0</v>
      </c>
      <c r="ET32" s="255">
        <v>0</v>
      </c>
      <c r="EU32" s="255">
        <v>0</v>
      </c>
      <c r="EV32" s="255">
        <v>0</v>
      </c>
      <c r="EW32" s="255">
        <v>0</v>
      </c>
      <c r="EX32" s="255">
        <v>0</v>
      </c>
      <c r="EY32" s="255">
        <v>0</v>
      </c>
      <c r="EZ32" s="255">
        <v>0</v>
      </c>
      <c r="FA32" s="255">
        <v>0</v>
      </c>
      <c r="FB32" s="255">
        <v>0</v>
      </c>
      <c r="FC32" s="255">
        <v>0</v>
      </c>
      <c r="FD32" s="255">
        <v>0</v>
      </c>
      <c r="FE32" s="255">
        <v>0</v>
      </c>
      <c r="FF32" s="255">
        <v>0</v>
      </c>
      <c r="FG32" s="255">
        <v>0</v>
      </c>
      <c r="FH32" s="255">
        <v>0</v>
      </c>
      <c r="FI32" s="255">
        <v>0</v>
      </c>
      <c r="FJ32" s="255">
        <v>0</v>
      </c>
      <c r="FK32" s="255">
        <v>0</v>
      </c>
      <c r="FL32" s="255">
        <v>0</v>
      </c>
      <c r="FM32" s="255">
        <v>0</v>
      </c>
      <c r="FN32" s="255">
        <v>0</v>
      </c>
      <c r="FO32" s="255">
        <v>0</v>
      </c>
      <c r="FP32" s="255">
        <v>0</v>
      </c>
      <c r="FQ32" s="255">
        <v>0</v>
      </c>
      <c r="FR32" s="255">
        <v>0</v>
      </c>
      <c r="FS32" s="255">
        <v>0</v>
      </c>
      <c r="FT32" s="255">
        <v>0</v>
      </c>
      <c r="FU32" s="255">
        <v>0</v>
      </c>
      <c r="FV32" s="255">
        <v>0</v>
      </c>
      <c r="FW32" s="255">
        <v>0</v>
      </c>
      <c r="FX32" s="116"/>
    </row>
    <row r="33" spans="2:180" x14ac:dyDescent="0.2">
      <c r="B33" s="253" t="s">
        <v>234</v>
      </c>
      <c r="C33" s="253" t="s">
        <v>275</v>
      </c>
      <c r="D33" s="253" t="s">
        <v>258</v>
      </c>
      <c r="E33" s="253" t="s">
        <v>127</v>
      </c>
      <c r="F33" s="253" t="s">
        <v>259</v>
      </c>
      <c r="G33" s="253" t="s">
        <v>260</v>
      </c>
      <c r="H33" s="237">
        <v>226.7</v>
      </c>
      <c r="I33" s="126">
        <f t="shared" si="85"/>
        <v>1330001</v>
      </c>
      <c r="J33" s="116"/>
      <c r="K33" s="254">
        <v>0</v>
      </c>
      <c r="L33" s="254">
        <v>0</v>
      </c>
      <c r="M33" s="254">
        <v>0</v>
      </c>
      <c r="N33" s="254">
        <v>0</v>
      </c>
      <c r="O33" s="254">
        <v>0</v>
      </c>
      <c r="P33" s="254">
        <v>0</v>
      </c>
      <c r="Q33" s="254">
        <v>0</v>
      </c>
      <c r="R33" s="254">
        <v>0</v>
      </c>
      <c r="S33" s="254">
        <v>0</v>
      </c>
      <c r="T33" s="254">
        <v>0</v>
      </c>
      <c r="U33" s="254">
        <v>0</v>
      </c>
      <c r="V33" s="254">
        <v>0</v>
      </c>
      <c r="W33" s="254">
        <v>1.5333333333333334</v>
      </c>
      <c r="X33" s="254">
        <v>1</v>
      </c>
      <c r="Y33" s="254">
        <v>1</v>
      </c>
      <c r="Z33" s="254">
        <v>1</v>
      </c>
      <c r="AA33" s="254">
        <v>0.92105263157894735</v>
      </c>
      <c r="AB33" s="254">
        <v>0.92105263157894735</v>
      </c>
      <c r="AC33" s="254">
        <v>1</v>
      </c>
      <c r="AD33" s="254">
        <v>1</v>
      </c>
      <c r="AE33" s="254">
        <v>1</v>
      </c>
      <c r="AF33" s="254">
        <v>1</v>
      </c>
      <c r="AG33" s="254">
        <v>1</v>
      </c>
      <c r="AH33" s="254">
        <v>1</v>
      </c>
      <c r="AI33" s="254">
        <v>1</v>
      </c>
      <c r="AJ33" s="254">
        <v>1</v>
      </c>
      <c r="AK33" s="254">
        <v>1</v>
      </c>
      <c r="AL33" s="254">
        <v>1</v>
      </c>
      <c r="AM33" s="254">
        <v>1</v>
      </c>
      <c r="AN33" s="254">
        <v>1</v>
      </c>
      <c r="AO33" s="254">
        <v>1</v>
      </c>
      <c r="AP33" s="254">
        <v>1</v>
      </c>
      <c r="AQ33" s="254">
        <v>1</v>
      </c>
      <c r="AR33" s="254">
        <v>1</v>
      </c>
      <c r="AS33" s="254">
        <v>1</v>
      </c>
      <c r="AT33" s="254">
        <v>1</v>
      </c>
      <c r="AU33" s="254">
        <v>1</v>
      </c>
      <c r="AV33" s="254">
        <v>1</v>
      </c>
      <c r="AW33" s="254">
        <v>1</v>
      </c>
      <c r="AX33" s="254">
        <v>1</v>
      </c>
      <c r="AY33" s="254">
        <v>1</v>
      </c>
      <c r="AZ33" s="254">
        <v>1</v>
      </c>
      <c r="BA33" s="254">
        <v>1</v>
      </c>
      <c r="BB33" s="254">
        <v>1</v>
      </c>
      <c r="BC33" s="254">
        <v>1</v>
      </c>
      <c r="BD33" s="254">
        <v>1</v>
      </c>
      <c r="BE33" s="254">
        <v>1</v>
      </c>
      <c r="BF33" s="254">
        <v>1</v>
      </c>
      <c r="BG33" s="254">
        <v>1</v>
      </c>
      <c r="BH33" s="254">
        <v>1</v>
      </c>
      <c r="BI33" s="254">
        <v>0</v>
      </c>
      <c r="BJ33" s="254">
        <v>0</v>
      </c>
      <c r="BK33" s="254">
        <v>0</v>
      </c>
      <c r="BL33" s="254">
        <v>0</v>
      </c>
      <c r="BM33" s="254">
        <v>0</v>
      </c>
      <c r="BN33" s="254">
        <v>0</v>
      </c>
      <c r="BO33" s="254">
        <v>0</v>
      </c>
      <c r="BP33" s="254">
        <v>0</v>
      </c>
      <c r="BQ33" s="254">
        <v>0</v>
      </c>
      <c r="BR33" s="254">
        <v>0</v>
      </c>
      <c r="BS33" s="254">
        <v>0</v>
      </c>
      <c r="BT33" s="254">
        <v>0</v>
      </c>
      <c r="BU33" s="254">
        <v>0</v>
      </c>
      <c r="BV33" s="254">
        <v>0</v>
      </c>
      <c r="BW33" s="254">
        <v>0</v>
      </c>
      <c r="BX33" s="254">
        <v>0</v>
      </c>
      <c r="BY33" s="254">
        <v>0</v>
      </c>
      <c r="BZ33" s="254">
        <v>0</v>
      </c>
      <c r="CA33" s="254">
        <v>0</v>
      </c>
      <c r="CB33" s="254">
        <v>0</v>
      </c>
      <c r="CC33" s="254">
        <v>0</v>
      </c>
      <c r="CD33" s="254">
        <v>0</v>
      </c>
      <c r="CE33" s="254">
        <v>0</v>
      </c>
      <c r="CF33" s="254">
        <v>0</v>
      </c>
      <c r="CG33" s="254">
        <v>0</v>
      </c>
      <c r="CH33" s="254">
        <v>0</v>
      </c>
      <c r="CI33" s="254">
        <v>0</v>
      </c>
      <c r="CJ33" s="254">
        <v>0</v>
      </c>
      <c r="CK33" s="254">
        <v>0</v>
      </c>
      <c r="CL33" s="254">
        <v>0</v>
      </c>
      <c r="CM33" s="254">
        <v>0</v>
      </c>
      <c r="CN33" s="254">
        <v>0</v>
      </c>
      <c r="CO33" s="254">
        <v>0</v>
      </c>
      <c r="CP33" s="254">
        <v>0</v>
      </c>
      <c r="CQ33" s="116"/>
      <c r="CR33" s="255">
        <v>0</v>
      </c>
      <c r="CS33" s="255">
        <v>0</v>
      </c>
      <c r="CT33" s="255">
        <v>0</v>
      </c>
      <c r="CU33" s="255">
        <v>0</v>
      </c>
      <c r="CV33" s="255">
        <v>0</v>
      </c>
      <c r="CW33" s="255">
        <v>0</v>
      </c>
      <c r="CX33" s="255">
        <v>0</v>
      </c>
      <c r="CY33" s="255">
        <v>0</v>
      </c>
      <c r="CZ33" s="255">
        <v>0</v>
      </c>
      <c r="DA33" s="255">
        <v>0</v>
      </c>
      <c r="DB33" s="255">
        <v>0</v>
      </c>
      <c r="DC33" s="255">
        <v>0</v>
      </c>
      <c r="DD33" s="255">
        <v>46480.700000000041</v>
      </c>
      <c r="DE33" s="255">
        <v>34872.6</v>
      </c>
      <c r="DF33" s="255">
        <v>34872.6</v>
      </c>
      <c r="DG33" s="255">
        <v>26154.45</v>
      </c>
      <c r="DH33" s="255">
        <v>34872.6</v>
      </c>
      <c r="DI33" s="255">
        <v>34872.6</v>
      </c>
      <c r="DJ33" s="255">
        <v>35905.800000000003</v>
      </c>
      <c r="DK33" s="255">
        <v>35905.800000000003</v>
      </c>
      <c r="DL33" s="255">
        <v>35905.800000000003</v>
      </c>
      <c r="DM33" s="255">
        <v>35905.800000000003</v>
      </c>
      <c r="DN33" s="255">
        <v>35905.800000000003</v>
      </c>
      <c r="DO33" s="255">
        <v>26929.350000000002</v>
      </c>
      <c r="DP33" s="255">
        <v>26929.350000000002</v>
      </c>
      <c r="DQ33" s="255">
        <v>35905.800000000003</v>
      </c>
      <c r="DR33" s="255">
        <v>35905.800000000003</v>
      </c>
      <c r="DS33" s="255">
        <v>26929.350000000002</v>
      </c>
      <c r="DT33" s="255">
        <v>38983.440000000002</v>
      </c>
      <c r="DU33" s="255">
        <v>38983.440000000002</v>
      </c>
      <c r="DV33" s="255">
        <v>36971.199999999997</v>
      </c>
      <c r="DW33" s="255">
        <v>36971.199999999997</v>
      </c>
      <c r="DX33" s="255">
        <v>36971.199999999997</v>
      </c>
      <c r="DY33" s="255">
        <v>36971.199999999997</v>
      </c>
      <c r="DZ33" s="255">
        <v>36971.199999999997</v>
      </c>
      <c r="EA33" s="255">
        <v>27728.399999999998</v>
      </c>
      <c r="EB33" s="255">
        <v>27728.399999999998</v>
      </c>
      <c r="EC33" s="255">
        <v>36971.199999999997</v>
      </c>
      <c r="ED33" s="255">
        <v>36971.199999999997</v>
      </c>
      <c r="EE33" s="255">
        <v>27728.399999999998</v>
      </c>
      <c r="EF33" s="255">
        <v>40140.159999999996</v>
      </c>
      <c r="EG33" s="255">
        <v>40140.159999999996</v>
      </c>
      <c r="EH33" s="255">
        <v>38068.800000000003</v>
      </c>
      <c r="EI33" s="255">
        <v>38068.800000000003</v>
      </c>
      <c r="EJ33" s="255">
        <v>38068.800000000003</v>
      </c>
      <c r="EK33" s="255">
        <v>38068.800000000003</v>
      </c>
      <c r="EL33" s="255">
        <v>38068.800000000003</v>
      </c>
      <c r="EM33" s="255">
        <v>28551.600000000002</v>
      </c>
      <c r="EN33" s="255">
        <v>28551.600000000002</v>
      </c>
      <c r="EO33" s="255">
        <v>38068.800000000003</v>
      </c>
      <c r="EP33" s="255">
        <v>0</v>
      </c>
      <c r="EQ33" s="255">
        <v>0</v>
      </c>
      <c r="ER33" s="255">
        <v>0</v>
      </c>
      <c r="ES33" s="255">
        <v>0</v>
      </c>
      <c r="ET33" s="255">
        <v>0</v>
      </c>
      <c r="EU33" s="255">
        <v>0</v>
      </c>
      <c r="EV33" s="255">
        <v>0</v>
      </c>
      <c r="EW33" s="255">
        <v>0</v>
      </c>
      <c r="EX33" s="255">
        <v>0</v>
      </c>
      <c r="EY33" s="255">
        <v>0</v>
      </c>
      <c r="EZ33" s="255">
        <v>0</v>
      </c>
      <c r="FA33" s="255">
        <v>0</v>
      </c>
      <c r="FB33" s="255">
        <v>0</v>
      </c>
      <c r="FC33" s="255">
        <v>0</v>
      </c>
      <c r="FD33" s="255">
        <v>0</v>
      </c>
      <c r="FE33" s="255">
        <v>0</v>
      </c>
      <c r="FF33" s="255">
        <v>0</v>
      </c>
      <c r="FG33" s="255">
        <v>0</v>
      </c>
      <c r="FH33" s="255">
        <v>0</v>
      </c>
      <c r="FI33" s="255">
        <v>0</v>
      </c>
      <c r="FJ33" s="255">
        <v>0</v>
      </c>
      <c r="FK33" s="255">
        <v>0</v>
      </c>
      <c r="FL33" s="255">
        <v>0</v>
      </c>
      <c r="FM33" s="255">
        <v>0</v>
      </c>
      <c r="FN33" s="255">
        <v>0</v>
      </c>
      <c r="FO33" s="255">
        <v>0</v>
      </c>
      <c r="FP33" s="255">
        <v>0</v>
      </c>
      <c r="FQ33" s="255">
        <v>0</v>
      </c>
      <c r="FR33" s="255">
        <v>0</v>
      </c>
      <c r="FS33" s="255">
        <v>0</v>
      </c>
      <c r="FT33" s="255">
        <v>0</v>
      </c>
      <c r="FU33" s="255">
        <v>0</v>
      </c>
      <c r="FV33" s="255">
        <v>0</v>
      </c>
      <c r="FW33" s="255">
        <v>0</v>
      </c>
      <c r="FX33" s="116"/>
    </row>
    <row r="34" spans="2:180" x14ac:dyDescent="0.2">
      <c r="B34" s="253" t="s">
        <v>234</v>
      </c>
      <c r="C34" s="253" t="s">
        <v>276</v>
      </c>
      <c r="D34" s="253" t="s">
        <v>258</v>
      </c>
      <c r="E34" s="253" t="s">
        <v>127</v>
      </c>
      <c r="F34" s="253" t="s">
        <v>259</v>
      </c>
      <c r="G34" s="253" t="s">
        <v>260</v>
      </c>
      <c r="H34" s="237">
        <v>275.72000000000003</v>
      </c>
      <c r="I34" s="126">
        <f t="shared" si="85"/>
        <v>1411973.8999999994</v>
      </c>
      <c r="J34" s="116"/>
      <c r="K34" s="254">
        <v>0</v>
      </c>
      <c r="L34" s="254">
        <v>0</v>
      </c>
      <c r="M34" s="254">
        <v>0</v>
      </c>
      <c r="N34" s="254">
        <v>0</v>
      </c>
      <c r="O34" s="254">
        <v>0</v>
      </c>
      <c r="P34" s="254">
        <v>0</v>
      </c>
      <c r="Q34" s="254">
        <v>0</v>
      </c>
      <c r="R34" s="254">
        <v>0</v>
      </c>
      <c r="S34" s="254">
        <v>0</v>
      </c>
      <c r="T34" s="254">
        <v>0</v>
      </c>
      <c r="U34" s="254">
        <v>0</v>
      </c>
      <c r="V34" s="254">
        <v>0</v>
      </c>
      <c r="W34" s="254">
        <v>1.1333333333333333</v>
      </c>
      <c r="X34" s="254">
        <v>1</v>
      </c>
      <c r="Y34" s="254">
        <v>1</v>
      </c>
      <c r="Z34" s="254">
        <v>1</v>
      </c>
      <c r="AA34" s="254">
        <v>0.92105263157894735</v>
      </c>
      <c r="AB34" s="254">
        <v>0.92105263157894735</v>
      </c>
      <c r="AC34" s="254">
        <v>1</v>
      </c>
      <c r="AD34" s="254">
        <v>1</v>
      </c>
      <c r="AE34" s="254">
        <v>1</v>
      </c>
      <c r="AF34" s="254">
        <v>1</v>
      </c>
      <c r="AG34" s="254">
        <v>1</v>
      </c>
      <c r="AH34" s="254">
        <v>1</v>
      </c>
      <c r="AI34" s="254">
        <v>1</v>
      </c>
      <c r="AJ34" s="254">
        <v>1</v>
      </c>
      <c r="AK34" s="254">
        <v>1</v>
      </c>
      <c r="AL34" s="254">
        <v>1</v>
      </c>
      <c r="AM34" s="254">
        <v>1</v>
      </c>
      <c r="AN34" s="254">
        <v>1</v>
      </c>
      <c r="AO34" s="254">
        <v>1</v>
      </c>
      <c r="AP34" s="254">
        <v>1</v>
      </c>
      <c r="AQ34" s="254">
        <v>1</v>
      </c>
      <c r="AR34" s="254">
        <v>1</v>
      </c>
      <c r="AS34" s="254">
        <v>1</v>
      </c>
      <c r="AT34" s="254">
        <v>1</v>
      </c>
      <c r="AU34" s="254">
        <v>1</v>
      </c>
      <c r="AV34" s="254">
        <v>1</v>
      </c>
      <c r="AW34" s="254">
        <v>1</v>
      </c>
      <c r="AX34" s="254">
        <v>1</v>
      </c>
      <c r="AY34" s="254">
        <v>1</v>
      </c>
      <c r="AZ34" s="254">
        <v>1</v>
      </c>
      <c r="BA34" s="254">
        <v>1</v>
      </c>
      <c r="BB34" s="254">
        <v>1</v>
      </c>
      <c r="BC34" s="254">
        <v>1</v>
      </c>
      <c r="BD34" s="254">
        <v>1</v>
      </c>
      <c r="BE34" s="254">
        <v>1</v>
      </c>
      <c r="BF34" s="254">
        <v>1</v>
      </c>
      <c r="BG34" s="254">
        <v>1</v>
      </c>
      <c r="BH34" s="254">
        <v>1</v>
      </c>
      <c r="BI34" s="254">
        <v>0</v>
      </c>
      <c r="BJ34" s="254">
        <v>0</v>
      </c>
      <c r="BK34" s="254">
        <v>0</v>
      </c>
      <c r="BL34" s="254">
        <v>0</v>
      </c>
      <c r="BM34" s="254">
        <v>0</v>
      </c>
      <c r="BN34" s="254">
        <v>0</v>
      </c>
      <c r="BO34" s="254">
        <v>0</v>
      </c>
      <c r="BP34" s="254">
        <v>0</v>
      </c>
      <c r="BQ34" s="254">
        <v>0</v>
      </c>
      <c r="BR34" s="254">
        <v>0</v>
      </c>
      <c r="BS34" s="254">
        <v>0</v>
      </c>
      <c r="BT34" s="254">
        <v>0</v>
      </c>
      <c r="BU34" s="254">
        <v>0</v>
      </c>
      <c r="BV34" s="254">
        <v>0</v>
      </c>
      <c r="BW34" s="254">
        <v>0</v>
      </c>
      <c r="BX34" s="254">
        <v>0</v>
      </c>
      <c r="BY34" s="254">
        <v>0</v>
      </c>
      <c r="BZ34" s="254">
        <v>0</v>
      </c>
      <c r="CA34" s="254">
        <v>0</v>
      </c>
      <c r="CB34" s="254">
        <v>0</v>
      </c>
      <c r="CC34" s="254">
        <v>0</v>
      </c>
      <c r="CD34" s="254">
        <v>0</v>
      </c>
      <c r="CE34" s="254">
        <v>0</v>
      </c>
      <c r="CF34" s="254">
        <v>0</v>
      </c>
      <c r="CG34" s="254">
        <v>0</v>
      </c>
      <c r="CH34" s="254">
        <v>0</v>
      </c>
      <c r="CI34" s="254">
        <v>0</v>
      </c>
      <c r="CJ34" s="254">
        <v>0</v>
      </c>
      <c r="CK34" s="254">
        <v>0</v>
      </c>
      <c r="CL34" s="254">
        <v>0</v>
      </c>
      <c r="CM34" s="254">
        <v>0</v>
      </c>
      <c r="CN34" s="254">
        <v>0</v>
      </c>
      <c r="CO34" s="254">
        <v>0</v>
      </c>
      <c r="CP34" s="254">
        <v>0</v>
      </c>
      <c r="CQ34" s="116"/>
      <c r="CR34" s="255">
        <v>0</v>
      </c>
      <c r="CS34" s="255">
        <v>0</v>
      </c>
      <c r="CT34" s="255">
        <v>0</v>
      </c>
      <c r="CU34" s="255">
        <v>0</v>
      </c>
      <c r="CV34" s="255">
        <v>0</v>
      </c>
      <c r="CW34" s="255">
        <v>0</v>
      </c>
      <c r="CX34" s="255">
        <v>0</v>
      </c>
      <c r="CY34" s="255">
        <v>0</v>
      </c>
      <c r="CZ34" s="255">
        <v>0</v>
      </c>
      <c r="DA34" s="255">
        <v>0</v>
      </c>
      <c r="DB34" s="255">
        <v>0</v>
      </c>
      <c r="DC34" s="255">
        <v>0</v>
      </c>
      <c r="DD34" s="255">
        <v>31852.219999999987</v>
      </c>
      <c r="DE34" s="255">
        <v>37472.400000000001</v>
      </c>
      <c r="DF34" s="255">
        <v>37472.400000000001</v>
      </c>
      <c r="DG34" s="255">
        <v>28104.300000000003</v>
      </c>
      <c r="DH34" s="255">
        <v>37472.400000000001</v>
      </c>
      <c r="DI34" s="255">
        <v>37472.400000000001</v>
      </c>
      <c r="DJ34" s="255">
        <v>38600.800000000003</v>
      </c>
      <c r="DK34" s="255">
        <v>38600.800000000003</v>
      </c>
      <c r="DL34" s="255">
        <v>38600.800000000003</v>
      </c>
      <c r="DM34" s="255">
        <v>38600.800000000003</v>
      </c>
      <c r="DN34" s="255">
        <v>38600.800000000003</v>
      </c>
      <c r="DO34" s="255">
        <v>28950.600000000002</v>
      </c>
      <c r="DP34" s="255">
        <v>28950.600000000002</v>
      </c>
      <c r="DQ34" s="255">
        <v>38600.800000000003</v>
      </c>
      <c r="DR34" s="255">
        <v>38600.800000000003</v>
      </c>
      <c r="DS34" s="255">
        <v>28950.600000000002</v>
      </c>
      <c r="DT34" s="255">
        <v>41909.440000000002</v>
      </c>
      <c r="DU34" s="255">
        <v>41909.440000000002</v>
      </c>
      <c r="DV34" s="255">
        <v>39760</v>
      </c>
      <c r="DW34" s="255">
        <v>39760</v>
      </c>
      <c r="DX34" s="255">
        <v>39760</v>
      </c>
      <c r="DY34" s="255">
        <v>39760</v>
      </c>
      <c r="DZ34" s="255">
        <v>39760</v>
      </c>
      <c r="EA34" s="255">
        <v>29820</v>
      </c>
      <c r="EB34" s="255">
        <v>29820</v>
      </c>
      <c r="EC34" s="255">
        <v>39760</v>
      </c>
      <c r="ED34" s="255">
        <v>39760</v>
      </c>
      <c r="EE34" s="255">
        <v>29820</v>
      </c>
      <c r="EF34" s="255">
        <v>43168</v>
      </c>
      <c r="EG34" s="255">
        <v>43168</v>
      </c>
      <c r="EH34" s="255">
        <v>40951.4</v>
      </c>
      <c r="EI34" s="255">
        <v>40951.4</v>
      </c>
      <c r="EJ34" s="255">
        <v>40951.4</v>
      </c>
      <c r="EK34" s="255">
        <v>40951.4</v>
      </c>
      <c r="EL34" s="255">
        <v>40951.4</v>
      </c>
      <c r="EM34" s="255">
        <v>30713.550000000003</v>
      </c>
      <c r="EN34" s="255">
        <v>30713.550000000003</v>
      </c>
      <c r="EO34" s="255">
        <v>40951.4</v>
      </c>
      <c r="EP34" s="255">
        <v>0</v>
      </c>
      <c r="EQ34" s="255">
        <v>0</v>
      </c>
      <c r="ER34" s="255">
        <v>0</v>
      </c>
      <c r="ES34" s="255">
        <v>0</v>
      </c>
      <c r="ET34" s="255">
        <v>0</v>
      </c>
      <c r="EU34" s="255">
        <v>0</v>
      </c>
      <c r="EV34" s="255">
        <v>0</v>
      </c>
      <c r="EW34" s="255">
        <v>0</v>
      </c>
      <c r="EX34" s="255">
        <v>0</v>
      </c>
      <c r="EY34" s="255">
        <v>0</v>
      </c>
      <c r="EZ34" s="255">
        <v>0</v>
      </c>
      <c r="FA34" s="255">
        <v>0</v>
      </c>
      <c r="FB34" s="255">
        <v>0</v>
      </c>
      <c r="FC34" s="255">
        <v>0</v>
      </c>
      <c r="FD34" s="255">
        <v>0</v>
      </c>
      <c r="FE34" s="255">
        <v>0</v>
      </c>
      <c r="FF34" s="255">
        <v>0</v>
      </c>
      <c r="FG34" s="255">
        <v>0</v>
      </c>
      <c r="FH34" s="255">
        <v>0</v>
      </c>
      <c r="FI34" s="255">
        <v>0</v>
      </c>
      <c r="FJ34" s="255">
        <v>0</v>
      </c>
      <c r="FK34" s="255">
        <v>0</v>
      </c>
      <c r="FL34" s="255">
        <v>0</v>
      </c>
      <c r="FM34" s="255">
        <v>0</v>
      </c>
      <c r="FN34" s="255">
        <v>0</v>
      </c>
      <c r="FO34" s="255">
        <v>0</v>
      </c>
      <c r="FP34" s="255">
        <v>0</v>
      </c>
      <c r="FQ34" s="255">
        <v>0</v>
      </c>
      <c r="FR34" s="255">
        <v>0</v>
      </c>
      <c r="FS34" s="255">
        <v>0</v>
      </c>
      <c r="FT34" s="255">
        <v>0</v>
      </c>
      <c r="FU34" s="255">
        <v>0</v>
      </c>
      <c r="FV34" s="255">
        <v>0</v>
      </c>
      <c r="FW34" s="255">
        <v>0</v>
      </c>
      <c r="FX34" s="116"/>
    </row>
    <row r="35" spans="2:180" x14ac:dyDescent="0.2">
      <c r="B35" s="253" t="s">
        <v>234</v>
      </c>
      <c r="C35" s="253" t="s">
        <v>276</v>
      </c>
      <c r="D35" s="253" t="s">
        <v>258</v>
      </c>
      <c r="E35" s="253" t="s">
        <v>127</v>
      </c>
      <c r="F35" s="253" t="s">
        <v>263</v>
      </c>
      <c r="G35" s="253" t="s">
        <v>260</v>
      </c>
      <c r="H35" s="237">
        <v>275.72000000000003</v>
      </c>
      <c r="I35" s="126">
        <f t="shared" si="85"/>
        <v>1380121.6799999995</v>
      </c>
      <c r="J35" s="116"/>
      <c r="K35" s="254">
        <v>0</v>
      </c>
      <c r="L35" s="254">
        <v>0</v>
      </c>
      <c r="M35" s="254">
        <v>0</v>
      </c>
      <c r="N35" s="254">
        <v>0</v>
      </c>
      <c r="O35" s="254">
        <v>0</v>
      </c>
      <c r="P35" s="254">
        <v>0</v>
      </c>
      <c r="Q35" s="254">
        <v>0</v>
      </c>
      <c r="R35" s="254">
        <v>0</v>
      </c>
      <c r="S35" s="254">
        <v>0</v>
      </c>
      <c r="T35" s="254">
        <v>0</v>
      </c>
      <c r="U35" s="254">
        <v>0</v>
      </c>
      <c r="V35" s="254">
        <v>0</v>
      </c>
      <c r="W35" s="254">
        <v>0</v>
      </c>
      <c r="X35" s="254">
        <v>1</v>
      </c>
      <c r="Y35" s="254">
        <v>1</v>
      </c>
      <c r="Z35" s="254">
        <v>1</v>
      </c>
      <c r="AA35" s="254">
        <v>0.92105263157894735</v>
      </c>
      <c r="AB35" s="254">
        <v>0.92105263157894735</v>
      </c>
      <c r="AC35" s="254">
        <v>1</v>
      </c>
      <c r="AD35" s="254">
        <v>1</v>
      </c>
      <c r="AE35" s="254">
        <v>1</v>
      </c>
      <c r="AF35" s="254">
        <v>1</v>
      </c>
      <c r="AG35" s="254">
        <v>1</v>
      </c>
      <c r="AH35" s="254">
        <v>1</v>
      </c>
      <c r="AI35" s="254">
        <v>1</v>
      </c>
      <c r="AJ35" s="254">
        <v>1</v>
      </c>
      <c r="AK35" s="254">
        <v>1</v>
      </c>
      <c r="AL35" s="254">
        <v>1</v>
      </c>
      <c r="AM35" s="254">
        <v>1</v>
      </c>
      <c r="AN35" s="254">
        <v>1</v>
      </c>
      <c r="AO35" s="254">
        <v>1</v>
      </c>
      <c r="AP35" s="254">
        <v>1</v>
      </c>
      <c r="AQ35" s="254">
        <v>1</v>
      </c>
      <c r="AR35" s="254">
        <v>1</v>
      </c>
      <c r="AS35" s="254">
        <v>1</v>
      </c>
      <c r="AT35" s="254">
        <v>1</v>
      </c>
      <c r="AU35" s="254">
        <v>1</v>
      </c>
      <c r="AV35" s="254">
        <v>1</v>
      </c>
      <c r="AW35" s="254">
        <v>1</v>
      </c>
      <c r="AX35" s="254">
        <v>1</v>
      </c>
      <c r="AY35" s="254">
        <v>1</v>
      </c>
      <c r="AZ35" s="254">
        <v>1</v>
      </c>
      <c r="BA35" s="254">
        <v>1</v>
      </c>
      <c r="BB35" s="254">
        <v>1</v>
      </c>
      <c r="BC35" s="254">
        <v>1</v>
      </c>
      <c r="BD35" s="254">
        <v>1</v>
      </c>
      <c r="BE35" s="254">
        <v>1</v>
      </c>
      <c r="BF35" s="254">
        <v>1</v>
      </c>
      <c r="BG35" s="254">
        <v>1</v>
      </c>
      <c r="BH35" s="254">
        <v>1</v>
      </c>
      <c r="BI35" s="254">
        <v>0</v>
      </c>
      <c r="BJ35" s="254">
        <v>0</v>
      </c>
      <c r="BK35" s="254">
        <v>0</v>
      </c>
      <c r="BL35" s="254">
        <v>0</v>
      </c>
      <c r="BM35" s="254">
        <v>0</v>
      </c>
      <c r="BN35" s="254">
        <v>0</v>
      </c>
      <c r="BO35" s="254">
        <v>0</v>
      </c>
      <c r="BP35" s="254">
        <v>0</v>
      </c>
      <c r="BQ35" s="254">
        <v>0</v>
      </c>
      <c r="BR35" s="254">
        <v>0</v>
      </c>
      <c r="BS35" s="254">
        <v>0</v>
      </c>
      <c r="BT35" s="254">
        <v>0</v>
      </c>
      <c r="BU35" s="254">
        <v>0</v>
      </c>
      <c r="BV35" s="254">
        <v>0</v>
      </c>
      <c r="BW35" s="254">
        <v>0</v>
      </c>
      <c r="BX35" s="254">
        <v>0</v>
      </c>
      <c r="BY35" s="254">
        <v>0</v>
      </c>
      <c r="BZ35" s="254">
        <v>0</v>
      </c>
      <c r="CA35" s="254">
        <v>0</v>
      </c>
      <c r="CB35" s="254">
        <v>0</v>
      </c>
      <c r="CC35" s="254">
        <v>0</v>
      </c>
      <c r="CD35" s="254">
        <v>0</v>
      </c>
      <c r="CE35" s="254">
        <v>0</v>
      </c>
      <c r="CF35" s="254">
        <v>0</v>
      </c>
      <c r="CG35" s="254">
        <v>0</v>
      </c>
      <c r="CH35" s="254">
        <v>0</v>
      </c>
      <c r="CI35" s="254">
        <v>0</v>
      </c>
      <c r="CJ35" s="254">
        <v>0</v>
      </c>
      <c r="CK35" s="254">
        <v>0</v>
      </c>
      <c r="CL35" s="254">
        <v>0</v>
      </c>
      <c r="CM35" s="254">
        <v>0</v>
      </c>
      <c r="CN35" s="254">
        <v>0</v>
      </c>
      <c r="CO35" s="254">
        <v>0</v>
      </c>
      <c r="CP35" s="254">
        <v>0</v>
      </c>
      <c r="CQ35" s="116"/>
      <c r="CR35" s="255">
        <v>0</v>
      </c>
      <c r="CS35" s="255">
        <v>0</v>
      </c>
      <c r="CT35" s="255">
        <v>0</v>
      </c>
      <c r="CU35" s="255">
        <v>0</v>
      </c>
      <c r="CV35" s="255">
        <v>0</v>
      </c>
      <c r="CW35" s="255">
        <v>0</v>
      </c>
      <c r="CX35" s="255">
        <v>0</v>
      </c>
      <c r="CY35" s="255">
        <v>0</v>
      </c>
      <c r="CZ35" s="255">
        <v>0</v>
      </c>
      <c r="DA35" s="255">
        <v>0</v>
      </c>
      <c r="DB35" s="255">
        <v>0</v>
      </c>
      <c r="DC35" s="255">
        <v>0</v>
      </c>
      <c r="DD35" s="255">
        <v>0</v>
      </c>
      <c r="DE35" s="255">
        <v>37472.400000000001</v>
      </c>
      <c r="DF35" s="255">
        <v>37472.400000000001</v>
      </c>
      <c r="DG35" s="255">
        <v>28104.300000000003</v>
      </c>
      <c r="DH35" s="255">
        <v>37472.400000000001</v>
      </c>
      <c r="DI35" s="255">
        <v>37472.400000000001</v>
      </c>
      <c r="DJ35" s="255">
        <v>38600.800000000003</v>
      </c>
      <c r="DK35" s="255">
        <v>38600.800000000003</v>
      </c>
      <c r="DL35" s="255">
        <v>38600.800000000003</v>
      </c>
      <c r="DM35" s="255">
        <v>38600.800000000003</v>
      </c>
      <c r="DN35" s="255">
        <v>38600.800000000003</v>
      </c>
      <c r="DO35" s="255">
        <v>28950.600000000002</v>
      </c>
      <c r="DP35" s="255">
        <v>28950.600000000002</v>
      </c>
      <c r="DQ35" s="255">
        <v>38600.800000000003</v>
      </c>
      <c r="DR35" s="255">
        <v>38600.800000000003</v>
      </c>
      <c r="DS35" s="255">
        <v>28950.600000000002</v>
      </c>
      <c r="DT35" s="255">
        <v>41909.440000000002</v>
      </c>
      <c r="DU35" s="255">
        <v>41909.440000000002</v>
      </c>
      <c r="DV35" s="255">
        <v>39760</v>
      </c>
      <c r="DW35" s="255">
        <v>39760</v>
      </c>
      <c r="DX35" s="255">
        <v>39760</v>
      </c>
      <c r="DY35" s="255">
        <v>39760</v>
      </c>
      <c r="DZ35" s="255">
        <v>39760</v>
      </c>
      <c r="EA35" s="255">
        <v>29820</v>
      </c>
      <c r="EB35" s="255">
        <v>29820</v>
      </c>
      <c r="EC35" s="255">
        <v>39760</v>
      </c>
      <c r="ED35" s="255">
        <v>39760</v>
      </c>
      <c r="EE35" s="255">
        <v>29820</v>
      </c>
      <c r="EF35" s="255">
        <v>43168</v>
      </c>
      <c r="EG35" s="255">
        <v>43168</v>
      </c>
      <c r="EH35" s="255">
        <v>40951.4</v>
      </c>
      <c r="EI35" s="255">
        <v>40951.4</v>
      </c>
      <c r="EJ35" s="255">
        <v>40951.4</v>
      </c>
      <c r="EK35" s="255">
        <v>40951.4</v>
      </c>
      <c r="EL35" s="255">
        <v>40951.4</v>
      </c>
      <c r="EM35" s="255">
        <v>30713.550000000003</v>
      </c>
      <c r="EN35" s="255">
        <v>30713.550000000003</v>
      </c>
      <c r="EO35" s="255">
        <v>40951.4</v>
      </c>
      <c r="EP35" s="255">
        <v>0</v>
      </c>
      <c r="EQ35" s="255">
        <v>0</v>
      </c>
      <c r="ER35" s="255">
        <v>0</v>
      </c>
      <c r="ES35" s="255">
        <v>0</v>
      </c>
      <c r="ET35" s="255">
        <v>0</v>
      </c>
      <c r="EU35" s="255">
        <v>0</v>
      </c>
      <c r="EV35" s="255">
        <v>0</v>
      </c>
      <c r="EW35" s="255">
        <v>0</v>
      </c>
      <c r="EX35" s="255">
        <v>0</v>
      </c>
      <c r="EY35" s="255">
        <v>0</v>
      </c>
      <c r="EZ35" s="255">
        <v>0</v>
      </c>
      <c r="FA35" s="255">
        <v>0</v>
      </c>
      <c r="FB35" s="255">
        <v>0</v>
      </c>
      <c r="FC35" s="255">
        <v>0</v>
      </c>
      <c r="FD35" s="255">
        <v>0</v>
      </c>
      <c r="FE35" s="255">
        <v>0</v>
      </c>
      <c r="FF35" s="255">
        <v>0</v>
      </c>
      <c r="FG35" s="255">
        <v>0</v>
      </c>
      <c r="FH35" s="255">
        <v>0</v>
      </c>
      <c r="FI35" s="255">
        <v>0</v>
      </c>
      <c r="FJ35" s="255">
        <v>0</v>
      </c>
      <c r="FK35" s="255">
        <v>0</v>
      </c>
      <c r="FL35" s="255">
        <v>0</v>
      </c>
      <c r="FM35" s="255">
        <v>0</v>
      </c>
      <c r="FN35" s="255">
        <v>0</v>
      </c>
      <c r="FO35" s="255">
        <v>0</v>
      </c>
      <c r="FP35" s="255">
        <v>0</v>
      </c>
      <c r="FQ35" s="255">
        <v>0</v>
      </c>
      <c r="FR35" s="255">
        <v>0</v>
      </c>
      <c r="FS35" s="255">
        <v>0</v>
      </c>
      <c r="FT35" s="255">
        <v>0</v>
      </c>
      <c r="FU35" s="255">
        <v>0</v>
      </c>
      <c r="FV35" s="255">
        <v>0</v>
      </c>
      <c r="FW35" s="255">
        <v>0</v>
      </c>
      <c r="FX35" s="116"/>
    </row>
    <row r="36" spans="2:180" x14ac:dyDescent="0.2">
      <c r="B36" s="253" t="s">
        <v>234</v>
      </c>
      <c r="C36" s="253" t="s">
        <v>261</v>
      </c>
      <c r="D36" s="253" t="s">
        <v>258</v>
      </c>
      <c r="E36" s="253" t="s">
        <v>127</v>
      </c>
      <c r="F36" s="253" t="s">
        <v>259</v>
      </c>
      <c r="G36" s="253" t="s">
        <v>260</v>
      </c>
      <c r="H36" s="237">
        <v>316.45</v>
      </c>
      <c r="I36" s="126">
        <f t="shared" si="85"/>
        <v>1599492.38</v>
      </c>
      <c r="J36" s="116"/>
      <c r="K36" s="254">
        <v>0</v>
      </c>
      <c r="L36" s="254">
        <v>0</v>
      </c>
      <c r="M36" s="254">
        <v>0</v>
      </c>
      <c r="N36" s="254">
        <v>0</v>
      </c>
      <c r="O36" s="254">
        <v>0</v>
      </c>
      <c r="P36" s="254">
        <v>0</v>
      </c>
      <c r="Q36" s="254">
        <v>0</v>
      </c>
      <c r="R36" s="254">
        <v>0.05</v>
      </c>
      <c r="S36" s="254">
        <v>0.05</v>
      </c>
      <c r="T36" s="254">
        <v>0</v>
      </c>
      <c r="U36" s="254">
        <v>0.1</v>
      </c>
      <c r="V36" s="254">
        <v>0.26666666666666666</v>
      </c>
      <c r="W36" s="254">
        <v>0.26666666666666666</v>
      </c>
      <c r="X36" s="254">
        <v>1</v>
      </c>
      <c r="Y36" s="254">
        <v>1</v>
      </c>
      <c r="Z36" s="254">
        <v>1</v>
      </c>
      <c r="AA36" s="254">
        <v>0.92105263157894735</v>
      </c>
      <c r="AB36" s="254">
        <v>0.92105263157894735</v>
      </c>
      <c r="AC36" s="254">
        <v>1</v>
      </c>
      <c r="AD36" s="254">
        <v>1</v>
      </c>
      <c r="AE36" s="254">
        <v>1</v>
      </c>
      <c r="AF36" s="254">
        <v>1</v>
      </c>
      <c r="AG36" s="254">
        <v>1</v>
      </c>
      <c r="AH36" s="254">
        <v>1</v>
      </c>
      <c r="AI36" s="254">
        <v>1</v>
      </c>
      <c r="AJ36" s="254">
        <v>1</v>
      </c>
      <c r="AK36" s="254">
        <v>1</v>
      </c>
      <c r="AL36" s="254">
        <v>1</v>
      </c>
      <c r="AM36" s="254">
        <v>1</v>
      </c>
      <c r="AN36" s="254">
        <v>1</v>
      </c>
      <c r="AO36" s="254">
        <v>1</v>
      </c>
      <c r="AP36" s="254">
        <v>1</v>
      </c>
      <c r="AQ36" s="254">
        <v>1</v>
      </c>
      <c r="AR36" s="254">
        <v>1</v>
      </c>
      <c r="AS36" s="254">
        <v>1</v>
      </c>
      <c r="AT36" s="254">
        <v>1</v>
      </c>
      <c r="AU36" s="254">
        <v>1</v>
      </c>
      <c r="AV36" s="254">
        <v>1</v>
      </c>
      <c r="AW36" s="254">
        <v>1</v>
      </c>
      <c r="AX36" s="254">
        <v>1</v>
      </c>
      <c r="AY36" s="254">
        <v>1</v>
      </c>
      <c r="AZ36" s="254">
        <v>1</v>
      </c>
      <c r="BA36" s="254">
        <v>1</v>
      </c>
      <c r="BB36" s="254">
        <v>1</v>
      </c>
      <c r="BC36" s="254">
        <v>1</v>
      </c>
      <c r="BD36" s="254">
        <v>1</v>
      </c>
      <c r="BE36" s="254">
        <v>1</v>
      </c>
      <c r="BF36" s="254">
        <v>1</v>
      </c>
      <c r="BG36" s="254">
        <v>1</v>
      </c>
      <c r="BH36" s="254">
        <v>1</v>
      </c>
      <c r="BI36" s="254">
        <v>0</v>
      </c>
      <c r="BJ36" s="254">
        <v>0</v>
      </c>
      <c r="BK36" s="254">
        <v>0</v>
      </c>
      <c r="BL36" s="254">
        <v>0</v>
      </c>
      <c r="BM36" s="254">
        <v>0</v>
      </c>
      <c r="BN36" s="254">
        <v>0</v>
      </c>
      <c r="BO36" s="254">
        <v>0</v>
      </c>
      <c r="BP36" s="254">
        <v>0</v>
      </c>
      <c r="BQ36" s="254">
        <v>0</v>
      </c>
      <c r="BR36" s="254">
        <v>0</v>
      </c>
      <c r="BS36" s="254">
        <v>0</v>
      </c>
      <c r="BT36" s="254">
        <v>0</v>
      </c>
      <c r="BU36" s="254">
        <v>0</v>
      </c>
      <c r="BV36" s="254">
        <v>0</v>
      </c>
      <c r="BW36" s="254">
        <v>0</v>
      </c>
      <c r="BX36" s="254">
        <v>0</v>
      </c>
      <c r="BY36" s="254">
        <v>0</v>
      </c>
      <c r="BZ36" s="254">
        <v>0</v>
      </c>
      <c r="CA36" s="254">
        <v>0</v>
      </c>
      <c r="CB36" s="254">
        <v>0</v>
      </c>
      <c r="CC36" s="254">
        <v>0</v>
      </c>
      <c r="CD36" s="254">
        <v>0</v>
      </c>
      <c r="CE36" s="254">
        <v>0</v>
      </c>
      <c r="CF36" s="254">
        <v>0</v>
      </c>
      <c r="CG36" s="254">
        <v>0</v>
      </c>
      <c r="CH36" s="254">
        <v>0</v>
      </c>
      <c r="CI36" s="254">
        <v>0</v>
      </c>
      <c r="CJ36" s="254">
        <v>0</v>
      </c>
      <c r="CK36" s="254">
        <v>0</v>
      </c>
      <c r="CL36" s="254">
        <v>0</v>
      </c>
      <c r="CM36" s="254">
        <v>0</v>
      </c>
      <c r="CN36" s="254">
        <v>0</v>
      </c>
      <c r="CO36" s="254">
        <v>0</v>
      </c>
      <c r="CP36" s="254">
        <v>0</v>
      </c>
      <c r="CQ36" s="116"/>
      <c r="CR36" s="255">
        <v>0</v>
      </c>
      <c r="CS36" s="255">
        <v>0</v>
      </c>
      <c r="CT36" s="255">
        <v>0</v>
      </c>
      <c r="CU36" s="255">
        <v>0</v>
      </c>
      <c r="CV36" s="255">
        <v>0</v>
      </c>
      <c r="CW36" s="255">
        <v>0</v>
      </c>
      <c r="CX36" s="255">
        <v>0</v>
      </c>
      <c r="CY36" s="255">
        <v>1331.6</v>
      </c>
      <c r="CZ36" s="255">
        <v>1331.6</v>
      </c>
      <c r="DA36" s="255">
        <v>0</v>
      </c>
      <c r="DB36" s="255">
        <v>2663.2</v>
      </c>
      <c r="DC36" s="255">
        <v>5151.0399999999991</v>
      </c>
      <c r="DD36" s="255">
        <v>5151.04</v>
      </c>
      <c r="DE36" s="255">
        <v>43019.199999999997</v>
      </c>
      <c r="DF36" s="255">
        <v>43019.199999999997</v>
      </c>
      <c r="DG36" s="255">
        <v>32264.399999999998</v>
      </c>
      <c r="DH36" s="255">
        <v>43019.199999999997</v>
      </c>
      <c r="DI36" s="255">
        <v>43019.199999999997</v>
      </c>
      <c r="DJ36" s="255">
        <v>44303</v>
      </c>
      <c r="DK36" s="255">
        <v>44303</v>
      </c>
      <c r="DL36" s="255">
        <v>44303</v>
      </c>
      <c r="DM36" s="255">
        <v>44303</v>
      </c>
      <c r="DN36" s="255">
        <v>44303</v>
      </c>
      <c r="DO36" s="255">
        <v>33227.25</v>
      </c>
      <c r="DP36" s="255">
        <v>33227.25</v>
      </c>
      <c r="DQ36" s="255">
        <v>44303</v>
      </c>
      <c r="DR36" s="255">
        <v>44303</v>
      </c>
      <c r="DS36" s="255">
        <v>33227.25</v>
      </c>
      <c r="DT36" s="255">
        <v>48100.4</v>
      </c>
      <c r="DU36" s="255">
        <v>48100.4</v>
      </c>
      <c r="DV36" s="255">
        <v>45619</v>
      </c>
      <c r="DW36" s="255">
        <v>45619</v>
      </c>
      <c r="DX36" s="255">
        <v>45619</v>
      </c>
      <c r="DY36" s="255">
        <v>45619</v>
      </c>
      <c r="DZ36" s="255">
        <v>45619</v>
      </c>
      <c r="EA36" s="255">
        <v>34214.25</v>
      </c>
      <c r="EB36" s="255">
        <v>34214.25</v>
      </c>
      <c r="EC36" s="255">
        <v>45619</v>
      </c>
      <c r="ED36" s="255">
        <v>45619</v>
      </c>
      <c r="EE36" s="255">
        <v>34214.25</v>
      </c>
      <c r="EF36" s="255">
        <v>49529.200000000004</v>
      </c>
      <c r="EG36" s="255">
        <v>49529.200000000004</v>
      </c>
      <c r="EH36" s="255">
        <v>46998</v>
      </c>
      <c r="EI36" s="255">
        <v>46998</v>
      </c>
      <c r="EJ36" s="255">
        <v>46998</v>
      </c>
      <c r="EK36" s="255">
        <v>46998</v>
      </c>
      <c r="EL36" s="255">
        <v>46998</v>
      </c>
      <c r="EM36" s="255">
        <v>35248.5</v>
      </c>
      <c r="EN36" s="255">
        <v>35248.5</v>
      </c>
      <c r="EO36" s="255">
        <v>46998</v>
      </c>
      <c r="EP36" s="255">
        <v>0</v>
      </c>
      <c r="EQ36" s="255">
        <v>0</v>
      </c>
      <c r="ER36" s="255">
        <v>0</v>
      </c>
      <c r="ES36" s="255">
        <v>0</v>
      </c>
      <c r="ET36" s="255">
        <v>0</v>
      </c>
      <c r="EU36" s="255">
        <v>0</v>
      </c>
      <c r="EV36" s="255">
        <v>0</v>
      </c>
      <c r="EW36" s="255">
        <v>0</v>
      </c>
      <c r="EX36" s="255">
        <v>0</v>
      </c>
      <c r="EY36" s="255">
        <v>0</v>
      </c>
      <c r="EZ36" s="255">
        <v>0</v>
      </c>
      <c r="FA36" s="255">
        <v>0</v>
      </c>
      <c r="FB36" s="255">
        <v>0</v>
      </c>
      <c r="FC36" s="255">
        <v>0</v>
      </c>
      <c r="FD36" s="255">
        <v>0</v>
      </c>
      <c r="FE36" s="255">
        <v>0</v>
      </c>
      <c r="FF36" s="255">
        <v>0</v>
      </c>
      <c r="FG36" s="255">
        <v>0</v>
      </c>
      <c r="FH36" s="255">
        <v>0</v>
      </c>
      <c r="FI36" s="255">
        <v>0</v>
      </c>
      <c r="FJ36" s="255">
        <v>0</v>
      </c>
      <c r="FK36" s="255">
        <v>0</v>
      </c>
      <c r="FL36" s="255">
        <v>0</v>
      </c>
      <c r="FM36" s="255">
        <v>0</v>
      </c>
      <c r="FN36" s="255">
        <v>0</v>
      </c>
      <c r="FO36" s="255">
        <v>0</v>
      </c>
      <c r="FP36" s="255">
        <v>0</v>
      </c>
      <c r="FQ36" s="255">
        <v>0</v>
      </c>
      <c r="FR36" s="255">
        <v>0</v>
      </c>
      <c r="FS36" s="255">
        <v>0</v>
      </c>
      <c r="FT36" s="255">
        <v>0</v>
      </c>
      <c r="FU36" s="255">
        <v>0</v>
      </c>
      <c r="FV36" s="255">
        <v>0</v>
      </c>
      <c r="FW36" s="255">
        <v>0</v>
      </c>
      <c r="FX36" s="116"/>
    </row>
    <row r="37" spans="2:180" x14ac:dyDescent="0.2">
      <c r="B37" s="253" t="s">
        <v>234</v>
      </c>
      <c r="C37" s="253" t="s">
        <v>262</v>
      </c>
      <c r="D37" s="253" t="s">
        <v>258</v>
      </c>
      <c r="E37" s="253" t="s">
        <v>127</v>
      </c>
      <c r="F37" s="253" t="s">
        <v>259</v>
      </c>
      <c r="G37" s="253" t="s">
        <v>260</v>
      </c>
      <c r="H37" s="237">
        <v>171.68</v>
      </c>
      <c r="I37" s="126">
        <f t="shared" si="85"/>
        <v>867575.68999999983</v>
      </c>
      <c r="J37" s="116"/>
      <c r="K37" s="254">
        <v>0</v>
      </c>
      <c r="L37" s="254">
        <v>0</v>
      </c>
      <c r="M37" s="254">
        <v>0</v>
      </c>
      <c r="N37" s="254">
        <v>0</v>
      </c>
      <c r="O37" s="254">
        <v>0</v>
      </c>
      <c r="P37" s="254">
        <v>0</v>
      </c>
      <c r="Q37" s="254">
        <v>0</v>
      </c>
      <c r="R37" s="254">
        <v>0</v>
      </c>
      <c r="S37" s="254">
        <v>0</v>
      </c>
      <c r="T37" s="254">
        <v>0</v>
      </c>
      <c r="U37" s="254">
        <v>0</v>
      </c>
      <c r="V37" s="254">
        <v>0</v>
      </c>
      <c r="W37" s="254">
        <v>0</v>
      </c>
      <c r="X37" s="254">
        <v>1</v>
      </c>
      <c r="Y37" s="254">
        <v>1</v>
      </c>
      <c r="Z37" s="254">
        <v>1</v>
      </c>
      <c r="AA37" s="254">
        <v>0.92105263157894735</v>
      </c>
      <c r="AB37" s="254">
        <v>0.92105263157894735</v>
      </c>
      <c r="AC37" s="254">
        <v>1</v>
      </c>
      <c r="AD37" s="254">
        <v>1</v>
      </c>
      <c r="AE37" s="254">
        <v>1</v>
      </c>
      <c r="AF37" s="254">
        <v>1</v>
      </c>
      <c r="AG37" s="254">
        <v>1</v>
      </c>
      <c r="AH37" s="254">
        <v>1</v>
      </c>
      <c r="AI37" s="254">
        <v>1</v>
      </c>
      <c r="AJ37" s="254">
        <v>1</v>
      </c>
      <c r="AK37" s="254">
        <v>1</v>
      </c>
      <c r="AL37" s="254">
        <v>1</v>
      </c>
      <c r="AM37" s="254">
        <v>1</v>
      </c>
      <c r="AN37" s="254">
        <v>1</v>
      </c>
      <c r="AO37" s="254">
        <v>1</v>
      </c>
      <c r="AP37" s="254">
        <v>1</v>
      </c>
      <c r="AQ37" s="254">
        <v>1</v>
      </c>
      <c r="AR37" s="254">
        <v>1</v>
      </c>
      <c r="AS37" s="254">
        <v>1</v>
      </c>
      <c r="AT37" s="254">
        <v>1</v>
      </c>
      <c r="AU37" s="254">
        <v>1</v>
      </c>
      <c r="AV37" s="254">
        <v>1</v>
      </c>
      <c r="AW37" s="254">
        <v>1</v>
      </c>
      <c r="AX37" s="254">
        <v>1</v>
      </c>
      <c r="AY37" s="254">
        <v>1</v>
      </c>
      <c r="AZ37" s="254">
        <v>1</v>
      </c>
      <c r="BA37" s="254">
        <v>1</v>
      </c>
      <c r="BB37" s="254">
        <v>1</v>
      </c>
      <c r="BC37" s="254">
        <v>1</v>
      </c>
      <c r="BD37" s="254">
        <v>1</v>
      </c>
      <c r="BE37" s="254">
        <v>1</v>
      </c>
      <c r="BF37" s="254">
        <v>1</v>
      </c>
      <c r="BG37" s="254">
        <v>1</v>
      </c>
      <c r="BH37" s="254">
        <v>1</v>
      </c>
      <c r="BI37" s="254">
        <v>0</v>
      </c>
      <c r="BJ37" s="254">
        <v>0</v>
      </c>
      <c r="BK37" s="254">
        <v>0</v>
      </c>
      <c r="BL37" s="254">
        <v>0</v>
      </c>
      <c r="BM37" s="254">
        <v>0</v>
      </c>
      <c r="BN37" s="254">
        <v>0</v>
      </c>
      <c r="BO37" s="254">
        <v>0</v>
      </c>
      <c r="BP37" s="254">
        <v>0</v>
      </c>
      <c r="BQ37" s="254">
        <v>0</v>
      </c>
      <c r="BR37" s="254">
        <v>0</v>
      </c>
      <c r="BS37" s="254">
        <v>0</v>
      </c>
      <c r="BT37" s="254">
        <v>0</v>
      </c>
      <c r="BU37" s="254">
        <v>0</v>
      </c>
      <c r="BV37" s="254">
        <v>0</v>
      </c>
      <c r="BW37" s="254">
        <v>0</v>
      </c>
      <c r="BX37" s="254">
        <v>0</v>
      </c>
      <c r="BY37" s="254">
        <v>0</v>
      </c>
      <c r="BZ37" s="254">
        <v>0</v>
      </c>
      <c r="CA37" s="254">
        <v>0</v>
      </c>
      <c r="CB37" s="254">
        <v>0</v>
      </c>
      <c r="CC37" s="254">
        <v>0</v>
      </c>
      <c r="CD37" s="254">
        <v>0</v>
      </c>
      <c r="CE37" s="254">
        <v>0</v>
      </c>
      <c r="CF37" s="254">
        <v>0</v>
      </c>
      <c r="CG37" s="254">
        <v>0</v>
      </c>
      <c r="CH37" s="254">
        <v>0</v>
      </c>
      <c r="CI37" s="254">
        <v>0</v>
      </c>
      <c r="CJ37" s="254">
        <v>0</v>
      </c>
      <c r="CK37" s="254">
        <v>0</v>
      </c>
      <c r="CL37" s="254">
        <v>0</v>
      </c>
      <c r="CM37" s="254">
        <v>0</v>
      </c>
      <c r="CN37" s="254">
        <v>0</v>
      </c>
      <c r="CO37" s="254">
        <v>0</v>
      </c>
      <c r="CP37" s="254">
        <v>0</v>
      </c>
      <c r="CQ37" s="116"/>
      <c r="CR37" s="255">
        <v>0</v>
      </c>
      <c r="CS37" s="255">
        <v>0</v>
      </c>
      <c r="CT37" s="255">
        <v>0</v>
      </c>
      <c r="CU37" s="255">
        <v>0</v>
      </c>
      <c r="CV37" s="255">
        <v>0</v>
      </c>
      <c r="CW37" s="255">
        <v>0</v>
      </c>
      <c r="CX37" s="255">
        <v>0</v>
      </c>
      <c r="CY37" s="255">
        <v>0</v>
      </c>
      <c r="CZ37" s="255">
        <v>0</v>
      </c>
      <c r="DA37" s="255">
        <v>0</v>
      </c>
      <c r="DB37" s="255">
        <v>0</v>
      </c>
      <c r="DC37" s="255">
        <v>0</v>
      </c>
      <c r="DD37" s="255">
        <v>0</v>
      </c>
      <c r="DE37" s="255">
        <v>22962.800000000003</v>
      </c>
      <c r="DF37" s="255">
        <v>24035.200000000001</v>
      </c>
      <c r="DG37" s="255">
        <v>18026.400000000001</v>
      </c>
      <c r="DH37" s="255">
        <v>24035.200000000001</v>
      </c>
      <c r="DI37" s="255">
        <v>24035.200000000001</v>
      </c>
      <c r="DJ37" s="255">
        <v>24035.200000000001</v>
      </c>
      <c r="DK37" s="255">
        <v>24035.200000000001</v>
      </c>
      <c r="DL37" s="255">
        <v>24035.200000000001</v>
      </c>
      <c r="DM37" s="255">
        <v>24035.200000000001</v>
      </c>
      <c r="DN37" s="255">
        <v>24035.200000000001</v>
      </c>
      <c r="DO37" s="255">
        <v>18026.400000000001</v>
      </c>
      <c r="DP37" s="255">
        <v>18026.400000000001</v>
      </c>
      <c r="DQ37" s="255">
        <v>24035.200000000001</v>
      </c>
      <c r="DR37" s="255">
        <v>24770.2</v>
      </c>
      <c r="DS37" s="255">
        <v>18577.650000000001</v>
      </c>
      <c r="DT37" s="255">
        <v>26893.360000000001</v>
      </c>
      <c r="DU37" s="255">
        <v>26893.360000000001</v>
      </c>
      <c r="DV37" s="255">
        <v>24770.2</v>
      </c>
      <c r="DW37" s="255">
        <v>24770.2</v>
      </c>
      <c r="DX37" s="255">
        <v>24770.2</v>
      </c>
      <c r="DY37" s="255">
        <v>24770.2</v>
      </c>
      <c r="DZ37" s="255">
        <v>24770.2</v>
      </c>
      <c r="EA37" s="255">
        <v>18577.650000000001</v>
      </c>
      <c r="EB37" s="255">
        <v>18577.650000000001</v>
      </c>
      <c r="EC37" s="255">
        <v>24770.2</v>
      </c>
      <c r="ED37" s="255">
        <v>25505.200000000001</v>
      </c>
      <c r="EE37" s="255">
        <v>19128.900000000001</v>
      </c>
      <c r="EF37" s="255">
        <v>27691.360000000001</v>
      </c>
      <c r="EG37" s="255">
        <v>27691.360000000001</v>
      </c>
      <c r="EH37" s="255">
        <v>25505.200000000001</v>
      </c>
      <c r="EI37" s="255">
        <v>25505.200000000001</v>
      </c>
      <c r="EJ37" s="255">
        <v>25505.200000000001</v>
      </c>
      <c r="EK37" s="255">
        <v>25505.200000000001</v>
      </c>
      <c r="EL37" s="255">
        <v>25505.200000000001</v>
      </c>
      <c r="EM37" s="255">
        <v>19128.900000000001</v>
      </c>
      <c r="EN37" s="255">
        <v>19128.900000000001</v>
      </c>
      <c r="EO37" s="255">
        <v>25505.200000000001</v>
      </c>
      <c r="EP37" s="255">
        <v>0</v>
      </c>
      <c r="EQ37" s="255">
        <v>0</v>
      </c>
      <c r="ER37" s="255">
        <v>0</v>
      </c>
      <c r="ES37" s="255">
        <v>0</v>
      </c>
      <c r="ET37" s="255">
        <v>0</v>
      </c>
      <c r="EU37" s="255">
        <v>0</v>
      </c>
      <c r="EV37" s="255">
        <v>0</v>
      </c>
      <c r="EW37" s="255">
        <v>0</v>
      </c>
      <c r="EX37" s="255">
        <v>0</v>
      </c>
      <c r="EY37" s="255">
        <v>0</v>
      </c>
      <c r="EZ37" s="255">
        <v>0</v>
      </c>
      <c r="FA37" s="255">
        <v>0</v>
      </c>
      <c r="FB37" s="255">
        <v>0</v>
      </c>
      <c r="FC37" s="255">
        <v>0</v>
      </c>
      <c r="FD37" s="255">
        <v>0</v>
      </c>
      <c r="FE37" s="255">
        <v>0</v>
      </c>
      <c r="FF37" s="255">
        <v>0</v>
      </c>
      <c r="FG37" s="255">
        <v>0</v>
      </c>
      <c r="FH37" s="255">
        <v>0</v>
      </c>
      <c r="FI37" s="255">
        <v>0</v>
      </c>
      <c r="FJ37" s="255">
        <v>0</v>
      </c>
      <c r="FK37" s="255">
        <v>0</v>
      </c>
      <c r="FL37" s="255">
        <v>0</v>
      </c>
      <c r="FM37" s="255">
        <v>0</v>
      </c>
      <c r="FN37" s="255">
        <v>0</v>
      </c>
      <c r="FO37" s="255">
        <v>0</v>
      </c>
      <c r="FP37" s="255">
        <v>0</v>
      </c>
      <c r="FQ37" s="255">
        <v>0</v>
      </c>
      <c r="FR37" s="255">
        <v>0</v>
      </c>
      <c r="FS37" s="255">
        <v>0</v>
      </c>
      <c r="FT37" s="255">
        <v>0</v>
      </c>
      <c r="FU37" s="255">
        <v>0</v>
      </c>
      <c r="FV37" s="255">
        <v>0</v>
      </c>
      <c r="FW37" s="255">
        <v>0</v>
      </c>
      <c r="FX37" s="116"/>
    </row>
    <row r="38" spans="2:180" x14ac:dyDescent="0.2">
      <c r="B38" s="253" t="s">
        <v>234</v>
      </c>
      <c r="C38" s="253" t="s">
        <v>277</v>
      </c>
      <c r="D38" s="253" t="s">
        <v>258</v>
      </c>
      <c r="E38" s="253" t="s">
        <v>127</v>
      </c>
      <c r="F38" s="253" t="s">
        <v>263</v>
      </c>
      <c r="G38" s="253" t="s">
        <v>260</v>
      </c>
      <c r="H38" s="237">
        <v>354.73</v>
      </c>
      <c r="I38" s="126">
        <f t="shared" si="85"/>
        <v>936310.90000000026</v>
      </c>
      <c r="J38" s="116"/>
      <c r="K38" s="254">
        <v>0</v>
      </c>
      <c r="L38" s="254">
        <v>0</v>
      </c>
      <c r="M38" s="254">
        <v>0</v>
      </c>
      <c r="N38" s="254">
        <v>0</v>
      </c>
      <c r="O38" s="254">
        <v>0</v>
      </c>
      <c r="P38" s="254">
        <v>0</v>
      </c>
      <c r="Q38" s="254">
        <v>0</v>
      </c>
      <c r="R38" s="254">
        <v>0</v>
      </c>
      <c r="S38" s="254">
        <v>0</v>
      </c>
      <c r="T38" s="254">
        <v>0</v>
      </c>
      <c r="U38" s="254">
        <v>0</v>
      </c>
      <c r="V38" s="254">
        <v>0</v>
      </c>
      <c r="W38" s="254">
        <v>0</v>
      </c>
      <c r="X38" s="254">
        <v>0.5</v>
      </c>
      <c r="Y38" s="254">
        <v>0.5</v>
      </c>
      <c r="Z38" s="254">
        <v>0.66666666666666663</v>
      </c>
      <c r="AA38" s="254">
        <v>0.46052631578947367</v>
      </c>
      <c r="AB38" s="254">
        <v>0.46052631578947367</v>
      </c>
      <c r="AC38" s="254">
        <v>0.5</v>
      </c>
      <c r="AD38" s="254">
        <v>0.5</v>
      </c>
      <c r="AE38" s="254">
        <v>0.5</v>
      </c>
      <c r="AF38" s="254">
        <v>0.5</v>
      </c>
      <c r="AG38" s="254">
        <v>0.5</v>
      </c>
      <c r="AH38" s="254">
        <v>0.66666666666666663</v>
      </c>
      <c r="AI38" s="254">
        <v>0.66666666666666663</v>
      </c>
      <c r="AJ38" s="254">
        <v>0.5</v>
      </c>
      <c r="AK38" s="254">
        <v>0.5</v>
      </c>
      <c r="AL38" s="254">
        <v>0.66666666666666663</v>
      </c>
      <c r="AM38" s="254">
        <v>0.46052631578947367</v>
      </c>
      <c r="AN38" s="254">
        <v>0.46052631578947367</v>
      </c>
      <c r="AO38" s="254">
        <v>0.5</v>
      </c>
      <c r="AP38" s="254">
        <v>0.5</v>
      </c>
      <c r="AQ38" s="254">
        <v>0.5</v>
      </c>
      <c r="AR38" s="254">
        <v>0.5</v>
      </c>
      <c r="AS38" s="254">
        <v>0.5</v>
      </c>
      <c r="AT38" s="254">
        <v>0.66666666666666663</v>
      </c>
      <c r="AU38" s="254">
        <v>0.66666666666666663</v>
      </c>
      <c r="AV38" s="254">
        <v>0.5</v>
      </c>
      <c r="AW38" s="254">
        <v>0.5</v>
      </c>
      <c r="AX38" s="254">
        <v>0.66666666666666663</v>
      </c>
      <c r="AY38" s="254">
        <v>0.46052631578947367</v>
      </c>
      <c r="AZ38" s="254">
        <v>0.46052631578947367</v>
      </c>
      <c r="BA38" s="254">
        <v>0.5</v>
      </c>
      <c r="BB38" s="254">
        <v>0.5</v>
      </c>
      <c r="BC38" s="254">
        <v>0.5</v>
      </c>
      <c r="BD38" s="254">
        <v>0.5</v>
      </c>
      <c r="BE38" s="254">
        <v>0.5</v>
      </c>
      <c r="BF38" s="254">
        <v>0.66666666666666663</v>
      </c>
      <c r="BG38" s="254">
        <v>0.66666666666666663</v>
      </c>
      <c r="BH38" s="254">
        <v>0.5</v>
      </c>
      <c r="BI38" s="254">
        <v>0</v>
      </c>
      <c r="BJ38" s="254">
        <v>0</v>
      </c>
      <c r="BK38" s="254">
        <v>0</v>
      </c>
      <c r="BL38" s="254">
        <v>0</v>
      </c>
      <c r="BM38" s="254">
        <v>0</v>
      </c>
      <c r="BN38" s="254">
        <v>0</v>
      </c>
      <c r="BO38" s="254">
        <v>0</v>
      </c>
      <c r="BP38" s="254">
        <v>0</v>
      </c>
      <c r="BQ38" s="254">
        <v>0</v>
      </c>
      <c r="BR38" s="254">
        <v>0</v>
      </c>
      <c r="BS38" s="254">
        <v>0</v>
      </c>
      <c r="BT38" s="254">
        <v>0</v>
      </c>
      <c r="BU38" s="254">
        <v>0</v>
      </c>
      <c r="BV38" s="254">
        <v>0</v>
      </c>
      <c r="BW38" s="254">
        <v>0</v>
      </c>
      <c r="BX38" s="254">
        <v>0</v>
      </c>
      <c r="BY38" s="254">
        <v>0</v>
      </c>
      <c r="BZ38" s="254">
        <v>0</v>
      </c>
      <c r="CA38" s="254">
        <v>0</v>
      </c>
      <c r="CB38" s="254">
        <v>0</v>
      </c>
      <c r="CC38" s="254">
        <v>0</v>
      </c>
      <c r="CD38" s="254">
        <v>0</v>
      </c>
      <c r="CE38" s="254">
        <v>0</v>
      </c>
      <c r="CF38" s="254">
        <v>0</v>
      </c>
      <c r="CG38" s="254">
        <v>0</v>
      </c>
      <c r="CH38" s="254">
        <v>0</v>
      </c>
      <c r="CI38" s="254">
        <v>0</v>
      </c>
      <c r="CJ38" s="254">
        <v>0</v>
      </c>
      <c r="CK38" s="254">
        <v>0</v>
      </c>
      <c r="CL38" s="254">
        <v>0</v>
      </c>
      <c r="CM38" s="254">
        <v>0</v>
      </c>
      <c r="CN38" s="254">
        <v>0</v>
      </c>
      <c r="CO38" s="254">
        <v>0</v>
      </c>
      <c r="CP38" s="254">
        <v>0</v>
      </c>
      <c r="CQ38" s="116"/>
      <c r="CR38" s="255">
        <v>0</v>
      </c>
      <c r="CS38" s="255">
        <v>0</v>
      </c>
      <c r="CT38" s="255">
        <v>0</v>
      </c>
      <c r="CU38" s="255">
        <v>0</v>
      </c>
      <c r="CV38" s="255">
        <v>0</v>
      </c>
      <c r="CW38" s="255">
        <v>0</v>
      </c>
      <c r="CX38" s="255">
        <v>0</v>
      </c>
      <c r="CY38" s="255">
        <v>0</v>
      </c>
      <c r="CZ38" s="255">
        <v>0</v>
      </c>
      <c r="DA38" s="255">
        <v>0</v>
      </c>
      <c r="DB38" s="255">
        <v>0</v>
      </c>
      <c r="DC38" s="255">
        <v>0</v>
      </c>
      <c r="DD38" s="255">
        <v>0</v>
      </c>
      <c r="DE38" s="255">
        <v>24110.100000000002</v>
      </c>
      <c r="DF38" s="255">
        <v>24110.100000000002</v>
      </c>
      <c r="DG38" s="255">
        <v>24110.100000000002</v>
      </c>
      <c r="DH38" s="255">
        <v>24110.100000000002</v>
      </c>
      <c r="DI38" s="255">
        <v>24110.100000000002</v>
      </c>
      <c r="DJ38" s="255">
        <v>24830.400000000001</v>
      </c>
      <c r="DK38" s="255">
        <v>24830.400000000001</v>
      </c>
      <c r="DL38" s="255">
        <v>24830.400000000001</v>
      </c>
      <c r="DM38" s="255">
        <v>24830.400000000001</v>
      </c>
      <c r="DN38" s="255">
        <v>24830.400000000001</v>
      </c>
      <c r="DO38" s="255">
        <v>24830.400000000001</v>
      </c>
      <c r="DP38" s="255">
        <v>24830.400000000001</v>
      </c>
      <c r="DQ38" s="255">
        <v>24830.400000000001</v>
      </c>
      <c r="DR38" s="255">
        <v>24830.400000000001</v>
      </c>
      <c r="DS38" s="255">
        <v>24830.400000000001</v>
      </c>
      <c r="DT38" s="255">
        <v>24830.400000000001</v>
      </c>
      <c r="DU38" s="255">
        <v>24830.400000000001</v>
      </c>
      <c r="DV38" s="255">
        <v>25582.9</v>
      </c>
      <c r="DW38" s="255">
        <v>25582.9</v>
      </c>
      <c r="DX38" s="255">
        <v>25582.9</v>
      </c>
      <c r="DY38" s="255">
        <v>25582.9</v>
      </c>
      <c r="DZ38" s="255">
        <v>25582.9</v>
      </c>
      <c r="EA38" s="255">
        <v>25582.9</v>
      </c>
      <c r="EB38" s="255">
        <v>25582.9</v>
      </c>
      <c r="EC38" s="255">
        <v>25582.9</v>
      </c>
      <c r="ED38" s="255">
        <v>25582.9</v>
      </c>
      <c r="EE38" s="255">
        <v>25582.9</v>
      </c>
      <c r="EF38" s="255">
        <v>25582.9</v>
      </c>
      <c r="EG38" s="255">
        <v>25582.9</v>
      </c>
      <c r="EH38" s="255">
        <v>26350.100000000002</v>
      </c>
      <c r="EI38" s="255">
        <v>26350.100000000002</v>
      </c>
      <c r="EJ38" s="255">
        <v>26350.100000000002</v>
      </c>
      <c r="EK38" s="255">
        <v>26350.100000000002</v>
      </c>
      <c r="EL38" s="255">
        <v>26350.100000000002</v>
      </c>
      <c r="EM38" s="255">
        <v>26350.100000000002</v>
      </c>
      <c r="EN38" s="255">
        <v>26350.100000000002</v>
      </c>
      <c r="EO38" s="255">
        <v>26350.100000000002</v>
      </c>
      <c r="EP38" s="255">
        <v>0</v>
      </c>
      <c r="EQ38" s="255">
        <v>0</v>
      </c>
      <c r="ER38" s="255">
        <v>0</v>
      </c>
      <c r="ES38" s="255">
        <v>0</v>
      </c>
      <c r="ET38" s="255">
        <v>0</v>
      </c>
      <c r="EU38" s="255">
        <v>0</v>
      </c>
      <c r="EV38" s="255">
        <v>0</v>
      </c>
      <c r="EW38" s="255">
        <v>0</v>
      </c>
      <c r="EX38" s="255">
        <v>0</v>
      </c>
      <c r="EY38" s="255">
        <v>0</v>
      </c>
      <c r="EZ38" s="255">
        <v>0</v>
      </c>
      <c r="FA38" s="255">
        <v>0</v>
      </c>
      <c r="FB38" s="255">
        <v>0</v>
      </c>
      <c r="FC38" s="255">
        <v>0</v>
      </c>
      <c r="FD38" s="255">
        <v>0</v>
      </c>
      <c r="FE38" s="255">
        <v>0</v>
      </c>
      <c r="FF38" s="255">
        <v>0</v>
      </c>
      <c r="FG38" s="255">
        <v>0</v>
      </c>
      <c r="FH38" s="255">
        <v>0</v>
      </c>
      <c r="FI38" s="255">
        <v>0</v>
      </c>
      <c r="FJ38" s="255">
        <v>0</v>
      </c>
      <c r="FK38" s="255">
        <v>0</v>
      </c>
      <c r="FL38" s="255">
        <v>0</v>
      </c>
      <c r="FM38" s="255">
        <v>0</v>
      </c>
      <c r="FN38" s="255">
        <v>0</v>
      </c>
      <c r="FO38" s="255">
        <v>0</v>
      </c>
      <c r="FP38" s="255">
        <v>0</v>
      </c>
      <c r="FQ38" s="255">
        <v>0</v>
      </c>
      <c r="FR38" s="255">
        <v>0</v>
      </c>
      <c r="FS38" s="255">
        <v>0</v>
      </c>
      <c r="FT38" s="255">
        <v>0</v>
      </c>
      <c r="FU38" s="255">
        <v>0</v>
      </c>
      <c r="FV38" s="255">
        <v>0</v>
      </c>
      <c r="FW38" s="255">
        <v>0</v>
      </c>
      <c r="FX38" s="116"/>
    </row>
    <row r="39" spans="2:180" x14ac:dyDescent="0.2">
      <c r="B39" s="253" t="s">
        <v>233</v>
      </c>
      <c r="C39" s="253" t="s">
        <v>265</v>
      </c>
      <c r="D39" s="253" t="s">
        <v>258</v>
      </c>
      <c r="E39" s="253" t="s">
        <v>127</v>
      </c>
      <c r="F39" s="253" t="s">
        <v>259</v>
      </c>
      <c r="G39" s="253" t="s">
        <v>260</v>
      </c>
      <c r="H39" s="237">
        <v>333.23</v>
      </c>
      <c r="I39" s="126">
        <f t="shared" si="85"/>
        <v>169896.30000000002</v>
      </c>
      <c r="J39" s="116"/>
      <c r="K39" s="254">
        <v>0</v>
      </c>
      <c r="L39" s="254">
        <v>0</v>
      </c>
      <c r="M39" s="254">
        <v>0</v>
      </c>
      <c r="N39" s="254">
        <v>0</v>
      </c>
      <c r="O39" s="254">
        <v>0</v>
      </c>
      <c r="P39" s="254">
        <v>0</v>
      </c>
      <c r="Q39" s="254">
        <v>0</v>
      </c>
      <c r="R39" s="254">
        <v>0</v>
      </c>
      <c r="S39" s="254">
        <v>0</v>
      </c>
      <c r="T39" s="254">
        <v>0</v>
      </c>
      <c r="U39" s="254">
        <v>0</v>
      </c>
      <c r="V39" s="254">
        <v>0.8666666666666667</v>
      </c>
      <c r="W39" s="254">
        <v>1.4666666666666666</v>
      </c>
      <c r="X39" s="254">
        <v>1</v>
      </c>
      <c r="Y39" s="254">
        <v>1</v>
      </c>
      <c r="Z39" s="254">
        <v>0</v>
      </c>
      <c r="AA39" s="254">
        <v>0</v>
      </c>
      <c r="AB39" s="254">
        <v>0</v>
      </c>
      <c r="AC39" s="254">
        <v>0</v>
      </c>
      <c r="AD39" s="254">
        <v>0</v>
      </c>
      <c r="AE39" s="254">
        <v>0</v>
      </c>
      <c r="AF39" s="254">
        <v>0</v>
      </c>
      <c r="AG39" s="254">
        <v>0</v>
      </c>
      <c r="AH39" s="254">
        <v>0</v>
      </c>
      <c r="AI39" s="254">
        <v>0</v>
      </c>
      <c r="AJ39" s="254">
        <v>0</v>
      </c>
      <c r="AK39" s="254">
        <v>0</v>
      </c>
      <c r="AL39" s="254">
        <v>0</v>
      </c>
      <c r="AM39" s="254">
        <v>0</v>
      </c>
      <c r="AN39" s="254">
        <v>0</v>
      </c>
      <c r="AO39" s="254">
        <v>0</v>
      </c>
      <c r="AP39" s="254">
        <v>0</v>
      </c>
      <c r="AQ39" s="254">
        <v>0</v>
      </c>
      <c r="AR39" s="254">
        <v>0</v>
      </c>
      <c r="AS39" s="254">
        <v>0</v>
      </c>
      <c r="AT39" s="254">
        <v>0</v>
      </c>
      <c r="AU39" s="254">
        <v>0</v>
      </c>
      <c r="AV39" s="254">
        <v>0</v>
      </c>
      <c r="AW39" s="254">
        <v>0</v>
      </c>
      <c r="AX39" s="254">
        <v>0</v>
      </c>
      <c r="AY39" s="254">
        <v>0</v>
      </c>
      <c r="AZ39" s="254">
        <v>0</v>
      </c>
      <c r="BA39" s="254">
        <v>0</v>
      </c>
      <c r="BB39" s="254">
        <v>0</v>
      </c>
      <c r="BC39" s="254">
        <v>0</v>
      </c>
      <c r="BD39" s="254">
        <v>0</v>
      </c>
      <c r="BE39" s="254">
        <v>0</v>
      </c>
      <c r="BF39" s="254">
        <v>0</v>
      </c>
      <c r="BG39" s="254">
        <v>0</v>
      </c>
      <c r="BH39" s="254">
        <v>0</v>
      </c>
      <c r="BI39" s="254">
        <v>0</v>
      </c>
      <c r="BJ39" s="254">
        <v>0</v>
      </c>
      <c r="BK39" s="254">
        <v>0</v>
      </c>
      <c r="BL39" s="254">
        <v>0</v>
      </c>
      <c r="BM39" s="254">
        <v>0</v>
      </c>
      <c r="BN39" s="254">
        <v>0</v>
      </c>
      <c r="BO39" s="254">
        <v>0</v>
      </c>
      <c r="BP39" s="254">
        <v>0</v>
      </c>
      <c r="BQ39" s="254">
        <v>0</v>
      </c>
      <c r="BR39" s="254">
        <v>0</v>
      </c>
      <c r="BS39" s="254">
        <v>0</v>
      </c>
      <c r="BT39" s="254">
        <v>0</v>
      </c>
      <c r="BU39" s="254">
        <v>0</v>
      </c>
      <c r="BV39" s="254">
        <v>0</v>
      </c>
      <c r="BW39" s="254">
        <v>0</v>
      </c>
      <c r="BX39" s="254">
        <v>0</v>
      </c>
      <c r="BY39" s="254">
        <v>0</v>
      </c>
      <c r="BZ39" s="254">
        <v>0</v>
      </c>
      <c r="CA39" s="254">
        <v>0</v>
      </c>
      <c r="CB39" s="254">
        <v>0</v>
      </c>
      <c r="CC39" s="254">
        <v>0</v>
      </c>
      <c r="CD39" s="254">
        <v>0</v>
      </c>
      <c r="CE39" s="254">
        <v>0</v>
      </c>
      <c r="CF39" s="254">
        <v>0</v>
      </c>
      <c r="CG39" s="254">
        <v>0</v>
      </c>
      <c r="CH39" s="254">
        <v>0</v>
      </c>
      <c r="CI39" s="254">
        <v>0</v>
      </c>
      <c r="CJ39" s="254">
        <v>0</v>
      </c>
      <c r="CK39" s="254">
        <v>0</v>
      </c>
      <c r="CL39" s="254">
        <v>0</v>
      </c>
      <c r="CM39" s="254">
        <v>0</v>
      </c>
      <c r="CN39" s="254">
        <v>0</v>
      </c>
      <c r="CO39" s="254">
        <v>0</v>
      </c>
      <c r="CP39" s="254">
        <v>0</v>
      </c>
      <c r="CQ39" s="116"/>
      <c r="CR39" s="255">
        <v>0</v>
      </c>
      <c r="CS39" s="255">
        <v>0</v>
      </c>
      <c r="CT39" s="255">
        <v>0</v>
      </c>
      <c r="CU39" s="255">
        <v>0</v>
      </c>
      <c r="CV39" s="255">
        <v>0</v>
      </c>
      <c r="CW39" s="255">
        <v>0</v>
      </c>
      <c r="CX39" s="255">
        <v>0</v>
      </c>
      <c r="CY39" s="255">
        <v>0</v>
      </c>
      <c r="CZ39" s="255">
        <v>0</v>
      </c>
      <c r="DA39" s="255">
        <v>0</v>
      </c>
      <c r="DB39" s="255">
        <v>0</v>
      </c>
      <c r="DC39" s="255">
        <v>29448.899999999987</v>
      </c>
      <c r="DD39" s="255">
        <v>49836.600000000049</v>
      </c>
      <c r="DE39" s="255">
        <v>45305.4</v>
      </c>
      <c r="DF39" s="255">
        <v>45305.4</v>
      </c>
      <c r="DG39" s="255">
        <v>0</v>
      </c>
      <c r="DH39" s="255">
        <v>0</v>
      </c>
      <c r="DI39" s="255">
        <v>0</v>
      </c>
      <c r="DJ39" s="255">
        <v>0</v>
      </c>
      <c r="DK39" s="255">
        <v>0</v>
      </c>
      <c r="DL39" s="255">
        <v>0</v>
      </c>
      <c r="DM39" s="255">
        <v>0</v>
      </c>
      <c r="DN39" s="255">
        <v>0</v>
      </c>
      <c r="DO39" s="255">
        <v>0</v>
      </c>
      <c r="DP39" s="255">
        <v>0</v>
      </c>
      <c r="DQ39" s="255">
        <v>0</v>
      </c>
      <c r="DR39" s="255">
        <v>0</v>
      </c>
      <c r="DS39" s="255">
        <v>0</v>
      </c>
      <c r="DT39" s="255">
        <v>0</v>
      </c>
      <c r="DU39" s="255">
        <v>0</v>
      </c>
      <c r="DV39" s="255">
        <v>0</v>
      </c>
      <c r="DW39" s="255">
        <v>0</v>
      </c>
      <c r="DX39" s="255">
        <v>0</v>
      </c>
      <c r="DY39" s="255">
        <v>0</v>
      </c>
      <c r="DZ39" s="255">
        <v>0</v>
      </c>
      <c r="EA39" s="255">
        <v>0</v>
      </c>
      <c r="EB39" s="255">
        <v>0</v>
      </c>
      <c r="EC39" s="255">
        <v>0</v>
      </c>
      <c r="ED39" s="255">
        <v>0</v>
      </c>
      <c r="EE39" s="255">
        <v>0</v>
      </c>
      <c r="EF39" s="255">
        <v>0</v>
      </c>
      <c r="EG39" s="255">
        <v>0</v>
      </c>
      <c r="EH39" s="255">
        <v>0</v>
      </c>
      <c r="EI39" s="255">
        <v>0</v>
      </c>
      <c r="EJ39" s="255">
        <v>0</v>
      </c>
      <c r="EK39" s="255">
        <v>0</v>
      </c>
      <c r="EL39" s="255">
        <v>0</v>
      </c>
      <c r="EM39" s="255">
        <v>0</v>
      </c>
      <c r="EN39" s="255">
        <v>0</v>
      </c>
      <c r="EO39" s="255">
        <v>0</v>
      </c>
      <c r="EP39" s="255">
        <v>0</v>
      </c>
      <c r="EQ39" s="255">
        <v>0</v>
      </c>
      <c r="ER39" s="255">
        <v>0</v>
      </c>
      <c r="ES39" s="255">
        <v>0</v>
      </c>
      <c r="ET39" s="255">
        <v>0</v>
      </c>
      <c r="EU39" s="255">
        <v>0</v>
      </c>
      <c r="EV39" s="255">
        <v>0</v>
      </c>
      <c r="EW39" s="255">
        <v>0</v>
      </c>
      <c r="EX39" s="255">
        <v>0</v>
      </c>
      <c r="EY39" s="255">
        <v>0</v>
      </c>
      <c r="EZ39" s="255">
        <v>0</v>
      </c>
      <c r="FA39" s="255">
        <v>0</v>
      </c>
      <c r="FB39" s="255">
        <v>0</v>
      </c>
      <c r="FC39" s="255">
        <v>0</v>
      </c>
      <c r="FD39" s="255">
        <v>0</v>
      </c>
      <c r="FE39" s="255">
        <v>0</v>
      </c>
      <c r="FF39" s="255">
        <v>0</v>
      </c>
      <c r="FG39" s="255">
        <v>0</v>
      </c>
      <c r="FH39" s="255">
        <v>0</v>
      </c>
      <c r="FI39" s="255">
        <v>0</v>
      </c>
      <c r="FJ39" s="255">
        <v>0</v>
      </c>
      <c r="FK39" s="255">
        <v>0</v>
      </c>
      <c r="FL39" s="255">
        <v>0</v>
      </c>
      <c r="FM39" s="255">
        <v>0</v>
      </c>
      <c r="FN39" s="255">
        <v>0</v>
      </c>
      <c r="FO39" s="255">
        <v>0</v>
      </c>
      <c r="FP39" s="255">
        <v>0</v>
      </c>
      <c r="FQ39" s="255">
        <v>0</v>
      </c>
      <c r="FR39" s="255">
        <v>0</v>
      </c>
      <c r="FS39" s="255">
        <v>0</v>
      </c>
      <c r="FT39" s="255">
        <v>0</v>
      </c>
      <c r="FU39" s="255">
        <v>0</v>
      </c>
      <c r="FV39" s="255">
        <v>0</v>
      </c>
      <c r="FW39" s="255">
        <v>0</v>
      </c>
      <c r="FX39" s="116"/>
    </row>
    <row r="40" spans="2:180" x14ac:dyDescent="0.2">
      <c r="B40" s="253" t="s">
        <v>233</v>
      </c>
      <c r="C40" s="253" t="s">
        <v>278</v>
      </c>
      <c r="D40" s="253" t="s">
        <v>258</v>
      </c>
      <c r="E40" s="253" t="s">
        <v>127</v>
      </c>
      <c r="F40" s="253" t="s">
        <v>259</v>
      </c>
      <c r="G40" s="253" t="s">
        <v>260</v>
      </c>
      <c r="H40" s="237">
        <v>202.73</v>
      </c>
      <c r="I40" s="126">
        <f t="shared" si="85"/>
        <v>55490.399999999994</v>
      </c>
      <c r="J40" s="116"/>
      <c r="K40" s="254">
        <v>0</v>
      </c>
      <c r="L40" s="254">
        <v>0</v>
      </c>
      <c r="M40" s="254">
        <v>0</v>
      </c>
      <c r="N40" s="254">
        <v>0</v>
      </c>
      <c r="O40" s="254">
        <v>0</v>
      </c>
      <c r="P40" s="254">
        <v>0</v>
      </c>
      <c r="Q40" s="254">
        <v>0</v>
      </c>
      <c r="R40" s="254">
        <v>0</v>
      </c>
      <c r="S40" s="254">
        <v>0</v>
      </c>
      <c r="T40" s="254">
        <v>0</v>
      </c>
      <c r="U40" s="254">
        <v>0</v>
      </c>
      <c r="V40" s="254">
        <v>0</v>
      </c>
      <c r="W40" s="254">
        <v>0</v>
      </c>
      <c r="X40" s="254">
        <v>1</v>
      </c>
      <c r="Y40" s="254">
        <v>1</v>
      </c>
      <c r="Z40" s="254">
        <v>0</v>
      </c>
      <c r="AA40" s="254">
        <v>0</v>
      </c>
      <c r="AB40" s="254">
        <v>0</v>
      </c>
      <c r="AC40" s="254">
        <v>0</v>
      </c>
      <c r="AD40" s="254">
        <v>0</v>
      </c>
      <c r="AE40" s="254">
        <v>0</v>
      </c>
      <c r="AF40" s="254">
        <v>0</v>
      </c>
      <c r="AG40" s="254">
        <v>0</v>
      </c>
      <c r="AH40" s="254">
        <v>0</v>
      </c>
      <c r="AI40" s="254">
        <v>0</v>
      </c>
      <c r="AJ40" s="254">
        <v>0</v>
      </c>
      <c r="AK40" s="254">
        <v>0</v>
      </c>
      <c r="AL40" s="254">
        <v>0</v>
      </c>
      <c r="AM40" s="254">
        <v>0</v>
      </c>
      <c r="AN40" s="254">
        <v>0</v>
      </c>
      <c r="AO40" s="254">
        <v>0</v>
      </c>
      <c r="AP40" s="254">
        <v>0</v>
      </c>
      <c r="AQ40" s="254">
        <v>0</v>
      </c>
      <c r="AR40" s="254">
        <v>0</v>
      </c>
      <c r="AS40" s="254">
        <v>0</v>
      </c>
      <c r="AT40" s="254">
        <v>0</v>
      </c>
      <c r="AU40" s="254">
        <v>0</v>
      </c>
      <c r="AV40" s="254">
        <v>0</v>
      </c>
      <c r="AW40" s="254">
        <v>0</v>
      </c>
      <c r="AX40" s="254">
        <v>0</v>
      </c>
      <c r="AY40" s="254">
        <v>0</v>
      </c>
      <c r="AZ40" s="254">
        <v>0</v>
      </c>
      <c r="BA40" s="254">
        <v>0</v>
      </c>
      <c r="BB40" s="254">
        <v>0</v>
      </c>
      <c r="BC40" s="254">
        <v>0</v>
      </c>
      <c r="BD40" s="254">
        <v>0</v>
      </c>
      <c r="BE40" s="254">
        <v>0</v>
      </c>
      <c r="BF40" s="254">
        <v>0</v>
      </c>
      <c r="BG40" s="254">
        <v>0</v>
      </c>
      <c r="BH40" s="254">
        <v>0</v>
      </c>
      <c r="BI40" s="254">
        <v>0</v>
      </c>
      <c r="BJ40" s="254">
        <v>0</v>
      </c>
      <c r="BK40" s="254">
        <v>0</v>
      </c>
      <c r="BL40" s="254">
        <v>0</v>
      </c>
      <c r="BM40" s="254">
        <v>0</v>
      </c>
      <c r="BN40" s="254">
        <v>0</v>
      </c>
      <c r="BO40" s="254">
        <v>0</v>
      </c>
      <c r="BP40" s="254">
        <v>0</v>
      </c>
      <c r="BQ40" s="254">
        <v>0</v>
      </c>
      <c r="BR40" s="254">
        <v>0</v>
      </c>
      <c r="BS40" s="254">
        <v>0</v>
      </c>
      <c r="BT40" s="254">
        <v>0</v>
      </c>
      <c r="BU40" s="254">
        <v>0</v>
      </c>
      <c r="BV40" s="254">
        <v>0</v>
      </c>
      <c r="BW40" s="254">
        <v>0</v>
      </c>
      <c r="BX40" s="254">
        <v>0</v>
      </c>
      <c r="BY40" s="254">
        <v>0</v>
      </c>
      <c r="BZ40" s="254">
        <v>0</v>
      </c>
      <c r="CA40" s="254">
        <v>0</v>
      </c>
      <c r="CB40" s="254">
        <v>0</v>
      </c>
      <c r="CC40" s="254">
        <v>0</v>
      </c>
      <c r="CD40" s="254">
        <v>0</v>
      </c>
      <c r="CE40" s="254">
        <v>0</v>
      </c>
      <c r="CF40" s="254">
        <v>0</v>
      </c>
      <c r="CG40" s="254">
        <v>0</v>
      </c>
      <c r="CH40" s="254">
        <v>0</v>
      </c>
      <c r="CI40" s="254">
        <v>0</v>
      </c>
      <c r="CJ40" s="254">
        <v>0</v>
      </c>
      <c r="CK40" s="254">
        <v>0</v>
      </c>
      <c r="CL40" s="254">
        <v>0</v>
      </c>
      <c r="CM40" s="254">
        <v>0</v>
      </c>
      <c r="CN40" s="254">
        <v>0</v>
      </c>
      <c r="CO40" s="254">
        <v>0</v>
      </c>
      <c r="CP40" s="254">
        <v>0</v>
      </c>
      <c r="CQ40" s="116"/>
      <c r="CR40" s="255">
        <v>0</v>
      </c>
      <c r="CS40" s="255">
        <v>0</v>
      </c>
      <c r="CT40" s="255">
        <v>0</v>
      </c>
      <c r="CU40" s="255">
        <v>0</v>
      </c>
      <c r="CV40" s="255">
        <v>0</v>
      </c>
      <c r="CW40" s="255">
        <v>0</v>
      </c>
      <c r="CX40" s="255">
        <v>0</v>
      </c>
      <c r="CY40" s="255">
        <v>0</v>
      </c>
      <c r="CZ40" s="255">
        <v>0</v>
      </c>
      <c r="DA40" s="255">
        <v>0</v>
      </c>
      <c r="DB40" s="255">
        <v>0</v>
      </c>
      <c r="DC40" s="255">
        <v>0</v>
      </c>
      <c r="DD40" s="255">
        <v>0</v>
      </c>
      <c r="DE40" s="255">
        <v>27108.2</v>
      </c>
      <c r="DF40" s="255">
        <v>28382.199999999997</v>
      </c>
      <c r="DG40" s="255">
        <v>0</v>
      </c>
      <c r="DH40" s="255">
        <v>0</v>
      </c>
      <c r="DI40" s="255">
        <v>0</v>
      </c>
      <c r="DJ40" s="255">
        <v>0</v>
      </c>
      <c r="DK40" s="255">
        <v>0</v>
      </c>
      <c r="DL40" s="255">
        <v>0</v>
      </c>
      <c r="DM40" s="255">
        <v>0</v>
      </c>
      <c r="DN40" s="255">
        <v>0</v>
      </c>
      <c r="DO40" s="255">
        <v>0</v>
      </c>
      <c r="DP40" s="255">
        <v>0</v>
      </c>
      <c r="DQ40" s="255">
        <v>0</v>
      </c>
      <c r="DR40" s="255">
        <v>0</v>
      </c>
      <c r="DS40" s="255">
        <v>0</v>
      </c>
      <c r="DT40" s="255">
        <v>0</v>
      </c>
      <c r="DU40" s="255">
        <v>0</v>
      </c>
      <c r="DV40" s="255">
        <v>0</v>
      </c>
      <c r="DW40" s="255">
        <v>0</v>
      </c>
      <c r="DX40" s="255">
        <v>0</v>
      </c>
      <c r="DY40" s="255">
        <v>0</v>
      </c>
      <c r="DZ40" s="255">
        <v>0</v>
      </c>
      <c r="EA40" s="255">
        <v>0</v>
      </c>
      <c r="EB40" s="255">
        <v>0</v>
      </c>
      <c r="EC40" s="255">
        <v>0</v>
      </c>
      <c r="ED40" s="255">
        <v>0</v>
      </c>
      <c r="EE40" s="255">
        <v>0</v>
      </c>
      <c r="EF40" s="255">
        <v>0</v>
      </c>
      <c r="EG40" s="255">
        <v>0</v>
      </c>
      <c r="EH40" s="255">
        <v>0</v>
      </c>
      <c r="EI40" s="255">
        <v>0</v>
      </c>
      <c r="EJ40" s="255">
        <v>0</v>
      </c>
      <c r="EK40" s="255">
        <v>0</v>
      </c>
      <c r="EL40" s="255">
        <v>0</v>
      </c>
      <c r="EM40" s="255">
        <v>0</v>
      </c>
      <c r="EN40" s="255">
        <v>0</v>
      </c>
      <c r="EO40" s="255">
        <v>0</v>
      </c>
      <c r="EP40" s="255">
        <v>0</v>
      </c>
      <c r="EQ40" s="255">
        <v>0</v>
      </c>
      <c r="ER40" s="255">
        <v>0</v>
      </c>
      <c r="ES40" s="255">
        <v>0</v>
      </c>
      <c r="ET40" s="255">
        <v>0</v>
      </c>
      <c r="EU40" s="255">
        <v>0</v>
      </c>
      <c r="EV40" s="255">
        <v>0</v>
      </c>
      <c r="EW40" s="255">
        <v>0</v>
      </c>
      <c r="EX40" s="255">
        <v>0</v>
      </c>
      <c r="EY40" s="255">
        <v>0</v>
      </c>
      <c r="EZ40" s="255">
        <v>0</v>
      </c>
      <c r="FA40" s="255">
        <v>0</v>
      </c>
      <c r="FB40" s="255">
        <v>0</v>
      </c>
      <c r="FC40" s="255">
        <v>0</v>
      </c>
      <c r="FD40" s="255">
        <v>0</v>
      </c>
      <c r="FE40" s="255">
        <v>0</v>
      </c>
      <c r="FF40" s="255">
        <v>0</v>
      </c>
      <c r="FG40" s="255">
        <v>0</v>
      </c>
      <c r="FH40" s="255">
        <v>0</v>
      </c>
      <c r="FI40" s="255">
        <v>0</v>
      </c>
      <c r="FJ40" s="255">
        <v>0</v>
      </c>
      <c r="FK40" s="255">
        <v>0</v>
      </c>
      <c r="FL40" s="255">
        <v>0</v>
      </c>
      <c r="FM40" s="255">
        <v>0</v>
      </c>
      <c r="FN40" s="255">
        <v>0</v>
      </c>
      <c r="FO40" s="255">
        <v>0</v>
      </c>
      <c r="FP40" s="255">
        <v>0</v>
      </c>
      <c r="FQ40" s="255">
        <v>0</v>
      </c>
      <c r="FR40" s="255">
        <v>0</v>
      </c>
      <c r="FS40" s="255">
        <v>0</v>
      </c>
      <c r="FT40" s="255">
        <v>0</v>
      </c>
      <c r="FU40" s="255">
        <v>0</v>
      </c>
      <c r="FV40" s="255">
        <v>0</v>
      </c>
      <c r="FW40" s="255">
        <v>0</v>
      </c>
      <c r="FX40" s="116"/>
    </row>
    <row r="41" spans="2:180" x14ac:dyDescent="0.2">
      <c r="B41" s="253" t="s">
        <v>234</v>
      </c>
      <c r="C41" s="253" t="s">
        <v>279</v>
      </c>
      <c r="D41" s="253" t="s">
        <v>258</v>
      </c>
      <c r="E41" s="253" t="s">
        <v>127</v>
      </c>
      <c r="F41" s="253" t="s">
        <v>263</v>
      </c>
      <c r="G41" s="253" t="s">
        <v>260</v>
      </c>
      <c r="H41" s="237">
        <v>309.29000000000002</v>
      </c>
      <c r="I41" s="126">
        <f t="shared" si="85"/>
        <v>1471466.6600000008</v>
      </c>
      <c r="J41" s="116"/>
      <c r="K41" s="254">
        <v>0</v>
      </c>
      <c r="L41" s="254">
        <v>0</v>
      </c>
      <c r="M41" s="254">
        <v>0</v>
      </c>
      <c r="N41" s="254">
        <v>0</v>
      </c>
      <c r="O41" s="254">
        <v>0</v>
      </c>
      <c r="P41" s="254">
        <v>0</v>
      </c>
      <c r="Q41" s="254">
        <v>0</v>
      </c>
      <c r="R41" s="254">
        <v>0</v>
      </c>
      <c r="S41" s="254">
        <v>0</v>
      </c>
      <c r="T41" s="254">
        <v>0</v>
      </c>
      <c r="U41" s="254">
        <v>0</v>
      </c>
      <c r="V41" s="254">
        <v>0</v>
      </c>
      <c r="W41" s="254">
        <v>0</v>
      </c>
      <c r="X41" s="254">
        <v>1</v>
      </c>
      <c r="Y41" s="254">
        <v>1</v>
      </c>
      <c r="Z41" s="254">
        <v>1</v>
      </c>
      <c r="AA41" s="254">
        <v>0.92105263157894735</v>
      </c>
      <c r="AB41" s="254">
        <v>0.92105263157894735</v>
      </c>
      <c r="AC41" s="254">
        <v>1</v>
      </c>
      <c r="AD41" s="254">
        <v>1</v>
      </c>
      <c r="AE41" s="254">
        <v>1</v>
      </c>
      <c r="AF41" s="254">
        <v>1</v>
      </c>
      <c r="AG41" s="254">
        <v>1</v>
      </c>
      <c r="AH41" s="254">
        <v>1</v>
      </c>
      <c r="AI41" s="254">
        <v>1</v>
      </c>
      <c r="AJ41" s="254">
        <v>1</v>
      </c>
      <c r="AK41" s="254">
        <v>1</v>
      </c>
      <c r="AL41" s="254">
        <v>1</v>
      </c>
      <c r="AM41" s="254">
        <v>1</v>
      </c>
      <c r="AN41" s="254">
        <v>1</v>
      </c>
      <c r="AO41" s="254">
        <v>1</v>
      </c>
      <c r="AP41" s="254">
        <v>1</v>
      </c>
      <c r="AQ41" s="254">
        <v>1</v>
      </c>
      <c r="AR41" s="254">
        <v>1</v>
      </c>
      <c r="AS41" s="254">
        <v>1</v>
      </c>
      <c r="AT41" s="254">
        <v>1</v>
      </c>
      <c r="AU41" s="254">
        <v>1</v>
      </c>
      <c r="AV41" s="254">
        <v>1</v>
      </c>
      <c r="AW41" s="254">
        <v>1</v>
      </c>
      <c r="AX41" s="254">
        <v>1</v>
      </c>
      <c r="AY41" s="254">
        <v>0.92105263157894735</v>
      </c>
      <c r="AZ41" s="254">
        <v>0.92105263157894735</v>
      </c>
      <c r="BA41" s="254">
        <v>1</v>
      </c>
      <c r="BB41" s="254">
        <v>1</v>
      </c>
      <c r="BC41" s="254">
        <v>1</v>
      </c>
      <c r="BD41" s="254">
        <v>1</v>
      </c>
      <c r="BE41" s="254">
        <v>1</v>
      </c>
      <c r="BF41" s="254">
        <v>1.3333333333333333</v>
      </c>
      <c r="BG41" s="254">
        <v>0</v>
      </c>
      <c r="BH41" s="254">
        <v>0</v>
      </c>
      <c r="BI41" s="254">
        <v>0</v>
      </c>
      <c r="BJ41" s="254">
        <v>0</v>
      </c>
      <c r="BK41" s="254">
        <v>0</v>
      </c>
      <c r="BL41" s="254">
        <v>0</v>
      </c>
      <c r="BM41" s="254">
        <v>0</v>
      </c>
      <c r="BN41" s="254">
        <v>0</v>
      </c>
      <c r="BO41" s="254">
        <v>0</v>
      </c>
      <c r="BP41" s="254">
        <v>0</v>
      </c>
      <c r="BQ41" s="254">
        <v>0</v>
      </c>
      <c r="BR41" s="254">
        <v>0</v>
      </c>
      <c r="BS41" s="254">
        <v>0</v>
      </c>
      <c r="BT41" s="254">
        <v>0</v>
      </c>
      <c r="BU41" s="254">
        <v>0</v>
      </c>
      <c r="BV41" s="254">
        <v>0</v>
      </c>
      <c r="BW41" s="254">
        <v>0</v>
      </c>
      <c r="BX41" s="254">
        <v>0</v>
      </c>
      <c r="BY41" s="254">
        <v>0</v>
      </c>
      <c r="BZ41" s="254">
        <v>0</v>
      </c>
      <c r="CA41" s="254">
        <v>0</v>
      </c>
      <c r="CB41" s="254">
        <v>0</v>
      </c>
      <c r="CC41" s="254">
        <v>0</v>
      </c>
      <c r="CD41" s="254">
        <v>0</v>
      </c>
      <c r="CE41" s="254">
        <v>0</v>
      </c>
      <c r="CF41" s="254">
        <v>0</v>
      </c>
      <c r="CG41" s="254">
        <v>0</v>
      </c>
      <c r="CH41" s="254">
        <v>0</v>
      </c>
      <c r="CI41" s="254">
        <v>0</v>
      </c>
      <c r="CJ41" s="254">
        <v>0</v>
      </c>
      <c r="CK41" s="254">
        <v>0</v>
      </c>
      <c r="CL41" s="254">
        <v>0</v>
      </c>
      <c r="CM41" s="254">
        <v>0</v>
      </c>
      <c r="CN41" s="254">
        <v>0</v>
      </c>
      <c r="CO41" s="254">
        <v>0</v>
      </c>
      <c r="CP41" s="254">
        <v>0</v>
      </c>
      <c r="CQ41" s="116"/>
      <c r="CR41" s="255">
        <v>0</v>
      </c>
      <c r="CS41" s="255">
        <v>0</v>
      </c>
      <c r="CT41" s="255">
        <v>0</v>
      </c>
      <c r="CU41" s="255">
        <v>0</v>
      </c>
      <c r="CV41" s="255">
        <v>0</v>
      </c>
      <c r="CW41" s="255">
        <v>0</v>
      </c>
      <c r="CX41" s="255">
        <v>0</v>
      </c>
      <c r="CY41" s="255">
        <v>0</v>
      </c>
      <c r="CZ41" s="255">
        <v>0</v>
      </c>
      <c r="DA41" s="255">
        <v>0</v>
      </c>
      <c r="DB41" s="255">
        <v>0</v>
      </c>
      <c r="DC41" s="255">
        <v>0</v>
      </c>
      <c r="DD41" s="255">
        <v>0</v>
      </c>
      <c r="DE41" s="255">
        <v>42047.6</v>
      </c>
      <c r="DF41" s="255">
        <v>42047.6</v>
      </c>
      <c r="DG41" s="255">
        <v>31535.699999999997</v>
      </c>
      <c r="DH41" s="255">
        <v>42047.6</v>
      </c>
      <c r="DI41" s="255">
        <v>42047.6</v>
      </c>
      <c r="DJ41" s="255">
        <v>43300.600000000006</v>
      </c>
      <c r="DK41" s="255">
        <v>43300.600000000006</v>
      </c>
      <c r="DL41" s="255">
        <v>43300.600000000006</v>
      </c>
      <c r="DM41" s="255">
        <v>43300.600000000006</v>
      </c>
      <c r="DN41" s="255">
        <v>43300.600000000006</v>
      </c>
      <c r="DO41" s="255">
        <v>32475.45</v>
      </c>
      <c r="DP41" s="255">
        <v>32475.45</v>
      </c>
      <c r="DQ41" s="255">
        <v>43300.600000000006</v>
      </c>
      <c r="DR41" s="255">
        <v>43300.600000000006</v>
      </c>
      <c r="DS41" s="255">
        <v>32475.45</v>
      </c>
      <c r="DT41" s="255">
        <v>47012.08</v>
      </c>
      <c r="DU41" s="255">
        <v>47012.08</v>
      </c>
      <c r="DV41" s="255">
        <v>44585.8</v>
      </c>
      <c r="DW41" s="255">
        <v>44585.8</v>
      </c>
      <c r="DX41" s="255">
        <v>44585.8</v>
      </c>
      <c r="DY41" s="255">
        <v>44585.8</v>
      </c>
      <c r="DZ41" s="255">
        <v>44585.8</v>
      </c>
      <c r="EA41" s="255">
        <v>33439.350000000006</v>
      </c>
      <c r="EB41" s="255">
        <v>33439.350000000006</v>
      </c>
      <c r="EC41" s="255">
        <v>44585.8</v>
      </c>
      <c r="ED41" s="255">
        <v>44585.8</v>
      </c>
      <c r="EE41" s="255">
        <v>33439.350000000006</v>
      </c>
      <c r="EF41" s="255">
        <v>44585.8</v>
      </c>
      <c r="EG41" s="255">
        <v>44585.8</v>
      </c>
      <c r="EH41" s="255">
        <v>45932.6</v>
      </c>
      <c r="EI41" s="255">
        <v>45932.6</v>
      </c>
      <c r="EJ41" s="255">
        <v>45932.6</v>
      </c>
      <c r="EK41" s="255">
        <v>45932.6</v>
      </c>
      <c r="EL41" s="255">
        <v>45932.6</v>
      </c>
      <c r="EM41" s="255">
        <v>45932.6</v>
      </c>
      <c r="EN41" s="255">
        <v>0</v>
      </c>
      <c r="EO41" s="255">
        <v>0</v>
      </c>
      <c r="EP41" s="255">
        <v>0</v>
      </c>
      <c r="EQ41" s="255">
        <v>0</v>
      </c>
      <c r="ER41" s="255">
        <v>0</v>
      </c>
      <c r="ES41" s="255">
        <v>0</v>
      </c>
      <c r="ET41" s="255">
        <v>0</v>
      </c>
      <c r="EU41" s="255">
        <v>0</v>
      </c>
      <c r="EV41" s="255">
        <v>0</v>
      </c>
      <c r="EW41" s="255">
        <v>0</v>
      </c>
      <c r="EX41" s="255">
        <v>0</v>
      </c>
      <c r="EY41" s="255">
        <v>0</v>
      </c>
      <c r="EZ41" s="255">
        <v>0</v>
      </c>
      <c r="FA41" s="255">
        <v>0</v>
      </c>
      <c r="FB41" s="255">
        <v>0</v>
      </c>
      <c r="FC41" s="255">
        <v>0</v>
      </c>
      <c r="FD41" s="255">
        <v>0</v>
      </c>
      <c r="FE41" s="255">
        <v>0</v>
      </c>
      <c r="FF41" s="255">
        <v>0</v>
      </c>
      <c r="FG41" s="255">
        <v>0</v>
      </c>
      <c r="FH41" s="255">
        <v>0</v>
      </c>
      <c r="FI41" s="255">
        <v>0</v>
      </c>
      <c r="FJ41" s="255">
        <v>0</v>
      </c>
      <c r="FK41" s="255">
        <v>0</v>
      </c>
      <c r="FL41" s="255">
        <v>0</v>
      </c>
      <c r="FM41" s="255">
        <v>0</v>
      </c>
      <c r="FN41" s="255">
        <v>0</v>
      </c>
      <c r="FO41" s="255">
        <v>0</v>
      </c>
      <c r="FP41" s="255">
        <v>0</v>
      </c>
      <c r="FQ41" s="255">
        <v>0</v>
      </c>
      <c r="FR41" s="255">
        <v>0</v>
      </c>
      <c r="FS41" s="255">
        <v>0</v>
      </c>
      <c r="FT41" s="255">
        <v>0</v>
      </c>
      <c r="FU41" s="255">
        <v>0</v>
      </c>
      <c r="FV41" s="255">
        <v>0</v>
      </c>
      <c r="FW41" s="255">
        <v>0</v>
      </c>
      <c r="FX41" s="116"/>
    </row>
    <row r="42" spans="2:180" x14ac:dyDescent="0.2">
      <c r="B42" s="253" t="s">
        <v>234</v>
      </c>
      <c r="C42" s="253" t="s">
        <v>280</v>
      </c>
      <c r="D42" s="253" t="s">
        <v>258</v>
      </c>
      <c r="E42" s="253" t="s">
        <v>127</v>
      </c>
      <c r="F42" s="253" t="s">
        <v>259</v>
      </c>
      <c r="G42" s="253" t="s">
        <v>260</v>
      </c>
      <c r="H42" s="237">
        <v>366.81</v>
      </c>
      <c r="I42" s="126">
        <f t="shared" si="85"/>
        <v>1745223.0900000015</v>
      </c>
      <c r="J42" s="116"/>
      <c r="K42" s="254">
        <v>0</v>
      </c>
      <c r="L42" s="254">
        <v>0</v>
      </c>
      <c r="M42" s="254">
        <v>0</v>
      </c>
      <c r="N42" s="254">
        <v>0</v>
      </c>
      <c r="O42" s="254">
        <v>0</v>
      </c>
      <c r="P42" s="254">
        <v>0</v>
      </c>
      <c r="Q42" s="254">
        <v>0</v>
      </c>
      <c r="R42" s="254">
        <v>0</v>
      </c>
      <c r="S42" s="254">
        <v>0</v>
      </c>
      <c r="T42" s="254">
        <v>0</v>
      </c>
      <c r="U42" s="254">
        <v>0</v>
      </c>
      <c r="V42" s="254">
        <v>0</v>
      </c>
      <c r="W42" s="254">
        <v>0</v>
      </c>
      <c r="X42" s="254">
        <v>1</v>
      </c>
      <c r="Y42" s="254">
        <v>1</v>
      </c>
      <c r="Z42" s="254">
        <v>1</v>
      </c>
      <c r="AA42" s="254">
        <v>0.92105263157894735</v>
      </c>
      <c r="AB42" s="254">
        <v>0.92105263157894735</v>
      </c>
      <c r="AC42" s="254">
        <v>1</v>
      </c>
      <c r="AD42" s="254">
        <v>1</v>
      </c>
      <c r="AE42" s="254">
        <v>1</v>
      </c>
      <c r="AF42" s="254">
        <v>1</v>
      </c>
      <c r="AG42" s="254">
        <v>1</v>
      </c>
      <c r="AH42" s="254">
        <v>1</v>
      </c>
      <c r="AI42" s="254">
        <v>1</v>
      </c>
      <c r="AJ42" s="254">
        <v>1</v>
      </c>
      <c r="AK42" s="254">
        <v>1</v>
      </c>
      <c r="AL42" s="254">
        <v>1</v>
      </c>
      <c r="AM42" s="254">
        <v>1</v>
      </c>
      <c r="AN42" s="254">
        <v>1</v>
      </c>
      <c r="AO42" s="254">
        <v>1</v>
      </c>
      <c r="AP42" s="254">
        <v>1</v>
      </c>
      <c r="AQ42" s="254">
        <v>1</v>
      </c>
      <c r="AR42" s="254">
        <v>1</v>
      </c>
      <c r="AS42" s="254">
        <v>1</v>
      </c>
      <c r="AT42" s="254">
        <v>1</v>
      </c>
      <c r="AU42" s="254">
        <v>1</v>
      </c>
      <c r="AV42" s="254">
        <v>1</v>
      </c>
      <c r="AW42" s="254">
        <v>1</v>
      </c>
      <c r="AX42" s="254">
        <v>1</v>
      </c>
      <c r="AY42" s="254">
        <v>0.92105263157894735</v>
      </c>
      <c r="AZ42" s="254">
        <v>0.92105263157894735</v>
      </c>
      <c r="BA42" s="254">
        <v>1</v>
      </c>
      <c r="BB42" s="254">
        <v>1</v>
      </c>
      <c r="BC42" s="254">
        <v>1</v>
      </c>
      <c r="BD42" s="254">
        <v>1</v>
      </c>
      <c r="BE42" s="254">
        <v>1</v>
      </c>
      <c r="BF42" s="254">
        <v>1.3333333333333333</v>
      </c>
      <c r="BG42" s="254">
        <v>0</v>
      </c>
      <c r="BH42" s="254">
        <v>0</v>
      </c>
      <c r="BI42" s="254">
        <v>0</v>
      </c>
      <c r="BJ42" s="254">
        <v>0</v>
      </c>
      <c r="BK42" s="254">
        <v>0</v>
      </c>
      <c r="BL42" s="254">
        <v>0</v>
      </c>
      <c r="BM42" s="254">
        <v>0</v>
      </c>
      <c r="BN42" s="254">
        <v>0</v>
      </c>
      <c r="BO42" s="254">
        <v>0</v>
      </c>
      <c r="BP42" s="254">
        <v>0</v>
      </c>
      <c r="BQ42" s="254">
        <v>0</v>
      </c>
      <c r="BR42" s="254">
        <v>0</v>
      </c>
      <c r="BS42" s="254">
        <v>0</v>
      </c>
      <c r="BT42" s="254">
        <v>0</v>
      </c>
      <c r="BU42" s="254">
        <v>0</v>
      </c>
      <c r="BV42" s="254">
        <v>0</v>
      </c>
      <c r="BW42" s="254">
        <v>0</v>
      </c>
      <c r="BX42" s="254">
        <v>0</v>
      </c>
      <c r="BY42" s="254">
        <v>0</v>
      </c>
      <c r="BZ42" s="254">
        <v>0</v>
      </c>
      <c r="CA42" s="254">
        <v>0</v>
      </c>
      <c r="CB42" s="254">
        <v>0</v>
      </c>
      <c r="CC42" s="254">
        <v>0</v>
      </c>
      <c r="CD42" s="254">
        <v>0</v>
      </c>
      <c r="CE42" s="254">
        <v>0</v>
      </c>
      <c r="CF42" s="254">
        <v>0</v>
      </c>
      <c r="CG42" s="254">
        <v>0</v>
      </c>
      <c r="CH42" s="254">
        <v>0</v>
      </c>
      <c r="CI42" s="254">
        <v>0</v>
      </c>
      <c r="CJ42" s="254">
        <v>0</v>
      </c>
      <c r="CK42" s="254">
        <v>0</v>
      </c>
      <c r="CL42" s="254">
        <v>0</v>
      </c>
      <c r="CM42" s="254">
        <v>0</v>
      </c>
      <c r="CN42" s="254">
        <v>0</v>
      </c>
      <c r="CO42" s="254">
        <v>0</v>
      </c>
      <c r="CP42" s="254">
        <v>0</v>
      </c>
      <c r="CQ42" s="116"/>
      <c r="CR42" s="255">
        <v>0</v>
      </c>
      <c r="CS42" s="255">
        <v>0</v>
      </c>
      <c r="CT42" s="255">
        <v>0</v>
      </c>
      <c r="CU42" s="255">
        <v>0</v>
      </c>
      <c r="CV42" s="255">
        <v>0</v>
      </c>
      <c r="CW42" s="255">
        <v>0</v>
      </c>
      <c r="CX42" s="255">
        <v>0</v>
      </c>
      <c r="CY42" s="255">
        <v>0</v>
      </c>
      <c r="CZ42" s="255">
        <v>0</v>
      </c>
      <c r="DA42" s="255">
        <v>0</v>
      </c>
      <c r="DB42" s="255">
        <v>0</v>
      </c>
      <c r="DC42" s="255">
        <v>0</v>
      </c>
      <c r="DD42" s="255">
        <v>0</v>
      </c>
      <c r="DE42" s="255">
        <v>49849.799999999996</v>
      </c>
      <c r="DF42" s="255">
        <v>49849.799999999996</v>
      </c>
      <c r="DG42" s="255">
        <v>37387.35</v>
      </c>
      <c r="DH42" s="255">
        <v>49849.799999999996</v>
      </c>
      <c r="DI42" s="255">
        <v>49849.799999999996</v>
      </c>
      <c r="DJ42" s="255">
        <v>51353.4</v>
      </c>
      <c r="DK42" s="255">
        <v>51353.4</v>
      </c>
      <c r="DL42" s="255">
        <v>51353.4</v>
      </c>
      <c r="DM42" s="255">
        <v>51353.4</v>
      </c>
      <c r="DN42" s="255">
        <v>51353.4</v>
      </c>
      <c r="DO42" s="255">
        <v>38515.050000000003</v>
      </c>
      <c r="DP42" s="255">
        <v>38515.050000000003</v>
      </c>
      <c r="DQ42" s="255">
        <v>51353.4</v>
      </c>
      <c r="DR42" s="255">
        <v>51353.4</v>
      </c>
      <c r="DS42" s="255">
        <v>38515.050000000003</v>
      </c>
      <c r="DT42" s="255">
        <v>55755.12</v>
      </c>
      <c r="DU42" s="255">
        <v>55755.12</v>
      </c>
      <c r="DV42" s="255">
        <v>52887.799999999996</v>
      </c>
      <c r="DW42" s="255">
        <v>52887.799999999996</v>
      </c>
      <c r="DX42" s="255">
        <v>52887.799999999996</v>
      </c>
      <c r="DY42" s="255">
        <v>52887.799999999996</v>
      </c>
      <c r="DZ42" s="255">
        <v>52887.799999999996</v>
      </c>
      <c r="EA42" s="255">
        <v>39665.85</v>
      </c>
      <c r="EB42" s="255">
        <v>39665.85</v>
      </c>
      <c r="EC42" s="255">
        <v>52887.799999999996</v>
      </c>
      <c r="ED42" s="255">
        <v>52887.799999999996</v>
      </c>
      <c r="EE42" s="255">
        <v>39665.85</v>
      </c>
      <c r="EF42" s="255">
        <v>52887.799999999996</v>
      </c>
      <c r="EG42" s="255">
        <v>52887.799999999996</v>
      </c>
      <c r="EH42" s="255">
        <v>54486.6</v>
      </c>
      <c r="EI42" s="255">
        <v>54486.6</v>
      </c>
      <c r="EJ42" s="255">
        <v>54486.6</v>
      </c>
      <c r="EK42" s="255">
        <v>54486.6</v>
      </c>
      <c r="EL42" s="255">
        <v>54486.6</v>
      </c>
      <c r="EM42" s="255">
        <v>54486.6</v>
      </c>
      <c r="EN42" s="255">
        <v>0</v>
      </c>
      <c r="EO42" s="255">
        <v>0</v>
      </c>
      <c r="EP42" s="255">
        <v>0</v>
      </c>
      <c r="EQ42" s="255">
        <v>0</v>
      </c>
      <c r="ER42" s="255">
        <v>0</v>
      </c>
      <c r="ES42" s="255">
        <v>0</v>
      </c>
      <c r="ET42" s="255">
        <v>0</v>
      </c>
      <c r="EU42" s="255">
        <v>0</v>
      </c>
      <c r="EV42" s="255">
        <v>0</v>
      </c>
      <c r="EW42" s="255">
        <v>0</v>
      </c>
      <c r="EX42" s="255">
        <v>0</v>
      </c>
      <c r="EY42" s="255">
        <v>0</v>
      </c>
      <c r="EZ42" s="255">
        <v>0</v>
      </c>
      <c r="FA42" s="255">
        <v>0</v>
      </c>
      <c r="FB42" s="255">
        <v>0</v>
      </c>
      <c r="FC42" s="255">
        <v>0</v>
      </c>
      <c r="FD42" s="255">
        <v>0</v>
      </c>
      <c r="FE42" s="255">
        <v>0</v>
      </c>
      <c r="FF42" s="255">
        <v>0</v>
      </c>
      <c r="FG42" s="255">
        <v>0</v>
      </c>
      <c r="FH42" s="255">
        <v>0</v>
      </c>
      <c r="FI42" s="255">
        <v>0</v>
      </c>
      <c r="FJ42" s="255">
        <v>0</v>
      </c>
      <c r="FK42" s="255">
        <v>0</v>
      </c>
      <c r="FL42" s="255">
        <v>0</v>
      </c>
      <c r="FM42" s="255">
        <v>0</v>
      </c>
      <c r="FN42" s="255">
        <v>0</v>
      </c>
      <c r="FO42" s="255">
        <v>0</v>
      </c>
      <c r="FP42" s="255">
        <v>0</v>
      </c>
      <c r="FQ42" s="255">
        <v>0</v>
      </c>
      <c r="FR42" s="255">
        <v>0</v>
      </c>
      <c r="FS42" s="255">
        <v>0</v>
      </c>
      <c r="FT42" s="255">
        <v>0</v>
      </c>
      <c r="FU42" s="255">
        <v>0</v>
      </c>
      <c r="FV42" s="255">
        <v>0</v>
      </c>
      <c r="FW42" s="255">
        <v>0</v>
      </c>
      <c r="FX42" s="116"/>
    </row>
    <row r="43" spans="2:180" x14ac:dyDescent="0.2">
      <c r="B43" s="253" t="s">
        <v>234</v>
      </c>
      <c r="C43" s="253" t="s">
        <v>280</v>
      </c>
      <c r="D43" s="253" t="s">
        <v>258</v>
      </c>
      <c r="E43" s="253" t="s">
        <v>127</v>
      </c>
      <c r="F43" s="253" t="s">
        <v>259</v>
      </c>
      <c r="G43" s="253" t="s">
        <v>260</v>
      </c>
      <c r="H43" s="237">
        <v>366.81</v>
      </c>
      <c r="I43" s="126">
        <f t="shared" si="85"/>
        <v>1745223.0900000015</v>
      </c>
      <c r="J43" s="116"/>
      <c r="K43" s="254">
        <v>0</v>
      </c>
      <c r="L43" s="254">
        <v>0</v>
      </c>
      <c r="M43" s="254">
        <v>0</v>
      </c>
      <c r="N43" s="254">
        <v>0</v>
      </c>
      <c r="O43" s="254">
        <v>0</v>
      </c>
      <c r="P43" s="254">
        <v>0</v>
      </c>
      <c r="Q43" s="254">
        <v>0</v>
      </c>
      <c r="R43" s="254">
        <v>0</v>
      </c>
      <c r="S43" s="254">
        <v>0</v>
      </c>
      <c r="T43" s="254">
        <v>0</v>
      </c>
      <c r="U43" s="254">
        <v>0</v>
      </c>
      <c r="V43" s="254">
        <v>0</v>
      </c>
      <c r="W43" s="254">
        <v>0</v>
      </c>
      <c r="X43" s="254">
        <v>1</v>
      </c>
      <c r="Y43" s="254">
        <v>1</v>
      </c>
      <c r="Z43" s="254">
        <v>1</v>
      </c>
      <c r="AA43" s="254">
        <v>0.92105263157894735</v>
      </c>
      <c r="AB43" s="254">
        <v>0.92105263157894735</v>
      </c>
      <c r="AC43" s="254">
        <v>1</v>
      </c>
      <c r="AD43" s="254">
        <v>1</v>
      </c>
      <c r="AE43" s="254">
        <v>1</v>
      </c>
      <c r="AF43" s="254">
        <v>1</v>
      </c>
      <c r="AG43" s="254">
        <v>1</v>
      </c>
      <c r="AH43" s="254">
        <v>1</v>
      </c>
      <c r="AI43" s="254">
        <v>1</v>
      </c>
      <c r="AJ43" s="254">
        <v>1</v>
      </c>
      <c r="AK43" s="254">
        <v>1</v>
      </c>
      <c r="AL43" s="254">
        <v>1</v>
      </c>
      <c r="AM43" s="254">
        <v>1</v>
      </c>
      <c r="AN43" s="254">
        <v>1</v>
      </c>
      <c r="AO43" s="254">
        <v>1</v>
      </c>
      <c r="AP43" s="254">
        <v>1</v>
      </c>
      <c r="AQ43" s="254">
        <v>1</v>
      </c>
      <c r="AR43" s="254">
        <v>1</v>
      </c>
      <c r="AS43" s="254">
        <v>1</v>
      </c>
      <c r="AT43" s="254">
        <v>1</v>
      </c>
      <c r="AU43" s="254">
        <v>1</v>
      </c>
      <c r="AV43" s="254">
        <v>1</v>
      </c>
      <c r="AW43" s="254">
        <v>1</v>
      </c>
      <c r="AX43" s="254">
        <v>1</v>
      </c>
      <c r="AY43" s="254">
        <v>0.92105263157894735</v>
      </c>
      <c r="AZ43" s="254">
        <v>0.92105263157894735</v>
      </c>
      <c r="BA43" s="254">
        <v>1</v>
      </c>
      <c r="BB43" s="254">
        <v>1</v>
      </c>
      <c r="BC43" s="254">
        <v>1</v>
      </c>
      <c r="BD43" s="254">
        <v>1</v>
      </c>
      <c r="BE43" s="254">
        <v>1</v>
      </c>
      <c r="BF43" s="254">
        <v>1.3333333333333333</v>
      </c>
      <c r="BG43" s="254">
        <v>0</v>
      </c>
      <c r="BH43" s="254">
        <v>0</v>
      </c>
      <c r="BI43" s="254">
        <v>0</v>
      </c>
      <c r="BJ43" s="254">
        <v>0</v>
      </c>
      <c r="BK43" s="254">
        <v>0</v>
      </c>
      <c r="BL43" s="254">
        <v>0</v>
      </c>
      <c r="BM43" s="254">
        <v>0</v>
      </c>
      <c r="BN43" s="254">
        <v>0</v>
      </c>
      <c r="BO43" s="254">
        <v>0</v>
      </c>
      <c r="BP43" s="254">
        <v>0</v>
      </c>
      <c r="BQ43" s="254">
        <v>0</v>
      </c>
      <c r="BR43" s="254">
        <v>0</v>
      </c>
      <c r="BS43" s="254">
        <v>0</v>
      </c>
      <c r="BT43" s="254">
        <v>0</v>
      </c>
      <c r="BU43" s="254">
        <v>0</v>
      </c>
      <c r="BV43" s="254">
        <v>0</v>
      </c>
      <c r="BW43" s="254">
        <v>0</v>
      </c>
      <c r="BX43" s="254">
        <v>0</v>
      </c>
      <c r="BY43" s="254">
        <v>0</v>
      </c>
      <c r="BZ43" s="254">
        <v>0</v>
      </c>
      <c r="CA43" s="254">
        <v>0</v>
      </c>
      <c r="CB43" s="254">
        <v>0</v>
      </c>
      <c r="CC43" s="254">
        <v>0</v>
      </c>
      <c r="CD43" s="254">
        <v>0</v>
      </c>
      <c r="CE43" s="254">
        <v>0</v>
      </c>
      <c r="CF43" s="254">
        <v>0</v>
      </c>
      <c r="CG43" s="254">
        <v>0</v>
      </c>
      <c r="CH43" s="254">
        <v>0</v>
      </c>
      <c r="CI43" s="254">
        <v>0</v>
      </c>
      <c r="CJ43" s="254">
        <v>0</v>
      </c>
      <c r="CK43" s="254">
        <v>0</v>
      </c>
      <c r="CL43" s="254">
        <v>0</v>
      </c>
      <c r="CM43" s="254">
        <v>0</v>
      </c>
      <c r="CN43" s="254">
        <v>0</v>
      </c>
      <c r="CO43" s="254">
        <v>0</v>
      </c>
      <c r="CP43" s="254">
        <v>0</v>
      </c>
      <c r="CQ43" s="116"/>
      <c r="CR43" s="255">
        <v>0</v>
      </c>
      <c r="CS43" s="255">
        <v>0</v>
      </c>
      <c r="CT43" s="255">
        <v>0</v>
      </c>
      <c r="CU43" s="255">
        <v>0</v>
      </c>
      <c r="CV43" s="255">
        <v>0</v>
      </c>
      <c r="CW43" s="255">
        <v>0</v>
      </c>
      <c r="CX43" s="255">
        <v>0</v>
      </c>
      <c r="CY43" s="255">
        <v>0</v>
      </c>
      <c r="CZ43" s="255">
        <v>0</v>
      </c>
      <c r="DA43" s="255">
        <v>0</v>
      </c>
      <c r="DB43" s="255">
        <v>0</v>
      </c>
      <c r="DC43" s="255">
        <v>0</v>
      </c>
      <c r="DD43" s="255">
        <v>0</v>
      </c>
      <c r="DE43" s="255">
        <v>49849.799999999996</v>
      </c>
      <c r="DF43" s="255">
        <v>49849.799999999996</v>
      </c>
      <c r="DG43" s="255">
        <v>37387.35</v>
      </c>
      <c r="DH43" s="255">
        <v>49849.799999999996</v>
      </c>
      <c r="DI43" s="255">
        <v>49849.799999999996</v>
      </c>
      <c r="DJ43" s="255">
        <v>51353.4</v>
      </c>
      <c r="DK43" s="255">
        <v>51353.4</v>
      </c>
      <c r="DL43" s="255">
        <v>51353.4</v>
      </c>
      <c r="DM43" s="255">
        <v>51353.4</v>
      </c>
      <c r="DN43" s="255">
        <v>51353.4</v>
      </c>
      <c r="DO43" s="255">
        <v>38515.050000000003</v>
      </c>
      <c r="DP43" s="255">
        <v>38515.050000000003</v>
      </c>
      <c r="DQ43" s="255">
        <v>51353.4</v>
      </c>
      <c r="DR43" s="255">
        <v>51353.4</v>
      </c>
      <c r="DS43" s="255">
        <v>38515.050000000003</v>
      </c>
      <c r="DT43" s="255">
        <v>55755.12</v>
      </c>
      <c r="DU43" s="255">
        <v>55755.12</v>
      </c>
      <c r="DV43" s="255">
        <v>52887.799999999996</v>
      </c>
      <c r="DW43" s="255">
        <v>52887.799999999996</v>
      </c>
      <c r="DX43" s="255">
        <v>52887.799999999996</v>
      </c>
      <c r="DY43" s="255">
        <v>52887.799999999996</v>
      </c>
      <c r="DZ43" s="255">
        <v>52887.799999999996</v>
      </c>
      <c r="EA43" s="255">
        <v>39665.85</v>
      </c>
      <c r="EB43" s="255">
        <v>39665.85</v>
      </c>
      <c r="EC43" s="255">
        <v>52887.799999999996</v>
      </c>
      <c r="ED43" s="255">
        <v>52887.799999999996</v>
      </c>
      <c r="EE43" s="255">
        <v>39665.85</v>
      </c>
      <c r="EF43" s="255">
        <v>52887.799999999996</v>
      </c>
      <c r="EG43" s="255">
        <v>52887.799999999996</v>
      </c>
      <c r="EH43" s="255">
        <v>54486.6</v>
      </c>
      <c r="EI43" s="255">
        <v>54486.6</v>
      </c>
      <c r="EJ43" s="255">
        <v>54486.6</v>
      </c>
      <c r="EK43" s="255">
        <v>54486.6</v>
      </c>
      <c r="EL43" s="255">
        <v>54486.6</v>
      </c>
      <c r="EM43" s="255">
        <v>54486.6</v>
      </c>
      <c r="EN43" s="255">
        <v>0</v>
      </c>
      <c r="EO43" s="255">
        <v>0</v>
      </c>
      <c r="EP43" s="255">
        <v>0</v>
      </c>
      <c r="EQ43" s="255">
        <v>0</v>
      </c>
      <c r="ER43" s="255">
        <v>0</v>
      </c>
      <c r="ES43" s="255">
        <v>0</v>
      </c>
      <c r="ET43" s="255">
        <v>0</v>
      </c>
      <c r="EU43" s="255">
        <v>0</v>
      </c>
      <c r="EV43" s="255">
        <v>0</v>
      </c>
      <c r="EW43" s="255">
        <v>0</v>
      </c>
      <c r="EX43" s="255">
        <v>0</v>
      </c>
      <c r="EY43" s="255">
        <v>0</v>
      </c>
      <c r="EZ43" s="255">
        <v>0</v>
      </c>
      <c r="FA43" s="255">
        <v>0</v>
      </c>
      <c r="FB43" s="255">
        <v>0</v>
      </c>
      <c r="FC43" s="255">
        <v>0</v>
      </c>
      <c r="FD43" s="255">
        <v>0</v>
      </c>
      <c r="FE43" s="255">
        <v>0</v>
      </c>
      <c r="FF43" s="255">
        <v>0</v>
      </c>
      <c r="FG43" s="255">
        <v>0</v>
      </c>
      <c r="FH43" s="255">
        <v>0</v>
      </c>
      <c r="FI43" s="255">
        <v>0</v>
      </c>
      <c r="FJ43" s="255">
        <v>0</v>
      </c>
      <c r="FK43" s="255">
        <v>0</v>
      </c>
      <c r="FL43" s="255">
        <v>0</v>
      </c>
      <c r="FM43" s="255">
        <v>0</v>
      </c>
      <c r="FN43" s="255">
        <v>0</v>
      </c>
      <c r="FO43" s="255">
        <v>0</v>
      </c>
      <c r="FP43" s="255">
        <v>0</v>
      </c>
      <c r="FQ43" s="255">
        <v>0</v>
      </c>
      <c r="FR43" s="255">
        <v>0</v>
      </c>
      <c r="FS43" s="255">
        <v>0</v>
      </c>
      <c r="FT43" s="255">
        <v>0</v>
      </c>
      <c r="FU43" s="255">
        <v>0</v>
      </c>
      <c r="FV43" s="255">
        <v>0</v>
      </c>
      <c r="FW43" s="255">
        <v>0</v>
      </c>
      <c r="FX43" s="116"/>
    </row>
    <row r="44" spans="2:180" x14ac:dyDescent="0.2">
      <c r="B44" s="253" t="s">
        <v>234</v>
      </c>
      <c r="C44" s="253" t="s">
        <v>281</v>
      </c>
      <c r="D44" s="253" t="s">
        <v>258</v>
      </c>
      <c r="E44" s="253" t="s">
        <v>127</v>
      </c>
      <c r="F44" s="253" t="s">
        <v>259</v>
      </c>
      <c r="G44" s="253" t="s">
        <v>260</v>
      </c>
      <c r="H44" s="237">
        <v>316.45</v>
      </c>
      <c r="I44" s="126">
        <f t="shared" si="85"/>
        <v>3827788</v>
      </c>
      <c r="J44" s="116"/>
      <c r="K44" s="254">
        <v>0</v>
      </c>
      <c r="L44" s="254">
        <v>0</v>
      </c>
      <c r="M44" s="254">
        <v>0</v>
      </c>
      <c r="N44" s="254">
        <v>0</v>
      </c>
      <c r="O44" s="254">
        <v>0</v>
      </c>
      <c r="P44" s="254">
        <v>0</v>
      </c>
      <c r="Q44" s="254">
        <v>0</v>
      </c>
      <c r="R44" s="254">
        <v>0</v>
      </c>
      <c r="S44" s="254">
        <v>0</v>
      </c>
      <c r="T44" s="254">
        <v>0</v>
      </c>
      <c r="U44" s="254">
        <v>0</v>
      </c>
      <c r="V44" s="254">
        <v>0</v>
      </c>
      <c r="W44" s="254">
        <v>0</v>
      </c>
      <c r="X44" s="254">
        <v>2.4285714285714284</v>
      </c>
      <c r="Y44" s="254">
        <v>2.4285714285714284</v>
      </c>
      <c r="Z44" s="254">
        <v>3.2380952380952381</v>
      </c>
      <c r="AA44" s="254">
        <v>2.236842105263158</v>
      </c>
      <c r="AB44" s="254">
        <v>2.236842105263158</v>
      </c>
      <c r="AC44" s="254">
        <v>2.4285714285714284</v>
      </c>
      <c r="AD44" s="254">
        <v>2.4285714285714284</v>
      </c>
      <c r="AE44" s="254">
        <v>2.4285714285714284</v>
      </c>
      <c r="AF44" s="254">
        <v>2.4285714285714284</v>
      </c>
      <c r="AG44" s="254">
        <v>2.4285714285714284</v>
      </c>
      <c r="AH44" s="254">
        <v>3.2380952380952381</v>
      </c>
      <c r="AI44" s="254">
        <v>3.2380952380952381</v>
      </c>
      <c r="AJ44" s="254">
        <v>2.4285714285714284</v>
      </c>
      <c r="AK44" s="254">
        <v>2.4285714285714284</v>
      </c>
      <c r="AL44" s="254">
        <v>3.2380952380952381</v>
      </c>
      <c r="AM44" s="254">
        <v>2.236842105263158</v>
      </c>
      <c r="AN44" s="254">
        <v>2.236842105263158</v>
      </c>
      <c r="AO44" s="254">
        <v>2.4285714285714284</v>
      </c>
      <c r="AP44" s="254">
        <v>2.4285714285714284</v>
      </c>
      <c r="AQ44" s="254">
        <v>2.4285714285714284</v>
      </c>
      <c r="AR44" s="254">
        <v>2.4285714285714284</v>
      </c>
      <c r="AS44" s="254">
        <v>2.4285714285714284</v>
      </c>
      <c r="AT44" s="254">
        <v>3.2380952380952381</v>
      </c>
      <c r="AU44" s="254">
        <v>3.2380952380952381</v>
      </c>
      <c r="AV44" s="254">
        <v>2.4285714285714284</v>
      </c>
      <c r="AW44" s="254">
        <v>2.4285714285714284</v>
      </c>
      <c r="AX44" s="254">
        <v>3.2380952380952381</v>
      </c>
      <c r="AY44" s="254">
        <v>2.236842105263158</v>
      </c>
      <c r="AZ44" s="254">
        <v>2.236842105263158</v>
      </c>
      <c r="BA44" s="254">
        <v>2.4285714285714284</v>
      </c>
      <c r="BB44" s="254">
        <v>2.4285714285714284</v>
      </c>
      <c r="BC44" s="254">
        <v>2.4285714285714284</v>
      </c>
      <c r="BD44" s="254">
        <v>2.4285714285714284</v>
      </c>
      <c r="BE44" s="254">
        <v>2.4285714285714284</v>
      </c>
      <c r="BF44" s="254">
        <v>3.2380952380952381</v>
      </c>
      <c r="BG44" s="254">
        <v>0</v>
      </c>
      <c r="BH44" s="254">
        <v>0</v>
      </c>
      <c r="BI44" s="254">
        <v>0</v>
      </c>
      <c r="BJ44" s="254">
        <v>0</v>
      </c>
      <c r="BK44" s="254">
        <v>0</v>
      </c>
      <c r="BL44" s="254">
        <v>0</v>
      </c>
      <c r="BM44" s="254">
        <v>0</v>
      </c>
      <c r="BN44" s="254">
        <v>0</v>
      </c>
      <c r="BO44" s="254">
        <v>0</v>
      </c>
      <c r="BP44" s="254">
        <v>0</v>
      </c>
      <c r="BQ44" s="254">
        <v>0</v>
      </c>
      <c r="BR44" s="254">
        <v>0</v>
      </c>
      <c r="BS44" s="254">
        <v>0</v>
      </c>
      <c r="BT44" s="254">
        <v>0</v>
      </c>
      <c r="BU44" s="254">
        <v>0</v>
      </c>
      <c r="BV44" s="254">
        <v>0</v>
      </c>
      <c r="BW44" s="254">
        <v>0</v>
      </c>
      <c r="BX44" s="254">
        <v>0</v>
      </c>
      <c r="BY44" s="254">
        <v>0</v>
      </c>
      <c r="BZ44" s="254">
        <v>0</v>
      </c>
      <c r="CA44" s="254">
        <v>0</v>
      </c>
      <c r="CB44" s="254">
        <v>0</v>
      </c>
      <c r="CC44" s="254">
        <v>0</v>
      </c>
      <c r="CD44" s="254">
        <v>0</v>
      </c>
      <c r="CE44" s="254">
        <v>0</v>
      </c>
      <c r="CF44" s="254">
        <v>0</v>
      </c>
      <c r="CG44" s="254">
        <v>0</v>
      </c>
      <c r="CH44" s="254">
        <v>0</v>
      </c>
      <c r="CI44" s="254">
        <v>0</v>
      </c>
      <c r="CJ44" s="254">
        <v>0</v>
      </c>
      <c r="CK44" s="254">
        <v>0</v>
      </c>
      <c r="CL44" s="254">
        <v>0</v>
      </c>
      <c r="CM44" s="254">
        <v>0</v>
      </c>
      <c r="CN44" s="254">
        <v>0</v>
      </c>
      <c r="CO44" s="254">
        <v>0</v>
      </c>
      <c r="CP44" s="254">
        <v>0</v>
      </c>
      <c r="CQ44" s="116"/>
      <c r="CR44" s="255">
        <v>0</v>
      </c>
      <c r="CS44" s="255">
        <v>0</v>
      </c>
      <c r="CT44" s="255">
        <v>0</v>
      </c>
      <c r="CU44" s="255">
        <v>0</v>
      </c>
      <c r="CV44" s="255">
        <v>0</v>
      </c>
      <c r="CW44" s="255">
        <v>0</v>
      </c>
      <c r="CX44" s="255">
        <v>0</v>
      </c>
      <c r="CY44" s="255">
        <v>0</v>
      </c>
      <c r="CZ44" s="255">
        <v>0</v>
      </c>
      <c r="DA44" s="255">
        <v>0</v>
      </c>
      <c r="DB44" s="255">
        <v>0</v>
      </c>
      <c r="DC44" s="255">
        <v>0</v>
      </c>
      <c r="DD44" s="255">
        <v>0</v>
      </c>
      <c r="DE44" s="255">
        <v>104475.2</v>
      </c>
      <c r="DF44" s="255">
        <v>104475.2</v>
      </c>
      <c r="DG44" s="255">
        <v>104475.2</v>
      </c>
      <c r="DH44" s="255">
        <v>104475.2</v>
      </c>
      <c r="DI44" s="255">
        <v>104475.2</v>
      </c>
      <c r="DJ44" s="255">
        <v>107593</v>
      </c>
      <c r="DK44" s="255">
        <v>107593</v>
      </c>
      <c r="DL44" s="255">
        <v>107593</v>
      </c>
      <c r="DM44" s="255">
        <v>107593</v>
      </c>
      <c r="DN44" s="255">
        <v>107593</v>
      </c>
      <c r="DO44" s="255">
        <v>107593</v>
      </c>
      <c r="DP44" s="255">
        <v>107593</v>
      </c>
      <c r="DQ44" s="255">
        <v>107593</v>
      </c>
      <c r="DR44" s="255">
        <v>107593</v>
      </c>
      <c r="DS44" s="255">
        <v>107593</v>
      </c>
      <c r="DT44" s="255">
        <v>107593</v>
      </c>
      <c r="DU44" s="255">
        <v>107593</v>
      </c>
      <c r="DV44" s="255">
        <v>110789.00000000001</v>
      </c>
      <c r="DW44" s="255">
        <v>110789.00000000001</v>
      </c>
      <c r="DX44" s="255">
        <v>110789.00000000001</v>
      </c>
      <c r="DY44" s="255">
        <v>110789.00000000001</v>
      </c>
      <c r="DZ44" s="255">
        <v>110789.00000000001</v>
      </c>
      <c r="EA44" s="255">
        <v>110789.00000000001</v>
      </c>
      <c r="EB44" s="255">
        <v>110789.00000000001</v>
      </c>
      <c r="EC44" s="255">
        <v>110789.00000000001</v>
      </c>
      <c r="ED44" s="255">
        <v>110789.00000000001</v>
      </c>
      <c r="EE44" s="255">
        <v>110789.00000000001</v>
      </c>
      <c r="EF44" s="255">
        <v>110789.00000000001</v>
      </c>
      <c r="EG44" s="255">
        <v>110789.00000000001</v>
      </c>
      <c r="EH44" s="255">
        <v>114138</v>
      </c>
      <c r="EI44" s="255">
        <v>114138</v>
      </c>
      <c r="EJ44" s="255">
        <v>114138</v>
      </c>
      <c r="EK44" s="255">
        <v>114138</v>
      </c>
      <c r="EL44" s="255">
        <v>114138</v>
      </c>
      <c r="EM44" s="255">
        <v>114138</v>
      </c>
      <c r="EN44" s="255">
        <v>0</v>
      </c>
      <c r="EO44" s="255">
        <v>0</v>
      </c>
      <c r="EP44" s="255">
        <v>0</v>
      </c>
      <c r="EQ44" s="255">
        <v>0</v>
      </c>
      <c r="ER44" s="255">
        <v>0</v>
      </c>
      <c r="ES44" s="255">
        <v>0</v>
      </c>
      <c r="ET44" s="255">
        <v>0</v>
      </c>
      <c r="EU44" s="255">
        <v>0</v>
      </c>
      <c r="EV44" s="255">
        <v>0</v>
      </c>
      <c r="EW44" s="255">
        <v>0</v>
      </c>
      <c r="EX44" s="255">
        <v>0</v>
      </c>
      <c r="EY44" s="255">
        <v>0</v>
      </c>
      <c r="EZ44" s="255">
        <v>0</v>
      </c>
      <c r="FA44" s="255">
        <v>0</v>
      </c>
      <c r="FB44" s="255">
        <v>0</v>
      </c>
      <c r="FC44" s="255">
        <v>0</v>
      </c>
      <c r="FD44" s="255">
        <v>0</v>
      </c>
      <c r="FE44" s="255">
        <v>0</v>
      </c>
      <c r="FF44" s="255">
        <v>0</v>
      </c>
      <c r="FG44" s="255">
        <v>0</v>
      </c>
      <c r="FH44" s="255">
        <v>0</v>
      </c>
      <c r="FI44" s="255">
        <v>0</v>
      </c>
      <c r="FJ44" s="255">
        <v>0</v>
      </c>
      <c r="FK44" s="255">
        <v>0</v>
      </c>
      <c r="FL44" s="255">
        <v>0</v>
      </c>
      <c r="FM44" s="255">
        <v>0</v>
      </c>
      <c r="FN44" s="255">
        <v>0</v>
      </c>
      <c r="FO44" s="255">
        <v>0</v>
      </c>
      <c r="FP44" s="255">
        <v>0</v>
      </c>
      <c r="FQ44" s="255">
        <v>0</v>
      </c>
      <c r="FR44" s="255">
        <v>0</v>
      </c>
      <c r="FS44" s="255">
        <v>0</v>
      </c>
      <c r="FT44" s="255">
        <v>0</v>
      </c>
      <c r="FU44" s="255">
        <v>0</v>
      </c>
      <c r="FV44" s="255">
        <v>0</v>
      </c>
      <c r="FW44" s="255">
        <v>0</v>
      </c>
      <c r="FX44" s="116"/>
    </row>
    <row r="45" spans="2:180" x14ac:dyDescent="0.2">
      <c r="B45" s="253" t="s">
        <v>237</v>
      </c>
      <c r="C45" s="253" t="s">
        <v>282</v>
      </c>
      <c r="D45" s="253" t="s">
        <v>283</v>
      </c>
      <c r="E45" s="253" t="s">
        <v>127</v>
      </c>
      <c r="F45" s="253">
        <v>0</v>
      </c>
      <c r="G45" s="253" t="s">
        <v>268</v>
      </c>
      <c r="H45" s="237">
        <v>0</v>
      </c>
      <c r="I45" s="126">
        <f t="shared" si="85"/>
        <v>112800</v>
      </c>
      <c r="J45" s="116"/>
      <c r="K45" s="254">
        <v>0</v>
      </c>
      <c r="L45" s="254">
        <v>0</v>
      </c>
      <c r="M45" s="254">
        <v>0</v>
      </c>
      <c r="N45" s="254">
        <v>0</v>
      </c>
      <c r="O45" s="254">
        <v>0</v>
      </c>
      <c r="P45" s="254">
        <v>0</v>
      </c>
      <c r="Q45" s="254">
        <v>0</v>
      </c>
      <c r="R45" s="254">
        <v>0</v>
      </c>
      <c r="S45" s="254">
        <v>0</v>
      </c>
      <c r="T45" s="254">
        <v>0</v>
      </c>
      <c r="U45" s="254">
        <v>0</v>
      </c>
      <c r="V45" s="254">
        <v>0</v>
      </c>
      <c r="W45" s="254">
        <v>0</v>
      </c>
      <c r="X45" s="254">
        <v>0.33333333333333331</v>
      </c>
      <c r="Y45" s="254">
        <v>0.33333333333333331</v>
      </c>
      <c r="Z45" s="254">
        <v>0.33333333333333331</v>
      </c>
      <c r="AA45" s="254">
        <v>0</v>
      </c>
      <c r="AB45" s="254">
        <v>0</v>
      </c>
      <c r="AC45" s="254">
        <v>0</v>
      </c>
      <c r="AD45" s="254">
        <v>0</v>
      </c>
      <c r="AE45" s="254">
        <v>0</v>
      </c>
      <c r="AF45" s="254">
        <v>0</v>
      </c>
      <c r="AG45" s="254">
        <v>0</v>
      </c>
      <c r="AH45" s="254">
        <v>0</v>
      </c>
      <c r="AI45" s="254">
        <v>0</v>
      </c>
      <c r="AJ45" s="254">
        <v>0</v>
      </c>
      <c r="AK45" s="254">
        <v>0</v>
      </c>
      <c r="AL45" s="254">
        <v>0</v>
      </c>
      <c r="AM45" s="254">
        <v>0</v>
      </c>
      <c r="AN45" s="254">
        <v>0</v>
      </c>
      <c r="AO45" s="254">
        <v>0</v>
      </c>
      <c r="AP45" s="254">
        <v>0</v>
      </c>
      <c r="AQ45" s="254">
        <v>0</v>
      </c>
      <c r="AR45" s="254">
        <v>0</v>
      </c>
      <c r="AS45" s="254">
        <v>0</v>
      </c>
      <c r="AT45" s="254">
        <v>0</v>
      </c>
      <c r="AU45" s="254">
        <v>0</v>
      </c>
      <c r="AV45" s="254">
        <v>0</v>
      </c>
      <c r="AW45" s="254">
        <v>0</v>
      </c>
      <c r="AX45" s="254">
        <v>0</v>
      </c>
      <c r="AY45" s="254">
        <v>0</v>
      </c>
      <c r="AZ45" s="254">
        <v>0</v>
      </c>
      <c r="BA45" s="254">
        <v>0</v>
      </c>
      <c r="BB45" s="254">
        <v>0</v>
      </c>
      <c r="BC45" s="254">
        <v>0</v>
      </c>
      <c r="BD45" s="254">
        <v>0</v>
      </c>
      <c r="BE45" s="254">
        <v>0</v>
      </c>
      <c r="BF45" s="254">
        <v>0</v>
      </c>
      <c r="BG45" s="254">
        <v>0</v>
      </c>
      <c r="BH45" s="254">
        <v>0</v>
      </c>
      <c r="BI45" s="254">
        <v>0</v>
      </c>
      <c r="BJ45" s="254">
        <v>0</v>
      </c>
      <c r="BK45" s="254">
        <v>0</v>
      </c>
      <c r="BL45" s="254">
        <v>0</v>
      </c>
      <c r="BM45" s="254">
        <v>0</v>
      </c>
      <c r="BN45" s="254">
        <v>0</v>
      </c>
      <c r="BO45" s="254">
        <v>0</v>
      </c>
      <c r="BP45" s="254">
        <v>0</v>
      </c>
      <c r="BQ45" s="254">
        <v>0</v>
      </c>
      <c r="BR45" s="254">
        <v>0</v>
      </c>
      <c r="BS45" s="254">
        <v>0</v>
      </c>
      <c r="BT45" s="254">
        <v>0</v>
      </c>
      <c r="BU45" s="254">
        <v>0</v>
      </c>
      <c r="BV45" s="254">
        <v>0</v>
      </c>
      <c r="BW45" s="254">
        <v>0</v>
      </c>
      <c r="BX45" s="254">
        <v>0</v>
      </c>
      <c r="BY45" s="254">
        <v>0</v>
      </c>
      <c r="BZ45" s="254">
        <v>0</v>
      </c>
      <c r="CA45" s="254">
        <v>0</v>
      </c>
      <c r="CB45" s="254">
        <v>0</v>
      </c>
      <c r="CC45" s="254">
        <v>0</v>
      </c>
      <c r="CD45" s="254">
        <v>0</v>
      </c>
      <c r="CE45" s="254">
        <v>0</v>
      </c>
      <c r="CF45" s="254">
        <v>0</v>
      </c>
      <c r="CG45" s="254">
        <v>0</v>
      </c>
      <c r="CH45" s="254">
        <v>0</v>
      </c>
      <c r="CI45" s="254">
        <v>0</v>
      </c>
      <c r="CJ45" s="254">
        <v>0</v>
      </c>
      <c r="CK45" s="254">
        <v>0</v>
      </c>
      <c r="CL45" s="254">
        <v>0</v>
      </c>
      <c r="CM45" s="254">
        <v>0</v>
      </c>
      <c r="CN45" s="254">
        <v>0</v>
      </c>
      <c r="CO45" s="254">
        <v>0</v>
      </c>
      <c r="CP45" s="254">
        <v>0</v>
      </c>
      <c r="CQ45" s="116"/>
      <c r="CR45" s="255">
        <v>0</v>
      </c>
      <c r="CS45" s="255">
        <v>0</v>
      </c>
      <c r="CT45" s="255">
        <v>0</v>
      </c>
      <c r="CU45" s="255">
        <v>0</v>
      </c>
      <c r="CV45" s="255">
        <v>0</v>
      </c>
      <c r="CW45" s="255">
        <v>0</v>
      </c>
      <c r="CX45" s="255">
        <v>0</v>
      </c>
      <c r="CY45" s="255">
        <v>0</v>
      </c>
      <c r="CZ45" s="255">
        <v>0</v>
      </c>
      <c r="DA45" s="255">
        <v>0</v>
      </c>
      <c r="DB45" s="255">
        <v>0</v>
      </c>
      <c r="DC45" s="255">
        <v>0</v>
      </c>
      <c r="DD45" s="255">
        <v>0</v>
      </c>
      <c r="DE45" s="255">
        <v>37600</v>
      </c>
      <c r="DF45" s="255">
        <v>37600</v>
      </c>
      <c r="DG45" s="255">
        <v>37600</v>
      </c>
      <c r="DH45" s="255">
        <v>0</v>
      </c>
      <c r="DI45" s="255">
        <v>0</v>
      </c>
      <c r="DJ45" s="255">
        <v>0</v>
      </c>
      <c r="DK45" s="255">
        <v>0</v>
      </c>
      <c r="DL45" s="255">
        <v>0</v>
      </c>
      <c r="DM45" s="255">
        <v>0</v>
      </c>
      <c r="DN45" s="255">
        <v>0</v>
      </c>
      <c r="DO45" s="255">
        <v>0</v>
      </c>
      <c r="DP45" s="255">
        <v>0</v>
      </c>
      <c r="DQ45" s="255">
        <v>0</v>
      </c>
      <c r="DR45" s="255">
        <v>0</v>
      </c>
      <c r="DS45" s="255">
        <v>0</v>
      </c>
      <c r="DT45" s="255">
        <v>0</v>
      </c>
      <c r="DU45" s="255">
        <v>0</v>
      </c>
      <c r="DV45" s="255">
        <v>0</v>
      </c>
      <c r="DW45" s="255">
        <v>0</v>
      </c>
      <c r="DX45" s="255">
        <v>0</v>
      </c>
      <c r="DY45" s="255">
        <v>0</v>
      </c>
      <c r="DZ45" s="255">
        <v>0</v>
      </c>
      <c r="EA45" s="255">
        <v>0</v>
      </c>
      <c r="EB45" s="255">
        <v>0</v>
      </c>
      <c r="EC45" s="255">
        <v>0</v>
      </c>
      <c r="ED45" s="255">
        <v>0</v>
      </c>
      <c r="EE45" s="255">
        <v>0</v>
      </c>
      <c r="EF45" s="255">
        <v>0</v>
      </c>
      <c r="EG45" s="255">
        <v>0</v>
      </c>
      <c r="EH45" s="255">
        <v>0</v>
      </c>
      <c r="EI45" s="255">
        <v>0</v>
      </c>
      <c r="EJ45" s="255">
        <v>0</v>
      </c>
      <c r="EK45" s="255">
        <v>0</v>
      </c>
      <c r="EL45" s="255">
        <v>0</v>
      </c>
      <c r="EM45" s="255">
        <v>0</v>
      </c>
      <c r="EN45" s="255">
        <v>0</v>
      </c>
      <c r="EO45" s="255">
        <v>0</v>
      </c>
      <c r="EP45" s="255">
        <v>0</v>
      </c>
      <c r="EQ45" s="255">
        <v>0</v>
      </c>
      <c r="ER45" s="255">
        <v>0</v>
      </c>
      <c r="ES45" s="255">
        <v>0</v>
      </c>
      <c r="ET45" s="255">
        <v>0</v>
      </c>
      <c r="EU45" s="255">
        <v>0</v>
      </c>
      <c r="EV45" s="255">
        <v>0</v>
      </c>
      <c r="EW45" s="255">
        <v>0</v>
      </c>
      <c r="EX45" s="255">
        <v>0</v>
      </c>
      <c r="EY45" s="255">
        <v>0</v>
      </c>
      <c r="EZ45" s="255">
        <v>0</v>
      </c>
      <c r="FA45" s="255">
        <v>0</v>
      </c>
      <c r="FB45" s="255">
        <v>0</v>
      </c>
      <c r="FC45" s="255">
        <v>0</v>
      </c>
      <c r="FD45" s="255">
        <v>0</v>
      </c>
      <c r="FE45" s="255">
        <v>0</v>
      </c>
      <c r="FF45" s="255">
        <v>0</v>
      </c>
      <c r="FG45" s="255">
        <v>0</v>
      </c>
      <c r="FH45" s="255">
        <v>0</v>
      </c>
      <c r="FI45" s="255">
        <v>0</v>
      </c>
      <c r="FJ45" s="255">
        <v>0</v>
      </c>
      <c r="FK45" s="255">
        <v>0</v>
      </c>
      <c r="FL45" s="255">
        <v>0</v>
      </c>
      <c r="FM45" s="255">
        <v>0</v>
      </c>
      <c r="FN45" s="255">
        <v>0</v>
      </c>
      <c r="FO45" s="255">
        <v>0</v>
      </c>
      <c r="FP45" s="255">
        <v>0</v>
      </c>
      <c r="FQ45" s="255">
        <v>0</v>
      </c>
      <c r="FR45" s="255">
        <v>0</v>
      </c>
      <c r="FS45" s="255">
        <v>0</v>
      </c>
      <c r="FT45" s="255">
        <v>0</v>
      </c>
      <c r="FU45" s="255">
        <v>0</v>
      </c>
      <c r="FV45" s="255">
        <v>0</v>
      </c>
      <c r="FW45" s="255">
        <v>0</v>
      </c>
      <c r="FX45" s="116"/>
    </row>
    <row r="46" spans="2:180" x14ac:dyDescent="0.2">
      <c r="B46" s="253" t="s">
        <v>237</v>
      </c>
      <c r="C46" s="253" t="s">
        <v>282</v>
      </c>
      <c r="D46" s="253" t="s">
        <v>283</v>
      </c>
      <c r="E46" s="253" t="s">
        <v>127</v>
      </c>
      <c r="F46" s="253">
        <v>0</v>
      </c>
      <c r="G46" s="253" t="s">
        <v>268</v>
      </c>
      <c r="H46" s="237">
        <v>0</v>
      </c>
      <c r="I46" s="126">
        <f t="shared" si="85"/>
        <v>106152.15</v>
      </c>
      <c r="J46" s="116"/>
      <c r="K46" s="254">
        <v>0</v>
      </c>
      <c r="L46" s="254">
        <v>0</v>
      </c>
      <c r="M46" s="254">
        <v>0</v>
      </c>
      <c r="N46" s="254">
        <v>0</v>
      </c>
      <c r="O46" s="254">
        <v>0</v>
      </c>
      <c r="P46" s="254">
        <v>0</v>
      </c>
      <c r="Q46" s="254">
        <v>0</v>
      </c>
      <c r="R46" s="254">
        <v>0</v>
      </c>
      <c r="S46" s="254">
        <v>0</v>
      </c>
      <c r="T46" s="254">
        <v>0</v>
      </c>
      <c r="U46" s="254">
        <v>0</v>
      </c>
      <c r="V46" s="254">
        <v>0</v>
      </c>
      <c r="W46" s="254">
        <v>0</v>
      </c>
      <c r="X46" s="254">
        <v>0.3542085581874696</v>
      </c>
      <c r="Y46" s="254">
        <v>0.3542085581874696</v>
      </c>
      <c r="Z46" s="254">
        <v>0.29158288362506085</v>
      </c>
      <c r="AA46" s="254">
        <v>0</v>
      </c>
      <c r="AB46" s="254">
        <v>0</v>
      </c>
      <c r="AC46" s="254">
        <v>0</v>
      </c>
      <c r="AD46" s="254">
        <v>0</v>
      </c>
      <c r="AE46" s="254">
        <v>0</v>
      </c>
      <c r="AF46" s="254">
        <v>0</v>
      </c>
      <c r="AG46" s="254">
        <v>0</v>
      </c>
      <c r="AH46" s="254">
        <v>0</v>
      </c>
      <c r="AI46" s="254">
        <v>0</v>
      </c>
      <c r="AJ46" s="254">
        <v>0</v>
      </c>
      <c r="AK46" s="254">
        <v>0</v>
      </c>
      <c r="AL46" s="254">
        <v>0</v>
      </c>
      <c r="AM46" s="254">
        <v>0</v>
      </c>
      <c r="AN46" s="254">
        <v>0</v>
      </c>
      <c r="AO46" s="254">
        <v>0</v>
      </c>
      <c r="AP46" s="254">
        <v>0</v>
      </c>
      <c r="AQ46" s="254">
        <v>0</v>
      </c>
      <c r="AR46" s="254">
        <v>0</v>
      </c>
      <c r="AS46" s="254">
        <v>0</v>
      </c>
      <c r="AT46" s="254">
        <v>0</v>
      </c>
      <c r="AU46" s="254">
        <v>0</v>
      </c>
      <c r="AV46" s="254">
        <v>0</v>
      </c>
      <c r="AW46" s="254">
        <v>0</v>
      </c>
      <c r="AX46" s="254">
        <v>0</v>
      </c>
      <c r="AY46" s="254">
        <v>0</v>
      </c>
      <c r="AZ46" s="254">
        <v>0</v>
      </c>
      <c r="BA46" s="254">
        <v>0</v>
      </c>
      <c r="BB46" s="254">
        <v>0</v>
      </c>
      <c r="BC46" s="254">
        <v>0</v>
      </c>
      <c r="BD46" s="254">
        <v>0</v>
      </c>
      <c r="BE46" s="254">
        <v>0</v>
      </c>
      <c r="BF46" s="254">
        <v>0</v>
      </c>
      <c r="BG46" s="254">
        <v>0</v>
      </c>
      <c r="BH46" s="254">
        <v>0</v>
      </c>
      <c r="BI46" s="254">
        <v>0</v>
      </c>
      <c r="BJ46" s="254">
        <v>0</v>
      </c>
      <c r="BK46" s="254">
        <v>0</v>
      </c>
      <c r="BL46" s="254">
        <v>0</v>
      </c>
      <c r="BM46" s="254">
        <v>0</v>
      </c>
      <c r="BN46" s="254">
        <v>0</v>
      </c>
      <c r="BO46" s="254">
        <v>0</v>
      </c>
      <c r="BP46" s="254">
        <v>0</v>
      </c>
      <c r="BQ46" s="254">
        <v>0</v>
      </c>
      <c r="BR46" s="254">
        <v>0</v>
      </c>
      <c r="BS46" s="254">
        <v>0</v>
      </c>
      <c r="BT46" s="254">
        <v>0</v>
      </c>
      <c r="BU46" s="254">
        <v>0</v>
      </c>
      <c r="BV46" s="254">
        <v>0</v>
      </c>
      <c r="BW46" s="254">
        <v>0</v>
      </c>
      <c r="BX46" s="254">
        <v>0</v>
      </c>
      <c r="BY46" s="254">
        <v>0</v>
      </c>
      <c r="BZ46" s="254">
        <v>0</v>
      </c>
      <c r="CA46" s="254">
        <v>0</v>
      </c>
      <c r="CB46" s="254">
        <v>0</v>
      </c>
      <c r="CC46" s="254">
        <v>0</v>
      </c>
      <c r="CD46" s="254">
        <v>0</v>
      </c>
      <c r="CE46" s="254">
        <v>0</v>
      </c>
      <c r="CF46" s="254">
        <v>0</v>
      </c>
      <c r="CG46" s="254">
        <v>0</v>
      </c>
      <c r="CH46" s="254">
        <v>0</v>
      </c>
      <c r="CI46" s="254">
        <v>0</v>
      </c>
      <c r="CJ46" s="254">
        <v>0</v>
      </c>
      <c r="CK46" s="254">
        <v>0</v>
      </c>
      <c r="CL46" s="254">
        <v>0</v>
      </c>
      <c r="CM46" s="254">
        <v>0</v>
      </c>
      <c r="CN46" s="254">
        <v>0</v>
      </c>
      <c r="CO46" s="254">
        <v>0</v>
      </c>
      <c r="CP46" s="254">
        <v>0</v>
      </c>
      <c r="CQ46" s="116"/>
      <c r="CR46" s="255">
        <v>0</v>
      </c>
      <c r="CS46" s="255">
        <v>0</v>
      </c>
      <c r="CT46" s="255">
        <v>0</v>
      </c>
      <c r="CU46" s="255">
        <v>0</v>
      </c>
      <c r="CV46" s="255">
        <v>0</v>
      </c>
      <c r="CW46" s="255">
        <v>0</v>
      </c>
      <c r="CX46" s="255">
        <v>0</v>
      </c>
      <c r="CY46" s="255">
        <v>0</v>
      </c>
      <c r="CZ46" s="255">
        <v>0</v>
      </c>
      <c r="DA46" s="255">
        <v>0</v>
      </c>
      <c r="DB46" s="255">
        <v>0</v>
      </c>
      <c r="DC46" s="255">
        <v>0</v>
      </c>
      <c r="DD46" s="255">
        <v>0</v>
      </c>
      <c r="DE46" s="255">
        <v>37600</v>
      </c>
      <c r="DF46" s="255">
        <v>37600</v>
      </c>
      <c r="DG46" s="255">
        <v>30952.15</v>
      </c>
      <c r="DH46" s="255">
        <v>0</v>
      </c>
      <c r="DI46" s="255">
        <v>0</v>
      </c>
      <c r="DJ46" s="255">
        <v>0</v>
      </c>
      <c r="DK46" s="255">
        <v>0</v>
      </c>
      <c r="DL46" s="255">
        <v>0</v>
      </c>
      <c r="DM46" s="255">
        <v>0</v>
      </c>
      <c r="DN46" s="255">
        <v>0</v>
      </c>
      <c r="DO46" s="255">
        <v>0</v>
      </c>
      <c r="DP46" s="255">
        <v>0</v>
      </c>
      <c r="DQ46" s="255">
        <v>0</v>
      </c>
      <c r="DR46" s="255">
        <v>0</v>
      </c>
      <c r="DS46" s="255">
        <v>0</v>
      </c>
      <c r="DT46" s="255">
        <v>0</v>
      </c>
      <c r="DU46" s="255">
        <v>0</v>
      </c>
      <c r="DV46" s="255">
        <v>0</v>
      </c>
      <c r="DW46" s="255">
        <v>0</v>
      </c>
      <c r="DX46" s="255">
        <v>0</v>
      </c>
      <c r="DY46" s="255">
        <v>0</v>
      </c>
      <c r="DZ46" s="255">
        <v>0</v>
      </c>
      <c r="EA46" s="255">
        <v>0</v>
      </c>
      <c r="EB46" s="255">
        <v>0</v>
      </c>
      <c r="EC46" s="255">
        <v>0</v>
      </c>
      <c r="ED46" s="255">
        <v>0</v>
      </c>
      <c r="EE46" s="255">
        <v>0</v>
      </c>
      <c r="EF46" s="255">
        <v>0</v>
      </c>
      <c r="EG46" s="255">
        <v>0</v>
      </c>
      <c r="EH46" s="255">
        <v>0</v>
      </c>
      <c r="EI46" s="255">
        <v>0</v>
      </c>
      <c r="EJ46" s="255">
        <v>0</v>
      </c>
      <c r="EK46" s="255">
        <v>0</v>
      </c>
      <c r="EL46" s="255">
        <v>0</v>
      </c>
      <c r="EM46" s="255">
        <v>0</v>
      </c>
      <c r="EN46" s="255">
        <v>0</v>
      </c>
      <c r="EO46" s="255">
        <v>0</v>
      </c>
      <c r="EP46" s="255">
        <v>0</v>
      </c>
      <c r="EQ46" s="255">
        <v>0</v>
      </c>
      <c r="ER46" s="255">
        <v>0</v>
      </c>
      <c r="ES46" s="255">
        <v>0</v>
      </c>
      <c r="ET46" s="255">
        <v>0</v>
      </c>
      <c r="EU46" s="255">
        <v>0</v>
      </c>
      <c r="EV46" s="255">
        <v>0</v>
      </c>
      <c r="EW46" s="255">
        <v>0</v>
      </c>
      <c r="EX46" s="255">
        <v>0</v>
      </c>
      <c r="EY46" s="255">
        <v>0</v>
      </c>
      <c r="EZ46" s="255">
        <v>0</v>
      </c>
      <c r="FA46" s="255">
        <v>0</v>
      </c>
      <c r="FB46" s="255">
        <v>0</v>
      </c>
      <c r="FC46" s="255">
        <v>0</v>
      </c>
      <c r="FD46" s="255">
        <v>0</v>
      </c>
      <c r="FE46" s="255">
        <v>0</v>
      </c>
      <c r="FF46" s="255">
        <v>0</v>
      </c>
      <c r="FG46" s="255">
        <v>0</v>
      </c>
      <c r="FH46" s="255">
        <v>0</v>
      </c>
      <c r="FI46" s="255">
        <v>0</v>
      </c>
      <c r="FJ46" s="255">
        <v>0</v>
      </c>
      <c r="FK46" s="255">
        <v>0</v>
      </c>
      <c r="FL46" s="255">
        <v>0</v>
      </c>
      <c r="FM46" s="255">
        <v>0</v>
      </c>
      <c r="FN46" s="255">
        <v>0</v>
      </c>
      <c r="FO46" s="255">
        <v>0</v>
      </c>
      <c r="FP46" s="255">
        <v>0</v>
      </c>
      <c r="FQ46" s="255">
        <v>0</v>
      </c>
      <c r="FR46" s="255">
        <v>0</v>
      </c>
      <c r="FS46" s="255">
        <v>0</v>
      </c>
      <c r="FT46" s="255">
        <v>0</v>
      </c>
      <c r="FU46" s="255">
        <v>0</v>
      </c>
      <c r="FV46" s="255">
        <v>0</v>
      </c>
      <c r="FW46" s="255">
        <v>0</v>
      </c>
      <c r="FX46" s="116"/>
    </row>
    <row r="47" spans="2:180" x14ac:dyDescent="0.2">
      <c r="B47" s="253" t="s">
        <v>237</v>
      </c>
      <c r="C47" s="253" t="s">
        <v>284</v>
      </c>
      <c r="D47" s="253" t="s">
        <v>85</v>
      </c>
      <c r="E47" s="253" t="s">
        <v>127</v>
      </c>
      <c r="F47" s="253">
        <v>0</v>
      </c>
      <c r="G47" s="253" t="s">
        <v>268</v>
      </c>
      <c r="H47" s="237">
        <v>0</v>
      </c>
      <c r="I47" s="126">
        <f t="shared" si="85"/>
        <v>25000</v>
      </c>
      <c r="J47" s="116"/>
      <c r="K47" s="254">
        <v>0</v>
      </c>
      <c r="L47" s="254">
        <v>0</v>
      </c>
      <c r="M47" s="254">
        <v>0</v>
      </c>
      <c r="N47" s="254">
        <v>0</v>
      </c>
      <c r="O47" s="254">
        <v>0</v>
      </c>
      <c r="P47" s="254">
        <v>0</v>
      </c>
      <c r="Q47" s="254">
        <v>0</v>
      </c>
      <c r="R47" s="254">
        <v>0</v>
      </c>
      <c r="S47" s="254">
        <v>0</v>
      </c>
      <c r="T47" s="254">
        <v>0</v>
      </c>
      <c r="U47" s="254">
        <v>0</v>
      </c>
      <c r="V47" s="254">
        <v>0</v>
      </c>
      <c r="W47" s="254">
        <v>0</v>
      </c>
      <c r="X47" s="254">
        <v>0</v>
      </c>
      <c r="Y47" s="254">
        <v>1</v>
      </c>
      <c r="Z47" s="254">
        <v>0</v>
      </c>
      <c r="AA47" s="254">
        <v>0</v>
      </c>
      <c r="AB47" s="254">
        <v>0</v>
      </c>
      <c r="AC47" s="254">
        <v>0</v>
      </c>
      <c r="AD47" s="254">
        <v>0</v>
      </c>
      <c r="AE47" s="254">
        <v>0</v>
      </c>
      <c r="AF47" s="254">
        <v>0</v>
      </c>
      <c r="AG47" s="254">
        <v>0</v>
      </c>
      <c r="AH47" s="254">
        <v>0</v>
      </c>
      <c r="AI47" s="254">
        <v>0</v>
      </c>
      <c r="AJ47" s="254">
        <v>0</v>
      </c>
      <c r="AK47" s="254">
        <v>0</v>
      </c>
      <c r="AL47" s="254">
        <v>0</v>
      </c>
      <c r="AM47" s="254">
        <v>0</v>
      </c>
      <c r="AN47" s="254">
        <v>0</v>
      </c>
      <c r="AO47" s="254">
        <v>0</v>
      </c>
      <c r="AP47" s="254">
        <v>0</v>
      </c>
      <c r="AQ47" s="254">
        <v>0</v>
      </c>
      <c r="AR47" s="254">
        <v>0</v>
      </c>
      <c r="AS47" s="254">
        <v>0</v>
      </c>
      <c r="AT47" s="254">
        <v>0</v>
      </c>
      <c r="AU47" s="254">
        <v>0</v>
      </c>
      <c r="AV47" s="254">
        <v>0</v>
      </c>
      <c r="AW47" s="254">
        <v>0</v>
      </c>
      <c r="AX47" s="254">
        <v>0</v>
      </c>
      <c r="AY47" s="254">
        <v>0</v>
      </c>
      <c r="AZ47" s="254">
        <v>0</v>
      </c>
      <c r="BA47" s="254">
        <v>0</v>
      </c>
      <c r="BB47" s="254">
        <v>0</v>
      </c>
      <c r="BC47" s="254">
        <v>0</v>
      </c>
      <c r="BD47" s="254">
        <v>0</v>
      </c>
      <c r="BE47" s="254">
        <v>0</v>
      </c>
      <c r="BF47" s="254">
        <v>0</v>
      </c>
      <c r="BG47" s="254">
        <v>0</v>
      </c>
      <c r="BH47" s="254">
        <v>0</v>
      </c>
      <c r="BI47" s="254">
        <v>0</v>
      </c>
      <c r="BJ47" s="254">
        <v>0</v>
      </c>
      <c r="BK47" s="254">
        <v>0</v>
      </c>
      <c r="BL47" s="254">
        <v>0</v>
      </c>
      <c r="BM47" s="254">
        <v>0</v>
      </c>
      <c r="BN47" s="254">
        <v>0</v>
      </c>
      <c r="BO47" s="254">
        <v>0</v>
      </c>
      <c r="BP47" s="254">
        <v>0</v>
      </c>
      <c r="BQ47" s="254">
        <v>0</v>
      </c>
      <c r="BR47" s="254">
        <v>0</v>
      </c>
      <c r="BS47" s="254">
        <v>0</v>
      </c>
      <c r="BT47" s="254">
        <v>0</v>
      </c>
      <c r="BU47" s="254">
        <v>0</v>
      </c>
      <c r="BV47" s="254">
        <v>0</v>
      </c>
      <c r="BW47" s="254">
        <v>0</v>
      </c>
      <c r="BX47" s="254">
        <v>0</v>
      </c>
      <c r="BY47" s="254">
        <v>0</v>
      </c>
      <c r="BZ47" s="254">
        <v>0</v>
      </c>
      <c r="CA47" s="254">
        <v>0</v>
      </c>
      <c r="CB47" s="254">
        <v>0</v>
      </c>
      <c r="CC47" s="254">
        <v>0</v>
      </c>
      <c r="CD47" s="254">
        <v>0</v>
      </c>
      <c r="CE47" s="254">
        <v>0</v>
      </c>
      <c r="CF47" s="254">
        <v>0</v>
      </c>
      <c r="CG47" s="254">
        <v>0</v>
      </c>
      <c r="CH47" s="254">
        <v>0</v>
      </c>
      <c r="CI47" s="254">
        <v>0</v>
      </c>
      <c r="CJ47" s="254">
        <v>0</v>
      </c>
      <c r="CK47" s="254">
        <v>0</v>
      </c>
      <c r="CL47" s="254">
        <v>0</v>
      </c>
      <c r="CM47" s="254">
        <v>0</v>
      </c>
      <c r="CN47" s="254">
        <v>0</v>
      </c>
      <c r="CO47" s="254">
        <v>0</v>
      </c>
      <c r="CP47" s="254">
        <v>0</v>
      </c>
      <c r="CQ47" s="116"/>
      <c r="CR47" s="255">
        <v>0</v>
      </c>
      <c r="CS47" s="255">
        <v>0</v>
      </c>
      <c r="CT47" s="255">
        <v>0</v>
      </c>
      <c r="CU47" s="255">
        <v>0</v>
      </c>
      <c r="CV47" s="255">
        <v>0</v>
      </c>
      <c r="CW47" s="255">
        <v>0</v>
      </c>
      <c r="CX47" s="255">
        <v>0</v>
      </c>
      <c r="CY47" s="255">
        <v>0</v>
      </c>
      <c r="CZ47" s="255">
        <v>0</v>
      </c>
      <c r="DA47" s="255">
        <v>0</v>
      </c>
      <c r="DB47" s="255">
        <v>0</v>
      </c>
      <c r="DC47" s="255">
        <v>0</v>
      </c>
      <c r="DD47" s="255">
        <v>0</v>
      </c>
      <c r="DE47" s="255">
        <v>0</v>
      </c>
      <c r="DF47" s="255">
        <v>25000</v>
      </c>
      <c r="DG47" s="255">
        <v>0</v>
      </c>
      <c r="DH47" s="255">
        <v>0</v>
      </c>
      <c r="DI47" s="255">
        <v>0</v>
      </c>
      <c r="DJ47" s="255">
        <v>0</v>
      </c>
      <c r="DK47" s="255">
        <v>0</v>
      </c>
      <c r="DL47" s="255">
        <v>0</v>
      </c>
      <c r="DM47" s="255">
        <v>0</v>
      </c>
      <c r="DN47" s="255">
        <v>0</v>
      </c>
      <c r="DO47" s="255">
        <v>0</v>
      </c>
      <c r="DP47" s="255">
        <v>0</v>
      </c>
      <c r="DQ47" s="255">
        <v>0</v>
      </c>
      <c r="DR47" s="255">
        <v>0</v>
      </c>
      <c r="DS47" s="255">
        <v>0</v>
      </c>
      <c r="DT47" s="255">
        <v>0</v>
      </c>
      <c r="DU47" s="255">
        <v>0</v>
      </c>
      <c r="DV47" s="255">
        <v>0</v>
      </c>
      <c r="DW47" s="255">
        <v>0</v>
      </c>
      <c r="DX47" s="255">
        <v>0</v>
      </c>
      <c r="DY47" s="255">
        <v>0</v>
      </c>
      <c r="DZ47" s="255">
        <v>0</v>
      </c>
      <c r="EA47" s="255">
        <v>0</v>
      </c>
      <c r="EB47" s="255">
        <v>0</v>
      </c>
      <c r="EC47" s="255">
        <v>0</v>
      </c>
      <c r="ED47" s="255">
        <v>0</v>
      </c>
      <c r="EE47" s="255">
        <v>0</v>
      </c>
      <c r="EF47" s="255">
        <v>0</v>
      </c>
      <c r="EG47" s="255">
        <v>0</v>
      </c>
      <c r="EH47" s="255">
        <v>0</v>
      </c>
      <c r="EI47" s="255">
        <v>0</v>
      </c>
      <c r="EJ47" s="255">
        <v>0</v>
      </c>
      <c r="EK47" s="255">
        <v>0</v>
      </c>
      <c r="EL47" s="255">
        <v>0</v>
      </c>
      <c r="EM47" s="255">
        <v>0</v>
      </c>
      <c r="EN47" s="255">
        <v>0</v>
      </c>
      <c r="EO47" s="255">
        <v>0</v>
      </c>
      <c r="EP47" s="255">
        <v>0</v>
      </c>
      <c r="EQ47" s="255">
        <v>0</v>
      </c>
      <c r="ER47" s="255">
        <v>0</v>
      </c>
      <c r="ES47" s="255">
        <v>0</v>
      </c>
      <c r="ET47" s="255">
        <v>0</v>
      </c>
      <c r="EU47" s="255">
        <v>0</v>
      </c>
      <c r="EV47" s="255">
        <v>0</v>
      </c>
      <c r="EW47" s="255">
        <v>0</v>
      </c>
      <c r="EX47" s="255">
        <v>0</v>
      </c>
      <c r="EY47" s="255">
        <v>0</v>
      </c>
      <c r="EZ47" s="255">
        <v>0</v>
      </c>
      <c r="FA47" s="255">
        <v>0</v>
      </c>
      <c r="FB47" s="255">
        <v>0</v>
      </c>
      <c r="FC47" s="255">
        <v>0</v>
      </c>
      <c r="FD47" s="255">
        <v>0</v>
      </c>
      <c r="FE47" s="255">
        <v>0</v>
      </c>
      <c r="FF47" s="255">
        <v>0</v>
      </c>
      <c r="FG47" s="255">
        <v>0</v>
      </c>
      <c r="FH47" s="255">
        <v>0</v>
      </c>
      <c r="FI47" s="255">
        <v>0</v>
      </c>
      <c r="FJ47" s="255">
        <v>0</v>
      </c>
      <c r="FK47" s="255">
        <v>0</v>
      </c>
      <c r="FL47" s="255">
        <v>0</v>
      </c>
      <c r="FM47" s="255">
        <v>0</v>
      </c>
      <c r="FN47" s="255">
        <v>0</v>
      </c>
      <c r="FO47" s="255">
        <v>0</v>
      </c>
      <c r="FP47" s="255">
        <v>0</v>
      </c>
      <c r="FQ47" s="255">
        <v>0</v>
      </c>
      <c r="FR47" s="255">
        <v>0</v>
      </c>
      <c r="FS47" s="255">
        <v>0</v>
      </c>
      <c r="FT47" s="255">
        <v>0</v>
      </c>
      <c r="FU47" s="255">
        <v>0</v>
      </c>
      <c r="FV47" s="255">
        <v>0</v>
      </c>
      <c r="FW47" s="255">
        <v>0</v>
      </c>
      <c r="FX47" s="116"/>
    </row>
    <row r="48" spans="2:180" x14ac:dyDescent="0.2">
      <c r="B48" s="253" t="s">
        <v>237</v>
      </c>
      <c r="C48" s="253" t="s">
        <v>285</v>
      </c>
      <c r="D48" s="253" t="s">
        <v>258</v>
      </c>
      <c r="E48" s="253" t="s">
        <v>127</v>
      </c>
      <c r="F48" s="253" t="s">
        <v>259</v>
      </c>
      <c r="G48" s="253" t="s">
        <v>260</v>
      </c>
      <c r="H48" s="237">
        <v>169.4</v>
      </c>
      <c r="I48" s="126">
        <f t="shared" si="85"/>
        <v>309734.04000000015</v>
      </c>
      <c r="J48" s="116"/>
      <c r="K48" s="254">
        <v>0</v>
      </c>
      <c r="L48" s="254">
        <v>0</v>
      </c>
      <c r="M48" s="254">
        <v>0</v>
      </c>
      <c r="N48" s="254">
        <v>0</v>
      </c>
      <c r="O48" s="254">
        <v>0</v>
      </c>
      <c r="P48" s="254">
        <v>0</v>
      </c>
      <c r="Q48" s="254">
        <v>0.5</v>
      </c>
      <c r="R48" s="254">
        <v>0.45</v>
      </c>
      <c r="S48" s="254">
        <v>0.25</v>
      </c>
      <c r="T48" s="254">
        <v>0.6</v>
      </c>
      <c r="U48" s="254">
        <v>0.4</v>
      </c>
      <c r="V48" s="254">
        <v>0.4</v>
      </c>
      <c r="W48" s="254">
        <v>0.53333333333333333</v>
      </c>
      <c r="X48" s="254">
        <v>0.25</v>
      </c>
      <c r="Y48" s="254">
        <v>0.25</v>
      </c>
      <c r="Z48" s="254">
        <v>0.33333333333333331</v>
      </c>
      <c r="AA48" s="254">
        <v>0.23026315789473684</v>
      </c>
      <c r="AB48" s="254">
        <v>0.23026315789473684</v>
      </c>
      <c r="AC48" s="254">
        <v>0.25</v>
      </c>
      <c r="AD48" s="254">
        <v>0.25</v>
      </c>
      <c r="AE48" s="254">
        <v>0.25</v>
      </c>
      <c r="AF48" s="254">
        <v>0.25</v>
      </c>
      <c r="AG48" s="254">
        <v>0.25</v>
      </c>
      <c r="AH48" s="254">
        <v>0.33333333333333331</v>
      </c>
      <c r="AI48" s="254">
        <v>0.33333333333333331</v>
      </c>
      <c r="AJ48" s="254">
        <v>0.25</v>
      </c>
      <c r="AK48" s="254">
        <v>0.25</v>
      </c>
      <c r="AL48" s="254">
        <v>0.33333333333333331</v>
      </c>
      <c r="AM48" s="254">
        <v>0.23026315789473684</v>
      </c>
      <c r="AN48" s="254">
        <v>0.23026315789473684</v>
      </c>
      <c r="AO48" s="254">
        <v>0.25</v>
      </c>
      <c r="AP48" s="254">
        <v>0.25</v>
      </c>
      <c r="AQ48" s="254">
        <v>0.25</v>
      </c>
      <c r="AR48" s="254">
        <v>0.25</v>
      </c>
      <c r="AS48" s="254">
        <v>0.25</v>
      </c>
      <c r="AT48" s="254">
        <v>0.33333333333333331</v>
      </c>
      <c r="AU48" s="254">
        <v>0.33333333333333331</v>
      </c>
      <c r="AV48" s="254">
        <v>0.25</v>
      </c>
      <c r="AW48" s="254">
        <v>0.25</v>
      </c>
      <c r="AX48" s="254">
        <v>0.33333333333333331</v>
      </c>
      <c r="AY48" s="254">
        <v>0.23026315789473684</v>
      </c>
      <c r="AZ48" s="254">
        <v>0.23026315789473684</v>
      </c>
      <c r="BA48" s="254">
        <v>0.25</v>
      </c>
      <c r="BB48" s="254">
        <v>0.25</v>
      </c>
      <c r="BC48" s="254">
        <v>0</v>
      </c>
      <c r="BD48" s="254">
        <v>0</v>
      </c>
      <c r="BE48" s="254">
        <v>0</v>
      </c>
      <c r="BF48" s="254">
        <v>0</v>
      </c>
      <c r="BG48" s="254">
        <v>0</v>
      </c>
      <c r="BH48" s="254">
        <v>0</v>
      </c>
      <c r="BI48" s="254">
        <v>0</v>
      </c>
      <c r="BJ48" s="254">
        <v>0</v>
      </c>
      <c r="BK48" s="254">
        <v>0</v>
      </c>
      <c r="BL48" s="254">
        <v>0</v>
      </c>
      <c r="BM48" s="254">
        <v>0</v>
      </c>
      <c r="BN48" s="254">
        <v>0</v>
      </c>
      <c r="BO48" s="254">
        <v>0</v>
      </c>
      <c r="BP48" s="254">
        <v>0</v>
      </c>
      <c r="BQ48" s="254">
        <v>0</v>
      </c>
      <c r="BR48" s="254">
        <v>0</v>
      </c>
      <c r="BS48" s="254">
        <v>0</v>
      </c>
      <c r="BT48" s="254">
        <v>0</v>
      </c>
      <c r="BU48" s="254">
        <v>0</v>
      </c>
      <c r="BV48" s="254">
        <v>0</v>
      </c>
      <c r="BW48" s="254">
        <v>0</v>
      </c>
      <c r="BX48" s="254">
        <v>0</v>
      </c>
      <c r="BY48" s="254">
        <v>0</v>
      </c>
      <c r="BZ48" s="254">
        <v>0</v>
      </c>
      <c r="CA48" s="254">
        <v>0</v>
      </c>
      <c r="CB48" s="254">
        <v>0</v>
      </c>
      <c r="CC48" s="254">
        <v>0</v>
      </c>
      <c r="CD48" s="254">
        <v>0</v>
      </c>
      <c r="CE48" s="254">
        <v>0</v>
      </c>
      <c r="CF48" s="254">
        <v>0</v>
      </c>
      <c r="CG48" s="254">
        <v>0</v>
      </c>
      <c r="CH48" s="254">
        <v>0</v>
      </c>
      <c r="CI48" s="254">
        <v>0</v>
      </c>
      <c r="CJ48" s="254">
        <v>0</v>
      </c>
      <c r="CK48" s="254">
        <v>0</v>
      </c>
      <c r="CL48" s="254">
        <v>0</v>
      </c>
      <c r="CM48" s="254">
        <v>0</v>
      </c>
      <c r="CN48" s="254">
        <v>0</v>
      </c>
      <c r="CO48" s="254">
        <v>0</v>
      </c>
      <c r="CP48" s="254">
        <v>0</v>
      </c>
      <c r="CQ48" s="116"/>
      <c r="CR48" s="255">
        <v>0</v>
      </c>
      <c r="CS48" s="255">
        <v>0</v>
      </c>
      <c r="CT48" s="255">
        <v>0</v>
      </c>
      <c r="CU48" s="255">
        <v>0</v>
      </c>
      <c r="CV48" s="255">
        <v>0</v>
      </c>
      <c r="CW48" s="255">
        <v>0</v>
      </c>
      <c r="CX48" s="255">
        <v>21023.799999999981</v>
      </c>
      <c r="CY48" s="255">
        <v>17758.439999999991</v>
      </c>
      <c r="CZ48" s="255">
        <v>11674.880000000001</v>
      </c>
      <c r="DA48" s="255">
        <v>25228.559999999983</v>
      </c>
      <c r="DB48" s="255">
        <v>16819.03999999999</v>
      </c>
      <c r="DC48" s="255">
        <v>12614.279999999999</v>
      </c>
      <c r="DD48" s="255">
        <v>16819.03999999999</v>
      </c>
      <c r="DE48" s="255">
        <v>5660.9000000000005</v>
      </c>
      <c r="DF48" s="255">
        <v>5929</v>
      </c>
      <c r="DG48" s="255">
        <v>5929</v>
      </c>
      <c r="DH48" s="255">
        <v>5929</v>
      </c>
      <c r="DI48" s="255">
        <v>5929</v>
      </c>
      <c r="DJ48" s="255">
        <v>5929</v>
      </c>
      <c r="DK48" s="255">
        <v>5929</v>
      </c>
      <c r="DL48" s="255">
        <v>5929</v>
      </c>
      <c r="DM48" s="255">
        <v>5929</v>
      </c>
      <c r="DN48" s="255">
        <v>5929</v>
      </c>
      <c r="DO48" s="255">
        <v>5929</v>
      </c>
      <c r="DP48" s="255">
        <v>5929</v>
      </c>
      <c r="DQ48" s="255">
        <v>5929</v>
      </c>
      <c r="DR48" s="255">
        <v>6104.7</v>
      </c>
      <c r="DS48" s="255">
        <v>6104.7</v>
      </c>
      <c r="DT48" s="255">
        <v>6104.7</v>
      </c>
      <c r="DU48" s="255">
        <v>6104.7</v>
      </c>
      <c r="DV48" s="255">
        <v>6104.7</v>
      </c>
      <c r="DW48" s="255">
        <v>6104.7</v>
      </c>
      <c r="DX48" s="255">
        <v>6104.7</v>
      </c>
      <c r="DY48" s="255">
        <v>6104.7</v>
      </c>
      <c r="DZ48" s="255">
        <v>6104.7</v>
      </c>
      <c r="EA48" s="255">
        <v>6104.7</v>
      </c>
      <c r="EB48" s="255">
        <v>6104.7</v>
      </c>
      <c r="EC48" s="255">
        <v>6104.7</v>
      </c>
      <c r="ED48" s="255">
        <v>6288.45</v>
      </c>
      <c r="EE48" s="255">
        <v>6288.45</v>
      </c>
      <c r="EF48" s="255">
        <v>6288.45</v>
      </c>
      <c r="EG48" s="255">
        <v>6288.45</v>
      </c>
      <c r="EH48" s="255">
        <v>6288.45</v>
      </c>
      <c r="EI48" s="255">
        <v>6288.45</v>
      </c>
      <c r="EJ48" s="255">
        <v>0</v>
      </c>
      <c r="EK48" s="255">
        <v>0</v>
      </c>
      <c r="EL48" s="255">
        <v>0</v>
      </c>
      <c r="EM48" s="255">
        <v>0</v>
      </c>
      <c r="EN48" s="255">
        <v>0</v>
      </c>
      <c r="EO48" s="255">
        <v>0</v>
      </c>
      <c r="EP48" s="255">
        <v>0</v>
      </c>
      <c r="EQ48" s="255">
        <v>0</v>
      </c>
      <c r="ER48" s="255">
        <v>0</v>
      </c>
      <c r="ES48" s="255">
        <v>0</v>
      </c>
      <c r="ET48" s="255">
        <v>0</v>
      </c>
      <c r="EU48" s="255">
        <v>0</v>
      </c>
      <c r="EV48" s="255">
        <v>0</v>
      </c>
      <c r="EW48" s="255">
        <v>0</v>
      </c>
      <c r="EX48" s="255">
        <v>0</v>
      </c>
      <c r="EY48" s="255">
        <v>0</v>
      </c>
      <c r="EZ48" s="255">
        <v>0</v>
      </c>
      <c r="FA48" s="255">
        <v>0</v>
      </c>
      <c r="FB48" s="255">
        <v>0</v>
      </c>
      <c r="FC48" s="255">
        <v>0</v>
      </c>
      <c r="FD48" s="255">
        <v>0</v>
      </c>
      <c r="FE48" s="255">
        <v>0</v>
      </c>
      <c r="FF48" s="255">
        <v>0</v>
      </c>
      <c r="FG48" s="255">
        <v>0</v>
      </c>
      <c r="FH48" s="255">
        <v>0</v>
      </c>
      <c r="FI48" s="255">
        <v>0</v>
      </c>
      <c r="FJ48" s="255">
        <v>0</v>
      </c>
      <c r="FK48" s="255">
        <v>0</v>
      </c>
      <c r="FL48" s="255">
        <v>0</v>
      </c>
      <c r="FM48" s="255">
        <v>0</v>
      </c>
      <c r="FN48" s="255">
        <v>0</v>
      </c>
      <c r="FO48" s="255">
        <v>0</v>
      </c>
      <c r="FP48" s="255">
        <v>0</v>
      </c>
      <c r="FQ48" s="255">
        <v>0</v>
      </c>
      <c r="FR48" s="255">
        <v>0</v>
      </c>
      <c r="FS48" s="255">
        <v>0</v>
      </c>
      <c r="FT48" s="255">
        <v>0</v>
      </c>
      <c r="FU48" s="255">
        <v>0</v>
      </c>
      <c r="FV48" s="255">
        <v>0</v>
      </c>
      <c r="FW48" s="255">
        <v>0</v>
      </c>
      <c r="FX48" s="116"/>
    </row>
    <row r="49" spans="2:180" x14ac:dyDescent="0.2">
      <c r="B49" s="253" t="s">
        <v>237</v>
      </c>
      <c r="C49" s="253" t="s">
        <v>285</v>
      </c>
      <c r="D49" s="253" t="s">
        <v>258</v>
      </c>
      <c r="E49" s="253" t="s">
        <v>127</v>
      </c>
      <c r="F49" s="253" t="s">
        <v>259</v>
      </c>
      <c r="G49" s="253" t="s">
        <v>260</v>
      </c>
      <c r="H49" s="237">
        <v>169.4</v>
      </c>
      <c r="I49" s="126">
        <f t="shared" si="85"/>
        <v>187796.00000000009</v>
      </c>
      <c r="J49" s="116"/>
      <c r="K49" s="254">
        <v>0</v>
      </c>
      <c r="L49" s="254">
        <v>0</v>
      </c>
      <c r="M49" s="254">
        <v>0</v>
      </c>
      <c r="N49" s="254">
        <v>0</v>
      </c>
      <c r="O49" s="254">
        <v>0</v>
      </c>
      <c r="P49" s="254">
        <v>0</v>
      </c>
      <c r="Q49" s="254">
        <v>0</v>
      </c>
      <c r="R49" s="254">
        <v>0</v>
      </c>
      <c r="S49" s="254">
        <v>0</v>
      </c>
      <c r="T49" s="254">
        <v>0</v>
      </c>
      <c r="U49" s="254">
        <v>0</v>
      </c>
      <c r="V49" s="254">
        <v>0</v>
      </c>
      <c r="W49" s="254">
        <v>0</v>
      </c>
      <c r="X49" s="254">
        <v>0.25</v>
      </c>
      <c r="Y49" s="254">
        <v>0.25</v>
      </c>
      <c r="Z49" s="254">
        <v>0.33333333333333331</v>
      </c>
      <c r="AA49" s="254">
        <v>0.23026315789473684</v>
      </c>
      <c r="AB49" s="254">
        <v>0.23026315789473684</v>
      </c>
      <c r="AC49" s="254">
        <v>0.25</v>
      </c>
      <c r="AD49" s="254">
        <v>0.25</v>
      </c>
      <c r="AE49" s="254">
        <v>0.25</v>
      </c>
      <c r="AF49" s="254">
        <v>0.25</v>
      </c>
      <c r="AG49" s="254">
        <v>0.25</v>
      </c>
      <c r="AH49" s="254">
        <v>0.33333333333333331</v>
      </c>
      <c r="AI49" s="254">
        <v>0.33333333333333331</v>
      </c>
      <c r="AJ49" s="254">
        <v>0.25</v>
      </c>
      <c r="AK49" s="254">
        <v>0.25</v>
      </c>
      <c r="AL49" s="254">
        <v>0.33333333333333331</v>
      </c>
      <c r="AM49" s="254">
        <v>0.23026315789473684</v>
      </c>
      <c r="AN49" s="254">
        <v>0.23026315789473684</v>
      </c>
      <c r="AO49" s="254">
        <v>0.25</v>
      </c>
      <c r="AP49" s="254">
        <v>0.25</v>
      </c>
      <c r="AQ49" s="254">
        <v>0.25</v>
      </c>
      <c r="AR49" s="254">
        <v>0.25</v>
      </c>
      <c r="AS49" s="254">
        <v>0.25</v>
      </c>
      <c r="AT49" s="254">
        <v>0.33333333333333331</v>
      </c>
      <c r="AU49" s="254">
        <v>0.33333333333333331</v>
      </c>
      <c r="AV49" s="254">
        <v>0.25</v>
      </c>
      <c r="AW49" s="254">
        <v>0.25</v>
      </c>
      <c r="AX49" s="254">
        <v>0.33333333333333331</v>
      </c>
      <c r="AY49" s="254">
        <v>0.23026315789473684</v>
      </c>
      <c r="AZ49" s="254">
        <v>0.23026315789473684</v>
      </c>
      <c r="BA49" s="254">
        <v>0.25</v>
      </c>
      <c r="BB49" s="254">
        <v>0.25</v>
      </c>
      <c r="BC49" s="254">
        <v>0</v>
      </c>
      <c r="BD49" s="254">
        <v>0</v>
      </c>
      <c r="BE49" s="254">
        <v>0</v>
      </c>
      <c r="BF49" s="254">
        <v>0</v>
      </c>
      <c r="BG49" s="254">
        <v>0</v>
      </c>
      <c r="BH49" s="254">
        <v>0</v>
      </c>
      <c r="BI49" s="254">
        <v>0</v>
      </c>
      <c r="BJ49" s="254">
        <v>0</v>
      </c>
      <c r="BK49" s="254">
        <v>0</v>
      </c>
      <c r="BL49" s="254">
        <v>0</v>
      </c>
      <c r="BM49" s="254">
        <v>0</v>
      </c>
      <c r="BN49" s="254">
        <v>0</v>
      </c>
      <c r="BO49" s="254">
        <v>0</v>
      </c>
      <c r="BP49" s="254">
        <v>0</v>
      </c>
      <c r="BQ49" s="254">
        <v>0</v>
      </c>
      <c r="BR49" s="254">
        <v>0</v>
      </c>
      <c r="BS49" s="254">
        <v>0</v>
      </c>
      <c r="BT49" s="254">
        <v>0</v>
      </c>
      <c r="BU49" s="254">
        <v>0</v>
      </c>
      <c r="BV49" s="254">
        <v>0</v>
      </c>
      <c r="BW49" s="254">
        <v>0</v>
      </c>
      <c r="BX49" s="254">
        <v>0</v>
      </c>
      <c r="BY49" s="254">
        <v>0</v>
      </c>
      <c r="BZ49" s="254">
        <v>0</v>
      </c>
      <c r="CA49" s="254">
        <v>0</v>
      </c>
      <c r="CB49" s="254">
        <v>0</v>
      </c>
      <c r="CC49" s="254">
        <v>0</v>
      </c>
      <c r="CD49" s="254">
        <v>0</v>
      </c>
      <c r="CE49" s="254">
        <v>0</v>
      </c>
      <c r="CF49" s="254">
        <v>0</v>
      </c>
      <c r="CG49" s="254">
        <v>0</v>
      </c>
      <c r="CH49" s="254">
        <v>0</v>
      </c>
      <c r="CI49" s="254">
        <v>0</v>
      </c>
      <c r="CJ49" s="254">
        <v>0</v>
      </c>
      <c r="CK49" s="254">
        <v>0</v>
      </c>
      <c r="CL49" s="254">
        <v>0</v>
      </c>
      <c r="CM49" s="254">
        <v>0</v>
      </c>
      <c r="CN49" s="254">
        <v>0</v>
      </c>
      <c r="CO49" s="254">
        <v>0</v>
      </c>
      <c r="CP49" s="254">
        <v>0</v>
      </c>
      <c r="CQ49" s="116"/>
      <c r="CR49" s="255">
        <v>0</v>
      </c>
      <c r="CS49" s="255">
        <v>0</v>
      </c>
      <c r="CT49" s="255">
        <v>0</v>
      </c>
      <c r="CU49" s="255">
        <v>0</v>
      </c>
      <c r="CV49" s="255">
        <v>0</v>
      </c>
      <c r="CW49" s="255">
        <v>0</v>
      </c>
      <c r="CX49" s="255">
        <v>0</v>
      </c>
      <c r="CY49" s="255">
        <v>0</v>
      </c>
      <c r="CZ49" s="255">
        <v>0</v>
      </c>
      <c r="DA49" s="255">
        <v>0</v>
      </c>
      <c r="DB49" s="255">
        <v>0</v>
      </c>
      <c r="DC49" s="255">
        <v>0</v>
      </c>
      <c r="DD49" s="255">
        <v>0</v>
      </c>
      <c r="DE49" s="255">
        <v>5660.9000000000005</v>
      </c>
      <c r="DF49" s="255">
        <v>5929</v>
      </c>
      <c r="DG49" s="255">
        <v>5929</v>
      </c>
      <c r="DH49" s="255">
        <v>5929</v>
      </c>
      <c r="DI49" s="255">
        <v>5929</v>
      </c>
      <c r="DJ49" s="255">
        <v>5929</v>
      </c>
      <c r="DK49" s="255">
        <v>5929</v>
      </c>
      <c r="DL49" s="255">
        <v>5929</v>
      </c>
      <c r="DM49" s="255">
        <v>5929</v>
      </c>
      <c r="DN49" s="255">
        <v>5929</v>
      </c>
      <c r="DO49" s="255">
        <v>5929</v>
      </c>
      <c r="DP49" s="255">
        <v>5929</v>
      </c>
      <c r="DQ49" s="255">
        <v>5929</v>
      </c>
      <c r="DR49" s="255">
        <v>6104.7</v>
      </c>
      <c r="DS49" s="255">
        <v>6104.7</v>
      </c>
      <c r="DT49" s="255">
        <v>6104.7</v>
      </c>
      <c r="DU49" s="255">
        <v>6104.7</v>
      </c>
      <c r="DV49" s="255">
        <v>6104.7</v>
      </c>
      <c r="DW49" s="255">
        <v>6104.7</v>
      </c>
      <c r="DX49" s="255">
        <v>6104.7</v>
      </c>
      <c r="DY49" s="255">
        <v>6104.7</v>
      </c>
      <c r="DZ49" s="255">
        <v>6104.7</v>
      </c>
      <c r="EA49" s="255">
        <v>6104.7</v>
      </c>
      <c r="EB49" s="255">
        <v>6104.7</v>
      </c>
      <c r="EC49" s="255">
        <v>6104.7</v>
      </c>
      <c r="ED49" s="255">
        <v>6288.45</v>
      </c>
      <c r="EE49" s="255">
        <v>6288.45</v>
      </c>
      <c r="EF49" s="255">
        <v>6288.45</v>
      </c>
      <c r="EG49" s="255">
        <v>6288.45</v>
      </c>
      <c r="EH49" s="255">
        <v>6288.45</v>
      </c>
      <c r="EI49" s="255">
        <v>6288.45</v>
      </c>
      <c r="EJ49" s="255">
        <v>0</v>
      </c>
      <c r="EK49" s="255">
        <v>0</v>
      </c>
      <c r="EL49" s="255">
        <v>0</v>
      </c>
      <c r="EM49" s="255">
        <v>0</v>
      </c>
      <c r="EN49" s="255">
        <v>0</v>
      </c>
      <c r="EO49" s="255">
        <v>0</v>
      </c>
      <c r="EP49" s="255">
        <v>0</v>
      </c>
      <c r="EQ49" s="255">
        <v>0</v>
      </c>
      <c r="ER49" s="255">
        <v>0</v>
      </c>
      <c r="ES49" s="255">
        <v>0</v>
      </c>
      <c r="ET49" s="255">
        <v>0</v>
      </c>
      <c r="EU49" s="255">
        <v>0</v>
      </c>
      <c r="EV49" s="255">
        <v>0</v>
      </c>
      <c r="EW49" s="255">
        <v>0</v>
      </c>
      <c r="EX49" s="255">
        <v>0</v>
      </c>
      <c r="EY49" s="255">
        <v>0</v>
      </c>
      <c r="EZ49" s="255">
        <v>0</v>
      </c>
      <c r="FA49" s="255">
        <v>0</v>
      </c>
      <c r="FB49" s="255">
        <v>0</v>
      </c>
      <c r="FC49" s="255">
        <v>0</v>
      </c>
      <c r="FD49" s="255">
        <v>0</v>
      </c>
      <c r="FE49" s="255">
        <v>0</v>
      </c>
      <c r="FF49" s="255">
        <v>0</v>
      </c>
      <c r="FG49" s="255">
        <v>0</v>
      </c>
      <c r="FH49" s="255">
        <v>0</v>
      </c>
      <c r="FI49" s="255">
        <v>0</v>
      </c>
      <c r="FJ49" s="255">
        <v>0</v>
      </c>
      <c r="FK49" s="255">
        <v>0</v>
      </c>
      <c r="FL49" s="255">
        <v>0</v>
      </c>
      <c r="FM49" s="255">
        <v>0</v>
      </c>
      <c r="FN49" s="255">
        <v>0</v>
      </c>
      <c r="FO49" s="255">
        <v>0</v>
      </c>
      <c r="FP49" s="255">
        <v>0</v>
      </c>
      <c r="FQ49" s="255">
        <v>0</v>
      </c>
      <c r="FR49" s="255">
        <v>0</v>
      </c>
      <c r="FS49" s="255">
        <v>0</v>
      </c>
      <c r="FT49" s="255">
        <v>0</v>
      </c>
      <c r="FU49" s="255">
        <v>0</v>
      </c>
      <c r="FV49" s="255">
        <v>0</v>
      </c>
      <c r="FW49" s="255">
        <v>0</v>
      </c>
      <c r="FX49" s="116"/>
    </row>
    <row r="50" spans="2:180" x14ac:dyDescent="0.2">
      <c r="B50" s="253" t="s">
        <v>237</v>
      </c>
      <c r="C50" s="253" t="s">
        <v>286</v>
      </c>
      <c r="D50" s="253" t="s">
        <v>258</v>
      </c>
      <c r="E50" s="253" t="s">
        <v>127</v>
      </c>
      <c r="F50" s="253" t="s">
        <v>259</v>
      </c>
      <c r="G50" s="253" t="s">
        <v>260</v>
      </c>
      <c r="H50" s="237">
        <v>513.16999999999996</v>
      </c>
      <c r="I50" s="126">
        <f t="shared" si="85"/>
        <v>36307.599999999999</v>
      </c>
      <c r="J50" s="116"/>
      <c r="K50" s="254">
        <v>0</v>
      </c>
      <c r="L50" s="254">
        <v>0</v>
      </c>
      <c r="M50" s="254">
        <v>0</v>
      </c>
      <c r="N50" s="254">
        <v>0</v>
      </c>
      <c r="O50" s="254">
        <v>0</v>
      </c>
      <c r="P50" s="254">
        <v>0</v>
      </c>
      <c r="Q50" s="254">
        <v>0.2</v>
      </c>
      <c r="R50" s="254">
        <v>0.1</v>
      </c>
      <c r="S50" s="254">
        <v>0.05</v>
      </c>
      <c r="T50" s="254">
        <v>0.15</v>
      </c>
      <c r="U50" s="254">
        <v>0</v>
      </c>
      <c r="V50" s="254">
        <v>0</v>
      </c>
      <c r="W50" s="254">
        <v>0</v>
      </c>
      <c r="X50" s="254">
        <v>0.1</v>
      </c>
      <c r="Y50" s="254">
        <v>0</v>
      </c>
      <c r="Z50" s="254">
        <v>0</v>
      </c>
      <c r="AA50" s="254">
        <v>0</v>
      </c>
      <c r="AB50" s="254">
        <v>0</v>
      </c>
      <c r="AC50" s="254">
        <v>0</v>
      </c>
      <c r="AD50" s="254">
        <v>0</v>
      </c>
      <c r="AE50" s="254">
        <v>0</v>
      </c>
      <c r="AF50" s="254">
        <v>0</v>
      </c>
      <c r="AG50" s="254">
        <v>0</v>
      </c>
      <c r="AH50" s="254">
        <v>0</v>
      </c>
      <c r="AI50" s="254">
        <v>0</v>
      </c>
      <c r="AJ50" s="254">
        <v>0</v>
      </c>
      <c r="AK50" s="254">
        <v>0</v>
      </c>
      <c r="AL50" s="254">
        <v>0</v>
      </c>
      <c r="AM50" s="254">
        <v>0</v>
      </c>
      <c r="AN50" s="254">
        <v>0</v>
      </c>
      <c r="AO50" s="254">
        <v>0</v>
      </c>
      <c r="AP50" s="254">
        <v>0</v>
      </c>
      <c r="AQ50" s="254">
        <v>0</v>
      </c>
      <c r="AR50" s="254">
        <v>0</v>
      </c>
      <c r="AS50" s="254">
        <v>0</v>
      </c>
      <c r="AT50" s="254">
        <v>0</v>
      </c>
      <c r="AU50" s="254">
        <v>0</v>
      </c>
      <c r="AV50" s="254">
        <v>0</v>
      </c>
      <c r="AW50" s="254">
        <v>0</v>
      </c>
      <c r="AX50" s="254">
        <v>0</v>
      </c>
      <c r="AY50" s="254">
        <v>0</v>
      </c>
      <c r="AZ50" s="254">
        <v>0</v>
      </c>
      <c r="BA50" s="254">
        <v>0</v>
      </c>
      <c r="BB50" s="254">
        <v>0</v>
      </c>
      <c r="BC50" s="254">
        <v>0</v>
      </c>
      <c r="BD50" s="254">
        <v>0</v>
      </c>
      <c r="BE50" s="254">
        <v>0</v>
      </c>
      <c r="BF50" s="254">
        <v>0</v>
      </c>
      <c r="BG50" s="254">
        <v>0</v>
      </c>
      <c r="BH50" s="254">
        <v>0</v>
      </c>
      <c r="BI50" s="254">
        <v>0</v>
      </c>
      <c r="BJ50" s="254">
        <v>0</v>
      </c>
      <c r="BK50" s="254">
        <v>0</v>
      </c>
      <c r="BL50" s="254">
        <v>0</v>
      </c>
      <c r="BM50" s="254">
        <v>0</v>
      </c>
      <c r="BN50" s="254">
        <v>0</v>
      </c>
      <c r="BO50" s="254">
        <v>0</v>
      </c>
      <c r="BP50" s="254">
        <v>0</v>
      </c>
      <c r="BQ50" s="254">
        <v>0</v>
      </c>
      <c r="BR50" s="254">
        <v>0</v>
      </c>
      <c r="BS50" s="254">
        <v>0</v>
      </c>
      <c r="BT50" s="254">
        <v>0</v>
      </c>
      <c r="BU50" s="254">
        <v>0</v>
      </c>
      <c r="BV50" s="254">
        <v>0</v>
      </c>
      <c r="BW50" s="254">
        <v>0</v>
      </c>
      <c r="BX50" s="254">
        <v>0</v>
      </c>
      <c r="BY50" s="254">
        <v>0</v>
      </c>
      <c r="BZ50" s="254">
        <v>0</v>
      </c>
      <c r="CA50" s="254">
        <v>0</v>
      </c>
      <c r="CB50" s="254">
        <v>0</v>
      </c>
      <c r="CC50" s="254">
        <v>0</v>
      </c>
      <c r="CD50" s="254">
        <v>0</v>
      </c>
      <c r="CE50" s="254">
        <v>0</v>
      </c>
      <c r="CF50" s="254">
        <v>0</v>
      </c>
      <c r="CG50" s="254">
        <v>0</v>
      </c>
      <c r="CH50" s="254">
        <v>0</v>
      </c>
      <c r="CI50" s="254">
        <v>0</v>
      </c>
      <c r="CJ50" s="254">
        <v>0</v>
      </c>
      <c r="CK50" s="254">
        <v>0</v>
      </c>
      <c r="CL50" s="254">
        <v>0</v>
      </c>
      <c r="CM50" s="254">
        <v>0</v>
      </c>
      <c r="CN50" s="254">
        <v>0</v>
      </c>
      <c r="CO50" s="254">
        <v>0</v>
      </c>
      <c r="CP50" s="254">
        <v>0</v>
      </c>
      <c r="CQ50" s="116"/>
      <c r="CR50" s="255">
        <v>0</v>
      </c>
      <c r="CS50" s="255">
        <v>0</v>
      </c>
      <c r="CT50" s="255">
        <v>0</v>
      </c>
      <c r="CU50" s="255">
        <v>0</v>
      </c>
      <c r="CV50" s="255">
        <v>0</v>
      </c>
      <c r="CW50" s="255">
        <v>0</v>
      </c>
      <c r="CX50" s="255">
        <v>13949.039999999997</v>
      </c>
      <c r="CY50" s="255">
        <v>6974.5199999999995</v>
      </c>
      <c r="CZ50" s="255">
        <v>2102.38</v>
      </c>
      <c r="DA50" s="255">
        <v>6307.14</v>
      </c>
      <c r="DB50" s="255">
        <v>0</v>
      </c>
      <c r="DC50" s="255">
        <v>0</v>
      </c>
      <c r="DD50" s="255">
        <v>0</v>
      </c>
      <c r="DE50" s="255">
        <v>6974.52</v>
      </c>
      <c r="DF50" s="255">
        <v>0</v>
      </c>
      <c r="DG50" s="255">
        <v>0</v>
      </c>
      <c r="DH50" s="255">
        <v>0</v>
      </c>
      <c r="DI50" s="255">
        <v>0</v>
      </c>
      <c r="DJ50" s="255">
        <v>0</v>
      </c>
      <c r="DK50" s="255">
        <v>0</v>
      </c>
      <c r="DL50" s="255">
        <v>0</v>
      </c>
      <c r="DM50" s="255">
        <v>0</v>
      </c>
      <c r="DN50" s="255">
        <v>0</v>
      </c>
      <c r="DO50" s="255">
        <v>0</v>
      </c>
      <c r="DP50" s="255">
        <v>0</v>
      </c>
      <c r="DQ50" s="255">
        <v>0</v>
      </c>
      <c r="DR50" s="255">
        <v>0</v>
      </c>
      <c r="DS50" s="255">
        <v>0</v>
      </c>
      <c r="DT50" s="255">
        <v>0</v>
      </c>
      <c r="DU50" s="255">
        <v>0</v>
      </c>
      <c r="DV50" s="255">
        <v>0</v>
      </c>
      <c r="DW50" s="255">
        <v>0</v>
      </c>
      <c r="DX50" s="255">
        <v>0</v>
      </c>
      <c r="DY50" s="255">
        <v>0</v>
      </c>
      <c r="DZ50" s="255">
        <v>0</v>
      </c>
      <c r="EA50" s="255">
        <v>0</v>
      </c>
      <c r="EB50" s="255">
        <v>0</v>
      </c>
      <c r="EC50" s="255">
        <v>0</v>
      </c>
      <c r="ED50" s="255">
        <v>0</v>
      </c>
      <c r="EE50" s="255">
        <v>0</v>
      </c>
      <c r="EF50" s="255">
        <v>0</v>
      </c>
      <c r="EG50" s="255">
        <v>0</v>
      </c>
      <c r="EH50" s="255">
        <v>0</v>
      </c>
      <c r="EI50" s="255">
        <v>0</v>
      </c>
      <c r="EJ50" s="255">
        <v>0</v>
      </c>
      <c r="EK50" s="255">
        <v>0</v>
      </c>
      <c r="EL50" s="255">
        <v>0</v>
      </c>
      <c r="EM50" s="255">
        <v>0</v>
      </c>
      <c r="EN50" s="255">
        <v>0</v>
      </c>
      <c r="EO50" s="255">
        <v>0</v>
      </c>
      <c r="EP50" s="255">
        <v>0</v>
      </c>
      <c r="EQ50" s="255">
        <v>0</v>
      </c>
      <c r="ER50" s="255">
        <v>0</v>
      </c>
      <c r="ES50" s="255">
        <v>0</v>
      </c>
      <c r="ET50" s="255">
        <v>0</v>
      </c>
      <c r="EU50" s="255">
        <v>0</v>
      </c>
      <c r="EV50" s="255">
        <v>0</v>
      </c>
      <c r="EW50" s="255">
        <v>0</v>
      </c>
      <c r="EX50" s="255">
        <v>0</v>
      </c>
      <c r="EY50" s="255">
        <v>0</v>
      </c>
      <c r="EZ50" s="255">
        <v>0</v>
      </c>
      <c r="FA50" s="255">
        <v>0</v>
      </c>
      <c r="FB50" s="255">
        <v>0</v>
      </c>
      <c r="FC50" s="255">
        <v>0</v>
      </c>
      <c r="FD50" s="255">
        <v>0</v>
      </c>
      <c r="FE50" s="255">
        <v>0</v>
      </c>
      <c r="FF50" s="255">
        <v>0</v>
      </c>
      <c r="FG50" s="255">
        <v>0</v>
      </c>
      <c r="FH50" s="255">
        <v>0</v>
      </c>
      <c r="FI50" s="255">
        <v>0</v>
      </c>
      <c r="FJ50" s="255">
        <v>0</v>
      </c>
      <c r="FK50" s="255">
        <v>0</v>
      </c>
      <c r="FL50" s="255">
        <v>0</v>
      </c>
      <c r="FM50" s="255">
        <v>0</v>
      </c>
      <c r="FN50" s="255">
        <v>0</v>
      </c>
      <c r="FO50" s="255">
        <v>0</v>
      </c>
      <c r="FP50" s="255">
        <v>0</v>
      </c>
      <c r="FQ50" s="255">
        <v>0</v>
      </c>
      <c r="FR50" s="255">
        <v>0</v>
      </c>
      <c r="FS50" s="255">
        <v>0</v>
      </c>
      <c r="FT50" s="255">
        <v>0</v>
      </c>
      <c r="FU50" s="255">
        <v>0</v>
      </c>
      <c r="FV50" s="255">
        <v>0</v>
      </c>
      <c r="FW50" s="255">
        <v>0</v>
      </c>
      <c r="FX50" s="116"/>
    </row>
    <row r="51" spans="2:180" x14ac:dyDescent="0.2">
      <c r="B51" s="253" t="s">
        <v>237</v>
      </c>
      <c r="C51" s="253" t="s">
        <v>282</v>
      </c>
      <c r="D51" s="253" t="s">
        <v>283</v>
      </c>
      <c r="E51" s="253" t="s">
        <v>127</v>
      </c>
      <c r="F51" s="253">
        <v>0</v>
      </c>
      <c r="G51" s="253" t="s">
        <v>268</v>
      </c>
      <c r="H51" s="237">
        <v>0</v>
      </c>
      <c r="I51" s="126">
        <f t="shared" si="85"/>
        <v>768000</v>
      </c>
      <c r="J51" s="116"/>
      <c r="K51" s="254">
        <v>0</v>
      </c>
      <c r="L51" s="254">
        <v>0</v>
      </c>
      <c r="M51" s="254">
        <v>0</v>
      </c>
      <c r="N51" s="254">
        <v>0</v>
      </c>
      <c r="O51" s="254">
        <v>0</v>
      </c>
      <c r="P51" s="254">
        <v>0</v>
      </c>
      <c r="Q51" s="254">
        <v>0</v>
      </c>
      <c r="R51" s="254">
        <v>0</v>
      </c>
      <c r="S51" s="254">
        <v>0</v>
      </c>
      <c r="T51" s="254">
        <v>0</v>
      </c>
      <c r="U51" s="254">
        <v>0</v>
      </c>
      <c r="V51" s="254">
        <v>0</v>
      </c>
      <c r="W51" s="254">
        <v>0</v>
      </c>
      <c r="X51" s="254">
        <v>3.125E-2</v>
      </c>
      <c r="Y51" s="254">
        <v>3.125E-2</v>
      </c>
      <c r="Z51" s="254">
        <v>3.125E-2</v>
      </c>
      <c r="AA51" s="254">
        <v>3.125E-2</v>
      </c>
      <c r="AB51" s="254">
        <v>3.125E-2</v>
      </c>
      <c r="AC51" s="254">
        <v>3.125E-2</v>
      </c>
      <c r="AD51" s="254">
        <v>3.125E-2</v>
      </c>
      <c r="AE51" s="254">
        <v>3.125E-2</v>
      </c>
      <c r="AF51" s="254">
        <v>3.125E-2</v>
      </c>
      <c r="AG51" s="254">
        <v>3.125E-2</v>
      </c>
      <c r="AH51" s="254">
        <v>3.125E-2</v>
      </c>
      <c r="AI51" s="254">
        <v>3.125E-2</v>
      </c>
      <c r="AJ51" s="254">
        <v>3.125E-2</v>
      </c>
      <c r="AK51" s="254">
        <v>3.125E-2</v>
      </c>
      <c r="AL51" s="254">
        <v>3.125E-2</v>
      </c>
      <c r="AM51" s="254">
        <v>3.125E-2</v>
      </c>
      <c r="AN51" s="254">
        <v>3.125E-2</v>
      </c>
      <c r="AO51" s="254">
        <v>3.125E-2</v>
      </c>
      <c r="AP51" s="254">
        <v>3.125E-2</v>
      </c>
      <c r="AQ51" s="254">
        <v>3.125E-2</v>
      </c>
      <c r="AR51" s="254">
        <v>3.125E-2</v>
      </c>
      <c r="AS51" s="254">
        <v>3.125E-2</v>
      </c>
      <c r="AT51" s="254">
        <v>3.125E-2</v>
      </c>
      <c r="AU51" s="254">
        <v>3.125E-2</v>
      </c>
      <c r="AV51" s="254">
        <v>3.125E-2</v>
      </c>
      <c r="AW51" s="254">
        <v>3.125E-2</v>
      </c>
      <c r="AX51" s="254">
        <v>3.125E-2</v>
      </c>
      <c r="AY51" s="254">
        <v>3.125E-2</v>
      </c>
      <c r="AZ51" s="254">
        <v>3.125E-2</v>
      </c>
      <c r="BA51" s="254">
        <v>3.125E-2</v>
      </c>
      <c r="BB51" s="254">
        <v>3.125E-2</v>
      </c>
      <c r="BC51" s="254">
        <v>3.125E-2</v>
      </c>
      <c r="BD51" s="254">
        <v>0</v>
      </c>
      <c r="BE51" s="254">
        <v>0</v>
      </c>
      <c r="BF51" s="254">
        <v>0</v>
      </c>
      <c r="BG51" s="254">
        <v>0</v>
      </c>
      <c r="BH51" s="254">
        <v>0</v>
      </c>
      <c r="BI51" s="254">
        <v>0</v>
      </c>
      <c r="BJ51" s="254">
        <v>0</v>
      </c>
      <c r="BK51" s="254">
        <v>0</v>
      </c>
      <c r="BL51" s="254">
        <v>0</v>
      </c>
      <c r="BM51" s="254">
        <v>0</v>
      </c>
      <c r="BN51" s="254">
        <v>0</v>
      </c>
      <c r="BO51" s="254">
        <v>0</v>
      </c>
      <c r="BP51" s="254">
        <v>0</v>
      </c>
      <c r="BQ51" s="254">
        <v>0</v>
      </c>
      <c r="BR51" s="254">
        <v>0</v>
      </c>
      <c r="BS51" s="254">
        <v>0</v>
      </c>
      <c r="BT51" s="254">
        <v>0</v>
      </c>
      <c r="BU51" s="254">
        <v>0</v>
      </c>
      <c r="BV51" s="254">
        <v>0</v>
      </c>
      <c r="BW51" s="254">
        <v>0</v>
      </c>
      <c r="BX51" s="254">
        <v>0</v>
      </c>
      <c r="BY51" s="254">
        <v>0</v>
      </c>
      <c r="BZ51" s="254">
        <v>0</v>
      </c>
      <c r="CA51" s="254">
        <v>0</v>
      </c>
      <c r="CB51" s="254">
        <v>0</v>
      </c>
      <c r="CC51" s="254">
        <v>0</v>
      </c>
      <c r="CD51" s="254">
        <v>0</v>
      </c>
      <c r="CE51" s="254">
        <v>0</v>
      </c>
      <c r="CF51" s="254">
        <v>0</v>
      </c>
      <c r="CG51" s="254">
        <v>0</v>
      </c>
      <c r="CH51" s="254">
        <v>0</v>
      </c>
      <c r="CI51" s="254">
        <v>0</v>
      </c>
      <c r="CJ51" s="254">
        <v>0</v>
      </c>
      <c r="CK51" s="254">
        <v>0</v>
      </c>
      <c r="CL51" s="254">
        <v>0</v>
      </c>
      <c r="CM51" s="254">
        <v>0</v>
      </c>
      <c r="CN51" s="254">
        <v>0</v>
      </c>
      <c r="CO51" s="254">
        <v>0</v>
      </c>
      <c r="CP51" s="254">
        <v>0</v>
      </c>
      <c r="CQ51" s="116"/>
      <c r="CR51" s="255">
        <v>0</v>
      </c>
      <c r="CS51" s="255">
        <v>0</v>
      </c>
      <c r="CT51" s="255">
        <v>0</v>
      </c>
      <c r="CU51" s="255">
        <v>0</v>
      </c>
      <c r="CV51" s="255">
        <v>0</v>
      </c>
      <c r="CW51" s="255">
        <v>0</v>
      </c>
      <c r="CX51" s="255">
        <v>0</v>
      </c>
      <c r="CY51" s="255">
        <v>0</v>
      </c>
      <c r="CZ51" s="255">
        <v>0</v>
      </c>
      <c r="DA51" s="255">
        <v>0</v>
      </c>
      <c r="DB51" s="255">
        <v>0</v>
      </c>
      <c r="DC51" s="255">
        <v>0</v>
      </c>
      <c r="DD51" s="255">
        <v>0</v>
      </c>
      <c r="DE51" s="255">
        <v>24000</v>
      </c>
      <c r="DF51" s="255">
        <v>24000</v>
      </c>
      <c r="DG51" s="255">
        <v>24000</v>
      </c>
      <c r="DH51" s="255">
        <v>24000</v>
      </c>
      <c r="DI51" s="255">
        <v>24000</v>
      </c>
      <c r="DJ51" s="255">
        <v>24000</v>
      </c>
      <c r="DK51" s="255">
        <v>24000</v>
      </c>
      <c r="DL51" s="255">
        <v>24000</v>
      </c>
      <c r="DM51" s="255">
        <v>24000</v>
      </c>
      <c r="DN51" s="255">
        <v>24000</v>
      </c>
      <c r="DO51" s="255">
        <v>24000</v>
      </c>
      <c r="DP51" s="255">
        <v>24000</v>
      </c>
      <c r="DQ51" s="255">
        <v>24000</v>
      </c>
      <c r="DR51" s="255">
        <v>24000</v>
      </c>
      <c r="DS51" s="255">
        <v>24000</v>
      </c>
      <c r="DT51" s="255">
        <v>24000</v>
      </c>
      <c r="DU51" s="255">
        <v>24000</v>
      </c>
      <c r="DV51" s="255">
        <v>24000</v>
      </c>
      <c r="DW51" s="255">
        <v>24000</v>
      </c>
      <c r="DX51" s="255">
        <v>24000</v>
      </c>
      <c r="DY51" s="255">
        <v>24000</v>
      </c>
      <c r="DZ51" s="255">
        <v>24000</v>
      </c>
      <c r="EA51" s="255">
        <v>24000</v>
      </c>
      <c r="EB51" s="255">
        <v>24000</v>
      </c>
      <c r="EC51" s="255">
        <v>24000</v>
      </c>
      <c r="ED51" s="255">
        <v>24000</v>
      </c>
      <c r="EE51" s="255">
        <v>24000</v>
      </c>
      <c r="EF51" s="255">
        <v>24000</v>
      </c>
      <c r="EG51" s="255">
        <v>24000</v>
      </c>
      <c r="EH51" s="255">
        <v>24000</v>
      </c>
      <c r="EI51" s="255">
        <v>24000</v>
      </c>
      <c r="EJ51" s="255">
        <v>24000</v>
      </c>
      <c r="EK51" s="255">
        <v>0</v>
      </c>
      <c r="EL51" s="255">
        <v>0</v>
      </c>
      <c r="EM51" s="255">
        <v>0</v>
      </c>
      <c r="EN51" s="255">
        <v>0</v>
      </c>
      <c r="EO51" s="255">
        <v>0</v>
      </c>
      <c r="EP51" s="255">
        <v>0</v>
      </c>
      <c r="EQ51" s="255">
        <v>0</v>
      </c>
      <c r="ER51" s="255">
        <v>0</v>
      </c>
      <c r="ES51" s="255">
        <v>0</v>
      </c>
      <c r="ET51" s="255">
        <v>0</v>
      </c>
      <c r="EU51" s="255">
        <v>0</v>
      </c>
      <c r="EV51" s="255">
        <v>0</v>
      </c>
      <c r="EW51" s="255">
        <v>0</v>
      </c>
      <c r="EX51" s="255">
        <v>0</v>
      </c>
      <c r="EY51" s="255">
        <v>0</v>
      </c>
      <c r="EZ51" s="255">
        <v>0</v>
      </c>
      <c r="FA51" s="255">
        <v>0</v>
      </c>
      <c r="FB51" s="255">
        <v>0</v>
      </c>
      <c r="FC51" s="255">
        <v>0</v>
      </c>
      <c r="FD51" s="255">
        <v>0</v>
      </c>
      <c r="FE51" s="255">
        <v>0</v>
      </c>
      <c r="FF51" s="255">
        <v>0</v>
      </c>
      <c r="FG51" s="255">
        <v>0</v>
      </c>
      <c r="FH51" s="255">
        <v>0</v>
      </c>
      <c r="FI51" s="255">
        <v>0</v>
      </c>
      <c r="FJ51" s="255">
        <v>0</v>
      </c>
      <c r="FK51" s="255">
        <v>0</v>
      </c>
      <c r="FL51" s="255">
        <v>0</v>
      </c>
      <c r="FM51" s="255">
        <v>0</v>
      </c>
      <c r="FN51" s="255">
        <v>0</v>
      </c>
      <c r="FO51" s="255">
        <v>0</v>
      </c>
      <c r="FP51" s="255">
        <v>0</v>
      </c>
      <c r="FQ51" s="255">
        <v>0</v>
      </c>
      <c r="FR51" s="255">
        <v>0</v>
      </c>
      <c r="FS51" s="255">
        <v>0</v>
      </c>
      <c r="FT51" s="255">
        <v>0</v>
      </c>
      <c r="FU51" s="255">
        <v>0</v>
      </c>
      <c r="FV51" s="255">
        <v>0</v>
      </c>
      <c r="FW51" s="255">
        <v>0</v>
      </c>
      <c r="FX51" s="116"/>
    </row>
    <row r="52" spans="2:180" x14ac:dyDescent="0.2">
      <c r="B52" s="253" t="s">
        <v>218</v>
      </c>
      <c r="C52" s="253" t="s">
        <v>287</v>
      </c>
      <c r="D52" s="253" t="s">
        <v>258</v>
      </c>
      <c r="E52" s="253" t="s">
        <v>127</v>
      </c>
      <c r="F52" s="253" t="s">
        <v>259</v>
      </c>
      <c r="G52" s="253" t="s">
        <v>260</v>
      </c>
      <c r="H52" s="237">
        <v>273.48</v>
      </c>
      <c r="I52" s="126">
        <f t="shared" si="85"/>
        <v>17508.690000000002</v>
      </c>
      <c r="J52" s="116"/>
      <c r="K52" s="254">
        <v>0</v>
      </c>
      <c r="L52" s="254">
        <v>0</v>
      </c>
      <c r="M52" s="254">
        <v>0</v>
      </c>
      <c r="N52" s="254">
        <v>0</v>
      </c>
      <c r="O52" s="254">
        <v>0</v>
      </c>
      <c r="P52" s="254">
        <v>0</v>
      </c>
      <c r="Q52" s="254">
        <v>5.7142857142857141E-2</v>
      </c>
      <c r="R52" s="254">
        <v>4.2857142857142858E-2</v>
      </c>
      <c r="S52" s="254">
        <v>1.4285714285714285E-2</v>
      </c>
      <c r="T52" s="254">
        <v>4.642857142857143E-2</v>
      </c>
      <c r="U52" s="254">
        <v>0.05</v>
      </c>
      <c r="V52" s="254">
        <v>0.16190476190476191</v>
      </c>
      <c r="W52" s="254">
        <v>2.8571428571428571E-2</v>
      </c>
      <c r="X52" s="254">
        <v>0</v>
      </c>
      <c r="Y52" s="254">
        <v>0</v>
      </c>
      <c r="Z52" s="254">
        <v>0</v>
      </c>
      <c r="AA52" s="254">
        <v>0</v>
      </c>
      <c r="AB52" s="254">
        <v>0</v>
      </c>
      <c r="AC52" s="254">
        <v>0</v>
      </c>
      <c r="AD52" s="254">
        <v>0</v>
      </c>
      <c r="AE52" s="254">
        <v>0</v>
      </c>
      <c r="AF52" s="254">
        <v>0</v>
      </c>
      <c r="AG52" s="254">
        <v>0</v>
      </c>
      <c r="AH52" s="254">
        <v>0</v>
      </c>
      <c r="AI52" s="254">
        <v>0</v>
      </c>
      <c r="AJ52" s="254">
        <v>0</v>
      </c>
      <c r="AK52" s="254">
        <v>0</v>
      </c>
      <c r="AL52" s="254">
        <v>0</v>
      </c>
      <c r="AM52" s="254">
        <v>0</v>
      </c>
      <c r="AN52" s="254">
        <v>0</v>
      </c>
      <c r="AO52" s="254">
        <v>0</v>
      </c>
      <c r="AP52" s="254">
        <v>0</v>
      </c>
      <c r="AQ52" s="254">
        <v>0</v>
      </c>
      <c r="AR52" s="254">
        <v>0</v>
      </c>
      <c r="AS52" s="254">
        <v>0</v>
      </c>
      <c r="AT52" s="254">
        <v>0</v>
      </c>
      <c r="AU52" s="254">
        <v>0</v>
      </c>
      <c r="AV52" s="254">
        <v>0</v>
      </c>
      <c r="AW52" s="254">
        <v>0</v>
      </c>
      <c r="AX52" s="254">
        <v>0</v>
      </c>
      <c r="AY52" s="254">
        <v>0</v>
      </c>
      <c r="AZ52" s="254">
        <v>0</v>
      </c>
      <c r="BA52" s="254">
        <v>0</v>
      </c>
      <c r="BB52" s="254">
        <v>0</v>
      </c>
      <c r="BC52" s="254">
        <v>0</v>
      </c>
      <c r="BD52" s="254">
        <v>0</v>
      </c>
      <c r="BE52" s="254">
        <v>0</v>
      </c>
      <c r="BF52" s="254">
        <v>0</v>
      </c>
      <c r="BG52" s="254">
        <v>0</v>
      </c>
      <c r="BH52" s="254">
        <v>0</v>
      </c>
      <c r="BI52" s="254">
        <v>0</v>
      </c>
      <c r="BJ52" s="254">
        <v>0</v>
      </c>
      <c r="BK52" s="254">
        <v>0</v>
      </c>
      <c r="BL52" s="254">
        <v>0</v>
      </c>
      <c r="BM52" s="254">
        <v>0</v>
      </c>
      <c r="BN52" s="254">
        <v>0</v>
      </c>
      <c r="BO52" s="254">
        <v>0</v>
      </c>
      <c r="BP52" s="254">
        <v>0</v>
      </c>
      <c r="BQ52" s="254">
        <v>0</v>
      </c>
      <c r="BR52" s="254">
        <v>0</v>
      </c>
      <c r="BS52" s="254">
        <v>0</v>
      </c>
      <c r="BT52" s="254">
        <v>0</v>
      </c>
      <c r="BU52" s="254">
        <v>0</v>
      </c>
      <c r="BV52" s="254">
        <v>0</v>
      </c>
      <c r="BW52" s="254">
        <v>0</v>
      </c>
      <c r="BX52" s="254">
        <v>0</v>
      </c>
      <c r="BY52" s="254">
        <v>0</v>
      </c>
      <c r="BZ52" s="254">
        <v>0</v>
      </c>
      <c r="CA52" s="254">
        <v>0</v>
      </c>
      <c r="CB52" s="254">
        <v>0</v>
      </c>
      <c r="CC52" s="254">
        <v>0</v>
      </c>
      <c r="CD52" s="254">
        <v>0</v>
      </c>
      <c r="CE52" s="254">
        <v>0</v>
      </c>
      <c r="CF52" s="254">
        <v>0</v>
      </c>
      <c r="CG52" s="254">
        <v>0</v>
      </c>
      <c r="CH52" s="254">
        <v>0</v>
      </c>
      <c r="CI52" s="254">
        <v>0</v>
      </c>
      <c r="CJ52" s="254">
        <v>0</v>
      </c>
      <c r="CK52" s="254">
        <v>0</v>
      </c>
      <c r="CL52" s="254">
        <v>0</v>
      </c>
      <c r="CM52" s="254">
        <v>0</v>
      </c>
      <c r="CN52" s="254">
        <v>0</v>
      </c>
      <c r="CO52" s="254">
        <v>0</v>
      </c>
      <c r="CP52" s="254">
        <v>0</v>
      </c>
      <c r="CQ52" s="116"/>
      <c r="CR52" s="255">
        <v>0</v>
      </c>
      <c r="CS52" s="255">
        <v>0</v>
      </c>
      <c r="CT52" s="255">
        <v>0</v>
      </c>
      <c r="CU52" s="255">
        <v>0</v>
      </c>
      <c r="CV52" s="255">
        <v>0</v>
      </c>
      <c r="CW52" s="255">
        <v>0</v>
      </c>
      <c r="CX52" s="255">
        <v>2731.9799999999996</v>
      </c>
      <c r="CY52" s="255">
        <v>2136.3900000000003</v>
      </c>
      <c r="CZ52" s="255">
        <v>712.13000000000011</v>
      </c>
      <c r="DA52" s="255">
        <v>2314.4300000000003</v>
      </c>
      <c r="DB52" s="255">
        <v>2492.4500000000003</v>
      </c>
      <c r="DC52" s="255">
        <v>6053.1100000000006</v>
      </c>
      <c r="DD52" s="255">
        <v>1068.1999999999998</v>
      </c>
      <c r="DE52" s="255">
        <v>0</v>
      </c>
      <c r="DF52" s="255">
        <v>0</v>
      </c>
      <c r="DG52" s="255">
        <v>0</v>
      </c>
      <c r="DH52" s="255">
        <v>0</v>
      </c>
      <c r="DI52" s="255">
        <v>0</v>
      </c>
      <c r="DJ52" s="255">
        <v>0</v>
      </c>
      <c r="DK52" s="255">
        <v>0</v>
      </c>
      <c r="DL52" s="255">
        <v>0</v>
      </c>
      <c r="DM52" s="255">
        <v>0</v>
      </c>
      <c r="DN52" s="255">
        <v>0</v>
      </c>
      <c r="DO52" s="255">
        <v>0</v>
      </c>
      <c r="DP52" s="255">
        <v>0</v>
      </c>
      <c r="DQ52" s="255">
        <v>0</v>
      </c>
      <c r="DR52" s="255">
        <v>0</v>
      </c>
      <c r="DS52" s="255">
        <v>0</v>
      </c>
      <c r="DT52" s="255">
        <v>0</v>
      </c>
      <c r="DU52" s="255">
        <v>0</v>
      </c>
      <c r="DV52" s="255">
        <v>0</v>
      </c>
      <c r="DW52" s="255">
        <v>0</v>
      </c>
      <c r="DX52" s="255">
        <v>0</v>
      </c>
      <c r="DY52" s="255">
        <v>0</v>
      </c>
      <c r="DZ52" s="255">
        <v>0</v>
      </c>
      <c r="EA52" s="255">
        <v>0</v>
      </c>
      <c r="EB52" s="255">
        <v>0</v>
      </c>
      <c r="EC52" s="255">
        <v>0</v>
      </c>
      <c r="ED52" s="255">
        <v>0</v>
      </c>
      <c r="EE52" s="255">
        <v>0</v>
      </c>
      <c r="EF52" s="255">
        <v>0</v>
      </c>
      <c r="EG52" s="255">
        <v>0</v>
      </c>
      <c r="EH52" s="255">
        <v>0</v>
      </c>
      <c r="EI52" s="255">
        <v>0</v>
      </c>
      <c r="EJ52" s="255">
        <v>0</v>
      </c>
      <c r="EK52" s="255">
        <v>0</v>
      </c>
      <c r="EL52" s="255">
        <v>0</v>
      </c>
      <c r="EM52" s="255">
        <v>0</v>
      </c>
      <c r="EN52" s="255">
        <v>0</v>
      </c>
      <c r="EO52" s="255">
        <v>0</v>
      </c>
      <c r="EP52" s="255">
        <v>0</v>
      </c>
      <c r="EQ52" s="255">
        <v>0</v>
      </c>
      <c r="ER52" s="255">
        <v>0</v>
      </c>
      <c r="ES52" s="255">
        <v>0</v>
      </c>
      <c r="ET52" s="255">
        <v>0</v>
      </c>
      <c r="EU52" s="255">
        <v>0</v>
      </c>
      <c r="EV52" s="255">
        <v>0</v>
      </c>
      <c r="EW52" s="255">
        <v>0</v>
      </c>
      <c r="EX52" s="255">
        <v>0</v>
      </c>
      <c r="EY52" s="255">
        <v>0</v>
      </c>
      <c r="EZ52" s="255">
        <v>0</v>
      </c>
      <c r="FA52" s="255">
        <v>0</v>
      </c>
      <c r="FB52" s="255">
        <v>0</v>
      </c>
      <c r="FC52" s="255">
        <v>0</v>
      </c>
      <c r="FD52" s="255">
        <v>0</v>
      </c>
      <c r="FE52" s="255">
        <v>0</v>
      </c>
      <c r="FF52" s="255">
        <v>0</v>
      </c>
      <c r="FG52" s="255">
        <v>0</v>
      </c>
      <c r="FH52" s="255">
        <v>0</v>
      </c>
      <c r="FI52" s="255">
        <v>0</v>
      </c>
      <c r="FJ52" s="255">
        <v>0</v>
      </c>
      <c r="FK52" s="255">
        <v>0</v>
      </c>
      <c r="FL52" s="255">
        <v>0</v>
      </c>
      <c r="FM52" s="255">
        <v>0</v>
      </c>
      <c r="FN52" s="255">
        <v>0</v>
      </c>
      <c r="FO52" s="255">
        <v>0</v>
      </c>
      <c r="FP52" s="255">
        <v>0</v>
      </c>
      <c r="FQ52" s="255">
        <v>0</v>
      </c>
      <c r="FR52" s="255">
        <v>0</v>
      </c>
      <c r="FS52" s="255">
        <v>0</v>
      </c>
      <c r="FT52" s="255">
        <v>0</v>
      </c>
      <c r="FU52" s="255">
        <v>0</v>
      </c>
      <c r="FV52" s="255">
        <v>0</v>
      </c>
      <c r="FW52" s="255">
        <v>0</v>
      </c>
      <c r="FX52" s="116"/>
    </row>
    <row r="53" spans="2:180" x14ac:dyDescent="0.2">
      <c r="B53" s="253" t="s">
        <v>218</v>
      </c>
      <c r="C53" s="253" t="s">
        <v>287</v>
      </c>
      <c r="D53" s="253" t="s">
        <v>258</v>
      </c>
      <c r="E53" s="253" t="s">
        <v>127</v>
      </c>
      <c r="F53" s="253" t="s">
        <v>259</v>
      </c>
      <c r="G53" s="253" t="s">
        <v>260</v>
      </c>
      <c r="H53" s="237">
        <v>273.48</v>
      </c>
      <c r="I53" s="126">
        <f t="shared" si="85"/>
        <v>1043539.2799999998</v>
      </c>
      <c r="J53" s="116"/>
      <c r="K53" s="254">
        <v>0</v>
      </c>
      <c r="L53" s="254">
        <v>0</v>
      </c>
      <c r="M53" s="254">
        <v>0</v>
      </c>
      <c r="N53" s="254">
        <v>0</v>
      </c>
      <c r="O53" s="254">
        <v>0</v>
      </c>
      <c r="P53" s="254">
        <v>0</v>
      </c>
      <c r="Q53" s="254">
        <v>0</v>
      </c>
      <c r="R53" s="254">
        <v>0</v>
      </c>
      <c r="S53" s="254">
        <v>0</v>
      </c>
      <c r="T53" s="254">
        <v>0</v>
      </c>
      <c r="U53" s="254">
        <v>0</v>
      </c>
      <c r="V53" s="254">
        <v>0</v>
      </c>
      <c r="W53" s="254">
        <v>0</v>
      </c>
      <c r="X53" s="254">
        <v>1.1000000000000001</v>
      </c>
      <c r="Y53" s="254">
        <v>1.65</v>
      </c>
      <c r="Z53" s="254">
        <v>2.8666666666666667</v>
      </c>
      <c r="AA53" s="254">
        <v>3.8684210526315788</v>
      </c>
      <c r="AB53" s="254">
        <v>3.9605263157894739</v>
      </c>
      <c r="AC53" s="254">
        <v>3.9</v>
      </c>
      <c r="AD53" s="254">
        <v>3.7</v>
      </c>
      <c r="AE53" s="254">
        <v>1.85</v>
      </c>
      <c r="AF53" s="254">
        <v>1.3</v>
      </c>
      <c r="AG53" s="254">
        <v>1.4</v>
      </c>
      <c r="AH53" s="254">
        <v>0.53333333333333333</v>
      </c>
      <c r="AI53" s="254">
        <v>1.6</v>
      </c>
      <c r="AJ53" s="254">
        <v>0.2</v>
      </c>
      <c r="AK53" s="254">
        <v>0.1</v>
      </c>
      <c r="AL53" s="254">
        <v>0.13333333333333333</v>
      </c>
      <c r="AM53" s="254">
        <v>9.2105263157894732E-2</v>
      </c>
      <c r="AN53" s="254">
        <v>0</v>
      </c>
      <c r="AO53" s="254">
        <v>0</v>
      </c>
      <c r="AP53" s="254">
        <v>0</v>
      </c>
      <c r="AQ53" s="254">
        <v>0</v>
      </c>
      <c r="AR53" s="254">
        <v>0</v>
      </c>
      <c r="AS53" s="254">
        <v>0</v>
      </c>
      <c r="AT53" s="254">
        <v>0</v>
      </c>
      <c r="AU53" s="254">
        <v>0</v>
      </c>
      <c r="AV53" s="254">
        <v>0</v>
      </c>
      <c r="AW53" s="254">
        <v>0</v>
      </c>
      <c r="AX53" s="254">
        <v>0</v>
      </c>
      <c r="AY53" s="254">
        <v>0</v>
      </c>
      <c r="AZ53" s="254">
        <v>0</v>
      </c>
      <c r="BA53" s="254">
        <v>0</v>
      </c>
      <c r="BB53" s="254">
        <v>0</v>
      </c>
      <c r="BC53" s="254">
        <v>0</v>
      </c>
      <c r="BD53" s="254">
        <v>0</v>
      </c>
      <c r="BE53" s="254">
        <v>0</v>
      </c>
      <c r="BF53" s="254">
        <v>0</v>
      </c>
      <c r="BG53" s="254">
        <v>0</v>
      </c>
      <c r="BH53" s="254">
        <v>0</v>
      </c>
      <c r="BI53" s="254">
        <v>0</v>
      </c>
      <c r="BJ53" s="254">
        <v>0</v>
      </c>
      <c r="BK53" s="254">
        <v>0</v>
      </c>
      <c r="BL53" s="254">
        <v>0</v>
      </c>
      <c r="BM53" s="254">
        <v>0</v>
      </c>
      <c r="BN53" s="254">
        <v>0</v>
      </c>
      <c r="BO53" s="254">
        <v>0</v>
      </c>
      <c r="BP53" s="254">
        <v>0</v>
      </c>
      <c r="BQ53" s="254">
        <v>0</v>
      </c>
      <c r="BR53" s="254">
        <v>0</v>
      </c>
      <c r="BS53" s="254">
        <v>0</v>
      </c>
      <c r="BT53" s="254">
        <v>0</v>
      </c>
      <c r="BU53" s="254">
        <v>0</v>
      </c>
      <c r="BV53" s="254">
        <v>0</v>
      </c>
      <c r="BW53" s="254">
        <v>0</v>
      </c>
      <c r="BX53" s="254">
        <v>0</v>
      </c>
      <c r="BY53" s="254">
        <v>0</v>
      </c>
      <c r="BZ53" s="254">
        <v>0</v>
      </c>
      <c r="CA53" s="254">
        <v>0</v>
      </c>
      <c r="CB53" s="254">
        <v>0</v>
      </c>
      <c r="CC53" s="254">
        <v>0</v>
      </c>
      <c r="CD53" s="254">
        <v>0</v>
      </c>
      <c r="CE53" s="254">
        <v>0</v>
      </c>
      <c r="CF53" s="254">
        <v>0</v>
      </c>
      <c r="CG53" s="254">
        <v>0</v>
      </c>
      <c r="CH53" s="254">
        <v>0</v>
      </c>
      <c r="CI53" s="254">
        <v>0</v>
      </c>
      <c r="CJ53" s="254">
        <v>0</v>
      </c>
      <c r="CK53" s="254">
        <v>0</v>
      </c>
      <c r="CL53" s="254">
        <v>0</v>
      </c>
      <c r="CM53" s="254">
        <v>0</v>
      </c>
      <c r="CN53" s="254">
        <v>0</v>
      </c>
      <c r="CO53" s="254">
        <v>0</v>
      </c>
      <c r="CP53" s="254">
        <v>0</v>
      </c>
      <c r="CQ53" s="116"/>
      <c r="CR53" s="255">
        <v>0</v>
      </c>
      <c r="CS53" s="255">
        <v>0</v>
      </c>
      <c r="CT53" s="255">
        <v>0</v>
      </c>
      <c r="CU53" s="255">
        <v>0</v>
      </c>
      <c r="CV53" s="255">
        <v>0</v>
      </c>
      <c r="CW53" s="255">
        <v>0</v>
      </c>
      <c r="CX53" s="255">
        <v>0</v>
      </c>
      <c r="CY53" s="255">
        <v>0</v>
      </c>
      <c r="CZ53" s="255">
        <v>0</v>
      </c>
      <c r="DA53" s="255">
        <v>0</v>
      </c>
      <c r="DB53" s="255">
        <v>0</v>
      </c>
      <c r="DC53" s="255">
        <v>0</v>
      </c>
      <c r="DD53" s="255">
        <v>0</v>
      </c>
      <c r="DE53" s="255">
        <v>40876.22</v>
      </c>
      <c r="DF53" s="255">
        <v>61314.33</v>
      </c>
      <c r="DG53" s="255">
        <v>79894.430000000008</v>
      </c>
      <c r="DH53" s="255">
        <v>156072.84</v>
      </c>
      <c r="DI53" s="255">
        <v>159788.86000000002</v>
      </c>
      <c r="DJ53" s="255">
        <v>149320.08000000002</v>
      </c>
      <c r="DK53" s="255">
        <v>141662.64000000001</v>
      </c>
      <c r="DL53" s="255">
        <v>70831.320000000007</v>
      </c>
      <c r="DM53" s="255">
        <v>49773.36</v>
      </c>
      <c r="DN53" s="255">
        <v>53602.080000000002</v>
      </c>
      <c r="DO53" s="255">
        <v>15314.880000000001</v>
      </c>
      <c r="DP53" s="255">
        <v>45944.639999999999</v>
      </c>
      <c r="DQ53" s="255">
        <v>7657.4400000000005</v>
      </c>
      <c r="DR53" s="255">
        <v>3828.7200000000003</v>
      </c>
      <c r="DS53" s="255">
        <v>3828.7200000000003</v>
      </c>
      <c r="DT53" s="255">
        <v>3828.7200000000003</v>
      </c>
      <c r="DU53" s="255">
        <v>0</v>
      </c>
      <c r="DV53" s="255">
        <v>0</v>
      </c>
      <c r="DW53" s="255">
        <v>0</v>
      </c>
      <c r="DX53" s="255">
        <v>0</v>
      </c>
      <c r="DY53" s="255">
        <v>0</v>
      </c>
      <c r="DZ53" s="255">
        <v>0</v>
      </c>
      <c r="EA53" s="255">
        <v>0</v>
      </c>
      <c r="EB53" s="255">
        <v>0</v>
      </c>
      <c r="EC53" s="255">
        <v>0</v>
      </c>
      <c r="ED53" s="255">
        <v>0</v>
      </c>
      <c r="EE53" s="255">
        <v>0</v>
      </c>
      <c r="EF53" s="255">
        <v>0</v>
      </c>
      <c r="EG53" s="255">
        <v>0</v>
      </c>
      <c r="EH53" s="255">
        <v>0</v>
      </c>
      <c r="EI53" s="255">
        <v>0</v>
      </c>
      <c r="EJ53" s="255">
        <v>0</v>
      </c>
      <c r="EK53" s="255">
        <v>0</v>
      </c>
      <c r="EL53" s="255">
        <v>0</v>
      </c>
      <c r="EM53" s="255">
        <v>0</v>
      </c>
      <c r="EN53" s="255">
        <v>0</v>
      </c>
      <c r="EO53" s="255">
        <v>0</v>
      </c>
      <c r="EP53" s="255">
        <v>0</v>
      </c>
      <c r="EQ53" s="255">
        <v>0</v>
      </c>
      <c r="ER53" s="255">
        <v>0</v>
      </c>
      <c r="ES53" s="255">
        <v>0</v>
      </c>
      <c r="ET53" s="255">
        <v>0</v>
      </c>
      <c r="EU53" s="255">
        <v>0</v>
      </c>
      <c r="EV53" s="255">
        <v>0</v>
      </c>
      <c r="EW53" s="255">
        <v>0</v>
      </c>
      <c r="EX53" s="255">
        <v>0</v>
      </c>
      <c r="EY53" s="255">
        <v>0</v>
      </c>
      <c r="EZ53" s="255">
        <v>0</v>
      </c>
      <c r="FA53" s="255">
        <v>0</v>
      </c>
      <c r="FB53" s="255">
        <v>0</v>
      </c>
      <c r="FC53" s="255">
        <v>0</v>
      </c>
      <c r="FD53" s="255">
        <v>0</v>
      </c>
      <c r="FE53" s="255">
        <v>0</v>
      </c>
      <c r="FF53" s="255">
        <v>0</v>
      </c>
      <c r="FG53" s="255">
        <v>0</v>
      </c>
      <c r="FH53" s="255">
        <v>0</v>
      </c>
      <c r="FI53" s="255">
        <v>0</v>
      </c>
      <c r="FJ53" s="255">
        <v>0</v>
      </c>
      <c r="FK53" s="255">
        <v>0</v>
      </c>
      <c r="FL53" s="255">
        <v>0</v>
      </c>
      <c r="FM53" s="255">
        <v>0</v>
      </c>
      <c r="FN53" s="255">
        <v>0</v>
      </c>
      <c r="FO53" s="255">
        <v>0</v>
      </c>
      <c r="FP53" s="255">
        <v>0</v>
      </c>
      <c r="FQ53" s="255">
        <v>0</v>
      </c>
      <c r="FR53" s="255">
        <v>0</v>
      </c>
      <c r="FS53" s="255">
        <v>0</v>
      </c>
      <c r="FT53" s="255">
        <v>0</v>
      </c>
      <c r="FU53" s="255">
        <v>0</v>
      </c>
      <c r="FV53" s="255">
        <v>0</v>
      </c>
      <c r="FW53" s="255">
        <v>0</v>
      </c>
      <c r="FX53" s="116"/>
    </row>
    <row r="54" spans="2:180" x14ac:dyDescent="0.2">
      <c r="B54" s="253" t="s">
        <v>218</v>
      </c>
      <c r="C54" s="286" t="s">
        <v>338</v>
      </c>
      <c r="D54" s="253" t="s">
        <v>85</v>
      </c>
      <c r="E54" s="253" t="s">
        <v>127</v>
      </c>
      <c r="F54" s="253">
        <v>0</v>
      </c>
      <c r="G54" s="253" t="s">
        <v>268</v>
      </c>
      <c r="H54" s="237">
        <v>0</v>
      </c>
      <c r="I54" s="126">
        <f t="shared" si="85"/>
        <v>104040</v>
      </c>
      <c r="J54" s="116"/>
      <c r="K54" s="254">
        <v>0</v>
      </c>
      <c r="L54" s="254">
        <v>0</v>
      </c>
      <c r="M54" s="254">
        <v>0</v>
      </c>
      <c r="N54" s="254">
        <v>0</v>
      </c>
      <c r="O54" s="254">
        <v>0</v>
      </c>
      <c r="P54" s="254">
        <v>0</v>
      </c>
      <c r="Q54" s="254">
        <v>0</v>
      </c>
      <c r="R54" s="254">
        <v>0</v>
      </c>
      <c r="S54" s="254">
        <v>0</v>
      </c>
      <c r="T54" s="254">
        <v>0</v>
      </c>
      <c r="U54" s="254">
        <v>0</v>
      </c>
      <c r="V54" s="254">
        <v>0</v>
      </c>
      <c r="W54" s="254">
        <v>0</v>
      </c>
      <c r="X54" s="254">
        <v>0</v>
      </c>
      <c r="Y54" s="254">
        <v>6.6666666666666666E-2</v>
      </c>
      <c r="Z54" s="254">
        <v>6.6666666666666666E-2</v>
      </c>
      <c r="AA54" s="254">
        <v>6.6666666666666666E-2</v>
      </c>
      <c r="AB54" s="254">
        <v>6.6666666666666666E-2</v>
      </c>
      <c r="AC54" s="254">
        <v>6.6666666666666666E-2</v>
      </c>
      <c r="AD54" s="254">
        <v>6.6666666666666666E-2</v>
      </c>
      <c r="AE54" s="254">
        <v>6.6666666666666666E-2</v>
      </c>
      <c r="AF54" s="254">
        <v>6.6666666666666666E-2</v>
      </c>
      <c r="AG54" s="254">
        <v>6.6666666666666666E-2</v>
      </c>
      <c r="AH54" s="254">
        <v>6.6666666666666666E-2</v>
      </c>
      <c r="AI54" s="254">
        <v>6.6666666666666666E-2</v>
      </c>
      <c r="AJ54" s="254">
        <v>6.6666666666666666E-2</v>
      </c>
      <c r="AK54" s="254">
        <v>6.6666666666666666E-2</v>
      </c>
      <c r="AL54" s="254">
        <v>6.6666666666666666E-2</v>
      </c>
      <c r="AM54" s="254">
        <v>6.6666666666666666E-2</v>
      </c>
      <c r="AN54" s="254">
        <v>0</v>
      </c>
      <c r="AO54" s="254">
        <v>0</v>
      </c>
      <c r="AP54" s="254">
        <v>0</v>
      </c>
      <c r="AQ54" s="254">
        <v>0</v>
      </c>
      <c r="AR54" s="254">
        <v>0</v>
      </c>
      <c r="AS54" s="254">
        <v>0</v>
      </c>
      <c r="AT54" s="254">
        <v>0</v>
      </c>
      <c r="AU54" s="254">
        <v>0</v>
      </c>
      <c r="AV54" s="254">
        <v>0</v>
      </c>
      <c r="AW54" s="254">
        <v>0</v>
      </c>
      <c r="AX54" s="254">
        <v>0</v>
      </c>
      <c r="AY54" s="254">
        <v>0</v>
      </c>
      <c r="AZ54" s="254">
        <v>0</v>
      </c>
      <c r="BA54" s="254">
        <v>0</v>
      </c>
      <c r="BB54" s="254">
        <v>0</v>
      </c>
      <c r="BC54" s="254">
        <v>0</v>
      </c>
      <c r="BD54" s="254">
        <v>0</v>
      </c>
      <c r="BE54" s="254">
        <v>0</v>
      </c>
      <c r="BF54" s="254">
        <v>0</v>
      </c>
      <c r="BG54" s="254">
        <v>0</v>
      </c>
      <c r="BH54" s="254">
        <v>0</v>
      </c>
      <c r="BI54" s="254">
        <v>0</v>
      </c>
      <c r="BJ54" s="254">
        <v>0</v>
      </c>
      <c r="BK54" s="254">
        <v>0</v>
      </c>
      <c r="BL54" s="254">
        <v>0</v>
      </c>
      <c r="BM54" s="254">
        <v>0</v>
      </c>
      <c r="BN54" s="254">
        <v>0</v>
      </c>
      <c r="BO54" s="254">
        <v>0</v>
      </c>
      <c r="BP54" s="254">
        <v>0</v>
      </c>
      <c r="BQ54" s="254">
        <v>0</v>
      </c>
      <c r="BR54" s="254">
        <v>0</v>
      </c>
      <c r="BS54" s="254">
        <v>0</v>
      </c>
      <c r="BT54" s="254">
        <v>0</v>
      </c>
      <c r="BU54" s="254">
        <v>0</v>
      </c>
      <c r="BV54" s="254">
        <v>0</v>
      </c>
      <c r="BW54" s="254">
        <v>0</v>
      </c>
      <c r="BX54" s="254">
        <v>0</v>
      </c>
      <c r="BY54" s="254">
        <v>0</v>
      </c>
      <c r="BZ54" s="254">
        <v>0</v>
      </c>
      <c r="CA54" s="254">
        <v>0</v>
      </c>
      <c r="CB54" s="254">
        <v>0</v>
      </c>
      <c r="CC54" s="254">
        <v>0</v>
      </c>
      <c r="CD54" s="254">
        <v>0</v>
      </c>
      <c r="CE54" s="254">
        <v>0</v>
      </c>
      <c r="CF54" s="254">
        <v>0</v>
      </c>
      <c r="CG54" s="254">
        <v>0</v>
      </c>
      <c r="CH54" s="254">
        <v>0</v>
      </c>
      <c r="CI54" s="254">
        <v>0</v>
      </c>
      <c r="CJ54" s="254">
        <v>0</v>
      </c>
      <c r="CK54" s="254">
        <v>0</v>
      </c>
      <c r="CL54" s="254">
        <v>0</v>
      </c>
      <c r="CM54" s="254">
        <v>0</v>
      </c>
      <c r="CN54" s="254">
        <v>0</v>
      </c>
      <c r="CO54" s="254">
        <v>0</v>
      </c>
      <c r="CP54" s="254">
        <v>0</v>
      </c>
      <c r="CQ54" s="116"/>
      <c r="CR54" s="255">
        <v>0</v>
      </c>
      <c r="CS54" s="255">
        <v>0</v>
      </c>
      <c r="CT54" s="255">
        <v>0</v>
      </c>
      <c r="CU54" s="255">
        <v>0</v>
      </c>
      <c r="CV54" s="255">
        <v>0</v>
      </c>
      <c r="CW54" s="255">
        <v>0</v>
      </c>
      <c r="CX54" s="255">
        <v>0</v>
      </c>
      <c r="CY54" s="255">
        <v>0</v>
      </c>
      <c r="CZ54" s="255">
        <v>0</v>
      </c>
      <c r="DA54" s="255">
        <v>0</v>
      </c>
      <c r="DB54" s="255">
        <v>0</v>
      </c>
      <c r="DC54" s="255">
        <v>0</v>
      </c>
      <c r="DD54" s="255">
        <v>0</v>
      </c>
      <c r="DE54" s="255">
        <v>0</v>
      </c>
      <c r="DF54" s="255">
        <v>6936</v>
      </c>
      <c r="DG54" s="255">
        <v>6936</v>
      </c>
      <c r="DH54" s="255">
        <v>6936</v>
      </c>
      <c r="DI54" s="255">
        <v>6936</v>
      </c>
      <c r="DJ54" s="255">
        <v>6936</v>
      </c>
      <c r="DK54" s="255">
        <v>6936</v>
      </c>
      <c r="DL54" s="255">
        <v>6936</v>
      </c>
      <c r="DM54" s="255">
        <v>6936</v>
      </c>
      <c r="DN54" s="255">
        <v>6936</v>
      </c>
      <c r="DO54" s="255">
        <v>6936</v>
      </c>
      <c r="DP54" s="255">
        <v>6936</v>
      </c>
      <c r="DQ54" s="255">
        <v>6936</v>
      </c>
      <c r="DR54" s="255">
        <v>6936</v>
      </c>
      <c r="DS54" s="255">
        <v>6936</v>
      </c>
      <c r="DT54" s="255">
        <v>6936</v>
      </c>
      <c r="DU54" s="255">
        <v>0</v>
      </c>
      <c r="DV54" s="255">
        <v>0</v>
      </c>
      <c r="DW54" s="255">
        <v>0</v>
      </c>
      <c r="DX54" s="255">
        <v>0</v>
      </c>
      <c r="DY54" s="255">
        <v>0</v>
      </c>
      <c r="DZ54" s="255">
        <v>0</v>
      </c>
      <c r="EA54" s="255">
        <v>0</v>
      </c>
      <c r="EB54" s="255">
        <v>0</v>
      </c>
      <c r="EC54" s="255">
        <v>0</v>
      </c>
      <c r="ED54" s="255">
        <v>0</v>
      </c>
      <c r="EE54" s="255">
        <v>0</v>
      </c>
      <c r="EF54" s="255">
        <v>0</v>
      </c>
      <c r="EG54" s="255">
        <v>0</v>
      </c>
      <c r="EH54" s="255">
        <v>0</v>
      </c>
      <c r="EI54" s="255">
        <v>0</v>
      </c>
      <c r="EJ54" s="255">
        <v>0</v>
      </c>
      <c r="EK54" s="255">
        <v>0</v>
      </c>
      <c r="EL54" s="255">
        <v>0</v>
      </c>
      <c r="EM54" s="255">
        <v>0</v>
      </c>
      <c r="EN54" s="255">
        <v>0</v>
      </c>
      <c r="EO54" s="255">
        <v>0</v>
      </c>
      <c r="EP54" s="255">
        <v>0</v>
      </c>
      <c r="EQ54" s="255">
        <v>0</v>
      </c>
      <c r="ER54" s="255">
        <v>0</v>
      </c>
      <c r="ES54" s="255">
        <v>0</v>
      </c>
      <c r="ET54" s="255">
        <v>0</v>
      </c>
      <c r="EU54" s="255">
        <v>0</v>
      </c>
      <c r="EV54" s="255">
        <v>0</v>
      </c>
      <c r="EW54" s="255">
        <v>0</v>
      </c>
      <c r="EX54" s="255">
        <v>0</v>
      </c>
      <c r="EY54" s="255">
        <v>0</v>
      </c>
      <c r="EZ54" s="255">
        <v>0</v>
      </c>
      <c r="FA54" s="255">
        <v>0</v>
      </c>
      <c r="FB54" s="255">
        <v>0</v>
      </c>
      <c r="FC54" s="255">
        <v>0</v>
      </c>
      <c r="FD54" s="255">
        <v>0</v>
      </c>
      <c r="FE54" s="255">
        <v>0</v>
      </c>
      <c r="FF54" s="255">
        <v>0</v>
      </c>
      <c r="FG54" s="255">
        <v>0</v>
      </c>
      <c r="FH54" s="255">
        <v>0</v>
      </c>
      <c r="FI54" s="255">
        <v>0</v>
      </c>
      <c r="FJ54" s="255">
        <v>0</v>
      </c>
      <c r="FK54" s="255">
        <v>0</v>
      </c>
      <c r="FL54" s="255">
        <v>0</v>
      </c>
      <c r="FM54" s="255">
        <v>0</v>
      </c>
      <c r="FN54" s="255">
        <v>0</v>
      </c>
      <c r="FO54" s="255">
        <v>0</v>
      </c>
      <c r="FP54" s="255">
        <v>0</v>
      </c>
      <c r="FQ54" s="255">
        <v>0</v>
      </c>
      <c r="FR54" s="255">
        <v>0</v>
      </c>
      <c r="FS54" s="255">
        <v>0</v>
      </c>
      <c r="FT54" s="255">
        <v>0</v>
      </c>
      <c r="FU54" s="255">
        <v>0</v>
      </c>
      <c r="FV54" s="255">
        <v>0</v>
      </c>
      <c r="FW54" s="255">
        <v>0</v>
      </c>
      <c r="FX54" s="116"/>
    </row>
    <row r="55" spans="2:180" x14ac:dyDescent="0.2">
      <c r="B55" s="253" t="s">
        <v>218</v>
      </c>
      <c r="C55" s="253" t="s">
        <v>288</v>
      </c>
      <c r="D55" s="253" t="s">
        <v>258</v>
      </c>
      <c r="E55" s="253" t="s">
        <v>127</v>
      </c>
      <c r="F55" s="253" t="s">
        <v>259</v>
      </c>
      <c r="G55" s="253" t="s">
        <v>260</v>
      </c>
      <c r="H55" s="237">
        <v>205.24</v>
      </c>
      <c r="I55" s="126">
        <f t="shared" si="85"/>
        <v>513147.61200000002</v>
      </c>
      <c r="J55" s="116"/>
      <c r="K55" s="254">
        <v>0</v>
      </c>
      <c r="L55" s="254">
        <v>0</v>
      </c>
      <c r="M55" s="254">
        <v>0</v>
      </c>
      <c r="N55" s="254">
        <v>0</v>
      </c>
      <c r="O55" s="254">
        <v>0</v>
      </c>
      <c r="P55" s="254">
        <v>0.3582894736842106</v>
      </c>
      <c r="Q55" s="254">
        <v>1.6653345369377348E-16</v>
      </c>
      <c r="R55" s="254">
        <v>0</v>
      </c>
      <c r="S55" s="254">
        <v>0.11114285714285708</v>
      </c>
      <c r="T55" s="254">
        <v>-7.4543545939117647E-17</v>
      </c>
      <c r="U55" s="254">
        <v>0.11114285714285711</v>
      </c>
      <c r="V55" s="254">
        <v>7.4095238095238256E-2</v>
      </c>
      <c r="W55" s="254">
        <v>0.22228571428571423</v>
      </c>
      <c r="X55" s="254">
        <v>0.2</v>
      </c>
      <c r="Y55" s="254">
        <v>1.65</v>
      </c>
      <c r="Z55" s="254">
        <v>2.2000000000000002</v>
      </c>
      <c r="AA55" s="254">
        <v>1.9342105263157894</v>
      </c>
      <c r="AB55" s="254">
        <v>2.0263157894736841</v>
      </c>
      <c r="AC55" s="254">
        <v>1.1499999999999999</v>
      </c>
      <c r="AD55" s="254">
        <v>1.05</v>
      </c>
      <c r="AE55" s="254">
        <v>1.1499999999999999</v>
      </c>
      <c r="AF55" s="254">
        <v>0.8</v>
      </c>
      <c r="AG55" s="254">
        <v>0.8</v>
      </c>
      <c r="AH55" s="254">
        <v>1.0666666666666667</v>
      </c>
      <c r="AI55" s="254">
        <v>2.8</v>
      </c>
      <c r="AJ55" s="254">
        <v>0.4</v>
      </c>
      <c r="AK55" s="254">
        <v>0.4</v>
      </c>
      <c r="AL55" s="254">
        <v>0.26666666666666666</v>
      </c>
      <c r="AM55" s="254">
        <v>0.18421052631578946</v>
      </c>
      <c r="AN55" s="254">
        <v>0.18421052631578946</v>
      </c>
      <c r="AO55" s="254">
        <v>0</v>
      </c>
      <c r="AP55" s="254">
        <v>0</v>
      </c>
      <c r="AQ55" s="254">
        <v>0</v>
      </c>
      <c r="AR55" s="254">
        <v>0</v>
      </c>
      <c r="AS55" s="254">
        <v>0</v>
      </c>
      <c r="AT55" s="254">
        <v>0</v>
      </c>
      <c r="AU55" s="254">
        <v>0</v>
      </c>
      <c r="AV55" s="254">
        <v>0</v>
      </c>
      <c r="AW55" s="254">
        <v>0</v>
      </c>
      <c r="AX55" s="254">
        <v>0</v>
      </c>
      <c r="AY55" s="254">
        <v>0</v>
      </c>
      <c r="AZ55" s="254">
        <v>0</v>
      </c>
      <c r="BA55" s="254">
        <v>0</v>
      </c>
      <c r="BB55" s="254">
        <v>0</v>
      </c>
      <c r="BC55" s="254">
        <v>0</v>
      </c>
      <c r="BD55" s="254">
        <v>0</v>
      </c>
      <c r="BE55" s="254">
        <v>0</v>
      </c>
      <c r="BF55" s="254">
        <v>0</v>
      </c>
      <c r="BG55" s="254">
        <v>0</v>
      </c>
      <c r="BH55" s="254">
        <v>0</v>
      </c>
      <c r="BI55" s="254">
        <v>0</v>
      </c>
      <c r="BJ55" s="254">
        <v>0</v>
      </c>
      <c r="BK55" s="254">
        <v>0</v>
      </c>
      <c r="BL55" s="254">
        <v>0</v>
      </c>
      <c r="BM55" s="254">
        <v>0</v>
      </c>
      <c r="BN55" s="254">
        <v>0</v>
      </c>
      <c r="BO55" s="254">
        <v>0</v>
      </c>
      <c r="BP55" s="254">
        <v>0</v>
      </c>
      <c r="BQ55" s="254">
        <v>0</v>
      </c>
      <c r="BR55" s="254">
        <v>0</v>
      </c>
      <c r="BS55" s="254">
        <v>0</v>
      </c>
      <c r="BT55" s="254">
        <v>0</v>
      </c>
      <c r="BU55" s="254">
        <v>0</v>
      </c>
      <c r="BV55" s="254">
        <v>0</v>
      </c>
      <c r="BW55" s="254">
        <v>0</v>
      </c>
      <c r="BX55" s="254">
        <v>0</v>
      </c>
      <c r="BY55" s="254">
        <v>0</v>
      </c>
      <c r="BZ55" s="254">
        <v>0</v>
      </c>
      <c r="CA55" s="254">
        <v>0</v>
      </c>
      <c r="CB55" s="254">
        <v>0</v>
      </c>
      <c r="CC55" s="254">
        <v>0</v>
      </c>
      <c r="CD55" s="254">
        <v>0</v>
      </c>
      <c r="CE55" s="254">
        <v>0</v>
      </c>
      <c r="CF55" s="254">
        <v>0</v>
      </c>
      <c r="CG55" s="254">
        <v>0</v>
      </c>
      <c r="CH55" s="254">
        <v>0</v>
      </c>
      <c r="CI55" s="254">
        <v>0</v>
      </c>
      <c r="CJ55" s="254">
        <v>0</v>
      </c>
      <c r="CK55" s="254">
        <v>0</v>
      </c>
      <c r="CL55" s="254">
        <v>0</v>
      </c>
      <c r="CM55" s="254">
        <v>0</v>
      </c>
      <c r="CN55" s="254">
        <v>0</v>
      </c>
      <c r="CO55" s="254">
        <v>0</v>
      </c>
      <c r="CP55" s="254">
        <v>0</v>
      </c>
      <c r="CQ55" s="116"/>
      <c r="CR55" s="255">
        <v>0</v>
      </c>
      <c r="CS55" s="255">
        <v>0</v>
      </c>
      <c r="CT55" s="255">
        <v>0</v>
      </c>
      <c r="CU55" s="255">
        <v>0</v>
      </c>
      <c r="CV55" s="255">
        <v>0</v>
      </c>
      <c r="CW55" s="255">
        <v>10443.811999999998</v>
      </c>
      <c r="CX55" s="255">
        <v>-1.4210854715202004E-13</v>
      </c>
      <c r="CY55" s="255">
        <v>0</v>
      </c>
      <c r="CZ55" s="255">
        <v>3048.3400000000011</v>
      </c>
      <c r="DA55" s="255">
        <v>8.5265128291212022E-14</v>
      </c>
      <c r="DB55" s="255">
        <v>3048.3399999999992</v>
      </c>
      <c r="DC55" s="255">
        <v>1524.1700000000014</v>
      </c>
      <c r="DD55" s="255">
        <v>4572.5099999999993</v>
      </c>
      <c r="DE55" s="255">
        <v>5485.48</v>
      </c>
      <c r="DF55" s="255">
        <v>47410.44</v>
      </c>
      <c r="DG55" s="255">
        <v>47410.44</v>
      </c>
      <c r="DH55" s="255">
        <v>60340.560000000005</v>
      </c>
      <c r="DI55" s="255">
        <v>63213.920000000006</v>
      </c>
      <c r="DJ55" s="255">
        <v>33043.64</v>
      </c>
      <c r="DK55" s="255">
        <v>30170.280000000002</v>
      </c>
      <c r="DL55" s="255">
        <v>33043.64</v>
      </c>
      <c r="DM55" s="255">
        <v>22986.880000000001</v>
      </c>
      <c r="DN55" s="255">
        <v>22986.880000000001</v>
      </c>
      <c r="DO55" s="255">
        <v>22986.880000000001</v>
      </c>
      <c r="DP55" s="255">
        <v>60340.560000000005</v>
      </c>
      <c r="DQ55" s="255">
        <v>11493.44</v>
      </c>
      <c r="DR55" s="255">
        <v>11838.96</v>
      </c>
      <c r="DS55" s="255">
        <v>5919.48</v>
      </c>
      <c r="DT55" s="255">
        <v>5919.48</v>
      </c>
      <c r="DU55" s="255">
        <v>5919.48</v>
      </c>
      <c r="DV55" s="255">
        <v>0</v>
      </c>
      <c r="DW55" s="255">
        <v>0</v>
      </c>
      <c r="DX55" s="255">
        <v>0</v>
      </c>
      <c r="DY55" s="255">
        <v>0</v>
      </c>
      <c r="DZ55" s="255">
        <v>0</v>
      </c>
      <c r="EA55" s="255">
        <v>0</v>
      </c>
      <c r="EB55" s="255">
        <v>0</v>
      </c>
      <c r="EC55" s="255">
        <v>0</v>
      </c>
      <c r="ED55" s="255">
        <v>0</v>
      </c>
      <c r="EE55" s="255">
        <v>0</v>
      </c>
      <c r="EF55" s="255">
        <v>0</v>
      </c>
      <c r="EG55" s="255">
        <v>0</v>
      </c>
      <c r="EH55" s="255">
        <v>0</v>
      </c>
      <c r="EI55" s="255">
        <v>0</v>
      </c>
      <c r="EJ55" s="255">
        <v>0</v>
      </c>
      <c r="EK55" s="255">
        <v>0</v>
      </c>
      <c r="EL55" s="255">
        <v>0</v>
      </c>
      <c r="EM55" s="255">
        <v>0</v>
      </c>
      <c r="EN55" s="255">
        <v>0</v>
      </c>
      <c r="EO55" s="255">
        <v>0</v>
      </c>
      <c r="EP55" s="255">
        <v>0</v>
      </c>
      <c r="EQ55" s="255">
        <v>0</v>
      </c>
      <c r="ER55" s="255">
        <v>0</v>
      </c>
      <c r="ES55" s="255">
        <v>0</v>
      </c>
      <c r="ET55" s="255">
        <v>0</v>
      </c>
      <c r="EU55" s="255">
        <v>0</v>
      </c>
      <c r="EV55" s="255">
        <v>0</v>
      </c>
      <c r="EW55" s="255">
        <v>0</v>
      </c>
      <c r="EX55" s="255">
        <v>0</v>
      </c>
      <c r="EY55" s="255">
        <v>0</v>
      </c>
      <c r="EZ55" s="255">
        <v>0</v>
      </c>
      <c r="FA55" s="255">
        <v>0</v>
      </c>
      <c r="FB55" s="255">
        <v>0</v>
      </c>
      <c r="FC55" s="255">
        <v>0</v>
      </c>
      <c r="FD55" s="255">
        <v>0</v>
      </c>
      <c r="FE55" s="255">
        <v>0</v>
      </c>
      <c r="FF55" s="255">
        <v>0</v>
      </c>
      <c r="FG55" s="255">
        <v>0</v>
      </c>
      <c r="FH55" s="255">
        <v>0</v>
      </c>
      <c r="FI55" s="255">
        <v>0</v>
      </c>
      <c r="FJ55" s="255">
        <v>0</v>
      </c>
      <c r="FK55" s="255">
        <v>0</v>
      </c>
      <c r="FL55" s="255">
        <v>0</v>
      </c>
      <c r="FM55" s="255">
        <v>0</v>
      </c>
      <c r="FN55" s="255">
        <v>0</v>
      </c>
      <c r="FO55" s="255">
        <v>0</v>
      </c>
      <c r="FP55" s="255">
        <v>0</v>
      </c>
      <c r="FQ55" s="255">
        <v>0</v>
      </c>
      <c r="FR55" s="255">
        <v>0</v>
      </c>
      <c r="FS55" s="255">
        <v>0</v>
      </c>
      <c r="FT55" s="255">
        <v>0</v>
      </c>
      <c r="FU55" s="255">
        <v>0</v>
      </c>
      <c r="FV55" s="255">
        <v>0</v>
      </c>
      <c r="FW55" s="255">
        <v>0</v>
      </c>
      <c r="FX55" s="116"/>
    </row>
    <row r="56" spans="2:180" x14ac:dyDescent="0.2">
      <c r="B56" s="253" t="s">
        <v>218</v>
      </c>
      <c r="C56" s="253" t="s">
        <v>289</v>
      </c>
      <c r="D56" s="253" t="s">
        <v>258</v>
      </c>
      <c r="E56" s="253" t="s">
        <v>127</v>
      </c>
      <c r="F56" s="253" t="s">
        <v>259</v>
      </c>
      <c r="G56" s="253" t="s">
        <v>260</v>
      </c>
      <c r="H56" s="237">
        <v>212.32</v>
      </c>
      <c r="I56" s="126">
        <f t="shared" si="85"/>
        <v>89174.400000000009</v>
      </c>
      <c r="J56" s="116"/>
      <c r="K56" s="254">
        <v>0</v>
      </c>
      <c r="L56" s="254">
        <v>0</v>
      </c>
      <c r="M56" s="254">
        <v>0</v>
      </c>
      <c r="N56" s="254">
        <v>0</v>
      </c>
      <c r="O56" s="254">
        <v>0</v>
      </c>
      <c r="P56" s="254">
        <v>0</v>
      </c>
      <c r="Q56" s="254">
        <v>0</v>
      </c>
      <c r="R56" s="254">
        <v>0</v>
      </c>
      <c r="S56" s="254">
        <v>0</v>
      </c>
      <c r="T56" s="254">
        <v>0</v>
      </c>
      <c r="U56" s="254">
        <v>0</v>
      </c>
      <c r="V56" s="254">
        <v>0</v>
      </c>
      <c r="W56" s="254">
        <v>0</v>
      </c>
      <c r="X56" s="254">
        <v>0</v>
      </c>
      <c r="Y56" s="254">
        <v>0</v>
      </c>
      <c r="Z56" s="254">
        <v>0.33333333333333331</v>
      </c>
      <c r="AA56" s="254">
        <v>0.23026315789473684</v>
      </c>
      <c r="AB56" s="254">
        <v>0.23026315789473684</v>
      </c>
      <c r="AC56" s="254">
        <v>0.25</v>
      </c>
      <c r="AD56" s="254">
        <v>0.45</v>
      </c>
      <c r="AE56" s="254">
        <v>0.45</v>
      </c>
      <c r="AF56" s="254">
        <v>0.45</v>
      </c>
      <c r="AG56" s="254">
        <v>0.45</v>
      </c>
      <c r="AH56" s="254">
        <v>0.26666666666666666</v>
      </c>
      <c r="AI56" s="254">
        <v>0</v>
      </c>
      <c r="AJ56" s="254">
        <v>0</v>
      </c>
      <c r="AK56" s="254">
        <v>0</v>
      </c>
      <c r="AL56" s="254">
        <v>0</v>
      </c>
      <c r="AM56" s="254">
        <v>0</v>
      </c>
      <c r="AN56" s="254">
        <v>0</v>
      </c>
      <c r="AO56" s="254">
        <v>0</v>
      </c>
      <c r="AP56" s="254">
        <v>0</v>
      </c>
      <c r="AQ56" s="254">
        <v>0</v>
      </c>
      <c r="AR56" s="254">
        <v>0</v>
      </c>
      <c r="AS56" s="254">
        <v>0</v>
      </c>
      <c r="AT56" s="254">
        <v>0</v>
      </c>
      <c r="AU56" s="254">
        <v>0</v>
      </c>
      <c r="AV56" s="254">
        <v>0</v>
      </c>
      <c r="AW56" s="254">
        <v>0</v>
      </c>
      <c r="AX56" s="254">
        <v>0</v>
      </c>
      <c r="AY56" s="254">
        <v>0</v>
      </c>
      <c r="AZ56" s="254">
        <v>0</v>
      </c>
      <c r="BA56" s="254">
        <v>0</v>
      </c>
      <c r="BB56" s="254">
        <v>0</v>
      </c>
      <c r="BC56" s="254">
        <v>0</v>
      </c>
      <c r="BD56" s="254">
        <v>0</v>
      </c>
      <c r="BE56" s="254">
        <v>0</v>
      </c>
      <c r="BF56" s="254">
        <v>0</v>
      </c>
      <c r="BG56" s="254">
        <v>0</v>
      </c>
      <c r="BH56" s="254">
        <v>0</v>
      </c>
      <c r="BI56" s="254">
        <v>0</v>
      </c>
      <c r="BJ56" s="254">
        <v>0</v>
      </c>
      <c r="BK56" s="254">
        <v>0</v>
      </c>
      <c r="BL56" s="254">
        <v>0</v>
      </c>
      <c r="BM56" s="254">
        <v>0</v>
      </c>
      <c r="BN56" s="254">
        <v>0</v>
      </c>
      <c r="BO56" s="254">
        <v>0</v>
      </c>
      <c r="BP56" s="254">
        <v>0</v>
      </c>
      <c r="BQ56" s="254">
        <v>0</v>
      </c>
      <c r="BR56" s="254">
        <v>0</v>
      </c>
      <c r="BS56" s="254">
        <v>0</v>
      </c>
      <c r="BT56" s="254">
        <v>0</v>
      </c>
      <c r="BU56" s="254">
        <v>0</v>
      </c>
      <c r="BV56" s="254">
        <v>0</v>
      </c>
      <c r="BW56" s="254">
        <v>0</v>
      </c>
      <c r="BX56" s="254">
        <v>0</v>
      </c>
      <c r="BY56" s="254">
        <v>0</v>
      </c>
      <c r="BZ56" s="254">
        <v>0</v>
      </c>
      <c r="CA56" s="254">
        <v>0</v>
      </c>
      <c r="CB56" s="254">
        <v>0</v>
      </c>
      <c r="CC56" s="254">
        <v>0</v>
      </c>
      <c r="CD56" s="254">
        <v>0</v>
      </c>
      <c r="CE56" s="254">
        <v>0</v>
      </c>
      <c r="CF56" s="254">
        <v>0</v>
      </c>
      <c r="CG56" s="254">
        <v>0</v>
      </c>
      <c r="CH56" s="254">
        <v>0</v>
      </c>
      <c r="CI56" s="254">
        <v>0</v>
      </c>
      <c r="CJ56" s="254">
        <v>0</v>
      </c>
      <c r="CK56" s="254">
        <v>0</v>
      </c>
      <c r="CL56" s="254">
        <v>0</v>
      </c>
      <c r="CM56" s="254">
        <v>0</v>
      </c>
      <c r="CN56" s="254">
        <v>0</v>
      </c>
      <c r="CO56" s="254">
        <v>0</v>
      </c>
      <c r="CP56" s="254">
        <v>0</v>
      </c>
      <c r="CQ56" s="116"/>
      <c r="CR56" s="255">
        <v>0</v>
      </c>
      <c r="CS56" s="255">
        <v>0</v>
      </c>
      <c r="CT56" s="255">
        <v>0</v>
      </c>
      <c r="CU56" s="255">
        <v>0</v>
      </c>
      <c r="CV56" s="255">
        <v>0</v>
      </c>
      <c r="CW56" s="255">
        <v>0</v>
      </c>
      <c r="CX56" s="255">
        <v>0</v>
      </c>
      <c r="CY56" s="255">
        <v>0</v>
      </c>
      <c r="CZ56" s="255">
        <v>0</v>
      </c>
      <c r="DA56" s="255">
        <v>0</v>
      </c>
      <c r="DB56" s="255">
        <v>0</v>
      </c>
      <c r="DC56" s="255">
        <v>0</v>
      </c>
      <c r="DD56" s="255">
        <v>0</v>
      </c>
      <c r="DE56" s="255">
        <v>0</v>
      </c>
      <c r="DF56" s="255">
        <v>0</v>
      </c>
      <c r="DG56" s="255">
        <v>7431.2</v>
      </c>
      <c r="DH56" s="255">
        <v>7431.2</v>
      </c>
      <c r="DI56" s="255">
        <v>7431.2</v>
      </c>
      <c r="DJ56" s="255">
        <v>7431.2</v>
      </c>
      <c r="DK56" s="255">
        <v>13376.16</v>
      </c>
      <c r="DL56" s="255">
        <v>13376.16</v>
      </c>
      <c r="DM56" s="255">
        <v>13376.16</v>
      </c>
      <c r="DN56" s="255">
        <v>13376.16</v>
      </c>
      <c r="DO56" s="255">
        <v>5944.96</v>
      </c>
      <c r="DP56" s="255">
        <v>0</v>
      </c>
      <c r="DQ56" s="255">
        <v>0</v>
      </c>
      <c r="DR56" s="255">
        <v>0</v>
      </c>
      <c r="DS56" s="255">
        <v>0</v>
      </c>
      <c r="DT56" s="255">
        <v>0</v>
      </c>
      <c r="DU56" s="255">
        <v>0</v>
      </c>
      <c r="DV56" s="255">
        <v>0</v>
      </c>
      <c r="DW56" s="255">
        <v>0</v>
      </c>
      <c r="DX56" s="255">
        <v>0</v>
      </c>
      <c r="DY56" s="255">
        <v>0</v>
      </c>
      <c r="DZ56" s="255">
        <v>0</v>
      </c>
      <c r="EA56" s="255">
        <v>0</v>
      </c>
      <c r="EB56" s="255">
        <v>0</v>
      </c>
      <c r="EC56" s="255">
        <v>0</v>
      </c>
      <c r="ED56" s="255">
        <v>0</v>
      </c>
      <c r="EE56" s="255">
        <v>0</v>
      </c>
      <c r="EF56" s="255">
        <v>0</v>
      </c>
      <c r="EG56" s="255">
        <v>0</v>
      </c>
      <c r="EH56" s="255">
        <v>0</v>
      </c>
      <c r="EI56" s="255">
        <v>0</v>
      </c>
      <c r="EJ56" s="255">
        <v>0</v>
      </c>
      <c r="EK56" s="255">
        <v>0</v>
      </c>
      <c r="EL56" s="255">
        <v>0</v>
      </c>
      <c r="EM56" s="255">
        <v>0</v>
      </c>
      <c r="EN56" s="255">
        <v>0</v>
      </c>
      <c r="EO56" s="255">
        <v>0</v>
      </c>
      <c r="EP56" s="255">
        <v>0</v>
      </c>
      <c r="EQ56" s="255">
        <v>0</v>
      </c>
      <c r="ER56" s="255">
        <v>0</v>
      </c>
      <c r="ES56" s="255">
        <v>0</v>
      </c>
      <c r="ET56" s="255">
        <v>0</v>
      </c>
      <c r="EU56" s="255">
        <v>0</v>
      </c>
      <c r="EV56" s="255">
        <v>0</v>
      </c>
      <c r="EW56" s="255">
        <v>0</v>
      </c>
      <c r="EX56" s="255">
        <v>0</v>
      </c>
      <c r="EY56" s="255">
        <v>0</v>
      </c>
      <c r="EZ56" s="255">
        <v>0</v>
      </c>
      <c r="FA56" s="255">
        <v>0</v>
      </c>
      <c r="FB56" s="255">
        <v>0</v>
      </c>
      <c r="FC56" s="255">
        <v>0</v>
      </c>
      <c r="FD56" s="255">
        <v>0</v>
      </c>
      <c r="FE56" s="255">
        <v>0</v>
      </c>
      <c r="FF56" s="255">
        <v>0</v>
      </c>
      <c r="FG56" s="255">
        <v>0</v>
      </c>
      <c r="FH56" s="255">
        <v>0</v>
      </c>
      <c r="FI56" s="255">
        <v>0</v>
      </c>
      <c r="FJ56" s="255">
        <v>0</v>
      </c>
      <c r="FK56" s="255">
        <v>0</v>
      </c>
      <c r="FL56" s="255">
        <v>0</v>
      </c>
      <c r="FM56" s="255">
        <v>0</v>
      </c>
      <c r="FN56" s="255">
        <v>0</v>
      </c>
      <c r="FO56" s="255">
        <v>0</v>
      </c>
      <c r="FP56" s="255">
        <v>0</v>
      </c>
      <c r="FQ56" s="255">
        <v>0</v>
      </c>
      <c r="FR56" s="255">
        <v>0</v>
      </c>
      <c r="FS56" s="255">
        <v>0</v>
      </c>
      <c r="FT56" s="255">
        <v>0</v>
      </c>
      <c r="FU56" s="255">
        <v>0</v>
      </c>
      <c r="FV56" s="255">
        <v>0</v>
      </c>
      <c r="FW56" s="255">
        <v>0</v>
      </c>
      <c r="FX56" s="116"/>
    </row>
    <row r="57" spans="2:180" x14ac:dyDescent="0.2">
      <c r="B57" s="253" t="s">
        <v>218</v>
      </c>
      <c r="C57" s="253" t="s">
        <v>290</v>
      </c>
      <c r="D57" s="253" t="s">
        <v>258</v>
      </c>
      <c r="E57" s="253" t="s">
        <v>127</v>
      </c>
      <c r="F57" s="253" t="s">
        <v>259</v>
      </c>
      <c r="G57" s="253" t="s">
        <v>260</v>
      </c>
      <c r="H57" s="237">
        <v>190.85</v>
      </c>
      <c r="I57" s="126">
        <f t="shared" si="85"/>
        <v>625097.83000000007</v>
      </c>
      <c r="J57" s="116"/>
      <c r="K57" s="254">
        <v>0</v>
      </c>
      <c r="L57" s="254">
        <v>0</v>
      </c>
      <c r="M57" s="254">
        <v>0</v>
      </c>
      <c r="N57" s="254">
        <v>0</v>
      </c>
      <c r="O57" s="254">
        <v>0</v>
      </c>
      <c r="P57" s="254">
        <v>0</v>
      </c>
      <c r="Q57" s="254">
        <v>0.25</v>
      </c>
      <c r="R57" s="254">
        <v>0.22857142857142856</v>
      </c>
      <c r="S57" s="254">
        <v>0</v>
      </c>
      <c r="T57" s="254">
        <v>0.2</v>
      </c>
      <c r="U57" s="254">
        <v>0.05</v>
      </c>
      <c r="V57" s="254">
        <v>0.13333333333333333</v>
      </c>
      <c r="W57" s="254">
        <v>6.6666666666666666E-2</v>
      </c>
      <c r="X57" s="254">
        <v>1</v>
      </c>
      <c r="Y57" s="254">
        <v>0.55000000000000004</v>
      </c>
      <c r="Z57" s="254">
        <v>0.6</v>
      </c>
      <c r="AA57" s="254">
        <v>1.1973684210526316</v>
      </c>
      <c r="AB57" s="254">
        <v>2.0263157894736841</v>
      </c>
      <c r="AC57" s="254">
        <v>2.7</v>
      </c>
      <c r="AD57" s="254">
        <v>2.2999999999999998</v>
      </c>
      <c r="AE57" s="254">
        <v>2.4</v>
      </c>
      <c r="AF57" s="254">
        <v>2.4</v>
      </c>
      <c r="AG57" s="254">
        <v>1.3</v>
      </c>
      <c r="AH57" s="254">
        <v>0.26666666666666666</v>
      </c>
      <c r="AI57" s="254">
        <v>1.6</v>
      </c>
      <c r="AJ57" s="254">
        <v>1.2</v>
      </c>
      <c r="AK57" s="254">
        <v>0.2</v>
      </c>
      <c r="AL57" s="254">
        <v>0.6</v>
      </c>
      <c r="AM57" s="254">
        <v>0.41447368421052633</v>
      </c>
      <c r="AN57" s="254">
        <v>0.41447368421052633</v>
      </c>
      <c r="AO57" s="254">
        <v>0.45</v>
      </c>
      <c r="AP57" s="254">
        <v>0.25</v>
      </c>
      <c r="AQ57" s="254">
        <v>0.25</v>
      </c>
      <c r="AR57" s="254">
        <v>0.25</v>
      </c>
      <c r="AS57" s="254">
        <v>0</v>
      </c>
      <c r="AT57" s="254">
        <v>0</v>
      </c>
      <c r="AU57" s="254">
        <v>0</v>
      </c>
      <c r="AV57" s="254">
        <v>0</v>
      </c>
      <c r="AW57" s="254">
        <v>0</v>
      </c>
      <c r="AX57" s="254">
        <v>0</v>
      </c>
      <c r="AY57" s="254">
        <v>0</v>
      </c>
      <c r="AZ57" s="254">
        <v>0</v>
      </c>
      <c r="BA57" s="254">
        <v>0</v>
      </c>
      <c r="BB57" s="254">
        <v>0</v>
      </c>
      <c r="BC57" s="254">
        <v>0</v>
      </c>
      <c r="BD57" s="254">
        <v>0</v>
      </c>
      <c r="BE57" s="254">
        <v>0</v>
      </c>
      <c r="BF57" s="254">
        <v>0</v>
      </c>
      <c r="BG57" s="254">
        <v>0</v>
      </c>
      <c r="BH57" s="254">
        <v>0</v>
      </c>
      <c r="BI57" s="254">
        <v>0</v>
      </c>
      <c r="BJ57" s="254">
        <v>0</v>
      </c>
      <c r="BK57" s="254">
        <v>0</v>
      </c>
      <c r="BL57" s="254">
        <v>0</v>
      </c>
      <c r="BM57" s="254">
        <v>0</v>
      </c>
      <c r="BN57" s="254">
        <v>0</v>
      </c>
      <c r="BO57" s="254">
        <v>0</v>
      </c>
      <c r="BP57" s="254">
        <v>0</v>
      </c>
      <c r="BQ57" s="254">
        <v>0</v>
      </c>
      <c r="BR57" s="254">
        <v>0</v>
      </c>
      <c r="BS57" s="254">
        <v>0</v>
      </c>
      <c r="BT57" s="254">
        <v>0</v>
      </c>
      <c r="BU57" s="254">
        <v>0</v>
      </c>
      <c r="BV57" s="254">
        <v>0</v>
      </c>
      <c r="BW57" s="254">
        <v>0</v>
      </c>
      <c r="BX57" s="254">
        <v>0</v>
      </c>
      <c r="BY57" s="254">
        <v>0</v>
      </c>
      <c r="BZ57" s="254">
        <v>0</v>
      </c>
      <c r="CA57" s="254">
        <v>0</v>
      </c>
      <c r="CB57" s="254">
        <v>0</v>
      </c>
      <c r="CC57" s="254">
        <v>0</v>
      </c>
      <c r="CD57" s="254">
        <v>0</v>
      </c>
      <c r="CE57" s="254">
        <v>0</v>
      </c>
      <c r="CF57" s="254">
        <v>0</v>
      </c>
      <c r="CG57" s="254">
        <v>0</v>
      </c>
      <c r="CH57" s="254">
        <v>0</v>
      </c>
      <c r="CI57" s="254">
        <v>0</v>
      </c>
      <c r="CJ57" s="254">
        <v>0</v>
      </c>
      <c r="CK57" s="254">
        <v>0</v>
      </c>
      <c r="CL57" s="254">
        <v>0</v>
      </c>
      <c r="CM57" s="254">
        <v>0</v>
      </c>
      <c r="CN57" s="254">
        <v>0</v>
      </c>
      <c r="CO57" s="254">
        <v>0</v>
      </c>
      <c r="CP57" s="254">
        <v>0</v>
      </c>
      <c r="CQ57" s="116"/>
      <c r="CR57" s="255">
        <v>0</v>
      </c>
      <c r="CS57" s="255">
        <v>0</v>
      </c>
      <c r="CT57" s="255">
        <v>0</v>
      </c>
      <c r="CU57" s="255">
        <v>0</v>
      </c>
      <c r="CV57" s="255">
        <v>0</v>
      </c>
      <c r="CW57" s="255">
        <v>0</v>
      </c>
      <c r="CX57" s="255">
        <v>10511.900000000001</v>
      </c>
      <c r="CY57" s="255">
        <v>8281.76</v>
      </c>
      <c r="CZ57" s="255">
        <v>1329.1200000000003</v>
      </c>
      <c r="DA57" s="255">
        <v>8409.52</v>
      </c>
      <c r="DB57" s="255">
        <v>2265.3000000000002</v>
      </c>
      <c r="DC57" s="255">
        <v>4530.5999999999995</v>
      </c>
      <c r="DD57" s="255">
        <v>2265.3000000000002</v>
      </c>
      <c r="DE57" s="255">
        <v>25513.600000000002</v>
      </c>
      <c r="DF57" s="255">
        <v>14696.220000000001</v>
      </c>
      <c r="DG57" s="255">
        <v>12024.18</v>
      </c>
      <c r="DH57" s="255">
        <v>34736.520000000004</v>
      </c>
      <c r="DI57" s="255">
        <v>58784.880000000005</v>
      </c>
      <c r="DJ57" s="255">
        <v>72145.08</v>
      </c>
      <c r="DK57" s="255">
        <v>61456.920000000006</v>
      </c>
      <c r="DL57" s="255">
        <v>64128.960000000006</v>
      </c>
      <c r="DM57" s="255">
        <v>64128.960000000006</v>
      </c>
      <c r="DN57" s="255">
        <v>34736.520000000004</v>
      </c>
      <c r="DO57" s="255">
        <v>5344.08</v>
      </c>
      <c r="DP57" s="255">
        <v>32064.480000000003</v>
      </c>
      <c r="DQ57" s="255">
        <v>32064.480000000003</v>
      </c>
      <c r="DR57" s="255">
        <v>5503.96</v>
      </c>
      <c r="DS57" s="255">
        <v>12383.91</v>
      </c>
      <c r="DT57" s="255">
        <v>12383.91</v>
      </c>
      <c r="DU57" s="255">
        <v>12383.91</v>
      </c>
      <c r="DV57" s="255">
        <v>12383.91</v>
      </c>
      <c r="DW57" s="255">
        <v>6879.95</v>
      </c>
      <c r="DX57" s="255">
        <v>6879.95</v>
      </c>
      <c r="DY57" s="255">
        <v>6879.95</v>
      </c>
      <c r="DZ57" s="255">
        <v>0</v>
      </c>
      <c r="EA57" s="255">
        <v>0</v>
      </c>
      <c r="EB57" s="255">
        <v>0</v>
      </c>
      <c r="EC57" s="255">
        <v>0</v>
      </c>
      <c r="ED57" s="255">
        <v>0</v>
      </c>
      <c r="EE57" s="255">
        <v>0</v>
      </c>
      <c r="EF57" s="255">
        <v>0</v>
      </c>
      <c r="EG57" s="255">
        <v>0</v>
      </c>
      <c r="EH57" s="255">
        <v>0</v>
      </c>
      <c r="EI57" s="255">
        <v>0</v>
      </c>
      <c r="EJ57" s="255">
        <v>0</v>
      </c>
      <c r="EK57" s="255">
        <v>0</v>
      </c>
      <c r="EL57" s="255">
        <v>0</v>
      </c>
      <c r="EM57" s="255">
        <v>0</v>
      </c>
      <c r="EN57" s="255">
        <v>0</v>
      </c>
      <c r="EO57" s="255">
        <v>0</v>
      </c>
      <c r="EP57" s="255">
        <v>0</v>
      </c>
      <c r="EQ57" s="255">
        <v>0</v>
      </c>
      <c r="ER57" s="255">
        <v>0</v>
      </c>
      <c r="ES57" s="255">
        <v>0</v>
      </c>
      <c r="ET57" s="255">
        <v>0</v>
      </c>
      <c r="EU57" s="255">
        <v>0</v>
      </c>
      <c r="EV57" s="255">
        <v>0</v>
      </c>
      <c r="EW57" s="255">
        <v>0</v>
      </c>
      <c r="EX57" s="255">
        <v>0</v>
      </c>
      <c r="EY57" s="255">
        <v>0</v>
      </c>
      <c r="EZ57" s="255">
        <v>0</v>
      </c>
      <c r="FA57" s="255">
        <v>0</v>
      </c>
      <c r="FB57" s="255">
        <v>0</v>
      </c>
      <c r="FC57" s="255">
        <v>0</v>
      </c>
      <c r="FD57" s="255">
        <v>0</v>
      </c>
      <c r="FE57" s="255">
        <v>0</v>
      </c>
      <c r="FF57" s="255">
        <v>0</v>
      </c>
      <c r="FG57" s="255">
        <v>0</v>
      </c>
      <c r="FH57" s="255">
        <v>0</v>
      </c>
      <c r="FI57" s="255">
        <v>0</v>
      </c>
      <c r="FJ57" s="255">
        <v>0</v>
      </c>
      <c r="FK57" s="255">
        <v>0</v>
      </c>
      <c r="FL57" s="255">
        <v>0</v>
      </c>
      <c r="FM57" s="255">
        <v>0</v>
      </c>
      <c r="FN57" s="255">
        <v>0</v>
      </c>
      <c r="FO57" s="255">
        <v>0</v>
      </c>
      <c r="FP57" s="255">
        <v>0</v>
      </c>
      <c r="FQ57" s="255">
        <v>0</v>
      </c>
      <c r="FR57" s="255">
        <v>0</v>
      </c>
      <c r="FS57" s="255">
        <v>0</v>
      </c>
      <c r="FT57" s="255">
        <v>0</v>
      </c>
      <c r="FU57" s="255">
        <v>0</v>
      </c>
      <c r="FV57" s="255">
        <v>0</v>
      </c>
      <c r="FW57" s="255">
        <v>0</v>
      </c>
      <c r="FX57" s="116"/>
    </row>
    <row r="58" spans="2:180" x14ac:dyDescent="0.2">
      <c r="B58" s="253" t="s">
        <v>218</v>
      </c>
      <c r="C58" s="253" t="s">
        <v>291</v>
      </c>
      <c r="D58" s="253" t="s">
        <v>258</v>
      </c>
      <c r="E58" s="253" t="s">
        <v>127</v>
      </c>
      <c r="F58" s="253" t="s">
        <v>259</v>
      </c>
      <c r="G58" s="253" t="s">
        <v>260</v>
      </c>
      <c r="H58" s="237">
        <v>214.83</v>
      </c>
      <c r="I58" s="126">
        <f t="shared" si="85"/>
        <v>146020.23000000004</v>
      </c>
      <c r="J58" s="116"/>
      <c r="K58" s="254">
        <v>0</v>
      </c>
      <c r="L58" s="254">
        <v>0</v>
      </c>
      <c r="M58" s="254">
        <v>0</v>
      </c>
      <c r="N58" s="254">
        <v>0</v>
      </c>
      <c r="O58" s="254">
        <v>0</v>
      </c>
      <c r="P58" s="254">
        <v>0</v>
      </c>
      <c r="Q58" s="254">
        <v>0.10199999999999999</v>
      </c>
      <c r="R58" s="254">
        <v>7.6999999999999999E-2</v>
      </c>
      <c r="S58" s="254">
        <v>0.13614285714285715</v>
      </c>
      <c r="T58" s="254">
        <v>5.2000000000000005E-2</v>
      </c>
      <c r="U58" s="254">
        <v>0.10757142857142855</v>
      </c>
      <c r="V58" s="254">
        <v>6.6666666666666666E-2</v>
      </c>
      <c r="W58" s="254">
        <v>0.16933333333333334</v>
      </c>
      <c r="X58" s="254">
        <v>0.2</v>
      </c>
      <c r="Y58" s="254">
        <v>0.5</v>
      </c>
      <c r="Z58" s="254">
        <v>0.66666666666666663</v>
      </c>
      <c r="AA58" s="254">
        <v>0.46052631578947367</v>
      </c>
      <c r="AB58" s="254">
        <v>0.46052631578947367</v>
      </c>
      <c r="AC58" s="254">
        <v>0.5</v>
      </c>
      <c r="AD58" s="254">
        <v>0.5</v>
      </c>
      <c r="AE58" s="254">
        <v>0.5</v>
      </c>
      <c r="AF58" s="254">
        <v>0.5</v>
      </c>
      <c r="AG58" s="254">
        <v>0</v>
      </c>
      <c r="AH58" s="254">
        <v>0</v>
      </c>
      <c r="AI58" s="254">
        <v>0</v>
      </c>
      <c r="AJ58" s="254">
        <v>0</v>
      </c>
      <c r="AK58" s="254">
        <v>0</v>
      </c>
      <c r="AL58" s="254">
        <v>0</v>
      </c>
      <c r="AM58" s="254">
        <v>0</v>
      </c>
      <c r="AN58" s="254">
        <v>0</v>
      </c>
      <c r="AO58" s="254">
        <v>0</v>
      </c>
      <c r="AP58" s="254">
        <v>0</v>
      </c>
      <c r="AQ58" s="254">
        <v>0</v>
      </c>
      <c r="AR58" s="254">
        <v>0</v>
      </c>
      <c r="AS58" s="254">
        <v>0</v>
      </c>
      <c r="AT58" s="254">
        <v>0</v>
      </c>
      <c r="AU58" s="254">
        <v>0</v>
      </c>
      <c r="AV58" s="254">
        <v>0</v>
      </c>
      <c r="AW58" s="254">
        <v>0</v>
      </c>
      <c r="AX58" s="254">
        <v>0</v>
      </c>
      <c r="AY58" s="254">
        <v>0</v>
      </c>
      <c r="AZ58" s="254">
        <v>0</v>
      </c>
      <c r="BA58" s="254">
        <v>0</v>
      </c>
      <c r="BB58" s="254">
        <v>0</v>
      </c>
      <c r="BC58" s="254">
        <v>0</v>
      </c>
      <c r="BD58" s="254">
        <v>0</v>
      </c>
      <c r="BE58" s="254">
        <v>0</v>
      </c>
      <c r="BF58" s="254">
        <v>0</v>
      </c>
      <c r="BG58" s="254">
        <v>0</v>
      </c>
      <c r="BH58" s="254">
        <v>0</v>
      </c>
      <c r="BI58" s="254">
        <v>0</v>
      </c>
      <c r="BJ58" s="254">
        <v>0</v>
      </c>
      <c r="BK58" s="254">
        <v>0</v>
      </c>
      <c r="BL58" s="254">
        <v>0</v>
      </c>
      <c r="BM58" s="254">
        <v>0</v>
      </c>
      <c r="BN58" s="254">
        <v>0</v>
      </c>
      <c r="BO58" s="254">
        <v>0</v>
      </c>
      <c r="BP58" s="254">
        <v>0</v>
      </c>
      <c r="BQ58" s="254">
        <v>0</v>
      </c>
      <c r="BR58" s="254">
        <v>0</v>
      </c>
      <c r="BS58" s="254">
        <v>0</v>
      </c>
      <c r="BT58" s="254">
        <v>0</v>
      </c>
      <c r="BU58" s="254">
        <v>0</v>
      </c>
      <c r="BV58" s="254">
        <v>0</v>
      </c>
      <c r="BW58" s="254">
        <v>0</v>
      </c>
      <c r="BX58" s="254">
        <v>0</v>
      </c>
      <c r="BY58" s="254">
        <v>0</v>
      </c>
      <c r="BZ58" s="254">
        <v>0</v>
      </c>
      <c r="CA58" s="254">
        <v>0</v>
      </c>
      <c r="CB58" s="254">
        <v>0</v>
      </c>
      <c r="CC58" s="254">
        <v>0</v>
      </c>
      <c r="CD58" s="254">
        <v>0</v>
      </c>
      <c r="CE58" s="254">
        <v>0</v>
      </c>
      <c r="CF58" s="254">
        <v>0</v>
      </c>
      <c r="CG58" s="254">
        <v>0</v>
      </c>
      <c r="CH58" s="254">
        <v>0</v>
      </c>
      <c r="CI58" s="254">
        <v>0</v>
      </c>
      <c r="CJ58" s="254">
        <v>0</v>
      </c>
      <c r="CK58" s="254">
        <v>0</v>
      </c>
      <c r="CL58" s="254">
        <v>0</v>
      </c>
      <c r="CM58" s="254">
        <v>0</v>
      </c>
      <c r="CN58" s="254">
        <v>0</v>
      </c>
      <c r="CO58" s="254">
        <v>0</v>
      </c>
      <c r="CP58" s="254">
        <v>0</v>
      </c>
      <c r="CQ58" s="116"/>
      <c r="CR58" s="255">
        <v>0</v>
      </c>
      <c r="CS58" s="255">
        <v>0</v>
      </c>
      <c r="CT58" s="255">
        <v>0</v>
      </c>
      <c r="CU58" s="255">
        <v>0</v>
      </c>
      <c r="CV58" s="255">
        <v>0</v>
      </c>
      <c r="CW58" s="255">
        <v>0</v>
      </c>
      <c r="CX58" s="255">
        <v>2797.57</v>
      </c>
      <c r="CY58" s="255">
        <v>2111.9</v>
      </c>
      <c r="CZ58" s="255">
        <v>4116.7299999999996</v>
      </c>
      <c r="DA58" s="255">
        <v>1691.56</v>
      </c>
      <c r="DB58" s="255">
        <v>3499.3</v>
      </c>
      <c r="DC58" s="255">
        <v>1626.5</v>
      </c>
      <c r="DD58" s="255">
        <v>4131.3099999999995</v>
      </c>
      <c r="DE58" s="255">
        <v>5740.56</v>
      </c>
      <c r="DF58" s="255">
        <v>15038.1</v>
      </c>
      <c r="DG58" s="255">
        <v>15038.1</v>
      </c>
      <c r="DH58" s="255">
        <v>15038.1</v>
      </c>
      <c r="DI58" s="255">
        <v>15038.1</v>
      </c>
      <c r="DJ58" s="255">
        <v>15038.1</v>
      </c>
      <c r="DK58" s="255">
        <v>15038.1</v>
      </c>
      <c r="DL58" s="255">
        <v>15038.1</v>
      </c>
      <c r="DM58" s="255">
        <v>15038.1</v>
      </c>
      <c r="DN58" s="255">
        <v>0</v>
      </c>
      <c r="DO58" s="255">
        <v>0</v>
      </c>
      <c r="DP58" s="255">
        <v>0</v>
      </c>
      <c r="DQ58" s="255">
        <v>0</v>
      </c>
      <c r="DR58" s="255">
        <v>0</v>
      </c>
      <c r="DS58" s="255">
        <v>0</v>
      </c>
      <c r="DT58" s="255">
        <v>0</v>
      </c>
      <c r="DU58" s="255">
        <v>0</v>
      </c>
      <c r="DV58" s="255">
        <v>0</v>
      </c>
      <c r="DW58" s="255">
        <v>0</v>
      </c>
      <c r="DX58" s="255">
        <v>0</v>
      </c>
      <c r="DY58" s="255">
        <v>0</v>
      </c>
      <c r="DZ58" s="255">
        <v>0</v>
      </c>
      <c r="EA58" s="255">
        <v>0</v>
      </c>
      <c r="EB58" s="255">
        <v>0</v>
      </c>
      <c r="EC58" s="255">
        <v>0</v>
      </c>
      <c r="ED58" s="255">
        <v>0</v>
      </c>
      <c r="EE58" s="255">
        <v>0</v>
      </c>
      <c r="EF58" s="255">
        <v>0</v>
      </c>
      <c r="EG58" s="255">
        <v>0</v>
      </c>
      <c r="EH58" s="255">
        <v>0</v>
      </c>
      <c r="EI58" s="255">
        <v>0</v>
      </c>
      <c r="EJ58" s="255">
        <v>0</v>
      </c>
      <c r="EK58" s="255">
        <v>0</v>
      </c>
      <c r="EL58" s="255">
        <v>0</v>
      </c>
      <c r="EM58" s="255">
        <v>0</v>
      </c>
      <c r="EN58" s="255">
        <v>0</v>
      </c>
      <c r="EO58" s="255">
        <v>0</v>
      </c>
      <c r="EP58" s="255">
        <v>0</v>
      </c>
      <c r="EQ58" s="255">
        <v>0</v>
      </c>
      <c r="ER58" s="255">
        <v>0</v>
      </c>
      <c r="ES58" s="255">
        <v>0</v>
      </c>
      <c r="ET58" s="255">
        <v>0</v>
      </c>
      <c r="EU58" s="255">
        <v>0</v>
      </c>
      <c r="EV58" s="255">
        <v>0</v>
      </c>
      <c r="EW58" s="255">
        <v>0</v>
      </c>
      <c r="EX58" s="255">
        <v>0</v>
      </c>
      <c r="EY58" s="255">
        <v>0</v>
      </c>
      <c r="EZ58" s="255">
        <v>0</v>
      </c>
      <c r="FA58" s="255">
        <v>0</v>
      </c>
      <c r="FB58" s="255">
        <v>0</v>
      </c>
      <c r="FC58" s="255">
        <v>0</v>
      </c>
      <c r="FD58" s="255">
        <v>0</v>
      </c>
      <c r="FE58" s="255">
        <v>0</v>
      </c>
      <c r="FF58" s="255">
        <v>0</v>
      </c>
      <c r="FG58" s="255">
        <v>0</v>
      </c>
      <c r="FH58" s="255">
        <v>0</v>
      </c>
      <c r="FI58" s="255">
        <v>0</v>
      </c>
      <c r="FJ58" s="255">
        <v>0</v>
      </c>
      <c r="FK58" s="255">
        <v>0</v>
      </c>
      <c r="FL58" s="255">
        <v>0</v>
      </c>
      <c r="FM58" s="255">
        <v>0</v>
      </c>
      <c r="FN58" s="255">
        <v>0</v>
      </c>
      <c r="FO58" s="255">
        <v>0</v>
      </c>
      <c r="FP58" s="255">
        <v>0</v>
      </c>
      <c r="FQ58" s="255">
        <v>0</v>
      </c>
      <c r="FR58" s="255">
        <v>0</v>
      </c>
      <c r="FS58" s="255">
        <v>0</v>
      </c>
      <c r="FT58" s="255">
        <v>0</v>
      </c>
      <c r="FU58" s="255">
        <v>0</v>
      </c>
      <c r="FV58" s="255">
        <v>0</v>
      </c>
      <c r="FW58" s="255">
        <v>0</v>
      </c>
      <c r="FX58" s="116"/>
    </row>
    <row r="59" spans="2:180" x14ac:dyDescent="0.2">
      <c r="B59" s="253" t="s">
        <v>218</v>
      </c>
      <c r="C59" s="253" t="s">
        <v>292</v>
      </c>
      <c r="D59" s="253" t="s">
        <v>258</v>
      </c>
      <c r="E59" s="253" t="s">
        <v>127</v>
      </c>
      <c r="F59" s="253" t="s">
        <v>259</v>
      </c>
      <c r="G59" s="253" t="s">
        <v>260</v>
      </c>
      <c r="H59" s="237">
        <v>297.43</v>
      </c>
      <c r="I59" s="126">
        <f t="shared" si="85"/>
        <v>207949.90999999992</v>
      </c>
      <c r="J59" s="116"/>
      <c r="K59" s="254">
        <v>0</v>
      </c>
      <c r="L59" s="254">
        <v>0</v>
      </c>
      <c r="M59" s="254">
        <v>0</v>
      </c>
      <c r="N59" s="254">
        <v>0</v>
      </c>
      <c r="O59" s="254">
        <v>0</v>
      </c>
      <c r="P59" s="254">
        <v>0</v>
      </c>
      <c r="Q59" s="254">
        <v>0.35</v>
      </c>
      <c r="R59" s="254">
        <v>0.1</v>
      </c>
      <c r="S59" s="254">
        <v>0.25</v>
      </c>
      <c r="T59" s="254">
        <v>0.1</v>
      </c>
      <c r="U59" s="254">
        <v>0</v>
      </c>
      <c r="V59" s="254">
        <v>6.6666666666666666E-2</v>
      </c>
      <c r="W59" s="254">
        <v>0.13333333333333333</v>
      </c>
      <c r="X59" s="254">
        <v>0.25</v>
      </c>
      <c r="Y59" s="254">
        <v>0.25</v>
      </c>
      <c r="Z59" s="254">
        <v>0.33333333333333331</v>
      </c>
      <c r="AA59" s="254">
        <v>0.23026315789473684</v>
      </c>
      <c r="AB59" s="254">
        <v>0.23026315789473684</v>
      </c>
      <c r="AC59" s="254">
        <v>0.25</v>
      </c>
      <c r="AD59" s="254">
        <v>0.25</v>
      </c>
      <c r="AE59" s="254">
        <v>0.25</v>
      </c>
      <c r="AF59" s="254">
        <v>0.25</v>
      </c>
      <c r="AG59" s="254">
        <v>0.25</v>
      </c>
      <c r="AH59" s="254">
        <v>0.33333333333333331</v>
      </c>
      <c r="AI59" s="254">
        <v>0.33333333333333331</v>
      </c>
      <c r="AJ59" s="254">
        <v>0.25</v>
      </c>
      <c r="AK59" s="254">
        <v>0.25</v>
      </c>
      <c r="AL59" s="254">
        <v>0.33333333333333331</v>
      </c>
      <c r="AM59" s="254">
        <v>0.23026315789473684</v>
      </c>
      <c r="AN59" s="254">
        <v>0</v>
      </c>
      <c r="AO59" s="254">
        <v>0</v>
      </c>
      <c r="AP59" s="254">
        <v>0</v>
      </c>
      <c r="AQ59" s="254">
        <v>0</v>
      </c>
      <c r="AR59" s="254">
        <v>0</v>
      </c>
      <c r="AS59" s="254">
        <v>0</v>
      </c>
      <c r="AT59" s="254">
        <v>0</v>
      </c>
      <c r="AU59" s="254">
        <v>0</v>
      </c>
      <c r="AV59" s="254">
        <v>0</v>
      </c>
      <c r="AW59" s="254">
        <v>0</v>
      </c>
      <c r="AX59" s="254">
        <v>0</v>
      </c>
      <c r="AY59" s="254">
        <v>0</v>
      </c>
      <c r="AZ59" s="254">
        <v>0</v>
      </c>
      <c r="BA59" s="254">
        <v>0</v>
      </c>
      <c r="BB59" s="254">
        <v>0</v>
      </c>
      <c r="BC59" s="254">
        <v>0</v>
      </c>
      <c r="BD59" s="254">
        <v>0</v>
      </c>
      <c r="BE59" s="254">
        <v>0</v>
      </c>
      <c r="BF59" s="254">
        <v>0</v>
      </c>
      <c r="BG59" s="254">
        <v>0</v>
      </c>
      <c r="BH59" s="254">
        <v>0</v>
      </c>
      <c r="BI59" s="254">
        <v>0</v>
      </c>
      <c r="BJ59" s="254">
        <v>0</v>
      </c>
      <c r="BK59" s="254">
        <v>0</v>
      </c>
      <c r="BL59" s="254">
        <v>0</v>
      </c>
      <c r="BM59" s="254">
        <v>0</v>
      </c>
      <c r="BN59" s="254">
        <v>0</v>
      </c>
      <c r="BO59" s="254">
        <v>0</v>
      </c>
      <c r="BP59" s="254">
        <v>0</v>
      </c>
      <c r="BQ59" s="254">
        <v>0</v>
      </c>
      <c r="BR59" s="254">
        <v>0</v>
      </c>
      <c r="BS59" s="254">
        <v>0</v>
      </c>
      <c r="BT59" s="254">
        <v>0</v>
      </c>
      <c r="BU59" s="254">
        <v>0</v>
      </c>
      <c r="BV59" s="254">
        <v>0</v>
      </c>
      <c r="BW59" s="254">
        <v>0</v>
      </c>
      <c r="BX59" s="254">
        <v>0</v>
      </c>
      <c r="BY59" s="254">
        <v>0</v>
      </c>
      <c r="BZ59" s="254">
        <v>0</v>
      </c>
      <c r="CA59" s="254">
        <v>0</v>
      </c>
      <c r="CB59" s="254">
        <v>0</v>
      </c>
      <c r="CC59" s="254">
        <v>0</v>
      </c>
      <c r="CD59" s="254">
        <v>0</v>
      </c>
      <c r="CE59" s="254">
        <v>0</v>
      </c>
      <c r="CF59" s="254">
        <v>0</v>
      </c>
      <c r="CG59" s="254">
        <v>0</v>
      </c>
      <c r="CH59" s="254">
        <v>0</v>
      </c>
      <c r="CI59" s="254">
        <v>0</v>
      </c>
      <c r="CJ59" s="254">
        <v>0</v>
      </c>
      <c r="CK59" s="254">
        <v>0</v>
      </c>
      <c r="CL59" s="254">
        <v>0</v>
      </c>
      <c r="CM59" s="254">
        <v>0</v>
      </c>
      <c r="CN59" s="254">
        <v>0</v>
      </c>
      <c r="CO59" s="254">
        <v>0</v>
      </c>
      <c r="CP59" s="254">
        <v>0</v>
      </c>
      <c r="CQ59" s="116"/>
      <c r="CR59" s="255">
        <v>0</v>
      </c>
      <c r="CS59" s="255">
        <v>0</v>
      </c>
      <c r="CT59" s="255">
        <v>0</v>
      </c>
      <c r="CU59" s="255">
        <v>0</v>
      </c>
      <c r="CV59" s="255">
        <v>0</v>
      </c>
      <c r="CW59" s="255">
        <v>0</v>
      </c>
      <c r="CX59" s="255">
        <v>15733.260000000002</v>
      </c>
      <c r="CY59" s="255">
        <v>4530.6000000000004</v>
      </c>
      <c r="CZ59" s="255">
        <v>11326.5</v>
      </c>
      <c r="DA59" s="255">
        <v>4530.6000000000004</v>
      </c>
      <c r="DB59" s="255">
        <v>0</v>
      </c>
      <c r="DC59" s="255">
        <v>2265.3000000000002</v>
      </c>
      <c r="DD59" s="255">
        <v>4530.6000000000004</v>
      </c>
      <c r="DE59" s="255">
        <v>10104.5</v>
      </c>
      <c r="DF59" s="255">
        <v>10104.5</v>
      </c>
      <c r="DG59" s="255">
        <v>10104.5</v>
      </c>
      <c r="DH59" s="255">
        <v>10104.5</v>
      </c>
      <c r="DI59" s="255">
        <v>10104.5</v>
      </c>
      <c r="DJ59" s="255">
        <v>10410.050000000001</v>
      </c>
      <c r="DK59" s="255">
        <v>10410.050000000001</v>
      </c>
      <c r="DL59" s="255">
        <v>10410.050000000001</v>
      </c>
      <c r="DM59" s="255">
        <v>10410.050000000001</v>
      </c>
      <c r="DN59" s="255">
        <v>10410.050000000001</v>
      </c>
      <c r="DO59" s="255">
        <v>10410.050000000001</v>
      </c>
      <c r="DP59" s="255">
        <v>10410.050000000001</v>
      </c>
      <c r="DQ59" s="255">
        <v>10410.050000000001</v>
      </c>
      <c r="DR59" s="255">
        <v>10410.050000000001</v>
      </c>
      <c r="DS59" s="255">
        <v>10410.050000000001</v>
      </c>
      <c r="DT59" s="255">
        <v>10410.050000000001</v>
      </c>
      <c r="DU59" s="255">
        <v>0</v>
      </c>
      <c r="DV59" s="255">
        <v>0</v>
      </c>
      <c r="DW59" s="255">
        <v>0</v>
      </c>
      <c r="DX59" s="255">
        <v>0</v>
      </c>
      <c r="DY59" s="255">
        <v>0</v>
      </c>
      <c r="DZ59" s="255">
        <v>0</v>
      </c>
      <c r="EA59" s="255">
        <v>0</v>
      </c>
      <c r="EB59" s="255">
        <v>0</v>
      </c>
      <c r="EC59" s="255">
        <v>0</v>
      </c>
      <c r="ED59" s="255">
        <v>0</v>
      </c>
      <c r="EE59" s="255">
        <v>0</v>
      </c>
      <c r="EF59" s="255">
        <v>0</v>
      </c>
      <c r="EG59" s="255">
        <v>0</v>
      </c>
      <c r="EH59" s="255">
        <v>0</v>
      </c>
      <c r="EI59" s="255">
        <v>0</v>
      </c>
      <c r="EJ59" s="255">
        <v>0</v>
      </c>
      <c r="EK59" s="255">
        <v>0</v>
      </c>
      <c r="EL59" s="255">
        <v>0</v>
      </c>
      <c r="EM59" s="255">
        <v>0</v>
      </c>
      <c r="EN59" s="255">
        <v>0</v>
      </c>
      <c r="EO59" s="255">
        <v>0</v>
      </c>
      <c r="EP59" s="255">
        <v>0</v>
      </c>
      <c r="EQ59" s="255">
        <v>0</v>
      </c>
      <c r="ER59" s="255">
        <v>0</v>
      </c>
      <c r="ES59" s="255">
        <v>0</v>
      </c>
      <c r="ET59" s="255">
        <v>0</v>
      </c>
      <c r="EU59" s="255">
        <v>0</v>
      </c>
      <c r="EV59" s="255">
        <v>0</v>
      </c>
      <c r="EW59" s="255">
        <v>0</v>
      </c>
      <c r="EX59" s="255">
        <v>0</v>
      </c>
      <c r="EY59" s="255">
        <v>0</v>
      </c>
      <c r="EZ59" s="255">
        <v>0</v>
      </c>
      <c r="FA59" s="255">
        <v>0</v>
      </c>
      <c r="FB59" s="255">
        <v>0</v>
      </c>
      <c r="FC59" s="255">
        <v>0</v>
      </c>
      <c r="FD59" s="255">
        <v>0</v>
      </c>
      <c r="FE59" s="255">
        <v>0</v>
      </c>
      <c r="FF59" s="255">
        <v>0</v>
      </c>
      <c r="FG59" s="255">
        <v>0</v>
      </c>
      <c r="FH59" s="255">
        <v>0</v>
      </c>
      <c r="FI59" s="255">
        <v>0</v>
      </c>
      <c r="FJ59" s="255">
        <v>0</v>
      </c>
      <c r="FK59" s="255">
        <v>0</v>
      </c>
      <c r="FL59" s="255">
        <v>0</v>
      </c>
      <c r="FM59" s="255">
        <v>0</v>
      </c>
      <c r="FN59" s="255">
        <v>0</v>
      </c>
      <c r="FO59" s="255">
        <v>0</v>
      </c>
      <c r="FP59" s="255">
        <v>0</v>
      </c>
      <c r="FQ59" s="255">
        <v>0</v>
      </c>
      <c r="FR59" s="255">
        <v>0</v>
      </c>
      <c r="FS59" s="255">
        <v>0</v>
      </c>
      <c r="FT59" s="255">
        <v>0</v>
      </c>
      <c r="FU59" s="255">
        <v>0</v>
      </c>
      <c r="FV59" s="255">
        <v>0</v>
      </c>
      <c r="FW59" s="255">
        <v>0</v>
      </c>
      <c r="FX59" s="116"/>
    </row>
    <row r="60" spans="2:180" x14ac:dyDescent="0.2">
      <c r="B60" s="253" t="s">
        <v>218</v>
      </c>
      <c r="C60" s="253" t="s">
        <v>293</v>
      </c>
      <c r="D60" s="253" t="s">
        <v>258</v>
      </c>
      <c r="E60" s="253" t="s">
        <v>127</v>
      </c>
      <c r="F60" s="253" t="s">
        <v>259</v>
      </c>
      <c r="G60" s="253" t="s">
        <v>260</v>
      </c>
      <c r="H60" s="237">
        <v>295.87</v>
      </c>
      <c r="I60" s="126">
        <f t="shared" si="85"/>
        <v>1135088.6640000003</v>
      </c>
      <c r="J60" s="116"/>
      <c r="K60" s="254">
        <v>0</v>
      </c>
      <c r="L60" s="254">
        <v>0</v>
      </c>
      <c r="M60" s="254">
        <v>0</v>
      </c>
      <c r="N60" s="254">
        <v>0</v>
      </c>
      <c r="O60" s="254">
        <v>0</v>
      </c>
      <c r="P60" s="254">
        <v>0</v>
      </c>
      <c r="Q60" s="254">
        <v>0.69542857142857173</v>
      </c>
      <c r="R60" s="254">
        <v>0.15557142857142858</v>
      </c>
      <c r="S60" s="254">
        <v>3.9285714285714292E-2</v>
      </c>
      <c r="T60" s="254">
        <v>2.1428571428571429E-2</v>
      </c>
      <c r="U60" s="254">
        <v>2.5000000000000001E-2</v>
      </c>
      <c r="V60" s="254">
        <v>1.2190476190476191E-2</v>
      </c>
      <c r="W60" s="254">
        <v>0</v>
      </c>
      <c r="X60" s="254">
        <v>1</v>
      </c>
      <c r="Y60" s="254">
        <v>0.55000000000000004</v>
      </c>
      <c r="Z60" s="254">
        <v>1.8</v>
      </c>
      <c r="AA60" s="254">
        <v>2.1644736842105261</v>
      </c>
      <c r="AB60" s="254">
        <v>4.4671052631578947</v>
      </c>
      <c r="AC60" s="254">
        <v>4.3499999999999996</v>
      </c>
      <c r="AD60" s="254">
        <v>2.1</v>
      </c>
      <c r="AE60" s="254">
        <v>1.65</v>
      </c>
      <c r="AF60" s="254">
        <v>2.0499999999999998</v>
      </c>
      <c r="AG60" s="254">
        <v>1.7</v>
      </c>
      <c r="AH60" s="254">
        <v>1.0666666666666667</v>
      </c>
      <c r="AI60" s="254">
        <v>1.0666666666666667</v>
      </c>
      <c r="AJ60" s="254">
        <v>1</v>
      </c>
      <c r="AK60" s="254">
        <v>0.6</v>
      </c>
      <c r="AL60" s="254">
        <v>0.8</v>
      </c>
      <c r="AM60" s="254">
        <v>0.55263157894736847</v>
      </c>
      <c r="AN60" s="254">
        <v>0.18421052631578946</v>
      </c>
      <c r="AO60" s="254">
        <v>0.2</v>
      </c>
      <c r="AP60" s="254">
        <v>0</v>
      </c>
      <c r="AQ60" s="254">
        <v>0</v>
      </c>
      <c r="AR60" s="254">
        <v>0</v>
      </c>
      <c r="AS60" s="254">
        <v>0</v>
      </c>
      <c r="AT60" s="254">
        <v>0</v>
      </c>
      <c r="AU60" s="254">
        <v>0</v>
      </c>
      <c r="AV60" s="254">
        <v>0</v>
      </c>
      <c r="AW60" s="254">
        <v>0</v>
      </c>
      <c r="AX60" s="254">
        <v>0</v>
      </c>
      <c r="AY60" s="254">
        <v>0</v>
      </c>
      <c r="AZ60" s="254">
        <v>0</v>
      </c>
      <c r="BA60" s="254">
        <v>0</v>
      </c>
      <c r="BB60" s="254">
        <v>0</v>
      </c>
      <c r="BC60" s="254">
        <v>0</v>
      </c>
      <c r="BD60" s="254">
        <v>0</v>
      </c>
      <c r="BE60" s="254">
        <v>0</v>
      </c>
      <c r="BF60" s="254">
        <v>0</v>
      </c>
      <c r="BG60" s="254">
        <v>0</v>
      </c>
      <c r="BH60" s="254">
        <v>0</v>
      </c>
      <c r="BI60" s="254">
        <v>0</v>
      </c>
      <c r="BJ60" s="254">
        <v>0</v>
      </c>
      <c r="BK60" s="254">
        <v>0</v>
      </c>
      <c r="BL60" s="254">
        <v>0</v>
      </c>
      <c r="BM60" s="254">
        <v>0</v>
      </c>
      <c r="BN60" s="254">
        <v>0</v>
      </c>
      <c r="BO60" s="254">
        <v>0</v>
      </c>
      <c r="BP60" s="254">
        <v>0</v>
      </c>
      <c r="BQ60" s="254">
        <v>0</v>
      </c>
      <c r="BR60" s="254">
        <v>0</v>
      </c>
      <c r="BS60" s="254">
        <v>0</v>
      </c>
      <c r="BT60" s="254">
        <v>0</v>
      </c>
      <c r="BU60" s="254">
        <v>0</v>
      </c>
      <c r="BV60" s="254">
        <v>0</v>
      </c>
      <c r="BW60" s="254">
        <v>0</v>
      </c>
      <c r="BX60" s="254">
        <v>0</v>
      </c>
      <c r="BY60" s="254">
        <v>0</v>
      </c>
      <c r="BZ60" s="254">
        <v>0</v>
      </c>
      <c r="CA60" s="254">
        <v>0</v>
      </c>
      <c r="CB60" s="254">
        <v>0</v>
      </c>
      <c r="CC60" s="254">
        <v>0</v>
      </c>
      <c r="CD60" s="254">
        <v>0</v>
      </c>
      <c r="CE60" s="254">
        <v>0</v>
      </c>
      <c r="CF60" s="254">
        <v>0</v>
      </c>
      <c r="CG60" s="254">
        <v>0</v>
      </c>
      <c r="CH60" s="254">
        <v>0</v>
      </c>
      <c r="CI60" s="254">
        <v>0</v>
      </c>
      <c r="CJ60" s="254">
        <v>0</v>
      </c>
      <c r="CK60" s="254">
        <v>0</v>
      </c>
      <c r="CL60" s="254">
        <v>0</v>
      </c>
      <c r="CM60" s="254">
        <v>0</v>
      </c>
      <c r="CN60" s="254">
        <v>0</v>
      </c>
      <c r="CO60" s="254">
        <v>0</v>
      </c>
      <c r="CP60" s="254">
        <v>0</v>
      </c>
      <c r="CQ60" s="116"/>
      <c r="CR60" s="255">
        <v>0</v>
      </c>
      <c r="CS60" s="255">
        <v>0</v>
      </c>
      <c r="CT60" s="255">
        <v>0</v>
      </c>
      <c r="CU60" s="255">
        <v>0</v>
      </c>
      <c r="CV60" s="255">
        <v>0</v>
      </c>
      <c r="CW60" s="255">
        <v>0</v>
      </c>
      <c r="CX60" s="255">
        <v>19407.836000000007</v>
      </c>
      <c r="CY60" s="255">
        <v>3523.9799999999996</v>
      </c>
      <c r="CZ60" s="255">
        <v>1509.6400000000006</v>
      </c>
      <c r="DA60" s="255">
        <v>553.56000000000006</v>
      </c>
      <c r="DB60" s="255">
        <v>790.69</v>
      </c>
      <c r="DC60" s="255">
        <v>368.55800000000005</v>
      </c>
      <c r="DD60" s="255">
        <v>0</v>
      </c>
      <c r="DE60" s="255">
        <v>39545.800000000003</v>
      </c>
      <c r="DF60" s="255">
        <v>22782.76</v>
      </c>
      <c r="DG60" s="255">
        <v>55921.32</v>
      </c>
      <c r="DH60" s="255">
        <v>97344.52</v>
      </c>
      <c r="DI60" s="255">
        <v>200902.52</v>
      </c>
      <c r="DJ60" s="255">
        <v>180190.91999999998</v>
      </c>
      <c r="DK60" s="255">
        <v>86988.72</v>
      </c>
      <c r="DL60" s="255">
        <v>68348.28</v>
      </c>
      <c r="DM60" s="255">
        <v>84917.56</v>
      </c>
      <c r="DN60" s="255">
        <v>70419.44</v>
      </c>
      <c r="DO60" s="255">
        <v>33138.559999999998</v>
      </c>
      <c r="DP60" s="255">
        <v>33138.559999999998</v>
      </c>
      <c r="DQ60" s="255">
        <v>41423.199999999997</v>
      </c>
      <c r="DR60" s="255">
        <v>25601.519999999997</v>
      </c>
      <c r="DS60" s="255">
        <v>25601.519999999997</v>
      </c>
      <c r="DT60" s="255">
        <v>25601.519999999997</v>
      </c>
      <c r="DU60" s="255">
        <v>8533.84</v>
      </c>
      <c r="DV60" s="255">
        <v>8533.84</v>
      </c>
      <c r="DW60" s="255">
        <v>0</v>
      </c>
      <c r="DX60" s="255">
        <v>0</v>
      </c>
      <c r="DY60" s="255">
        <v>0</v>
      </c>
      <c r="DZ60" s="255">
        <v>0</v>
      </c>
      <c r="EA60" s="255">
        <v>0</v>
      </c>
      <c r="EB60" s="255">
        <v>0</v>
      </c>
      <c r="EC60" s="255">
        <v>0</v>
      </c>
      <c r="ED60" s="255">
        <v>0</v>
      </c>
      <c r="EE60" s="255">
        <v>0</v>
      </c>
      <c r="EF60" s="255">
        <v>0</v>
      </c>
      <c r="EG60" s="255">
        <v>0</v>
      </c>
      <c r="EH60" s="255">
        <v>0</v>
      </c>
      <c r="EI60" s="255">
        <v>0</v>
      </c>
      <c r="EJ60" s="255">
        <v>0</v>
      </c>
      <c r="EK60" s="255">
        <v>0</v>
      </c>
      <c r="EL60" s="255">
        <v>0</v>
      </c>
      <c r="EM60" s="255">
        <v>0</v>
      </c>
      <c r="EN60" s="255">
        <v>0</v>
      </c>
      <c r="EO60" s="255">
        <v>0</v>
      </c>
      <c r="EP60" s="255">
        <v>0</v>
      </c>
      <c r="EQ60" s="255">
        <v>0</v>
      </c>
      <c r="ER60" s="255">
        <v>0</v>
      </c>
      <c r="ES60" s="255">
        <v>0</v>
      </c>
      <c r="ET60" s="255">
        <v>0</v>
      </c>
      <c r="EU60" s="255">
        <v>0</v>
      </c>
      <c r="EV60" s="255">
        <v>0</v>
      </c>
      <c r="EW60" s="255">
        <v>0</v>
      </c>
      <c r="EX60" s="255">
        <v>0</v>
      </c>
      <c r="EY60" s="255">
        <v>0</v>
      </c>
      <c r="EZ60" s="255">
        <v>0</v>
      </c>
      <c r="FA60" s="255">
        <v>0</v>
      </c>
      <c r="FB60" s="255">
        <v>0</v>
      </c>
      <c r="FC60" s="255">
        <v>0</v>
      </c>
      <c r="FD60" s="255">
        <v>0</v>
      </c>
      <c r="FE60" s="255">
        <v>0</v>
      </c>
      <c r="FF60" s="255">
        <v>0</v>
      </c>
      <c r="FG60" s="255">
        <v>0</v>
      </c>
      <c r="FH60" s="255">
        <v>0</v>
      </c>
      <c r="FI60" s="255">
        <v>0</v>
      </c>
      <c r="FJ60" s="255">
        <v>0</v>
      </c>
      <c r="FK60" s="255">
        <v>0</v>
      </c>
      <c r="FL60" s="255">
        <v>0</v>
      </c>
      <c r="FM60" s="255">
        <v>0</v>
      </c>
      <c r="FN60" s="255">
        <v>0</v>
      </c>
      <c r="FO60" s="255">
        <v>0</v>
      </c>
      <c r="FP60" s="255">
        <v>0</v>
      </c>
      <c r="FQ60" s="255">
        <v>0</v>
      </c>
      <c r="FR60" s="255">
        <v>0</v>
      </c>
      <c r="FS60" s="255">
        <v>0</v>
      </c>
      <c r="FT60" s="255">
        <v>0</v>
      </c>
      <c r="FU60" s="255">
        <v>0</v>
      </c>
      <c r="FV60" s="255">
        <v>0</v>
      </c>
      <c r="FW60" s="255">
        <v>0</v>
      </c>
      <c r="FX60" s="116"/>
    </row>
    <row r="61" spans="2:180" x14ac:dyDescent="0.2">
      <c r="B61" s="253" t="s">
        <v>218</v>
      </c>
      <c r="C61" s="253" t="s">
        <v>294</v>
      </c>
      <c r="D61" s="253" t="s">
        <v>85</v>
      </c>
      <c r="E61" s="253" t="s">
        <v>127</v>
      </c>
      <c r="F61" s="253">
        <v>0</v>
      </c>
      <c r="G61" s="253" t="s">
        <v>268</v>
      </c>
      <c r="H61" s="237">
        <v>0</v>
      </c>
      <c r="I61" s="126">
        <f t="shared" si="85"/>
        <v>7142</v>
      </c>
      <c r="J61" s="116"/>
      <c r="K61" s="254">
        <v>0</v>
      </c>
      <c r="L61" s="254">
        <v>0</v>
      </c>
      <c r="M61" s="254">
        <v>0</v>
      </c>
      <c r="N61" s="254">
        <v>0</v>
      </c>
      <c r="O61" s="254">
        <v>0</v>
      </c>
      <c r="P61" s="254">
        <v>0</v>
      </c>
      <c r="Q61" s="254">
        <v>0</v>
      </c>
      <c r="R61" s="254">
        <v>0</v>
      </c>
      <c r="S61" s="254">
        <v>0</v>
      </c>
      <c r="T61" s="254">
        <v>0</v>
      </c>
      <c r="U61" s="254">
        <v>0</v>
      </c>
      <c r="V61" s="254">
        <v>0</v>
      </c>
      <c r="W61" s="254">
        <v>0</v>
      </c>
      <c r="X61" s="254">
        <v>1</v>
      </c>
      <c r="Y61" s="254">
        <v>0</v>
      </c>
      <c r="Z61" s="254">
        <v>0</v>
      </c>
      <c r="AA61" s="254">
        <v>0</v>
      </c>
      <c r="AB61" s="254">
        <v>0</v>
      </c>
      <c r="AC61" s="254">
        <v>0</v>
      </c>
      <c r="AD61" s="254">
        <v>0</v>
      </c>
      <c r="AE61" s="254">
        <v>0</v>
      </c>
      <c r="AF61" s="254">
        <v>0</v>
      </c>
      <c r="AG61" s="254">
        <v>0</v>
      </c>
      <c r="AH61" s="254">
        <v>0</v>
      </c>
      <c r="AI61" s="254">
        <v>0</v>
      </c>
      <c r="AJ61" s="254">
        <v>0</v>
      </c>
      <c r="AK61" s="254">
        <v>0</v>
      </c>
      <c r="AL61" s="254">
        <v>0</v>
      </c>
      <c r="AM61" s="254">
        <v>0</v>
      </c>
      <c r="AN61" s="254">
        <v>0</v>
      </c>
      <c r="AO61" s="254">
        <v>0</v>
      </c>
      <c r="AP61" s="254">
        <v>0</v>
      </c>
      <c r="AQ61" s="254">
        <v>0</v>
      </c>
      <c r="AR61" s="254">
        <v>0</v>
      </c>
      <c r="AS61" s="254">
        <v>0</v>
      </c>
      <c r="AT61" s="254">
        <v>0</v>
      </c>
      <c r="AU61" s="254">
        <v>0</v>
      </c>
      <c r="AV61" s="254">
        <v>0</v>
      </c>
      <c r="AW61" s="254">
        <v>0</v>
      </c>
      <c r="AX61" s="254">
        <v>0</v>
      </c>
      <c r="AY61" s="254">
        <v>0</v>
      </c>
      <c r="AZ61" s="254">
        <v>0</v>
      </c>
      <c r="BA61" s="254">
        <v>0</v>
      </c>
      <c r="BB61" s="254">
        <v>0</v>
      </c>
      <c r="BC61" s="254">
        <v>0</v>
      </c>
      <c r="BD61" s="254">
        <v>0</v>
      </c>
      <c r="BE61" s="254">
        <v>0</v>
      </c>
      <c r="BF61" s="254">
        <v>0</v>
      </c>
      <c r="BG61" s="254">
        <v>0</v>
      </c>
      <c r="BH61" s="254">
        <v>0</v>
      </c>
      <c r="BI61" s="254">
        <v>0</v>
      </c>
      <c r="BJ61" s="254">
        <v>0</v>
      </c>
      <c r="BK61" s="254">
        <v>0</v>
      </c>
      <c r="BL61" s="254">
        <v>0</v>
      </c>
      <c r="BM61" s="254">
        <v>0</v>
      </c>
      <c r="BN61" s="254">
        <v>0</v>
      </c>
      <c r="BO61" s="254">
        <v>0</v>
      </c>
      <c r="BP61" s="254">
        <v>0</v>
      </c>
      <c r="BQ61" s="254">
        <v>0</v>
      </c>
      <c r="BR61" s="254">
        <v>0</v>
      </c>
      <c r="BS61" s="254">
        <v>0</v>
      </c>
      <c r="BT61" s="254">
        <v>0</v>
      </c>
      <c r="BU61" s="254">
        <v>0</v>
      </c>
      <c r="BV61" s="254">
        <v>0</v>
      </c>
      <c r="BW61" s="254">
        <v>0</v>
      </c>
      <c r="BX61" s="254">
        <v>0</v>
      </c>
      <c r="BY61" s="254">
        <v>0</v>
      </c>
      <c r="BZ61" s="254">
        <v>0</v>
      </c>
      <c r="CA61" s="254">
        <v>0</v>
      </c>
      <c r="CB61" s="254">
        <v>0</v>
      </c>
      <c r="CC61" s="254">
        <v>0</v>
      </c>
      <c r="CD61" s="254">
        <v>0</v>
      </c>
      <c r="CE61" s="254">
        <v>0</v>
      </c>
      <c r="CF61" s="254">
        <v>0</v>
      </c>
      <c r="CG61" s="254">
        <v>0</v>
      </c>
      <c r="CH61" s="254">
        <v>0</v>
      </c>
      <c r="CI61" s="254">
        <v>0</v>
      </c>
      <c r="CJ61" s="254">
        <v>0</v>
      </c>
      <c r="CK61" s="254">
        <v>0</v>
      </c>
      <c r="CL61" s="254">
        <v>0</v>
      </c>
      <c r="CM61" s="254">
        <v>0</v>
      </c>
      <c r="CN61" s="254">
        <v>0</v>
      </c>
      <c r="CO61" s="254">
        <v>0</v>
      </c>
      <c r="CP61" s="254">
        <v>0</v>
      </c>
      <c r="CQ61" s="116"/>
      <c r="CR61" s="255">
        <v>0</v>
      </c>
      <c r="CS61" s="255">
        <v>0</v>
      </c>
      <c r="CT61" s="255">
        <v>0</v>
      </c>
      <c r="CU61" s="255">
        <v>0</v>
      </c>
      <c r="CV61" s="255">
        <v>0</v>
      </c>
      <c r="CW61" s="255">
        <v>0</v>
      </c>
      <c r="CX61" s="255">
        <v>0</v>
      </c>
      <c r="CY61" s="255">
        <v>0</v>
      </c>
      <c r="CZ61" s="255">
        <v>0</v>
      </c>
      <c r="DA61" s="255">
        <v>0</v>
      </c>
      <c r="DB61" s="255">
        <v>0</v>
      </c>
      <c r="DC61" s="255">
        <v>0</v>
      </c>
      <c r="DD61" s="255">
        <v>0</v>
      </c>
      <c r="DE61" s="255">
        <v>7142</v>
      </c>
      <c r="DF61" s="255">
        <v>0</v>
      </c>
      <c r="DG61" s="255">
        <v>0</v>
      </c>
      <c r="DH61" s="255">
        <v>0</v>
      </c>
      <c r="DI61" s="255">
        <v>0</v>
      </c>
      <c r="DJ61" s="255">
        <v>0</v>
      </c>
      <c r="DK61" s="255">
        <v>0</v>
      </c>
      <c r="DL61" s="255">
        <v>0</v>
      </c>
      <c r="DM61" s="255">
        <v>0</v>
      </c>
      <c r="DN61" s="255">
        <v>0</v>
      </c>
      <c r="DO61" s="255">
        <v>0</v>
      </c>
      <c r="DP61" s="255">
        <v>0</v>
      </c>
      <c r="DQ61" s="255">
        <v>0</v>
      </c>
      <c r="DR61" s="255">
        <v>0</v>
      </c>
      <c r="DS61" s="255">
        <v>0</v>
      </c>
      <c r="DT61" s="255">
        <v>0</v>
      </c>
      <c r="DU61" s="255">
        <v>0</v>
      </c>
      <c r="DV61" s="255">
        <v>0</v>
      </c>
      <c r="DW61" s="255">
        <v>0</v>
      </c>
      <c r="DX61" s="255">
        <v>0</v>
      </c>
      <c r="DY61" s="255">
        <v>0</v>
      </c>
      <c r="DZ61" s="255">
        <v>0</v>
      </c>
      <c r="EA61" s="255">
        <v>0</v>
      </c>
      <c r="EB61" s="255">
        <v>0</v>
      </c>
      <c r="EC61" s="255">
        <v>0</v>
      </c>
      <c r="ED61" s="255">
        <v>0</v>
      </c>
      <c r="EE61" s="255">
        <v>0</v>
      </c>
      <c r="EF61" s="255">
        <v>0</v>
      </c>
      <c r="EG61" s="255">
        <v>0</v>
      </c>
      <c r="EH61" s="255">
        <v>0</v>
      </c>
      <c r="EI61" s="255">
        <v>0</v>
      </c>
      <c r="EJ61" s="255">
        <v>0</v>
      </c>
      <c r="EK61" s="255">
        <v>0</v>
      </c>
      <c r="EL61" s="255">
        <v>0</v>
      </c>
      <c r="EM61" s="255">
        <v>0</v>
      </c>
      <c r="EN61" s="255">
        <v>0</v>
      </c>
      <c r="EO61" s="255">
        <v>0</v>
      </c>
      <c r="EP61" s="255">
        <v>0</v>
      </c>
      <c r="EQ61" s="255">
        <v>0</v>
      </c>
      <c r="ER61" s="255">
        <v>0</v>
      </c>
      <c r="ES61" s="255">
        <v>0</v>
      </c>
      <c r="ET61" s="255">
        <v>0</v>
      </c>
      <c r="EU61" s="255">
        <v>0</v>
      </c>
      <c r="EV61" s="255">
        <v>0</v>
      </c>
      <c r="EW61" s="255">
        <v>0</v>
      </c>
      <c r="EX61" s="255">
        <v>0</v>
      </c>
      <c r="EY61" s="255">
        <v>0</v>
      </c>
      <c r="EZ61" s="255">
        <v>0</v>
      </c>
      <c r="FA61" s="255">
        <v>0</v>
      </c>
      <c r="FB61" s="255">
        <v>0</v>
      </c>
      <c r="FC61" s="255">
        <v>0</v>
      </c>
      <c r="FD61" s="255">
        <v>0</v>
      </c>
      <c r="FE61" s="255">
        <v>0</v>
      </c>
      <c r="FF61" s="255">
        <v>0</v>
      </c>
      <c r="FG61" s="255">
        <v>0</v>
      </c>
      <c r="FH61" s="255">
        <v>0</v>
      </c>
      <c r="FI61" s="255">
        <v>0</v>
      </c>
      <c r="FJ61" s="255">
        <v>0</v>
      </c>
      <c r="FK61" s="255">
        <v>0</v>
      </c>
      <c r="FL61" s="255">
        <v>0</v>
      </c>
      <c r="FM61" s="255">
        <v>0</v>
      </c>
      <c r="FN61" s="255">
        <v>0</v>
      </c>
      <c r="FO61" s="255">
        <v>0</v>
      </c>
      <c r="FP61" s="255">
        <v>0</v>
      </c>
      <c r="FQ61" s="255">
        <v>0</v>
      </c>
      <c r="FR61" s="255">
        <v>0</v>
      </c>
      <c r="FS61" s="255">
        <v>0</v>
      </c>
      <c r="FT61" s="255">
        <v>0</v>
      </c>
      <c r="FU61" s="255">
        <v>0</v>
      </c>
      <c r="FV61" s="255">
        <v>0</v>
      </c>
      <c r="FW61" s="255">
        <v>0</v>
      </c>
      <c r="FX61" s="116"/>
    </row>
    <row r="62" spans="2:180" x14ac:dyDescent="0.2">
      <c r="B62" s="253" t="s">
        <v>218</v>
      </c>
      <c r="C62" s="253" t="s">
        <v>295</v>
      </c>
      <c r="D62" s="253" t="s">
        <v>258</v>
      </c>
      <c r="E62" s="253" t="s">
        <v>127</v>
      </c>
      <c r="F62" s="253" t="s">
        <v>259</v>
      </c>
      <c r="G62" s="253" t="s">
        <v>260</v>
      </c>
      <c r="H62" s="237">
        <v>205.24</v>
      </c>
      <c r="I62" s="126">
        <f t="shared" si="85"/>
        <v>616362.94000000006</v>
      </c>
      <c r="J62" s="116"/>
      <c r="K62" s="254">
        <v>0</v>
      </c>
      <c r="L62" s="254">
        <v>0</v>
      </c>
      <c r="M62" s="254">
        <v>0</v>
      </c>
      <c r="N62" s="254">
        <v>0</v>
      </c>
      <c r="O62" s="254">
        <v>0</v>
      </c>
      <c r="P62" s="254">
        <v>0</v>
      </c>
      <c r="Q62" s="254">
        <v>0.33342857142857169</v>
      </c>
      <c r="R62" s="254">
        <v>1.5860328923216521E-17</v>
      </c>
      <c r="S62" s="254">
        <v>0</v>
      </c>
      <c r="T62" s="254">
        <v>0</v>
      </c>
      <c r="U62" s="254">
        <v>0</v>
      </c>
      <c r="V62" s="254">
        <v>0.14819047619047607</v>
      </c>
      <c r="W62" s="254">
        <v>0.22228571428571423</v>
      </c>
      <c r="X62" s="254">
        <v>1</v>
      </c>
      <c r="Y62" s="254">
        <v>0.5</v>
      </c>
      <c r="Z62" s="254">
        <v>0.66666666666666663</v>
      </c>
      <c r="AA62" s="254">
        <v>1.1973684210526316</v>
      </c>
      <c r="AB62" s="254">
        <v>2.0263157894736841</v>
      </c>
      <c r="AC62" s="254">
        <v>2.2999999999999998</v>
      </c>
      <c r="AD62" s="254">
        <v>1.55</v>
      </c>
      <c r="AE62" s="254">
        <v>1.6</v>
      </c>
      <c r="AF62" s="254">
        <v>0.5</v>
      </c>
      <c r="AG62" s="254">
        <v>1.05</v>
      </c>
      <c r="AH62" s="254">
        <v>0</v>
      </c>
      <c r="AI62" s="254">
        <v>0.66666666666666663</v>
      </c>
      <c r="AJ62" s="254">
        <v>0</v>
      </c>
      <c r="AK62" s="254">
        <v>0</v>
      </c>
      <c r="AL62" s="254">
        <v>1.4666666666666666</v>
      </c>
      <c r="AM62" s="254">
        <v>0.96710526315789469</v>
      </c>
      <c r="AN62" s="254">
        <v>1.013157894736842</v>
      </c>
      <c r="AO62" s="254">
        <v>1.1000000000000001</v>
      </c>
      <c r="AP62" s="254">
        <v>1.1000000000000001</v>
      </c>
      <c r="AQ62" s="254">
        <v>1.1000000000000001</v>
      </c>
      <c r="AR62" s="254">
        <v>1.05</v>
      </c>
      <c r="AS62" s="254">
        <v>0</v>
      </c>
      <c r="AT62" s="254">
        <v>0</v>
      </c>
      <c r="AU62" s="254">
        <v>0</v>
      </c>
      <c r="AV62" s="254">
        <v>0</v>
      </c>
      <c r="AW62" s="254">
        <v>0</v>
      </c>
      <c r="AX62" s="254">
        <v>0</v>
      </c>
      <c r="AY62" s="254">
        <v>0</v>
      </c>
      <c r="AZ62" s="254">
        <v>0</v>
      </c>
      <c r="BA62" s="254">
        <v>0</v>
      </c>
      <c r="BB62" s="254">
        <v>0</v>
      </c>
      <c r="BC62" s="254">
        <v>0</v>
      </c>
      <c r="BD62" s="254">
        <v>0</v>
      </c>
      <c r="BE62" s="254">
        <v>0</v>
      </c>
      <c r="BF62" s="254">
        <v>0</v>
      </c>
      <c r="BG62" s="254">
        <v>0</v>
      </c>
      <c r="BH62" s="254">
        <v>0</v>
      </c>
      <c r="BI62" s="254">
        <v>0</v>
      </c>
      <c r="BJ62" s="254">
        <v>0</v>
      </c>
      <c r="BK62" s="254">
        <v>0</v>
      </c>
      <c r="BL62" s="254">
        <v>0</v>
      </c>
      <c r="BM62" s="254">
        <v>0</v>
      </c>
      <c r="BN62" s="254">
        <v>0</v>
      </c>
      <c r="BO62" s="254">
        <v>0</v>
      </c>
      <c r="BP62" s="254">
        <v>0</v>
      </c>
      <c r="BQ62" s="254">
        <v>0</v>
      </c>
      <c r="BR62" s="254">
        <v>0</v>
      </c>
      <c r="BS62" s="254">
        <v>0</v>
      </c>
      <c r="BT62" s="254">
        <v>0</v>
      </c>
      <c r="BU62" s="254">
        <v>0</v>
      </c>
      <c r="BV62" s="254">
        <v>0</v>
      </c>
      <c r="BW62" s="254">
        <v>0</v>
      </c>
      <c r="BX62" s="254">
        <v>0</v>
      </c>
      <c r="BY62" s="254">
        <v>0</v>
      </c>
      <c r="BZ62" s="254">
        <v>0</v>
      </c>
      <c r="CA62" s="254">
        <v>0</v>
      </c>
      <c r="CB62" s="254">
        <v>0</v>
      </c>
      <c r="CC62" s="254">
        <v>0</v>
      </c>
      <c r="CD62" s="254">
        <v>0</v>
      </c>
      <c r="CE62" s="254">
        <v>0</v>
      </c>
      <c r="CF62" s="254">
        <v>0</v>
      </c>
      <c r="CG62" s="254">
        <v>0</v>
      </c>
      <c r="CH62" s="254">
        <v>0</v>
      </c>
      <c r="CI62" s="254">
        <v>0</v>
      </c>
      <c r="CJ62" s="254">
        <v>0</v>
      </c>
      <c r="CK62" s="254">
        <v>0</v>
      </c>
      <c r="CL62" s="254">
        <v>0</v>
      </c>
      <c r="CM62" s="254">
        <v>0</v>
      </c>
      <c r="CN62" s="254">
        <v>0</v>
      </c>
      <c r="CO62" s="254">
        <v>0</v>
      </c>
      <c r="CP62" s="254">
        <v>0</v>
      </c>
      <c r="CQ62" s="116"/>
      <c r="CR62" s="255">
        <v>0</v>
      </c>
      <c r="CS62" s="255">
        <v>0</v>
      </c>
      <c r="CT62" s="255">
        <v>0</v>
      </c>
      <c r="CU62" s="255">
        <v>0</v>
      </c>
      <c r="CV62" s="255">
        <v>0</v>
      </c>
      <c r="CW62" s="255">
        <v>0</v>
      </c>
      <c r="CX62" s="255">
        <v>8613.2999999999956</v>
      </c>
      <c r="CY62" s="255">
        <v>860.38999999999987</v>
      </c>
      <c r="CZ62" s="255">
        <v>0</v>
      </c>
      <c r="DA62" s="255">
        <v>0</v>
      </c>
      <c r="DB62" s="255">
        <v>0</v>
      </c>
      <c r="DC62" s="255">
        <v>3473.6800000000003</v>
      </c>
      <c r="DD62" s="255">
        <v>6244.73</v>
      </c>
      <c r="DE62" s="255">
        <v>27427.399999999998</v>
      </c>
      <c r="DF62" s="255">
        <v>14366.800000000001</v>
      </c>
      <c r="DG62" s="255">
        <v>14366.800000000001</v>
      </c>
      <c r="DH62" s="255">
        <v>37353.68</v>
      </c>
      <c r="DI62" s="255">
        <v>63213.920000000006</v>
      </c>
      <c r="DJ62" s="255">
        <v>66087.28</v>
      </c>
      <c r="DK62" s="255">
        <v>44537.08</v>
      </c>
      <c r="DL62" s="255">
        <v>45973.760000000002</v>
      </c>
      <c r="DM62" s="255">
        <v>14366.800000000001</v>
      </c>
      <c r="DN62" s="255">
        <v>30170.280000000002</v>
      </c>
      <c r="DO62" s="255">
        <v>0</v>
      </c>
      <c r="DP62" s="255">
        <v>14366.800000000001</v>
      </c>
      <c r="DQ62" s="255">
        <v>0</v>
      </c>
      <c r="DR62" s="255">
        <v>0</v>
      </c>
      <c r="DS62" s="255">
        <v>32557.14</v>
      </c>
      <c r="DT62" s="255">
        <v>31077.27</v>
      </c>
      <c r="DU62" s="255">
        <v>32557.14</v>
      </c>
      <c r="DV62" s="255">
        <v>32557.14</v>
      </c>
      <c r="DW62" s="255">
        <v>32557.14</v>
      </c>
      <c r="DX62" s="255">
        <v>32557.14</v>
      </c>
      <c r="DY62" s="255">
        <v>31077.27</v>
      </c>
      <c r="DZ62" s="255">
        <v>0</v>
      </c>
      <c r="EA62" s="255">
        <v>0</v>
      </c>
      <c r="EB62" s="255">
        <v>0</v>
      </c>
      <c r="EC62" s="255">
        <v>0</v>
      </c>
      <c r="ED62" s="255">
        <v>0</v>
      </c>
      <c r="EE62" s="255">
        <v>0</v>
      </c>
      <c r="EF62" s="255">
        <v>0</v>
      </c>
      <c r="EG62" s="255">
        <v>0</v>
      </c>
      <c r="EH62" s="255">
        <v>0</v>
      </c>
      <c r="EI62" s="255">
        <v>0</v>
      </c>
      <c r="EJ62" s="255">
        <v>0</v>
      </c>
      <c r="EK62" s="255">
        <v>0</v>
      </c>
      <c r="EL62" s="255">
        <v>0</v>
      </c>
      <c r="EM62" s="255">
        <v>0</v>
      </c>
      <c r="EN62" s="255">
        <v>0</v>
      </c>
      <c r="EO62" s="255">
        <v>0</v>
      </c>
      <c r="EP62" s="255">
        <v>0</v>
      </c>
      <c r="EQ62" s="255">
        <v>0</v>
      </c>
      <c r="ER62" s="255">
        <v>0</v>
      </c>
      <c r="ES62" s="255">
        <v>0</v>
      </c>
      <c r="ET62" s="255">
        <v>0</v>
      </c>
      <c r="EU62" s="255">
        <v>0</v>
      </c>
      <c r="EV62" s="255">
        <v>0</v>
      </c>
      <c r="EW62" s="255">
        <v>0</v>
      </c>
      <c r="EX62" s="255">
        <v>0</v>
      </c>
      <c r="EY62" s="255">
        <v>0</v>
      </c>
      <c r="EZ62" s="255">
        <v>0</v>
      </c>
      <c r="FA62" s="255">
        <v>0</v>
      </c>
      <c r="FB62" s="255">
        <v>0</v>
      </c>
      <c r="FC62" s="255">
        <v>0</v>
      </c>
      <c r="FD62" s="255">
        <v>0</v>
      </c>
      <c r="FE62" s="255">
        <v>0</v>
      </c>
      <c r="FF62" s="255">
        <v>0</v>
      </c>
      <c r="FG62" s="255">
        <v>0</v>
      </c>
      <c r="FH62" s="255">
        <v>0</v>
      </c>
      <c r="FI62" s="255">
        <v>0</v>
      </c>
      <c r="FJ62" s="255">
        <v>0</v>
      </c>
      <c r="FK62" s="255">
        <v>0</v>
      </c>
      <c r="FL62" s="255">
        <v>0</v>
      </c>
      <c r="FM62" s="255">
        <v>0</v>
      </c>
      <c r="FN62" s="255">
        <v>0</v>
      </c>
      <c r="FO62" s="255">
        <v>0</v>
      </c>
      <c r="FP62" s="255">
        <v>0</v>
      </c>
      <c r="FQ62" s="255">
        <v>0</v>
      </c>
      <c r="FR62" s="255">
        <v>0</v>
      </c>
      <c r="FS62" s="255">
        <v>0</v>
      </c>
      <c r="FT62" s="255">
        <v>0</v>
      </c>
      <c r="FU62" s="255">
        <v>0</v>
      </c>
      <c r="FV62" s="255">
        <v>0</v>
      </c>
      <c r="FW62" s="255">
        <v>0</v>
      </c>
      <c r="FX62" s="116"/>
    </row>
    <row r="63" spans="2:180" x14ac:dyDescent="0.2">
      <c r="B63" s="253" t="s">
        <v>218</v>
      </c>
      <c r="C63" s="253" t="s">
        <v>296</v>
      </c>
      <c r="D63" s="253" t="s">
        <v>85</v>
      </c>
      <c r="E63" s="253" t="s">
        <v>127</v>
      </c>
      <c r="F63" s="253">
        <v>0</v>
      </c>
      <c r="G63" s="253" t="s">
        <v>268</v>
      </c>
      <c r="H63" s="237">
        <v>0</v>
      </c>
      <c r="I63" s="126">
        <f t="shared" si="85"/>
        <v>128321</v>
      </c>
      <c r="J63" s="116"/>
      <c r="K63" s="254">
        <v>0</v>
      </c>
      <c r="L63" s="254">
        <v>0</v>
      </c>
      <c r="M63" s="254">
        <v>0</v>
      </c>
      <c r="N63" s="254">
        <v>0</v>
      </c>
      <c r="O63" s="254">
        <v>0</v>
      </c>
      <c r="P63" s="254">
        <v>0</v>
      </c>
      <c r="Q63" s="254">
        <v>0</v>
      </c>
      <c r="R63" s="254">
        <v>0</v>
      </c>
      <c r="S63" s="254">
        <v>0</v>
      </c>
      <c r="T63" s="254">
        <v>0</v>
      </c>
      <c r="U63" s="254">
        <v>0</v>
      </c>
      <c r="V63" s="254">
        <v>0</v>
      </c>
      <c r="W63" s="254">
        <v>0</v>
      </c>
      <c r="X63" s="254">
        <v>7.7929567257113017E-2</v>
      </c>
      <c r="Y63" s="254">
        <v>0.15585913451422603</v>
      </c>
      <c r="Z63" s="254">
        <v>0.53242259645732182</v>
      </c>
      <c r="AA63" s="254">
        <v>0.15585913451422603</v>
      </c>
      <c r="AB63" s="254">
        <v>7.7929567257113017E-2</v>
      </c>
      <c r="AC63" s="254">
        <v>0</v>
      </c>
      <c r="AD63" s="254">
        <v>0</v>
      </c>
      <c r="AE63" s="254">
        <v>0</v>
      </c>
      <c r="AF63" s="254">
        <v>0</v>
      </c>
      <c r="AG63" s="254">
        <v>0</v>
      </c>
      <c r="AH63" s="254">
        <v>0</v>
      </c>
      <c r="AI63" s="254">
        <v>0</v>
      </c>
      <c r="AJ63" s="254">
        <v>0</v>
      </c>
      <c r="AK63" s="254">
        <v>0</v>
      </c>
      <c r="AL63" s="254">
        <v>0</v>
      </c>
      <c r="AM63" s="254">
        <v>0</v>
      </c>
      <c r="AN63" s="254">
        <v>0</v>
      </c>
      <c r="AO63" s="254">
        <v>0</v>
      </c>
      <c r="AP63" s="254">
        <v>0</v>
      </c>
      <c r="AQ63" s="254">
        <v>0</v>
      </c>
      <c r="AR63" s="254">
        <v>0</v>
      </c>
      <c r="AS63" s="254">
        <v>0</v>
      </c>
      <c r="AT63" s="254">
        <v>0</v>
      </c>
      <c r="AU63" s="254">
        <v>0</v>
      </c>
      <c r="AV63" s="254">
        <v>0</v>
      </c>
      <c r="AW63" s="254">
        <v>0</v>
      </c>
      <c r="AX63" s="254">
        <v>0</v>
      </c>
      <c r="AY63" s="254">
        <v>0</v>
      </c>
      <c r="AZ63" s="254">
        <v>0</v>
      </c>
      <c r="BA63" s="254">
        <v>0</v>
      </c>
      <c r="BB63" s="254">
        <v>0</v>
      </c>
      <c r="BC63" s="254">
        <v>0</v>
      </c>
      <c r="BD63" s="254">
        <v>0</v>
      </c>
      <c r="BE63" s="254">
        <v>0</v>
      </c>
      <c r="BF63" s="254">
        <v>0</v>
      </c>
      <c r="BG63" s="254">
        <v>0</v>
      </c>
      <c r="BH63" s="254">
        <v>0</v>
      </c>
      <c r="BI63" s="254">
        <v>0</v>
      </c>
      <c r="BJ63" s="254">
        <v>0</v>
      </c>
      <c r="BK63" s="254">
        <v>0</v>
      </c>
      <c r="BL63" s="254">
        <v>0</v>
      </c>
      <c r="BM63" s="254">
        <v>0</v>
      </c>
      <c r="BN63" s="254">
        <v>0</v>
      </c>
      <c r="BO63" s="254">
        <v>0</v>
      </c>
      <c r="BP63" s="254">
        <v>0</v>
      </c>
      <c r="BQ63" s="254">
        <v>0</v>
      </c>
      <c r="BR63" s="254">
        <v>0</v>
      </c>
      <c r="BS63" s="254">
        <v>0</v>
      </c>
      <c r="BT63" s="254">
        <v>0</v>
      </c>
      <c r="BU63" s="254">
        <v>0</v>
      </c>
      <c r="BV63" s="254">
        <v>0</v>
      </c>
      <c r="BW63" s="254">
        <v>0</v>
      </c>
      <c r="BX63" s="254">
        <v>0</v>
      </c>
      <c r="BY63" s="254">
        <v>0</v>
      </c>
      <c r="BZ63" s="254">
        <v>0</v>
      </c>
      <c r="CA63" s="254">
        <v>0</v>
      </c>
      <c r="CB63" s="254">
        <v>0</v>
      </c>
      <c r="CC63" s="254">
        <v>0</v>
      </c>
      <c r="CD63" s="254">
        <v>0</v>
      </c>
      <c r="CE63" s="254">
        <v>0</v>
      </c>
      <c r="CF63" s="254">
        <v>0</v>
      </c>
      <c r="CG63" s="254">
        <v>0</v>
      </c>
      <c r="CH63" s="254">
        <v>0</v>
      </c>
      <c r="CI63" s="254">
        <v>0</v>
      </c>
      <c r="CJ63" s="254">
        <v>0</v>
      </c>
      <c r="CK63" s="254">
        <v>0</v>
      </c>
      <c r="CL63" s="254">
        <v>0</v>
      </c>
      <c r="CM63" s="254">
        <v>0</v>
      </c>
      <c r="CN63" s="254">
        <v>0</v>
      </c>
      <c r="CO63" s="254">
        <v>0</v>
      </c>
      <c r="CP63" s="254">
        <v>0</v>
      </c>
      <c r="CQ63" s="116"/>
      <c r="CR63" s="255">
        <v>0</v>
      </c>
      <c r="CS63" s="255">
        <v>0</v>
      </c>
      <c r="CT63" s="255">
        <v>0</v>
      </c>
      <c r="CU63" s="255">
        <v>0</v>
      </c>
      <c r="CV63" s="255">
        <v>0</v>
      </c>
      <c r="CW63" s="255">
        <v>0</v>
      </c>
      <c r="CX63" s="255">
        <v>0</v>
      </c>
      <c r="CY63" s="255">
        <v>0</v>
      </c>
      <c r="CZ63" s="255">
        <v>0</v>
      </c>
      <c r="DA63" s="255">
        <v>0</v>
      </c>
      <c r="DB63" s="255">
        <v>0</v>
      </c>
      <c r="DC63" s="255">
        <v>0</v>
      </c>
      <c r="DD63" s="255">
        <v>0</v>
      </c>
      <c r="DE63" s="255">
        <v>10000</v>
      </c>
      <c r="DF63" s="255">
        <v>20000</v>
      </c>
      <c r="DG63" s="255">
        <v>68321</v>
      </c>
      <c r="DH63" s="255">
        <v>20000</v>
      </c>
      <c r="DI63" s="255">
        <v>10000</v>
      </c>
      <c r="DJ63" s="255">
        <v>0</v>
      </c>
      <c r="DK63" s="255">
        <v>0</v>
      </c>
      <c r="DL63" s="255">
        <v>0</v>
      </c>
      <c r="DM63" s="255">
        <v>0</v>
      </c>
      <c r="DN63" s="255">
        <v>0</v>
      </c>
      <c r="DO63" s="255">
        <v>0</v>
      </c>
      <c r="DP63" s="255">
        <v>0</v>
      </c>
      <c r="DQ63" s="255">
        <v>0</v>
      </c>
      <c r="DR63" s="255">
        <v>0</v>
      </c>
      <c r="DS63" s="255">
        <v>0</v>
      </c>
      <c r="DT63" s="255">
        <v>0</v>
      </c>
      <c r="DU63" s="255">
        <v>0</v>
      </c>
      <c r="DV63" s="255">
        <v>0</v>
      </c>
      <c r="DW63" s="255">
        <v>0</v>
      </c>
      <c r="DX63" s="255">
        <v>0</v>
      </c>
      <c r="DY63" s="255">
        <v>0</v>
      </c>
      <c r="DZ63" s="255">
        <v>0</v>
      </c>
      <c r="EA63" s="255">
        <v>0</v>
      </c>
      <c r="EB63" s="255">
        <v>0</v>
      </c>
      <c r="EC63" s="255">
        <v>0</v>
      </c>
      <c r="ED63" s="255">
        <v>0</v>
      </c>
      <c r="EE63" s="255">
        <v>0</v>
      </c>
      <c r="EF63" s="255">
        <v>0</v>
      </c>
      <c r="EG63" s="255">
        <v>0</v>
      </c>
      <c r="EH63" s="255">
        <v>0</v>
      </c>
      <c r="EI63" s="255">
        <v>0</v>
      </c>
      <c r="EJ63" s="255">
        <v>0</v>
      </c>
      <c r="EK63" s="255">
        <v>0</v>
      </c>
      <c r="EL63" s="255">
        <v>0</v>
      </c>
      <c r="EM63" s="255">
        <v>0</v>
      </c>
      <c r="EN63" s="255">
        <v>0</v>
      </c>
      <c r="EO63" s="255">
        <v>0</v>
      </c>
      <c r="EP63" s="255">
        <v>0</v>
      </c>
      <c r="EQ63" s="255">
        <v>0</v>
      </c>
      <c r="ER63" s="255">
        <v>0</v>
      </c>
      <c r="ES63" s="255">
        <v>0</v>
      </c>
      <c r="ET63" s="255">
        <v>0</v>
      </c>
      <c r="EU63" s="255">
        <v>0</v>
      </c>
      <c r="EV63" s="255">
        <v>0</v>
      </c>
      <c r="EW63" s="255">
        <v>0</v>
      </c>
      <c r="EX63" s="255">
        <v>0</v>
      </c>
      <c r="EY63" s="255">
        <v>0</v>
      </c>
      <c r="EZ63" s="255">
        <v>0</v>
      </c>
      <c r="FA63" s="255">
        <v>0</v>
      </c>
      <c r="FB63" s="255">
        <v>0</v>
      </c>
      <c r="FC63" s="255">
        <v>0</v>
      </c>
      <c r="FD63" s="255">
        <v>0</v>
      </c>
      <c r="FE63" s="255">
        <v>0</v>
      </c>
      <c r="FF63" s="255">
        <v>0</v>
      </c>
      <c r="FG63" s="255">
        <v>0</v>
      </c>
      <c r="FH63" s="255">
        <v>0</v>
      </c>
      <c r="FI63" s="255">
        <v>0</v>
      </c>
      <c r="FJ63" s="255">
        <v>0</v>
      </c>
      <c r="FK63" s="255">
        <v>0</v>
      </c>
      <c r="FL63" s="255">
        <v>0</v>
      </c>
      <c r="FM63" s="255">
        <v>0</v>
      </c>
      <c r="FN63" s="255">
        <v>0</v>
      </c>
      <c r="FO63" s="255">
        <v>0</v>
      </c>
      <c r="FP63" s="255">
        <v>0</v>
      </c>
      <c r="FQ63" s="255">
        <v>0</v>
      </c>
      <c r="FR63" s="255">
        <v>0</v>
      </c>
      <c r="FS63" s="255">
        <v>0</v>
      </c>
      <c r="FT63" s="255">
        <v>0</v>
      </c>
      <c r="FU63" s="255">
        <v>0</v>
      </c>
      <c r="FV63" s="255">
        <v>0</v>
      </c>
      <c r="FW63" s="255">
        <v>0</v>
      </c>
      <c r="FX63" s="116"/>
    </row>
    <row r="64" spans="2:180" x14ac:dyDescent="0.2">
      <c r="B64" s="253" t="s">
        <v>218</v>
      </c>
      <c r="C64" s="253" t="s">
        <v>297</v>
      </c>
      <c r="D64" s="253" t="s">
        <v>85</v>
      </c>
      <c r="E64" s="253" t="s">
        <v>127</v>
      </c>
      <c r="F64" s="253">
        <v>0</v>
      </c>
      <c r="G64" s="253" t="s">
        <v>268</v>
      </c>
      <c r="H64" s="237">
        <v>0</v>
      </c>
      <c r="I64" s="126">
        <f t="shared" si="85"/>
        <v>311200</v>
      </c>
      <c r="J64" s="116"/>
      <c r="K64" s="254">
        <v>0</v>
      </c>
      <c r="L64" s="254">
        <v>0</v>
      </c>
      <c r="M64" s="254">
        <v>0</v>
      </c>
      <c r="N64" s="254">
        <v>0</v>
      </c>
      <c r="O64" s="254">
        <v>0</v>
      </c>
      <c r="P64" s="254">
        <v>0</v>
      </c>
      <c r="Q64" s="254">
        <v>0</v>
      </c>
      <c r="R64" s="254">
        <v>0</v>
      </c>
      <c r="S64" s="254">
        <v>0</v>
      </c>
      <c r="T64" s="254">
        <v>0</v>
      </c>
      <c r="U64" s="254">
        <v>0</v>
      </c>
      <c r="V64" s="254">
        <v>0</v>
      </c>
      <c r="W64" s="254">
        <v>0</v>
      </c>
      <c r="X64" s="254">
        <v>0</v>
      </c>
      <c r="Y64" s="254">
        <v>0</v>
      </c>
      <c r="Z64" s="254">
        <v>0</v>
      </c>
      <c r="AA64" s="254">
        <v>0</v>
      </c>
      <c r="AB64" s="254">
        <v>0</v>
      </c>
      <c r="AC64" s="254">
        <v>0</v>
      </c>
      <c r="AD64" s="254">
        <v>0</v>
      </c>
      <c r="AE64" s="254">
        <v>0</v>
      </c>
      <c r="AF64" s="254">
        <v>0</v>
      </c>
      <c r="AG64" s="254">
        <v>0</v>
      </c>
      <c r="AH64" s="254">
        <v>0.57840616966580982</v>
      </c>
      <c r="AI64" s="254">
        <v>0.1372107969151671</v>
      </c>
      <c r="AJ64" s="254">
        <v>0.28438303341902316</v>
      </c>
      <c r="AK64" s="254">
        <v>0</v>
      </c>
      <c r="AL64" s="254">
        <v>0</v>
      </c>
      <c r="AM64" s="254">
        <v>0</v>
      </c>
      <c r="AN64" s="254">
        <v>0</v>
      </c>
      <c r="AO64" s="254">
        <v>0</v>
      </c>
      <c r="AP64" s="254">
        <v>0</v>
      </c>
      <c r="AQ64" s="254">
        <v>0</v>
      </c>
      <c r="AR64" s="254">
        <v>0</v>
      </c>
      <c r="AS64" s="254">
        <v>0</v>
      </c>
      <c r="AT64" s="254">
        <v>0</v>
      </c>
      <c r="AU64" s="254">
        <v>0</v>
      </c>
      <c r="AV64" s="254">
        <v>0</v>
      </c>
      <c r="AW64" s="254">
        <v>0</v>
      </c>
      <c r="AX64" s="254">
        <v>0</v>
      </c>
      <c r="AY64" s="254">
        <v>0</v>
      </c>
      <c r="AZ64" s="254">
        <v>0</v>
      </c>
      <c r="BA64" s="254">
        <v>0</v>
      </c>
      <c r="BB64" s="254">
        <v>0</v>
      </c>
      <c r="BC64" s="254">
        <v>0</v>
      </c>
      <c r="BD64" s="254">
        <v>0</v>
      </c>
      <c r="BE64" s="254">
        <v>0</v>
      </c>
      <c r="BF64" s="254">
        <v>0</v>
      </c>
      <c r="BG64" s="254">
        <v>0</v>
      </c>
      <c r="BH64" s="254">
        <v>0</v>
      </c>
      <c r="BI64" s="254">
        <v>0</v>
      </c>
      <c r="BJ64" s="254">
        <v>0</v>
      </c>
      <c r="BK64" s="254">
        <v>0</v>
      </c>
      <c r="BL64" s="254">
        <v>0</v>
      </c>
      <c r="BM64" s="254">
        <v>0</v>
      </c>
      <c r="BN64" s="254">
        <v>0</v>
      </c>
      <c r="BO64" s="254">
        <v>0</v>
      </c>
      <c r="BP64" s="254">
        <v>0</v>
      </c>
      <c r="BQ64" s="254">
        <v>0</v>
      </c>
      <c r="BR64" s="254">
        <v>0</v>
      </c>
      <c r="BS64" s="254">
        <v>0</v>
      </c>
      <c r="BT64" s="254">
        <v>0</v>
      </c>
      <c r="BU64" s="254">
        <v>0</v>
      </c>
      <c r="BV64" s="254">
        <v>0</v>
      </c>
      <c r="BW64" s="254">
        <v>0</v>
      </c>
      <c r="BX64" s="254">
        <v>0</v>
      </c>
      <c r="BY64" s="254">
        <v>0</v>
      </c>
      <c r="BZ64" s="254">
        <v>0</v>
      </c>
      <c r="CA64" s="254">
        <v>0</v>
      </c>
      <c r="CB64" s="254">
        <v>0</v>
      </c>
      <c r="CC64" s="254">
        <v>0</v>
      </c>
      <c r="CD64" s="254">
        <v>0</v>
      </c>
      <c r="CE64" s="254">
        <v>0</v>
      </c>
      <c r="CF64" s="254">
        <v>0</v>
      </c>
      <c r="CG64" s="254">
        <v>0</v>
      </c>
      <c r="CH64" s="254">
        <v>0</v>
      </c>
      <c r="CI64" s="254">
        <v>0</v>
      </c>
      <c r="CJ64" s="254">
        <v>0</v>
      </c>
      <c r="CK64" s="254">
        <v>0</v>
      </c>
      <c r="CL64" s="254">
        <v>0</v>
      </c>
      <c r="CM64" s="254">
        <v>0</v>
      </c>
      <c r="CN64" s="254">
        <v>0</v>
      </c>
      <c r="CO64" s="254">
        <v>0</v>
      </c>
      <c r="CP64" s="254">
        <v>0</v>
      </c>
      <c r="CQ64" s="116"/>
      <c r="CR64" s="255">
        <v>0</v>
      </c>
      <c r="CS64" s="255">
        <v>0</v>
      </c>
      <c r="CT64" s="255">
        <v>0</v>
      </c>
      <c r="CU64" s="255">
        <v>0</v>
      </c>
      <c r="CV64" s="255">
        <v>0</v>
      </c>
      <c r="CW64" s="255">
        <v>0</v>
      </c>
      <c r="CX64" s="255">
        <v>0</v>
      </c>
      <c r="CY64" s="255">
        <v>0</v>
      </c>
      <c r="CZ64" s="255">
        <v>0</v>
      </c>
      <c r="DA64" s="255">
        <v>0</v>
      </c>
      <c r="DB64" s="255">
        <v>0</v>
      </c>
      <c r="DC64" s="255">
        <v>0</v>
      </c>
      <c r="DD64" s="255">
        <v>0</v>
      </c>
      <c r="DE64" s="255">
        <v>0</v>
      </c>
      <c r="DF64" s="255">
        <v>0</v>
      </c>
      <c r="DG64" s="255">
        <v>0</v>
      </c>
      <c r="DH64" s="255">
        <v>0</v>
      </c>
      <c r="DI64" s="255">
        <v>0</v>
      </c>
      <c r="DJ64" s="255">
        <v>0</v>
      </c>
      <c r="DK64" s="255">
        <v>0</v>
      </c>
      <c r="DL64" s="255">
        <v>0</v>
      </c>
      <c r="DM64" s="255">
        <v>0</v>
      </c>
      <c r="DN64" s="255">
        <v>0</v>
      </c>
      <c r="DO64" s="255">
        <v>180000</v>
      </c>
      <c r="DP64" s="255">
        <v>42700</v>
      </c>
      <c r="DQ64" s="255">
        <v>88500</v>
      </c>
      <c r="DR64" s="255">
        <v>0</v>
      </c>
      <c r="DS64" s="255">
        <v>0</v>
      </c>
      <c r="DT64" s="255">
        <v>0</v>
      </c>
      <c r="DU64" s="255">
        <v>0</v>
      </c>
      <c r="DV64" s="255">
        <v>0</v>
      </c>
      <c r="DW64" s="255">
        <v>0</v>
      </c>
      <c r="DX64" s="255">
        <v>0</v>
      </c>
      <c r="DY64" s="255">
        <v>0</v>
      </c>
      <c r="DZ64" s="255">
        <v>0</v>
      </c>
      <c r="EA64" s="255">
        <v>0</v>
      </c>
      <c r="EB64" s="255">
        <v>0</v>
      </c>
      <c r="EC64" s="255">
        <v>0</v>
      </c>
      <c r="ED64" s="255">
        <v>0</v>
      </c>
      <c r="EE64" s="255">
        <v>0</v>
      </c>
      <c r="EF64" s="255">
        <v>0</v>
      </c>
      <c r="EG64" s="255">
        <v>0</v>
      </c>
      <c r="EH64" s="255">
        <v>0</v>
      </c>
      <c r="EI64" s="255">
        <v>0</v>
      </c>
      <c r="EJ64" s="255">
        <v>0</v>
      </c>
      <c r="EK64" s="255">
        <v>0</v>
      </c>
      <c r="EL64" s="255">
        <v>0</v>
      </c>
      <c r="EM64" s="255">
        <v>0</v>
      </c>
      <c r="EN64" s="255">
        <v>0</v>
      </c>
      <c r="EO64" s="255">
        <v>0</v>
      </c>
      <c r="EP64" s="255">
        <v>0</v>
      </c>
      <c r="EQ64" s="255">
        <v>0</v>
      </c>
      <c r="ER64" s="255">
        <v>0</v>
      </c>
      <c r="ES64" s="255">
        <v>0</v>
      </c>
      <c r="ET64" s="255">
        <v>0</v>
      </c>
      <c r="EU64" s="255">
        <v>0</v>
      </c>
      <c r="EV64" s="255">
        <v>0</v>
      </c>
      <c r="EW64" s="255">
        <v>0</v>
      </c>
      <c r="EX64" s="255">
        <v>0</v>
      </c>
      <c r="EY64" s="255">
        <v>0</v>
      </c>
      <c r="EZ64" s="255">
        <v>0</v>
      </c>
      <c r="FA64" s="255">
        <v>0</v>
      </c>
      <c r="FB64" s="255">
        <v>0</v>
      </c>
      <c r="FC64" s="255">
        <v>0</v>
      </c>
      <c r="FD64" s="255">
        <v>0</v>
      </c>
      <c r="FE64" s="255">
        <v>0</v>
      </c>
      <c r="FF64" s="255">
        <v>0</v>
      </c>
      <c r="FG64" s="255">
        <v>0</v>
      </c>
      <c r="FH64" s="255">
        <v>0</v>
      </c>
      <c r="FI64" s="255">
        <v>0</v>
      </c>
      <c r="FJ64" s="255">
        <v>0</v>
      </c>
      <c r="FK64" s="255">
        <v>0</v>
      </c>
      <c r="FL64" s="255">
        <v>0</v>
      </c>
      <c r="FM64" s="255">
        <v>0</v>
      </c>
      <c r="FN64" s="255">
        <v>0</v>
      </c>
      <c r="FO64" s="255">
        <v>0</v>
      </c>
      <c r="FP64" s="255">
        <v>0</v>
      </c>
      <c r="FQ64" s="255">
        <v>0</v>
      </c>
      <c r="FR64" s="255">
        <v>0</v>
      </c>
      <c r="FS64" s="255">
        <v>0</v>
      </c>
      <c r="FT64" s="255">
        <v>0</v>
      </c>
      <c r="FU64" s="255">
        <v>0</v>
      </c>
      <c r="FV64" s="255">
        <v>0</v>
      </c>
      <c r="FW64" s="255">
        <v>0</v>
      </c>
      <c r="FX64" s="116"/>
    </row>
    <row r="65" spans="2:180" x14ac:dyDescent="0.2">
      <c r="B65" s="253" t="s">
        <v>218</v>
      </c>
      <c r="C65" s="253" t="s">
        <v>298</v>
      </c>
      <c r="D65" s="253" t="s">
        <v>258</v>
      </c>
      <c r="E65" s="253" t="s">
        <v>127</v>
      </c>
      <c r="F65" s="253" t="s">
        <v>259</v>
      </c>
      <c r="G65" s="253" t="s">
        <v>260</v>
      </c>
      <c r="H65" s="237">
        <v>311.75</v>
      </c>
      <c r="I65" s="126">
        <f t="shared" si="85"/>
        <v>50227.98000000001</v>
      </c>
      <c r="J65" s="116"/>
      <c r="K65" s="254">
        <v>0</v>
      </c>
      <c r="L65" s="254">
        <v>0</v>
      </c>
      <c r="M65" s="254">
        <v>0</v>
      </c>
      <c r="N65" s="254">
        <v>0</v>
      </c>
      <c r="O65" s="254">
        <v>0</v>
      </c>
      <c r="P65" s="254">
        <v>0</v>
      </c>
      <c r="Q65" s="254">
        <v>0.26428571428571429</v>
      </c>
      <c r="R65" s="254">
        <v>0.24285714285714285</v>
      </c>
      <c r="S65" s="254">
        <v>0.15714285714285714</v>
      </c>
      <c r="T65" s="254">
        <v>0.20714285714285716</v>
      </c>
      <c r="U65" s="254">
        <v>8.5714285714285715E-2</v>
      </c>
      <c r="V65" s="254">
        <v>0.22857142857142856</v>
      </c>
      <c r="W65" s="254">
        <v>7.6190476190476197E-2</v>
      </c>
      <c r="X65" s="254">
        <v>0</v>
      </c>
      <c r="Y65" s="254">
        <v>0</v>
      </c>
      <c r="Z65" s="254">
        <v>0</v>
      </c>
      <c r="AA65" s="254">
        <v>0</v>
      </c>
      <c r="AB65" s="254">
        <v>0</v>
      </c>
      <c r="AC65" s="254">
        <v>0</v>
      </c>
      <c r="AD65" s="254">
        <v>0</v>
      </c>
      <c r="AE65" s="254">
        <v>0</v>
      </c>
      <c r="AF65" s="254">
        <v>0</v>
      </c>
      <c r="AG65" s="254">
        <v>0</v>
      </c>
      <c r="AH65" s="254">
        <v>0</v>
      </c>
      <c r="AI65" s="254">
        <v>0</v>
      </c>
      <c r="AJ65" s="254">
        <v>0</v>
      </c>
      <c r="AK65" s="254">
        <v>0</v>
      </c>
      <c r="AL65" s="254">
        <v>0</v>
      </c>
      <c r="AM65" s="254">
        <v>0</v>
      </c>
      <c r="AN65" s="254">
        <v>0</v>
      </c>
      <c r="AO65" s="254">
        <v>0</v>
      </c>
      <c r="AP65" s="254">
        <v>0</v>
      </c>
      <c r="AQ65" s="254">
        <v>0</v>
      </c>
      <c r="AR65" s="254">
        <v>0</v>
      </c>
      <c r="AS65" s="254">
        <v>0</v>
      </c>
      <c r="AT65" s="254">
        <v>0</v>
      </c>
      <c r="AU65" s="254">
        <v>0</v>
      </c>
      <c r="AV65" s="254">
        <v>0</v>
      </c>
      <c r="AW65" s="254">
        <v>0</v>
      </c>
      <c r="AX65" s="254">
        <v>0</v>
      </c>
      <c r="AY65" s="254">
        <v>0</v>
      </c>
      <c r="AZ65" s="254">
        <v>0</v>
      </c>
      <c r="BA65" s="254">
        <v>0</v>
      </c>
      <c r="BB65" s="254">
        <v>0</v>
      </c>
      <c r="BC65" s="254">
        <v>0</v>
      </c>
      <c r="BD65" s="254">
        <v>0</v>
      </c>
      <c r="BE65" s="254">
        <v>0</v>
      </c>
      <c r="BF65" s="254">
        <v>0</v>
      </c>
      <c r="BG65" s="254">
        <v>0</v>
      </c>
      <c r="BH65" s="254">
        <v>0</v>
      </c>
      <c r="BI65" s="254">
        <v>0</v>
      </c>
      <c r="BJ65" s="254">
        <v>0</v>
      </c>
      <c r="BK65" s="254">
        <v>0</v>
      </c>
      <c r="BL65" s="254">
        <v>0</v>
      </c>
      <c r="BM65" s="254">
        <v>0</v>
      </c>
      <c r="BN65" s="254">
        <v>0</v>
      </c>
      <c r="BO65" s="254">
        <v>0</v>
      </c>
      <c r="BP65" s="254">
        <v>0</v>
      </c>
      <c r="BQ65" s="254">
        <v>0</v>
      </c>
      <c r="BR65" s="254">
        <v>0</v>
      </c>
      <c r="BS65" s="254">
        <v>0</v>
      </c>
      <c r="BT65" s="254">
        <v>0</v>
      </c>
      <c r="BU65" s="254">
        <v>0</v>
      </c>
      <c r="BV65" s="254">
        <v>0</v>
      </c>
      <c r="BW65" s="254">
        <v>0</v>
      </c>
      <c r="BX65" s="254">
        <v>0</v>
      </c>
      <c r="BY65" s="254">
        <v>0</v>
      </c>
      <c r="BZ65" s="254">
        <v>0</v>
      </c>
      <c r="CA65" s="254">
        <v>0</v>
      </c>
      <c r="CB65" s="254">
        <v>0</v>
      </c>
      <c r="CC65" s="254">
        <v>0</v>
      </c>
      <c r="CD65" s="254">
        <v>0</v>
      </c>
      <c r="CE65" s="254">
        <v>0</v>
      </c>
      <c r="CF65" s="254">
        <v>0</v>
      </c>
      <c r="CG65" s="254">
        <v>0</v>
      </c>
      <c r="CH65" s="254">
        <v>0</v>
      </c>
      <c r="CI65" s="254">
        <v>0</v>
      </c>
      <c r="CJ65" s="254">
        <v>0</v>
      </c>
      <c r="CK65" s="254">
        <v>0</v>
      </c>
      <c r="CL65" s="254">
        <v>0</v>
      </c>
      <c r="CM65" s="254">
        <v>0</v>
      </c>
      <c r="CN65" s="254">
        <v>0</v>
      </c>
      <c r="CO65" s="254">
        <v>0</v>
      </c>
      <c r="CP65" s="254">
        <v>0</v>
      </c>
      <c r="CQ65" s="116"/>
      <c r="CR65" s="255">
        <v>0</v>
      </c>
      <c r="CS65" s="255">
        <v>0</v>
      </c>
      <c r="CT65" s="255">
        <v>0</v>
      </c>
      <c r="CU65" s="255">
        <v>0</v>
      </c>
      <c r="CV65" s="255">
        <v>0</v>
      </c>
      <c r="CW65" s="255">
        <v>0</v>
      </c>
      <c r="CX65" s="255">
        <v>11195.400000000003</v>
      </c>
      <c r="CY65" s="255">
        <v>10287.680000000004</v>
      </c>
      <c r="CZ65" s="255">
        <v>6656.7199999999993</v>
      </c>
      <c r="DA65" s="255">
        <v>8774.77</v>
      </c>
      <c r="DB65" s="255">
        <v>3630.9300000000003</v>
      </c>
      <c r="DC65" s="255">
        <v>7261.8599999999988</v>
      </c>
      <c r="DD65" s="255">
        <v>2420.62</v>
      </c>
      <c r="DE65" s="255">
        <v>0</v>
      </c>
      <c r="DF65" s="255">
        <v>0</v>
      </c>
      <c r="DG65" s="255">
        <v>0</v>
      </c>
      <c r="DH65" s="255">
        <v>0</v>
      </c>
      <c r="DI65" s="255">
        <v>0</v>
      </c>
      <c r="DJ65" s="255">
        <v>0</v>
      </c>
      <c r="DK65" s="255">
        <v>0</v>
      </c>
      <c r="DL65" s="255">
        <v>0</v>
      </c>
      <c r="DM65" s="255">
        <v>0</v>
      </c>
      <c r="DN65" s="255">
        <v>0</v>
      </c>
      <c r="DO65" s="255">
        <v>0</v>
      </c>
      <c r="DP65" s="255">
        <v>0</v>
      </c>
      <c r="DQ65" s="255">
        <v>0</v>
      </c>
      <c r="DR65" s="255">
        <v>0</v>
      </c>
      <c r="DS65" s="255">
        <v>0</v>
      </c>
      <c r="DT65" s="255">
        <v>0</v>
      </c>
      <c r="DU65" s="255">
        <v>0</v>
      </c>
      <c r="DV65" s="255">
        <v>0</v>
      </c>
      <c r="DW65" s="255">
        <v>0</v>
      </c>
      <c r="DX65" s="255">
        <v>0</v>
      </c>
      <c r="DY65" s="255">
        <v>0</v>
      </c>
      <c r="DZ65" s="255">
        <v>0</v>
      </c>
      <c r="EA65" s="255">
        <v>0</v>
      </c>
      <c r="EB65" s="255">
        <v>0</v>
      </c>
      <c r="EC65" s="255">
        <v>0</v>
      </c>
      <c r="ED65" s="255">
        <v>0</v>
      </c>
      <c r="EE65" s="255">
        <v>0</v>
      </c>
      <c r="EF65" s="255">
        <v>0</v>
      </c>
      <c r="EG65" s="255">
        <v>0</v>
      </c>
      <c r="EH65" s="255">
        <v>0</v>
      </c>
      <c r="EI65" s="255">
        <v>0</v>
      </c>
      <c r="EJ65" s="255">
        <v>0</v>
      </c>
      <c r="EK65" s="255">
        <v>0</v>
      </c>
      <c r="EL65" s="255">
        <v>0</v>
      </c>
      <c r="EM65" s="255">
        <v>0</v>
      </c>
      <c r="EN65" s="255">
        <v>0</v>
      </c>
      <c r="EO65" s="255">
        <v>0</v>
      </c>
      <c r="EP65" s="255">
        <v>0</v>
      </c>
      <c r="EQ65" s="255">
        <v>0</v>
      </c>
      <c r="ER65" s="255">
        <v>0</v>
      </c>
      <c r="ES65" s="255">
        <v>0</v>
      </c>
      <c r="ET65" s="255">
        <v>0</v>
      </c>
      <c r="EU65" s="255">
        <v>0</v>
      </c>
      <c r="EV65" s="255">
        <v>0</v>
      </c>
      <c r="EW65" s="255">
        <v>0</v>
      </c>
      <c r="EX65" s="255">
        <v>0</v>
      </c>
      <c r="EY65" s="255">
        <v>0</v>
      </c>
      <c r="EZ65" s="255">
        <v>0</v>
      </c>
      <c r="FA65" s="255">
        <v>0</v>
      </c>
      <c r="FB65" s="255">
        <v>0</v>
      </c>
      <c r="FC65" s="255">
        <v>0</v>
      </c>
      <c r="FD65" s="255">
        <v>0</v>
      </c>
      <c r="FE65" s="255">
        <v>0</v>
      </c>
      <c r="FF65" s="255">
        <v>0</v>
      </c>
      <c r="FG65" s="255">
        <v>0</v>
      </c>
      <c r="FH65" s="255">
        <v>0</v>
      </c>
      <c r="FI65" s="255">
        <v>0</v>
      </c>
      <c r="FJ65" s="255">
        <v>0</v>
      </c>
      <c r="FK65" s="255">
        <v>0</v>
      </c>
      <c r="FL65" s="255">
        <v>0</v>
      </c>
      <c r="FM65" s="255">
        <v>0</v>
      </c>
      <c r="FN65" s="255">
        <v>0</v>
      </c>
      <c r="FO65" s="255">
        <v>0</v>
      </c>
      <c r="FP65" s="255">
        <v>0</v>
      </c>
      <c r="FQ65" s="255">
        <v>0</v>
      </c>
      <c r="FR65" s="255">
        <v>0</v>
      </c>
      <c r="FS65" s="255">
        <v>0</v>
      </c>
      <c r="FT65" s="255">
        <v>0</v>
      </c>
      <c r="FU65" s="255">
        <v>0</v>
      </c>
      <c r="FV65" s="255">
        <v>0</v>
      </c>
      <c r="FW65" s="255">
        <v>0</v>
      </c>
      <c r="FX65" s="116"/>
    </row>
    <row r="66" spans="2:180" x14ac:dyDescent="0.2">
      <c r="B66" s="253" t="s">
        <v>218</v>
      </c>
      <c r="C66" s="253" t="s">
        <v>299</v>
      </c>
      <c r="D66" s="253" t="s">
        <v>258</v>
      </c>
      <c r="E66" s="253" t="s">
        <v>127</v>
      </c>
      <c r="F66" s="253" t="s">
        <v>259</v>
      </c>
      <c r="G66" s="253" t="s">
        <v>260</v>
      </c>
      <c r="H66" s="237">
        <v>333.23</v>
      </c>
      <c r="I66" s="126">
        <f t="shared" si="85"/>
        <v>29449.030000000002</v>
      </c>
      <c r="J66" s="116"/>
      <c r="K66" s="254">
        <v>0</v>
      </c>
      <c r="L66" s="254">
        <v>0</v>
      </c>
      <c r="M66" s="254">
        <v>0</v>
      </c>
      <c r="N66" s="254">
        <v>0</v>
      </c>
      <c r="O66" s="254">
        <v>0</v>
      </c>
      <c r="P66" s="254">
        <v>0</v>
      </c>
      <c r="Q66" s="254">
        <v>0</v>
      </c>
      <c r="R66" s="254">
        <v>0</v>
      </c>
      <c r="S66" s="254">
        <v>0.3</v>
      </c>
      <c r="T66" s="254">
        <v>0.15</v>
      </c>
      <c r="U66" s="254">
        <v>0.05</v>
      </c>
      <c r="V66" s="254">
        <v>0</v>
      </c>
      <c r="W66" s="254">
        <v>0.2</v>
      </c>
      <c r="X66" s="254">
        <v>0</v>
      </c>
      <c r="Y66" s="254">
        <v>0</v>
      </c>
      <c r="Z66" s="254">
        <v>0</v>
      </c>
      <c r="AA66" s="254">
        <v>0</v>
      </c>
      <c r="AB66" s="254">
        <v>0</v>
      </c>
      <c r="AC66" s="254">
        <v>0</v>
      </c>
      <c r="AD66" s="254">
        <v>0</v>
      </c>
      <c r="AE66" s="254">
        <v>0</v>
      </c>
      <c r="AF66" s="254">
        <v>0</v>
      </c>
      <c r="AG66" s="254">
        <v>0</v>
      </c>
      <c r="AH66" s="254">
        <v>0</v>
      </c>
      <c r="AI66" s="254">
        <v>0</v>
      </c>
      <c r="AJ66" s="254">
        <v>0</v>
      </c>
      <c r="AK66" s="254">
        <v>0</v>
      </c>
      <c r="AL66" s="254">
        <v>0</v>
      </c>
      <c r="AM66" s="254">
        <v>0</v>
      </c>
      <c r="AN66" s="254">
        <v>0</v>
      </c>
      <c r="AO66" s="254">
        <v>0</v>
      </c>
      <c r="AP66" s="254">
        <v>0</v>
      </c>
      <c r="AQ66" s="254">
        <v>0</v>
      </c>
      <c r="AR66" s="254">
        <v>0</v>
      </c>
      <c r="AS66" s="254">
        <v>0</v>
      </c>
      <c r="AT66" s="254">
        <v>0</v>
      </c>
      <c r="AU66" s="254">
        <v>0</v>
      </c>
      <c r="AV66" s="254">
        <v>0</v>
      </c>
      <c r="AW66" s="254">
        <v>0</v>
      </c>
      <c r="AX66" s="254">
        <v>0</v>
      </c>
      <c r="AY66" s="254">
        <v>0</v>
      </c>
      <c r="AZ66" s="254">
        <v>0</v>
      </c>
      <c r="BA66" s="254">
        <v>0</v>
      </c>
      <c r="BB66" s="254">
        <v>0</v>
      </c>
      <c r="BC66" s="254">
        <v>0</v>
      </c>
      <c r="BD66" s="254">
        <v>0</v>
      </c>
      <c r="BE66" s="254">
        <v>0</v>
      </c>
      <c r="BF66" s="254">
        <v>0</v>
      </c>
      <c r="BG66" s="254">
        <v>0</v>
      </c>
      <c r="BH66" s="254">
        <v>0</v>
      </c>
      <c r="BI66" s="254">
        <v>0</v>
      </c>
      <c r="BJ66" s="254">
        <v>0</v>
      </c>
      <c r="BK66" s="254">
        <v>0</v>
      </c>
      <c r="BL66" s="254">
        <v>0</v>
      </c>
      <c r="BM66" s="254">
        <v>0</v>
      </c>
      <c r="BN66" s="254">
        <v>0</v>
      </c>
      <c r="BO66" s="254">
        <v>0</v>
      </c>
      <c r="BP66" s="254">
        <v>0</v>
      </c>
      <c r="BQ66" s="254">
        <v>0</v>
      </c>
      <c r="BR66" s="254">
        <v>0</v>
      </c>
      <c r="BS66" s="254">
        <v>0</v>
      </c>
      <c r="BT66" s="254">
        <v>0</v>
      </c>
      <c r="BU66" s="254">
        <v>0</v>
      </c>
      <c r="BV66" s="254">
        <v>0</v>
      </c>
      <c r="BW66" s="254">
        <v>0</v>
      </c>
      <c r="BX66" s="254">
        <v>0</v>
      </c>
      <c r="BY66" s="254">
        <v>0</v>
      </c>
      <c r="BZ66" s="254">
        <v>0</v>
      </c>
      <c r="CA66" s="254">
        <v>0</v>
      </c>
      <c r="CB66" s="254">
        <v>0</v>
      </c>
      <c r="CC66" s="254">
        <v>0</v>
      </c>
      <c r="CD66" s="254">
        <v>0</v>
      </c>
      <c r="CE66" s="254">
        <v>0</v>
      </c>
      <c r="CF66" s="254">
        <v>0</v>
      </c>
      <c r="CG66" s="254">
        <v>0</v>
      </c>
      <c r="CH66" s="254">
        <v>0</v>
      </c>
      <c r="CI66" s="254">
        <v>0</v>
      </c>
      <c r="CJ66" s="254">
        <v>0</v>
      </c>
      <c r="CK66" s="254">
        <v>0</v>
      </c>
      <c r="CL66" s="254">
        <v>0</v>
      </c>
      <c r="CM66" s="254">
        <v>0</v>
      </c>
      <c r="CN66" s="254">
        <v>0</v>
      </c>
      <c r="CO66" s="254">
        <v>0</v>
      </c>
      <c r="CP66" s="254">
        <v>0</v>
      </c>
      <c r="CQ66" s="116"/>
      <c r="CR66" s="255">
        <v>0</v>
      </c>
      <c r="CS66" s="255">
        <v>0</v>
      </c>
      <c r="CT66" s="255">
        <v>0</v>
      </c>
      <c r="CU66" s="255">
        <v>0</v>
      </c>
      <c r="CV66" s="255">
        <v>0</v>
      </c>
      <c r="CW66" s="255">
        <v>0</v>
      </c>
      <c r="CX66" s="255">
        <v>0</v>
      </c>
      <c r="CY66" s="255">
        <v>0</v>
      </c>
      <c r="CZ66" s="255">
        <v>13591.86</v>
      </c>
      <c r="DA66" s="255">
        <v>6795.93</v>
      </c>
      <c r="DB66" s="255">
        <v>2265.3100000000004</v>
      </c>
      <c r="DC66" s="255">
        <v>0</v>
      </c>
      <c r="DD66" s="255">
        <v>6795.93</v>
      </c>
      <c r="DE66" s="255">
        <v>0</v>
      </c>
      <c r="DF66" s="255">
        <v>0</v>
      </c>
      <c r="DG66" s="255">
        <v>0</v>
      </c>
      <c r="DH66" s="255">
        <v>0</v>
      </c>
      <c r="DI66" s="255">
        <v>0</v>
      </c>
      <c r="DJ66" s="255">
        <v>0</v>
      </c>
      <c r="DK66" s="255">
        <v>0</v>
      </c>
      <c r="DL66" s="255">
        <v>0</v>
      </c>
      <c r="DM66" s="255">
        <v>0</v>
      </c>
      <c r="DN66" s="255">
        <v>0</v>
      </c>
      <c r="DO66" s="255">
        <v>0</v>
      </c>
      <c r="DP66" s="255">
        <v>0</v>
      </c>
      <c r="DQ66" s="255">
        <v>0</v>
      </c>
      <c r="DR66" s="255">
        <v>0</v>
      </c>
      <c r="DS66" s="255">
        <v>0</v>
      </c>
      <c r="DT66" s="255">
        <v>0</v>
      </c>
      <c r="DU66" s="255">
        <v>0</v>
      </c>
      <c r="DV66" s="255">
        <v>0</v>
      </c>
      <c r="DW66" s="255">
        <v>0</v>
      </c>
      <c r="DX66" s="255">
        <v>0</v>
      </c>
      <c r="DY66" s="255">
        <v>0</v>
      </c>
      <c r="DZ66" s="255">
        <v>0</v>
      </c>
      <c r="EA66" s="255">
        <v>0</v>
      </c>
      <c r="EB66" s="255">
        <v>0</v>
      </c>
      <c r="EC66" s="255">
        <v>0</v>
      </c>
      <c r="ED66" s="255">
        <v>0</v>
      </c>
      <c r="EE66" s="255">
        <v>0</v>
      </c>
      <c r="EF66" s="255">
        <v>0</v>
      </c>
      <c r="EG66" s="255">
        <v>0</v>
      </c>
      <c r="EH66" s="255">
        <v>0</v>
      </c>
      <c r="EI66" s="255">
        <v>0</v>
      </c>
      <c r="EJ66" s="255">
        <v>0</v>
      </c>
      <c r="EK66" s="255">
        <v>0</v>
      </c>
      <c r="EL66" s="255">
        <v>0</v>
      </c>
      <c r="EM66" s="255">
        <v>0</v>
      </c>
      <c r="EN66" s="255">
        <v>0</v>
      </c>
      <c r="EO66" s="255">
        <v>0</v>
      </c>
      <c r="EP66" s="255">
        <v>0</v>
      </c>
      <c r="EQ66" s="255">
        <v>0</v>
      </c>
      <c r="ER66" s="255">
        <v>0</v>
      </c>
      <c r="ES66" s="255">
        <v>0</v>
      </c>
      <c r="ET66" s="255">
        <v>0</v>
      </c>
      <c r="EU66" s="255">
        <v>0</v>
      </c>
      <c r="EV66" s="255">
        <v>0</v>
      </c>
      <c r="EW66" s="255">
        <v>0</v>
      </c>
      <c r="EX66" s="255">
        <v>0</v>
      </c>
      <c r="EY66" s="255">
        <v>0</v>
      </c>
      <c r="EZ66" s="255">
        <v>0</v>
      </c>
      <c r="FA66" s="255">
        <v>0</v>
      </c>
      <c r="FB66" s="255">
        <v>0</v>
      </c>
      <c r="FC66" s="255">
        <v>0</v>
      </c>
      <c r="FD66" s="255">
        <v>0</v>
      </c>
      <c r="FE66" s="255">
        <v>0</v>
      </c>
      <c r="FF66" s="255">
        <v>0</v>
      </c>
      <c r="FG66" s="255">
        <v>0</v>
      </c>
      <c r="FH66" s="255">
        <v>0</v>
      </c>
      <c r="FI66" s="255">
        <v>0</v>
      </c>
      <c r="FJ66" s="255">
        <v>0</v>
      </c>
      <c r="FK66" s="255">
        <v>0</v>
      </c>
      <c r="FL66" s="255">
        <v>0</v>
      </c>
      <c r="FM66" s="255">
        <v>0</v>
      </c>
      <c r="FN66" s="255">
        <v>0</v>
      </c>
      <c r="FO66" s="255">
        <v>0</v>
      </c>
      <c r="FP66" s="255">
        <v>0</v>
      </c>
      <c r="FQ66" s="255">
        <v>0</v>
      </c>
      <c r="FR66" s="255">
        <v>0</v>
      </c>
      <c r="FS66" s="255">
        <v>0</v>
      </c>
      <c r="FT66" s="255">
        <v>0</v>
      </c>
      <c r="FU66" s="255">
        <v>0</v>
      </c>
      <c r="FV66" s="255">
        <v>0</v>
      </c>
      <c r="FW66" s="255">
        <v>0</v>
      </c>
      <c r="FX66" s="116"/>
    </row>
    <row r="67" spans="2:180" x14ac:dyDescent="0.2">
      <c r="B67" s="253" t="s">
        <v>218</v>
      </c>
      <c r="C67" s="253" t="s">
        <v>295</v>
      </c>
      <c r="D67" s="253" t="s">
        <v>258</v>
      </c>
      <c r="E67" s="253" t="s">
        <v>127</v>
      </c>
      <c r="F67" s="253" t="s">
        <v>259</v>
      </c>
      <c r="G67" s="253" t="s">
        <v>260</v>
      </c>
      <c r="H67" s="237">
        <v>205.24</v>
      </c>
      <c r="I67" s="126">
        <f t="shared" si="85"/>
        <v>204792.14</v>
      </c>
      <c r="J67" s="116"/>
      <c r="K67" s="254">
        <v>0</v>
      </c>
      <c r="L67" s="254">
        <v>0</v>
      </c>
      <c r="M67" s="254">
        <v>0</v>
      </c>
      <c r="N67" s="254">
        <v>0</v>
      </c>
      <c r="O67" s="254">
        <v>0</v>
      </c>
      <c r="P67" s="254">
        <v>0</v>
      </c>
      <c r="Q67" s="254">
        <v>0</v>
      </c>
      <c r="R67" s="254">
        <v>0</v>
      </c>
      <c r="S67" s="254">
        <v>0</v>
      </c>
      <c r="T67" s="254">
        <v>0</v>
      </c>
      <c r="U67" s="254">
        <v>0</v>
      </c>
      <c r="V67" s="254">
        <v>0</v>
      </c>
      <c r="W67" s="254">
        <v>0</v>
      </c>
      <c r="X67" s="254">
        <v>0.5</v>
      </c>
      <c r="Y67" s="254">
        <v>0.5</v>
      </c>
      <c r="Z67" s="254">
        <v>1.3333333333333333</v>
      </c>
      <c r="AA67" s="254">
        <v>1.1513157894736843</v>
      </c>
      <c r="AB67" s="254">
        <v>1.1973684210526316</v>
      </c>
      <c r="AC67" s="254">
        <v>1.35</v>
      </c>
      <c r="AD67" s="254">
        <v>1.25</v>
      </c>
      <c r="AE67" s="254">
        <v>0</v>
      </c>
      <c r="AF67" s="254">
        <v>0</v>
      </c>
      <c r="AG67" s="254">
        <v>0</v>
      </c>
      <c r="AH67" s="254">
        <v>0</v>
      </c>
      <c r="AI67" s="254">
        <v>0</v>
      </c>
      <c r="AJ67" s="254">
        <v>0</v>
      </c>
      <c r="AK67" s="254">
        <v>0</v>
      </c>
      <c r="AL67" s="254">
        <v>0</v>
      </c>
      <c r="AM67" s="254">
        <v>0</v>
      </c>
      <c r="AN67" s="254">
        <v>0</v>
      </c>
      <c r="AO67" s="254">
        <v>0</v>
      </c>
      <c r="AP67" s="254">
        <v>0</v>
      </c>
      <c r="AQ67" s="254">
        <v>0</v>
      </c>
      <c r="AR67" s="254">
        <v>0</v>
      </c>
      <c r="AS67" s="254">
        <v>0</v>
      </c>
      <c r="AT67" s="254">
        <v>0</v>
      </c>
      <c r="AU67" s="254">
        <v>0</v>
      </c>
      <c r="AV67" s="254">
        <v>0</v>
      </c>
      <c r="AW67" s="254">
        <v>0</v>
      </c>
      <c r="AX67" s="254">
        <v>0</v>
      </c>
      <c r="AY67" s="254">
        <v>0</v>
      </c>
      <c r="AZ67" s="254">
        <v>0</v>
      </c>
      <c r="BA67" s="254">
        <v>0</v>
      </c>
      <c r="BB67" s="254">
        <v>0</v>
      </c>
      <c r="BC67" s="254">
        <v>0</v>
      </c>
      <c r="BD67" s="254">
        <v>0</v>
      </c>
      <c r="BE67" s="254">
        <v>0</v>
      </c>
      <c r="BF67" s="254">
        <v>0</v>
      </c>
      <c r="BG67" s="254">
        <v>0</v>
      </c>
      <c r="BH67" s="254">
        <v>0</v>
      </c>
      <c r="BI67" s="254">
        <v>0</v>
      </c>
      <c r="BJ67" s="254">
        <v>0</v>
      </c>
      <c r="BK67" s="254">
        <v>0</v>
      </c>
      <c r="BL67" s="254">
        <v>0</v>
      </c>
      <c r="BM67" s="254">
        <v>0</v>
      </c>
      <c r="BN67" s="254">
        <v>0</v>
      </c>
      <c r="BO67" s="254">
        <v>0</v>
      </c>
      <c r="BP67" s="254">
        <v>0</v>
      </c>
      <c r="BQ67" s="254">
        <v>0</v>
      </c>
      <c r="BR67" s="254">
        <v>0</v>
      </c>
      <c r="BS67" s="254">
        <v>0</v>
      </c>
      <c r="BT67" s="254">
        <v>0</v>
      </c>
      <c r="BU67" s="254">
        <v>0</v>
      </c>
      <c r="BV67" s="254">
        <v>0</v>
      </c>
      <c r="BW67" s="254">
        <v>0</v>
      </c>
      <c r="BX67" s="254">
        <v>0</v>
      </c>
      <c r="BY67" s="254">
        <v>0</v>
      </c>
      <c r="BZ67" s="254">
        <v>0</v>
      </c>
      <c r="CA67" s="254">
        <v>0</v>
      </c>
      <c r="CB67" s="254">
        <v>0</v>
      </c>
      <c r="CC67" s="254">
        <v>0</v>
      </c>
      <c r="CD67" s="254">
        <v>0</v>
      </c>
      <c r="CE67" s="254">
        <v>0</v>
      </c>
      <c r="CF67" s="254">
        <v>0</v>
      </c>
      <c r="CG67" s="254">
        <v>0</v>
      </c>
      <c r="CH67" s="254">
        <v>0</v>
      </c>
      <c r="CI67" s="254">
        <v>0</v>
      </c>
      <c r="CJ67" s="254">
        <v>0</v>
      </c>
      <c r="CK67" s="254">
        <v>0</v>
      </c>
      <c r="CL67" s="254">
        <v>0</v>
      </c>
      <c r="CM67" s="254">
        <v>0</v>
      </c>
      <c r="CN67" s="254">
        <v>0</v>
      </c>
      <c r="CO67" s="254">
        <v>0</v>
      </c>
      <c r="CP67" s="254">
        <v>0</v>
      </c>
      <c r="CQ67" s="116"/>
      <c r="CR67" s="255">
        <v>0</v>
      </c>
      <c r="CS67" s="255">
        <v>0</v>
      </c>
      <c r="CT67" s="255">
        <v>0</v>
      </c>
      <c r="CU67" s="255">
        <v>0</v>
      </c>
      <c r="CV67" s="255">
        <v>0</v>
      </c>
      <c r="CW67" s="255">
        <v>0</v>
      </c>
      <c r="CX67" s="255">
        <v>0</v>
      </c>
      <c r="CY67" s="255">
        <v>0</v>
      </c>
      <c r="CZ67" s="255">
        <v>0</v>
      </c>
      <c r="DA67" s="255">
        <v>0</v>
      </c>
      <c r="DB67" s="255">
        <v>0</v>
      </c>
      <c r="DC67" s="255">
        <v>0</v>
      </c>
      <c r="DD67" s="255">
        <v>0</v>
      </c>
      <c r="DE67" s="255">
        <v>13713.699999999999</v>
      </c>
      <c r="DF67" s="255">
        <v>14366.800000000001</v>
      </c>
      <c r="DG67" s="255">
        <v>28733.600000000002</v>
      </c>
      <c r="DH67" s="255">
        <v>35917</v>
      </c>
      <c r="DI67" s="255">
        <v>37353.68</v>
      </c>
      <c r="DJ67" s="255">
        <v>38790.36</v>
      </c>
      <c r="DK67" s="255">
        <v>35917</v>
      </c>
      <c r="DL67" s="255">
        <v>0</v>
      </c>
      <c r="DM67" s="255">
        <v>0</v>
      </c>
      <c r="DN67" s="255">
        <v>0</v>
      </c>
      <c r="DO67" s="255">
        <v>0</v>
      </c>
      <c r="DP67" s="255">
        <v>0</v>
      </c>
      <c r="DQ67" s="255">
        <v>0</v>
      </c>
      <c r="DR67" s="255">
        <v>0</v>
      </c>
      <c r="DS67" s="255">
        <v>0</v>
      </c>
      <c r="DT67" s="255">
        <v>0</v>
      </c>
      <c r="DU67" s="255">
        <v>0</v>
      </c>
      <c r="DV67" s="255">
        <v>0</v>
      </c>
      <c r="DW67" s="255">
        <v>0</v>
      </c>
      <c r="DX67" s="255">
        <v>0</v>
      </c>
      <c r="DY67" s="255">
        <v>0</v>
      </c>
      <c r="DZ67" s="255">
        <v>0</v>
      </c>
      <c r="EA67" s="255">
        <v>0</v>
      </c>
      <c r="EB67" s="255">
        <v>0</v>
      </c>
      <c r="EC67" s="255">
        <v>0</v>
      </c>
      <c r="ED67" s="255">
        <v>0</v>
      </c>
      <c r="EE67" s="255">
        <v>0</v>
      </c>
      <c r="EF67" s="255">
        <v>0</v>
      </c>
      <c r="EG67" s="255">
        <v>0</v>
      </c>
      <c r="EH67" s="255">
        <v>0</v>
      </c>
      <c r="EI67" s="255">
        <v>0</v>
      </c>
      <c r="EJ67" s="255">
        <v>0</v>
      </c>
      <c r="EK67" s="255">
        <v>0</v>
      </c>
      <c r="EL67" s="255">
        <v>0</v>
      </c>
      <c r="EM67" s="255">
        <v>0</v>
      </c>
      <c r="EN67" s="255">
        <v>0</v>
      </c>
      <c r="EO67" s="255">
        <v>0</v>
      </c>
      <c r="EP67" s="255">
        <v>0</v>
      </c>
      <c r="EQ67" s="255">
        <v>0</v>
      </c>
      <c r="ER67" s="255">
        <v>0</v>
      </c>
      <c r="ES67" s="255">
        <v>0</v>
      </c>
      <c r="ET67" s="255">
        <v>0</v>
      </c>
      <c r="EU67" s="255">
        <v>0</v>
      </c>
      <c r="EV67" s="255">
        <v>0</v>
      </c>
      <c r="EW67" s="255">
        <v>0</v>
      </c>
      <c r="EX67" s="255">
        <v>0</v>
      </c>
      <c r="EY67" s="255">
        <v>0</v>
      </c>
      <c r="EZ67" s="255">
        <v>0</v>
      </c>
      <c r="FA67" s="255">
        <v>0</v>
      </c>
      <c r="FB67" s="255">
        <v>0</v>
      </c>
      <c r="FC67" s="255">
        <v>0</v>
      </c>
      <c r="FD67" s="255">
        <v>0</v>
      </c>
      <c r="FE67" s="255">
        <v>0</v>
      </c>
      <c r="FF67" s="255">
        <v>0</v>
      </c>
      <c r="FG67" s="255">
        <v>0</v>
      </c>
      <c r="FH67" s="255">
        <v>0</v>
      </c>
      <c r="FI67" s="255">
        <v>0</v>
      </c>
      <c r="FJ67" s="255">
        <v>0</v>
      </c>
      <c r="FK67" s="255">
        <v>0</v>
      </c>
      <c r="FL67" s="255">
        <v>0</v>
      </c>
      <c r="FM67" s="255">
        <v>0</v>
      </c>
      <c r="FN67" s="255">
        <v>0</v>
      </c>
      <c r="FO67" s="255">
        <v>0</v>
      </c>
      <c r="FP67" s="255">
        <v>0</v>
      </c>
      <c r="FQ67" s="255">
        <v>0</v>
      </c>
      <c r="FR67" s="255">
        <v>0</v>
      </c>
      <c r="FS67" s="255">
        <v>0</v>
      </c>
      <c r="FT67" s="255">
        <v>0</v>
      </c>
      <c r="FU67" s="255">
        <v>0</v>
      </c>
      <c r="FV67" s="255">
        <v>0</v>
      </c>
      <c r="FW67" s="255">
        <v>0</v>
      </c>
      <c r="FX67" s="116"/>
    </row>
    <row r="68" spans="2:180" x14ac:dyDescent="0.2">
      <c r="B68" s="253" t="s">
        <v>218</v>
      </c>
      <c r="C68" s="253" t="s">
        <v>300</v>
      </c>
      <c r="D68" s="253" t="s">
        <v>85</v>
      </c>
      <c r="E68" s="253" t="s">
        <v>127</v>
      </c>
      <c r="F68" s="253">
        <v>0</v>
      </c>
      <c r="G68" s="253" t="s">
        <v>268</v>
      </c>
      <c r="H68" s="237">
        <v>0</v>
      </c>
      <c r="I68" s="126">
        <f t="shared" si="85"/>
        <v>50000</v>
      </c>
      <c r="J68" s="116"/>
      <c r="K68" s="254">
        <v>0</v>
      </c>
      <c r="L68" s="254">
        <v>0</v>
      </c>
      <c r="M68" s="254">
        <v>0</v>
      </c>
      <c r="N68" s="254">
        <v>0</v>
      </c>
      <c r="O68" s="254">
        <v>0</v>
      </c>
      <c r="P68" s="254">
        <v>0</v>
      </c>
      <c r="Q68" s="254">
        <v>0</v>
      </c>
      <c r="R68" s="254">
        <v>0</v>
      </c>
      <c r="S68" s="254">
        <v>0</v>
      </c>
      <c r="T68" s="254">
        <v>0</v>
      </c>
      <c r="U68" s="254">
        <v>0</v>
      </c>
      <c r="V68" s="254">
        <v>0</v>
      </c>
      <c r="W68" s="254">
        <v>0</v>
      </c>
      <c r="X68" s="254">
        <v>0</v>
      </c>
      <c r="Y68" s="254">
        <v>0</v>
      </c>
      <c r="Z68" s="254">
        <v>1</v>
      </c>
      <c r="AA68" s="254">
        <v>0</v>
      </c>
      <c r="AB68" s="254">
        <v>0</v>
      </c>
      <c r="AC68" s="254">
        <v>0</v>
      </c>
      <c r="AD68" s="254">
        <v>0</v>
      </c>
      <c r="AE68" s="254">
        <v>0</v>
      </c>
      <c r="AF68" s="254">
        <v>0</v>
      </c>
      <c r="AG68" s="254">
        <v>0</v>
      </c>
      <c r="AH68" s="254">
        <v>0</v>
      </c>
      <c r="AI68" s="254">
        <v>0</v>
      </c>
      <c r="AJ68" s="254">
        <v>0</v>
      </c>
      <c r="AK68" s="254">
        <v>0</v>
      </c>
      <c r="AL68" s="254">
        <v>0</v>
      </c>
      <c r="AM68" s="254">
        <v>0</v>
      </c>
      <c r="AN68" s="254">
        <v>0</v>
      </c>
      <c r="AO68" s="254">
        <v>0</v>
      </c>
      <c r="AP68" s="254">
        <v>0</v>
      </c>
      <c r="AQ68" s="254">
        <v>0</v>
      </c>
      <c r="AR68" s="254">
        <v>0</v>
      </c>
      <c r="AS68" s="254">
        <v>0</v>
      </c>
      <c r="AT68" s="254">
        <v>0</v>
      </c>
      <c r="AU68" s="254">
        <v>0</v>
      </c>
      <c r="AV68" s="254">
        <v>0</v>
      </c>
      <c r="AW68" s="254">
        <v>0</v>
      </c>
      <c r="AX68" s="254">
        <v>0</v>
      </c>
      <c r="AY68" s="254">
        <v>0</v>
      </c>
      <c r="AZ68" s="254">
        <v>0</v>
      </c>
      <c r="BA68" s="254">
        <v>0</v>
      </c>
      <c r="BB68" s="254">
        <v>0</v>
      </c>
      <c r="BC68" s="254">
        <v>0</v>
      </c>
      <c r="BD68" s="254">
        <v>0</v>
      </c>
      <c r="BE68" s="254">
        <v>0</v>
      </c>
      <c r="BF68" s="254">
        <v>0</v>
      </c>
      <c r="BG68" s="254">
        <v>0</v>
      </c>
      <c r="BH68" s="254">
        <v>0</v>
      </c>
      <c r="BI68" s="254">
        <v>0</v>
      </c>
      <c r="BJ68" s="254">
        <v>0</v>
      </c>
      <c r="BK68" s="254">
        <v>0</v>
      </c>
      <c r="BL68" s="254">
        <v>0</v>
      </c>
      <c r="BM68" s="254">
        <v>0</v>
      </c>
      <c r="BN68" s="254">
        <v>0</v>
      </c>
      <c r="BO68" s="254">
        <v>0</v>
      </c>
      <c r="BP68" s="254">
        <v>0</v>
      </c>
      <c r="BQ68" s="254">
        <v>0</v>
      </c>
      <c r="BR68" s="254">
        <v>0</v>
      </c>
      <c r="BS68" s="254">
        <v>0</v>
      </c>
      <c r="BT68" s="254">
        <v>0</v>
      </c>
      <c r="BU68" s="254">
        <v>0</v>
      </c>
      <c r="BV68" s="254">
        <v>0</v>
      </c>
      <c r="BW68" s="254">
        <v>0</v>
      </c>
      <c r="BX68" s="254">
        <v>0</v>
      </c>
      <c r="BY68" s="254">
        <v>0</v>
      </c>
      <c r="BZ68" s="254">
        <v>0</v>
      </c>
      <c r="CA68" s="254">
        <v>0</v>
      </c>
      <c r="CB68" s="254">
        <v>0</v>
      </c>
      <c r="CC68" s="254">
        <v>0</v>
      </c>
      <c r="CD68" s="254">
        <v>0</v>
      </c>
      <c r="CE68" s="254">
        <v>0</v>
      </c>
      <c r="CF68" s="254">
        <v>0</v>
      </c>
      <c r="CG68" s="254">
        <v>0</v>
      </c>
      <c r="CH68" s="254">
        <v>0</v>
      </c>
      <c r="CI68" s="254">
        <v>0</v>
      </c>
      <c r="CJ68" s="254">
        <v>0</v>
      </c>
      <c r="CK68" s="254">
        <v>0</v>
      </c>
      <c r="CL68" s="254">
        <v>0</v>
      </c>
      <c r="CM68" s="254">
        <v>0</v>
      </c>
      <c r="CN68" s="254">
        <v>0</v>
      </c>
      <c r="CO68" s="254">
        <v>0</v>
      </c>
      <c r="CP68" s="254">
        <v>0</v>
      </c>
      <c r="CQ68" s="116"/>
      <c r="CR68" s="255">
        <v>0</v>
      </c>
      <c r="CS68" s="255">
        <v>0</v>
      </c>
      <c r="CT68" s="255">
        <v>0</v>
      </c>
      <c r="CU68" s="255">
        <v>0</v>
      </c>
      <c r="CV68" s="255">
        <v>0</v>
      </c>
      <c r="CW68" s="255">
        <v>0</v>
      </c>
      <c r="CX68" s="255">
        <v>0</v>
      </c>
      <c r="CY68" s="255">
        <v>0</v>
      </c>
      <c r="CZ68" s="255">
        <v>0</v>
      </c>
      <c r="DA68" s="255">
        <v>0</v>
      </c>
      <c r="DB68" s="255">
        <v>0</v>
      </c>
      <c r="DC68" s="255">
        <v>0</v>
      </c>
      <c r="DD68" s="255">
        <v>0</v>
      </c>
      <c r="DE68" s="255">
        <v>0</v>
      </c>
      <c r="DF68" s="255">
        <v>0</v>
      </c>
      <c r="DG68" s="255">
        <v>50000</v>
      </c>
      <c r="DH68" s="255">
        <v>0</v>
      </c>
      <c r="DI68" s="255">
        <v>0</v>
      </c>
      <c r="DJ68" s="255">
        <v>0</v>
      </c>
      <c r="DK68" s="255">
        <v>0</v>
      </c>
      <c r="DL68" s="255">
        <v>0</v>
      </c>
      <c r="DM68" s="255">
        <v>0</v>
      </c>
      <c r="DN68" s="255">
        <v>0</v>
      </c>
      <c r="DO68" s="255">
        <v>0</v>
      </c>
      <c r="DP68" s="255">
        <v>0</v>
      </c>
      <c r="DQ68" s="255">
        <v>0</v>
      </c>
      <c r="DR68" s="255">
        <v>0</v>
      </c>
      <c r="DS68" s="255">
        <v>0</v>
      </c>
      <c r="DT68" s="255">
        <v>0</v>
      </c>
      <c r="DU68" s="255">
        <v>0</v>
      </c>
      <c r="DV68" s="255">
        <v>0</v>
      </c>
      <c r="DW68" s="255">
        <v>0</v>
      </c>
      <c r="DX68" s="255">
        <v>0</v>
      </c>
      <c r="DY68" s="255">
        <v>0</v>
      </c>
      <c r="DZ68" s="255">
        <v>0</v>
      </c>
      <c r="EA68" s="255">
        <v>0</v>
      </c>
      <c r="EB68" s="255">
        <v>0</v>
      </c>
      <c r="EC68" s="255">
        <v>0</v>
      </c>
      <c r="ED68" s="255">
        <v>0</v>
      </c>
      <c r="EE68" s="255">
        <v>0</v>
      </c>
      <c r="EF68" s="255">
        <v>0</v>
      </c>
      <c r="EG68" s="255">
        <v>0</v>
      </c>
      <c r="EH68" s="255">
        <v>0</v>
      </c>
      <c r="EI68" s="255">
        <v>0</v>
      </c>
      <c r="EJ68" s="255">
        <v>0</v>
      </c>
      <c r="EK68" s="255">
        <v>0</v>
      </c>
      <c r="EL68" s="255">
        <v>0</v>
      </c>
      <c r="EM68" s="255">
        <v>0</v>
      </c>
      <c r="EN68" s="255">
        <v>0</v>
      </c>
      <c r="EO68" s="255">
        <v>0</v>
      </c>
      <c r="EP68" s="255">
        <v>0</v>
      </c>
      <c r="EQ68" s="255">
        <v>0</v>
      </c>
      <c r="ER68" s="255">
        <v>0</v>
      </c>
      <c r="ES68" s="255">
        <v>0</v>
      </c>
      <c r="ET68" s="255">
        <v>0</v>
      </c>
      <c r="EU68" s="255">
        <v>0</v>
      </c>
      <c r="EV68" s="255">
        <v>0</v>
      </c>
      <c r="EW68" s="255">
        <v>0</v>
      </c>
      <c r="EX68" s="255">
        <v>0</v>
      </c>
      <c r="EY68" s="255">
        <v>0</v>
      </c>
      <c r="EZ68" s="255">
        <v>0</v>
      </c>
      <c r="FA68" s="255">
        <v>0</v>
      </c>
      <c r="FB68" s="255">
        <v>0</v>
      </c>
      <c r="FC68" s="255">
        <v>0</v>
      </c>
      <c r="FD68" s="255">
        <v>0</v>
      </c>
      <c r="FE68" s="255">
        <v>0</v>
      </c>
      <c r="FF68" s="255">
        <v>0</v>
      </c>
      <c r="FG68" s="255">
        <v>0</v>
      </c>
      <c r="FH68" s="255">
        <v>0</v>
      </c>
      <c r="FI68" s="255">
        <v>0</v>
      </c>
      <c r="FJ68" s="255">
        <v>0</v>
      </c>
      <c r="FK68" s="255">
        <v>0</v>
      </c>
      <c r="FL68" s="255">
        <v>0</v>
      </c>
      <c r="FM68" s="255">
        <v>0</v>
      </c>
      <c r="FN68" s="255">
        <v>0</v>
      </c>
      <c r="FO68" s="255">
        <v>0</v>
      </c>
      <c r="FP68" s="255">
        <v>0</v>
      </c>
      <c r="FQ68" s="255">
        <v>0</v>
      </c>
      <c r="FR68" s="255">
        <v>0</v>
      </c>
      <c r="FS68" s="255">
        <v>0</v>
      </c>
      <c r="FT68" s="255">
        <v>0</v>
      </c>
      <c r="FU68" s="255">
        <v>0</v>
      </c>
      <c r="FV68" s="255">
        <v>0</v>
      </c>
      <c r="FW68" s="255">
        <v>0</v>
      </c>
      <c r="FX68" s="116"/>
    </row>
    <row r="69" spans="2:180" x14ac:dyDescent="0.2">
      <c r="B69" s="253" t="s">
        <v>235</v>
      </c>
      <c r="C69" s="253" t="s">
        <v>282</v>
      </c>
      <c r="D69" s="253" t="s">
        <v>283</v>
      </c>
      <c r="E69" s="253" t="s">
        <v>127</v>
      </c>
      <c r="F69" s="253">
        <v>0</v>
      </c>
      <c r="G69" s="253" t="s">
        <v>268</v>
      </c>
      <c r="H69" s="237">
        <v>0</v>
      </c>
      <c r="I69" s="126">
        <f t="shared" si="85"/>
        <v>652800</v>
      </c>
      <c r="J69" s="116"/>
      <c r="K69" s="254">
        <v>0</v>
      </c>
      <c r="L69" s="254">
        <v>0</v>
      </c>
      <c r="M69" s="254">
        <v>0</v>
      </c>
      <c r="N69" s="254">
        <v>0</v>
      </c>
      <c r="O69" s="254">
        <v>0</v>
      </c>
      <c r="P69" s="254">
        <v>0</v>
      </c>
      <c r="Q69" s="254">
        <v>0</v>
      </c>
      <c r="R69" s="254">
        <v>0</v>
      </c>
      <c r="S69" s="254">
        <v>0</v>
      </c>
      <c r="T69" s="254">
        <v>0</v>
      </c>
      <c r="U69" s="254">
        <v>0</v>
      </c>
      <c r="V69" s="254">
        <v>0</v>
      </c>
      <c r="W69" s="254">
        <v>0</v>
      </c>
      <c r="X69" s="254">
        <v>0</v>
      </c>
      <c r="Y69" s="254">
        <v>8.3333333333333329E-2</v>
      </c>
      <c r="Z69" s="254">
        <v>8.3333333333333329E-2</v>
      </c>
      <c r="AA69" s="254">
        <v>8.3333333333333329E-2</v>
      </c>
      <c r="AB69" s="254">
        <v>8.3333333333333329E-2</v>
      </c>
      <c r="AC69" s="254">
        <v>8.3333333333333329E-2</v>
      </c>
      <c r="AD69" s="254">
        <v>8.3333333333333329E-2</v>
      </c>
      <c r="AE69" s="254">
        <v>8.3333333333333329E-2</v>
      </c>
      <c r="AF69" s="254">
        <v>8.3333333333333329E-2</v>
      </c>
      <c r="AG69" s="254">
        <v>8.3333333333333329E-2</v>
      </c>
      <c r="AH69" s="254">
        <v>8.3333333333333329E-2</v>
      </c>
      <c r="AI69" s="254">
        <v>8.3333333333333329E-2</v>
      </c>
      <c r="AJ69" s="254">
        <v>8.3333333333333329E-2</v>
      </c>
      <c r="AK69" s="254">
        <v>0</v>
      </c>
      <c r="AL69" s="254">
        <v>0</v>
      </c>
      <c r="AM69" s="254">
        <v>0</v>
      </c>
      <c r="AN69" s="254">
        <v>0</v>
      </c>
      <c r="AO69" s="254">
        <v>0</v>
      </c>
      <c r="AP69" s="254">
        <v>0</v>
      </c>
      <c r="AQ69" s="254">
        <v>0</v>
      </c>
      <c r="AR69" s="254">
        <v>0</v>
      </c>
      <c r="AS69" s="254">
        <v>0</v>
      </c>
      <c r="AT69" s="254">
        <v>0</v>
      </c>
      <c r="AU69" s="254">
        <v>0</v>
      </c>
      <c r="AV69" s="254">
        <v>0</v>
      </c>
      <c r="AW69" s="254">
        <v>0</v>
      </c>
      <c r="AX69" s="254">
        <v>0</v>
      </c>
      <c r="AY69" s="254">
        <v>0</v>
      </c>
      <c r="AZ69" s="254">
        <v>0</v>
      </c>
      <c r="BA69" s="254">
        <v>0</v>
      </c>
      <c r="BB69" s="254">
        <v>0</v>
      </c>
      <c r="BC69" s="254">
        <v>0</v>
      </c>
      <c r="BD69" s="254">
        <v>0</v>
      </c>
      <c r="BE69" s="254">
        <v>0</v>
      </c>
      <c r="BF69" s="254">
        <v>0</v>
      </c>
      <c r="BG69" s="254">
        <v>0</v>
      </c>
      <c r="BH69" s="254">
        <v>0</v>
      </c>
      <c r="BI69" s="254">
        <v>0</v>
      </c>
      <c r="BJ69" s="254">
        <v>0</v>
      </c>
      <c r="BK69" s="254">
        <v>0</v>
      </c>
      <c r="BL69" s="254">
        <v>0</v>
      </c>
      <c r="BM69" s="254">
        <v>0</v>
      </c>
      <c r="BN69" s="254">
        <v>0</v>
      </c>
      <c r="BO69" s="254">
        <v>0</v>
      </c>
      <c r="BP69" s="254">
        <v>0</v>
      </c>
      <c r="BQ69" s="254">
        <v>0</v>
      </c>
      <c r="BR69" s="254">
        <v>0</v>
      </c>
      <c r="BS69" s="254">
        <v>0</v>
      </c>
      <c r="BT69" s="254">
        <v>0</v>
      </c>
      <c r="BU69" s="254">
        <v>0</v>
      </c>
      <c r="BV69" s="254">
        <v>0</v>
      </c>
      <c r="BW69" s="254">
        <v>0</v>
      </c>
      <c r="BX69" s="254">
        <v>0</v>
      </c>
      <c r="BY69" s="254">
        <v>0</v>
      </c>
      <c r="BZ69" s="254">
        <v>0</v>
      </c>
      <c r="CA69" s="254">
        <v>0</v>
      </c>
      <c r="CB69" s="254">
        <v>0</v>
      </c>
      <c r="CC69" s="254">
        <v>0</v>
      </c>
      <c r="CD69" s="254">
        <v>0</v>
      </c>
      <c r="CE69" s="254">
        <v>0</v>
      </c>
      <c r="CF69" s="254">
        <v>0</v>
      </c>
      <c r="CG69" s="254">
        <v>0</v>
      </c>
      <c r="CH69" s="254">
        <v>0</v>
      </c>
      <c r="CI69" s="254">
        <v>0</v>
      </c>
      <c r="CJ69" s="254">
        <v>0</v>
      </c>
      <c r="CK69" s="254">
        <v>0</v>
      </c>
      <c r="CL69" s="254">
        <v>0</v>
      </c>
      <c r="CM69" s="254">
        <v>0</v>
      </c>
      <c r="CN69" s="254">
        <v>0</v>
      </c>
      <c r="CO69" s="254">
        <v>0</v>
      </c>
      <c r="CP69" s="254">
        <v>0</v>
      </c>
      <c r="CQ69" s="116"/>
      <c r="CR69" s="255">
        <v>0</v>
      </c>
      <c r="CS69" s="255">
        <v>0</v>
      </c>
      <c r="CT69" s="255">
        <v>0</v>
      </c>
      <c r="CU69" s="255">
        <v>0</v>
      </c>
      <c r="CV69" s="255">
        <v>0</v>
      </c>
      <c r="CW69" s="255">
        <v>0</v>
      </c>
      <c r="CX69" s="255">
        <v>0</v>
      </c>
      <c r="CY69" s="255">
        <v>0</v>
      </c>
      <c r="CZ69" s="255">
        <v>0</v>
      </c>
      <c r="DA69" s="255">
        <v>0</v>
      </c>
      <c r="DB69" s="255">
        <v>0</v>
      </c>
      <c r="DC69" s="255">
        <v>0</v>
      </c>
      <c r="DD69" s="255">
        <v>0</v>
      </c>
      <c r="DE69" s="255">
        <v>0</v>
      </c>
      <c r="DF69" s="255">
        <v>54400</v>
      </c>
      <c r="DG69" s="255">
        <v>54400</v>
      </c>
      <c r="DH69" s="255">
        <v>54400</v>
      </c>
      <c r="DI69" s="255">
        <v>54400</v>
      </c>
      <c r="DJ69" s="255">
        <v>54400</v>
      </c>
      <c r="DK69" s="255">
        <v>54400</v>
      </c>
      <c r="DL69" s="255">
        <v>54400</v>
      </c>
      <c r="DM69" s="255">
        <v>54400</v>
      </c>
      <c r="DN69" s="255">
        <v>54400</v>
      </c>
      <c r="DO69" s="255">
        <v>54400</v>
      </c>
      <c r="DP69" s="255">
        <v>54400</v>
      </c>
      <c r="DQ69" s="255">
        <v>54400</v>
      </c>
      <c r="DR69" s="255">
        <v>0</v>
      </c>
      <c r="DS69" s="255">
        <v>0</v>
      </c>
      <c r="DT69" s="255">
        <v>0</v>
      </c>
      <c r="DU69" s="255">
        <v>0</v>
      </c>
      <c r="DV69" s="255">
        <v>0</v>
      </c>
      <c r="DW69" s="255">
        <v>0</v>
      </c>
      <c r="DX69" s="255">
        <v>0</v>
      </c>
      <c r="DY69" s="255">
        <v>0</v>
      </c>
      <c r="DZ69" s="255">
        <v>0</v>
      </c>
      <c r="EA69" s="255">
        <v>0</v>
      </c>
      <c r="EB69" s="255">
        <v>0</v>
      </c>
      <c r="EC69" s="255">
        <v>0</v>
      </c>
      <c r="ED69" s="255">
        <v>0</v>
      </c>
      <c r="EE69" s="255">
        <v>0</v>
      </c>
      <c r="EF69" s="255">
        <v>0</v>
      </c>
      <c r="EG69" s="255">
        <v>0</v>
      </c>
      <c r="EH69" s="255">
        <v>0</v>
      </c>
      <c r="EI69" s="255">
        <v>0</v>
      </c>
      <c r="EJ69" s="255">
        <v>0</v>
      </c>
      <c r="EK69" s="255">
        <v>0</v>
      </c>
      <c r="EL69" s="255">
        <v>0</v>
      </c>
      <c r="EM69" s="255">
        <v>0</v>
      </c>
      <c r="EN69" s="255">
        <v>0</v>
      </c>
      <c r="EO69" s="255">
        <v>0</v>
      </c>
      <c r="EP69" s="255">
        <v>0</v>
      </c>
      <c r="EQ69" s="255">
        <v>0</v>
      </c>
      <c r="ER69" s="255">
        <v>0</v>
      </c>
      <c r="ES69" s="255">
        <v>0</v>
      </c>
      <c r="ET69" s="255">
        <v>0</v>
      </c>
      <c r="EU69" s="255">
        <v>0</v>
      </c>
      <c r="EV69" s="255">
        <v>0</v>
      </c>
      <c r="EW69" s="255">
        <v>0</v>
      </c>
      <c r="EX69" s="255">
        <v>0</v>
      </c>
      <c r="EY69" s="255">
        <v>0</v>
      </c>
      <c r="EZ69" s="255">
        <v>0</v>
      </c>
      <c r="FA69" s="255">
        <v>0</v>
      </c>
      <c r="FB69" s="255">
        <v>0</v>
      </c>
      <c r="FC69" s="255">
        <v>0</v>
      </c>
      <c r="FD69" s="255">
        <v>0</v>
      </c>
      <c r="FE69" s="255">
        <v>0</v>
      </c>
      <c r="FF69" s="255">
        <v>0</v>
      </c>
      <c r="FG69" s="255">
        <v>0</v>
      </c>
      <c r="FH69" s="255">
        <v>0</v>
      </c>
      <c r="FI69" s="255">
        <v>0</v>
      </c>
      <c r="FJ69" s="255">
        <v>0</v>
      </c>
      <c r="FK69" s="255">
        <v>0</v>
      </c>
      <c r="FL69" s="255">
        <v>0</v>
      </c>
      <c r="FM69" s="255">
        <v>0</v>
      </c>
      <c r="FN69" s="255">
        <v>0</v>
      </c>
      <c r="FO69" s="255">
        <v>0</v>
      </c>
      <c r="FP69" s="255">
        <v>0</v>
      </c>
      <c r="FQ69" s="255">
        <v>0</v>
      </c>
      <c r="FR69" s="255">
        <v>0</v>
      </c>
      <c r="FS69" s="255">
        <v>0</v>
      </c>
      <c r="FT69" s="255">
        <v>0</v>
      </c>
      <c r="FU69" s="255">
        <v>0</v>
      </c>
      <c r="FV69" s="255">
        <v>0</v>
      </c>
      <c r="FW69" s="255">
        <v>0</v>
      </c>
      <c r="FX69" s="116"/>
    </row>
    <row r="70" spans="2:180" x14ac:dyDescent="0.2">
      <c r="B70" s="253" t="s">
        <v>231</v>
      </c>
      <c r="C70" s="253" t="s">
        <v>301</v>
      </c>
      <c r="D70" s="253" t="s">
        <v>258</v>
      </c>
      <c r="E70" s="253" t="s">
        <v>127</v>
      </c>
      <c r="F70" s="253" t="s">
        <v>259</v>
      </c>
      <c r="G70" s="253" t="s">
        <v>260</v>
      </c>
      <c r="H70" s="237">
        <v>210.04</v>
      </c>
      <c r="I70" s="126">
        <f t="shared" si="85"/>
        <v>22518.719999999998</v>
      </c>
      <c r="J70" s="116"/>
      <c r="K70" s="254">
        <v>0</v>
      </c>
      <c r="L70" s="254">
        <v>0</v>
      </c>
      <c r="M70" s="254">
        <v>0</v>
      </c>
      <c r="N70" s="254">
        <v>0</v>
      </c>
      <c r="O70" s="254">
        <v>0</v>
      </c>
      <c r="P70" s="254">
        <v>0</v>
      </c>
      <c r="Q70" s="254">
        <v>0</v>
      </c>
      <c r="R70" s="254">
        <v>0</v>
      </c>
      <c r="S70" s="254">
        <v>2.8571428571428571E-2</v>
      </c>
      <c r="T70" s="254">
        <v>0.1</v>
      </c>
      <c r="U70" s="254">
        <v>0.16071428571428573</v>
      </c>
      <c r="V70" s="254">
        <v>0.2857142857142857</v>
      </c>
      <c r="W70" s="254">
        <v>7.1428571428571425E-2</v>
      </c>
      <c r="X70" s="254">
        <v>0</v>
      </c>
      <c r="Y70" s="254">
        <v>0</v>
      </c>
      <c r="Z70" s="254">
        <v>0</v>
      </c>
      <c r="AA70" s="254">
        <v>0</v>
      </c>
      <c r="AB70" s="254">
        <v>0</v>
      </c>
      <c r="AC70" s="254">
        <v>0</v>
      </c>
      <c r="AD70" s="254">
        <v>0</v>
      </c>
      <c r="AE70" s="254">
        <v>0</v>
      </c>
      <c r="AF70" s="254">
        <v>0</v>
      </c>
      <c r="AG70" s="254">
        <v>0</v>
      </c>
      <c r="AH70" s="254">
        <v>0</v>
      </c>
      <c r="AI70" s="254">
        <v>0</v>
      </c>
      <c r="AJ70" s="254">
        <v>0</v>
      </c>
      <c r="AK70" s="254">
        <v>0</v>
      </c>
      <c r="AL70" s="254">
        <v>0</v>
      </c>
      <c r="AM70" s="254">
        <v>0</v>
      </c>
      <c r="AN70" s="254">
        <v>0</v>
      </c>
      <c r="AO70" s="254">
        <v>0</v>
      </c>
      <c r="AP70" s="254">
        <v>0</v>
      </c>
      <c r="AQ70" s="254">
        <v>0</v>
      </c>
      <c r="AR70" s="254">
        <v>0</v>
      </c>
      <c r="AS70" s="254">
        <v>0</v>
      </c>
      <c r="AT70" s="254">
        <v>0</v>
      </c>
      <c r="AU70" s="254">
        <v>0</v>
      </c>
      <c r="AV70" s="254">
        <v>0</v>
      </c>
      <c r="AW70" s="254">
        <v>0</v>
      </c>
      <c r="AX70" s="254">
        <v>0</v>
      </c>
      <c r="AY70" s="254">
        <v>0</v>
      </c>
      <c r="AZ70" s="254">
        <v>0</v>
      </c>
      <c r="BA70" s="254">
        <v>0</v>
      </c>
      <c r="BB70" s="254">
        <v>0</v>
      </c>
      <c r="BC70" s="254">
        <v>0</v>
      </c>
      <c r="BD70" s="254">
        <v>0</v>
      </c>
      <c r="BE70" s="254">
        <v>0</v>
      </c>
      <c r="BF70" s="254">
        <v>0</v>
      </c>
      <c r="BG70" s="254">
        <v>0</v>
      </c>
      <c r="BH70" s="254">
        <v>0</v>
      </c>
      <c r="BI70" s="254">
        <v>0</v>
      </c>
      <c r="BJ70" s="254">
        <v>0</v>
      </c>
      <c r="BK70" s="254">
        <v>0</v>
      </c>
      <c r="BL70" s="254">
        <v>0</v>
      </c>
      <c r="BM70" s="254">
        <v>0</v>
      </c>
      <c r="BN70" s="254">
        <v>0</v>
      </c>
      <c r="BO70" s="254">
        <v>0</v>
      </c>
      <c r="BP70" s="254">
        <v>0</v>
      </c>
      <c r="BQ70" s="254">
        <v>0</v>
      </c>
      <c r="BR70" s="254">
        <v>0</v>
      </c>
      <c r="BS70" s="254">
        <v>0</v>
      </c>
      <c r="BT70" s="254">
        <v>0</v>
      </c>
      <c r="BU70" s="254">
        <v>0</v>
      </c>
      <c r="BV70" s="254">
        <v>0</v>
      </c>
      <c r="BW70" s="254">
        <v>0</v>
      </c>
      <c r="BX70" s="254">
        <v>0</v>
      </c>
      <c r="BY70" s="254">
        <v>0</v>
      </c>
      <c r="BZ70" s="254">
        <v>0</v>
      </c>
      <c r="CA70" s="254">
        <v>0</v>
      </c>
      <c r="CB70" s="254">
        <v>0</v>
      </c>
      <c r="CC70" s="254">
        <v>0</v>
      </c>
      <c r="CD70" s="254">
        <v>0</v>
      </c>
      <c r="CE70" s="254">
        <v>0</v>
      </c>
      <c r="CF70" s="254">
        <v>0</v>
      </c>
      <c r="CG70" s="254">
        <v>0</v>
      </c>
      <c r="CH70" s="254">
        <v>0</v>
      </c>
      <c r="CI70" s="254">
        <v>0</v>
      </c>
      <c r="CJ70" s="254">
        <v>0</v>
      </c>
      <c r="CK70" s="254">
        <v>0</v>
      </c>
      <c r="CL70" s="254">
        <v>0</v>
      </c>
      <c r="CM70" s="254">
        <v>0</v>
      </c>
      <c r="CN70" s="254">
        <v>0</v>
      </c>
      <c r="CO70" s="254">
        <v>0</v>
      </c>
      <c r="CP70" s="254">
        <v>0</v>
      </c>
      <c r="CQ70" s="116"/>
      <c r="CR70" s="255">
        <v>0</v>
      </c>
      <c r="CS70" s="255">
        <v>0</v>
      </c>
      <c r="CT70" s="255">
        <v>0</v>
      </c>
      <c r="CU70" s="255">
        <v>0</v>
      </c>
      <c r="CV70" s="255">
        <v>0</v>
      </c>
      <c r="CW70" s="255">
        <v>0</v>
      </c>
      <c r="CX70" s="255">
        <v>0</v>
      </c>
      <c r="CY70" s="255">
        <v>0</v>
      </c>
      <c r="CZ70" s="255">
        <v>1154.8000000000002</v>
      </c>
      <c r="DA70" s="255">
        <v>4041.84</v>
      </c>
      <c r="DB70" s="255">
        <v>6495.78</v>
      </c>
      <c r="DC70" s="255">
        <v>8661.0399999999991</v>
      </c>
      <c r="DD70" s="255">
        <v>2165.2599999999998</v>
      </c>
      <c r="DE70" s="255">
        <v>0</v>
      </c>
      <c r="DF70" s="255">
        <v>0</v>
      </c>
      <c r="DG70" s="255">
        <v>0</v>
      </c>
      <c r="DH70" s="255">
        <v>0</v>
      </c>
      <c r="DI70" s="255">
        <v>0</v>
      </c>
      <c r="DJ70" s="255">
        <v>0</v>
      </c>
      <c r="DK70" s="255">
        <v>0</v>
      </c>
      <c r="DL70" s="255">
        <v>0</v>
      </c>
      <c r="DM70" s="255">
        <v>0</v>
      </c>
      <c r="DN70" s="255">
        <v>0</v>
      </c>
      <c r="DO70" s="255">
        <v>0</v>
      </c>
      <c r="DP70" s="255">
        <v>0</v>
      </c>
      <c r="DQ70" s="255">
        <v>0</v>
      </c>
      <c r="DR70" s="255">
        <v>0</v>
      </c>
      <c r="DS70" s="255">
        <v>0</v>
      </c>
      <c r="DT70" s="255">
        <v>0</v>
      </c>
      <c r="DU70" s="255">
        <v>0</v>
      </c>
      <c r="DV70" s="255">
        <v>0</v>
      </c>
      <c r="DW70" s="255">
        <v>0</v>
      </c>
      <c r="DX70" s="255">
        <v>0</v>
      </c>
      <c r="DY70" s="255">
        <v>0</v>
      </c>
      <c r="DZ70" s="255">
        <v>0</v>
      </c>
      <c r="EA70" s="255">
        <v>0</v>
      </c>
      <c r="EB70" s="255">
        <v>0</v>
      </c>
      <c r="EC70" s="255">
        <v>0</v>
      </c>
      <c r="ED70" s="255">
        <v>0</v>
      </c>
      <c r="EE70" s="255">
        <v>0</v>
      </c>
      <c r="EF70" s="255">
        <v>0</v>
      </c>
      <c r="EG70" s="255">
        <v>0</v>
      </c>
      <c r="EH70" s="255">
        <v>0</v>
      </c>
      <c r="EI70" s="255">
        <v>0</v>
      </c>
      <c r="EJ70" s="255">
        <v>0</v>
      </c>
      <c r="EK70" s="255">
        <v>0</v>
      </c>
      <c r="EL70" s="255">
        <v>0</v>
      </c>
      <c r="EM70" s="255">
        <v>0</v>
      </c>
      <c r="EN70" s="255">
        <v>0</v>
      </c>
      <c r="EO70" s="255">
        <v>0</v>
      </c>
      <c r="EP70" s="255">
        <v>0</v>
      </c>
      <c r="EQ70" s="255">
        <v>0</v>
      </c>
      <c r="ER70" s="255">
        <v>0</v>
      </c>
      <c r="ES70" s="255">
        <v>0</v>
      </c>
      <c r="ET70" s="255">
        <v>0</v>
      </c>
      <c r="EU70" s="255">
        <v>0</v>
      </c>
      <c r="EV70" s="255">
        <v>0</v>
      </c>
      <c r="EW70" s="255">
        <v>0</v>
      </c>
      <c r="EX70" s="255">
        <v>0</v>
      </c>
      <c r="EY70" s="255">
        <v>0</v>
      </c>
      <c r="EZ70" s="255">
        <v>0</v>
      </c>
      <c r="FA70" s="255">
        <v>0</v>
      </c>
      <c r="FB70" s="255">
        <v>0</v>
      </c>
      <c r="FC70" s="255">
        <v>0</v>
      </c>
      <c r="FD70" s="255">
        <v>0</v>
      </c>
      <c r="FE70" s="255">
        <v>0</v>
      </c>
      <c r="FF70" s="255">
        <v>0</v>
      </c>
      <c r="FG70" s="255">
        <v>0</v>
      </c>
      <c r="FH70" s="255">
        <v>0</v>
      </c>
      <c r="FI70" s="255">
        <v>0</v>
      </c>
      <c r="FJ70" s="255">
        <v>0</v>
      </c>
      <c r="FK70" s="255">
        <v>0</v>
      </c>
      <c r="FL70" s="255">
        <v>0</v>
      </c>
      <c r="FM70" s="255">
        <v>0</v>
      </c>
      <c r="FN70" s="255">
        <v>0</v>
      </c>
      <c r="FO70" s="255">
        <v>0</v>
      </c>
      <c r="FP70" s="255">
        <v>0</v>
      </c>
      <c r="FQ70" s="255">
        <v>0</v>
      </c>
      <c r="FR70" s="255">
        <v>0</v>
      </c>
      <c r="FS70" s="255">
        <v>0</v>
      </c>
      <c r="FT70" s="255">
        <v>0</v>
      </c>
      <c r="FU70" s="255">
        <v>0</v>
      </c>
      <c r="FV70" s="255">
        <v>0</v>
      </c>
      <c r="FW70" s="255">
        <v>0</v>
      </c>
      <c r="FX70" s="116"/>
    </row>
    <row r="71" spans="2:180" x14ac:dyDescent="0.2">
      <c r="B71" s="253" t="s">
        <v>231</v>
      </c>
      <c r="C71" s="253" t="s">
        <v>302</v>
      </c>
      <c r="D71" s="253" t="s">
        <v>258</v>
      </c>
      <c r="E71" s="253" t="s">
        <v>127</v>
      </c>
      <c r="F71" s="253" t="s">
        <v>263</v>
      </c>
      <c r="G71" s="253" t="s">
        <v>260</v>
      </c>
      <c r="H71" s="237">
        <v>297.43</v>
      </c>
      <c r="I71" s="126">
        <f t="shared" ref="I71:I134" si="86">SUM(CR71:FW71)</f>
        <v>10410.050000000001</v>
      </c>
      <c r="J71" s="116"/>
      <c r="K71" s="254">
        <v>0</v>
      </c>
      <c r="L71" s="254">
        <v>0</v>
      </c>
      <c r="M71" s="254">
        <v>0</v>
      </c>
      <c r="N71" s="254">
        <v>0</v>
      </c>
      <c r="O71" s="254">
        <v>0</v>
      </c>
      <c r="P71" s="254">
        <v>0</v>
      </c>
      <c r="Q71" s="254">
        <v>0</v>
      </c>
      <c r="R71" s="254">
        <v>0</v>
      </c>
      <c r="S71" s="254">
        <v>0</v>
      </c>
      <c r="T71" s="254">
        <v>0</v>
      </c>
      <c r="U71" s="254">
        <v>0</v>
      </c>
      <c r="V71" s="254">
        <v>0</v>
      </c>
      <c r="W71" s="254">
        <v>0</v>
      </c>
      <c r="X71" s="254">
        <v>0</v>
      </c>
      <c r="Y71" s="254">
        <v>0</v>
      </c>
      <c r="Z71" s="254">
        <v>0</v>
      </c>
      <c r="AA71" s="254">
        <v>0</v>
      </c>
      <c r="AB71" s="254">
        <v>0</v>
      </c>
      <c r="AC71" s="254">
        <v>0</v>
      </c>
      <c r="AD71" s="254">
        <v>0.25</v>
      </c>
      <c r="AE71" s="254">
        <v>0</v>
      </c>
      <c r="AF71" s="254">
        <v>0</v>
      </c>
      <c r="AG71" s="254">
        <v>0</v>
      </c>
      <c r="AH71" s="254">
        <v>0</v>
      </c>
      <c r="AI71" s="254">
        <v>0</v>
      </c>
      <c r="AJ71" s="254">
        <v>0</v>
      </c>
      <c r="AK71" s="254">
        <v>0</v>
      </c>
      <c r="AL71" s="254">
        <v>0</v>
      </c>
      <c r="AM71" s="254">
        <v>0</v>
      </c>
      <c r="AN71" s="254">
        <v>0</v>
      </c>
      <c r="AO71" s="254">
        <v>0</v>
      </c>
      <c r="AP71" s="254">
        <v>0</v>
      </c>
      <c r="AQ71" s="254">
        <v>0</v>
      </c>
      <c r="AR71" s="254">
        <v>0</v>
      </c>
      <c r="AS71" s="254">
        <v>0</v>
      </c>
      <c r="AT71" s="254">
        <v>0</v>
      </c>
      <c r="AU71" s="254">
        <v>0</v>
      </c>
      <c r="AV71" s="254">
        <v>0</v>
      </c>
      <c r="AW71" s="254">
        <v>0</v>
      </c>
      <c r="AX71" s="254">
        <v>0</v>
      </c>
      <c r="AY71" s="254">
        <v>0</v>
      </c>
      <c r="AZ71" s="254">
        <v>0</v>
      </c>
      <c r="BA71" s="254">
        <v>0</v>
      </c>
      <c r="BB71" s="254">
        <v>0</v>
      </c>
      <c r="BC71" s="254">
        <v>0</v>
      </c>
      <c r="BD71" s="254">
        <v>0</v>
      </c>
      <c r="BE71" s="254">
        <v>0</v>
      </c>
      <c r="BF71" s="254">
        <v>0</v>
      </c>
      <c r="BG71" s="254">
        <v>0</v>
      </c>
      <c r="BH71" s="254">
        <v>0</v>
      </c>
      <c r="BI71" s="254">
        <v>0</v>
      </c>
      <c r="BJ71" s="254">
        <v>0</v>
      </c>
      <c r="BK71" s="254">
        <v>0</v>
      </c>
      <c r="BL71" s="254">
        <v>0</v>
      </c>
      <c r="BM71" s="254">
        <v>0</v>
      </c>
      <c r="BN71" s="254">
        <v>0</v>
      </c>
      <c r="BO71" s="254">
        <v>0</v>
      </c>
      <c r="BP71" s="254">
        <v>0</v>
      </c>
      <c r="BQ71" s="254">
        <v>0</v>
      </c>
      <c r="BR71" s="254">
        <v>0</v>
      </c>
      <c r="BS71" s="254">
        <v>0</v>
      </c>
      <c r="BT71" s="254">
        <v>0</v>
      </c>
      <c r="BU71" s="254">
        <v>0</v>
      </c>
      <c r="BV71" s="254">
        <v>0</v>
      </c>
      <c r="BW71" s="254">
        <v>0</v>
      </c>
      <c r="BX71" s="254">
        <v>0</v>
      </c>
      <c r="BY71" s="254">
        <v>0</v>
      </c>
      <c r="BZ71" s="254">
        <v>0</v>
      </c>
      <c r="CA71" s="254">
        <v>0</v>
      </c>
      <c r="CB71" s="254">
        <v>0</v>
      </c>
      <c r="CC71" s="254">
        <v>0</v>
      </c>
      <c r="CD71" s="254">
        <v>0</v>
      </c>
      <c r="CE71" s="254">
        <v>0</v>
      </c>
      <c r="CF71" s="254">
        <v>0</v>
      </c>
      <c r="CG71" s="254">
        <v>0</v>
      </c>
      <c r="CH71" s="254">
        <v>0</v>
      </c>
      <c r="CI71" s="254">
        <v>0</v>
      </c>
      <c r="CJ71" s="254">
        <v>0</v>
      </c>
      <c r="CK71" s="254">
        <v>0</v>
      </c>
      <c r="CL71" s="254">
        <v>0</v>
      </c>
      <c r="CM71" s="254">
        <v>0</v>
      </c>
      <c r="CN71" s="254">
        <v>0</v>
      </c>
      <c r="CO71" s="254">
        <v>0</v>
      </c>
      <c r="CP71" s="254">
        <v>0</v>
      </c>
      <c r="CQ71" s="116"/>
      <c r="CR71" s="255">
        <v>0</v>
      </c>
      <c r="CS71" s="255">
        <v>0</v>
      </c>
      <c r="CT71" s="255">
        <v>0</v>
      </c>
      <c r="CU71" s="255">
        <v>0</v>
      </c>
      <c r="CV71" s="255">
        <v>0</v>
      </c>
      <c r="CW71" s="255">
        <v>0</v>
      </c>
      <c r="CX71" s="255">
        <v>0</v>
      </c>
      <c r="CY71" s="255">
        <v>0</v>
      </c>
      <c r="CZ71" s="255">
        <v>0</v>
      </c>
      <c r="DA71" s="255">
        <v>0</v>
      </c>
      <c r="DB71" s="255">
        <v>0</v>
      </c>
      <c r="DC71" s="255">
        <v>0</v>
      </c>
      <c r="DD71" s="255">
        <v>0</v>
      </c>
      <c r="DE71" s="255">
        <v>0</v>
      </c>
      <c r="DF71" s="255">
        <v>0</v>
      </c>
      <c r="DG71" s="255">
        <v>0</v>
      </c>
      <c r="DH71" s="255">
        <v>0</v>
      </c>
      <c r="DI71" s="255">
        <v>0</v>
      </c>
      <c r="DJ71" s="255">
        <v>0</v>
      </c>
      <c r="DK71" s="255">
        <v>10410.050000000001</v>
      </c>
      <c r="DL71" s="255">
        <v>0</v>
      </c>
      <c r="DM71" s="255">
        <v>0</v>
      </c>
      <c r="DN71" s="255">
        <v>0</v>
      </c>
      <c r="DO71" s="255">
        <v>0</v>
      </c>
      <c r="DP71" s="255">
        <v>0</v>
      </c>
      <c r="DQ71" s="255">
        <v>0</v>
      </c>
      <c r="DR71" s="255">
        <v>0</v>
      </c>
      <c r="DS71" s="255">
        <v>0</v>
      </c>
      <c r="DT71" s="255">
        <v>0</v>
      </c>
      <c r="DU71" s="255">
        <v>0</v>
      </c>
      <c r="DV71" s="255">
        <v>0</v>
      </c>
      <c r="DW71" s="255">
        <v>0</v>
      </c>
      <c r="DX71" s="255">
        <v>0</v>
      </c>
      <c r="DY71" s="255">
        <v>0</v>
      </c>
      <c r="DZ71" s="255">
        <v>0</v>
      </c>
      <c r="EA71" s="255">
        <v>0</v>
      </c>
      <c r="EB71" s="255">
        <v>0</v>
      </c>
      <c r="EC71" s="255">
        <v>0</v>
      </c>
      <c r="ED71" s="255">
        <v>0</v>
      </c>
      <c r="EE71" s="255">
        <v>0</v>
      </c>
      <c r="EF71" s="255">
        <v>0</v>
      </c>
      <c r="EG71" s="255">
        <v>0</v>
      </c>
      <c r="EH71" s="255">
        <v>0</v>
      </c>
      <c r="EI71" s="255">
        <v>0</v>
      </c>
      <c r="EJ71" s="255">
        <v>0</v>
      </c>
      <c r="EK71" s="255">
        <v>0</v>
      </c>
      <c r="EL71" s="255">
        <v>0</v>
      </c>
      <c r="EM71" s="255">
        <v>0</v>
      </c>
      <c r="EN71" s="255">
        <v>0</v>
      </c>
      <c r="EO71" s="255">
        <v>0</v>
      </c>
      <c r="EP71" s="255">
        <v>0</v>
      </c>
      <c r="EQ71" s="255">
        <v>0</v>
      </c>
      <c r="ER71" s="255">
        <v>0</v>
      </c>
      <c r="ES71" s="255">
        <v>0</v>
      </c>
      <c r="ET71" s="255">
        <v>0</v>
      </c>
      <c r="EU71" s="255">
        <v>0</v>
      </c>
      <c r="EV71" s="255">
        <v>0</v>
      </c>
      <c r="EW71" s="255">
        <v>0</v>
      </c>
      <c r="EX71" s="255">
        <v>0</v>
      </c>
      <c r="EY71" s="255">
        <v>0</v>
      </c>
      <c r="EZ71" s="255">
        <v>0</v>
      </c>
      <c r="FA71" s="255">
        <v>0</v>
      </c>
      <c r="FB71" s="255">
        <v>0</v>
      </c>
      <c r="FC71" s="255">
        <v>0</v>
      </c>
      <c r="FD71" s="255">
        <v>0</v>
      </c>
      <c r="FE71" s="255">
        <v>0</v>
      </c>
      <c r="FF71" s="255">
        <v>0</v>
      </c>
      <c r="FG71" s="255">
        <v>0</v>
      </c>
      <c r="FH71" s="255">
        <v>0</v>
      </c>
      <c r="FI71" s="255">
        <v>0</v>
      </c>
      <c r="FJ71" s="255">
        <v>0</v>
      </c>
      <c r="FK71" s="255">
        <v>0</v>
      </c>
      <c r="FL71" s="255">
        <v>0</v>
      </c>
      <c r="FM71" s="255">
        <v>0</v>
      </c>
      <c r="FN71" s="255">
        <v>0</v>
      </c>
      <c r="FO71" s="255">
        <v>0</v>
      </c>
      <c r="FP71" s="255">
        <v>0</v>
      </c>
      <c r="FQ71" s="255">
        <v>0</v>
      </c>
      <c r="FR71" s="255">
        <v>0</v>
      </c>
      <c r="FS71" s="255">
        <v>0</v>
      </c>
      <c r="FT71" s="255">
        <v>0</v>
      </c>
      <c r="FU71" s="255">
        <v>0</v>
      </c>
      <c r="FV71" s="255">
        <v>0</v>
      </c>
      <c r="FW71" s="255">
        <v>0</v>
      </c>
      <c r="FX71" s="116"/>
    </row>
    <row r="72" spans="2:180" x14ac:dyDescent="0.2">
      <c r="B72" s="253" t="s">
        <v>231</v>
      </c>
      <c r="C72" s="253" t="s">
        <v>302</v>
      </c>
      <c r="D72" s="253" t="s">
        <v>258</v>
      </c>
      <c r="E72" s="253" t="s">
        <v>127</v>
      </c>
      <c r="F72" s="253" t="s">
        <v>259</v>
      </c>
      <c r="G72" s="253" t="s">
        <v>260</v>
      </c>
      <c r="H72" s="237">
        <v>297.43</v>
      </c>
      <c r="I72" s="126">
        <f t="shared" si="86"/>
        <v>222912.28800000012</v>
      </c>
      <c r="J72" s="116"/>
      <c r="K72" s="254">
        <v>0</v>
      </c>
      <c r="L72" s="254">
        <v>0</v>
      </c>
      <c r="M72" s="254">
        <v>0</v>
      </c>
      <c r="N72" s="254">
        <v>0</v>
      </c>
      <c r="O72" s="254">
        <v>0</v>
      </c>
      <c r="P72" s="254">
        <v>0.10236842105263154</v>
      </c>
      <c r="Q72" s="254">
        <v>0.90857142857142892</v>
      </c>
      <c r="R72" s="254">
        <v>0.73471428571428599</v>
      </c>
      <c r="S72" s="254">
        <v>0.80500000000000027</v>
      </c>
      <c r="T72" s="254">
        <v>1.0165714285714289</v>
      </c>
      <c r="U72" s="254">
        <v>0.77085714285714313</v>
      </c>
      <c r="V72" s="254">
        <v>0.93466666666666709</v>
      </c>
      <c r="W72" s="254">
        <v>0.35352380952380957</v>
      </c>
      <c r="X72" s="254">
        <v>0.4</v>
      </c>
      <c r="Y72" s="254">
        <v>0.5</v>
      </c>
      <c r="Z72" s="254">
        <v>0.26666666666666666</v>
      </c>
      <c r="AA72" s="254">
        <v>0.18421052631578946</v>
      </c>
      <c r="AB72" s="254">
        <v>0.18421052631578946</v>
      </c>
      <c r="AC72" s="254">
        <v>0.2</v>
      </c>
      <c r="AD72" s="254">
        <v>0.2</v>
      </c>
      <c r="AE72" s="254">
        <v>0</v>
      </c>
      <c r="AF72" s="254">
        <v>0</v>
      </c>
      <c r="AG72" s="254">
        <v>0</v>
      </c>
      <c r="AH72" s="254">
        <v>0</v>
      </c>
      <c r="AI72" s="254">
        <v>0</v>
      </c>
      <c r="AJ72" s="254">
        <v>0</v>
      </c>
      <c r="AK72" s="254">
        <v>0</v>
      </c>
      <c r="AL72" s="254">
        <v>0</v>
      </c>
      <c r="AM72" s="254">
        <v>0</v>
      </c>
      <c r="AN72" s="254">
        <v>0</v>
      </c>
      <c r="AO72" s="254">
        <v>0</v>
      </c>
      <c r="AP72" s="254">
        <v>0</v>
      </c>
      <c r="AQ72" s="254">
        <v>0</v>
      </c>
      <c r="AR72" s="254">
        <v>0</v>
      </c>
      <c r="AS72" s="254">
        <v>0</v>
      </c>
      <c r="AT72" s="254">
        <v>0</v>
      </c>
      <c r="AU72" s="254">
        <v>0</v>
      </c>
      <c r="AV72" s="254">
        <v>0</v>
      </c>
      <c r="AW72" s="254">
        <v>0</v>
      </c>
      <c r="AX72" s="254">
        <v>0</v>
      </c>
      <c r="AY72" s="254">
        <v>0</v>
      </c>
      <c r="AZ72" s="254">
        <v>0</v>
      </c>
      <c r="BA72" s="254">
        <v>0</v>
      </c>
      <c r="BB72" s="254">
        <v>0</v>
      </c>
      <c r="BC72" s="254">
        <v>0</v>
      </c>
      <c r="BD72" s="254">
        <v>0</v>
      </c>
      <c r="BE72" s="254">
        <v>0</v>
      </c>
      <c r="BF72" s="254">
        <v>0</v>
      </c>
      <c r="BG72" s="254">
        <v>0</v>
      </c>
      <c r="BH72" s="254">
        <v>0</v>
      </c>
      <c r="BI72" s="254">
        <v>0</v>
      </c>
      <c r="BJ72" s="254">
        <v>0</v>
      </c>
      <c r="BK72" s="254">
        <v>0</v>
      </c>
      <c r="BL72" s="254">
        <v>0</v>
      </c>
      <c r="BM72" s="254">
        <v>0</v>
      </c>
      <c r="BN72" s="254">
        <v>0</v>
      </c>
      <c r="BO72" s="254">
        <v>0</v>
      </c>
      <c r="BP72" s="254">
        <v>0</v>
      </c>
      <c r="BQ72" s="254">
        <v>0</v>
      </c>
      <c r="BR72" s="254">
        <v>0</v>
      </c>
      <c r="BS72" s="254">
        <v>0</v>
      </c>
      <c r="BT72" s="254">
        <v>0</v>
      </c>
      <c r="BU72" s="254">
        <v>0</v>
      </c>
      <c r="BV72" s="254">
        <v>0</v>
      </c>
      <c r="BW72" s="254">
        <v>0</v>
      </c>
      <c r="BX72" s="254">
        <v>0</v>
      </c>
      <c r="BY72" s="254">
        <v>0</v>
      </c>
      <c r="BZ72" s="254">
        <v>0</v>
      </c>
      <c r="CA72" s="254">
        <v>0</v>
      </c>
      <c r="CB72" s="254">
        <v>0</v>
      </c>
      <c r="CC72" s="254">
        <v>0</v>
      </c>
      <c r="CD72" s="254">
        <v>0</v>
      </c>
      <c r="CE72" s="254">
        <v>0</v>
      </c>
      <c r="CF72" s="254">
        <v>0</v>
      </c>
      <c r="CG72" s="254">
        <v>0</v>
      </c>
      <c r="CH72" s="254">
        <v>0</v>
      </c>
      <c r="CI72" s="254">
        <v>0</v>
      </c>
      <c r="CJ72" s="254">
        <v>0</v>
      </c>
      <c r="CK72" s="254">
        <v>0</v>
      </c>
      <c r="CL72" s="254">
        <v>0</v>
      </c>
      <c r="CM72" s="254">
        <v>0</v>
      </c>
      <c r="CN72" s="254">
        <v>0</v>
      </c>
      <c r="CO72" s="254">
        <v>0</v>
      </c>
      <c r="CP72" s="254">
        <v>0</v>
      </c>
      <c r="CQ72" s="116"/>
      <c r="CR72" s="255">
        <v>0</v>
      </c>
      <c r="CS72" s="255">
        <v>0</v>
      </c>
      <c r="CT72" s="255">
        <v>0</v>
      </c>
      <c r="CU72" s="255">
        <v>0</v>
      </c>
      <c r="CV72" s="255">
        <v>0</v>
      </c>
      <c r="CW72" s="255">
        <v>2984.5119999999997</v>
      </c>
      <c r="CX72" s="255">
        <v>24891.796000000009</v>
      </c>
      <c r="CY72" s="255">
        <v>16346.120000000003</v>
      </c>
      <c r="CZ72" s="255">
        <v>25883.960000000021</v>
      </c>
      <c r="DA72" s="255">
        <v>27881.729999999978</v>
      </c>
      <c r="DB72" s="255">
        <v>21142.470000000016</v>
      </c>
      <c r="DC72" s="255">
        <v>19226.480000000018</v>
      </c>
      <c r="DD72" s="255">
        <v>7272.1400000000067</v>
      </c>
      <c r="DE72" s="255">
        <v>16167.199999999999</v>
      </c>
      <c r="DF72" s="255">
        <v>20209</v>
      </c>
      <c r="DG72" s="255">
        <v>8083.5999999999995</v>
      </c>
      <c r="DH72" s="255">
        <v>8083.5999999999995</v>
      </c>
      <c r="DI72" s="255">
        <v>8083.5999999999995</v>
      </c>
      <c r="DJ72" s="255">
        <v>8328.0400000000009</v>
      </c>
      <c r="DK72" s="255">
        <v>8328.0400000000009</v>
      </c>
      <c r="DL72" s="255">
        <v>0</v>
      </c>
      <c r="DM72" s="255">
        <v>0</v>
      </c>
      <c r="DN72" s="255">
        <v>0</v>
      </c>
      <c r="DO72" s="255">
        <v>0</v>
      </c>
      <c r="DP72" s="255">
        <v>0</v>
      </c>
      <c r="DQ72" s="255">
        <v>0</v>
      </c>
      <c r="DR72" s="255">
        <v>0</v>
      </c>
      <c r="DS72" s="255">
        <v>0</v>
      </c>
      <c r="DT72" s="255">
        <v>0</v>
      </c>
      <c r="DU72" s="255">
        <v>0</v>
      </c>
      <c r="DV72" s="255">
        <v>0</v>
      </c>
      <c r="DW72" s="255">
        <v>0</v>
      </c>
      <c r="DX72" s="255">
        <v>0</v>
      </c>
      <c r="DY72" s="255">
        <v>0</v>
      </c>
      <c r="DZ72" s="255">
        <v>0</v>
      </c>
      <c r="EA72" s="255">
        <v>0</v>
      </c>
      <c r="EB72" s="255">
        <v>0</v>
      </c>
      <c r="EC72" s="255">
        <v>0</v>
      </c>
      <c r="ED72" s="255">
        <v>0</v>
      </c>
      <c r="EE72" s="255">
        <v>0</v>
      </c>
      <c r="EF72" s="255">
        <v>0</v>
      </c>
      <c r="EG72" s="255">
        <v>0</v>
      </c>
      <c r="EH72" s="255">
        <v>0</v>
      </c>
      <c r="EI72" s="255">
        <v>0</v>
      </c>
      <c r="EJ72" s="255">
        <v>0</v>
      </c>
      <c r="EK72" s="255">
        <v>0</v>
      </c>
      <c r="EL72" s="255">
        <v>0</v>
      </c>
      <c r="EM72" s="255">
        <v>0</v>
      </c>
      <c r="EN72" s="255">
        <v>0</v>
      </c>
      <c r="EO72" s="255">
        <v>0</v>
      </c>
      <c r="EP72" s="255">
        <v>0</v>
      </c>
      <c r="EQ72" s="255">
        <v>0</v>
      </c>
      <c r="ER72" s="255">
        <v>0</v>
      </c>
      <c r="ES72" s="255">
        <v>0</v>
      </c>
      <c r="ET72" s="255">
        <v>0</v>
      </c>
      <c r="EU72" s="255">
        <v>0</v>
      </c>
      <c r="EV72" s="255">
        <v>0</v>
      </c>
      <c r="EW72" s="255">
        <v>0</v>
      </c>
      <c r="EX72" s="255">
        <v>0</v>
      </c>
      <c r="EY72" s="255">
        <v>0</v>
      </c>
      <c r="EZ72" s="255">
        <v>0</v>
      </c>
      <c r="FA72" s="255">
        <v>0</v>
      </c>
      <c r="FB72" s="255">
        <v>0</v>
      </c>
      <c r="FC72" s="255">
        <v>0</v>
      </c>
      <c r="FD72" s="255">
        <v>0</v>
      </c>
      <c r="FE72" s="255">
        <v>0</v>
      </c>
      <c r="FF72" s="255">
        <v>0</v>
      </c>
      <c r="FG72" s="255">
        <v>0</v>
      </c>
      <c r="FH72" s="255">
        <v>0</v>
      </c>
      <c r="FI72" s="255">
        <v>0</v>
      </c>
      <c r="FJ72" s="255">
        <v>0</v>
      </c>
      <c r="FK72" s="255">
        <v>0</v>
      </c>
      <c r="FL72" s="255">
        <v>0</v>
      </c>
      <c r="FM72" s="255">
        <v>0</v>
      </c>
      <c r="FN72" s="255">
        <v>0</v>
      </c>
      <c r="FO72" s="255">
        <v>0</v>
      </c>
      <c r="FP72" s="255">
        <v>0</v>
      </c>
      <c r="FQ72" s="255">
        <v>0</v>
      </c>
      <c r="FR72" s="255">
        <v>0</v>
      </c>
      <c r="FS72" s="255">
        <v>0</v>
      </c>
      <c r="FT72" s="255">
        <v>0</v>
      </c>
      <c r="FU72" s="255">
        <v>0</v>
      </c>
      <c r="FV72" s="255">
        <v>0</v>
      </c>
      <c r="FW72" s="255">
        <v>0</v>
      </c>
      <c r="FX72" s="116"/>
    </row>
    <row r="73" spans="2:180" x14ac:dyDescent="0.2">
      <c r="B73" s="253" t="s">
        <v>231</v>
      </c>
      <c r="C73" s="253" t="s">
        <v>301</v>
      </c>
      <c r="D73" s="253" t="s">
        <v>258</v>
      </c>
      <c r="E73" s="253" t="s">
        <v>127</v>
      </c>
      <c r="F73" s="253" t="s">
        <v>259</v>
      </c>
      <c r="G73" s="253" t="s">
        <v>260</v>
      </c>
      <c r="H73" s="237">
        <v>210.04</v>
      </c>
      <c r="I73" s="126">
        <f t="shared" si="86"/>
        <v>95739.677999999985</v>
      </c>
      <c r="J73" s="116"/>
      <c r="K73" s="254">
        <v>0</v>
      </c>
      <c r="L73" s="254">
        <v>0</v>
      </c>
      <c r="M73" s="254">
        <v>0</v>
      </c>
      <c r="N73" s="254">
        <v>0</v>
      </c>
      <c r="O73" s="254">
        <v>0</v>
      </c>
      <c r="P73" s="254">
        <v>5.6315789473684215E-2</v>
      </c>
      <c r="Q73" s="254">
        <v>0.2095714285714286</v>
      </c>
      <c r="R73" s="254">
        <v>0.20600000000000002</v>
      </c>
      <c r="S73" s="254">
        <v>0.2742857142857143</v>
      </c>
      <c r="T73" s="254">
        <v>0.19171428571428584</v>
      </c>
      <c r="U73" s="254">
        <v>3.4142857142857141E-2</v>
      </c>
      <c r="V73" s="254">
        <v>3.3333333333333333E-2</v>
      </c>
      <c r="W73" s="254">
        <v>0.11485714285714284</v>
      </c>
      <c r="X73" s="254">
        <v>0.25</v>
      </c>
      <c r="Y73" s="254">
        <v>0.25</v>
      </c>
      <c r="Z73" s="254">
        <v>0.33333333333333331</v>
      </c>
      <c r="AA73" s="254">
        <v>0.23026315789473684</v>
      </c>
      <c r="AB73" s="254">
        <v>0.23026315789473684</v>
      </c>
      <c r="AC73" s="254">
        <v>0.25</v>
      </c>
      <c r="AD73" s="254">
        <v>0.25</v>
      </c>
      <c r="AE73" s="254">
        <v>0</v>
      </c>
      <c r="AF73" s="254">
        <v>0</v>
      </c>
      <c r="AG73" s="254">
        <v>0</v>
      </c>
      <c r="AH73" s="254">
        <v>0</v>
      </c>
      <c r="AI73" s="254">
        <v>0</v>
      </c>
      <c r="AJ73" s="254">
        <v>0</v>
      </c>
      <c r="AK73" s="254">
        <v>0</v>
      </c>
      <c r="AL73" s="254">
        <v>0</v>
      </c>
      <c r="AM73" s="254">
        <v>0</v>
      </c>
      <c r="AN73" s="254">
        <v>0</v>
      </c>
      <c r="AO73" s="254">
        <v>0</v>
      </c>
      <c r="AP73" s="254">
        <v>0</v>
      </c>
      <c r="AQ73" s="254">
        <v>0</v>
      </c>
      <c r="AR73" s="254">
        <v>0</v>
      </c>
      <c r="AS73" s="254">
        <v>0</v>
      </c>
      <c r="AT73" s="254">
        <v>0</v>
      </c>
      <c r="AU73" s="254">
        <v>0</v>
      </c>
      <c r="AV73" s="254">
        <v>0</v>
      </c>
      <c r="AW73" s="254">
        <v>0</v>
      </c>
      <c r="AX73" s="254">
        <v>0</v>
      </c>
      <c r="AY73" s="254">
        <v>0</v>
      </c>
      <c r="AZ73" s="254">
        <v>0</v>
      </c>
      <c r="BA73" s="254">
        <v>0</v>
      </c>
      <c r="BB73" s="254">
        <v>0</v>
      </c>
      <c r="BC73" s="254">
        <v>0</v>
      </c>
      <c r="BD73" s="254">
        <v>0</v>
      </c>
      <c r="BE73" s="254">
        <v>0</v>
      </c>
      <c r="BF73" s="254">
        <v>0</v>
      </c>
      <c r="BG73" s="254">
        <v>0</v>
      </c>
      <c r="BH73" s="254">
        <v>0</v>
      </c>
      <c r="BI73" s="254">
        <v>0</v>
      </c>
      <c r="BJ73" s="254">
        <v>0</v>
      </c>
      <c r="BK73" s="254">
        <v>0</v>
      </c>
      <c r="BL73" s="254">
        <v>0</v>
      </c>
      <c r="BM73" s="254">
        <v>0</v>
      </c>
      <c r="BN73" s="254">
        <v>0</v>
      </c>
      <c r="BO73" s="254">
        <v>0</v>
      </c>
      <c r="BP73" s="254">
        <v>0</v>
      </c>
      <c r="BQ73" s="254">
        <v>0</v>
      </c>
      <c r="BR73" s="254">
        <v>0</v>
      </c>
      <c r="BS73" s="254">
        <v>0</v>
      </c>
      <c r="BT73" s="254">
        <v>0</v>
      </c>
      <c r="BU73" s="254">
        <v>0</v>
      </c>
      <c r="BV73" s="254">
        <v>0</v>
      </c>
      <c r="BW73" s="254">
        <v>0</v>
      </c>
      <c r="BX73" s="254">
        <v>0</v>
      </c>
      <c r="BY73" s="254">
        <v>0</v>
      </c>
      <c r="BZ73" s="254">
        <v>0</v>
      </c>
      <c r="CA73" s="254">
        <v>0</v>
      </c>
      <c r="CB73" s="254">
        <v>0</v>
      </c>
      <c r="CC73" s="254">
        <v>0</v>
      </c>
      <c r="CD73" s="254">
        <v>0</v>
      </c>
      <c r="CE73" s="254">
        <v>0</v>
      </c>
      <c r="CF73" s="254">
        <v>0</v>
      </c>
      <c r="CG73" s="254">
        <v>0</v>
      </c>
      <c r="CH73" s="254">
        <v>0</v>
      </c>
      <c r="CI73" s="254">
        <v>0</v>
      </c>
      <c r="CJ73" s="254">
        <v>0</v>
      </c>
      <c r="CK73" s="254">
        <v>0</v>
      </c>
      <c r="CL73" s="254">
        <v>0</v>
      </c>
      <c r="CM73" s="254">
        <v>0</v>
      </c>
      <c r="CN73" s="254">
        <v>0</v>
      </c>
      <c r="CO73" s="254">
        <v>0</v>
      </c>
      <c r="CP73" s="254">
        <v>0</v>
      </c>
      <c r="CQ73" s="116"/>
      <c r="CR73" s="255">
        <v>0</v>
      </c>
      <c r="CS73" s="255">
        <v>0</v>
      </c>
      <c r="CT73" s="255">
        <v>0</v>
      </c>
      <c r="CU73" s="255">
        <v>0</v>
      </c>
      <c r="CV73" s="255">
        <v>0</v>
      </c>
      <c r="CW73" s="255">
        <v>2321.7480000000005</v>
      </c>
      <c r="CX73" s="255">
        <v>8082.4999999999991</v>
      </c>
      <c r="CY73" s="255">
        <v>8395.11</v>
      </c>
      <c r="CZ73" s="255">
        <v>10535.890000000001</v>
      </c>
      <c r="DA73" s="255">
        <v>9077.6300000000028</v>
      </c>
      <c r="DB73" s="255">
        <v>1956.9000000000005</v>
      </c>
      <c r="DC73" s="255">
        <v>1183.73</v>
      </c>
      <c r="DD73" s="255">
        <v>3061.67</v>
      </c>
      <c r="DE73" s="255">
        <v>7016.1</v>
      </c>
      <c r="DF73" s="255">
        <v>7351.4</v>
      </c>
      <c r="DG73" s="255">
        <v>7351.4</v>
      </c>
      <c r="DH73" s="255">
        <v>7351.4</v>
      </c>
      <c r="DI73" s="255">
        <v>7351.4</v>
      </c>
      <c r="DJ73" s="255">
        <v>7351.4</v>
      </c>
      <c r="DK73" s="255">
        <v>7351.4</v>
      </c>
      <c r="DL73" s="255">
        <v>0</v>
      </c>
      <c r="DM73" s="255">
        <v>0</v>
      </c>
      <c r="DN73" s="255">
        <v>0</v>
      </c>
      <c r="DO73" s="255">
        <v>0</v>
      </c>
      <c r="DP73" s="255">
        <v>0</v>
      </c>
      <c r="DQ73" s="255">
        <v>0</v>
      </c>
      <c r="DR73" s="255">
        <v>0</v>
      </c>
      <c r="DS73" s="255">
        <v>0</v>
      </c>
      <c r="DT73" s="255">
        <v>0</v>
      </c>
      <c r="DU73" s="255">
        <v>0</v>
      </c>
      <c r="DV73" s="255">
        <v>0</v>
      </c>
      <c r="DW73" s="255">
        <v>0</v>
      </c>
      <c r="DX73" s="255">
        <v>0</v>
      </c>
      <c r="DY73" s="255">
        <v>0</v>
      </c>
      <c r="DZ73" s="255">
        <v>0</v>
      </c>
      <c r="EA73" s="255">
        <v>0</v>
      </c>
      <c r="EB73" s="255">
        <v>0</v>
      </c>
      <c r="EC73" s="255">
        <v>0</v>
      </c>
      <c r="ED73" s="255">
        <v>0</v>
      </c>
      <c r="EE73" s="255">
        <v>0</v>
      </c>
      <c r="EF73" s="255">
        <v>0</v>
      </c>
      <c r="EG73" s="255">
        <v>0</v>
      </c>
      <c r="EH73" s="255">
        <v>0</v>
      </c>
      <c r="EI73" s="255">
        <v>0</v>
      </c>
      <c r="EJ73" s="255">
        <v>0</v>
      </c>
      <c r="EK73" s="255">
        <v>0</v>
      </c>
      <c r="EL73" s="255">
        <v>0</v>
      </c>
      <c r="EM73" s="255">
        <v>0</v>
      </c>
      <c r="EN73" s="255">
        <v>0</v>
      </c>
      <c r="EO73" s="255">
        <v>0</v>
      </c>
      <c r="EP73" s="255">
        <v>0</v>
      </c>
      <c r="EQ73" s="255">
        <v>0</v>
      </c>
      <c r="ER73" s="255">
        <v>0</v>
      </c>
      <c r="ES73" s="255">
        <v>0</v>
      </c>
      <c r="ET73" s="255">
        <v>0</v>
      </c>
      <c r="EU73" s="255">
        <v>0</v>
      </c>
      <c r="EV73" s="255">
        <v>0</v>
      </c>
      <c r="EW73" s="255">
        <v>0</v>
      </c>
      <c r="EX73" s="255">
        <v>0</v>
      </c>
      <c r="EY73" s="255">
        <v>0</v>
      </c>
      <c r="EZ73" s="255">
        <v>0</v>
      </c>
      <c r="FA73" s="255">
        <v>0</v>
      </c>
      <c r="FB73" s="255">
        <v>0</v>
      </c>
      <c r="FC73" s="255">
        <v>0</v>
      </c>
      <c r="FD73" s="255">
        <v>0</v>
      </c>
      <c r="FE73" s="255">
        <v>0</v>
      </c>
      <c r="FF73" s="255">
        <v>0</v>
      </c>
      <c r="FG73" s="255">
        <v>0</v>
      </c>
      <c r="FH73" s="255">
        <v>0</v>
      </c>
      <c r="FI73" s="255">
        <v>0</v>
      </c>
      <c r="FJ73" s="255">
        <v>0</v>
      </c>
      <c r="FK73" s="255">
        <v>0</v>
      </c>
      <c r="FL73" s="255">
        <v>0</v>
      </c>
      <c r="FM73" s="255">
        <v>0</v>
      </c>
      <c r="FN73" s="255">
        <v>0</v>
      </c>
      <c r="FO73" s="255">
        <v>0</v>
      </c>
      <c r="FP73" s="255">
        <v>0</v>
      </c>
      <c r="FQ73" s="255">
        <v>0</v>
      </c>
      <c r="FR73" s="255">
        <v>0</v>
      </c>
      <c r="FS73" s="255">
        <v>0</v>
      </c>
      <c r="FT73" s="255">
        <v>0</v>
      </c>
      <c r="FU73" s="255">
        <v>0</v>
      </c>
      <c r="FV73" s="255">
        <v>0</v>
      </c>
      <c r="FW73" s="255">
        <v>0</v>
      </c>
      <c r="FX73" s="116"/>
    </row>
    <row r="74" spans="2:180" x14ac:dyDescent="0.2">
      <c r="B74" s="253" t="s">
        <v>229</v>
      </c>
      <c r="C74" s="253" t="s">
        <v>303</v>
      </c>
      <c r="D74" s="253" t="s">
        <v>258</v>
      </c>
      <c r="E74" s="253" t="s">
        <v>127</v>
      </c>
      <c r="F74" s="253" t="s">
        <v>259</v>
      </c>
      <c r="G74" s="253" t="s">
        <v>260</v>
      </c>
      <c r="H74" s="237">
        <v>275.72000000000003</v>
      </c>
      <c r="I74" s="126">
        <f t="shared" si="86"/>
        <v>186986.19800000009</v>
      </c>
      <c r="J74" s="116"/>
      <c r="K74" s="254">
        <v>0</v>
      </c>
      <c r="L74" s="254">
        <v>0</v>
      </c>
      <c r="M74" s="254">
        <v>0</v>
      </c>
      <c r="N74" s="254">
        <v>0</v>
      </c>
      <c r="O74" s="254">
        <v>1.7529837230923523E-17</v>
      </c>
      <c r="P74" s="254">
        <v>0.40947368421052638</v>
      </c>
      <c r="Q74" s="254">
        <v>5.5571428571428445E-2</v>
      </c>
      <c r="R74" s="254">
        <v>0</v>
      </c>
      <c r="S74" s="254">
        <v>0.22228571428571459</v>
      </c>
      <c r="T74" s="254">
        <v>0.83357142857142885</v>
      </c>
      <c r="U74" s="254">
        <v>0.33342857142857185</v>
      </c>
      <c r="V74" s="254">
        <v>-4.6523631508101799E-17</v>
      </c>
      <c r="W74" s="254">
        <v>0.66685714285714282</v>
      </c>
      <c r="X74" s="254">
        <v>0.25</v>
      </c>
      <c r="Y74" s="254">
        <v>0.25</v>
      </c>
      <c r="Z74" s="254">
        <v>0.33333333333333331</v>
      </c>
      <c r="AA74" s="254">
        <v>0.23026315789473684</v>
      </c>
      <c r="AB74" s="254">
        <v>0.23026315789473684</v>
      </c>
      <c r="AC74" s="254">
        <v>0.25</v>
      </c>
      <c r="AD74" s="254">
        <v>0.25</v>
      </c>
      <c r="AE74" s="254">
        <v>0.25</v>
      </c>
      <c r="AF74" s="254">
        <v>0.25</v>
      </c>
      <c r="AG74" s="254">
        <v>0.25</v>
      </c>
      <c r="AH74" s="254">
        <v>0.33333333333333331</v>
      </c>
      <c r="AI74" s="254">
        <v>0</v>
      </c>
      <c r="AJ74" s="254">
        <v>0</v>
      </c>
      <c r="AK74" s="254">
        <v>0</v>
      </c>
      <c r="AL74" s="254">
        <v>0</v>
      </c>
      <c r="AM74" s="254">
        <v>0</v>
      </c>
      <c r="AN74" s="254">
        <v>0</v>
      </c>
      <c r="AO74" s="254">
        <v>0</v>
      </c>
      <c r="AP74" s="254">
        <v>0</v>
      </c>
      <c r="AQ74" s="254">
        <v>0</v>
      </c>
      <c r="AR74" s="254">
        <v>0</v>
      </c>
      <c r="AS74" s="254">
        <v>0</v>
      </c>
      <c r="AT74" s="254">
        <v>0</v>
      </c>
      <c r="AU74" s="254">
        <v>0</v>
      </c>
      <c r="AV74" s="254">
        <v>0</v>
      </c>
      <c r="AW74" s="254">
        <v>0</v>
      </c>
      <c r="AX74" s="254">
        <v>0</v>
      </c>
      <c r="AY74" s="254">
        <v>0</v>
      </c>
      <c r="AZ74" s="254">
        <v>0</v>
      </c>
      <c r="BA74" s="254">
        <v>0</v>
      </c>
      <c r="BB74" s="254">
        <v>0</v>
      </c>
      <c r="BC74" s="254">
        <v>0</v>
      </c>
      <c r="BD74" s="254">
        <v>0</v>
      </c>
      <c r="BE74" s="254">
        <v>0</v>
      </c>
      <c r="BF74" s="254">
        <v>0</v>
      </c>
      <c r="BG74" s="254">
        <v>0</v>
      </c>
      <c r="BH74" s="254">
        <v>0</v>
      </c>
      <c r="BI74" s="254">
        <v>0</v>
      </c>
      <c r="BJ74" s="254">
        <v>0</v>
      </c>
      <c r="BK74" s="254">
        <v>0</v>
      </c>
      <c r="BL74" s="254">
        <v>0</v>
      </c>
      <c r="BM74" s="254">
        <v>0</v>
      </c>
      <c r="BN74" s="254">
        <v>0</v>
      </c>
      <c r="BO74" s="254">
        <v>0</v>
      </c>
      <c r="BP74" s="254">
        <v>0</v>
      </c>
      <c r="BQ74" s="254">
        <v>0</v>
      </c>
      <c r="BR74" s="254">
        <v>0</v>
      </c>
      <c r="BS74" s="254">
        <v>0</v>
      </c>
      <c r="BT74" s="254">
        <v>0</v>
      </c>
      <c r="BU74" s="254">
        <v>0</v>
      </c>
      <c r="BV74" s="254">
        <v>0</v>
      </c>
      <c r="BW74" s="254">
        <v>0</v>
      </c>
      <c r="BX74" s="254">
        <v>0</v>
      </c>
      <c r="BY74" s="254">
        <v>0</v>
      </c>
      <c r="BZ74" s="254">
        <v>0</v>
      </c>
      <c r="CA74" s="254">
        <v>0</v>
      </c>
      <c r="CB74" s="254">
        <v>0</v>
      </c>
      <c r="CC74" s="254">
        <v>0</v>
      </c>
      <c r="CD74" s="254">
        <v>0</v>
      </c>
      <c r="CE74" s="254">
        <v>0</v>
      </c>
      <c r="CF74" s="254">
        <v>0</v>
      </c>
      <c r="CG74" s="254">
        <v>0</v>
      </c>
      <c r="CH74" s="254">
        <v>0</v>
      </c>
      <c r="CI74" s="254">
        <v>0</v>
      </c>
      <c r="CJ74" s="254">
        <v>0</v>
      </c>
      <c r="CK74" s="254">
        <v>0</v>
      </c>
      <c r="CL74" s="254">
        <v>0</v>
      </c>
      <c r="CM74" s="254">
        <v>0</v>
      </c>
      <c r="CN74" s="254">
        <v>0</v>
      </c>
      <c r="CO74" s="254">
        <v>0</v>
      </c>
      <c r="CP74" s="254">
        <v>0</v>
      </c>
      <c r="CQ74" s="116"/>
      <c r="CR74" s="255">
        <v>0</v>
      </c>
      <c r="CS74" s="255">
        <v>0</v>
      </c>
      <c r="CT74" s="255">
        <v>0</v>
      </c>
      <c r="CU74" s="255">
        <v>0</v>
      </c>
      <c r="CV74" s="255">
        <v>5.6843418860808015E-13</v>
      </c>
      <c r="CW74" s="255">
        <v>12831.279999999999</v>
      </c>
      <c r="CX74" s="255">
        <v>1577.3300000000004</v>
      </c>
      <c r="CY74" s="255">
        <v>0</v>
      </c>
      <c r="CZ74" s="255">
        <v>6309.3199999999906</v>
      </c>
      <c r="DA74" s="255">
        <v>30763.284000000011</v>
      </c>
      <c r="DB74" s="255">
        <v>16567.313999999988</v>
      </c>
      <c r="DC74" s="255">
        <v>1.9468870959826745E-12</v>
      </c>
      <c r="DD74" s="255">
        <v>14195.970000000001</v>
      </c>
      <c r="DE74" s="255">
        <v>9368.1</v>
      </c>
      <c r="DF74" s="255">
        <v>9368.1</v>
      </c>
      <c r="DG74" s="255">
        <v>9368.1</v>
      </c>
      <c r="DH74" s="255">
        <v>9368.1</v>
      </c>
      <c r="DI74" s="255">
        <v>9368.1</v>
      </c>
      <c r="DJ74" s="255">
        <v>9650.2000000000007</v>
      </c>
      <c r="DK74" s="255">
        <v>9650.2000000000007</v>
      </c>
      <c r="DL74" s="255">
        <v>9650.2000000000007</v>
      </c>
      <c r="DM74" s="255">
        <v>9650.2000000000007</v>
      </c>
      <c r="DN74" s="255">
        <v>9650.2000000000007</v>
      </c>
      <c r="DO74" s="255">
        <v>9650.2000000000007</v>
      </c>
      <c r="DP74" s="255">
        <v>0</v>
      </c>
      <c r="DQ74" s="255">
        <v>0</v>
      </c>
      <c r="DR74" s="255">
        <v>0</v>
      </c>
      <c r="DS74" s="255">
        <v>0</v>
      </c>
      <c r="DT74" s="255">
        <v>0</v>
      </c>
      <c r="DU74" s="255">
        <v>0</v>
      </c>
      <c r="DV74" s="255">
        <v>0</v>
      </c>
      <c r="DW74" s="255">
        <v>0</v>
      </c>
      <c r="DX74" s="255">
        <v>0</v>
      </c>
      <c r="DY74" s="255">
        <v>0</v>
      </c>
      <c r="DZ74" s="255">
        <v>0</v>
      </c>
      <c r="EA74" s="255">
        <v>0</v>
      </c>
      <c r="EB74" s="255">
        <v>0</v>
      </c>
      <c r="EC74" s="255">
        <v>0</v>
      </c>
      <c r="ED74" s="255">
        <v>0</v>
      </c>
      <c r="EE74" s="255">
        <v>0</v>
      </c>
      <c r="EF74" s="255">
        <v>0</v>
      </c>
      <c r="EG74" s="255">
        <v>0</v>
      </c>
      <c r="EH74" s="255">
        <v>0</v>
      </c>
      <c r="EI74" s="255">
        <v>0</v>
      </c>
      <c r="EJ74" s="255">
        <v>0</v>
      </c>
      <c r="EK74" s="255">
        <v>0</v>
      </c>
      <c r="EL74" s="255">
        <v>0</v>
      </c>
      <c r="EM74" s="255">
        <v>0</v>
      </c>
      <c r="EN74" s="255">
        <v>0</v>
      </c>
      <c r="EO74" s="255">
        <v>0</v>
      </c>
      <c r="EP74" s="255">
        <v>0</v>
      </c>
      <c r="EQ74" s="255">
        <v>0</v>
      </c>
      <c r="ER74" s="255">
        <v>0</v>
      </c>
      <c r="ES74" s="255">
        <v>0</v>
      </c>
      <c r="ET74" s="255">
        <v>0</v>
      </c>
      <c r="EU74" s="255">
        <v>0</v>
      </c>
      <c r="EV74" s="255">
        <v>0</v>
      </c>
      <c r="EW74" s="255">
        <v>0</v>
      </c>
      <c r="EX74" s="255">
        <v>0</v>
      </c>
      <c r="EY74" s="255">
        <v>0</v>
      </c>
      <c r="EZ74" s="255">
        <v>0</v>
      </c>
      <c r="FA74" s="255">
        <v>0</v>
      </c>
      <c r="FB74" s="255">
        <v>0</v>
      </c>
      <c r="FC74" s="255">
        <v>0</v>
      </c>
      <c r="FD74" s="255">
        <v>0</v>
      </c>
      <c r="FE74" s="255">
        <v>0</v>
      </c>
      <c r="FF74" s="255">
        <v>0</v>
      </c>
      <c r="FG74" s="255">
        <v>0</v>
      </c>
      <c r="FH74" s="255">
        <v>0</v>
      </c>
      <c r="FI74" s="255">
        <v>0</v>
      </c>
      <c r="FJ74" s="255">
        <v>0</v>
      </c>
      <c r="FK74" s="255">
        <v>0</v>
      </c>
      <c r="FL74" s="255">
        <v>0</v>
      </c>
      <c r="FM74" s="255">
        <v>0</v>
      </c>
      <c r="FN74" s="255">
        <v>0</v>
      </c>
      <c r="FO74" s="255">
        <v>0</v>
      </c>
      <c r="FP74" s="255">
        <v>0</v>
      </c>
      <c r="FQ74" s="255">
        <v>0</v>
      </c>
      <c r="FR74" s="255">
        <v>0</v>
      </c>
      <c r="FS74" s="255">
        <v>0</v>
      </c>
      <c r="FT74" s="255">
        <v>0</v>
      </c>
      <c r="FU74" s="255">
        <v>0</v>
      </c>
      <c r="FV74" s="255">
        <v>0</v>
      </c>
      <c r="FW74" s="255">
        <v>0</v>
      </c>
      <c r="FX74" s="116"/>
    </row>
    <row r="75" spans="2:180" x14ac:dyDescent="0.2">
      <c r="B75" s="253" t="s">
        <v>229</v>
      </c>
      <c r="C75" s="253" t="s">
        <v>303</v>
      </c>
      <c r="D75" s="253" t="s">
        <v>258</v>
      </c>
      <c r="E75" s="253" t="s">
        <v>127</v>
      </c>
      <c r="F75" s="253" t="s">
        <v>259</v>
      </c>
      <c r="G75" s="253" t="s">
        <v>260</v>
      </c>
      <c r="H75" s="237">
        <v>275.72000000000003</v>
      </c>
      <c r="I75" s="126">
        <f t="shared" si="86"/>
        <v>73282.02</v>
      </c>
      <c r="J75" s="116"/>
      <c r="K75" s="254">
        <v>0</v>
      </c>
      <c r="L75" s="254">
        <v>0</v>
      </c>
      <c r="M75" s="254">
        <v>0</v>
      </c>
      <c r="N75" s="254">
        <v>0</v>
      </c>
      <c r="O75" s="254">
        <v>0</v>
      </c>
      <c r="P75" s="254">
        <v>0</v>
      </c>
      <c r="Q75" s="254">
        <v>0</v>
      </c>
      <c r="R75" s="254">
        <v>0.2</v>
      </c>
      <c r="S75" s="254">
        <v>0.15</v>
      </c>
      <c r="T75" s="254">
        <v>0.05</v>
      </c>
      <c r="U75" s="254">
        <v>0.05</v>
      </c>
      <c r="V75" s="254">
        <v>0</v>
      </c>
      <c r="W75" s="254">
        <v>0</v>
      </c>
      <c r="X75" s="254">
        <v>0.1</v>
      </c>
      <c r="Y75" s="254">
        <v>0.1</v>
      </c>
      <c r="Z75" s="254">
        <v>0.13333333333333333</v>
      </c>
      <c r="AA75" s="254">
        <v>9.2105263157894732E-2</v>
      </c>
      <c r="AB75" s="254">
        <v>9.2105263157894732E-2</v>
      </c>
      <c r="AC75" s="254">
        <v>0.1</v>
      </c>
      <c r="AD75" s="254">
        <v>0.1</v>
      </c>
      <c r="AE75" s="254">
        <v>0.1</v>
      </c>
      <c r="AF75" s="254">
        <v>0.1</v>
      </c>
      <c r="AG75" s="254">
        <v>0.1</v>
      </c>
      <c r="AH75" s="254">
        <v>0.13333333333333333</v>
      </c>
      <c r="AI75" s="254">
        <v>0</v>
      </c>
      <c r="AJ75" s="254">
        <v>0</v>
      </c>
      <c r="AK75" s="254">
        <v>0</v>
      </c>
      <c r="AL75" s="254">
        <v>0</v>
      </c>
      <c r="AM75" s="254">
        <v>0</v>
      </c>
      <c r="AN75" s="254">
        <v>0</v>
      </c>
      <c r="AO75" s="254">
        <v>0</v>
      </c>
      <c r="AP75" s="254">
        <v>0</v>
      </c>
      <c r="AQ75" s="254">
        <v>0</v>
      </c>
      <c r="AR75" s="254">
        <v>0</v>
      </c>
      <c r="AS75" s="254">
        <v>0</v>
      </c>
      <c r="AT75" s="254">
        <v>0</v>
      </c>
      <c r="AU75" s="254">
        <v>0</v>
      </c>
      <c r="AV75" s="254">
        <v>0</v>
      </c>
      <c r="AW75" s="254">
        <v>0</v>
      </c>
      <c r="AX75" s="254">
        <v>0</v>
      </c>
      <c r="AY75" s="254">
        <v>0</v>
      </c>
      <c r="AZ75" s="254">
        <v>0</v>
      </c>
      <c r="BA75" s="254">
        <v>0</v>
      </c>
      <c r="BB75" s="254">
        <v>0</v>
      </c>
      <c r="BC75" s="254">
        <v>0</v>
      </c>
      <c r="BD75" s="254">
        <v>0</v>
      </c>
      <c r="BE75" s="254">
        <v>0</v>
      </c>
      <c r="BF75" s="254">
        <v>0</v>
      </c>
      <c r="BG75" s="254">
        <v>0</v>
      </c>
      <c r="BH75" s="254">
        <v>0</v>
      </c>
      <c r="BI75" s="254">
        <v>0</v>
      </c>
      <c r="BJ75" s="254">
        <v>0</v>
      </c>
      <c r="BK75" s="254">
        <v>0</v>
      </c>
      <c r="BL75" s="254">
        <v>0</v>
      </c>
      <c r="BM75" s="254">
        <v>0</v>
      </c>
      <c r="BN75" s="254">
        <v>0</v>
      </c>
      <c r="BO75" s="254">
        <v>0</v>
      </c>
      <c r="BP75" s="254">
        <v>0</v>
      </c>
      <c r="BQ75" s="254">
        <v>0</v>
      </c>
      <c r="BR75" s="254">
        <v>0</v>
      </c>
      <c r="BS75" s="254">
        <v>0</v>
      </c>
      <c r="BT75" s="254">
        <v>0</v>
      </c>
      <c r="BU75" s="254">
        <v>0</v>
      </c>
      <c r="BV75" s="254">
        <v>0</v>
      </c>
      <c r="BW75" s="254">
        <v>0</v>
      </c>
      <c r="BX75" s="254">
        <v>0</v>
      </c>
      <c r="BY75" s="254">
        <v>0</v>
      </c>
      <c r="BZ75" s="254">
        <v>0</v>
      </c>
      <c r="CA75" s="254">
        <v>0</v>
      </c>
      <c r="CB75" s="254">
        <v>0</v>
      </c>
      <c r="CC75" s="254">
        <v>0</v>
      </c>
      <c r="CD75" s="254">
        <v>0</v>
      </c>
      <c r="CE75" s="254">
        <v>0</v>
      </c>
      <c r="CF75" s="254">
        <v>0</v>
      </c>
      <c r="CG75" s="254">
        <v>0</v>
      </c>
      <c r="CH75" s="254">
        <v>0</v>
      </c>
      <c r="CI75" s="254">
        <v>0</v>
      </c>
      <c r="CJ75" s="254">
        <v>0</v>
      </c>
      <c r="CK75" s="254">
        <v>0</v>
      </c>
      <c r="CL75" s="254">
        <v>0</v>
      </c>
      <c r="CM75" s="254">
        <v>0</v>
      </c>
      <c r="CN75" s="254">
        <v>0</v>
      </c>
      <c r="CO75" s="254">
        <v>0</v>
      </c>
      <c r="CP75" s="254">
        <v>0</v>
      </c>
      <c r="CQ75" s="116"/>
      <c r="CR75" s="255">
        <v>0</v>
      </c>
      <c r="CS75" s="255">
        <v>0</v>
      </c>
      <c r="CT75" s="255">
        <v>0</v>
      </c>
      <c r="CU75" s="255">
        <v>0</v>
      </c>
      <c r="CV75" s="255">
        <v>0</v>
      </c>
      <c r="CW75" s="255">
        <v>0</v>
      </c>
      <c r="CX75" s="255">
        <v>0</v>
      </c>
      <c r="CY75" s="255">
        <v>13949.04</v>
      </c>
      <c r="CZ75" s="255">
        <v>10461.780000000001</v>
      </c>
      <c r="DA75" s="255">
        <v>3487.26</v>
      </c>
      <c r="DB75" s="255">
        <v>3487.26</v>
      </c>
      <c r="DC75" s="255">
        <v>-2.8421709430404007E-14</v>
      </c>
      <c r="DD75" s="255">
        <v>0</v>
      </c>
      <c r="DE75" s="255">
        <v>3747.2400000000002</v>
      </c>
      <c r="DF75" s="255">
        <v>3747.2400000000002</v>
      </c>
      <c r="DG75" s="255">
        <v>3747.2400000000002</v>
      </c>
      <c r="DH75" s="255">
        <v>3747.2400000000002</v>
      </c>
      <c r="DI75" s="255">
        <v>3747.2400000000002</v>
      </c>
      <c r="DJ75" s="255">
        <v>3860.0800000000004</v>
      </c>
      <c r="DK75" s="255">
        <v>3860.0800000000004</v>
      </c>
      <c r="DL75" s="255">
        <v>3860.0800000000004</v>
      </c>
      <c r="DM75" s="255">
        <v>3860.0800000000004</v>
      </c>
      <c r="DN75" s="255">
        <v>3860.0800000000004</v>
      </c>
      <c r="DO75" s="255">
        <v>3860.0800000000004</v>
      </c>
      <c r="DP75" s="255">
        <v>0</v>
      </c>
      <c r="DQ75" s="255">
        <v>0</v>
      </c>
      <c r="DR75" s="255">
        <v>0</v>
      </c>
      <c r="DS75" s="255">
        <v>0</v>
      </c>
      <c r="DT75" s="255">
        <v>0</v>
      </c>
      <c r="DU75" s="255">
        <v>0</v>
      </c>
      <c r="DV75" s="255">
        <v>0</v>
      </c>
      <c r="DW75" s="255">
        <v>0</v>
      </c>
      <c r="DX75" s="255">
        <v>0</v>
      </c>
      <c r="DY75" s="255">
        <v>0</v>
      </c>
      <c r="DZ75" s="255">
        <v>0</v>
      </c>
      <c r="EA75" s="255">
        <v>0</v>
      </c>
      <c r="EB75" s="255">
        <v>0</v>
      </c>
      <c r="EC75" s="255">
        <v>0</v>
      </c>
      <c r="ED75" s="255">
        <v>0</v>
      </c>
      <c r="EE75" s="255">
        <v>0</v>
      </c>
      <c r="EF75" s="255">
        <v>0</v>
      </c>
      <c r="EG75" s="255">
        <v>0</v>
      </c>
      <c r="EH75" s="255">
        <v>0</v>
      </c>
      <c r="EI75" s="255">
        <v>0</v>
      </c>
      <c r="EJ75" s="255">
        <v>0</v>
      </c>
      <c r="EK75" s="255">
        <v>0</v>
      </c>
      <c r="EL75" s="255">
        <v>0</v>
      </c>
      <c r="EM75" s="255">
        <v>0</v>
      </c>
      <c r="EN75" s="255">
        <v>0</v>
      </c>
      <c r="EO75" s="255">
        <v>0</v>
      </c>
      <c r="EP75" s="255">
        <v>0</v>
      </c>
      <c r="EQ75" s="255">
        <v>0</v>
      </c>
      <c r="ER75" s="255">
        <v>0</v>
      </c>
      <c r="ES75" s="255">
        <v>0</v>
      </c>
      <c r="ET75" s="255">
        <v>0</v>
      </c>
      <c r="EU75" s="255">
        <v>0</v>
      </c>
      <c r="EV75" s="255">
        <v>0</v>
      </c>
      <c r="EW75" s="255">
        <v>0</v>
      </c>
      <c r="EX75" s="255">
        <v>0</v>
      </c>
      <c r="EY75" s="255">
        <v>0</v>
      </c>
      <c r="EZ75" s="255">
        <v>0</v>
      </c>
      <c r="FA75" s="255">
        <v>0</v>
      </c>
      <c r="FB75" s="255">
        <v>0</v>
      </c>
      <c r="FC75" s="255">
        <v>0</v>
      </c>
      <c r="FD75" s="255">
        <v>0</v>
      </c>
      <c r="FE75" s="255">
        <v>0</v>
      </c>
      <c r="FF75" s="255">
        <v>0</v>
      </c>
      <c r="FG75" s="255">
        <v>0</v>
      </c>
      <c r="FH75" s="255">
        <v>0</v>
      </c>
      <c r="FI75" s="255">
        <v>0</v>
      </c>
      <c r="FJ75" s="255">
        <v>0</v>
      </c>
      <c r="FK75" s="255">
        <v>0</v>
      </c>
      <c r="FL75" s="255">
        <v>0</v>
      </c>
      <c r="FM75" s="255">
        <v>0</v>
      </c>
      <c r="FN75" s="255">
        <v>0</v>
      </c>
      <c r="FO75" s="255">
        <v>0</v>
      </c>
      <c r="FP75" s="255">
        <v>0</v>
      </c>
      <c r="FQ75" s="255">
        <v>0</v>
      </c>
      <c r="FR75" s="255">
        <v>0</v>
      </c>
      <c r="FS75" s="255">
        <v>0</v>
      </c>
      <c r="FT75" s="255">
        <v>0</v>
      </c>
      <c r="FU75" s="255">
        <v>0</v>
      </c>
      <c r="FV75" s="255">
        <v>0</v>
      </c>
      <c r="FW75" s="255">
        <v>0</v>
      </c>
      <c r="FX75" s="116"/>
    </row>
    <row r="76" spans="2:180" x14ac:dyDescent="0.2">
      <c r="B76" s="253" t="s">
        <v>231</v>
      </c>
      <c r="C76" s="253" t="s">
        <v>304</v>
      </c>
      <c r="D76" s="253" t="s">
        <v>258</v>
      </c>
      <c r="E76" s="253" t="s">
        <v>127</v>
      </c>
      <c r="F76" s="253" t="s">
        <v>263</v>
      </c>
      <c r="G76" s="253" t="s">
        <v>260</v>
      </c>
      <c r="H76" s="237">
        <v>313.99</v>
      </c>
      <c r="I76" s="126">
        <f t="shared" si="86"/>
        <v>21337.399999999998</v>
      </c>
      <c r="J76" s="116"/>
      <c r="K76" s="254">
        <v>0</v>
      </c>
      <c r="L76" s="254">
        <v>0</v>
      </c>
      <c r="M76" s="254">
        <v>0</v>
      </c>
      <c r="N76" s="254">
        <v>0</v>
      </c>
      <c r="O76" s="254">
        <v>0</v>
      </c>
      <c r="P76" s="254">
        <v>0</v>
      </c>
      <c r="Q76" s="254">
        <v>0</v>
      </c>
      <c r="R76" s="254">
        <v>0</v>
      </c>
      <c r="S76" s="254">
        <v>0</v>
      </c>
      <c r="T76" s="254">
        <v>0</v>
      </c>
      <c r="U76" s="254">
        <v>0</v>
      </c>
      <c r="V76" s="254">
        <v>0</v>
      </c>
      <c r="W76" s="254">
        <v>0</v>
      </c>
      <c r="X76" s="254">
        <v>0.1</v>
      </c>
      <c r="Y76" s="254">
        <v>0.1</v>
      </c>
      <c r="Z76" s="254">
        <v>0.13333333333333333</v>
      </c>
      <c r="AA76" s="254">
        <v>9.2105263157894732E-2</v>
      </c>
      <c r="AB76" s="254">
        <v>9.2105263157894732E-2</v>
      </c>
      <c r="AC76" s="254">
        <v>0</v>
      </c>
      <c r="AD76" s="254">
        <v>0</v>
      </c>
      <c r="AE76" s="254">
        <v>0</v>
      </c>
      <c r="AF76" s="254">
        <v>0</v>
      </c>
      <c r="AG76" s="254">
        <v>0</v>
      </c>
      <c r="AH76" s="254">
        <v>0</v>
      </c>
      <c r="AI76" s="254">
        <v>0</v>
      </c>
      <c r="AJ76" s="254">
        <v>0</v>
      </c>
      <c r="AK76" s="254">
        <v>0</v>
      </c>
      <c r="AL76" s="254">
        <v>0</v>
      </c>
      <c r="AM76" s="254">
        <v>0</v>
      </c>
      <c r="AN76" s="254">
        <v>0</v>
      </c>
      <c r="AO76" s="254">
        <v>0</v>
      </c>
      <c r="AP76" s="254">
        <v>0</v>
      </c>
      <c r="AQ76" s="254">
        <v>0</v>
      </c>
      <c r="AR76" s="254">
        <v>0</v>
      </c>
      <c r="AS76" s="254">
        <v>0</v>
      </c>
      <c r="AT76" s="254">
        <v>0</v>
      </c>
      <c r="AU76" s="254">
        <v>0</v>
      </c>
      <c r="AV76" s="254">
        <v>0</v>
      </c>
      <c r="AW76" s="254">
        <v>0</v>
      </c>
      <c r="AX76" s="254">
        <v>0</v>
      </c>
      <c r="AY76" s="254">
        <v>0</v>
      </c>
      <c r="AZ76" s="254">
        <v>0</v>
      </c>
      <c r="BA76" s="254">
        <v>0</v>
      </c>
      <c r="BB76" s="254">
        <v>0</v>
      </c>
      <c r="BC76" s="254">
        <v>0</v>
      </c>
      <c r="BD76" s="254">
        <v>0</v>
      </c>
      <c r="BE76" s="254">
        <v>0</v>
      </c>
      <c r="BF76" s="254">
        <v>0</v>
      </c>
      <c r="BG76" s="254">
        <v>0</v>
      </c>
      <c r="BH76" s="254">
        <v>0</v>
      </c>
      <c r="BI76" s="254">
        <v>0</v>
      </c>
      <c r="BJ76" s="254">
        <v>0</v>
      </c>
      <c r="BK76" s="254">
        <v>0</v>
      </c>
      <c r="BL76" s="254">
        <v>0</v>
      </c>
      <c r="BM76" s="254">
        <v>0</v>
      </c>
      <c r="BN76" s="254">
        <v>0</v>
      </c>
      <c r="BO76" s="254">
        <v>0</v>
      </c>
      <c r="BP76" s="254">
        <v>0</v>
      </c>
      <c r="BQ76" s="254">
        <v>0</v>
      </c>
      <c r="BR76" s="254">
        <v>0</v>
      </c>
      <c r="BS76" s="254">
        <v>0</v>
      </c>
      <c r="BT76" s="254">
        <v>0</v>
      </c>
      <c r="BU76" s="254">
        <v>0</v>
      </c>
      <c r="BV76" s="254">
        <v>0</v>
      </c>
      <c r="BW76" s="254">
        <v>0</v>
      </c>
      <c r="BX76" s="254">
        <v>0</v>
      </c>
      <c r="BY76" s="254">
        <v>0</v>
      </c>
      <c r="BZ76" s="254">
        <v>0</v>
      </c>
      <c r="CA76" s="254">
        <v>0</v>
      </c>
      <c r="CB76" s="254">
        <v>0</v>
      </c>
      <c r="CC76" s="254">
        <v>0</v>
      </c>
      <c r="CD76" s="254">
        <v>0</v>
      </c>
      <c r="CE76" s="254">
        <v>0</v>
      </c>
      <c r="CF76" s="254">
        <v>0</v>
      </c>
      <c r="CG76" s="254">
        <v>0</v>
      </c>
      <c r="CH76" s="254">
        <v>0</v>
      </c>
      <c r="CI76" s="254">
        <v>0</v>
      </c>
      <c r="CJ76" s="254">
        <v>0</v>
      </c>
      <c r="CK76" s="254">
        <v>0</v>
      </c>
      <c r="CL76" s="254">
        <v>0</v>
      </c>
      <c r="CM76" s="254">
        <v>0</v>
      </c>
      <c r="CN76" s="254">
        <v>0</v>
      </c>
      <c r="CO76" s="254">
        <v>0</v>
      </c>
      <c r="CP76" s="254">
        <v>0</v>
      </c>
      <c r="CQ76" s="116"/>
      <c r="CR76" s="255">
        <v>0</v>
      </c>
      <c r="CS76" s="255">
        <v>0</v>
      </c>
      <c r="CT76" s="255">
        <v>0</v>
      </c>
      <c r="CU76" s="255">
        <v>0</v>
      </c>
      <c r="CV76" s="255">
        <v>0</v>
      </c>
      <c r="CW76" s="255">
        <v>0</v>
      </c>
      <c r="CX76" s="255">
        <v>0</v>
      </c>
      <c r="CY76" s="255">
        <v>0</v>
      </c>
      <c r="CZ76" s="255">
        <v>0</v>
      </c>
      <c r="DA76" s="255">
        <v>0</v>
      </c>
      <c r="DB76" s="255">
        <v>0</v>
      </c>
      <c r="DC76" s="255">
        <v>0</v>
      </c>
      <c r="DD76" s="255">
        <v>0</v>
      </c>
      <c r="DE76" s="255">
        <v>4267.4799999999996</v>
      </c>
      <c r="DF76" s="255">
        <v>4267.4799999999996</v>
      </c>
      <c r="DG76" s="255">
        <v>4267.4799999999996</v>
      </c>
      <c r="DH76" s="255">
        <v>4267.4799999999996</v>
      </c>
      <c r="DI76" s="255">
        <v>4267.4799999999996</v>
      </c>
      <c r="DJ76" s="255">
        <v>0</v>
      </c>
      <c r="DK76" s="255">
        <v>0</v>
      </c>
      <c r="DL76" s="255">
        <v>0</v>
      </c>
      <c r="DM76" s="255">
        <v>0</v>
      </c>
      <c r="DN76" s="255">
        <v>0</v>
      </c>
      <c r="DO76" s="255">
        <v>0</v>
      </c>
      <c r="DP76" s="255">
        <v>0</v>
      </c>
      <c r="DQ76" s="255">
        <v>0</v>
      </c>
      <c r="DR76" s="255">
        <v>0</v>
      </c>
      <c r="DS76" s="255">
        <v>0</v>
      </c>
      <c r="DT76" s="255">
        <v>0</v>
      </c>
      <c r="DU76" s="255">
        <v>0</v>
      </c>
      <c r="DV76" s="255">
        <v>0</v>
      </c>
      <c r="DW76" s="255">
        <v>0</v>
      </c>
      <c r="DX76" s="255">
        <v>0</v>
      </c>
      <c r="DY76" s="255">
        <v>0</v>
      </c>
      <c r="DZ76" s="255">
        <v>0</v>
      </c>
      <c r="EA76" s="255">
        <v>0</v>
      </c>
      <c r="EB76" s="255">
        <v>0</v>
      </c>
      <c r="EC76" s="255">
        <v>0</v>
      </c>
      <c r="ED76" s="255">
        <v>0</v>
      </c>
      <c r="EE76" s="255">
        <v>0</v>
      </c>
      <c r="EF76" s="255">
        <v>0</v>
      </c>
      <c r="EG76" s="255">
        <v>0</v>
      </c>
      <c r="EH76" s="255">
        <v>0</v>
      </c>
      <c r="EI76" s="255">
        <v>0</v>
      </c>
      <c r="EJ76" s="255">
        <v>0</v>
      </c>
      <c r="EK76" s="255">
        <v>0</v>
      </c>
      <c r="EL76" s="255">
        <v>0</v>
      </c>
      <c r="EM76" s="255">
        <v>0</v>
      </c>
      <c r="EN76" s="255">
        <v>0</v>
      </c>
      <c r="EO76" s="255">
        <v>0</v>
      </c>
      <c r="EP76" s="255">
        <v>0</v>
      </c>
      <c r="EQ76" s="255">
        <v>0</v>
      </c>
      <c r="ER76" s="255">
        <v>0</v>
      </c>
      <c r="ES76" s="255">
        <v>0</v>
      </c>
      <c r="ET76" s="255">
        <v>0</v>
      </c>
      <c r="EU76" s="255">
        <v>0</v>
      </c>
      <c r="EV76" s="255">
        <v>0</v>
      </c>
      <c r="EW76" s="255">
        <v>0</v>
      </c>
      <c r="EX76" s="255">
        <v>0</v>
      </c>
      <c r="EY76" s="255">
        <v>0</v>
      </c>
      <c r="EZ76" s="255">
        <v>0</v>
      </c>
      <c r="FA76" s="255">
        <v>0</v>
      </c>
      <c r="FB76" s="255">
        <v>0</v>
      </c>
      <c r="FC76" s="255">
        <v>0</v>
      </c>
      <c r="FD76" s="255">
        <v>0</v>
      </c>
      <c r="FE76" s="255">
        <v>0</v>
      </c>
      <c r="FF76" s="255">
        <v>0</v>
      </c>
      <c r="FG76" s="255">
        <v>0</v>
      </c>
      <c r="FH76" s="255">
        <v>0</v>
      </c>
      <c r="FI76" s="255">
        <v>0</v>
      </c>
      <c r="FJ76" s="255">
        <v>0</v>
      </c>
      <c r="FK76" s="255">
        <v>0</v>
      </c>
      <c r="FL76" s="255">
        <v>0</v>
      </c>
      <c r="FM76" s="255">
        <v>0</v>
      </c>
      <c r="FN76" s="255">
        <v>0</v>
      </c>
      <c r="FO76" s="255">
        <v>0</v>
      </c>
      <c r="FP76" s="255">
        <v>0</v>
      </c>
      <c r="FQ76" s="255">
        <v>0</v>
      </c>
      <c r="FR76" s="255">
        <v>0</v>
      </c>
      <c r="FS76" s="255">
        <v>0</v>
      </c>
      <c r="FT76" s="255">
        <v>0</v>
      </c>
      <c r="FU76" s="255">
        <v>0</v>
      </c>
      <c r="FV76" s="255">
        <v>0</v>
      </c>
      <c r="FW76" s="255">
        <v>0</v>
      </c>
      <c r="FX76" s="116"/>
    </row>
    <row r="77" spans="2:180" x14ac:dyDescent="0.2">
      <c r="B77" s="253" t="s">
        <v>218</v>
      </c>
      <c r="C77" s="253" t="s">
        <v>305</v>
      </c>
      <c r="D77" s="253" t="s">
        <v>258</v>
      </c>
      <c r="E77" s="253" t="s">
        <v>127</v>
      </c>
      <c r="F77" s="253" t="s">
        <v>259</v>
      </c>
      <c r="G77" s="253" t="s">
        <v>260</v>
      </c>
      <c r="H77" s="237">
        <v>237.45</v>
      </c>
      <c r="I77" s="126">
        <f t="shared" si="86"/>
        <v>76421.38</v>
      </c>
      <c r="J77" s="116"/>
      <c r="K77" s="254">
        <v>0</v>
      </c>
      <c r="L77" s="254">
        <v>0</v>
      </c>
      <c r="M77" s="254">
        <v>0</v>
      </c>
      <c r="N77" s="254">
        <v>0</v>
      </c>
      <c r="O77" s="254">
        <v>0</v>
      </c>
      <c r="P77" s="254">
        <v>0</v>
      </c>
      <c r="Q77" s="254">
        <v>0.1</v>
      </c>
      <c r="R77" s="254">
        <v>0</v>
      </c>
      <c r="S77" s="254">
        <v>0.1</v>
      </c>
      <c r="T77" s="254">
        <v>0.3</v>
      </c>
      <c r="U77" s="254">
        <v>0.35</v>
      </c>
      <c r="V77" s="254">
        <v>0.26666666666666666</v>
      </c>
      <c r="W77" s="254">
        <v>0</v>
      </c>
      <c r="X77" s="254">
        <v>0.2</v>
      </c>
      <c r="Y77" s="254">
        <v>0.2</v>
      </c>
      <c r="Z77" s="254">
        <v>0.26666666666666666</v>
      </c>
      <c r="AA77" s="254">
        <v>0.18421052631578946</v>
      </c>
      <c r="AB77" s="254">
        <v>0.18421052631578946</v>
      </c>
      <c r="AC77" s="254">
        <v>0</v>
      </c>
      <c r="AD77" s="254">
        <v>0</v>
      </c>
      <c r="AE77" s="254">
        <v>0</v>
      </c>
      <c r="AF77" s="254">
        <v>0</v>
      </c>
      <c r="AG77" s="254">
        <v>0</v>
      </c>
      <c r="AH77" s="254">
        <v>0</v>
      </c>
      <c r="AI77" s="254">
        <v>0</v>
      </c>
      <c r="AJ77" s="254">
        <v>0</v>
      </c>
      <c r="AK77" s="254">
        <v>0</v>
      </c>
      <c r="AL77" s="254">
        <v>0</v>
      </c>
      <c r="AM77" s="254">
        <v>0</v>
      </c>
      <c r="AN77" s="254">
        <v>0</v>
      </c>
      <c r="AO77" s="254">
        <v>0</v>
      </c>
      <c r="AP77" s="254">
        <v>0</v>
      </c>
      <c r="AQ77" s="254">
        <v>0</v>
      </c>
      <c r="AR77" s="254">
        <v>0</v>
      </c>
      <c r="AS77" s="254">
        <v>0</v>
      </c>
      <c r="AT77" s="254">
        <v>0</v>
      </c>
      <c r="AU77" s="254">
        <v>0</v>
      </c>
      <c r="AV77" s="254">
        <v>0</v>
      </c>
      <c r="AW77" s="254">
        <v>0</v>
      </c>
      <c r="AX77" s="254">
        <v>0</v>
      </c>
      <c r="AY77" s="254">
        <v>0</v>
      </c>
      <c r="AZ77" s="254">
        <v>0</v>
      </c>
      <c r="BA77" s="254">
        <v>0</v>
      </c>
      <c r="BB77" s="254">
        <v>0</v>
      </c>
      <c r="BC77" s="254">
        <v>0</v>
      </c>
      <c r="BD77" s="254">
        <v>0</v>
      </c>
      <c r="BE77" s="254">
        <v>0</v>
      </c>
      <c r="BF77" s="254">
        <v>0</v>
      </c>
      <c r="BG77" s="254">
        <v>0</v>
      </c>
      <c r="BH77" s="254">
        <v>0</v>
      </c>
      <c r="BI77" s="254">
        <v>0</v>
      </c>
      <c r="BJ77" s="254">
        <v>0</v>
      </c>
      <c r="BK77" s="254">
        <v>0</v>
      </c>
      <c r="BL77" s="254">
        <v>0</v>
      </c>
      <c r="BM77" s="254">
        <v>0</v>
      </c>
      <c r="BN77" s="254">
        <v>0</v>
      </c>
      <c r="BO77" s="254">
        <v>0</v>
      </c>
      <c r="BP77" s="254">
        <v>0</v>
      </c>
      <c r="BQ77" s="254">
        <v>0</v>
      </c>
      <c r="BR77" s="254">
        <v>0</v>
      </c>
      <c r="BS77" s="254">
        <v>0</v>
      </c>
      <c r="BT77" s="254">
        <v>0</v>
      </c>
      <c r="BU77" s="254">
        <v>0</v>
      </c>
      <c r="BV77" s="254">
        <v>0</v>
      </c>
      <c r="BW77" s="254">
        <v>0</v>
      </c>
      <c r="BX77" s="254">
        <v>0</v>
      </c>
      <c r="BY77" s="254">
        <v>0</v>
      </c>
      <c r="BZ77" s="254">
        <v>0</v>
      </c>
      <c r="CA77" s="254">
        <v>0</v>
      </c>
      <c r="CB77" s="254">
        <v>0</v>
      </c>
      <c r="CC77" s="254">
        <v>0</v>
      </c>
      <c r="CD77" s="254">
        <v>0</v>
      </c>
      <c r="CE77" s="254">
        <v>0</v>
      </c>
      <c r="CF77" s="254">
        <v>0</v>
      </c>
      <c r="CG77" s="254">
        <v>0</v>
      </c>
      <c r="CH77" s="254">
        <v>0</v>
      </c>
      <c r="CI77" s="254">
        <v>0</v>
      </c>
      <c r="CJ77" s="254">
        <v>0</v>
      </c>
      <c r="CK77" s="254">
        <v>0</v>
      </c>
      <c r="CL77" s="254">
        <v>0</v>
      </c>
      <c r="CM77" s="254">
        <v>0</v>
      </c>
      <c r="CN77" s="254">
        <v>0</v>
      </c>
      <c r="CO77" s="254">
        <v>0</v>
      </c>
      <c r="CP77" s="254">
        <v>0</v>
      </c>
      <c r="CQ77" s="116"/>
      <c r="CR77" s="255">
        <v>0</v>
      </c>
      <c r="CS77" s="255">
        <v>0</v>
      </c>
      <c r="CT77" s="255">
        <v>0</v>
      </c>
      <c r="CU77" s="255">
        <v>0</v>
      </c>
      <c r="CV77" s="255">
        <v>0</v>
      </c>
      <c r="CW77" s="255">
        <v>0</v>
      </c>
      <c r="CX77" s="255">
        <v>4204.76</v>
      </c>
      <c r="CY77" s="255">
        <v>0</v>
      </c>
      <c r="CZ77" s="255">
        <v>4204.76</v>
      </c>
      <c r="DA77" s="255">
        <v>12614.280000000002</v>
      </c>
      <c r="DB77" s="255">
        <v>14716.660000000003</v>
      </c>
      <c r="DC77" s="255">
        <v>8409.52</v>
      </c>
      <c r="DD77" s="255">
        <v>0</v>
      </c>
      <c r="DE77" s="255">
        <v>6454.28</v>
      </c>
      <c r="DF77" s="255">
        <v>6454.28</v>
      </c>
      <c r="DG77" s="255">
        <v>6454.28</v>
      </c>
      <c r="DH77" s="255">
        <v>6454.28</v>
      </c>
      <c r="DI77" s="255">
        <v>6454.28</v>
      </c>
      <c r="DJ77" s="255">
        <v>0</v>
      </c>
      <c r="DK77" s="255">
        <v>0</v>
      </c>
      <c r="DL77" s="255">
        <v>0</v>
      </c>
      <c r="DM77" s="255">
        <v>0</v>
      </c>
      <c r="DN77" s="255">
        <v>0</v>
      </c>
      <c r="DO77" s="255">
        <v>0</v>
      </c>
      <c r="DP77" s="255">
        <v>0</v>
      </c>
      <c r="DQ77" s="255">
        <v>0</v>
      </c>
      <c r="DR77" s="255">
        <v>0</v>
      </c>
      <c r="DS77" s="255">
        <v>0</v>
      </c>
      <c r="DT77" s="255">
        <v>0</v>
      </c>
      <c r="DU77" s="255">
        <v>0</v>
      </c>
      <c r="DV77" s="255">
        <v>0</v>
      </c>
      <c r="DW77" s="255">
        <v>0</v>
      </c>
      <c r="DX77" s="255">
        <v>0</v>
      </c>
      <c r="DY77" s="255">
        <v>0</v>
      </c>
      <c r="DZ77" s="255">
        <v>0</v>
      </c>
      <c r="EA77" s="255">
        <v>0</v>
      </c>
      <c r="EB77" s="255">
        <v>0</v>
      </c>
      <c r="EC77" s="255">
        <v>0</v>
      </c>
      <c r="ED77" s="255">
        <v>0</v>
      </c>
      <c r="EE77" s="255">
        <v>0</v>
      </c>
      <c r="EF77" s="255">
        <v>0</v>
      </c>
      <c r="EG77" s="255">
        <v>0</v>
      </c>
      <c r="EH77" s="255">
        <v>0</v>
      </c>
      <c r="EI77" s="255">
        <v>0</v>
      </c>
      <c r="EJ77" s="255">
        <v>0</v>
      </c>
      <c r="EK77" s="255">
        <v>0</v>
      </c>
      <c r="EL77" s="255">
        <v>0</v>
      </c>
      <c r="EM77" s="255">
        <v>0</v>
      </c>
      <c r="EN77" s="255">
        <v>0</v>
      </c>
      <c r="EO77" s="255">
        <v>0</v>
      </c>
      <c r="EP77" s="255">
        <v>0</v>
      </c>
      <c r="EQ77" s="255">
        <v>0</v>
      </c>
      <c r="ER77" s="255">
        <v>0</v>
      </c>
      <c r="ES77" s="255">
        <v>0</v>
      </c>
      <c r="ET77" s="255">
        <v>0</v>
      </c>
      <c r="EU77" s="255">
        <v>0</v>
      </c>
      <c r="EV77" s="255">
        <v>0</v>
      </c>
      <c r="EW77" s="255">
        <v>0</v>
      </c>
      <c r="EX77" s="255">
        <v>0</v>
      </c>
      <c r="EY77" s="255">
        <v>0</v>
      </c>
      <c r="EZ77" s="255">
        <v>0</v>
      </c>
      <c r="FA77" s="255">
        <v>0</v>
      </c>
      <c r="FB77" s="255">
        <v>0</v>
      </c>
      <c r="FC77" s="255">
        <v>0</v>
      </c>
      <c r="FD77" s="255">
        <v>0</v>
      </c>
      <c r="FE77" s="255">
        <v>0</v>
      </c>
      <c r="FF77" s="255">
        <v>0</v>
      </c>
      <c r="FG77" s="255">
        <v>0</v>
      </c>
      <c r="FH77" s="255">
        <v>0</v>
      </c>
      <c r="FI77" s="255">
        <v>0</v>
      </c>
      <c r="FJ77" s="255">
        <v>0</v>
      </c>
      <c r="FK77" s="255">
        <v>0</v>
      </c>
      <c r="FL77" s="255">
        <v>0</v>
      </c>
      <c r="FM77" s="255">
        <v>0</v>
      </c>
      <c r="FN77" s="255">
        <v>0</v>
      </c>
      <c r="FO77" s="255">
        <v>0</v>
      </c>
      <c r="FP77" s="255">
        <v>0</v>
      </c>
      <c r="FQ77" s="255">
        <v>0</v>
      </c>
      <c r="FR77" s="255">
        <v>0</v>
      </c>
      <c r="FS77" s="255">
        <v>0</v>
      </c>
      <c r="FT77" s="255">
        <v>0</v>
      </c>
      <c r="FU77" s="255">
        <v>0</v>
      </c>
      <c r="FV77" s="255">
        <v>0</v>
      </c>
      <c r="FW77" s="255">
        <v>0</v>
      </c>
      <c r="FX77" s="116"/>
    </row>
    <row r="78" spans="2:180" x14ac:dyDescent="0.2">
      <c r="B78" s="253" t="s">
        <v>218</v>
      </c>
      <c r="C78" s="253" t="s">
        <v>305</v>
      </c>
      <c r="D78" s="253" t="s">
        <v>258</v>
      </c>
      <c r="E78" s="253" t="s">
        <v>127</v>
      </c>
      <c r="F78" s="253" t="s">
        <v>259</v>
      </c>
      <c r="G78" s="253" t="s">
        <v>260</v>
      </c>
      <c r="H78" s="237">
        <v>237.45</v>
      </c>
      <c r="I78" s="126">
        <f t="shared" si="86"/>
        <v>32271.399999999998</v>
      </c>
      <c r="J78" s="116"/>
      <c r="K78" s="254">
        <v>0</v>
      </c>
      <c r="L78" s="254">
        <v>0</v>
      </c>
      <c r="M78" s="254">
        <v>0</v>
      </c>
      <c r="N78" s="254">
        <v>0</v>
      </c>
      <c r="O78" s="254">
        <v>0</v>
      </c>
      <c r="P78" s="254">
        <v>0</v>
      </c>
      <c r="Q78" s="254">
        <v>0</v>
      </c>
      <c r="R78" s="254">
        <v>0</v>
      </c>
      <c r="S78" s="254">
        <v>0</v>
      </c>
      <c r="T78" s="254">
        <v>0</v>
      </c>
      <c r="U78" s="254">
        <v>0</v>
      </c>
      <c r="V78" s="254">
        <v>0</v>
      </c>
      <c r="W78" s="254">
        <v>0</v>
      </c>
      <c r="X78" s="254">
        <v>0.2</v>
      </c>
      <c r="Y78" s="254">
        <v>0.2</v>
      </c>
      <c r="Z78" s="254">
        <v>0.26666666666666666</v>
      </c>
      <c r="AA78" s="254">
        <v>0.18421052631578946</v>
      </c>
      <c r="AB78" s="254">
        <v>0.18421052631578946</v>
      </c>
      <c r="AC78" s="254">
        <v>0</v>
      </c>
      <c r="AD78" s="254">
        <v>0</v>
      </c>
      <c r="AE78" s="254">
        <v>0</v>
      </c>
      <c r="AF78" s="254">
        <v>0</v>
      </c>
      <c r="AG78" s="254">
        <v>0</v>
      </c>
      <c r="AH78" s="254">
        <v>0</v>
      </c>
      <c r="AI78" s="254">
        <v>0</v>
      </c>
      <c r="AJ78" s="254">
        <v>0</v>
      </c>
      <c r="AK78" s="254">
        <v>0</v>
      </c>
      <c r="AL78" s="254">
        <v>0</v>
      </c>
      <c r="AM78" s="254">
        <v>0</v>
      </c>
      <c r="AN78" s="254">
        <v>0</v>
      </c>
      <c r="AO78" s="254">
        <v>0</v>
      </c>
      <c r="AP78" s="254">
        <v>0</v>
      </c>
      <c r="AQ78" s="254">
        <v>0</v>
      </c>
      <c r="AR78" s="254">
        <v>0</v>
      </c>
      <c r="AS78" s="254">
        <v>0</v>
      </c>
      <c r="AT78" s="254">
        <v>0</v>
      </c>
      <c r="AU78" s="254">
        <v>0</v>
      </c>
      <c r="AV78" s="254">
        <v>0</v>
      </c>
      <c r="AW78" s="254">
        <v>0</v>
      </c>
      <c r="AX78" s="254">
        <v>0</v>
      </c>
      <c r="AY78" s="254">
        <v>0</v>
      </c>
      <c r="AZ78" s="254">
        <v>0</v>
      </c>
      <c r="BA78" s="254">
        <v>0</v>
      </c>
      <c r="BB78" s="254">
        <v>0</v>
      </c>
      <c r="BC78" s="254">
        <v>0</v>
      </c>
      <c r="BD78" s="254">
        <v>0</v>
      </c>
      <c r="BE78" s="254">
        <v>0</v>
      </c>
      <c r="BF78" s="254">
        <v>0</v>
      </c>
      <c r="BG78" s="254">
        <v>0</v>
      </c>
      <c r="BH78" s="254">
        <v>0</v>
      </c>
      <c r="BI78" s="254">
        <v>0</v>
      </c>
      <c r="BJ78" s="254">
        <v>0</v>
      </c>
      <c r="BK78" s="254">
        <v>0</v>
      </c>
      <c r="BL78" s="254">
        <v>0</v>
      </c>
      <c r="BM78" s="254">
        <v>0</v>
      </c>
      <c r="BN78" s="254">
        <v>0</v>
      </c>
      <c r="BO78" s="254">
        <v>0</v>
      </c>
      <c r="BP78" s="254">
        <v>0</v>
      </c>
      <c r="BQ78" s="254">
        <v>0</v>
      </c>
      <c r="BR78" s="254">
        <v>0</v>
      </c>
      <c r="BS78" s="254">
        <v>0</v>
      </c>
      <c r="BT78" s="254">
        <v>0</v>
      </c>
      <c r="BU78" s="254">
        <v>0</v>
      </c>
      <c r="BV78" s="254">
        <v>0</v>
      </c>
      <c r="BW78" s="254">
        <v>0</v>
      </c>
      <c r="BX78" s="254">
        <v>0</v>
      </c>
      <c r="BY78" s="254">
        <v>0</v>
      </c>
      <c r="BZ78" s="254">
        <v>0</v>
      </c>
      <c r="CA78" s="254">
        <v>0</v>
      </c>
      <c r="CB78" s="254">
        <v>0</v>
      </c>
      <c r="CC78" s="254">
        <v>0</v>
      </c>
      <c r="CD78" s="254">
        <v>0</v>
      </c>
      <c r="CE78" s="254">
        <v>0</v>
      </c>
      <c r="CF78" s="254">
        <v>0</v>
      </c>
      <c r="CG78" s="254">
        <v>0</v>
      </c>
      <c r="CH78" s="254">
        <v>0</v>
      </c>
      <c r="CI78" s="254">
        <v>0</v>
      </c>
      <c r="CJ78" s="254">
        <v>0</v>
      </c>
      <c r="CK78" s="254">
        <v>0</v>
      </c>
      <c r="CL78" s="254">
        <v>0</v>
      </c>
      <c r="CM78" s="254">
        <v>0</v>
      </c>
      <c r="CN78" s="254">
        <v>0</v>
      </c>
      <c r="CO78" s="254">
        <v>0</v>
      </c>
      <c r="CP78" s="254">
        <v>0</v>
      </c>
      <c r="CQ78" s="116"/>
      <c r="CR78" s="255">
        <v>0</v>
      </c>
      <c r="CS78" s="255">
        <v>0</v>
      </c>
      <c r="CT78" s="255">
        <v>0</v>
      </c>
      <c r="CU78" s="255">
        <v>0</v>
      </c>
      <c r="CV78" s="255">
        <v>0</v>
      </c>
      <c r="CW78" s="255">
        <v>0</v>
      </c>
      <c r="CX78" s="255">
        <v>0</v>
      </c>
      <c r="CY78" s="255">
        <v>0</v>
      </c>
      <c r="CZ78" s="255">
        <v>0</v>
      </c>
      <c r="DA78" s="255">
        <v>0</v>
      </c>
      <c r="DB78" s="255">
        <v>0</v>
      </c>
      <c r="DC78" s="255">
        <v>0</v>
      </c>
      <c r="DD78" s="255">
        <v>0</v>
      </c>
      <c r="DE78" s="255">
        <v>6454.28</v>
      </c>
      <c r="DF78" s="255">
        <v>6454.28</v>
      </c>
      <c r="DG78" s="255">
        <v>6454.28</v>
      </c>
      <c r="DH78" s="255">
        <v>6454.28</v>
      </c>
      <c r="DI78" s="255">
        <v>6454.28</v>
      </c>
      <c r="DJ78" s="255">
        <v>0</v>
      </c>
      <c r="DK78" s="255">
        <v>0</v>
      </c>
      <c r="DL78" s="255">
        <v>0</v>
      </c>
      <c r="DM78" s="255">
        <v>0</v>
      </c>
      <c r="DN78" s="255">
        <v>0</v>
      </c>
      <c r="DO78" s="255">
        <v>0</v>
      </c>
      <c r="DP78" s="255">
        <v>0</v>
      </c>
      <c r="DQ78" s="255">
        <v>0</v>
      </c>
      <c r="DR78" s="255">
        <v>0</v>
      </c>
      <c r="DS78" s="255">
        <v>0</v>
      </c>
      <c r="DT78" s="255">
        <v>0</v>
      </c>
      <c r="DU78" s="255">
        <v>0</v>
      </c>
      <c r="DV78" s="255">
        <v>0</v>
      </c>
      <c r="DW78" s="255">
        <v>0</v>
      </c>
      <c r="DX78" s="255">
        <v>0</v>
      </c>
      <c r="DY78" s="255">
        <v>0</v>
      </c>
      <c r="DZ78" s="255">
        <v>0</v>
      </c>
      <c r="EA78" s="255">
        <v>0</v>
      </c>
      <c r="EB78" s="255">
        <v>0</v>
      </c>
      <c r="EC78" s="255">
        <v>0</v>
      </c>
      <c r="ED78" s="255">
        <v>0</v>
      </c>
      <c r="EE78" s="255">
        <v>0</v>
      </c>
      <c r="EF78" s="255">
        <v>0</v>
      </c>
      <c r="EG78" s="255">
        <v>0</v>
      </c>
      <c r="EH78" s="255">
        <v>0</v>
      </c>
      <c r="EI78" s="255">
        <v>0</v>
      </c>
      <c r="EJ78" s="255">
        <v>0</v>
      </c>
      <c r="EK78" s="255">
        <v>0</v>
      </c>
      <c r="EL78" s="255">
        <v>0</v>
      </c>
      <c r="EM78" s="255">
        <v>0</v>
      </c>
      <c r="EN78" s="255">
        <v>0</v>
      </c>
      <c r="EO78" s="255">
        <v>0</v>
      </c>
      <c r="EP78" s="255">
        <v>0</v>
      </c>
      <c r="EQ78" s="255">
        <v>0</v>
      </c>
      <c r="ER78" s="255">
        <v>0</v>
      </c>
      <c r="ES78" s="255">
        <v>0</v>
      </c>
      <c r="ET78" s="255">
        <v>0</v>
      </c>
      <c r="EU78" s="255">
        <v>0</v>
      </c>
      <c r="EV78" s="255">
        <v>0</v>
      </c>
      <c r="EW78" s="255">
        <v>0</v>
      </c>
      <c r="EX78" s="255">
        <v>0</v>
      </c>
      <c r="EY78" s="255">
        <v>0</v>
      </c>
      <c r="EZ78" s="255">
        <v>0</v>
      </c>
      <c r="FA78" s="255">
        <v>0</v>
      </c>
      <c r="FB78" s="255">
        <v>0</v>
      </c>
      <c r="FC78" s="255">
        <v>0</v>
      </c>
      <c r="FD78" s="255">
        <v>0</v>
      </c>
      <c r="FE78" s="255">
        <v>0</v>
      </c>
      <c r="FF78" s="255">
        <v>0</v>
      </c>
      <c r="FG78" s="255">
        <v>0</v>
      </c>
      <c r="FH78" s="255">
        <v>0</v>
      </c>
      <c r="FI78" s="255">
        <v>0</v>
      </c>
      <c r="FJ78" s="255">
        <v>0</v>
      </c>
      <c r="FK78" s="255">
        <v>0</v>
      </c>
      <c r="FL78" s="255">
        <v>0</v>
      </c>
      <c r="FM78" s="255">
        <v>0</v>
      </c>
      <c r="FN78" s="255">
        <v>0</v>
      </c>
      <c r="FO78" s="255">
        <v>0</v>
      </c>
      <c r="FP78" s="255">
        <v>0</v>
      </c>
      <c r="FQ78" s="255">
        <v>0</v>
      </c>
      <c r="FR78" s="255">
        <v>0</v>
      </c>
      <c r="FS78" s="255">
        <v>0</v>
      </c>
      <c r="FT78" s="255">
        <v>0</v>
      </c>
      <c r="FU78" s="255">
        <v>0</v>
      </c>
      <c r="FV78" s="255">
        <v>0</v>
      </c>
      <c r="FW78" s="255">
        <v>0</v>
      </c>
      <c r="FX78" s="116"/>
    </row>
    <row r="79" spans="2:180" x14ac:dyDescent="0.2">
      <c r="B79" s="253" t="s">
        <v>218</v>
      </c>
      <c r="C79" s="253" t="s">
        <v>305</v>
      </c>
      <c r="D79" s="253" t="s">
        <v>258</v>
      </c>
      <c r="E79" s="253" t="s">
        <v>127</v>
      </c>
      <c r="F79" s="253" t="s">
        <v>259</v>
      </c>
      <c r="G79" s="253" t="s">
        <v>260</v>
      </c>
      <c r="H79" s="237">
        <v>237.45</v>
      </c>
      <c r="I79" s="126">
        <f t="shared" si="86"/>
        <v>2305.1</v>
      </c>
      <c r="J79" s="116"/>
      <c r="K79" s="254">
        <v>0</v>
      </c>
      <c r="L79" s="254">
        <v>0</v>
      </c>
      <c r="M79" s="254">
        <v>0</v>
      </c>
      <c r="N79" s="254">
        <v>0</v>
      </c>
      <c r="O79" s="254">
        <v>0</v>
      </c>
      <c r="P79" s="254">
        <v>0</v>
      </c>
      <c r="Q79" s="254">
        <v>0</v>
      </c>
      <c r="R79" s="254">
        <v>0</v>
      </c>
      <c r="S79" s="254">
        <v>0</v>
      </c>
      <c r="T79" s="254">
        <v>0</v>
      </c>
      <c r="U79" s="254">
        <v>0</v>
      </c>
      <c r="V79" s="254">
        <v>0</v>
      </c>
      <c r="W79" s="254">
        <v>0</v>
      </c>
      <c r="X79" s="254">
        <v>1.4285714285714285E-2</v>
      </c>
      <c r="Y79" s="254">
        <v>1.4285714285714285E-2</v>
      </c>
      <c r="Z79" s="254">
        <v>1.9047619047619049E-2</v>
      </c>
      <c r="AA79" s="254">
        <v>1.3157894736842105E-2</v>
      </c>
      <c r="AB79" s="254">
        <v>1.3157894736842105E-2</v>
      </c>
      <c r="AC79" s="254">
        <v>0</v>
      </c>
      <c r="AD79" s="254">
        <v>0</v>
      </c>
      <c r="AE79" s="254">
        <v>0</v>
      </c>
      <c r="AF79" s="254">
        <v>0</v>
      </c>
      <c r="AG79" s="254">
        <v>0</v>
      </c>
      <c r="AH79" s="254">
        <v>0</v>
      </c>
      <c r="AI79" s="254">
        <v>0</v>
      </c>
      <c r="AJ79" s="254">
        <v>0</v>
      </c>
      <c r="AK79" s="254">
        <v>0</v>
      </c>
      <c r="AL79" s="254">
        <v>0</v>
      </c>
      <c r="AM79" s="254">
        <v>0</v>
      </c>
      <c r="AN79" s="254">
        <v>0</v>
      </c>
      <c r="AO79" s="254">
        <v>0</v>
      </c>
      <c r="AP79" s="254">
        <v>0</v>
      </c>
      <c r="AQ79" s="254">
        <v>0</v>
      </c>
      <c r="AR79" s="254">
        <v>0</v>
      </c>
      <c r="AS79" s="254">
        <v>0</v>
      </c>
      <c r="AT79" s="254">
        <v>0</v>
      </c>
      <c r="AU79" s="254">
        <v>0</v>
      </c>
      <c r="AV79" s="254">
        <v>0</v>
      </c>
      <c r="AW79" s="254">
        <v>0</v>
      </c>
      <c r="AX79" s="254">
        <v>0</v>
      </c>
      <c r="AY79" s="254">
        <v>0</v>
      </c>
      <c r="AZ79" s="254">
        <v>0</v>
      </c>
      <c r="BA79" s="254">
        <v>0</v>
      </c>
      <c r="BB79" s="254">
        <v>0</v>
      </c>
      <c r="BC79" s="254">
        <v>0</v>
      </c>
      <c r="BD79" s="254">
        <v>0</v>
      </c>
      <c r="BE79" s="254">
        <v>0</v>
      </c>
      <c r="BF79" s="254">
        <v>0</v>
      </c>
      <c r="BG79" s="254">
        <v>0</v>
      </c>
      <c r="BH79" s="254">
        <v>0</v>
      </c>
      <c r="BI79" s="254">
        <v>0</v>
      </c>
      <c r="BJ79" s="254">
        <v>0</v>
      </c>
      <c r="BK79" s="254">
        <v>0</v>
      </c>
      <c r="BL79" s="254">
        <v>0</v>
      </c>
      <c r="BM79" s="254">
        <v>0</v>
      </c>
      <c r="BN79" s="254">
        <v>0</v>
      </c>
      <c r="BO79" s="254">
        <v>0</v>
      </c>
      <c r="BP79" s="254">
        <v>0</v>
      </c>
      <c r="BQ79" s="254">
        <v>0</v>
      </c>
      <c r="BR79" s="254">
        <v>0</v>
      </c>
      <c r="BS79" s="254">
        <v>0</v>
      </c>
      <c r="BT79" s="254">
        <v>0</v>
      </c>
      <c r="BU79" s="254">
        <v>0</v>
      </c>
      <c r="BV79" s="254">
        <v>0</v>
      </c>
      <c r="BW79" s="254">
        <v>0</v>
      </c>
      <c r="BX79" s="254">
        <v>0</v>
      </c>
      <c r="BY79" s="254">
        <v>0</v>
      </c>
      <c r="BZ79" s="254">
        <v>0</v>
      </c>
      <c r="CA79" s="254">
        <v>0</v>
      </c>
      <c r="CB79" s="254">
        <v>0</v>
      </c>
      <c r="CC79" s="254">
        <v>0</v>
      </c>
      <c r="CD79" s="254">
        <v>0</v>
      </c>
      <c r="CE79" s="254">
        <v>0</v>
      </c>
      <c r="CF79" s="254">
        <v>0</v>
      </c>
      <c r="CG79" s="254">
        <v>0</v>
      </c>
      <c r="CH79" s="254">
        <v>0</v>
      </c>
      <c r="CI79" s="254">
        <v>0</v>
      </c>
      <c r="CJ79" s="254">
        <v>0</v>
      </c>
      <c r="CK79" s="254">
        <v>0</v>
      </c>
      <c r="CL79" s="254">
        <v>0</v>
      </c>
      <c r="CM79" s="254">
        <v>0</v>
      </c>
      <c r="CN79" s="254">
        <v>0</v>
      </c>
      <c r="CO79" s="254">
        <v>0</v>
      </c>
      <c r="CP79" s="254">
        <v>0</v>
      </c>
      <c r="CQ79" s="116"/>
      <c r="CR79" s="255">
        <v>0</v>
      </c>
      <c r="CS79" s="255">
        <v>0</v>
      </c>
      <c r="CT79" s="255">
        <v>0</v>
      </c>
      <c r="CU79" s="255">
        <v>0</v>
      </c>
      <c r="CV79" s="255">
        <v>0</v>
      </c>
      <c r="CW79" s="255">
        <v>0</v>
      </c>
      <c r="CX79" s="255">
        <v>0</v>
      </c>
      <c r="CY79" s="255">
        <v>0</v>
      </c>
      <c r="CZ79" s="255">
        <v>0</v>
      </c>
      <c r="DA79" s="255">
        <v>0</v>
      </c>
      <c r="DB79" s="255">
        <v>0</v>
      </c>
      <c r="DC79" s="255">
        <v>0</v>
      </c>
      <c r="DD79" s="255">
        <v>0</v>
      </c>
      <c r="DE79" s="255">
        <v>461.02</v>
      </c>
      <c r="DF79" s="255">
        <v>461.02</v>
      </c>
      <c r="DG79" s="255">
        <v>461.02</v>
      </c>
      <c r="DH79" s="255">
        <v>461.02</v>
      </c>
      <c r="DI79" s="255">
        <v>461.02</v>
      </c>
      <c r="DJ79" s="255">
        <v>0</v>
      </c>
      <c r="DK79" s="255">
        <v>0</v>
      </c>
      <c r="DL79" s="255">
        <v>0</v>
      </c>
      <c r="DM79" s="255">
        <v>0</v>
      </c>
      <c r="DN79" s="255">
        <v>0</v>
      </c>
      <c r="DO79" s="255">
        <v>0</v>
      </c>
      <c r="DP79" s="255">
        <v>0</v>
      </c>
      <c r="DQ79" s="255">
        <v>0</v>
      </c>
      <c r="DR79" s="255">
        <v>0</v>
      </c>
      <c r="DS79" s="255">
        <v>0</v>
      </c>
      <c r="DT79" s="255">
        <v>0</v>
      </c>
      <c r="DU79" s="255">
        <v>0</v>
      </c>
      <c r="DV79" s="255">
        <v>0</v>
      </c>
      <c r="DW79" s="255">
        <v>0</v>
      </c>
      <c r="DX79" s="255">
        <v>0</v>
      </c>
      <c r="DY79" s="255">
        <v>0</v>
      </c>
      <c r="DZ79" s="255">
        <v>0</v>
      </c>
      <c r="EA79" s="255">
        <v>0</v>
      </c>
      <c r="EB79" s="255">
        <v>0</v>
      </c>
      <c r="EC79" s="255">
        <v>0</v>
      </c>
      <c r="ED79" s="255">
        <v>0</v>
      </c>
      <c r="EE79" s="255">
        <v>0</v>
      </c>
      <c r="EF79" s="255">
        <v>0</v>
      </c>
      <c r="EG79" s="255">
        <v>0</v>
      </c>
      <c r="EH79" s="255">
        <v>0</v>
      </c>
      <c r="EI79" s="255">
        <v>0</v>
      </c>
      <c r="EJ79" s="255">
        <v>0</v>
      </c>
      <c r="EK79" s="255">
        <v>0</v>
      </c>
      <c r="EL79" s="255">
        <v>0</v>
      </c>
      <c r="EM79" s="255">
        <v>0</v>
      </c>
      <c r="EN79" s="255">
        <v>0</v>
      </c>
      <c r="EO79" s="255">
        <v>0</v>
      </c>
      <c r="EP79" s="255">
        <v>0</v>
      </c>
      <c r="EQ79" s="255">
        <v>0</v>
      </c>
      <c r="ER79" s="255">
        <v>0</v>
      </c>
      <c r="ES79" s="255">
        <v>0</v>
      </c>
      <c r="ET79" s="255">
        <v>0</v>
      </c>
      <c r="EU79" s="255">
        <v>0</v>
      </c>
      <c r="EV79" s="255">
        <v>0</v>
      </c>
      <c r="EW79" s="255">
        <v>0</v>
      </c>
      <c r="EX79" s="255">
        <v>0</v>
      </c>
      <c r="EY79" s="255">
        <v>0</v>
      </c>
      <c r="EZ79" s="255">
        <v>0</v>
      </c>
      <c r="FA79" s="255">
        <v>0</v>
      </c>
      <c r="FB79" s="255">
        <v>0</v>
      </c>
      <c r="FC79" s="255">
        <v>0</v>
      </c>
      <c r="FD79" s="255">
        <v>0</v>
      </c>
      <c r="FE79" s="255">
        <v>0</v>
      </c>
      <c r="FF79" s="255">
        <v>0</v>
      </c>
      <c r="FG79" s="255">
        <v>0</v>
      </c>
      <c r="FH79" s="255">
        <v>0</v>
      </c>
      <c r="FI79" s="255">
        <v>0</v>
      </c>
      <c r="FJ79" s="255">
        <v>0</v>
      </c>
      <c r="FK79" s="255">
        <v>0</v>
      </c>
      <c r="FL79" s="255">
        <v>0</v>
      </c>
      <c r="FM79" s="255">
        <v>0</v>
      </c>
      <c r="FN79" s="255">
        <v>0</v>
      </c>
      <c r="FO79" s="255">
        <v>0</v>
      </c>
      <c r="FP79" s="255">
        <v>0</v>
      </c>
      <c r="FQ79" s="255">
        <v>0</v>
      </c>
      <c r="FR79" s="255">
        <v>0</v>
      </c>
      <c r="FS79" s="255">
        <v>0</v>
      </c>
      <c r="FT79" s="255">
        <v>0</v>
      </c>
      <c r="FU79" s="255">
        <v>0</v>
      </c>
      <c r="FV79" s="255">
        <v>0</v>
      </c>
      <c r="FW79" s="255">
        <v>0</v>
      </c>
      <c r="FX79" s="116"/>
    </row>
    <row r="80" spans="2:180" x14ac:dyDescent="0.2">
      <c r="B80" s="253" t="s">
        <v>218</v>
      </c>
      <c r="C80" s="253" t="s">
        <v>306</v>
      </c>
      <c r="D80" s="253" t="s">
        <v>258</v>
      </c>
      <c r="E80" s="253" t="s">
        <v>127</v>
      </c>
      <c r="F80" s="253" t="s">
        <v>259</v>
      </c>
      <c r="G80" s="253" t="s">
        <v>260</v>
      </c>
      <c r="H80" s="237">
        <v>513.16999999999996</v>
      </c>
      <c r="I80" s="126">
        <f t="shared" si="86"/>
        <v>94412.1</v>
      </c>
      <c r="J80" s="116"/>
      <c r="K80" s="254">
        <v>0</v>
      </c>
      <c r="L80" s="254">
        <v>0</v>
      </c>
      <c r="M80" s="254">
        <v>0</v>
      </c>
      <c r="N80" s="254">
        <v>0</v>
      </c>
      <c r="O80" s="254">
        <v>0</v>
      </c>
      <c r="P80" s="254">
        <v>0</v>
      </c>
      <c r="Q80" s="254">
        <v>0</v>
      </c>
      <c r="R80" s="254">
        <v>0</v>
      </c>
      <c r="S80" s="254">
        <v>0</v>
      </c>
      <c r="T80" s="254">
        <v>0</v>
      </c>
      <c r="U80" s="254">
        <v>0</v>
      </c>
      <c r="V80" s="254">
        <v>0</v>
      </c>
      <c r="W80" s="254">
        <v>0</v>
      </c>
      <c r="X80" s="254">
        <v>0.25</v>
      </c>
      <c r="Y80" s="254">
        <v>0.25</v>
      </c>
      <c r="Z80" s="254">
        <v>0.33333333333333331</v>
      </c>
      <c r="AA80" s="254">
        <v>0.23026315789473684</v>
      </c>
      <c r="AB80" s="254">
        <v>0.23026315789473684</v>
      </c>
      <c r="AC80" s="254">
        <v>0</v>
      </c>
      <c r="AD80" s="254">
        <v>0</v>
      </c>
      <c r="AE80" s="254">
        <v>0</v>
      </c>
      <c r="AF80" s="254">
        <v>0</v>
      </c>
      <c r="AG80" s="254">
        <v>0</v>
      </c>
      <c r="AH80" s="254">
        <v>0</v>
      </c>
      <c r="AI80" s="254">
        <v>0</v>
      </c>
      <c r="AJ80" s="254">
        <v>0</v>
      </c>
      <c r="AK80" s="254">
        <v>0</v>
      </c>
      <c r="AL80" s="254">
        <v>0</v>
      </c>
      <c r="AM80" s="254">
        <v>0</v>
      </c>
      <c r="AN80" s="254">
        <v>0</v>
      </c>
      <c r="AO80" s="254">
        <v>0</v>
      </c>
      <c r="AP80" s="254">
        <v>0</v>
      </c>
      <c r="AQ80" s="254">
        <v>0</v>
      </c>
      <c r="AR80" s="254">
        <v>0</v>
      </c>
      <c r="AS80" s="254">
        <v>0</v>
      </c>
      <c r="AT80" s="254">
        <v>0</v>
      </c>
      <c r="AU80" s="254">
        <v>0</v>
      </c>
      <c r="AV80" s="254">
        <v>0</v>
      </c>
      <c r="AW80" s="254">
        <v>0</v>
      </c>
      <c r="AX80" s="254">
        <v>0</v>
      </c>
      <c r="AY80" s="254">
        <v>0</v>
      </c>
      <c r="AZ80" s="254">
        <v>0</v>
      </c>
      <c r="BA80" s="254">
        <v>0</v>
      </c>
      <c r="BB80" s="254">
        <v>0</v>
      </c>
      <c r="BC80" s="254">
        <v>0</v>
      </c>
      <c r="BD80" s="254">
        <v>0</v>
      </c>
      <c r="BE80" s="254">
        <v>0</v>
      </c>
      <c r="BF80" s="254">
        <v>0</v>
      </c>
      <c r="BG80" s="254">
        <v>0</v>
      </c>
      <c r="BH80" s="254">
        <v>0</v>
      </c>
      <c r="BI80" s="254">
        <v>0</v>
      </c>
      <c r="BJ80" s="254">
        <v>0</v>
      </c>
      <c r="BK80" s="254">
        <v>0</v>
      </c>
      <c r="BL80" s="254">
        <v>0</v>
      </c>
      <c r="BM80" s="254">
        <v>0</v>
      </c>
      <c r="BN80" s="254">
        <v>0</v>
      </c>
      <c r="BO80" s="254">
        <v>0</v>
      </c>
      <c r="BP80" s="254">
        <v>0</v>
      </c>
      <c r="BQ80" s="254">
        <v>0</v>
      </c>
      <c r="BR80" s="254">
        <v>0</v>
      </c>
      <c r="BS80" s="254">
        <v>0</v>
      </c>
      <c r="BT80" s="254">
        <v>0</v>
      </c>
      <c r="BU80" s="254">
        <v>0</v>
      </c>
      <c r="BV80" s="254">
        <v>0</v>
      </c>
      <c r="BW80" s="254">
        <v>0</v>
      </c>
      <c r="BX80" s="254">
        <v>0</v>
      </c>
      <c r="BY80" s="254">
        <v>0</v>
      </c>
      <c r="BZ80" s="254">
        <v>0</v>
      </c>
      <c r="CA80" s="254">
        <v>0</v>
      </c>
      <c r="CB80" s="254">
        <v>0</v>
      </c>
      <c r="CC80" s="254">
        <v>0</v>
      </c>
      <c r="CD80" s="254">
        <v>0</v>
      </c>
      <c r="CE80" s="254">
        <v>0</v>
      </c>
      <c r="CF80" s="254">
        <v>0</v>
      </c>
      <c r="CG80" s="254">
        <v>0</v>
      </c>
      <c r="CH80" s="254">
        <v>0</v>
      </c>
      <c r="CI80" s="254">
        <v>0</v>
      </c>
      <c r="CJ80" s="254">
        <v>0</v>
      </c>
      <c r="CK80" s="254">
        <v>0</v>
      </c>
      <c r="CL80" s="254">
        <v>0</v>
      </c>
      <c r="CM80" s="254">
        <v>0</v>
      </c>
      <c r="CN80" s="254">
        <v>0</v>
      </c>
      <c r="CO80" s="254">
        <v>0</v>
      </c>
      <c r="CP80" s="254">
        <v>0</v>
      </c>
      <c r="CQ80" s="116"/>
      <c r="CR80" s="255">
        <v>0</v>
      </c>
      <c r="CS80" s="255">
        <v>0</v>
      </c>
      <c r="CT80" s="255">
        <v>0</v>
      </c>
      <c r="CU80" s="255">
        <v>0</v>
      </c>
      <c r="CV80" s="255">
        <v>0</v>
      </c>
      <c r="CW80" s="255">
        <v>7230.6</v>
      </c>
      <c r="CX80" s="255">
        <v>0</v>
      </c>
      <c r="CY80" s="255">
        <v>0</v>
      </c>
      <c r="CZ80" s="255">
        <v>0</v>
      </c>
      <c r="DA80" s="255">
        <v>0</v>
      </c>
      <c r="DB80" s="255">
        <v>0</v>
      </c>
      <c r="DC80" s="255">
        <v>0</v>
      </c>
      <c r="DD80" s="255">
        <v>0</v>
      </c>
      <c r="DE80" s="255">
        <v>17436.3</v>
      </c>
      <c r="DF80" s="255">
        <v>17436.3</v>
      </c>
      <c r="DG80" s="255">
        <v>17436.3</v>
      </c>
      <c r="DH80" s="255">
        <v>17436.3</v>
      </c>
      <c r="DI80" s="255">
        <v>17436.3</v>
      </c>
      <c r="DJ80" s="255">
        <v>0</v>
      </c>
      <c r="DK80" s="255">
        <v>0</v>
      </c>
      <c r="DL80" s="255">
        <v>0</v>
      </c>
      <c r="DM80" s="255">
        <v>0</v>
      </c>
      <c r="DN80" s="255">
        <v>0</v>
      </c>
      <c r="DO80" s="255">
        <v>0</v>
      </c>
      <c r="DP80" s="255">
        <v>0</v>
      </c>
      <c r="DQ80" s="255">
        <v>0</v>
      </c>
      <c r="DR80" s="255">
        <v>0</v>
      </c>
      <c r="DS80" s="255">
        <v>0</v>
      </c>
      <c r="DT80" s="255">
        <v>0</v>
      </c>
      <c r="DU80" s="255">
        <v>0</v>
      </c>
      <c r="DV80" s="255">
        <v>0</v>
      </c>
      <c r="DW80" s="255">
        <v>0</v>
      </c>
      <c r="DX80" s="255">
        <v>0</v>
      </c>
      <c r="DY80" s="255">
        <v>0</v>
      </c>
      <c r="DZ80" s="255">
        <v>0</v>
      </c>
      <c r="EA80" s="255">
        <v>0</v>
      </c>
      <c r="EB80" s="255">
        <v>0</v>
      </c>
      <c r="EC80" s="255">
        <v>0</v>
      </c>
      <c r="ED80" s="255">
        <v>0</v>
      </c>
      <c r="EE80" s="255">
        <v>0</v>
      </c>
      <c r="EF80" s="255">
        <v>0</v>
      </c>
      <c r="EG80" s="255">
        <v>0</v>
      </c>
      <c r="EH80" s="255">
        <v>0</v>
      </c>
      <c r="EI80" s="255">
        <v>0</v>
      </c>
      <c r="EJ80" s="255">
        <v>0</v>
      </c>
      <c r="EK80" s="255">
        <v>0</v>
      </c>
      <c r="EL80" s="255">
        <v>0</v>
      </c>
      <c r="EM80" s="255">
        <v>0</v>
      </c>
      <c r="EN80" s="255">
        <v>0</v>
      </c>
      <c r="EO80" s="255">
        <v>0</v>
      </c>
      <c r="EP80" s="255">
        <v>0</v>
      </c>
      <c r="EQ80" s="255">
        <v>0</v>
      </c>
      <c r="ER80" s="255">
        <v>0</v>
      </c>
      <c r="ES80" s="255">
        <v>0</v>
      </c>
      <c r="ET80" s="255">
        <v>0</v>
      </c>
      <c r="EU80" s="255">
        <v>0</v>
      </c>
      <c r="EV80" s="255">
        <v>0</v>
      </c>
      <c r="EW80" s="255">
        <v>0</v>
      </c>
      <c r="EX80" s="255">
        <v>0</v>
      </c>
      <c r="EY80" s="255">
        <v>0</v>
      </c>
      <c r="EZ80" s="255">
        <v>0</v>
      </c>
      <c r="FA80" s="255">
        <v>0</v>
      </c>
      <c r="FB80" s="255">
        <v>0</v>
      </c>
      <c r="FC80" s="255">
        <v>0</v>
      </c>
      <c r="FD80" s="255">
        <v>0</v>
      </c>
      <c r="FE80" s="255">
        <v>0</v>
      </c>
      <c r="FF80" s="255">
        <v>0</v>
      </c>
      <c r="FG80" s="255">
        <v>0</v>
      </c>
      <c r="FH80" s="255">
        <v>0</v>
      </c>
      <c r="FI80" s="255">
        <v>0</v>
      </c>
      <c r="FJ80" s="255">
        <v>0</v>
      </c>
      <c r="FK80" s="255">
        <v>0</v>
      </c>
      <c r="FL80" s="255">
        <v>0</v>
      </c>
      <c r="FM80" s="255">
        <v>0</v>
      </c>
      <c r="FN80" s="255">
        <v>0</v>
      </c>
      <c r="FO80" s="255">
        <v>0</v>
      </c>
      <c r="FP80" s="255">
        <v>0</v>
      </c>
      <c r="FQ80" s="255">
        <v>0</v>
      </c>
      <c r="FR80" s="255">
        <v>0</v>
      </c>
      <c r="FS80" s="255">
        <v>0</v>
      </c>
      <c r="FT80" s="255">
        <v>0</v>
      </c>
      <c r="FU80" s="255">
        <v>0</v>
      </c>
      <c r="FV80" s="255">
        <v>0</v>
      </c>
      <c r="FW80" s="255">
        <v>0</v>
      </c>
      <c r="FX80" s="116"/>
    </row>
    <row r="81" spans="2:180" x14ac:dyDescent="0.2">
      <c r="B81" s="253" t="s">
        <v>218</v>
      </c>
      <c r="C81" s="253" t="s">
        <v>305</v>
      </c>
      <c r="D81" s="253" t="s">
        <v>258</v>
      </c>
      <c r="E81" s="253" t="s">
        <v>127</v>
      </c>
      <c r="F81" s="253" t="s">
        <v>259</v>
      </c>
      <c r="G81" s="253" t="s">
        <v>260</v>
      </c>
      <c r="H81" s="237">
        <v>237.45</v>
      </c>
      <c r="I81" s="126">
        <f t="shared" si="86"/>
        <v>154503.65</v>
      </c>
      <c r="J81" s="116"/>
      <c r="K81" s="254">
        <v>0</v>
      </c>
      <c r="L81" s="254">
        <v>0</v>
      </c>
      <c r="M81" s="254">
        <v>0</v>
      </c>
      <c r="N81" s="254">
        <v>0</v>
      </c>
      <c r="O81" s="254">
        <v>0</v>
      </c>
      <c r="P81" s="254">
        <v>0</v>
      </c>
      <c r="Q81" s="254">
        <v>0</v>
      </c>
      <c r="R81" s="254">
        <v>0</v>
      </c>
      <c r="S81" s="254">
        <v>0</v>
      </c>
      <c r="T81" s="254">
        <v>0</v>
      </c>
      <c r="U81" s="254">
        <v>0</v>
      </c>
      <c r="V81" s="254">
        <v>0</v>
      </c>
      <c r="W81" s="254">
        <v>0</v>
      </c>
      <c r="X81" s="254">
        <v>1</v>
      </c>
      <c r="Y81" s="254">
        <v>1</v>
      </c>
      <c r="Z81" s="254">
        <v>0.66666666666666663</v>
      </c>
      <c r="AA81" s="254">
        <v>0.46052631578947367</v>
      </c>
      <c r="AB81" s="254">
        <v>0.46052631578947367</v>
      </c>
      <c r="AC81" s="254">
        <v>0.25</v>
      </c>
      <c r="AD81" s="254">
        <v>0.25</v>
      </c>
      <c r="AE81" s="254">
        <v>0.25</v>
      </c>
      <c r="AF81" s="254">
        <v>0.25</v>
      </c>
      <c r="AG81" s="254">
        <v>0.25</v>
      </c>
      <c r="AH81" s="254">
        <v>0</v>
      </c>
      <c r="AI81" s="254">
        <v>0</v>
      </c>
      <c r="AJ81" s="254">
        <v>0</v>
      </c>
      <c r="AK81" s="254">
        <v>0</v>
      </c>
      <c r="AL81" s="254">
        <v>0</v>
      </c>
      <c r="AM81" s="254">
        <v>0</v>
      </c>
      <c r="AN81" s="254">
        <v>0</v>
      </c>
      <c r="AO81" s="254">
        <v>0</v>
      </c>
      <c r="AP81" s="254">
        <v>0</v>
      </c>
      <c r="AQ81" s="254">
        <v>0</v>
      </c>
      <c r="AR81" s="254">
        <v>0</v>
      </c>
      <c r="AS81" s="254">
        <v>0</v>
      </c>
      <c r="AT81" s="254">
        <v>0</v>
      </c>
      <c r="AU81" s="254">
        <v>0</v>
      </c>
      <c r="AV81" s="254">
        <v>0</v>
      </c>
      <c r="AW81" s="254">
        <v>0</v>
      </c>
      <c r="AX81" s="254">
        <v>0</v>
      </c>
      <c r="AY81" s="254">
        <v>0</v>
      </c>
      <c r="AZ81" s="254">
        <v>0</v>
      </c>
      <c r="BA81" s="254">
        <v>0</v>
      </c>
      <c r="BB81" s="254">
        <v>0</v>
      </c>
      <c r="BC81" s="254">
        <v>0</v>
      </c>
      <c r="BD81" s="254">
        <v>0</v>
      </c>
      <c r="BE81" s="254">
        <v>0</v>
      </c>
      <c r="BF81" s="254">
        <v>0</v>
      </c>
      <c r="BG81" s="254">
        <v>0</v>
      </c>
      <c r="BH81" s="254">
        <v>0</v>
      </c>
      <c r="BI81" s="254">
        <v>0</v>
      </c>
      <c r="BJ81" s="254">
        <v>0</v>
      </c>
      <c r="BK81" s="254">
        <v>0</v>
      </c>
      <c r="BL81" s="254">
        <v>0</v>
      </c>
      <c r="BM81" s="254">
        <v>0</v>
      </c>
      <c r="BN81" s="254">
        <v>0</v>
      </c>
      <c r="BO81" s="254">
        <v>0</v>
      </c>
      <c r="BP81" s="254">
        <v>0</v>
      </c>
      <c r="BQ81" s="254">
        <v>0</v>
      </c>
      <c r="BR81" s="254">
        <v>0</v>
      </c>
      <c r="BS81" s="254">
        <v>0</v>
      </c>
      <c r="BT81" s="254">
        <v>0</v>
      </c>
      <c r="BU81" s="254">
        <v>0</v>
      </c>
      <c r="BV81" s="254">
        <v>0</v>
      </c>
      <c r="BW81" s="254">
        <v>0</v>
      </c>
      <c r="BX81" s="254">
        <v>0</v>
      </c>
      <c r="BY81" s="254">
        <v>0</v>
      </c>
      <c r="BZ81" s="254">
        <v>0</v>
      </c>
      <c r="CA81" s="254">
        <v>0</v>
      </c>
      <c r="CB81" s="254">
        <v>0</v>
      </c>
      <c r="CC81" s="254">
        <v>0</v>
      </c>
      <c r="CD81" s="254">
        <v>0</v>
      </c>
      <c r="CE81" s="254">
        <v>0</v>
      </c>
      <c r="CF81" s="254">
        <v>0</v>
      </c>
      <c r="CG81" s="254">
        <v>0</v>
      </c>
      <c r="CH81" s="254">
        <v>0</v>
      </c>
      <c r="CI81" s="254">
        <v>0</v>
      </c>
      <c r="CJ81" s="254">
        <v>0</v>
      </c>
      <c r="CK81" s="254">
        <v>0</v>
      </c>
      <c r="CL81" s="254">
        <v>0</v>
      </c>
      <c r="CM81" s="254">
        <v>0</v>
      </c>
      <c r="CN81" s="254">
        <v>0</v>
      </c>
      <c r="CO81" s="254">
        <v>0</v>
      </c>
      <c r="CP81" s="254">
        <v>0</v>
      </c>
      <c r="CQ81" s="116"/>
      <c r="CR81" s="255">
        <v>0</v>
      </c>
      <c r="CS81" s="255">
        <v>0</v>
      </c>
      <c r="CT81" s="255">
        <v>0</v>
      </c>
      <c r="CU81" s="255">
        <v>0</v>
      </c>
      <c r="CV81" s="255">
        <v>0</v>
      </c>
      <c r="CW81" s="255">
        <v>0</v>
      </c>
      <c r="CX81" s="255">
        <v>0</v>
      </c>
      <c r="CY81" s="255">
        <v>0</v>
      </c>
      <c r="CZ81" s="255">
        <v>0</v>
      </c>
      <c r="DA81" s="255">
        <v>0</v>
      </c>
      <c r="DB81" s="255">
        <v>0</v>
      </c>
      <c r="DC81" s="255">
        <v>0</v>
      </c>
      <c r="DD81" s="255">
        <v>0</v>
      </c>
      <c r="DE81" s="255">
        <v>32271.399999999998</v>
      </c>
      <c r="DF81" s="255">
        <v>32271.399999999998</v>
      </c>
      <c r="DG81" s="255">
        <v>16135.699999999999</v>
      </c>
      <c r="DH81" s="255">
        <v>16135.699999999999</v>
      </c>
      <c r="DI81" s="255">
        <v>16135.699999999999</v>
      </c>
      <c r="DJ81" s="255">
        <v>8310.75</v>
      </c>
      <c r="DK81" s="255">
        <v>8310.75</v>
      </c>
      <c r="DL81" s="255">
        <v>8310.75</v>
      </c>
      <c r="DM81" s="255">
        <v>8310.75</v>
      </c>
      <c r="DN81" s="255">
        <v>8310.75</v>
      </c>
      <c r="DO81" s="255">
        <v>0</v>
      </c>
      <c r="DP81" s="255">
        <v>0</v>
      </c>
      <c r="DQ81" s="255">
        <v>0</v>
      </c>
      <c r="DR81" s="255">
        <v>0</v>
      </c>
      <c r="DS81" s="255">
        <v>0</v>
      </c>
      <c r="DT81" s="255">
        <v>0</v>
      </c>
      <c r="DU81" s="255">
        <v>0</v>
      </c>
      <c r="DV81" s="255">
        <v>0</v>
      </c>
      <c r="DW81" s="255">
        <v>0</v>
      </c>
      <c r="DX81" s="255">
        <v>0</v>
      </c>
      <c r="DY81" s="255">
        <v>0</v>
      </c>
      <c r="DZ81" s="255">
        <v>0</v>
      </c>
      <c r="EA81" s="255">
        <v>0</v>
      </c>
      <c r="EB81" s="255">
        <v>0</v>
      </c>
      <c r="EC81" s="255">
        <v>0</v>
      </c>
      <c r="ED81" s="255">
        <v>0</v>
      </c>
      <c r="EE81" s="255">
        <v>0</v>
      </c>
      <c r="EF81" s="255">
        <v>0</v>
      </c>
      <c r="EG81" s="255">
        <v>0</v>
      </c>
      <c r="EH81" s="255">
        <v>0</v>
      </c>
      <c r="EI81" s="255">
        <v>0</v>
      </c>
      <c r="EJ81" s="255">
        <v>0</v>
      </c>
      <c r="EK81" s="255">
        <v>0</v>
      </c>
      <c r="EL81" s="255">
        <v>0</v>
      </c>
      <c r="EM81" s="255">
        <v>0</v>
      </c>
      <c r="EN81" s="255">
        <v>0</v>
      </c>
      <c r="EO81" s="255">
        <v>0</v>
      </c>
      <c r="EP81" s="255">
        <v>0</v>
      </c>
      <c r="EQ81" s="255">
        <v>0</v>
      </c>
      <c r="ER81" s="255">
        <v>0</v>
      </c>
      <c r="ES81" s="255">
        <v>0</v>
      </c>
      <c r="ET81" s="255">
        <v>0</v>
      </c>
      <c r="EU81" s="255">
        <v>0</v>
      </c>
      <c r="EV81" s="255">
        <v>0</v>
      </c>
      <c r="EW81" s="255">
        <v>0</v>
      </c>
      <c r="EX81" s="255">
        <v>0</v>
      </c>
      <c r="EY81" s="255">
        <v>0</v>
      </c>
      <c r="EZ81" s="255">
        <v>0</v>
      </c>
      <c r="FA81" s="255">
        <v>0</v>
      </c>
      <c r="FB81" s="255">
        <v>0</v>
      </c>
      <c r="FC81" s="255">
        <v>0</v>
      </c>
      <c r="FD81" s="255">
        <v>0</v>
      </c>
      <c r="FE81" s="255">
        <v>0</v>
      </c>
      <c r="FF81" s="255">
        <v>0</v>
      </c>
      <c r="FG81" s="255">
        <v>0</v>
      </c>
      <c r="FH81" s="255">
        <v>0</v>
      </c>
      <c r="FI81" s="255">
        <v>0</v>
      </c>
      <c r="FJ81" s="255">
        <v>0</v>
      </c>
      <c r="FK81" s="255">
        <v>0</v>
      </c>
      <c r="FL81" s="255">
        <v>0</v>
      </c>
      <c r="FM81" s="255">
        <v>0</v>
      </c>
      <c r="FN81" s="255">
        <v>0</v>
      </c>
      <c r="FO81" s="255">
        <v>0</v>
      </c>
      <c r="FP81" s="255">
        <v>0</v>
      </c>
      <c r="FQ81" s="255">
        <v>0</v>
      </c>
      <c r="FR81" s="255">
        <v>0</v>
      </c>
      <c r="FS81" s="255">
        <v>0</v>
      </c>
      <c r="FT81" s="255">
        <v>0</v>
      </c>
      <c r="FU81" s="255">
        <v>0</v>
      </c>
      <c r="FV81" s="255">
        <v>0</v>
      </c>
      <c r="FW81" s="255">
        <v>0</v>
      </c>
      <c r="FX81" s="116"/>
    </row>
    <row r="82" spans="2:180" x14ac:dyDescent="0.2">
      <c r="B82" s="253" t="s">
        <v>218</v>
      </c>
      <c r="C82" s="286" t="s">
        <v>338</v>
      </c>
      <c r="D82" s="253" t="s">
        <v>85</v>
      </c>
      <c r="E82" s="253" t="s">
        <v>127</v>
      </c>
      <c r="F82" s="253">
        <v>0</v>
      </c>
      <c r="G82" s="253" t="s">
        <v>268</v>
      </c>
      <c r="H82" s="237">
        <v>0</v>
      </c>
      <c r="I82" s="126">
        <f t="shared" si="86"/>
        <v>760000</v>
      </c>
      <c r="J82" s="116"/>
      <c r="K82" s="254">
        <v>0</v>
      </c>
      <c r="L82" s="254">
        <v>0</v>
      </c>
      <c r="M82" s="254">
        <v>0</v>
      </c>
      <c r="N82" s="254">
        <v>0</v>
      </c>
      <c r="O82" s="254">
        <v>0</v>
      </c>
      <c r="P82" s="254">
        <v>0</v>
      </c>
      <c r="Q82" s="254">
        <v>0</v>
      </c>
      <c r="R82" s="254">
        <v>0</v>
      </c>
      <c r="S82" s="254">
        <v>0</v>
      </c>
      <c r="T82" s="254">
        <v>0</v>
      </c>
      <c r="U82" s="254">
        <v>0</v>
      </c>
      <c r="V82" s="254">
        <v>0</v>
      </c>
      <c r="W82" s="254">
        <v>0</v>
      </c>
      <c r="X82" s="254">
        <v>6.5789473684210523E-2</v>
      </c>
      <c r="Y82" s="254">
        <v>6.5789473684210523E-2</v>
      </c>
      <c r="Z82" s="254">
        <v>6.5789473684210523E-2</v>
      </c>
      <c r="AA82" s="254">
        <v>6.5789473684210523E-2</v>
      </c>
      <c r="AB82" s="254">
        <v>0.18684210526315789</v>
      </c>
      <c r="AC82" s="254">
        <v>0.18684210526315789</v>
      </c>
      <c r="AD82" s="254">
        <v>0.18684210526315789</v>
      </c>
      <c r="AE82" s="254">
        <v>0.1763157894736842</v>
      </c>
      <c r="AF82" s="254">
        <v>0</v>
      </c>
      <c r="AG82" s="254">
        <v>0</v>
      </c>
      <c r="AH82" s="254">
        <v>0</v>
      </c>
      <c r="AI82" s="254">
        <v>0</v>
      </c>
      <c r="AJ82" s="254">
        <v>0</v>
      </c>
      <c r="AK82" s="254">
        <v>0</v>
      </c>
      <c r="AL82" s="254">
        <v>0</v>
      </c>
      <c r="AM82" s="254">
        <v>0</v>
      </c>
      <c r="AN82" s="254">
        <v>0</v>
      </c>
      <c r="AO82" s="254">
        <v>0</v>
      </c>
      <c r="AP82" s="254">
        <v>0</v>
      </c>
      <c r="AQ82" s="254">
        <v>0</v>
      </c>
      <c r="AR82" s="254">
        <v>0</v>
      </c>
      <c r="AS82" s="254">
        <v>0</v>
      </c>
      <c r="AT82" s="254">
        <v>0</v>
      </c>
      <c r="AU82" s="254">
        <v>0</v>
      </c>
      <c r="AV82" s="254">
        <v>0</v>
      </c>
      <c r="AW82" s="254">
        <v>0</v>
      </c>
      <c r="AX82" s="254">
        <v>0</v>
      </c>
      <c r="AY82" s="254">
        <v>0</v>
      </c>
      <c r="AZ82" s="254">
        <v>0</v>
      </c>
      <c r="BA82" s="254">
        <v>0</v>
      </c>
      <c r="BB82" s="254">
        <v>0</v>
      </c>
      <c r="BC82" s="254">
        <v>0</v>
      </c>
      <c r="BD82" s="254">
        <v>0</v>
      </c>
      <c r="BE82" s="254">
        <v>0</v>
      </c>
      <c r="BF82" s="254">
        <v>0</v>
      </c>
      <c r="BG82" s="254">
        <v>0</v>
      </c>
      <c r="BH82" s="254">
        <v>0</v>
      </c>
      <c r="BI82" s="254">
        <v>0</v>
      </c>
      <c r="BJ82" s="254">
        <v>0</v>
      </c>
      <c r="BK82" s="254">
        <v>0</v>
      </c>
      <c r="BL82" s="254">
        <v>0</v>
      </c>
      <c r="BM82" s="254">
        <v>0</v>
      </c>
      <c r="BN82" s="254">
        <v>0</v>
      </c>
      <c r="BO82" s="254">
        <v>0</v>
      </c>
      <c r="BP82" s="254">
        <v>0</v>
      </c>
      <c r="BQ82" s="254">
        <v>0</v>
      </c>
      <c r="BR82" s="254">
        <v>0</v>
      </c>
      <c r="BS82" s="254">
        <v>0</v>
      </c>
      <c r="BT82" s="254">
        <v>0</v>
      </c>
      <c r="BU82" s="254">
        <v>0</v>
      </c>
      <c r="BV82" s="254">
        <v>0</v>
      </c>
      <c r="BW82" s="254">
        <v>0</v>
      </c>
      <c r="BX82" s="254">
        <v>0</v>
      </c>
      <c r="BY82" s="254">
        <v>0</v>
      </c>
      <c r="BZ82" s="254">
        <v>0</v>
      </c>
      <c r="CA82" s="254">
        <v>0</v>
      </c>
      <c r="CB82" s="254">
        <v>0</v>
      </c>
      <c r="CC82" s="254">
        <v>0</v>
      </c>
      <c r="CD82" s="254">
        <v>0</v>
      </c>
      <c r="CE82" s="254">
        <v>0</v>
      </c>
      <c r="CF82" s="254">
        <v>0</v>
      </c>
      <c r="CG82" s="254">
        <v>0</v>
      </c>
      <c r="CH82" s="254">
        <v>0</v>
      </c>
      <c r="CI82" s="254">
        <v>0</v>
      </c>
      <c r="CJ82" s="254">
        <v>0</v>
      </c>
      <c r="CK82" s="254">
        <v>0</v>
      </c>
      <c r="CL82" s="254">
        <v>0</v>
      </c>
      <c r="CM82" s="254">
        <v>0</v>
      </c>
      <c r="CN82" s="254">
        <v>0</v>
      </c>
      <c r="CO82" s="254">
        <v>0</v>
      </c>
      <c r="CP82" s="254">
        <v>0</v>
      </c>
      <c r="CQ82" s="116"/>
      <c r="CR82" s="255">
        <v>0</v>
      </c>
      <c r="CS82" s="255">
        <v>0</v>
      </c>
      <c r="CT82" s="255">
        <v>0</v>
      </c>
      <c r="CU82" s="255">
        <v>0</v>
      </c>
      <c r="CV82" s="255">
        <v>0</v>
      </c>
      <c r="CW82" s="255">
        <v>0</v>
      </c>
      <c r="CX82" s="255">
        <v>0</v>
      </c>
      <c r="CY82" s="255">
        <v>0</v>
      </c>
      <c r="CZ82" s="255">
        <v>0</v>
      </c>
      <c r="DA82" s="255">
        <v>0</v>
      </c>
      <c r="DB82" s="255">
        <v>0</v>
      </c>
      <c r="DC82" s="255">
        <v>0</v>
      </c>
      <c r="DD82" s="255">
        <v>0</v>
      </c>
      <c r="DE82" s="255">
        <v>50000</v>
      </c>
      <c r="DF82" s="255">
        <v>50000</v>
      </c>
      <c r="DG82" s="255">
        <v>50000</v>
      </c>
      <c r="DH82" s="255">
        <v>50000</v>
      </c>
      <c r="DI82" s="255">
        <v>142000</v>
      </c>
      <c r="DJ82" s="255">
        <v>142000</v>
      </c>
      <c r="DK82" s="255">
        <v>142000</v>
      </c>
      <c r="DL82" s="255">
        <v>134000</v>
      </c>
      <c r="DM82" s="255">
        <v>0</v>
      </c>
      <c r="DN82" s="255">
        <v>0</v>
      </c>
      <c r="DO82" s="255">
        <v>0</v>
      </c>
      <c r="DP82" s="255">
        <v>0</v>
      </c>
      <c r="DQ82" s="255">
        <v>0</v>
      </c>
      <c r="DR82" s="255">
        <v>0</v>
      </c>
      <c r="DS82" s="255">
        <v>0</v>
      </c>
      <c r="DT82" s="255">
        <v>0</v>
      </c>
      <c r="DU82" s="255">
        <v>0</v>
      </c>
      <c r="DV82" s="255">
        <v>0</v>
      </c>
      <c r="DW82" s="255">
        <v>0</v>
      </c>
      <c r="DX82" s="255">
        <v>0</v>
      </c>
      <c r="DY82" s="255">
        <v>0</v>
      </c>
      <c r="DZ82" s="255">
        <v>0</v>
      </c>
      <c r="EA82" s="255">
        <v>0</v>
      </c>
      <c r="EB82" s="255">
        <v>0</v>
      </c>
      <c r="EC82" s="255">
        <v>0</v>
      </c>
      <c r="ED82" s="255">
        <v>0</v>
      </c>
      <c r="EE82" s="255">
        <v>0</v>
      </c>
      <c r="EF82" s="255">
        <v>0</v>
      </c>
      <c r="EG82" s="255">
        <v>0</v>
      </c>
      <c r="EH82" s="255">
        <v>0</v>
      </c>
      <c r="EI82" s="255">
        <v>0</v>
      </c>
      <c r="EJ82" s="255">
        <v>0</v>
      </c>
      <c r="EK82" s="255">
        <v>0</v>
      </c>
      <c r="EL82" s="255">
        <v>0</v>
      </c>
      <c r="EM82" s="255">
        <v>0</v>
      </c>
      <c r="EN82" s="255">
        <v>0</v>
      </c>
      <c r="EO82" s="255">
        <v>0</v>
      </c>
      <c r="EP82" s="255">
        <v>0</v>
      </c>
      <c r="EQ82" s="255">
        <v>0</v>
      </c>
      <c r="ER82" s="255">
        <v>0</v>
      </c>
      <c r="ES82" s="255">
        <v>0</v>
      </c>
      <c r="ET82" s="255">
        <v>0</v>
      </c>
      <c r="EU82" s="255">
        <v>0</v>
      </c>
      <c r="EV82" s="255">
        <v>0</v>
      </c>
      <c r="EW82" s="255">
        <v>0</v>
      </c>
      <c r="EX82" s="255">
        <v>0</v>
      </c>
      <c r="EY82" s="255">
        <v>0</v>
      </c>
      <c r="EZ82" s="255">
        <v>0</v>
      </c>
      <c r="FA82" s="255">
        <v>0</v>
      </c>
      <c r="FB82" s="255">
        <v>0</v>
      </c>
      <c r="FC82" s="255">
        <v>0</v>
      </c>
      <c r="FD82" s="255">
        <v>0</v>
      </c>
      <c r="FE82" s="255">
        <v>0</v>
      </c>
      <c r="FF82" s="255">
        <v>0</v>
      </c>
      <c r="FG82" s="255">
        <v>0</v>
      </c>
      <c r="FH82" s="255">
        <v>0</v>
      </c>
      <c r="FI82" s="255">
        <v>0</v>
      </c>
      <c r="FJ82" s="255">
        <v>0</v>
      </c>
      <c r="FK82" s="255">
        <v>0</v>
      </c>
      <c r="FL82" s="255">
        <v>0</v>
      </c>
      <c r="FM82" s="255">
        <v>0</v>
      </c>
      <c r="FN82" s="255">
        <v>0</v>
      </c>
      <c r="FO82" s="255">
        <v>0</v>
      </c>
      <c r="FP82" s="255">
        <v>0</v>
      </c>
      <c r="FQ82" s="255">
        <v>0</v>
      </c>
      <c r="FR82" s="255">
        <v>0</v>
      </c>
      <c r="FS82" s="255">
        <v>0</v>
      </c>
      <c r="FT82" s="255">
        <v>0</v>
      </c>
      <c r="FU82" s="255">
        <v>0</v>
      </c>
      <c r="FV82" s="255">
        <v>0</v>
      </c>
      <c r="FW82" s="255">
        <v>0</v>
      </c>
      <c r="FX82" s="116"/>
    </row>
    <row r="83" spans="2:180" x14ac:dyDescent="0.2">
      <c r="B83" s="253" t="s">
        <v>218</v>
      </c>
      <c r="C83" s="253" t="s">
        <v>307</v>
      </c>
      <c r="D83" s="253" t="s">
        <v>258</v>
      </c>
      <c r="E83" s="253" t="s">
        <v>127</v>
      </c>
      <c r="F83" s="253" t="s">
        <v>259</v>
      </c>
      <c r="G83" s="253" t="s">
        <v>260</v>
      </c>
      <c r="H83" s="237">
        <v>237.45</v>
      </c>
      <c r="I83" s="126">
        <f t="shared" si="86"/>
        <v>254943.75999999992</v>
      </c>
      <c r="J83" s="116"/>
      <c r="K83" s="254">
        <v>0</v>
      </c>
      <c r="L83" s="254">
        <v>0</v>
      </c>
      <c r="M83" s="254">
        <v>0</v>
      </c>
      <c r="N83" s="254">
        <v>0</v>
      </c>
      <c r="O83" s="254">
        <v>0</v>
      </c>
      <c r="P83" s="254">
        <v>0</v>
      </c>
      <c r="Q83" s="254">
        <v>0</v>
      </c>
      <c r="R83" s="254">
        <v>0</v>
      </c>
      <c r="S83" s="254">
        <v>0</v>
      </c>
      <c r="T83" s="254">
        <v>7.1428571428571426E-3</v>
      </c>
      <c r="U83" s="254">
        <v>6.4285714285714279E-2</v>
      </c>
      <c r="V83" s="254">
        <v>3.8095238095238099E-2</v>
      </c>
      <c r="W83" s="254">
        <v>5.7142857142857141E-2</v>
      </c>
      <c r="X83" s="254">
        <v>0.2</v>
      </c>
      <c r="Y83" s="254">
        <v>0.2</v>
      </c>
      <c r="Z83" s="254">
        <v>0.26666666666666666</v>
      </c>
      <c r="AA83" s="254">
        <v>0.18421052631578946</v>
      </c>
      <c r="AB83" s="254">
        <v>0.18421052631578946</v>
      </c>
      <c r="AC83" s="254">
        <v>0.2</v>
      </c>
      <c r="AD83" s="254">
        <v>0.2</v>
      </c>
      <c r="AE83" s="254">
        <v>0.2</v>
      </c>
      <c r="AF83" s="254">
        <v>0.2</v>
      </c>
      <c r="AG83" s="254">
        <v>0.2</v>
      </c>
      <c r="AH83" s="254">
        <v>0.26666666666666666</v>
      </c>
      <c r="AI83" s="254">
        <v>0.26666666666666666</v>
      </c>
      <c r="AJ83" s="254">
        <v>0.2</v>
      </c>
      <c r="AK83" s="254">
        <v>0.2</v>
      </c>
      <c r="AL83" s="254">
        <v>0.26666666666666666</v>
      </c>
      <c r="AM83" s="254">
        <v>0.18421052631578946</v>
      </c>
      <c r="AN83" s="254">
        <v>0.18421052631578946</v>
      </c>
      <c r="AO83" s="254">
        <v>0.2</v>
      </c>
      <c r="AP83" s="254">
        <v>0.2</v>
      </c>
      <c r="AQ83" s="254">
        <v>0.2</v>
      </c>
      <c r="AR83" s="254">
        <v>0.2</v>
      </c>
      <c r="AS83" s="254">
        <v>0.2</v>
      </c>
      <c r="AT83" s="254">
        <v>0.26666666666666666</v>
      </c>
      <c r="AU83" s="254">
        <v>0.26666666666666666</v>
      </c>
      <c r="AV83" s="254">
        <v>0.2</v>
      </c>
      <c r="AW83" s="254">
        <v>0.2</v>
      </c>
      <c r="AX83" s="254">
        <v>0.26666666666666666</v>
      </c>
      <c r="AY83" s="254">
        <v>0.18421052631578946</v>
      </c>
      <c r="AZ83" s="254">
        <v>0.18421052631578946</v>
      </c>
      <c r="BA83" s="254">
        <v>0.2</v>
      </c>
      <c r="BB83" s="254">
        <v>0.2</v>
      </c>
      <c r="BC83" s="254">
        <v>0.2</v>
      </c>
      <c r="BD83" s="254">
        <v>0.2</v>
      </c>
      <c r="BE83" s="254">
        <v>0.2</v>
      </c>
      <c r="BF83" s="254">
        <v>0.26666666666666666</v>
      </c>
      <c r="BG83" s="254">
        <v>0.26666666666666666</v>
      </c>
      <c r="BH83" s="254">
        <v>0.2</v>
      </c>
      <c r="BI83" s="254">
        <v>0</v>
      </c>
      <c r="BJ83" s="254">
        <v>0</v>
      </c>
      <c r="BK83" s="254">
        <v>0</v>
      </c>
      <c r="BL83" s="254">
        <v>0</v>
      </c>
      <c r="BM83" s="254">
        <v>0</v>
      </c>
      <c r="BN83" s="254">
        <v>0</v>
      </c>
      <c r="BO83" s="254">
        <v>0</v>
      </c>
      <c r="BP83" s="254">
        <v>0</v>
      </c>
      <c r="BQ83" s="254">
        <v>0</v>
      </c>
      <c r="BR83" s="254">
        <v>0</v>
      </c>
      <c r="BS83" s="254">
        <v>0</v>
      </c>
      <c r="BT83" s="254">
        <v>0</v>
      </c>
      <c r="BU83" s="254">
        <v>0</v>
      </c>
      <c r="BV83" s="254">
        <v>0</v>
      </c>
      <c r="BW83" s="254">
        <v>0</v>
      </c>
      <c r="BX83" s="254">
        <v>0</v>
      </c>
      <c r="BY83" s="254">
        <v>0</v>
      </c>
      <c r="BZ83" s="254">
        <v>0</v>
      </c>
      <c r="CA83" s="254">
        <v>0</v>
      </c>
      <c r="CB83" s="254">
        <v>0</v>
      </c>
      <c r="CC83" s="254">
        <v>0</v>
      </c>
      <c r="CD83" s="254">
        <v>0</v>
      </c>
      <c r="CE83" s="254">
        <v>0</v>
      </c>
      <c r="CF83" s="254">
        <v>0</v>
      </c>
      <c r="CG83" s="254">
        <v>0</v>
      </c>
      <c r="CH83" s="254">
        <v>0</v>
      </c>
      <c r="CI83" s="254">
        <v>0</v>
      </c>
      <c r="CJ83" s="254">
        <v>0</v>
      </c>
      <c r="CK83" s="254">
        <v>0</v>
      </c>
      <c r="CL83" s="254">
        <v>0</v>
      </c>
      <c r="CM83" s="254">
        <v>0</v>
      </c>
      <c r="CN83" s="254">
        <v>0</v>
      </c>
      <c r="CO83" s="254">
        <v>0</v>
      </c>
      <c r="CP83" s="254">
        <v>0</v>
      </c>
      <c r="CQ83" s="116"/>
      <c r="CR83" s="255">
        <v>0</v>
      </c>
      <c r="CS83" s="255">
        <v>0</v>
      </c>
      <c r="CT83" s="255">
        <v>0</v>
      </c>
      <c r="CU83" s="255">
        <v>0</v>
      </c>
      <c r="CV83" s="255">
        <v>0</v>
      </c>
      <c r="CW83" s="255">
        <v>0</v>
      </c>
      <c r="CX83" s="255">
        <v>0</v>
      </c>
      <c r="CY83" s="255">
        <v>0</v>
      </c>
      <c r="CZ83" s="255">
        <v>0</v>
      </c>
      <c r="DA83" s="255">
        <v>212.62</v>
      </c>
      <c r="DB83" s="255">
        <v>1913.48</v>
      </c>
      <c r="DC83" s="255">
        <v>850.44</v>
      </c>
      <c r="DD83" s="255">
        <v>1275.6600000000001</v>
      </c>
      <c r="DE83" s="255">
        <v>6454.28</v>
      </c>
      <c r="DF83" s="255">
        <v>6454.28</v>
      </c>
      <c r="DG83" s="255">
        <v>6454.28</v>
      </c>
      <c r="DH83" s="255">
        <v>6454.28</v>
      </c>
      <c r="DI83" s="255">
        <v>6454.28</v>
      </c>
      <c r="DJ83" s="255">
        <v>6648.5999999999995</v>
      </c>
      <c r="DK83" s="255">
        <v>6648.5999999999995</v>
      </c>
      <c r="DL83" s="255">
        <v>6648.5999999999995</v>
      </c>
      <c r="DM83" s="255">
        <v>6648.5999999999995</v>
      </c>
      <c r="DN83" s="255">
        <v>6648.5999999999995</v>
      </c>
      <c r="DO83" s="255">
        <v>6648.5999999999995</v>
      </c>
      <c r="DP83" s="255">
        <v>6648.5999999999995</v>
      </c>
      <c r="DQ83" s="255">
        <v>6648.5999999999995</v>
      </c>
      <c r="DR83" s="255">
        <v>6648.5999999999995</v>
      </c>
      <c r="DS83" s="255">
        <v>6648.5999999999995</v>
      </c>
      <c r="DT83" s="255">
        <v>6648.5999999999995</v>
      </c>
      <c r="DU83" s="255">
        <v>6648.5999999999995</v>
      </c>
      <c r="DV83" s="255">
        <v>6849.08</v>
      </c>
      <c r="DW83" s="255">
        <v>6849.08</v>
      </c>
      <c r="DX83" s="255">
        <v>6849.08</v>
      </c>
      <c r="DY83" s="255">
        <v>6849.08</v>
      </c>
      <c r="DZ83" s="255">
        <v>6849.08</v>
      </c>
      <c r="EA83" s="255">
        <v>6849.08</v>
      </c>
      <c r="EB83" s="255">
        <v>6849.08</v>
      </c>
      <c r="EC83" s="255">
        <v>6849.08</v>
      </c>
      <c r="ED83" s="255">
        <v>6849.08</v>
      </c>
      <c r="EE83" s="255">
        <v>6849.08</v>
      </c>
      <c r="EF83" s="255">
        <v>6849.08</v>
      </c>
      <c r="EG83" s="255">
        <v>6849.08</v>
      </c>
      <c r="EH83" s="255">
        <v>7056</v>
      </c>
      <c r="EI83" s="255">
        <v>7056</v>
      </c>
      <c r="EJ83" s="255">
        <v>7056</v>
      </c>
      <c r="EK83" s="255">
        <v>7056</v>
      </c>
      <c r="EL83" s="255">
        <v>7056</v>
      </c>
      <c r="EM83" s="255">
        <v>7056</v>
      </c>
      <c r="EN83" s="255">
        <v>7056</v>
      </c>
      <c r="EO83" s="255">
        <v>7056</v>
      </c>
      <c r="EP83" s="255">
        <v>0</v>
      </c>
      <c r="EQ83" s="255">
        <v>0</v>
      </c>
      <c r="ER83" s="255">
        <v>0</v>
      </c>
      <c r="ES83" s="255">
        <v>0</v>
      </c>
      <c r="ET83" s="255">
        <v>0</v>
      </c>
      <c r="EU83" s="255">
        <v>0</v>
      </c>
      <c r="EV83" s="255">
        <v>0</v>
      </c>
      <c r="EW83" s="255">
        <v>0</v>
      </c>
      <c r="EX83" s="255">
        <v>0</v>
      </c>
      <c r="EY83" s="255">
        <v>0</v>
      </c>
      <c r="EZ83" s="255">
        <v>0</v>
      </c>
      <c r="FA83" s="255">
        <v>0</v>
      </c>
      <c r="FB83" s="255">
        <v>0</v>
      </c>
      <c r="FC83" s="255">
        <v>0</v>
      </c>
      <c r="FD83" s="255">
        <v>0</v>
      </c>
      <c r="FE83" s="255">
        <v>0</v>
      </c>
      <c r="FF83" s="255">
        <v>0</v>
      </c>
      <c r="FG83" s="255">
        <v>0</v>
      </c>
      <c r="FH83" s="255">
        <v>0</v>
      </c>
      <c r="FI83" s="255">
        <v>0</v>
      </c>
      <c r="FJ83" s="255">
        <v>0</v>
      </c>
      <c r="FK83" s="255">
        <v>0</v>
      </c>
      <c r="FL83" s="255">
        <v>0</v>
      </c>
      <c r="FM83" s="255">
        <v>0</v>
      </c>
      <c r="FN83" s="255">
        <v>0</v>
      </c>
      <c r="FO83" s="255">
        <v>0</v>
      </c>
      <c r="FP83" s="255">
        <v>0</v>
      </c>
      <c r="FQ83" s="255">
        <v>0</v>
      </c>
      <c r="FR83" s="255">
        <v>0</v>
      </c>
      <c r="FS83" s="255">
        <v>0</v>
      </c>
      <c r="FT83" s="255">
        <v>0</v>
      </c>
      <c r="FU83" s="255">
        <v>0</v>
      </c>
      <c r="FV83" s="255">
        <v>0</v>
      </c>
      <c r="FW83" s="255">
        <v>0</v>
      </c>
      <c r="FX83" s="116"/>
    </row>
    <row r="84" spans="2:180" x14ac:dyDescent="0.2">
      <c r="B84" s="253" t="s">
        <v>218</v>
      </c>
      <c r="C84" s="253" t="s">
        <v>305</v>
      </c>
      <c r="D84" s="253" t="s">
        <v>258</v>
      </c>
      <c r="E84" s="253" t="s">
        <v>127</v>
      </c>
      <c r="F84" s="253" t="s">
        <v>259</v>
      </c>
      <c r="G84" s="253" t="s">
        <v>260</v>
      </c>
      <c r="H84" s="237">
        <v>237.45</v>
      </c>
      <c r="I84" s="126">
        <f t="shared" si="86"/>
        <v>188018.66999999995</v>
      </c>
      <c r="J84" s="116"/>
      <c r="K84" s="254">
        <v>0</v>
      </c>
      <c r="L84" s="254">
        <v>0</v>
      </c>
      <c r="M84" s="254">
        <v>0</v>
      </c>
      <c r="N84" s="254">
        <v>0</v>
      </c>
      <c r="O84" s="254">
        <v>0</v>
      </c>
      <c r="P84" s="254">
        <v>0</v>
      </c>
      <c r="Q84" s="254">
        <v>0</v>
      </c>
      <c r="R84" s="254">
        <v>0</v>
      </c>
      <c r="S84" s="254">
        <v>0</v>
      </c>
      <c r="T84" s="254">
        <v>0</v>
      </c>
      <c r="U84" s="254">
        <v>0</v>
      </c>
      <c r="V84" s="254">
        <v>0</v>
      </c>
      <c r="W84" s="254">
        <v>0</v>
      </c>
      <c r="X84" s="254">
        <v>0.15</v>
      </c>
      <c r="Y84" s="254">
        <v>0.15</v>
      </c>
      <c r="Z84" s="254">
        <v>0.2</v>
      </c>
      <c r="AA84" s="254">
        <v>0.13815789473684212</v>
      </c>
      <c r="AB84" s="254">
        <v>0.13815789473684212</v>
      </c>
      <c r="AC84" s="254">
        <v>0.15</v>
      </c>
      <c r="AD84" s="254">
        <v>0.15</v>
      </c>
      <c r="AE84" s="254">
        <v>0.15</v>
      </c>
      <c r="AF84" s="254">
        <v>0.15</v>
      </c>
      <c r="AG84" s="254">
        <v>0.15</v>
      </c>
      <c r="AH84" s="254">
        <v>0.2</v>
      </c>
      <c r="AI84" s="254">
        <v>0.2</v>
      </c>
      <c r="AJ84" s="254">
        <v>0.15</v>
      </c>
      <c r="AK84" s="254">
        <v>0.15</v>
      </c>
      <c r="AL84" s="254">
        <v>0.2</v>
      </c>
      <c r="AM84" s="254">
        <v>0.13815789473684212</v>
      </c>
      <c r="AN84" s="254">
        <v>0.13815789473684212</v>
      </c>
      <c r="AO84" s="254">
        <v>0.15</v>
      </c>
      <c r="AP84" s="254">
        <v>0.15</v>
      </c>
      <c r="AQ84" s="254">
        <v>0.15</v>
      </c>
      <c r="AR84" s="254">
        <v>0.15</v>
      </c>
      <c r="AS84" s="254">
        <v>0.15</v>
      </c>
      <c r="AT84" s="254">
        <v>0.2</v>
      </c>
      <c r="AU84" s="254">
        <v>0.2</v>
      </c>
      <c r="AV84" s="254">
        <v>0.15</v>
      </c>
      <c r="AW84" s="254">
        <v>0.15</v>
      </c>
      <c r="AX84" s="254">
        <v>0.2</v>
      </c>
      <c r="AY84" s="254">
        <v>0.13815789473684212</v>
      </c>
      <c r="AZ84" s="254">
        <v>0.13815789473684212</v>
      </c>
      <c r="BA84" s="254">
        <v>0.15</v>
      </c>
      <c r="BB84" s="254">
        <v>0.15</v>
      </c>
      <c r="BC84" s="254">
        <v>0.15</v>
      </c>
      <c r="BD84" s="254">
        <v>0.15</v>
      </c>
      <c r="BE84" s="254">
        <v>0.15</v>
      </c>
      <c r="BF84" s="254">
        <v>0.2</v>
      </c>
      <c r="BG84" s="254">
        <v>0.2</v>
      </c>
      <c r="BH84" s="254">
        <v>0.15</v>
      </c>
      <c r="BI84" s="254">
        <v>0</v>
      </c>
      <c r="BJ84" s="254">
        <v>0</v>
      </c>
      <c r="BK84" s="254">
        <v>0</v>
      </c>
      <c r="BL84" s="254">
        <v>0</v>
      </c>
      <c r="BM84" s="254">
        <v>0</v>
      </c>
      <c r="BN84" s="254">
        <v>0</v>
      </c>
      <c r="BO84" s="254">
        <v>0</v>
      </c>
      <c r="BP84" s="254">
        <v>0</v>
      </c>
      <c r="BQ84" s="254">
        <v>0</v>
      </c>
      <c r="BR84" s="254">
        <v>0</v>
      </c>
      <c r="BS84" s="254">
        <v>0</v>
      </c>
      <c r="BT84" s="254">
        <v>0</v>
      </c>
      <c r="BU84" s="254">
        <v>0</v>
      </c>
      <c r="BV84" s="254">
        <v>0</v>
      </c>
      <c r="BW84" s="254">
        <v>0</v>
      </c>
      <c r="BX84" s="254">
        <v>0</v>
      </c>
      <c r="BY84" s="254">
        <v>0</v>
      </c>
      <c r="BZ84" s="254">
        <v>0</v>
      </c>
      <c r="CA84" s="254">
        <v>0</v>
      </c>
      <c r="CB84" s="254">
        <v>0</v>
      </c>
      <c r="CC84" s="254">
        <v>0</v>
      </c>
      <c r="CD84" s="254">
        <v>0</v>
      </c>
      <c r="CE84" s="254">
        <v>0</v>
      </c>
      <c r="CF84" s="254">
        <v>0</v>
      </c>
      <c r="CG84" s="254">
        <v>0</v>
      </c>
      <c r="CH84" s="254">
        <v>0</v>
      </c>
      <c r="CI84" s="254">
        <v>0</v>
      </c>
      <c r="CJ84" s="254">
        <v>0</v>
      </c>
      <c r="CK84" s="254">
        <v>0</v>
      </c>
      <c r="CL84" s="254">
        <v>0</v>
      </c>
      <c r="CM84" s="254">
        <v>0</v>
      </c>
      <c r="CN84" s="254">
        <v>0</v>
      </c>
      <c r="CO84" s="254">
        <v>0</v>
      </c>
      <c r="CP84" s="254">
        <v>0</v>
      </c>
      <c r="CQ84" s="116"/>
      <c r="CR84" s="255">
        <v>0</v>
      </c>
      <c r="CS84" s="255">
        <v>0</v>
      </c>
      <c r="CT84" s="255">
        <v>0</v>
      </c>
      <c r="CU84" s="255">
        <v>0</v>
      </c>
      <c r="CV84" s="255">
        <v>0</v>
      </c>
      <c r="CW84" s="255">
        <v>0</v>
      </c>
      <c r="CX84" s="255">
        <v>0</v>
      </c>
      <c r="CY84" s="255">
        <v>0</v>
      </c>
      <c r="CZ84" s="255">
        <v>0</v>
      </c>
      <c r="DA84" s="255">
        <v>0</v>
      </c>
      <c r="DB84" s="255">
        <v>0</v>
      </c>
      <c r="DC84" s="255">
        <v>0</v>
      </c>
      <c r="DD84" s="255">
        <v>0</v>
      </c>
      <c r="DE84" s="255">
        <v>4840.71</v>
      </c>
      <c r="DF84" s="255">
        <v>4840.71</v>
      </c>
      <c r="DG84" s="255">
        <v>4840.71</v>
      </c>
      <c r="DH84" s="255">
        <v>4840.71</v>
      </c>
      <c r="DI84" s="255">
        <v>4840.71</v>
      </c>
      <c r="DJ84" s="255">
        <v>4986.45</v>
      </c>
      <c r="DK84" s="255">
        <v>4986.45</v>
      </c>
      <c r="DL84" s="255">
        <v>4986.45</v>
      </c>
      <c r="DM84" s="255">
        <v>4986.45</v>
      </c>
      <c r="DN84" s="255">
        <v>4986.45</v>
      </c>
      <c r="DO84" s="255">
        <v>4986.45</v>
      </c>
      <c r="DP84" s="255">
        <v>4986.45</v>
      </c>
      <c r="DQ84" s="255">
        <v>4986.45</v>
      </c>
      <c r="DR84" s="255">
        <v>4986.45</v>
      </c>
      <c r="DS84" s="255">
        <v>4986.45</v>
      </c>
      <c r="DT84" s="255">
        <v>4986.45</v>
      </c>
      <c r="DU84" s="255">
        <v>4986.45</v>
      </c>
      <c r="DV84" s="255">
        <v>5136.8100000000004</v>
      </c>
      <c r="DW84" s="255">
        <v>5136.8100000000004</v>
      </c>
      <c r="DX84" s="255">
        <v>5136.8100000000004</v>
      </c>
      <c r="DY84" s="255">
        <v>5136.8100000000004</v>
      </c>
      <c r="DZ84" s="255">
        <v>5136.8100000000004</v>
      </c>
      <c r="EA84" s="255">
        <v>5136.8100000000004</v>
      </c>
      <c r="EB84" s="255">
        <v>5136.8100000000004</v>
      </c>
      <c r="EC84" s="255">
        <v>5136.8100000000004</v>
      </c>
      <c r="ED84" s="255">
        <v>5136.8100000000004</v>
      </c>
      <c r="EE84" s="255">
        <v>5136.8100000000004</v>
      </c>
      <c r="EF84" s="255">
        <v>5136.8100000000004</v>
      </c>
      <c r="EG84" s="255">
        <v>5136.8100000000004</v>
      </c>
      <c r="EH84" s="255">
        <v>5292</v>
      </c>
      <c r="EI84" s="255">
        <v>5292</v>
      </c>
      <c r="EJ84" s="255">
        <v>5292</v>
      </c>
      <c r="EK84" s="255">
        <v>5292</v>
      </c>
      <c r="EL84" s="255">
        <v>5292</v>
      </c>
      <c r="EM84" s="255">
        <v>5292</v>
      </c>
      <c r="EN84" s="255">
        <v>5292</v>
      </c>
      <c r="EO84" s="255">
        <v>5292</v>
      </c>
      <c r="EP84" s="255">
        <v>0</v>
      </c>
      <c r="EQ84" s="255">
        <v>0</v>
      </c>
      <c r="ER84" s="255">
        <v>0</v>
      </c>
      <c r="ES84" s="255">
        <v>0</v>
      </c>
      <c r="ET84" s="255">
        <v>0</v>
      </c>
      <c r="EU84" s="255">
        <v>0</v>
      </c>
      <c r="EV84" s="255">
        <v>0</v>
      </c>
      <c r="EW84" s="255">
        <v>0</v>
      </c>
      <c r="EX84" s="255">
        <v>0</v>
      </c>
      <c r="EY84" s="255">
        <v>0</v>
      </c>
      <c r="EZ84" s="255">
        <v>0</v>
      </c>
      <c r="FA84" s="255">
        <v>0</v>
      </c>
      <c r="FB84" s="255">
        <v>0</v>
      </c>
      <c r="FC84" s="255">
        <v>0</v>
      </c>
      <c r="FD84" s="255">
        <v>0</v>
      </c>
      <c r="FE84" s="255">
        <v>0</v>
      </c>
      <c r="FF84" s="255">
        <v>0</v>
      </c>
      <c r="FG84" s="255">
        <v>0</v>
      </c>
      <c r="FH84" s="255">
        <v>0</v>
      </c>
      <c r="FI84" s="255">
        <v>0</v>
      </c>
      <c r="FJ84" s="255">
        <v>0</v>
      </c>
      <c r="FK84" s="255">
        <v>0</v>
      </c>
      <c r="FL84" s="255">
        <v>0</v>
      </c>
      <c r="FM84" s="255">
        <v>0</v>
      </c>
      <c r="FN84" s="255">
        <v>0</v>
      </c>
      <c r="FO84" s="255">
        <v>0</v>
      </c>
      <c r="FP84" s="255">
        <v>0</v>
      </c>
      <c r="FQ84" s="255">
        <v>0</v>
      </c>
      <c r="FR84" s="255">
        <v>0</v>
      </c>
      <c r="FS84" s="255">
        <v>0</v>
      </c>
      <c r="FT84" s="255">
        <v>0</v>
      </c>
      <c r="FU84" s="255">
        <v>0</v>
      </c>
      <c r="FV84" s="255">
        <v>0</v>
      </c>
      <c r="FW84" s="255">
        <v>0</v>
      </c>
      <c r="FX84" s="116"/>
    </row>
    <row r="85" spans="2:180" x14ac:dyDescent="0.2">
      <c r="B85" s="253" t="s">
        <v>218</v>
      </c>
      <c r="C85" s="253" t="s">
        <v>305</v>
      </c>
      <c r="D85" s="253" t="s">
        <v>258</v>
      </c>
      <c r="E85" s="253" t="s">
        <v>127</v>
      </c>
      <c r="F85" s="253" t="s">
        <v>259</v>
      </c>
      <c r="G85" s="253" t="s">
        <v>260</v>
      </c>
      <c r="H85" s="237">
        <v>237.45</v>
      </c>
      <c r="I85" s="126">
        <f t="shared" si="86"/>
        <v>125946.45999999996</v>
      </c>
      <c r="J85" s="116"/>
      <c r="K85" s="254">
        <v>0</v>
      </c>
      <c r="L85" s="254">
        <v>0</v>
      </c>
      <c r="M85" s="254">
        <v>0</v>
      </c>
      <c r="N85" s="254">
        <v>0</v>
      </c>
      <c r="O85" s="254">
        <v>0</v>
      </c>
      <c r="P85" s="254">
        <v>0</v>
      </c>
      <c r="Q85" s="254">
        <v>0</v>
      </c>
      <c r="R85" s="254">
        <v>1.4285714285714285E-2</v>
      </c>
      <c r="S85" s="254">
        <v>0</v>
      </c>
      <c r="T85" s="254">
        <v>0</v>
      </c>
      <c r="U85" s="254">
        <v>0</v>
      </c>
      <c r="V85" s="254">
        <v>0</v>
      </c>
      <c r="W85" s="254">
        <v>0</v>
      </c>
      <c r="X85" s="254">
        <v>0.1</v>
      </c>
      <c r="Y85" s="254">
        <v>0.1</v>
      </c>
      <c r="Z85" s="254">
        <v>0.13333333333333333</v>
      </c>
      <c r="AA85" s="254">
        <v>9.2105263157894732E-2</v>
      </c>
      <c r="AB85" s="254">
        <v>9.2105263157894732E-2</v>
      </c>
      <c r="AC85" s="254">
        <v>0.1</v>
      </c>
      <c r="AD85" s="254">
        <v>0.1</v>
      </c>
      <c r="AE85" s="254">
        <v>0.1</v>
      </c>
      <c r="AF85" s="254">
        <v>0.1</v>
      </c>
      <c r="AG85" s="254">
        <v>0.1</v>
      </c>
      <c r="AH85" s="254">
        <v>0.13333333333333333</v>
      </c>
      <c r="AI85" s="254">
        <v>0.13333333333333333</v>
      </c>
      <c r="AJ85" s="254">
        <v>0.1</v>
      </c>
      <c r="AK85" s="254">
        <v>0.1</v>
      </c>
      <c r="AL85" s="254">
        <v>0.13333333333333333</v>
      </c>
      <c r="AM85" s="254">
        <v>9.2105263157894732E-2</v>
      </c>
      <c r="AN85" s="254">
        <v>9.2105263157894732E-2</v>
      </c>
      <c r="AO85" s="254">
        <v>0.1</v>
      </c>
      <c r="AP85" s="254">
        <v>0.1</v>
      </c>
      <c r="AQ85" s="254">
        <v>0.1</v>
      </c>
      <c r="AR85" s="254">
        <v>0.1</v>
      </c>
      <c r="AS85" s="254">
        <v>0.1</v>
      </c>
      <c r="AT85" s="254">
        <v>0.13333333333333333</v>
      </c>
      <c r="AU85" s="254">
        <v>0.13333333333333333</v>
      </c>
      <c r="AV85" s="254">
        <v>0.1</v>
      </c>
      <c r="AW85" s="254">
        <v>0.1</v>
      </c>
      <c r="AX85" s="254">
        <v>0.13333333333333333</v>
      </c>
      <c r="AY85" s="254">
        <v>9.2105263157894732E-2</v>
      </c>
      <c r="AZ85" s="254">
        <v>9.2105263157894732E-2</v>
      </c>
      <c r="BA85" s="254">
        <v>0.1</v>
      </c>
      <c r="BB85" s="254">
        <v>0.1</v>
      </c>
      <c r="BC85" s="254">
        <v>0.1</v>
      </c>
      <c r="BD85" s="254">
        <v>0.1</v>
      </c>
      <c r="BE85" s="254">
        <v>0.1</v>
      </c>
      <c r="BF85" s="254">
        <v>0.13333333333333333</v>
      </c>
      <c r="BG85" s="254">
        <v>0.13333333333333333</v>
      </c>
      <c r="BH85" s="254">
        <v>0.1</v>
      </c>
      <c r="BI85" s="254">
        <v>0</v>
      </c>
      <c r="BJ85" s="254">
        <v>0</v>
      </c>
      <c r="BK85" s="254">
        <v>0</v>
      </c>
      <c r="BL85" s="254">
        <v>0</v>
      </c>
      <c r="BM85" s="254">
        <v>0</v>
      </c>
      <c r="BN85" s="254">
        <v>0</v>
      </c>
      <c r="BO85" s="254">
        <v>0</v>
      </c>
      <c r="BP85" s="254">
        <v>0</v>
      </c>
      <c r="BQ85" s="254">
        <v>0</v>
      </c>
      <c r="BR85" s="254">
        <v>0</v>
      </c>
      <c r="BS85" s="254">
        <v>0</v>
      </c>
      <c r="BT85" s="254">
        <v>0</v>
      </c>
      <c r="BU85" s="254">
        <v>0</v>
      </c>
      <c r="BV85" s="254">
        <v>0</v>
      </c>
      <c r="BW85" s="254">
        <v>0</v>
      </c>
      <c r="BX85" s="254">
        <v>0</v>
      </c>
      <c r="BY85" s="254">
        <v>0</v>
      </c>
      <c r="BZ85" s="254">
        <v>0</v>
      </c>
      <c r="CA85" s="254">
        <v>0</v>
      </c>
      <c r="CB85" s="254">
        <v>0</v>
      </c>
      <c r="CC85" s="254">
        <v>0</v>
      </c>
      <c r="CD85" s="254">
        <v>0</v>
      </c>
      <c r="CE85" s="254">
        <v>0</v>
      </c>
      <c r="CF85" s="254">
        <v>0</v>
      </c>
      <c r="CG85" s="254">
        <v>0</v>
      </c>
      <c r="CH85" s="254">
        <v>0</v>
      </c>
      <c r="CI85" s="254">
        <v>0</v>
      </c>
      <c r="CJ85" s="254">
        <v>0</v>
      </c>
      <c r="CK85" s="254">
        <v>0</v>
      </c>
      <c r="CL85" s="254">
        <v>0</v>
      </c>
      <c r="CM85" s="254">
        <v>0</v>
      </c>
      <c r="CN85" s="254">
        <v>0</v>
      </c>
      <c r="CO85" s="254">
        <v>0</v>
      </c>
      <c r="CP85" s="254">
        <v>0</v>
      </c>
      <c r="CQ85" s="116"/>
      <c r="CR85" s="255">
        <v>0</v>
      </c>
      <c r="CS85" s="255">
        <v>0</v>
      </c>
      <c r="CT85" s="255">
        <v>0</v>
      </c>
      <c r="CU85" s="255">
        <v>0</v>
      </c>
      <c r="CV85" s="255">
        <v>0</v>
      </c>
      <c r="CW85" s="255">
        <v>0</v>
      </c>
      <c r="CX85" s="255">
        <v>0</v>
      </c>
      <c r="CY85" s="255">
        <v>600.67999999999995</v>
      </c>
      <c r="CZ85" s="255">
        <v>0</v>
      </c>
      <c r="DA85" s="255">
        <v>0</v>
      </c>
      <c r="DB85" s="255">
        <v>0</v>
      </c>
      <c r="DC85" s="255">
        <v>0</v>
      </c>
      <c r="DD85" s="255">
        <v>0</v>
      </c>
      <c r="DE85" s="255">
        <v>3227.14</v>
      </c>
      <c r="DF85" s="255">
        <v>3227.14</v>
      </c>
      <c r="DG85" s="255">
        <v>3227.14</v>
      </c>
      <c r="DH85" s="255">
        <v>3227.14</v>
      </c>
      <c r="DI85" s="255">
        <v>3227.14</v>
      </c>
      <c r="DJ85" s="255">
        <v>3324.2999999999997</v>
      </c>
      <c r="DK85" s="255">
        <v>3324.2999999999997</v>
      </c>
      <c r="DL85" s="255">
        <v>3324.2999999999997</v>
      </c>
      <c r="DM85" s="255">
        <v>3324.2999999999997</v>
      </c>
      <c r="DN85" s="255">
        <v>3324.2999999999997</v>
      </c>
      <c r="DO85" s="255">
        <v>3324.2999999999997</v>
      </c>
      <c r="DP85" s="255">
        <v>3324.2999999999997</v>
      </c>
      <c r="DQ85" s="255">
        <v>3324.2999999999997</v>
      </c>
      <c r="DR85" s="255">
        <v>3324.2999999999997</v>
      </c>
      <c r="DS85" s="255">
        <v>3324.2999999999997</v>
      </c>
      <c r="DT85" s="255">
        <v>3324.2999999999997</v>
      </c>
      <c r="DU85" s="255">
        <v>3324.2999999999997</v>
      </c>
      <c r="DV85" s="255">
        <v>3424.54</v>
      </c>
      <c r="DW85" s="255">
        <v>3424.54</v>
      </c>
      <c r="DX85" s="255">
        <v>3424.54</v>
      </c>
      <c r="DY85" s="255">
        <v>3424.54</v>
      </c>
      <c r="DZ85" s="255">
        <v>3424.54</v>
      </c>
      <c r="EA85" s="255">
        <v>3424.54</v>
      </c>
      <c r="EB85" s="255">
        <v>3424.54</v>
      </c>
      <c r="EC85" s="255">
        <v>3424.54</v>
      </c>
      <c r="ED85" s="255">
        <v>3424.54</v>
      </c>
      <c r="EE85" s="255">
        <v>3424.54</v>
      </c>
      <c r="EF85" s="255">
        <v>3424.54</v>
      </c>
      <c r="EG85" s="255">
        <v>3424.54</v>
      </c>
      <c r="EH85" s="255">
        <v>3528</v>
      </c>
      <c r="EI85" s="255">
        <v>3528</v>
      </c>
      <c r="EJ85" s="255">
        <v>3528</v>
      </c>
      <c r="EK85" s="255">
        <v>3528</v>
      </c>
      <c r="EL85" s="255">
        <v>3528</v>
      </c>
      <c r="EM85" s="255">
        <v>3528</v>
      </c>
      <c r="EN85" s="255">
        <v>3528</v>
      </c>
      <c r="EO85" s="255">
        <v>3528</v>
      </c>
      <c r="EP85" s="255">
        <v>0</v>
      </c>
      <c r="EQ85" s="255">
        <v>0</v>
      </c>
      <c r="ER85" s="255">
        <v>0</v>
      </c>
      <c r="ES85" s="255">
        <v>0</v>
      </c>
      <c r="ET85" s="255">
        <v>0</v>
      </c>
      <c r="EU85" s="255">
        <v>0</v>
      </c>
      <c r="EV85" s="255">
        <v>0</v>
      </c>
      <c r="EW85" s="255">
        <v>0</v>
      </c>
      <c r="EX85" s="255">
        <v>0</v>
      </c>
      <c r="EY85" s="255">
        <v>0</v>
      </c>
      <c r="EZ85" s="255">
        <v>0</v>
      </c>
      <c r="FA85" s="255">
        <v>0</v>
      </c>
      <c r="FB85" s="255">
        <v>0</v>
      </c>
      <c r="FC85" s="255">
        <v>0</v>
      </c>
      <c r="FD85" s="255">
        <v>0</v>
      </c>
      <c r="FE85" s="255">
        <v>0</v>
      </c>
      <c r="FF85" s="255">
        <v>0</v>
      </c>
      <c r="FG85" s="255">
        <v>0</v>
      </c>
      <c r="FH85" s="255">
        <v>0</v>
      </c>
      <c r="FI85" s="255">
        <v>0</v>
      </c>
      <c r="FJ85" s="255">
        <v>0</v>
      </c>
      <c r="FK85" s="255">
        <v>0</v>
      </c>
      <c r="FL85" s="255">
        <v>0</v>
      </c>
      <c r="FM85" s="255">
        <v>0</v>
      </c>
      <c r="FN85" s="255">
        <v>0</v>
      </c>
      <c r="FO85" s="255">
        <v>0</v>
      </c>
      <c r="FP85" s="255">
        <v>0</v>
      </c>
      <c r="FQ85" s="255">
        <v>0</v>
      </c>
      <c r="FR85" s="255">
        <v>0</v>
      </c>
      <c r="FS85" s="255">
        <v>0</v>
      </c>
      <c r="FT85" s="255">
        <v>0</v>
      </c>
      <c r="FU85" s="255">
        <v>0</v>
      </c>
      <c r="FV85" s="255">
        <v>0</v>
      </c>
      <c r="FW85" s="255">
        <v>0</v>
      </c>
      <c r="FX85" s="116"/>
    </row>
    <row r="86" spans="2:180" x14ac:dyDescent="0.2">
      <c r="B86" s="253" t="s">
        <v>218</v>
      </c>
      <c r="C86" s="253" t="s">
        <v>305</v>
      </c>
      <c r="D86" s="253" t="s">
        <v>258</v>
      </c>
      <c r="E86" s="253" t="s">
        <v>127</v>
      </c>
      <c r="F86" s="253" t="s">
        <v>259</v>
      </c>
      <c r="G86" s="253" t="s">
        <v>260</v>
      </c>
      <c r="H86" s="237">
        <v>237.45</v>
      </c>
      <c r="I86" s="126">
        <f t="shared" si="86"/>
        <v>244782.92999999996</v>
      </c>
      <c r="J86" s="116"/>
      <c r="K86" s="254">
        <v>0</v>
      </c>
      <c r="L86" s="254">
        <v>0</v>
      </c>
      <c r="M86" s="254">
        <v>0</v>
      </c>
      <c r="N86" s="254">
        <v>0</v>
      </c>
      <c r="O86" s="254">
        <v>0</v>
      </c>
      <c r="P86" s="254">
        <v>0</v>
      </c>
      <c r="Q86" s="254">
        <v>0</v>
      </c>
      <c r="R86" s="254">
        <v>1.2</v>
      </c>
      <c r="S86" s="254">
        <v>0.15</v>
      </c>
      <c r="T86" s="254">
        <v>0</v>
      </c>
      <c r="U86" s="254">
        <v>0</v>
      </c>
      <c r="V86" s="254">
        <v>0</v>
      </c>
      <c r="W86" s="254">
        <v>0</v>
      </c>
      <c r="X86" s="254">
        <v>0.15</v>
      </c>
      <c r="Y86" s="254">
        <v>0.15</v>
      </c>
      <c r="Z86" s="254">
        <v>0.2</v>
      </c>
      <c r="AA86" s="254">
        <v>0.13815789473684212</v>
      </c>
      <c r="AB86" s="254">
        <v>0.13815789473684212</v>
      </c>
      <c r="AC86" s="254">
        <v>0.15</v>
      </c>
      <c r="AD86" s="254">
        <v>0.15</v>
      </c>
      <c r="AE86" s="254">
        <v>0.15</v>
      </c>
      <c r="AF86" s="254">
        <v>0.15</v>
      </c>
      <c r="AG86" s="254">
        <v>0.15</v>
      </c>
      <c r="AH86" s="254">
        <v>0.2</v>
      </c>
      <c r="AI86" s="254">
        <v>0.2</v>
      </c>
      <c r="AJ86" s="254">
        <v>0.15</v>
      </c>
      <c r="AK86" s="254">
        <v>0.15</v>
      </c>
      <c r="AL86" s="254">
        <v>0.2</v>
      </c>
      <c r="AM86" s="254">
        <v>0.13815789473684212</v>
      </c>
      <c r="AN86" s="254">
        <v>0.13815789473684212</v>
      </c>
      <c r="AO86" s="254">
        <v>0.15</v>
      </c>
      <c r="AP86" s="254">
        <v>0.15</v>
      </c>
      <c r="AQ86" s="254">
        <v>0.15</v>
      </c>
      <c r="AR86" s="254">
        <v>0.15</v>
      </c>
      <c r="AS86" s="254">
        <v>0.15</v>
      </c>
      <c r="AT86" s="254">
        <v>0.2</v>
      </c>
      <c r="AU86" s="254">
        <v>0.2</v>
      </c>
      <c r="AV86" s="254">
        <v>0.15</v>
      </c>
      <c r="AW86" s="254">
        <v>0.15</v>
      </c>
      <c r="AX86" s="254">
        <v>0.2</v>
      </c>
      <c r="AY86" s="254">
        <v>0.13815789473684212</v>
      </c>
      <c r="AZ86" s="254">
        <v>0.13815789473684212</v>
      </c>
      <c r="BA86" s="254">
        <v>0.15</v>
      </c>
      <c r="BB86" s="254">
        <v>0.15</v>
      </c>
      <c r="BC86" s="254">
        <v>0.15</v>
      </c>
      <c r="BD86" s="254">
        <v>0.15</v>
      </c>
      <c r="BE86" s="254">
        <v>0.15</v>
      </c>
      <c r="BF86" s="254">
        <v>0.2</v>
      </c>
      <c r="BG86" s="254">
        <v>0.2</v>
      </c>
      <c r="BH86" s="254">
        <v>0.15</v>
      </c>
      <c r="BI86" s="254">
        <v>0</v>
      </c>
      <c r="BJ86" s="254">
        <v>0</v>
      </c>
      <c r="BK86" s="254">
        <v>0</v>
      </c>
      <c r="BL86" s="254">
        <v>0</v>
      </c>
      <c r="BM86" s="254">
        <v>0</v>
      </c>
      <c r="BN86" s="254">
        <v>0</v>
      </c>
      <c r="BO86" s="254">
        <v>0</v>
      </c>
      <c r="BP86" s="254">
        <v>0</v>
      </c>
      <c r="BQ86" s="254">
        <v>0</v>
      </c>
      <c r="BR86" s="254">
        <v>0</v>
      </c>
      <c r="BS86" s="254">
        <v>0</v>
      </c>
      <c r="BT86" s="254">
        <v>0</v>
      </c>
      <c r="BU86" s="254">
        <v>0</v>
      </c>
      <c r="BV86" s="254">
        <v>0</v>
      </c>
      <c r="BW86" s="254">
        <v>0</v>
      </c>
      <c r="BX86" s="254">
        <v>0</v>
      </c>
      <c r="BY86" s="254">
        <v>0</v>
      </c>
      <c r="BZ86" s="254">
        <v>0</v>
      </c>
      <c r="CA86" s="254">
        <v>0</v>
      </c>
      <c r="CB86" s="254">
        <v>0</v>
      </c>
      <c r="CC86" s="254">
        <v>0</v>
      </c>
      <c r="CD86" s="254">
        <v>0</v>
      </c>
      <c r="CE86" s="254">
        <v>0</v>
      </c>
      <c r="CF86" s="254">
        <v>0</v>
      </c>
      <c r="CG86" s="254">
        <v>0</v>
      </c>
      <c r="CH86" s="254">
        <v>0</v>
      </c>
      <c r="CI86" s="254">
        <v>0</v>
      </c>
      <c r="CJ86" s="254">
        <v>0</v>
      </c>
      <c r="CK86" s="254">
        <v>0</v>
      </c>
      <c r="CL86" s="254">
        <v>0</v>
      </c>
      <c r="CM86" s="254">
        <v>0</v>
      </c>
      <c r="CN86" s="254">
        <v>0</v>
      </c>
      <c r="CO86" s="254">
        <v>0</v>
      </c>
      <c r="CP86" s="254">
        <v>0</v>
      </c>
      <c r="CQ86" s="116"/>
      <c r="CR86" s="255">
        <v>0</v>
      </c>
      <c r="CS86" s="255">
        <v>0</v>
      </c>
      <c r="CT86" s="255">
        <v>0</v>
      </c>
      <c r="CU86" s="255">
        <v>0</v>
      </c>
      <c r="CV86" s="255">
        <v>0</v>
      </c>
      <c r="CW86" s="255">
        <v>0</v>
      </c>
      <c r="CX86" s="255">
        <v>0</v>
      </c>
      <c r="CY86" s="255">
        <v>50457.119999999974</v>
      </c>
      <c r="CZ86" s="255">
        <v>6307.1399999999994</v>
      </c>
      <c r="DA86" s="255">
        <v>0</v>
      </c>
      <c r="DB86" s="255">
        <v>0</v>
      </c>
      <c r="DC86" s="255">
        <v>0</v>
      </c>
      <c r="DD86" s="255">
        <v>0</v>
      </c>
      <c r="DE86" s="255">
        <v>4840.71</v>
      </c>
      <c r="DF86" s="255">
        <v>4840.71</v>
      </c>
      <c r="DG86" s="255">
        <v>4840.71</v>
      </c>
      <c r="DH86" s="255">
        <v>4840.71</v>
      </c>
      <c r="DI86" s="255">
        <v>4840.71</v>
      </c>
      <c r="DJ86" s="255">
        <v>4986.45</v>
      </c>
      <c r="DK86" s="255">
        <v>4986.45</v>
      </c>
      <c r="DL86" s="255">
        <v>4986.45</v>
      </c>
      <c r="DM86" s="255">
        <v>4986.45</v>
      </c>
      <c r="DN86" s="255">
        <v>4986.45</v>
      </c>
      <c r="DO86" s="255">
        <v>4986.45</v>
      </c>
      <c r="DP86" s="255">
        <v>4986.45</v>
      </c>
      <c r="DQ86" s="255">
        <v>4986.45</v>
      </c>
      <c r="DR86" s="255">
        <v>4986.45</v>
      </c>
      <c r="DS86" s="255">
        <v>4986.45</v>
      </c>
      <c r="DT86" s="255">
        <v>4986.45</v>
      </c>
      <c r="DU86" s="255">
        <v>4986.45</v>
      </c>
      <c r="DV86" s="255">
        <v>5136.8100000000004</v>
      </c>
      <c r="DW86" s="255">
        <v>5136.8100000000004</v>
      </c>
      <c r="DX86" s="255">
        <v>5136.8100000000004</v>
      </c>
      <c r="DY86" s="255">
        <v>5136.8100000000004</v>
      </c>
      <c r="DZ86" s="255">
        <v>5136.8100000000004</v>
      </c>
      <c r="EA86" s="255">
        <v>5136.8100000000004</v>
      </c>
      <c r="EB86" s="255">
        <v>5136.8100000000004</v>
      </c>
      <c r="EC86" s="255">
        <v>5136.8100000000004</v>
      </c>
      <c r="ED86" s="255">
        <v>5136.8100000000004</v>
      </c>
      <c r="EE86" s="255">
        <v>5136.8100000000004</v>
      </c>
      <c r="EF86" s="255">
        <v>5136.8100000000004</v>
      </c>
      <c r="EG86" s="255">
        <v>5136.8100000000004</v>
      </c>
      <c r="EH86" s="255">
        <v>5292</v>
      </c>
      <c r="EI86" s="255">
        <v>5292</v>
      </c>
      <c r="EJ86" s="255">
        <v>5292</v>
      </c>
      <c r="EK86" s="255">
        <v>5292</v>
      </c>
      <c r="EL86" s="255">
        <v>5292</v>
      </c>
      <c r="EM86" s="255">
        <v>5292</v>
      </c>
      <c r="EN86" s="255">
        <v>5292</v>
      </c>
      <c r="EO86" s="255">
        <v>5292</v>
      </c>
      <c r="EP86" s="255">
        <v>0</v>
      </c>
      <c r="EQ86" s="255">
        <v>0</v>
      </c>
      <c r="ER86" s="255">
        <v>0</v>
      </c>
      <c r="ES86" s="255">
        <v>0</v>
      </c>
      <c r="ET86" s="255">
        <v>0</v>
      </c>
      <c r="EU86" s="255">
        <v>0</v>
      </c>
      <c r="EV86" s="255">
        <v>0</v>
      </c>
      <c r="EW86" s="255">
        <v>0</v>
      </c>
      <c r="EX86" s="255">
        <v>0</v>
      </c>
      <c r="EY86" s="255">
        <v>0</v>
      </c>
      <c r="EZ86" s="255">
        <v>0</v>
      </c>
      <c r="FA86" s="255">
        <v>0</v>
      </c>
      <c r="FB86" s="255">
        <v>0</v>
      </c>
      <c r="FC86" s="255">
        <v>0</v>
      </c>
      <c r="FD86" s="255">
        <v>0</v>
      </c>
      <c r="FE86" s="255">
        <v>0</v>
      </c>
      <c r="FF86" s="255">
        <v>0</v>
      </c>
      <c r="FG86" s="255">
        <v>0</v>
      </c>
      <c r="FH86" s="255">
        <v>0</v>
      </c>
      <c r="FI86" s="255">
        <v>0</v>
      </c>
      <c r="FJ86" s="255">
        <v>0</v>
      </c>
      <c r="FK86" s="255">
        <v>0</v>
      </c>
      <c r="FL86" s="255">
        <v>0</v>
      </c>
      <c r="FM86" s="255">
        <v>0</v>
      </c>
      <c r="FN86" s="255">
        <v>0</v>
      </c>
      <c r="FO86" s="255">
        <v>0</v>
      </c>
      <c r="FP86" s="255">
        <v>0</v>
      </c>
      <c r="FQ86" s="255">
        <v>0</v>
      </c>
      <c r="FR86" s="255">
        <v>0</v>
      </c>
      <c r="FS86" s="255">
        <v>0</v>
      </c>
      <c r="FT86" s="255">
        <v>0</v>
      </c>
      <c r="FU86" s="255">
        <v>0</v>
      </c>
      <c r="FV86" s="255">
        <v>0</v>
      </c>
      <c r="FW86" s="255">
        <v>0</v>
      </c>
      <c r="FX86" s="116"/>
    </row>
    <row r="87" spans="2:180" x14ac:dyDescent="0.2">
      <c r="B87" s="253" t="s">
        <v>218</v>
      </c>
      <c r="C87" s="253" t="s">
        <v>305</v>
      </c>
      <c r="D87" s="253" t="s">
        <v>258</v>
      </c>
      <c r="E87" s="253" t="s">
        <v>127</v>
      </c>
      <c r="F87" s="253" t="s">
        <v>259</v>
      </c>
      <c r="G87" s="253" t="s">
        <v>260</v>
      </c>
      <c r="H87" s="237">
        <v>237.45</v>
      </c>
      <c r="I87" s="126">
        <f t="shared" si="86"/>
        <v>39748.78</v>
      </c>
      <c r="J87" s="116"/>
      <c r="K87" s="254">
        <v>0</v>
      </c>
      <c r="L87" s="254">
        <v>0</v>
      </c>
      <c r="M87" s="254">
        <v>0</v>
      </c>
      <c r="N87" s="254">
        <v>0</v>
      </c>
      <c r="O87" s="254">
        <v>0</v>
      </c>
      <c r="P87" s="254">
        <v>0</v>
      </c>
      <c r="Q87" s="254">
        <v>0</v>
      </c>
      <c r="R87" s="254">
        <v>0</v>
      </c>
      <c r="S87" s="254">
        <v>0.15</v>
      </c>
      <c r="T87" s="254">
        <v>0</v>
      </c>
      <c r="U87" s="254">
        <v>0</v>
      </c>
      <c r="V87" s="254">
        <v>0</v>
      </c>
      <c r="W87" s="254">
        <v>0</v>
      </c>
      <c r="X87" s="254">
        <v>0.2</v>
      </c>
      <c r="Y87" s="254">
        <v>0.2</v>
      </c>
      <c r="Z87" s="254">
        <v>0.26666666666666666</v>
      </c>
      <c r="AA87" s="254">
        <v>0.18421052631578946</v>
      </c>
      <c r="AB87" s="254">
        <v>0.18421052631578946</v>
      </c>
      <c r="AC87" s="254">
        <v>0</v>
      </c>
      <c r="AD87" s="254">
        <v>0</v>
      </c>
      <c r="AE87" s="254">
        <v>0</v>
      </c>
      <c r="AF87" s="254">
        <v>0</v>
      </c>
      <c r="AG87" s="254">
        <v>0</v>
      </c>
      <c r="AH87" s="254">
        <v>0</v>
      </c>
      <c r="AI87" s="254">
        <v>0</v>
      </c>
      <c r="AJ87" s="254">
        <v>0</v>
      </c>
      <c r="AK87" s="254">
        <v>0</v>
      </c>
      <c r="AL87" s="254">
        <v>0</v>
      </c>
      <c r="AM87" s="254">
        <v>0</v>
      </c>
      <c r="AN87" s="254">
        <v>0</v>
      </c>
      <c r="AO87" s="254">
        <v>0</v>
      </c>
      <c r="AP87" s="254">
        <v>0</v>
      </c>
      <c r="AQ87" s="254">
        <v>0</v>
      </c>
      <c r="AR87" s="254">
        <v>0</v>
      </c>
      <c r="AS87" s="254">
        <v>0</v>
      </c>
      <c r="AT87" s="254">
        <v>0</v>
      </c>
      <c r="AU87" s="254">
        <v>0</v>
      </c>
      <c r="AV87" s="254">
        <v>0</v>
      </c>
      <c r="AW87" s="254">
        <v>0</v>
      </c>
      <c r="AX87" s="254">
        <v>0</v>
      </c>
      <c r="AY87" s="254">
        <v>0</v>
      </c>
      <c r="AZ87" s="254">
        <v>0</v>
      </c>
      <c r="BA87" s="254">
        <v>0</v>
      </c>
      <c r="BB87" s="254">
        <v>0</v>
      </c>
      <c r="BC87" s="254">
        <v>0</v>
      </c>
      <c r="BD87" s="254">
        <v>0</v>
      </c>
      <c r="BE87" s="254">
        <v>0</v>
      </c>
      <c r="BF87" s="254">
        <v>0</v>
      </c>
      <c r="BG87" s="254">
        <v>0</v>
      </c>
      <c r="BH87" s="254">
        <v>0</v>
      </c>
      <c r="BI87" s="254">
        <v>0</v>
      </c>
      <c r="BJ87" s="254">
        <v>0</v>
      </c>
      <c r="BK87" s="254">
        <v>0</v>
      </c>
      <c r="BL87" s="254">
        <v>0</v>
      </c>
      <c r="BM87" s="254">
        <v>0</v>
      </c>
      <c r="BN87" s="254">
        <v>0</v>
      </c>
      <c r="BO87" s="254">
        <v>0</v>
      </c>
      <c r="BP87" s="254">
        <v>0</v>
      </c>
      <c r="BQ87" s="254">
        <v>0</v>
      </c>
      <c r="BR87" s="254">
        <v>0</v>
      </c>
      <c r="BS87" s="254">
        <v>0</v>
      </c>
      <c r="BT87" s="254">
        <v>0</v>
      </c>
      <c r="BU87" s="254">
        <v>0</v>
      </c>
      <c r="BV87" s="254">
        <v>0</v>
      </c>
      <c r="BW87" s="254">
        <v>0</v>
      </c>
      <c r="BX87" s="254">
        <v>0</v>
      </c>
      <c r="BY87" s="254">
        <v>0</v>
      </c>
      <c r="BZ87" s="254">
        <v>0</v>
      </c>
      <c r="CA87" s="254">
        <v>0</v>
      </c>
      <c r="CB87" s="254">
        <v>0</v>
      </c>
      <c r="CC87" s="254">
        <v>0</v>
      </c>
      <c r="CD87" s="254">
        <v>0</v>
      </c>
      <c r="CE87" s="254">
        <v>0</v>
      </c>
      <c r="CF87" s="254">
        <v>0</v>
      </c>
      <c r="CG87" s="254">
        <v>0</v>
      </c>
      <c r="CH87" s="254">
        <v>0</v>
      </c>
      <c r="CI87" s="254">
        <v>0</v>
      </c>
      <c r="CJ87" s="254">
        <v>0</v>
      </c>
      <c r="CK87" s="254">
        <v>0</v>
      </c>
      <c r="CL87" s="254">
        <v>0</v>
      </c>
      <c r="CM87" s="254">
        <v>0</v>
      </c>
      <c r="CN87" s="254">
        <v>0</v>
      </c>
      <c r="CO87" s="254">
        <v>0</v>
      </c>
      <c r="CP87" s="254">
        <v>0</v>
      </c>
      <c r="CQ87" s="116"/>
      <c r="CR87" s="255">
        <v>0</v>
      </c>
      <c r="CS87" s="255">
        <v>0</v>
      </c>
      <c r="CT87" s="255">
        <v>0</v>
      </c>
      <c r="CU87" s="255">
        <v>0</v>
      </c>
      <c r="CV87" s="255">
        <v>0</v>
      </c>
      <c r="CW87" s="255">
        <v>0</v>
      </c>
      <c r="CX87" s="255">
        <v>0</v>
      </c>
      <c r="CY87" s="255">
        <v>0</v>
      </c>
      <c r="CZ87" s="255">
        <v>7477.38</v>
      </c>
      <c r="DA87" s="255">
        <v>-2.2737367544323206E-13</v>
      </c>
      <c r="DB87" s="255">
        <v>0</v>
      </c>
      <c r="DC87" s="255">
        <v>0</v>
      </c>
      <c r="DD87" s="255">
        <v>0</v>
      </c>
      <c r="DE87" s="255">
        <v>6454.28</v>
      </c>
      <c r="DF87" s="255">
        <v>6454.28</v>
      </c>
      <c r="DG87" s="255">
        <v>6454.28</v>
      </c>
      <c r="DH87" s="255">
        <v>6454.28</v>
      </c>
      <c r="DI87" s="255">
        <v>6454.28</v>
      </c>
      <c r="DJ87" s="255">
        <v>0</v>
      </c>
      <c r="DK87" s="255">
        <v>0</v>
      </c>
      <c r="DL87" s="255">
        <v>0</v>
      </c>
      <c r="DM87" s="255">
        <v>0</v>
      </c>
      <c r="DN87" s="255">
        <v>0</v>
      </c>
      <c r="DO87" s="255">
        <v>0</v>
      </c>
      <c r="DP87" s="255">
        <v>0</v>
      </c>
      <c r="DQ87" s="255">
        <v>0</v>
      </c>
      <c r="DR87" s="255">
        <v>0</v>
      </c>
      <c r="DS87" s="255">
        <v>0</v>
      </c>
      <c r="DT87" s="255">
        <v>0</v>
      </c>
      <c r="DU87" s="255">
        <v>0</v>
      </c>
      <c r="DV87" s="255">
        <v>0</v>
      </c>
      <c r="DW87" s="255">
        <v>0</v>
      </c>
      <c r="DX87" s="255">
        <v>0</v>
      </c>
      <c r="DY87" s="255">
        <v>0</v>
      </c>
      <c r="DZ87" s="255">
        <v>0</v>
      </c>
      <c r="EA87" s="255">
        <v>0</v>
      </c>
      <c r="EB87" s="255">
        <v>0</v>
      </c>
      <c r="EC87" s="255">
        <v>0</v>
      </c>
      <c r="ED87" s="255">
        <v>0</v>
      </c>
      <c r="EE87" s="255">
        <v>0</v>
      </c>
      <c r="EF87" s="255">
        <v>0</v>
      </c>
      <c r="EG87" s="255">
        <v>0</v>
      </c>
      <c r="EH87" s="255">
        <v>0</v>
      </c>
      <c r="EI87" s="255">
        <v>0</v>
      </c>
      <c r="EJ87" s="255">
        <v>0</v>
      </c>
      <c r="EK87" s="255">
        <v>0</v>
      </c>
      <c r="EL87" s="255">
        <v>0</v>
      </c>
      <c r="EM87" s="255">
        <v>0</v>
      </c>
      <c r="EN87" s="255">
        <v>0</v>
      </c>
      <c r="EO87" s="255">
        <v>0</v>
      </c>
      <c r="EP87" s="255">
        <v>0</v>
      </c>
      <c r="EQ87" s="255">
        <v>0</v>
      </c>
      <c r="ER87" s="255">
        <v>0</v>
      </c>
      <c r="ES87" s="255">
        <v>0</v>
      </c>
      <c r="ET87" s="255">
        <v>0</v>
      </c>
      <c r="EU87" s="255">
        <v>0</v>
      </c>
      <c r="EV87" s="255">
        <v>0</v>
      </c>
      <c r="EW87" s="255">
        <v>0</v>
      </c>
      <c r="EX87" s="255">
        <v>0</v>
      </c>
      <c r="EY87" s="255">
        <v>0</v>
      </c>
      <c r="EZ87" s="255">
        <v>0</v>
      </c>
      <c r="FA87" s="255">
        <v>0</v>
      </c>
      <c r="FB87" s="255">
        <v>0</v>
      </c>
      <c r="FC87" s="255">
        <v>0</v>
      </c>
      <c r="FD87" s="255">
        <v>0</v>
      </c>
      <c r="FE87" s="255">
        <v>0</v>
      </c>
      <c r="FF87" s="255">
        <v>0</v>
      </c>
      <c r="FG87" s="255">
        <v>0</v>
      </c>
      <c r="FH87" s="255">
        <v>0</v>
      </c>
      <c r="FI87" s="255">
        <v>0</v>
      </c>
      <c r="FJ87" s="255">
        <v>0</v>
      </c>
      <c r="FK87" s="255">
        <v>0</v>
      </c>
      <c r="FL87" s="255">
        <v>0</v>
      </c>
      <c r="FM87" s="255">
        <v>0</v>
      </c>
      <c r="FN87" s="255">
        <v>0</v>
      </c>
      <c r="FO87" s="255">
        <v>0</v>
      </c>
      <c r="FP87" s="255">
        <v>0</v>
      </c>
      <c r="FQ87" s="255">
        <v>0</v>
      </c>
      <c r="FR87" s="255">
        <v>0</v>
      </c>
      <c r="FS87" s="255">
        <v>0</v>
      </c>
      <c r="FT87" s="255">
        <v>0</v>
      </c>
      <c r="FU87" s="255">
        <v>0</v>
      </c>
      <c r="FV87" s="255">
        <v>0</v>
      </c>
      <c r="FW87" s="255">
        <v>0</v>
      </c>
      <c r="FX87" s="116"/>
    </row>
    <row r="88" spans="2:180" x14ac:dyDescent="0.2">
      <c r="B88" s="253" t="s">
        <v>232</v>
      </c>
      <c r="C88" s="253" t="s">
        <v>308</v>
      </c>
      <c r="D88" s="253" t="s">
        <v>258</v>
      </c>
      <c r="E88" s="253" t="s">
        <v>127</v>
      </c>
      <c r="F88" s="253" t="s">
        <v>259</v>
      </c>
      <c r="G88" s="253" t="s">
        <v>260</v>
      </c>
      <c r="H88" s="237">
        <v>212.32</v>
      </c>
      <c r="I88" s="126">
        <f t="shared" si="86"/>
        <v>20206.330000000002</v>
      </c>
      <c r="J88" s="116"/>
      <c r="K88" s="254">
        <v>0</v>
      </c>
      <c r="L88" s="254">
        <v>0</v>
      </c>
      <c r="M88" s="254">
        <v>0</v>
      </c>
      <c r="N88" s="254">
        <v>0</v>
      </c>
      <c r="O88" s="254">
        <v>0</v>
      </c>
      <c r="P88" s="254">
        <v>0</v>
      </c>
      <c r="Q88" s="254">
        <v>2.5000000000000001E-2</v>
      </c>
      <c r="R88" s="254">
        <v>3.214285714285714E-2</v>
      </c>
      <c r="S88" s="254">
        <v>0</v>
      </c>
      <c r="T88" s="254">
        <v>0</v>
      </c>
      <c r="U88" s="254">
        <v>0</v>
      </c>
      <c r="V88" s="254">
        <v>0</v>
      </c>
      <c r="W88" s="254">
        <v>0</v>
      </c>
      <c r="X88" s="254">
        <v>0.05</v>
      </c>
      <c r="Y88" s="254">
        <v>0.05</v>
      </c>
      <c r="Z88" s="254">
        <v>6.6666666666666666E-2</v>
      </c>
      <c r="AA88" s="254">
        <v>4.6052631578947366E-2</v>
      </c>
      <c r="AB88" s="254">
        <v>4.6052631578947366E-2</v>
      </c>
      <c r="AC88" s="254">
        <v>0.05</v>
      </c>
      <c r="AD88" s="254">
        <v>0.05</v>
      </c>
      <c r="AE88" s="254">
        <v>0.05</v>
      </c>
      <c r="AF88" s="254">
        <v>0.05</v>
      </c>
      <c r="AG88" s="254">
        <v>0.05</v>
      </c>
      <c r="AH88" s="254">
        <v>6.6666666666666666E-2</v>
      </c>
      <c r="AI88" s="254">
        <v>6.6666666666666666E-2</v>
      </c>
      <c r="AJ88" s="254">
        <v>0</v>
      </c>
      <c r="AK88" s="254">
        <v>0</v>
      </c>
      <c r="AL88" s="254">
        <v>0</v>
      </c>
      <c r="AM88" s="254">
        <v>0</v>
      </c>
      <c r="AN88" s="254">
        <v>0</v>
      </c>
      <c r="AO88" s="254">
        <v>0</v>
      </c>
      <c r="AP88" s="254">
        <v>0</v>
      </c>
      <c r="AQ88" s="254">
        <v>0</v>
      </c>
      <c r="AR88" s="254">
        <v>0</v>
      </c>
      <c r="AS88" s="254">
        <v>0</v>
      </c>
      <c r="AT88" s="254">
        <v>0</v>
      </c>
      <c r="AU88" s="254">
        <v>0</v>
      </c>
      <c r="AV88" s="254">
        <v>0</v>
      </c>
      <c r="AW88" s="254">
        <v>0</v>
      </c>
      <c r="AX88" s="254">
        <v>0</v>
      </c>
      <c r="AY88" s="254">
        <v>0</v>
      </c>
      <c r="AZ88" s="254">
        <v>0</v>
      </c>
      <c r="BA88" s="254">
        <v>0</v>
      </c>
      <c r="BB88" s="254">
        <v>0</v>
      </c>
      <c r="BC88" s="254">
        <v>0</v>
      </c>
      <c r="BD88" s="254">
        <v>0</v>
      </c>
      <c r="BE88" s="254">
        <v>0</v>
      </c>
      <c r="BF88" s="254">
        <v>0</v>
      </c>
      <c r="BG88" s="254">
        <v>0</v>
      </c>
      <c r="BH88" s="254">
        <v>0</v>
      </c>
      <c r="BI88" s="254">
        <v>0</v>
      </c>
      <c r="BJ88" s="254">
        <v>0</v>
      </c>
      <c r="BK88" s="254">
        <v>0</v>
      </c>
      <c r="BL88" s="254">
        <v>0</v>
      </c>
      <c r="BM88" s="254">
        <v>0</v>
      </c>
      <c r="BN88" s="254">
        <v>0</v>
      </c>
      <c r="BO88" s="254">
        <v>0</v>
      </c>
      <c r="BP88" s="254">
        <v>0</v>
      </c>
      <c r="BQ88" s="254">
        <v>0</v>
      </c>
      <c r="BR88" s="254">
        <v>0</v>
      </c>
      <c r="BS88" s="254">
        <v>0</v>
      </c>
      <c r="BT88" s="254">
        <v>0</v>
      </c>
      <c r="BU88" s="254">
        <v>0</v>
      </c>
      <c r="BV88" s="254">
        <v>0</v>
      </c>
      <c r="BW88" s="254">
        <v>0</v>
      </c>
      <c r="BX88" s="254">
        <v>0</v>
      </c>
      <c r="BY88" s="254">
        <v>0</v>
      </c>
      <c r="BZ88" s="254">
        <v>0</v>
      </c>
      <c r="CA88" s="254">
        <v>0</v>
      </c>
      <c r="CB88" s="254">
        <v>0</v>
      </c>
      <c r="CC88" s="254">
        <v>0</v>
      </c>
      <c r="CD88" s="254">
        <v>0</v>
      </c>
      <c r="CE88" s="254">
        <v>0</v>
      </c>
      <c r="CF88" s="254">
        <v>0</v>
      </c>
      <c r="CG88" s="254">
        <v>0</v>
      </c>
      <c r="CH88" s="254">
        <v>0</v>
      </c>
      <c r="CI88" s="254">
        <v>0</v>
      </c>
      <c r="CJ88" s="254">
        <v>0</v>
      </c>
      <c r="CK88" s="254">
        <v>0</v>
      </c>
      <c r="CL88" s="254">
        <v>0</v>
      </c>
      <c r="CM88" s="254">
        <v>0</v>
      </c>
      <c r="CN88" s="254">
        <v>0</v>
      </c>
      <c r="CO88" s="254">
        <v>0</v>
      </c>
      <c r="CP88" s="254">
        <v>0</v>
      </c>
      <c r="CQ88" s="116"/>
      <c r="CR88" s="255">
        <v>0</v>
      </c>
      <c r="CS88" s="255">
        <v>0</v>
      </c>
      <c r="CT88" s="255">
        <v>0</v>
      </c>
      <c r="CU88" s="255">
        <v>0</v>
      </c>
      <c r="CV88" s="255">
        <v>0</v>
      </c>
      <c r="CW88" s="255">
        <v>0</v>
      </c>
      <c r="CX88" s="255">
        <v>1066.8499999999999</v>
      </c>
      <c r="CY88" s="255">
        <v>1371.6599999999999</v>
      </c>
      <c r="CZ88" s="255">
        <v>0</v>
      </c>
      <c r="DA88" s="255">
        <v>0</v>
      </c>
      <c r="DB88" s="255">
        <v>0</v>
      </c>
      <c r="DC88" s="255">
        <v>0</v>
      </c>
      <c r="DD88" s="255">
        <v>0</v>
      </c>
      <c r="DE88" s="255">
        <v>1419.18</v>
      </c>
      <c r="DF88" s="255">
        <v>1486.24</v>
      </c>
      <c r="DG88" s="255">
        <v>1486.24</v>
      </c>
      <c r="DH88" s="255">
        <v>1486.24</v>
      </c>
      <c r="DI88" s="255">
        <v>1486.24</v>
      </c>
      <c r="DJ88" s="255">
        <v>1486.24</v>
      </c>
      <c r="DK88" s="255">
        <v>1486.24</v>
      </c>
      <c r="DL88" s="255">
        <v>1486.24</v>
      </c>
      <c r="DM88" s="255">
        <v>1486.24</v>
      </c>
      <c r="DN88" s="255">
        <v>1486.24</v>
      </c>
      <c r="DO88" s="255">
        <v>1486.24</v>
      </c>
      <c r="DP88" s="255">
        <v>1486.24</v>
      </c>
      <c r="DQ88" s="255">
        <v>0</v>
      </c>
      <c r="DR88" s="255">
        <v>0</v>
      </c>
      <c r="DS88" s="255">
        <v>0</v>
      </c>
      <c r="DT88" s="255">
        <v>0</v>
      </c>
      <c r="DU88" s="255">
        <v>0</v>
      </c>
      <c r="DV88" s="255">
        <v>0</v>
      </c>
      <c r="DW88" s="255">
        <v>0</v>
      </c>
      <c r="DX88" s="255">
        <v>0</v>
      </c>
      <c r="DY88" s="255">
        <v>0</v>
      </c>
      <c r="DZ88" s="255">
        <v>0</v>
      </c>
      <c r="EA88" s="255">
        <v>0</v>
      </c>
      <c r="EB88" s="255">
        <v>0</v>
      </c>
      <c r="EC88" s="255">
        <v>0</v>
      </c>
      <c r="ED88" s="255">
        <v>0</v>
      </c>
      <c r="EE88" s="255">
        <v>0</v>
      </c>
      <c r="EF88" s="255">
        <v>0</v>
      </c>
      <c r="EG88" s="255">
        <v>0</v>
      </c>
      <c r="EH88" s="255">
        <v>0</v>
      </c>
      <c r="EI88" s="255">
        <v>0</v>
      </c>
      <c r="EJ88" s="255">
        <v>0</v>
      </c>
      <c r="EK88" s="255">
        <v>0</v>
      </c>
      <c r="EL88" s="255">
        <v>0</v>
      </c>
      <c r="EM88" s="255">
        <v>0</v>
      </c>
      <c r="EN88" s="255">
        <v>0</v>
      </c>
      <c r="EO88" s="255">
        <v>0</v>
      </c>
      <c r="EP88" s="255">
        <v>0</v>
      </c>
      <c r="EQ88" s="255">
        <v>0</v>
      </c>
      <c r="ER88" s="255">
        <v>0</v>
      </c>
      <c r="ES88" s="255">
        <v>0</v>
      </c>
      <c r="ET88" s="255">
        <v>0</v>
      </c>
      <c r="EU88" s="255">
        <v>0</v>
      </c>
      <c r="EV88" s="255">
        <v>0</v>
      </c>
      <c r="EW88" s="255">
        <v>0</v>
      </c>
      <c r="EX88" s="255">
        <v>0</v>
      </c>
      <c r="EY88" s="255">
        <v>0</v>
      </c>
      <c r="EZ88" s="255">
        <v>0</v>
      </c>
      <c r="FA88" s="255">
        <v>0</v>
      </c>
      <c r="FB88" s="255">
        <v>0</v>
      </c>
      <c r="FC88" s="255">
        <v>0</v>
      </c>
      <c r="FD88" s="255">
        <v>0</v>
      </c>
      <c r="FE88" s="255">
        <v>0</v>
      </c>
      <c r="FF88" s="255">
        <v>0</v>
      </c>
      <c r="FG88" s="255">
        <v>0</v>
      </c>
      <c r="FH88" s="255">
        <v>0</v>
      </c>
      <c r="FI88" s="255">
        <v>0</v>
      </c>
      <c r="FJ88" s="255">
        <v>0</v>
      </c>
      <c r="FK88" s="255">
        <v>0</v>
      </c>
      <c r="FL88" s="255">
        <v>0</v>
      </c>
      <c r="FM88" s="255">
        <v>0</v>
      </c>
      <c r="FN88" s="255">
        <v>0</v>
      </c>
      <c r="FO88" s="255">
        <v>0</v>
      </c>
      <c r="FP88" s="255">
        <v>0</v>
      </c>
      <c r="FQ88" s="255">
        <v>0</v>
      </c>
      <c r="FR88" s="255">
        <v>0</v>
      </c>
      <c r="FS88" s="255">
        <v>0</v>
      </c>
      <c r="FT88" s="255">
        <v>0</v>
      </c>
      <c r="FU88" s="255">
        <v>0</v>
      </c>
      <c r="FV88" s="255">
        <v>0</v>
      </c>
      <c r="FW88" s="255">
        <v>0</v>
      </c>
      <c r="FX88" s="116"/>
    </row>
    <row r="89" spans="2:180" x14ac:dyDescent="0.2">
      <c r="B89" s="253" t="s">
        <v>232</v>
      </c>
      <c r="C89" s="253" t="s">
        <v>309</v>
      </c>
      <c r="D89" s="253" t="s">
        <v>85</v>
      </c>
      <c r="E89" s="253" t="s">
        <v>127</v>
      </c>
      <c r="F89" s="253">
        <v>0</v>
      </c>
      <c r="G89" s="253" t="s">
        <v>268</v>
      </c>
      <c r="H89" s="237">
        <v>0</v>
      </c>
      <c r="I89" s="126">
        <f t="shared" si="86"/>
        <v>1504163.47</v>
      </c>
      <c r="J89" s="116"/>
      <c r="K89" s="254">
        <v>0</v>
      </c>
      <c r="L89" s="254">
        <v>0</v>
      </c>
      <c r="M89" s="254">
        <v>0</v>
      </c>
      <c r="N89" s="254">
        <v>0</v>
      </c>
      <c r="O89" s="254">
        <v>0</v>
      </c>
      <c r="P89" s="254">
        <v>0</v>
      </c>
      <c r="Q89" s="254">
        <v>0</v>
      </c>
      <c r="R89" s="254">
        <v>0</v>
      </c>
      <c r="S89" s="254">
        <v>0</v>
      </c>
      <c r="T89" s="254">
        <v>0</v>
      </c>
      <c r="U89" s="254">
        <v>0</v>
      </c>
      <c r="V89" s="254">
        <v>0</v>
      </c>
      <c r="W89" s="254">
        <v>0</v>
      </c>
      <c r="X89" s="254">
        <v>0</v>
      </c>
      <c r="Y89" s="254">
        <v>0</v>
      </c>
      <c r="Z89" s="254">
        <v>0</v>
      </c>
      <c r="AA89" s="254">
        <v>0</v>
      </c>
      <c r="AB89" s="254">
        <v>1</v>
      </c>
      <c r="AC89" s="254">
        <v>0</v>
      </c>
      <c r="AD89" s="254">
        <v>0</v>
      </c>
      <c r="AE89" s="254">
        <v>0</v>
      </c>
      <c r="AF89" s="254">
        <v>0</v>
      </c>
      <c r="AG89" s="254">
        <v>0</v>
      </c>
      <c r="AH89" s="254">
        <v>0</v>
      </c>
      <c r="AI89" s="254">
        <v>0</v>
      </c>
      <c r="AJ89" s="254">
        <v>0</v>
      </c>
      <c r="AK89" s="254">
        <v>0</v>
      </c>
      <c r="AL89" s="254">
        <v>0</v>
      </c>
      <c r="AM89" s="254">
        <v>0</v>
      </c>
      <c r="AN89" s="254">
        <v>0</v>
      </c>
      <c r="AO89" s="254">
        <v>0</v>
      </c>
      <c r="AP89" s="254">
        <v>0</v>
      </c>
      <c r="AQ89" s="254">
        <v>0</v>
      </c>
      <c r="AR89" s="254">
        <v>0</v>
      </c>
      <c r="AS89" s="254">
        <v>0</v>
      </c>
      <c r="AT89" s="254">
        <v>0</v>
      </c>
      <c r="AU89" s="254">
        <v>0</v>
      </c>
      <c r="AV89" s="254">
        <v>0</v>
      </c>
      <c r="AW89" s="254">
        <v>0</v>
      </c>
      <c r="AX89" s="254">
        <v>0</v>
      </c>
      <c r="AY89" s="254">
        <v>0</v>
      </c>
      <c r="AZ89" s="254">
        <v>0</v>
      </c>
      <c r="BA89" s="254">
        <v>0</v>
      </c>
      <c r="BB89" s="254">
        <v>0</v>
      </c>
      <c r="BC89" s="254">
        <v>0</v>
      </c>
      <c r="BD89" s="254">
        <v>0</v>
      </c>
      <c r="BE89" s="254">
        <v>0</v>
      </c>
      <c r="BF89" s="254">
        <v>0</v>
      </c>
      <c r="BG89" s="254">
        <v>0</v>
      </c>
      <c r="BH89" s="254">
        <v>0</v>
      </c>
      <c r="BI89" s="254">
        <v>0</v>
      </c>
      <c r="BJ89" s="254">
        <v>0</v>
      </c>
      <c r="BK89" s="254">
        <v>0</v>
      </c>
      <c r="BL89" s="254">
        <v>0</v>
      </c>
      <c r="BM89" s="254">
        <v>0</v>
      </c>
      <c r="BN89" s="254">
        <v>0</v>
      </c>
      <c r="BO89" s="254">
        <v>0</v>
      </c>
      <c r="BP89" s="254">
        <v>0</v>
      </c>
      <c r="BQ89" s="254">
        <v>0</v>
      </c>
      <c r="BR89" s="254">
        <v>0</v>
      </c>
      <c r="BS89" s="254">
        <v>0</v>
      </c>
      <c r="BT89" s="254">
        <v>0</v>
      </c>
      <c r="BU89" s="254">
        <v>0</v>
      </c>
      <c r="BV89" s="254">
        <v>0</v>
      </c>
      <c r="BW89" s="254">
        <v>0</v>
      </c>
      <c r="BX89" s="254">
        <v>0</v>
      </c>
      <c r="BY89" s="254">
        <v>0</v>
      </c>
      <c r="BZ89" s="254">
        <v>0</v>
      </c>
      <c r="CA89" s="254">
        <v>0</v>
      </c>
      <c r="CB89" s="254">
        <v>0</v>
      </c>
      <c r="CC89" s="254">
        <v>0</v>
      </c>
      <c r="CD89" s="254">
        <v>0</v>
      </c>
      <c r="CE89" s="254">
        <v>0</v>
      </c>
      <c r="CF89" s="254">
        <v>0</v>
      </c>
      <c r="CG89" s="254">
        <v>0</v>
      </c>
      <c r="CH89" s="254">
        <v>0</v>
      </c>
      <c r="CI89" s="254">
        <v>0</v>
      </c>
      <c r="CJ89" s="254">
        <v>0</v>
      </c>
      <c r="CK89" s="254">
        <v>0</v>
      </c>
      <c r="CL89" s="254">
        <v>0</v>
      </c>
      <c r="CM89" s="254">
        <v>0</v>
      </c>
      <c r="CN89" s="254">
        <v>0</v>
      </c>
      <c r="CO89" s="254">
        <v>0</v>
      </c>
      <c r="CP89" s="254">
        <v>0</v>
      </c>
      <c r="CQ89" s="116"/>
      <c r="CR89" s="255">
        <v>0</v>
      </c>
      <c r="CS89" s="255">
        <v>0</v>
      </c>
      <c r="CT89" s="255">
        <v>0</v>
      </c>
      <c r="CU89" s="255">
        <v>0</v>
      </c>
      <c r="CV89" s="255">
        <v>0</v>
      </c>
      <c r="CW89" s="255">
        <v>0</v>
      </c>
      <c r="CX89" s="255">
        <v>0</v>
      </c>
      <c r="CY89" s="255">
        <v>0</v>
      </c>
      <c r="CZ89" s="255">
        <v>0</v>
      </c>
      <c r="DA89" s="255">
        <v>0</v>
      </c>
      <c r="DB89" s="255">
        <v>0</v>
      </c>
      <c r="DC89" s="255">
        <v>0</v>
      </c>
      <c r="DD89" s="255">
        <v>0</v>
      </c>
      <c r="DE89" s="255">
        <v>0</v>
      </c>
      <c r="DF89" s="255">
        <v>0</v>
      </c>
      <c r="DG89" s="255">
        <v>0</v>
      </c>
      <c r="DH89" s="255">
        <v>0</v>
      </c>
      <c r="DI89" s="255">
        <v>1504163.47</v>
      </c>
      <c r="DJ89" s="255">
        <v>0</v>
      </c>
      <c r="DK89" s="255">
        <v>0</v>
      </c>
      <c r="DL89" s="255">
        <v>0</v>
      </c>
      <c r="DM89" s="255">
        <v>0</v>
      </c>
      <c r="DN89" s="255">
        <v>0</v>
      </c>
      <c r="DO89" s="255">
        <v>0</v>
      </c>
      <c r="DP89" s="255">
        <v>0</v>
      </c>
      <c r="DQ89" s="255">
        <v>0</v>
      </c>
      <c r="DR89" s="255">
        <v>0</v>
      </c>
      <c r="DS89" s="255">
        <v>0</v>
      </c>
      <c r="DT89" s="255">
        <v>0</v>
      </c>
      <c r="DU89" s="255">
        <v>0</v>
      </c>
      <c r="DV89" s="255">
        <v>0</v>
      </c>
      <c r="DW89" s="255">
        <v>0</v>
      </c>
      <c r="DX89" s="255">
        <v>0</v>
      </c>
      <c r="DY89" s="255">
        <v>0</v>
      </c>
      <c r="DZ89" s="255">
        <v>0</v>
      </c>
      <c r="EA89" s="255">
        <v>0</v>
      </c>
      <c r="EB89" s="255">
        <v>0</v>
      </c>
      <c r="EC89" s="255">
        <v>0</v>
      </c>
      <c r="ED89" s="255">
        <v>0</v>
      </c>
      <c r="EE89" s="255">
        <v>0</v>
      </c>
      <c r="EF89" s="255">
        <v>0</v>
      </c>
      <c r="EG89" s="255">
        <v>0</v>
      </c>
      <c r="EH89" s="255">
        <v>0</v>
      </c>
      <c r="EI89" s="255">
        <v>0</v>
      </c>
      <c r="EJ89" s="255">
        <v>0</v>
      </c>
      <c r="EK89" s="255">
        <v>0</v>
      </c>
      <c r="EL89" s="255">
        <v>0</v>
      </c>
      <c r="EM89" s="255">
        <v>0</v>
      </c>
      <c r="EN89" s="255">
        <v>0</v>
      </c>
      <c r="EO89" s="255">
        <v>0</v>
      </c>
      <c r="EP89" s="255">
        <v>0</v>
      </c>
      <c r="EQ89" s="255">
        <v>0</v>
      </c>
      <c r="ER89" s="255">
        <v>0</v>
      </c>
      <c r="ES89" s="255">
        <v>0</v>
      </c>
      <c r="ET89" s="255">
        <v>0</v>
      </c>
      <c r="EU89" s="255">
        <v>0</v>
      </c>
      <c r="EV89" s="255">
        <v>0</v>
      </c>
      <c r="EW89" s="255">
        <v>0</v>
      </c>
      <c r="EX89" s="255">
        <v>0</v>
      </c>
      <c r="EY89" s="255">
        <v>0</v>
      </c>
      <c r="EZ89" s="255">
        <v>0</v>
      </c>
      <c r="FA89" s="255">
        <v>0</v>
      </c>
      <c r="FB89" s="255">
        <v>0</v>
      </c>
      <c r="FC89" s="255">
        <v>0</v>
      </c>
      <c r="FD89" s="255">
        <v>0</v>
      </c>
      <c r="FE89" s="255">
        <v>0</v>
      </c>
      <c r="FF89" s="255">
        <v>0</v>
      </c>
      <c r="FG89" s="255">
        <v>0</v>
      </c>
      <c r="FH89" s="255">
        <v>0</v>
      </c>
      <c r="FI89" s="255">
        <v>0</v>
      </c>
      <c r="FJ89" s="255">
        <v>0</v>
      </c>
      <c r="FK89" s="255">
        <v>0</v>
      </c>
      <c r="FL89" s="255">
        <v>0</v>
      </c>
      <c r="FM89" s="255">
        <v>0</v>
      </c>
      <c r="FN89" s="255">
        <v>0</v>
      </c>
      <c r="FO89" s="255">
        <v>0</v>
      </c>
      <c r="FP89" s="255">
        <v>0</v>
      </c>
      <c r="FQ89" s="255">
        <v>0</v>
      </c>
      <c r="FR89" s="255">
        <v>0</v>
      </c>
      <c r="FS89" s="255">
        <v>0</v>
      </c>
      <c r="FT89" s="255">
        <v>0</v>
      </c>
      <c r="FU89" s="255">
        <v>0</v>
      </c>
      <c r="FV89" s="255">
        <v>0</v>
      </c>
      <c r="FW89" s="255">
        <v>0</v>
      </c>
      <c r="FX89" s="116"/>
    </row>
    <row r="90" spans="2:180" x14ac:dyDescent="0.2">
      <c r="B90" s="253" t="s">
        <v>232</v>
      </c>
      <c r="C90" s="253" t="s">
        <v>310</v>
      </c>
      <c r="D90" s="253" t="s">
        <v>85</v>
      </c>
      <c r="E90" s="253" t="s">
        <v>127</v>
      </c>
      <c r="F90" s="253">
        <v>0</v>
      </c>
      <c r="G90" s="253" t="s">
        <v>268</v>
      </c>
      <c r="H90" s="237">
        <v>0</v>
      </c>
      <c r="I90" s="126">
        <f t="shared" si="86"/>
        <v>1504163.47</v>
      </c>
      <c r="J90" s="116"/>
      <c r="K90" s="254">
        <v>0</v>
      </c>
      <c r="L90" s="254">
        <v>0</v>
      </c>
      <c r="M90" s="254">
        <v>0</v>
      </c>
      <c r="N90" s="254">
        <v>0</v>
      </c>
      <c r="O90" s="254">
        <v>0</v>
      </c>
      <c r="P90" s="254">
        <v>0</v>
      </c>
      <c r="Q90" s="254">
        <v>0</v>
      </c>
      <c r="R90" s="254">
        <v>0</v>
      </c>
      <c r="S90" s="254">
        <v>0</v>
      </c>
      <c r="T90" s="254">
        <v>0</v>
      </c>
      <c r="U90" s="254">
        <v>0</v>
      </c>
      <c r="V90" s="254">
        <v>0</v>
      </c>
      <c r="W90" s="254">
        <v>0</v>
      </c>
      <c r="X90" s="254">
        <v>0</v>
      </c>
      <c r="Y90" s="254">
        <v>0</v>
      </c>
      <c r="Z90" s="254">
        <v>0</v>
      </c>
      <c r="AA90" s="254">
        <v>0</v>
      </c>
      <c r="AB90" s="254">
        <v>0</v>
      </c>
      <c r="AC90" s="254">
        <v>0</v>
      </c>
      <c r="AD90" s="254">
        <v>0</v>
      </c>
      <c r="AE90" s="254">
        <v>1</v>
      </c>
      <c r="AF90" s="254">
        <v>0</v>
      </c>
      <c r="AG90" s="254">
        <v>0</v>
      </c>
      <c r="AH90" s="254">
        <v>0</v>
      </c>
      <c r="AI90" s="254">
        <v>0</v>
      </c>
      <c r="AJ90" s="254">
        <v>0</v>
      </c>
      <c r="AK90" s="254">
        <v>0</v>
      </c>
      <c r="AL90" s="254">
        <v>0</v>
      </c>
      <c r="AM90" s="254">
        <v>0</v>
      </c>
      <c r="AN90" s="254">
        <v>0</v>
      </c>
      <c r="AO90" s="254">
        <v>0</v>
      </c>
      <c r="AP90" s="254">
        <v>0</v>
      </c>
      <c r="AQ90" s="254">
        <v>0</v>
      </c>
      <c r="AR90" s="254">
        <v>0</v>
      </c>
      <c r="AS90" s="254">
        <v>0</v>
      </c>
      <c r="AT90" s="254">
        <v>0</v>
      </c>
      <c r="AU90" s="254">
        <v>0</v>
      </c>
      <c r="AV90" s="254">
        <v>0</v>
      </c>
      <c r="AW90" s="254">
        <v>0</v>
      </c>
      <c r="AX90" s="254">
        <v>0</v>
      </c>
      <c r="AY90" s="254">
        <v>0</v>
      </c>
      <c r="AZ90" s="254">
        <v>0</v>
      </c>
      <c r="BA90" s="254">
        <v>0</v>
      </c>
      <c r="BB90" s="254">
        <v>0</v>
      </c>
      <c r="BC90" s="254">
        <v>0</v>
      </c>
      <c r="BD90" s="254">
        <v>0</v>
      </c>
      <c r="BE90" s="254">
        <v>0</v>
      </c>
      <c r="BF90" s="254">
        <v>0</v>
      </c>
      <c r="BG90" s="254">
        <v>0</v>
      </c>
      <c r="BH90" s="254">
        <v>0</v>
      </c>
      <c r="BI90" s="254">
        <v>0</v>
      </c>
      <c r="BJ90" s="254">
        <v>0</v>
      </c>
      <c r="BK90" s="254">
        <v>0</v>
      </c>
      <c r="BL90" s="254">
        <v>0</v>
      </c>
      <c r="BM90" s="254">
        <v>0</v>
      </c>
      <c r="BN90" s="254">
        <v>0</v>
      </c>
      <c r="BO90" s="254">
        <v>0</v>
      </c>
      <c r="BP90" s="254">
        <v>0</v>
      </c>
      <c r="BQ90" s="254">
        <v>0</v>
      </c>
      <c r="BR90" s="254">
        <v>0</v>
      </c>
      <c r="BS90" s="254">
        <v>0</v>
      </c>
      <c r="BT90" s="254">
        <v>0</v>
      </c>
      <c r="BU90" s="254">
        <v>0</v>
      </c>
      <c r="BV90" s="254">
        <v>0</v>
      </c>
      <c r="BW90" s="254">
        <v>0</v>
      </c>
      <c r="BX90" s="254">
        <v>0</v>
      </c>
      <c r="BY90" s="254">
        <v>0</v>
      </c>
      <c r="BZ90" s="254">
        <v>0</v>
      </c>
      <c r="CA90" s="254">
        <v>0</v>
      </c>
      <c r="CB90" s="254">
        <v>0</v>
      </c>
      <c r="CC90" s="254">
        <v>0</v>
      </c>
      <c r="CD90" s="254">
        <v>0</v>
      </c>
      <c r="CE90" s="254">
        <v>0</v>
      </c>
      <c r="CF90" s="254">
        <v>0</v>
      </c>
      <c r="CG90" s="254">
        <v>0</v>
      </c>
      <c r="CH90" s="254">
        <v>0</v>
      </c>
      <c r="CI90" s="254">
        <v>0</v>
      </c>
      <c r="CJ90" s="254">
        <v>0</v>
      </c>
      <c r="CK90" s="254">
        <v>0</v>
      </c>
      <c r="CL90" s="254">
        <v>0</v>
      </c>
      <c r="CM90" s="254">
        <v>0</v>
      </c>
      <c r="CN90" s="254">
        <v>0</v>
      </c>
      <c r="CO90" s="254">
        <v>0</v>
      </c>
      <c r="CP90" s="254">
        <v>0</v>
      </c>
      <c r="CQ90" s="116"/>
      <c r="CR90" s="255">
        <v>0</v>
      </c>
      <c r="CS90" s="255">
        <v>0</v>
      </c>
      <c r="CT90" s="255">
        <v>0</v>
      </c>
      <c r="CU90" s="255">
        <v>0</v>
      </c>
      <c r="CV90" s="255">
        <v>0</v>
      </c>
      <c r="CW90" s="255">
        <v>0</v>
      </c>
      <c r="CX90" s="255">
        <v>0</v>
      </c>
      <c r="CY90" s="255">
        <v>0</v>
      </c>
      <c r="CZ90" s="255">
        <v>0</v>
      </c>
      <c r="DA90" s="255">
        <v>0</v>
      </c>
      <c r="DB90" s="255">
        <v>0</v>
      </c>
      <c r="DC90" s="255">
        <v>0</v>
      </c>
      <c r="DD90" s="255">
        <v>0</v>
      </c>
      <c r="DE90" s="255">
        <v>0</v>
      </c>
      <c r="DF90" s="255">
        <v>0</v>
      </c>
      <c r="DG90" s="255">
        <v>0</v>
      </c>
      <c r="DH90" s="255">
        <v>0</v>
      </c>
      <c r="DI90" s="255">
        <v>0</v>
      </c>
      <c r="DJ90" s="255">
        <v>0</v>
      </c>
      <c r="DK90" s="255">
        <v>0</v>
      </c>
      <c r="DL90" s="255">
        <v>1504163.47</v>
      </c>
      <c r="DM90" s="255">
        <v>0</v>
      </c>
      <c r="DN90" s="255">
        <v>0</v>
      </c>
      <c r="DO90" s="255">
        <v>0</v>
      </c>
      <c r="DP90" s="255">
        <v>0</v>
      </c>
      <c r="DQ90" s="255">
        <v>0</v>
      </c>
      <c r="DR90" s="255">
        <v>0</v>
      </c>
      <c r="DS90" s="255">
        <v>0</v>
      </c>
      <c r="DT90" s="255">
        <v>0</v>
      </c>
      <c r="DU90" s="255">
        <v>0</v>
      </c>
      <c r="DV90" s="255">
        <v>0</v>
      </c>
      <c r="DW90" s="255">
        <v>0</v>
      </c>
      <c r="DX90" s="255">
        <v>0</v>
      </c>
      <c r="DY90" s="255">
        <v>0</v>
      </c>
      <c r="DZ90" s="255">
        <v>0</v>
      </c>
      <c r="EA90" s="255">
        <v>0</v>
      </c>
      <c r="EB90" s="255">
        <v>0</v>
      </c>
      <c r="EC90" s="255">
        <v>0</v>
      </c>
      <c r="ED90" s="255">
        <v>0</v>
      </c>
      <c r="EE90" s="255">
        <v>0</v>
      </c>
      <c r="EF90" s="255">
        <v>0</v>
      </c>
      <c r="EG90" s="255">
        <v>0</v>
      </c>
      <c r="EH90" s="255">
        <v>0</v>
      </c>
      <c r="EI90" s="255">
        <v>0</v>
      </c>
      <c r="EJ90" s="255">
        <v>0</v>
      </c>
      <c r="EK90" s="255">
        <v>0</v>
      </c>
      <c r="EL90" s="255">
        <v>0</v>
      </c>
      <c r="EM90" s="255">
        <v>0</v>
      </c>
      <c r="EN90" s="255">
        <v>0</v>
      </c>
      <c r="EO90" s="255">
        <v>0</v>
      </c>
      <c r="EP90" s="255">
        <v>0</v>
      </c>
      <c r="EQ90" s="255">
        <v>0</v>
      </c>
      <c r="ER90" s="255">
        <v>0</v>
      </c>
      <c r="ES90" s="255">
        <v>0</v>
      </c>
      <c r="ET90" s="255">
        <v>0</v>
      </c>
      <c r="EU90" s="255">
        <v>0</v>
      </c>
      <c r="EV90" s="255">
        <v>0</v>
      </c>
      <c r="EW90" s="255">
        <v>0</v>
      </c>
      <c r="EX90" s="255">
        <v>0</v>
      </c>
      <c r="EY90" s="255">
        <v>0</v>
      </c>
      <c r="EZ90" s="255">
        <v>0</v>
      </c>
      <c r="FA90" s="255">
        <v>0</v>
      </c>
      <c r="FB90" s="255">
        <v>0</v>
      </c>
      <c r="FC90" s="255">
        <v>0</v>
      </c>
      <c r="FD90" s="255">
        <v>0</v>
      </c>
      <c r="FE90" s="255">
        <v>0</v>
      </c>
      <c r="FF90" s="255">
        <v>0</v>
      </c>
      <c r="FG90" s="255">
        <v>0</v>
      </c>
      <c r="FH90" s="255">
        <v>0</v>
      </c>
      <c r="FI90" s="255">
        <v>0</v>
      </c>
      <c r="FJ90" s="255">
        <v>0</v>
      </c>
      <c r="FK90" s="255">
        <v>0</v>
      </c>
      <c r="FL90" s="255">
        <v>0</v>
      </c>
      <c r="FM90" s="255">
        <v>0</v>
      </c>
      <c r="FN90" s="255">
        <v>0</v>
      </c>
      <c r="FO90" s="255">
        <v>0</v>
      </c>
      <c r="FP90" s="255">
        <v>0</v>
      </c>
      <c r="FQ90" s="255">
        <v>0</v>
      </c>
      <c r="FR90" s="255">
        <v>0</v>
      </c>
      <c r="FS90" s="255">
        <v>0</v>
      </c>
      <c r="FT90" s="255">
        <v>0</v>
      </c>
      <c r="FU90" s="255">
        <v>0</v>
      </c>
      <c r="FV90" s="255">
        <v>0</v>
      </c>
      <c r="FW90" s="255">
        <v>0</v>
      </c>
      <c r="FX90" s="116"/>
    </row>
    <row r="91" spans="2:180" x14ac:dyDescent="0.2">
      <c r="B91" s="253" t="s">
        <v>232</v>
      </c>
      <c r="C91" s="253" t="s">
        <v>311</v>
      </c>
      <c r="D91" s="253" t="s">
        <v>85</v>
      </c>
      <c r="E91" s="253" t="s">
        <v>127</v>
      </c>
      <c r="F91" s="253">
        <v>0</v>
      </c>
      <c r="G91" s="253" t="s">
        <v>268</v>
      </c>
      <c r="H91" s="237">
        <v>0</v>
      </c>
      <c r="I91" s="126">
        <f t="shared" si="86"/>
        <v>1504163.47</v>
      </c>
      <c r="J91" s="116"/>
      <c r="K91" s="254">
        <v>0</v>
      </c>
      <c r="L91" s="254">
        <v>0</v>
      </c>
      <c r="M91" s="254">
        <v>0</v>
      </c>
      <c r="N91" s="254">
        <v>0</v>
      </c>
      <c r="O91" s="254">
        <v>0</v>
      </c>
      <c r="P91" s="254">
        <v>0</v>
      </c>
      <c r="Q91" s="254">
        <v>0</v>
      </c>
      <c r="R91" s="254">
        <v>0</v>
      </c>
      <c r="S91" s="254">
        <v>0</v>
      </c>
      <c r="T91" s="254">
        <v>0</v>
      </c>
      <c r="U91" s="254">
        <v>0</v>
      </c>
      <c r="V91" s="254">
        <v>0</v>
      </c>
      <c r="W91" s="254">
        <v>0</v>
      </c>
      <c r="X91" s="254">
        <v>0</v>
      </c>
      <c r="Y91" s="254">
        <v>0</v>
      </c>
      <c r="Z91" s="254">
        <v>0</v>
      </c>
      <c r="AA91" s="254">
        <v>0</v>
      </c>
      <c r="AB91" s="254">
        <v>0</v>
      </c>
      <c r="AC91" s="254">
        <v>0</v>
      </c>
      <c r="AD91" s="254">
        <v>0</v>
      </c>
      <c r="AE91" s="254">
        <v>0</v>
      </c>
      <c r="AF91" s="254">
        <v>0</v>
      </c>
      <c r="AG91" s="254">
        <v>0</v>
      </c>
      <c r="AH91" s="254">
        <v>0</v>
      </c>
      <c r="AI91" s="254">
        <v>1</v>
      </c>
      <c r="AJ91" s="254">
        <v>0</v>
      </c>
      <c r="AK91" s="254">
        <v>0</v>
      </c>
      <c r="AL91" s="254">
        <v>0</v>
      </c>
      <c r="AM91" s="254">
        <v>0</v>
      </c>
      <c r="AN91" s="254">
        <v>0</v>
      </c>
      <c r="AO91" s="254">
        <v>0</v>
      </c>
      <c r="AP91" s="254">
        <v>0</v>
      </c>
      <c r="AQ91" s="254">
        <v>0</v>
      </c>
      <c r="AR91" s="254">
        <v>0</v>
      </c>
      <c r="AS91" s="254">
        <v>0</v>
      </c>
      <c r="AT91" s="254">
        <v>0</v>
      </c>
      <c r="AU91" s="254">
        <v>0</v>
      </c>
      <c r="AV91" s="254">
        <v>0</v>
      </c>
      <c r="AW91" s="254">
        <v>0</v>
      </c>
      <c r="AX91" s="254">
        <v>0</v>
      </c>
      <c r="AY91" s="254">
        <v>0</v>
      </c>
      <c r="AZ91" s="254">
        <v>0</v>
      </c>
      <c r="BA91" s="254">
        <v>0</v>
      </c>
      <c r="BB91" s="254">
        <v>0</v>
      </c>
      <c r="BC91" s="254">
        <v>0</v>
      </c>
      <c r="BD91" s="254">
        <v>0</v>
      </c>
      <c r="BE91" s="254">
        <v>0</v>
      </c>
      <c r="BF91" s="254">
        <v>0</v>
      </c>
      <c r="BG91" s="254">
        <v>0</v>
      </c>
      <c r="BH91" s="254">
        <v>0</v>
      </c>
      <c r="BI91" s="254">
        <v>0</v>
      </c>
      <c r="BJ91" s="254">
        <v>0</v>
      </c>
      <c r="BK91" s="254">
        <v>0</v>
      </c>
      <c r="BL91" s="254">
        <v>0</v>
      </c>
      <c r="BM91" s="254">
        <v>0</v>
      </c>
      <c r="BN91" s="254">
        <v>0</v>
      </c>
      <c r="BO91" s="254">
        <v>0</v>
      </c>
      <c r="BP91" s="254">
        <v>0</v>
      </c>
      <c r="BQ91" s="254">
        <v>0</v>
      </c>
      <c r="BR91" s="254">
        <v>0</v>
      </c>
      <c r="BS91" s="254">
        <v>0</v>
      </c>
      <c r="BT91" s="254">
        <v>0</v>
      </c>
      <c r="BU91" s="254">
        <v>0</v>
      </c>
      <c r="BV91" s="254">
        <v>0</v>
      </c>
      <c r="BW91" s="254">
        <v>0</v>
      </c>
      <c r="BX91" s="254">
        <v>0</v>
      </c>
      <c r="BY91" s="254">
        <v>0</v>
      </c>
      <c r="BZ91" s="254">
        <v>0</v>
      </c>
      <c r="CA91" s="254">
        <v>0</v>
      </c>
      <c r="CB91" s="254">
        <v>0</v>
      </c>
      <c r="CC91" s="254">
        <v>0</v>
      </c>
      <c r="CD91" s="254">
        <v>0</v>
      </c>
      <c r="CE91" s="254">
        <v>0</v>
      </c>
      <c r="CF91" s="254">
        <v>0</v>
      </c>
      <c r="CG91" s="254">
        <v>0</v>
      </c>
      <c r="CH91" s="254">
        <v>0</v>
      </c>
      <c r="CI91" s="254">
        <v>0</v>
      </c>
      <c r="CJ91" s="254">
        <v>0</v>
      </c>
      <c r="CK91" s="254">
        <v>0</v>
      </c>
      <c r="CL91" s="254">
        <v>0</v>
      </c>
      <c r="CM91" s="254">
        <v>0</v>
      </c>
      <c r="CN91" s="254">
        <v>0</v>
      </c>
      <c r="CO91" s="254">
        <v>0</v>
      </c>
      <c r="CP91" s="254">
        <v>0</v>
      </c>
      <c r="CQ91" s="116"/>
      <c r="CR91" s="255">
        <v>0</v>
      </c>
      <c r="CS91" s="255">
        <v>0</v>
      </c>
      <c r="CT91" s="255">
        <v>0</v>
      </c>
      <c r="CU91" s="255">
        <v>0</v>
      </c>
      <c r="CV91" s="255">
        <v>0</v>
      </c>
      <c r="CW91" s="255">
        <v>0</v>
      </c>
      <c r="CX91" s="255">
        <v>0</v>
      </c>
      <c r="CY91" s="255">
        <v>0</v>
      </c>
      <c r="CZ91" s="255">
        <v>0</v>
      </c>
      <c r="DA91" s="255">
        <v>0</v>
      </c>
      <c r="DB91" s="255">
        <v>0</v>
      </c>
      <c r="DC91" s="255">
        <v>0</v>
      </c>
      <c r="DD91" s="255">
        <v>0</v>
      </c>
      <c r="DE91" s="255">
        <v>0</v>
      </c>
      <c r="DF91" s="255">
        <v>0</v>
      </c>
      <c r="DG91" s="255">
        <v>0</v>
      </c>
      <c r="DH91" s="255">
        <v>0</v>
      </c>
      <c r="DI91" s="255">
        <v>0</v>
      </c>
      <c r="DJ91" s="255">
        <v>0</v>
      </c>
      <c r="DK91" s="255">
        <v>0</v>
      </c>
      <c r="DL91" s="255">
        <v>0</v>
      </c>
      <c r="DM91" s="255">
        <v>0</v>
      </c>
      <c r="DN91" s="255">
        <v>0</v>
      </c>
      <c r="DO91" s="255">
        <v>0</v>
      </c>
      <c r="DP91" s="255">
        <v>1504163.47</v>
      </c>
      <c r="DQ91" s="255">
        <v>0</v>
      </c>
      <c r="DR91" s="255">
        <v>0</v>
      </c>
      <c r="DS91" s="255">
        <v>0</v>
      </c>
      <c r="DT91" s="255">
        <v>0</v>
      </c>
      <c r="DU91" s="255">
        <v>0</v>
      </c>
      <c r="DV91" s="255">
        <v>0</v>
      </c>
      <c r="DW91" s="255">
        <v>0</v>
      </c>
      <c r="DX91" s="255">
        <v>0</v>
      </c>
      <c r="DY91" s="255">
        <v>0</v>
      </c>
      <c r="DZ91" s="255">
        <v>0</v>
      </c>
      <c r="EA91" s="255">
        <v>0</v>
      </c>
      <c r="EB91" s="255">
        <v>0</v>
      </c>
      <c r="EC91" s="255">
        <v>0</v>
      </c>
      <c r="ED91" s="255">
        <v>0</v>
      </c>
      <c r="EE91" s="255">
        <v>0</v>
      </c>
      <c r="EF91" s="255">
        <v>0</v>
      </c>
      <c r="EG91" s="255">
        <v>0</v>
      </c>
      <c r="EH91" s="255">
        <v>0</v>
      </c>
      <c r="EI91" s="255">
        <v>0</v>
      </c>
      <c r="EJ91" s="255">
        <v>0</v>
      </c>
      <c r="EK91" s="255">
        <v>0</v>
      </c>
      <c r="EL91" s="255">
        <v>0</v>
      </c>
      <c r="EM91" s="255">
        <v>0</v>
      </c>
      <c r="EN91" s="255">
        <v>0</v>
      </c>
      <c r="EO91" s="255">
        <v>0</v>
      </c>
      <c r="EP91" s="255">
        <v>0</v>
      </c>
      <c r="EQ91" s="255">
        <v>0</v>
      </c>
      <c r="ER91" s="255">
        <v>0</v>
      </c>
      <c r="ES91" s="255">
        <v>0</v>
      </c>
      <c r="ET91" s="255">
        <v>0</v>
      </c>
      <c r="EU91" s="255">
        <v>0</v>
      </c>
      <c r="EV91" s="255">
        <v>0</v>
      </c>
      <c r="EW91" s="255">
        <v>0</v>
      </c>
      <c r="EX91" s="255">
        <v>0</v>
      </c>
      <c r="EY91" s="255">
        <v>0</v>
      </c>
      <c r="EZ91" s="255">
        <v>0</v>
      </c>
      <c r="FA91" s="255">
        <v>0</v>
      </c>
      <c r="FB91" s="255">
        <v>0</v>
      </c>
      <c r="FC91" s="255">
        <v>0</v>
      </c>
      <c r="FD91" s="255">
        <v>0</v>
      </c>
      <c r="FE91" s="255">
        <v>0</v>
      </c>
      <c r="FF91" s="255">
        <v>0</v>
      </c>
      <c r="FG91" s="255">
        <v>0</v>
      </c>
      <c r="FH91" s="255">
        <v>0</v>
      </c>
      <c r="FI91" s="255">
        <v>0</v>
      </c>
      <c r="FJ91" s="255">
        <v>0</v>
      </c>
      <c r="FK91" s="255">
        <v>0</v>
      </c>
      <c r="FL91" s="255">
        <v>0</v>
      </c>
      <c r="FM91" s="255">
        <v>0</v>
      </c>
      <c r="FN91" s="255">
        <v>0</v>
      </c>
      <c r="FO91" s="255">
        <v>0</v>
      </c>
      <c r="FP91" s="255">
        <v>0</v>
      </c>
      <c r="FQ91" s="255">
        <v>0</v>
      </c>
      <c r="FR91" s="255">
        <v>0</v>
      </c>
      <c r="FS91" s="255">
        <v>0</v>
      </c>
      <c r="FT91" s="255">
        <v>0</v>
      </c>
      <c r="FU91" s="255">
        <v>0</v>
      </c>
      <c r="FV91" s="255">
        <v>0</v>
      </c>
      <c r="FW91" s="255">
        <v>0</v>
      </c>
      <c r="FX91" s="116"/>
    </row>
    <row r="92" spans="2:180" x14ac:dyDescent="0.2">
      <c r="B92" s="253" t="s">
        <v>232</v>
      </c>
      <c r="C92" s="253" t="s">
        <v>312</v>
      </c>
      <c r="D92" s="253" t="s">
        <v>85</v>
      </c>
      <c r="E92" s="253" t="s">
        <v>127</v>
      </c>
      <c r="F92" s="253">
        <v>0</v>
      </c>
      <c r="G92" s="253" t="s">
        <v>268</v>
      </c>
      <c r="H92" s="237">
        <v>0</v>
      </c>
      <c r="I92" s="126">
        <f t="shared" si="86"/>
        <v>1504163.47</v>
      </c>
      <c r="J92" s="116"/>
      <c r="K92" s="254">
        <v>0</v>
      </c>
      <c r="L92" s="254">
        <v>0</v>
      </c>
      <c r="M92" s="254">
        <v>0</v>
      </c>
      <c r="N92" s="254">
        <v>0</v>
      </c>
      <c r="O92" s="254">
        <v>0</v>
      </c>
      <c r="P92" s="254">
        <v>0</v>
      </c>
      <c r="Q92" s="254">
        <v>0</v>
      </c>
      <c r="R92" s="254">
        <v>0</v>
      </c>
      <c r="S92" s="254">
        <v>0</v>
      </c>
      <c r="T92" s="254">
        <v>0</v>
      </c>
      <c r="U92" s="254">
        <v>0</v>
      </c>
      <c r="V92" s="254">
        <v>0</v>
      </c>
      <c r="W92" s="254">
        <v>0</v>
      </c>
      <c r="X92" s="254">
        <v>0</v>
      </c>
      <c r="Y92" s="254">
        <v>0</v>
      </c>
      <c r="Z92" s="254">
        <v>0</v>
      </c>
      <c r="AA92" s="254">
        <v>0</v>
      </c>
      <c r="AB92" s="254">
        <v>1</v>
      </c>
      <c r="AC92" s="254">
        <v>0</v>
      </c>
      <c r="AD92" s="254">
        <v>0</v>
      </c>
      <c r="AE92" s="254">
        <v>0</v>
      </c>
      <c r="AF92" s="254">
        <v>0</v>
      </c>
      <c r="AG92" s="254">
        <v>0</v>
      </c>
      <c r="AH92" s="254">
        <v>0</v>
      </c>
      <c r="AI92" s="254">
        <v>0</v>
      </c>
      <c r="AJ92" s="254">
        <v>0</v>
      </c>
      <c r="AK92" s="254">
        <v>0</v>
      </c>
      <c r="AL92" s="254">
        <v>0</v>
      </c>
      <c r="AM92" s="254">
        <v>0</v>
      </c>
      <c r="AN92" s="254">
        <v>0</v>
      </c>
      <c r="AO92" s="254">
        <v>0</v>
      </c>
      <c r="AP92" s="254">
        <v>0</v>
      </c>
      <c r="AQ92" s="254">
        <v>0</v>
      </c>
      <c r="AR92" s="254">
        <v>0</v>
      </c>
      <c r="AS92" s="254">
        <v>0</v>
      </c>
      <c r="AT92" s="254">
        <v>0</v>
      </c>
      <c r="AU92" s="254">
        <v>0</v>
      </c>
      <c r="AV92" s="254">
        <v>0</v>
      </c>
      <c r="AW92" s="254">
        <v>0</v>
      </c>
      <c r="AX92" s="254">
        <v>0</v>
      </c>
      <c r="AY92" s="254">
        <v>0</v>
      </c>
      <c r="AZ92" s="254">
        <v>0</v>
      </c>
      <c r="BA92" s="254">
        <v>0</v>
      </c>
      <c r="BB92" s="254">
        <v>0</v>
      </c>
      <c r="BC92" s="254">
        <v>0</v>
      </c>
      <c r="BD92" s="254">
        <v>0</v>
      </c>
      <c r="BE92" s="254">
        <v>0</v>
      </c>
      <c r="BF92" s="254">
        <v>0</v>
      </c>
      <c r="BG92" s="254">
        <v>0</v>
      </c>
      <c r="BH92" s="254">
        <v>0</v>
      </c>
      <c r="BI92" s="254">
        <v>0</v>
      </c>
      <c r="BJ92" s="254">
        <v>0</v>
      </c>
      <c r="BK92" s="254">
        <v>0</v>
      </c>
      <c r="BL92" s="254">
        <v>0</v>
      </c>
      <c r="BM92" s="254">
        <v>0</v>
      </c>
      <c r="BN92" s="254">
        <v>0</v>
      </c>
      <c r="BO92" s="254">
        <v>0</v>
      </c>
      <c r="BP92" s="254">
        <v>0</v>
      </c>
      <c r="BQ92" s="254">
        <v>0</v>
      </c>
      <c r="BR92" s="254">
        <v>0</v>
      </c>
      <c r="BS92" s="254">
        <v>0</v>
      </c>
      <c r="BT92" s="254">
        <v>0</v>
      </c>
      <c r="BU92" s="254">
        <v>0</v>
      </c>
      <c r="BV92" s="254">
        <v>0</v>
      </c>
      <c r="BW92" s="254">
        <v>0</v>
      </c>
      <c r="BX92" s="254">
        <v>0</v>
      </c>
      <c r="BY92" s="254">
        <v>0</v>
      </c>
      <c r="BZ92" s="254">
        <v>0</v>
      </c>
      <c r="CA92" s="254">
        <v>0</v>
      </c>
      <c r="CB92" s="254">
        <v>0</v>
      </c>
      <c r="CC92" s="254">
        <v>0</v>
      </c>
      <c r="CD92" s="254">
        <v>0</v>
      </c>
      <c r="CE92" s="254">
        <v>0</v>
      </c>
      <c r="CF92" s="254">
        <v>0</v>
      </c>
      <c r="CG92" s="254">
        <v>0</v>
      </c>
      <c r="CH92" s="254">
        <v>0</v>
      </c>
      <c r="CI92" s="254">
        <v>0</v>
      </c>
      <c r="CJ92" s="254">
        <v>0</v>
      </c>
      <c r="CK92" s="254">
        <v>0</v>
      </c>
      <c r="CL92" s="254">
        <v>0</v>
      </c>
      <c r="CM92" s="254">
        <v>0</v>
      </c>
      <c r="CN92" s="254">
        <v>0</v>
      </c>
      <c r="CO92" s="254">
        <v>0</v>
      </c>
      <c r="CP92" s="254">
        <v>0</v>
      </c>
      <c r="CQ92" s="116"/>
      <c r="CR92" s="255">
        <v>0</v>
      </c>
      <c r="CS92" s="255">
        <v>0</v>
      </c>
      <c r="CT92" s="255">
        <v>0</v>
      </c>
      <c r="CU92" s="255">
        <v>0</v>
      </c>
      <c r="CV92" s="255">
        <v>0</v>
      </c>
      <c r="CW92" s="255">
        <v>0</v>
      </c>
      <c r="CX92" s="255">
        <v>0</v>
      </c>
      <c r="CY92" s="255">
        <v>0</v>
      </c>
      <c r="CZ92" s="255">
        <v>0</v>
      </c>
      <c r="DA92" s="255">
        <v>0</v>
      </c>
      <c r="DB92" s="255">
        <v>0</v>
      </c>
      <c r="DC92" s="255">
        <v>0</v>
      </c>
      <c r="DD92" s="255">
        <v>0</v>
      </c>
      <c r="DE92" s="255">
        <v>0</v>
      </c>
      <c r="DF92" s="255">
        <v>0</v>
      </c>
      <c r="DG92" s="255">
        <v>0</v>
      </c>
      <c r="DH92" s="255">
        <v>0</v>
      </c>
      <c r="DI92" s="255">
        <v>1504163.47</v>
      </c>
      <c r="DJ92" s="255">
        <v>0</v>
      </c>
      <c r="DK92" s="255">
        <v>0</v>
      </c>
      <c r="DL92" s="255">
        <v>0</v>
      </c>
      <c r="DM92" s="255">
        <v>0</v>
      </c>
      <c r="DN92" s="255">
        <v>0</v>
      </c>
      <c r="DO92" s="255">
        <v>0</v>
      </c>
      <c r="DP92" s="255">
        <v>0</v>
      </c>
      <c r="DQ92" s="255">
        <v>0</v>
      </c>
      <c r="DR92" s="255">
        <v>0</v>
      </c>
      <c r="DS92" s="255">
        <v>0</v>
      </c>
      <c r="DT92" s="255">
        <v>0</v>
      </c>
      <c r="DU92" s="255">
        <v>0</v>
      </c>
      <c r="DV92" s="255">
        <v>0</v>
      </c>
      <c r="DW92" s="255">
        <v>0</v>
      </c>
      <c r="DX92" s="255">
        <v>0</v>
      </c>
      <c r="DY92" s="255">
        <v>0</v>
      </c>
      <c r="DZ92" s="255">
        <v>0</v>
      </c>
      <c r="EA92" s="255">
        <v>0</v>
      </c>
      <c r="EB92" s="255">
        <v>0</v>
      </c>
      <c r="EC92" s="255">
        <v>0</v>
      </c>
      <c r="ED92" s="255">
        <v>0</v>
      </c>
      <c r="EE92" s="255">
        <v>0</v>
      </c>
      <c r="EF92" s="255">
        <v>0</v>
      </c>
      <c r="EG92" s="255">
        <v>0</v>
      </c>
      <c r="EH92" s="255">
        <v>0</v>
      </c>
      <c r="EI92" s="255">
        <v>0</v>
      </c>
      <c r="EJ92" s="255">
        <v>0</v>
      </c>
      <c r="EK92" s="255">
        <v>0</v>
      </c>
      <c r="EL92" s="255">
        <v>0</v>
      </c>
      <c r="EM92" s="255">
        <v>0</v>
      </c>
      <c r="EN92" s="255">
        <v>0</v>
      </c>
      <c r="EO92" s="255">
        <v>0</v>
      </c>
      <c r="EP92" s="255">
        <v>0</v>
      </c>
      <c r="EQ92" s="255">
        <v>0</v>
      </c>
      <c r="ER92" s="255">
        <v>0</v>
      </c>
      <c r="ES92" s="255">
        <v>0</v>
      </c>
      <c r="ET92" s="255">
        <v>0</v>
      </c>
      <c r="EU92" s="255">
        <v>0</v>
      </c>
      <c r="EV92" s="255">
        <v>0</v>
      </c>
      <c r="EW92" s="255">
        <v>0</v>
      </c>
      <c r="EX92" s="255">
        <v>0</v>
      </c>
      <c r="EY92" s="255">
        <v>0</v>
      </c>
      <c r="EZ92" s="255">
        <v>0</v>
      </c>
      <c r="FA92" s="255">
        <v>0</v>
      </c>
      <c r="FB92" s="255">
        <v>0</v>
      </c>
      <c r="FC92" s="255">
        <v>0</v>
      </c>
      <c r="FD92" s="255">
        <v>0</v>
      </c>
      <c r="FE92" s="255">
        <v>0</v>
      </c>
      <c r="FF92" s="255">
        <v>0</v>
      </c>
      <c r="FG92" s="255">
        <v>0</v>
      </c>
      <c r="FH92" s="255">
        <v>0</v>
      </c>
      <c r="FI92" s="255">
        <v>0</v>
      </c>
      <c r="FJ92" s="255">
        <v>0</v>
      </c>
      <c r="FK92" s="255">
        <v>0</v>
      </c>
      <c r="FL92" s="255">
        <v>0</v>
      </c>
      <c r="FM92" s="255">
        <v>0</v>
      </c>
      <c r="FN92" s="255">
        <v>0</v>
      </c>
      <c r="FO92" s="255">
        <v>0</v>
      </c>
      <c r="FP92" s="255">
        <v>0</v>
      </c>
      <c r="FQ92" s="255">
        <v>0</v>
      </c>
      <c r="FR92" s="255">
        <v>0</v>
      </c>
      <c r="FS92" s="255">
        <v>0</v>
      </c>
      <c r="FT92" s="255">
        <v>0</v>
      </c>
      <c r="FU92" s="255">
        <v>0</v>
      </c>
      <c r="FV92" s="255">
        <v>0</v>
      </c>
      <c r="FW92" s="255">
        <v>0</v>
      </c>
      <c r="FX92" s="116"/>
    </row>
    <row r="93" spans="2:180" x14ac:dyDescent="0.2">
      <c r="B93" s="253" t="s">
        <v>232</v>
      </c>
      <c r="C93" s="253" t="s">
        <v>313</v>
      </c>
      <c r="D93" s="253" t="s">
        <v>85</v>
      </c>
      <c r="E93" s="253" t="s">
        <v>127</v>
      </c>
      <c r="F93" s="253">
        <v>0</v>
      </c>
      <c r="G93" s="253" t="s">
        <v>268</v>
      </c>
      <c r="H93" s="237">
        <v>0</v>
      </c>
      <c r="I93" s="126">
        <f t="shared" si="86"/>
        <v>1504163.47</v>
      </c>
      <c r="J93" s="116"/>
      <c r="K93" s="254">
        <v>0</v>
      </c>
      <c r="L93" s="254">
        <v>0</v>
      </c>
      <c r="M93" s="254">
        <v>0</v>
      </c>
      <c r="N93" s="254">
        <v>0</v>
      </c>
      <c r="O93" s="254">
        <v>0</v>
      </c>
      <c r="P93" s="254">
        <v>0</v>
      </c>
      <c r="Q93" s="254">
        <v>0</v>
      </c>
      <c r="R93" s="254">
        <v>0</v>
      </c>
      <c r="S93" s="254">
        <v>0</v>
      </c>
      <c r="T93" s="254">
        <v>0</v>
      </c>
      <c r="U93" s="254">
        <v>0</v>
      </c>
      <c r="V93" s="254">
        <v>0</v>
      </c>
      <c r="W93" s="254">
        <v>0</v>
      </c>
      <c r="X93" s="254">
        <v>0</v>
      </c>
      <c r="Y93" s="254">
        <v>0</v>
      </c>
      <c r="Z93" s="254">
        <v>0</v>
      </c>
      <c r="AA93" s="254">
        <v>0</v>
      </c>
      <c r="AB93" s="254">
        <v>0</v>
      </c>
      <c r="AC93" s="254">
        <v>0</v>
      </c>
      <c r="AD93" s="254">
        <v>0</v>
      </c>
      <c r="AE93" s="254">
        <v>1</v>
      </c>
      <c r="AF93" s="254">
        <v>0</v>
      </c>
      <c r="AG93" s="254">
        <v>0</v>
      </c>
      <c r="AH93" s="254">
        <v>0</v>
      </c>
      <c r="AI93" s="254">
        <v>0</v>
      </c>
      <c r="AJ93" s="254">
        <v>0</v>
      </c>
      <c r="AK93" s="254">
        <v>0</v>
      </c>
      <c r="AL93" s="254">
        <v>0</v>
      </c>
      <c r="AM93" s="254">
        <v>0</v>
      </c>
      <c r="AN93" s="254">
        <v>0</v>
      </c>
      <c r="AO93" s="254">
        <v>0</v>
      </c>
      <c r="AP93" s="254">
        <v>0</v>
      </c>
      <c r="AQ93" s="254">
        <v>0</v>
      </c>
      <c r="AR93" s="254">
        <v>0</v>
      </c>
      <c r="AS93" s="254">
        <v>0</v>
      </c>
      <c r="AT93" s="254">
        <v>0</v>
      </c>
      <c r="AU93" s="254">
        <v>0</v>
      </c>
      <c r="AV93" s="254">
        <v>0</v>
      </c>
      <c r="AW93" s="254">
        <v>0</v>
      </c>
      <c r="AX93" s="254">
        <v>0</v>
      </c>
      <c r="AY93" s="254">
        <v>0</v>
      </c>
      <c r="AZ93" s="254">
        <v>0</v>
      </c>
      <c r="BA93" s="254">
        <v>0</v>
      </c>
      <c r="BB93" s="254">
        <v>0</v>
      </c>
      <c r="BC93" s="254">
        <v>0</v>
      </c>
      <c r="BD93" s="254">
        <v>0</v>
      </c>
      <c r="BE93" s="254">
        <v>0</v>
      </c>
      <c r="BF93" s="254">
        <v>0</v>
      </c>
      <c r="BG93" s="254">
        <v>0</v>
      </c>
      <c r="BH93" s="254">
        <v>0</v>
      </c>
      <c r="BI93" s="254">
        <v>0</v>
      </c>
      <c r="BJ93" s="254">
        <v>0</v>
      </c>
      <c r="BK93" s="254">
        <v>0</v>
      </c>
      <c r="BL93" s="254">
        <v>0</v>
      </c>
      <c r="BM93" s="254">
        <v>0</v>
      </c>
      <c r="BN93" s="254">
        <v>0</v>
      </c>
      <c r="BO93" s="254">
        <v>0</v>
      </c>
      <c r="BP93" s="254">
        <v>0</v>
      </c>
      <c r="BQ93" s="254">
        <v>0</v>
      </c>
      <c r="BR93" s="254">
        <v>0</v>
      </c>
      <c r="BS93" s="254">
        <v>0</v>
      </c>
      <c r="BT93" s="254">
        <v>0</v>
      </c>
      <c r="BU93" s="254">
        <v>0</v>
      </c>
      <c r="BV93" s="254">
        <v>0</v>
      </c>
      <c r="BW93" s="254">
        <v>0</v>
      </c>
      <c r="BX93" s="254">
        <v>0</v>
      </c>
      <c r="BY93" s="254">
        <v>0</v>
      </c>
      <c r="BZ93" s="254">
        <v>0</v>
      </c>
      <c r="CA93" s="254">
        <v>0</v>
      </c>
      <c r="CB93" s="254">
        <v>0</v>
      </c>
      <c r="CC93" s="254">
        <v>0</v>
      </c>
      <c r="CD93" s="254">
        <v>0</v>
      </c>
      <c r="CE93" s="254">
        <v>0</v>
      </c>
      <c r="CF93" s="254">
        <v>0</v>
      </c>
      <c r="CG93" s="254">
        <v>0</v>
      </c>
      <c r="CH93" s="254">
        <v>0</v>
      </c>
      <c r="CI93" s="254">
        <v>0</v>
      </c>
      <c r="CJ93" s="254">
        <v>0</v>
      </c>
      <c r="CK93" s="254">
        <v>0</v>
      </c>
      <c r="CL93" s="254">
        <v>0</v>
      </c>
      <c r="CM93" s="254">
        <v>0</v>
      </c>
      <c r="CN93" s="254">
        <v>0</v>
      </c>
      <c r="CO93" s="254">
        <v>0</v>
      </c>
      <c r="CP93" s="254">
        <v>0</v>
      </c>
      <c r="CQ93" s="116"/>
      <c r="CR93" s="255">
        <v>0</v>
      </c>
      <c r="CS93" s="255">
        <v>0</v>
      </c>
      <c r="CT93" s="255">
        <v>0</v>
      </c>
      <c r="CU93" s="255">
        <v>0</v>
      </c>
      <c r="CV93" s="255">
        <v>0</v>
      </c>
      <c r="CW93" s="255">
        <v>0</v>
      </c>
      <c r="CX93" s="255">
        <v>0</v>
      </c>
      <c r="CY93" s="255">
        <v>0</v>
      </c>
      <c r="CZ93" s="255">
        <v>0</v>
      </c>
      <c r="DA93" s="255">
        <v>0</v>
      </c>
      <c r="DB93" s="255">
        <v>0</v>
      </c>
      <c r="DC93" s="255">
        <v>0</v>
      </c>
      <c r="DD93" s="255">
        <v>0</v>
      </c>
      <c r="DE93" s="255">
        <v>0</v>
      </c>
      <c r="DF93" s="255">
        <v>0</v>
      </c>
      <c r="DG93" s="255">
        <v>0</v>
      </c>
      <c r="DH93" s="255">
        <v>0</v>
      </c>
      <c r="DI93" s="255">
        <v>0</v>
      </c>
      <c r="DJ93" s="255">
        <v>0</v>
      </c>
      <c r="DK93" s="255">
        <v>0</v>
      </c>
      <c r="DL93" s="255">
        <v>1504163.47</v>
      </c>
      <c r="DM93" s="255">
        <v>0</v>
      </c>
      <c r="DN93" s="255">
        <v>0</v>
      </c>
      <c r="DO93" s="255">
        <v>0</v>
      </c>
      <c r="DP93" s="255">
        <v>0</v>
      </c>
      <c r="DQ93" s="255">
        <v>0</v>
      </c>
      <c r="DR93" s="255">
        <v>0</v>
      </c>
      <c r="DS93" s="255">
        <v>0</v>
      </c>
      <c r="DT93" s="255">
        <v>0</v>
      </c>
      <c r="DU93" s="255">
        <v>0</v>
      </c>
      <c r="DV93" s="255">
        <v>0</v>
      </c>
      <c r="DW93" s="255">
        <v>0</v>
      </c>
      <c r="DX93" s="255">
        <v>0</v>
      </c>
      <c r="DY93" s="255">
        <v>0</v>
      </c>
      <c r="DZ93" s="255">
        <v>0</v>
      </c>
      <c r="EA93" s="255">
        <v>0</v>
      </c>
      <c r="EB93" s="255">
        <v>0</v>
      </c>
      <c r="EC93" s="255">
        <v>0</v>
      </c>
      <c r="ED93" s="255">
        <v>0</v>
      </c>
      <c r="EE93" s="255">
        <v>0</v>
      </c>
      <c r="EF93" s="255">
        <v>0</v>
      </c>
      <c r="EG93" s="255">
        <v>0</v>
      </c>
      <c r="EH93" s="255">
        <v>0</v>
      </c>
      <c r="EI93" s="255">
        <v>0</v>
      </c>
      <c r="EJ93" s="255">
        <v>0</v>
      </c>
      <c r="EK93" s="255">
        <v>0</v>
      </c>
      <c r="EL93" s="255">
        <v>0</v>
      </c>
      <c r="EM93" s="255">
        <v>0</v>
      </c>
      <c r="EN93" s="255">
        <v>0</v>
      </c>
      <c r="EO93" s="255">
        <v>0</v>
      </c>
      <c r="EP93" s="255">
        <v>0</v>
      </c>
      <c r="EQ93" s="255">
        <v>0</v>
      </c>
      <c r="ER93" s="255">
        <v>0</v>
      </c>
      <c r="ES93" s="255">
        <v>0</v>
      </c>
      <c r="ET93" s="255">
        <v>0</v>
      </c>
      <c r="EU93" s="255">
        <v>0</v>
      </c>
      <c r="EV93" s="255">
        <v>0</v>
      </c>
      <c r="EW93" s="255">
        <v>0</v>
      </c>
      <c r="EX93" s="255">
        <v>0</v>
      </c>
      <c r="EY93" s="255">
        <v>0</v>
      </c>
      <c r="EZ93" s="255">
        <v>0</v>
      </c>
      <c r="FA93" s="255">
        <v>0</v>
      </c>
      <c r="FB93" s="255">
        <v>0</v>
      </c>
      <c r="FC93" s="255">
        <v>0</v>
      </c>
      <c r="FD93" s="255">
        <v>0</v>
      </c>
      <c r="FE93" s="255">
        <v>0</v>
      </c>
      <c r="FF93" s="255">
        <v>0</v>
      </c>
      <c r="FG93" s="255">
        <v>0</v>
      </c>
      <c r="FH93" s="255">
        <v>0</v>
      </c>
      <c r="FI93" s="255">
        <v>0</v>
      </c>
      <c r="FJ93" s="255">
        <v>0</v>
      </c>
      <c r="FK93" s="255">
        <v>0</v>
      </c>
      <c r="FL93" s="255">
        <v>0</v>
      </c>
      <c r="FM93" s="255">
        <v>0</v>
      </c>
      <c r="FN93" s="255">
        <v>0</v>
      </c>
      <c r="FO93" s="255">
        <v>0</v>
      </c>
      <c r="FP93" s="255">
        <v>0</v>
      </c>
      <c r="FQ93" s="255">
        <v>0</v>
      </c>
      <c r="FR93" s="255">
        <v>0</v>
      </c>
      <c r="FS93" s="255">
        <v>0</v>
      </c>
      <c r="FT93" s="255">
        <v>0</v>
      </c>
      <c r="FU93" s="255">
        <v>0</v>
      </c>
      <c r="FV93" s="255">
        <v>0</v>
      </c>
      <c r="FW93" s="255">
        <v>0</v>
      </c>
      <c r="FX93" s="116"/>
    </row>
    <row r="94" spans="2:180" x14ac:dyDescent="0.2">
      <c r="B94" s="253" t="s">
        <v>232</v>
      </c>
      <c r="C94" s="253" t="s">
        <v>314</v>
      </c>
      <c r="D94" s="253" t="s">
        <v>85</v>
      </c>
      <c r="E94" s="253" t="s">
        <v>127</v>
      </c>
      <c r="F94" s="253">
        <v>0</v>
      </c>
      <c r="G94" s="253" t="s">
        <v>268</v>
      </c>
      <c r="H94" s="237">
        <v>0</v>
      </c>
      <c r="I94" s="126">
        <f t="shared" si="86"/>
        <v>1263850</v>
      </c>
      <c r="J94" s="116"/>
      <c r="K94" s="254">
        <v>0</v>
      </c>
      <c r="L94" s="254">
        <v>0</v>
      </c>
      <c r="M94" s="254">
        <v>0</v>
      </c>
      <c r="N94" s="254">
        <v>0</v>
      </c>
      <c r="O94" s="254">
        <v>0</v>
      </c>
      <c r="P94" s="254">
        <v>0</v>
      </c>
      <c r="Q94" s="254">
        <v>0</v>
      </c>
      <c r="R94" s="254">
        <v>0</v>
      </c>
      <c r="S94" s="254">
        <v>0</v>
      </c>
      <c r="T94" s="254">
        <v>0</v>
      </c>
      <c r="U94" s="254">
        <v>0</v>
      </c>
      <c r="V94" s="254">
        <v>0</v>
      </c>
      <c r="W94" s="254">
        <v>0</v>
      </c>
      <c r="X94" s="254">
        <v>0</v>
      </c>
      <c r="Y94" s="254">
        <v>0</v>
      </c>
      <c r="Z94" s="254">
        <v>0</v>
      </c>
      <c r="AA94" s="254">
        <v>0</v>
      </c>
      <c r="AB94" s="254">
        <v>1</v>
      </c>
      <c r="AC94" s="254">
        <v>0</v>
      </c>
      <c r="AD94" s="254">
        <v>0</v>
      </c>
      <c r="AE94" s="254">
        <v>0</v>
      </c>
      <c r="AF94" s="254">
        <v>0</v>
      </c>
      <c r="AG94" s="254">
        <v>0</v>
      </c>
      <c r="AH94" s="254">
        <v>0</v>
      </c>
      <c r="AI94" s="254">
        <v>0</v>
      </c>
      <c r="AJ94" s="254">
        <v>0</v>
      </c>
      <c r="AK94" s="254">
        <v>0</v>
      </c>
      <c r="AL94" s="254">
        <v>0</v>
      </c>
      <c r="AM94" s="254">
        <v>0</v>
      </c>
      <c r="AN94" s="254">
        <v>0</v>
      </c>
      <c r="AO94" s="254">
        <v>0</v>
      </c>
      <c r="AP94" s="254">
        <v>0</v>
      </c>
      <c r="AQ94" s="254">
        <v>0</v>
      </c>
      <c r="AR94" s="254">
        <v>0</v>
      </c>
      <c r="AS94" s="254">
        <v>0</v>
      </c>
      <c r="AT94" s="254">
        <v>0</v>
      </c>
      <c r="AU94" s="254">
        <v>0</v>
      </c>
      <c r="AV94" s="254">
        <v>0</v>
      </c>
      <c r="AW94" s="254">
        <v>0</v>
      </c>
      <c r="AX94" s="254">
        <v>0</v>
      </c>
      <c r="AY94" s="254">
        <v>0</v>
      </c>
      <c r="AZ94" s="254">
        <v>0</v>
      </c>
      <c r="BA94" s="254">
        <v>0</v>
      </c>
      <c r="BB94" s="254">
        <v>0</v>
      </c>
      <c r="BC94" s="254">
        <v>0</v>
      </c>
      <c r="BD94" s="254">
        <v>0</v>
      </c>
      <c r="BE94" s="254">
        <v>0</v>
      </c>
      <c r="BF94" s="254">
        <v>0</v>
      </c>
      <c r="BG94" s="254">
        <v>0</v>
      </c>
      <c r="BH94" s="254">
        <v>0</v>
      </c>
      <c r="BI94" s="254">
        <v>0</v>
      </c>
      <c r="BJ94" s="254">
        <v>0</v>
      </c>
      <c r="BK94" s="254">
        <v>0</v>
      </c>
      <c r="BL94" s="254">
        <v>0</v>
      </c>
      <c r="BM94" s="254">
        <v>0</v>
      </c>
      <c r="BN94" s="254">
        <v>0</v>
      </c>
      <c r="BO94" s="254">
        <v>0</v>
      </c>
      <c r="BP94" s="254">
        <v>0</v>
      </c>
      <c r="BQ94" s="254">
        <v>0</v>
      </c>
      <c r="BR94" s="254">
        <v>0</v>
      </c>
      <c r="BS94" s="254">
        <v>0</v>
      </c>
      <c r="BT94" s="254">
        <v>0</v>
      </c>
      <c r="BU94" s="254">
        <v>0</v>
      </c>
      <c r="BV94" s="254">
        <v>0</v>
      </c>
      <c r="BW94" s="254">
        <v>0</v>
      </c>
      <c r="BX94" s="254">
        <v>0</v>
      </c>
      <c r="BY94" s="254">
        <v>0</v>
      </c>
      <c r="BZ94" s="254">
        <v>0</v>
      </c>
      <c r="CA94" s="254">
        <v>0</v>
      </c>
      <c r="CB94" s="254">
        <v>0</v>
      </c>
      <c r="CC94" s="254">
        <v>0</v>
      </c>
      <c r="CD94" s="254">
        <v>0</v>
      </c>
      <c r="CE94" s="254">
        <v>0</v>
      </c>
      <c r="CF94" s="254">
        <v>0</v>
      </c>
      <c r="CG94" s="254">
        <v>0</v>
      </c>
      <c r="CH94" s="254">
        <v>0</v>
      </c>
      <c r="CI94" s="254">
        <v>0</v>
      </c>
      <c r="CJ94" s="254">
        <v>0</v>
      </c>
      <c r="CK94" s="254">
        <v>0</v>
      </c>
      <c r="CL94" s="254">
        <v>0</v>
      </c>
      <c r="CM94" s="254">
        <v>0</v>
      </c>
      <c r="CN94" s="254">
        <v>0</v>
      </c>
      <c r="CO94" s="254">
        <v>0</v>
      </c>
      <c r="CP94" s="254">
        <v>0</v>
      </c>
      <c r="CQ94" s="116"/>
      <c r="CR94" s="255">
        <v>0</v>
      </c>
      <c r="CS94" s="255">
        <v>0</v>
      </c>
      <c r="CT94" s="255">
        <v>0</v>
      </c>
      <c r="CU94" s="255">
        <v>0</v>
      </c>
      <c r="CV94" s="255">
        <v>0</v>
      </c>
      <c r="CW94" s="255">
        <v>0</v>
      </c>
      <c r="CX94" s="255">
        <v>0</v>
      </c>
      <c r="CY94" s="255">
        <v>0</v>
      </c>
      <c r="CZ94" s="255">
        <v>0</v>
      </c>
      <c r="DA94" s="255">
        <v>0</v>
      </c>
      <c r="DB94" s="255">
        <v>0</v>
      </c>
      <c r="DC94" s="255">
        <v>0</v>
      </c>
      <c r="DD94" s="255">
        <v>0</v>
      </c>
      <c r="DE94" s="255">
        <v>0</v>
      </c>
      <c r="DF94" s="255">
        <v>0</v>
      </c>
      <c r="DG94" s="255">
        <v>0</v>
      </c>
      <c r="DH94" s="255">
        <v>0</v>
      </c>
      <c r="DI94" s="255">
        <v>1263850</v>
      </c>
      <c r="DJ94" s="255">
        <v>0</v>
      </c>
      <c r="DK94" s="255">
        <v>0</v>
      </c>
      <c r="DL94" s="255">
        <v>0</v>
      </c>
      <c r="DM94" s="255">
        <v>0</v>
      </c>
      <c r="DN94" s="255">
        <v>0</v>
      </c>
      <c r="DO94" s="255">
        <v>0</v>
      </c>
      <c r="DP94" s="255">
        <v>0</v>
      </c>
      <c r="DQ94" s="255">
        <v>0</v>
      </c>
      <c r="DR94" s="255">
        <v>0</v>
      </c>
      <c r="DS94" s="255">
        <v>0</v>
      </c>
      <c r="DT94" s="255">
        <v>0</v>
      </c>
      <c r="DU94" s="255">
        <v>0</v>
      </c>
      <c r="DV94" s="255">
        <v>0</v>
      </c>
      <c r="DW94" s="255">
        <v>0</v>
      </c>
      <c r="DX94" s="255">
        <v>0</v>
      </c>
      <c r="DY94" s="255">
        <v>0</v>
      </c>
      <c r="DZ94" s="255">
        <v>0</v>
      </c>
      <c r="EA94" s="255">
        <v>0</v>
      </c>
      <c r="EB94" s="255">
        <v>0</v>
      </c>
      <c r="EC94" s="255">
        <v>0</v>
      </c>
      <c r="ED94" s="255">
        <v>0</v>
      </c>
      <c r="EE94" s="255">
        <v>0</v>
      </c>
      <c r="EF94" s="255">
        <v>0</v>
      </c>
      <c r="EG94" s="255">
        <v>0</v>
      </c>
      <c r="EH94" s="255">
        <v>0</v>
      </c>
      <c r="EI94" s="255">
        <v>0</v>
      </c>
      <c r="EJ94" s="255">
        <v>0</v>
      </c>
      <c r="EK94" s="255">
        <v>0</v>
      </c>
      <c r="EL94" s="255">
        <v>0</v>
      </c>
      <c r="EM94" s="255">
        <v>0</v>
      </c>
      <c r="EN94" s="255">
        <v>0</v>
      </c>
      <c r="EO94" s="255">
        <v>0</v>
      </c>
      <c r="EP94" s="255">
        <v>0</v>
      </c>
      <c r="EQ94" s="255">
        <v>0</v>
      </c>
      <c r="ER94" s="255">
        <v>0</v>
      </c>
      <c r="ES94" s="255">
        <v>0</v>
      </c>
      <c r="ET94" s="255">
        <v>0</v>
      </c>
      <c r="EU94" s="255">
        <v>0</v>
      </c>
      <c r="EV94" s="255">
        <v>0</v>
      </c>
      <c r="EW94" s="255">
        <v>0</v>
      </c>
      <c r="EX94" s="255">
        <v>0</v>
      </c>
      <c r="EY94" s="255">
        <v>0</v>
      </c>
      <c r="EZ94" s="255">
        <v>0</v>
      </c>
      <c r="FA94" s="255">
        <v>0</v>
      </c>
      <c r="FB94" s="255">
        <v>0</v>
      </c>
      <c r="FC94" s="255">
        <v>0</v>
      </c>
      <c r="FD94" s="255">
        <v>0</v>
      </c>
      <c r="FE94" s="255">
        <v>0</v>
      </c>
      <c r="FF94" s="255">
        <v>0</v>
      </c>
      <c r="FG94" s="255">
        <v>0</v>
      </c>
      <c r="FH94" s="255">
        <v>0</v>
      </c>
      <c r="FI94" s="255">
        <v>0</v>
      </c>
      <c r="FJ94" s="255">
        <v>0</v>
      </c>
      <c r="FK94" s="255">
        <v>0</v>
      </c>
      <c r="FL94" s="255">
        <v>0</v>
      </c>
      <c r="FM94" s="255">
        <v>0</v>
      </c>
      <c r="FN94" s="255">
        <v>0</v>
      </c>
      <c r="FO94" s="255">
        <v>0</v>
      </c>
      <c r="FP94" s="255">
        <v>0</v>
      </c>
      <c r="FQ94" s="255">
        <v>0</v>
      </c>
      <c r="FR94" s="255">
        <v>0</v>
      </c>
      <c r="FS94" s="255">
        <v>0</v>
      </c>
      <c r="FT94" s="255">
        <v>0</v>
      </c>
      <c r="FU94" s="255">
        <v>0</v>
      </c>
      <c r="FV94" s="255">
        <v>0</v>
      </c>
      <c r="FW94" s="255">
        <v>0</v>
      </c>
      <c r="FX94" s="116"/>
    </row>
    <row r="95" spans="2:180" x14ac:dyDescent="0.2">
      <c r="B95" s="253" t="s">
        <v>232</v>
      </c>
      <c r="C95" s="253" t="s">
        <v>315</v>
      </c>
      <c r="D95" s="253" t="s">
        <v>85</v>
      </c>
      <c r="E95" s="253" t="s">
        <v>127</v>
      </c>
      <c r="F95" s="253">
        <v>0</v>
      </c>
      <c r="G95" s="253" t="s">
        <v>268</v>
      </c>
      <c r="H95" s="237">
        <v>0</v>
      </c>
      <c r="I95" s="126">
        <f t="shared" si="86"/>
        <v>337500</v>
      </c>
      <c r="J95" s="116"/>
      <c r="K95" s="254">
        <v>0</v>
      </c>
      <c r="L95" s="254">
        <v>0</v>
      </c>
      <c r="M95" s="254">
        <v>0</v>
      </c>
      <c r="N95" s="254">
        <v>0</v>
      </c>
      <c r="O95" s="254">
        <v>0</v>
      </c>
      <c r="P95" s="254">
        <v>0</v>
      </c>
      <c r="Q95" s="254">
        <v>0</v>
      </c>
      <c r="R95" s="254">
        <v>0</v>
      </c>
      <c r="S95" s="254">
        <v>0</v>
      </c>
      <c r="T95" s="254">
        <v>0</v>
      </c>
      <c r="U95" s="254">
        <v>0</v>
      </c>
      <c r="V95" s="254">
        <v>0</v>
      </c>
      <c r="W95" s="254">
        <v>0</v>
      </c>
      <c r="X95" s="254">
        <v>0</v>
      </c>
      <c r="Y95" s="254">
        <v>0</v>
      </c>
      <c r="Z95" s="254">
        <v>0</v>
      </c>
      <c r="AA95" s="254">
        <v>0</v>
      </c>
      <c r="AB95" s="254">
        <v>1</v>
      </c>
      <c r="AC95" s="254">
        <v>0</v>
      </c>
      <c r="AD95" s="254">
        <v>0</v>
      </c>
      <c r="AE95" s="254">
        <v>0</v>
      </c>
      <c r="AF95" s="254">
        <v>0</v>
      </c>
      <c r="AG95" s="254">
        <v>0</v>
      </c>
      <c r="AH95" s="254">
        <v>0</v>
      </c>
      <c r="AI95" s="254">
        <v>0</v>
      </c>
      <c r="AJ95" s="254">
        <v>0</v>
      </c>
      <c r="AK95" s="254">
        <v>0</v>
      </c>
      <c r="AL95" s="254">
        <v>0</v>
      </c>
      <c r="AM95" s="254">
        <v>0</v>
      </c>
      <c r="AN95" s="254">
        <v>0</v>
      </c>
      <c r="AO95" s="254">
        <v>0</v>
      </c>
      <c r="AP95" s="254">
        <v>0</v>
      </c>
      <c r="AQ95" s="254">
        <v>0</v>
      </c>
      <c r="AR95" s="254">
        <v>0</v>
      </c>
      <c r="AS95" s="254">
        <v>0</v>
      </c>
      <c r="AT95" s="254">
        <v>0</v>
      </c>
      <c r="AU95" s="254">
        <v>0</v>
      </c>
      <c r="AV95" s="254">
        <v>0</v>
      </c>
      <c r="AW95" s="254">
        <v>0</v>
      </c>
      <c r="AX95" s="254">
        <v>0</v>
      </c>
      <c r="AY95" s="254">
        <v>0</v>
      </c>
      <c r="AZ95" s="254">
        <v>0</v>
      </c>
      <c r="BA95" s="254">
        <v>0</v>
      </c>
      <c r="BB95" s="254">
        <v>0</v>
      </c>
      <c r="BC95" s="254">
        <v>0</v>
      </c>
      <c r="BD95" s="254">
        <v>0</v>
      </c>
      <c r="BE95" s="254">
        <v>0</v>
      </c>
      <c r="BF95" s="254">
        <v>0</v>
      </c>
      <c r="BG95" s="254">
        <v>0</v>
      </c>
      <c r="BH95" s="254">
        <v>0</v>
      </c>
      <c r="BI95" s="254">
        <v>0</v>
      </c>
      <c r="BJ95" s="254">
        <v>0</v>
      </c>
      <c r="BK95" s="254">
        <v>0</v>
      </c>
      <c r="BL95" s="254">
        <v>0</v>
      </c>
      <c r="BM95" s="254">
        <v>0</v>
      </c>
      <c r="BN95" s="254">
        <v>0</v>
      </c>
      <c r="BO95" s="254">
        <v>0</v>
      </c>
      <c r="BP95" s="254">
        <v>0</v>
      </c>
      <c r="BQ95" s="254">
        <v>0</v>
      </c>
      <c r="BR95" s="254">
        <v>0</v>
      </c>
      <c r="BS95" s="254">
        <v>0</v>
      </c>
      <c r="BT95" s="254">
        <v>0</v>
      </c>
      <c r="BU95" s="254">
        <v>0</v>
      </c>
      <c r="BV95" s="254">
        <v>0</v>
      </c>
      <c r="BW95" s="254">
        <v>0</v>
      </c>
      <c r="BX95" s="254">
        <v>0</v>
      </c>
      <c r="BY95" s="254">
        <v>0</v>
      </c>
      <c r="BZ95" s="254">
        <v>0</v>
      </c>
      <c r="CA95" s="254">
        <v>0</v>
      </c>
      <c r="CB95" s="254">
        <v>0</v>
      </c>
      <c r="CC95" s="254">
        <v>0</v>
      </c>
      <c r="CD95" s="254">
        <v>0</v>
      </c>
      <c r="CE95" s="254">
        <v>0</v>
      </c>
      <c r="CF95" s="254">
        <v>0</v>
      </c>
      <c r="CG95" s="254">
        <v>0</v>
      </c>
      <c r="CH95" s="254">
        <v>0</v>
      </c>
      <c r="CI95" s="254">
        <v>0</v>
      </c>
      <c r="CJ95" s="254">
        <v>0</v>
      </c>
      <c r="CK95" s="254">
        <v>0</v>
      </c>
      <c r="CL95" s="254">
        <v>0</v>
      </c>
      <c r="CM95" s="254">
        <v>0</v>
      </c>
      <c r="CN95" s="254">
        <v>0</v>
      </c>
      <c r="CO95" s="254">
        <v>0</v>
      </c>
      <c r="CP95" s="254">
        <v>0</v>
      </c>
      <c r="CQ95" s="116"/>
      <c r="CR95" s="255">
        <v>0</v>
      </c>
      <c r="CS95" s="255">
        <v>0</v>
      </c>
      <c r="CT95" s="255">
        <v>0</v>
      </c>
      <c r="CU95" s="255">
        <v>0</v>
      </c>
      <c r="CV95" s="255">
        <v>0</v>
      </c>
      <c r="CW95" s="255">
        <v>0</v>
      </c>
      <c r="CX95" s="255">
        <v>0</v>
      </c>
      <c r="CY95" s="255">
        <v>0</v>
      </c>
      <c r="CZ95" s="255">
        <v>0</v>
      </c>
      <c r="DA95" s="255">
        <v>0</v>
      </c>
      <c r="DB95" s="255">
        <v>0</v>
      </c>
      <c r="DC95" s="255">
        <v>0</v>
      </c>
      <c r="DD95" s="255">
        <v>0</v>
      </c>
      <c r="DE95" s="255">
        <v>0</v>
      </c>
      <c r="DF95" s="255">
        <v>0</v>
      </c>
      <c r="DG95" s="255">
        <v>0</v>
      </c>
      <c r="DH95" s="255">
        <v>0</v>
      </c>
      <c r="DI95" s="255">
        <v>337500</v>
      </c>
      <c r="DJ95" s="255">
        <v>0</v>
      </c>
      <c r="DK95" s="255">
        <v>0</v>
      </c>
      <c r="DL95" s="255">
        <v>0</v>
      </c>
      <c r="DM95" s="255">
        <v>0</v>
      </c>
      <c r="DN95" s="255">
        <v>0</v>
      </c>
      <c r="DO95" s="255">
        <v>0</v>
      </c>
      <c r="DP95" s="255">
        <v>0</v>
      </c>
      <c r="DQ95" s="255">
        <v>0</v>
      </c>
      <c r="DR95" s="255">
        <v>0</v>
      </c>
      <c r="DS95" s="255">
        <v>0</v>
      </c>
      <c r="DT95" s="255">
        <v>0</v>
      </c>
      <c r="DU95" s="255">
        <v>0</v>
      </c>
      <c r="DV95" s="255">
        <v>0</v>
      </c>
      <c r="DW95" s="255">
        <v>0</v>
      </c>
      <c r="DX95" s="255">
        <v>0</v>
      </c>
      <c r="DY95" s="255">
        <v>0</v>
      </c>
      <c r="DZ95" s="255">
        <v>0</v>
      </c>
      <c r="EA95" s="255">
        <v>0</v>
      </c>
      <c r="EB95" s="255">
        <v>0</v>
      </c>
      <c r="EC95" s="255">
        <v>0</v>
      </c>
      <c r="ED95" s="255">
        <v>0</v>
      </c>
      <c r="EE95" s="255">
        <v>0</v>
      </c>
      <c r="EF95" s="255">
        <v>0</v>
      </c>
      <c r="EG95" s="255">
        <v>0</v>
      </c>
      <c r="EH95" s="255">
        <v>0</v>
      </c>
      <c r="EI95" s="255">
        <v>0</v>
      </c>
      <c r="EJ95" s="255">
        <v>0</v>
      </c>
      <c r="EK95" s="255">
        <v>0</v>
      </c>
      <c r="EL95" s="255">
        <v>0</v>
      </c>
      <c r="EM95" s="255">
        <v>0</v>
      </c>
      <c r="EN95" s="255">
        <v>0</v>
      </c>
      <c r="EO95" s="255">
        <v>0</v>
      </c>
      <c r="EP95" s="255">
        <v>0</v>
      </c>
      <c r="EQ95" s="255">
        <v>0</v>
      </c>
      <c r="ER95" s="255">
        <v>0</v>
      </c>
      <c r="ES95" s="255">
        <v>0</v>
      </c>
      <c r="ET95" s="255">
        <v>0</v>
      </c>
      <c r="EU95" s="255">
        <v>0</v>
      </c>
      <c r="EV95" s="255">
        <v>0</v>
      </c>
      <c r="EW95" s="255">
        <v>0</v>
      </c>
      <c r="EX95" s="255">
        <v>0</v>
      </c>
      <c r="EY95" s="255">
        <v>0</v>
      </c>
      <c r="EZ95" s="255">
        <v>0</v>
      </c>
      <c r="FA95" s="255">
        <v>0</v>
      </c>
      <c r="FB95" s="255">
        <v>0</v>
      </c>
      <c r="FC95" s="255">
        <v>0</v>
      </c>
      <c r="FD95" s="255">
        <v>0</v>
      </c>
      <c r="FE95" s="255">
        <v>0</v>
      </c>
      <c r="FF95" s="255">
        <v>0</v>
      </c>
      <c r="FG95" s="255">
        <v>0</v>
      </c>
      <c r="FH95" s="255">
        <v>0</v>
      </c>
      <c r="FI95" s="255">
        <v>0</v>
      </c>
      <c r="FJ95" s="255">
        <v>0</v>
      </c>
      <c r="FK95" s="255">
        <v>0</v>
      </c>
      <c r="FL95" s="255">
        <v>0</v>
      </c>
      <c r="FM95" s="255">
        <v>0</v>
      </c>
      <c r="FN95" s="255">
        <v>0</v>
      </c>
      <c r="FO95" s="255">
        <v>0</v>
      </c>
      <c r="FP95" s="255">
        <v>0</v>
      </c>
      <c r="FQ95" s="255">
        <v>0</v>
      </c>
      <c r="FR95" s="255">
        <v>0</v>
      </c>
      <c r="FS95" s="255">
        <v>0</v>
      </c>
      <c r="FT95" s="255">
        <v>0</v>
      </c>
      <c r="FU95" s="255">
        <v>0</v>
      </c>
      <c r="FV95" s="255">
        <v>0</v>
      </c>
      <c r="FW95" s="255">
        <v>0</v>
      </c>
      <c r="FX95" s="116"/>
    </row>
    <row r="96" spans="2:180" x14ac:dyDescent="0.2">
      <c r="B96" s="253" t="s">
        <v>236</v>
      </c>
      <c r="C96" s="253" t="s">
        <v>304</v>
      </c>
      <c r="D96" s="253" t="s">
        <v>258</v>
      </c>
      <c r="E96" s="253" t="s">
        <v>127</v>
      </c>
      <c r="F96" s="253" t="s">
        <v>259</v>
      </c>
      <c r="G96" s="253" t="s">
        <v>260</v>
      </c>
      <c r="H96" s="237">
        <v>313.99</v>
      </c>
      <c r="I96" s="126">
        <f t="shared" si="86"/>
        <v>386732.92000000027</v>
      </c>
      <c r="J96" s="116"/>
      <c r="K96" s="254">
        <v>0</v>
      </c>
      <c r="L96" s="254">
        <v>0</v>
      </c>
      <c r="M96" s="254">
        <v>0</v>
      </c>
      <c r="N96" s="254">
        <v>0</v>
      </c>
      <c r="O96" s="254">
        <v>0</v>
      </c>
      <c r="P96" s="254">
        <v>4.6052631578947366E-2</v>
      </c>
      <c r="Q96" s="254">
        <v>0.32500000000000001</v>
      </c>
      <c r="R96" s="254">
        <v>0.4</v>
      </c>
      <c r="S96" s="254">
        <v>0.67500000000000004</v>
      </c>
      <c r="T96" s="254">
        <v>1.125</v>
      </c>
      <c r="U96" s="254">
        <v>0.85</v>
      </c>
      <c r="V96" s="254">
        <v>0.8</v>
      </c>
      <c r="W96" s="254">
        <v>1.3333333333333333</v>
      </c>
      <c r="X96" s="254">
        <v>1</v>
      </c>
      <c r="Y96" s="254">
        <v>1</v>
      </c>
      <c r="Z96" s="254">
        <v>0.33333333333333331</v>
      </c>
      <c r="AA96" s="254">
        <v>0.23026315789473684</v>
      </c>
      <c r="AB96" s="254">
        <v>0.23026315789473684</v>
      </c>
      <c r="AC96" s="254">
        <v>0.25</v>
      </c>
      <c r="AD96" s="254">
        <v>0.25</v>
      </c>
      <c r="AE96" s="254">
        <v>0.25</v>
      </c>
      <c r="AF96" s="254">
        <v>0.25</v>
      </c>
      <c r="AG96" s="254">
        <v>0.25</v>
      </c>
      <c r="AH96" s="254">
        <v>0</v>
      </c>
      <c r="AI96" s="254">
        <v>0</v>
      </c>
      <c r="AJ96" s="254">
        <v>0</v>
      </c>
      <c r="AK96" s="254">
        <v>0</v>
      </c>
      <c r="AL96" s="254">
        <v>0</v>
      </c>
      <c r="AM96" s="254">
        <v>0</v>
      </c>
      <c r="AN96" s="254">
        <v>0</v>
      </c>
      <c r="AO96" s="254">
        <v>0</v>
      </c>
      <c r="AP96" s="254">
        <v>0</v>
      </c>
      <c r="AQ96" s="254">
        <v>0</v>
      </c>
      <c r="AR96" s="254">
        <v>0</v>
      </c>
      <c r="AS96" s="254">
        <v>0</v>
      </c>
      <c r="AT96" s="254">
        <v>0</v>
      </c>
      <c r="AU96" s="254">
        <v>0</v>
      </c>
      <c r="AV96" s="254">
        <v>0</v>
      </c>
      <c r="AW96" s="254">
        <v>0</v>
      </c>
      <c r="AX96" s="254">
        <v>0</v>
      </c>
      <c r="AY96" s="254">
        <v>0</v>
      </c>
      <c r="AZ96" s="254">
        <v>0</v>
      </c>
      <c r="BA96" s="254">
        <v>0</v>
      </c>
      <c r="BB96" s="254">
        <v>0</v>
      </c>
      <c r="BC96" s="254">
        <v>0</v>
      </c>
      <c r="BD96" s="254">
        <v>0</v>
      </c>
      <c r="BE96" s="254">
        <v>0</v>
      </c>
      <c r="BF96" s="254">
        <v>0</v>
      </c>
      <c r="BG96" s="254">
        <v>0</v>
      </c>
      <c r="BH96" s="254">
        <v>0</v>
      </c>
      <c r="BI96" s="254">
        <v>0</v>
      </c>
      <c r="BJ96" s="254">
        <v>0</v>
      </c>
      <c r="BK96" s="254">
        <v>0</v>
      </c>
      <c r="BL96" s="254">
        <v>0</v>
      </c>
      <c r="BM96" s="254">
        <v>0</v>
      </c>
      <c r="BN96" s="254">
        <v>0</v>
      </c>
      <c r="BO96" s="254">
        <v>0</v>
      </c>
      <c r="BP96" s="254">
        <v>0</v>
      </c>
      <c r="BQ96" s="254">
        <v>0</v>
      </c>
      <c r="BR96" s="254">
        <v>0</v>
      </c>
      <c r="BS96" s="254">
        <v>0</v>
      </c>
      <c r="BT96" s="254">
        <v>0</v>
      </c>
      <c r="BU96" s="254">
        <v>0</v>
      </c>
      <c r="BV96" s="254">
        <v>0</v>
      </c>
      <c r="BW96" s="254">
        <v>0</v>
      </c>
      <c r="BX96" s="254">
        <v>0</v>
      </c>
      <c r="BY96" s="254">
        <v>0</v>
      </c>
      <c r="BZ96" s="254">
        <v>0</v>
      </c>
      <c r="CA96" s="254">
        <v>0</v>
      </c>
      <c r="CB96" s="254">
        <v>0</v>
      </c>
      <c r="CC96" s="254">
        <v>0</v>
      </c>
      <c r="CD96" s="254">
        <v>0</v>
      </c>
      <c r="CE96" s="254">
        <v>0</v>
      </c>
      <c r="CF96" s="254">
        <v>0</v>
      </c>
      <c r="CG96" s="254">
        <v>0</v>
      </c>
      <c r="CH96" s="254">
        <v>0</v>
      </c>
      <c r="CI96" s="254">
        <v>0</v>
      </c>
      <c r="CJ96" s="254">
        <v>0</v>
      </c>
      <c r="CK96" s="254">
        <v>0</v>
      </c>
      <c r="CL96" s="254">
        <v>0</v>
      </c>
      <c r="CM96" s="254">
        <v>0</v>
      </c>
      <c r="CN96" s="254">
        <v>0</v>
      </c>
      <c r="CO96" s="254">
        <v>0</v>
      </c>
      <c r="CP96" s="254">
        <v>0</v>
      </c>
      <c r="CQ96" s="116"/>
      <c r="CR96" s="255">
        <v>0</v>
      </c>
      <c r="CS96" s="255">
        <v>0</v>
      </c>
      <c r="CT96" s="255">
        <v>0</v>
      </c>
      <c r="CU96" s="255">
        <v>0</v>
      </c>
      <c r="CV96" s="255">
        <v>0</v>
      </c>
      <c r="CW96" s="255">
        <v>2125.8199999999997</v>
      </c>
      <c r="CX96" s="255">
        <v>13869.050000000003</v>
      </c>
      <c r="CY96" s="255">
        <v>17069.599999999995</v>
      </c>
      <c r="CZ96" s="255">
        <v>28804.94999999999</v>
      </c>
      <c r="DA96" s="255">
        <v>48008.250000000073</v>
      </c>
      <c r="DB96" s="255">
        <v>36272.900000000038</v>
      </c>
      <c r="DC96" s="255">
        <v>25604.399999999991</v>
      </c>
      <c r="DD96" s="255">
        <v>42674.000000000044</v>
      </c>
      <c r="DE96" s="255">
        <v>42674.799999999996</v>
      </c>
      <c r="DF96" s="255">
        <v>42674.799999999996</v>
      </c>
      <c r="DG96" s="255">
        <v>10668.699999999999</v>
      </c>
      <c r="DH96" s="255">
        <v>10668.699999999999</v>
      </c>
      <c r="DI96" s="255">
        <v>10668.699999999999</v>
      </c>
      <c r="DJ96" s="255">
        <v>10989.65</v>
      </c>
      <c r="DK96" s="255">
        <v>10989.65</v>
      </c>
      <c r="DL96" s="255">
        <v>10989.65</v>
      </c>
      <c r="DM96" s="255">
        <v>10989.65</v>
      </c>
      <c r="DN96" s="255">
        <v>10989.65</v>
      </c>
      <c r="DO96" s="255">
        <v>0</v>
      </c>
      <c r="DP96" s="255">
        <v>0</v>
      </c>
      <c r="DQ96" s="255">
        <v>0</v>
      </c>
      <c r="DR96" s="255">
        <v>0</v>
      </c>
      <c r="DS96" s="255">
        <v>0</v>
      </c>
      <c r="DT96" s="255">
        <v>0</v>
      </c>
      <c r="DU96" s="255">
        <v>0</v>
      </c>
      <c r="DV96" s="255">
        <v>0</v>
      </c>
      <c r="DW96" s="255">
        <v>0</v>
      </c>
      <c r="DX96" s="255">
        <v>0</v>
      </c>
      <c r="DY96" s="255">
        <v>0</v>
      </c>
      <c r="DZ96" s="255">
        <v>0</v>
      </c>
      <c r="EA96" s="255">
        <v>0</v>
      </c>
      <c r="EB96" s="255">
        <v>0</v>
      </c>
      <c r="EC96" s="255">
        <v>0</v>
      </c>
      <c r="ED96" s="255">
        <v>0</v>
      </c>
      <c r="EE96" s="255">
        <v>0</v>
      </c>
      <c r="EF96" s="255">
        <v>0</v>
      </c>
      <c r="EG96" s="255">
        <v>0</v>
      </c>
      <c r="EH96" s="255">
        <v>0</v>
      </c>
      <c r="EI96" s="255">
        <v>0</v>
      </c>
      <c r="EJ96" s="255">
        <v>0</v>
      </c>
      <c r="EK96" s="255">
        <v>0</v>
      </c>
      <c r="EL96" s="255">
        <v>0</v>
      </c>
      <c r="EM96" s="255">
        <v>0</v>
      </c>
      <c r="EN96" s="255">
        <v>0</v>
      </c>
      <c r="EO96" s="255">
        <v>0</v>
      </c>
      <c r="EP96" s="255">
        <v>0</v>
      </c>
      <c r="EQ96" s="255">
        <v>0</v>
      </c>
      <c r="ER96" s="255">
        <v>0</v>
      </c>
      <c r="ES96" s="255">
        <v>0</v>
      </c>
      <c r="ET96" s="255">
        <v>0</v>
      </c>
      <c r="EU96" s="255">
        <v>0</v>
      </c>
      <c r="EV96" s="255">
        <v>0</v>
      </c>
      <c r="EW96" s="255">
        <v>0</v>
      </c>
      <c r="EX96" s="255">
        <v>0</v>
      </c>
      <c r="EY96" s="255">
        <v>0</v>
      </c>
      <c r="EZ96" s="255">
        <v>0</v>
      </c>
      <c r="FA96" s="255">
        <v>0</v>
      </c>
      <c r="FB96" s="255">
        <v>0</v>
      </c>
      <c r="FC96" s="255">
        <v>0</v>
      </c>
      <c r="FD96" s="255">
        <v>0</v>
      </c>
      <c r="FE96" s="255">
        <v>0</v>
      </c>
      <c r="FF96" s="255">
        <v>0</v>
      </c>
      <c r="FG96" s="255">
        <v>0</v>
      </c>
      <c r="FH96" s="255">
        <v>0</v>
      </c>
      <c r="FI96" s="255">
        <v>0</v>
      </c>
      <c r="FJ96" s="255">
        <v>0</v>
      </c>
      <c r="FK96" s="255">
        <v>0</v>
      </c>
      <c r="FL96" s="255">
        <v>0</v>
      </c>
      <c r="FM96" s="255">
        <v>0</v>
      </c>
      <c r="FN96" s="255">
        <v>0</v>
      </c>
      <c r="FO96" s="255">
        <v>0</v>
      </c>
      <c r="FP96" s="255">
        <v>0</v>
      </c>
      <c r="FQ96" s="255">
        <v>0</v>
      </c>
      <c r="FR96" s="255">
        <v>0</v>
      </c>
      <c r="FS96" s="255">
        <v>0</v>
      </c>
      <c r="FT96" s="255">
        <v>0</v>
      </c>
      <c r="FU96" s="255">
        <v>0</v>
      </c>
      <c r="FV96" s="255">
        <v>0</v>
      </c>
      <c r="FW96" s="255">
        <v>0</v>
      </c>
      <c r="FX96" s="116"/>
    </row>
    <row r="97" spans="2:180" x14ac:dyDescent="0.2">
      <c r="B97" s="253" t="s">
        <v>236</v>
      </c>
      <c r="C97" s="253" t="s">
        <v>316</v>
      </c>
      <c r="D97" s="253" t="s">
        <v>258</v>
      </c>
      <c r="E97" s="253" t="s">
        <v>127</v>
      </c>
      <c r="F97" s="253" t="s">
        <v>259</v>
      </c>
      <c r="G97" s="253" t="s">
        <v>260</v>
      </c>
      <c r="H97" s="237">
        <v>212.32</v>
      </c>
      <c r="I97" s="126">
        <f t="shared" si="86"/>
        <v>209367.34000000008</v>
      </c>
      <c r="J97" s="116"/>
      <c r="K97" s="254">
        <v>0</v>
      </c>
      <c r="L97" s="254">
        <v>0</v>
      </c>
      <c r="M97" s="254">
        <v>0</v>
      </c>
      <c r="N97" s="254">
        <v>0</v>
      </c>
      <c r="O97" s="254">
        <v>0</v>
      </c>
      <c r="P97" s="254">
        <v>0</v>
      </c>
      <c r="Q97" s="254">
        <v>0.25</v>
      </c>
      <c r="R97" s="254">
        <v>0.2</v>
      </c>
      <c r="S97" s="254">
        <v>0</v>
      </c>
      <c r="T97" s="254">
        <v>0.25</v>
      </c>
      <c r="U97" s="254">
        <v>0.45</v>
      </c>
      <c r="V97" s="254">
        <v>0.4</v>
      </c>
      <c r="W97" s="254">
        <v>1.3333333333333333</v>
      </c>
      <c r="X97" s="254">
        <v>1</v>
      </c>
      <c r="Y97" s="254">
        <v>1</v>
      </c>
      <c r="Z97" s="254">
        <v>0.33333333333333331</v>
      </c>
      <c r="AA97" s="254">
        <v>0.23026315789473684</v>
      </c>
      <c r="AB97" s="254">
        <v>0.23026315789473684</v>
      </c>
      <c r="AC97" s="254">
        <v>0.25</v>
      </c>
      <c r="AD97" s="254">
        <v>0.25</v>
      </c>
      <c r="AE97" s="254">
        <v>0.25</v>
      </c>
      <c r="AF97" s="254">
        <v>0.25</v>
      </c>
      <c r="AG97" s="254">
        <v>0.25</v>
      </c>
      <c r="AH97" s="254">
        <v>0</v>
      </c>
      <c r="AI97" s="254">
        <v>0</v>
      </c>
      <c r="AJ97" s="254">
        <v>0</v>
      </c>
      <c r="AK97" s="254">
        <v>0</v>
      </c>
      <c r="AL97" s="254">
        <v>0</v>
      </c>
      <c r="AM97" s="254">
        <v>0</v>
      </c>
      <c r="AN97" s="254">
        <v>0</v>
      </c>
      <c r="AO97" s="254">
        <v>0</v>
      </c>
      <c r="AP97" s="254">
        <v>0</v>
      </c>
      <c r="AQ97" s="254">
        <v>0</v>
      </c>
      <c r="AR97" s="254">
        <v>0</v>
      </c>
      <c r="AS97" s="254">
        <v>0</v>
      </c>
      <c r="AT97" s="254">
        <v>0</v>
      </c>
      <c r="AU97" s="254">
        <v>0</v>
      </c>
      <c r="AV97" s="254">
        <v>0</v>
      </c>
      <c r="AW97" s="254">
        <v>0</v>
      </c>
      <c r="AX97" s="254">
        <v>0</v>
      </c>
      <c r="AY97" s="254">
        <v>0</v>
      </c>
      <c r="AZ97" s="254">
        <v>0</v>
      </c>
      <c r="BA97" s="254">
        <v>0</v>
      </c>
      <c r="BB97" s="254">
        <v>0</v>
      </c>
      <c r="BC97" s="254">
        <v>0</v>
      </c>
      <c r="BD97" s="254">
        <v>0</v>
      </c>
      <c r="BE97" s="254">
        <v>0</v>
      </c>
      <c r="BF97" s="254">
        <v>0</v>
      </c>
      <c r="BG97" s="254">
        <v>0</v>
      </c>
      <c r="BH97" s="254">
        <v>0</v>
      </c>
      <c r="BI97" s="254">
        <v>0</v>
      </c>
      <c r="BJ97" s="254">
        <v>0</v>
      </c>
      <c r="BK97" s="254">
        <v>0</v>
      </c>
      <c r="BL97" s="254">
        <v>0</v>
      </c>
      <c r="BM97" s="254">
        <v>0</v>
      </c>
      <c r="BN97" s="254">
        <v>0</v>
      </c>
      <c r="BO97" s="254">
        <v>0</v>
      </c>
      <c r="BP97" s="254">
        <v>0</v>
      </c>
      <c r="BQ97" s="254">
        <v>0</v>
      </c>
      <c r="BR97" s="254">
        <v>0</v>
      </c>
      <c r="BS97" s="254">
        <v>0</v>
      </c>
      <c r="BT97" s="254">
        <v>0</v>
      </c>
      <c r="BU97" s="254">
        <v>0</v>
      </c>
      <c r="BV97" s="254">
        <v>0</v>
      </c>
      <c r="BW97" s="254">
        <v>0</v>
      </c>
      <c r="BX97" s="254">
        <v>0</v>
      </c>
      <c r="BY97" s="254">
        <v>0</v>
      </c>
      <c r="BZ97" s="254">
        <v>0</v>
      </c>
      <c r="CA97" s="254">
        <v>0</v>
      </c>
      <c r="CB97" s="254">
        <v>0</v>
      </c>
      <c r="CC97" s="254">
        <v>0</v>
      </c>
      <c r="CD97" s="254">
        <v>0</v>
      </c>
      <c r="CE97" s="254">
        <v>0</v>
      </c>
      <c r="CF97" s="254">
        <v>0</v>
      </c>
      <c r="CG97" s="254">
        <v>0</v>
      </c>
      <c r="CH97" s="254">
        <v>0</v>
      </c>
      <c r="CI97" s="254">
        <v>0</v>
      </c>
      <c r="CJ97" s="254">
        <v>0</v>
      </c>
      <c r="CK97" s="254">
        <v>0</v>
      </c>
      <c r="CL97" s="254">
        <v>0</v>
      </c>
      <c r="CM97" s="254">
        <v>0</v>
      </c>
      <c r="CN97" s="254">
        <v>0</v>
      </c>
      <c r="CO97" s="254">
        <v>0</v>
      </c>
      <c r="CP97" s="254">
        <v>0</v>
      </c>
      <c r="CQ97" s="116"/>
      <c r="CR97" s="255">
        <v>0</v>
      </c>
      <c r="CS97" s="255">
        <v>0</v>
      </c>
      <c r="CT97" s="255">
        <v>0</v>
      </c>
      <c r="CU97" s="255">
        <v>0</v>
      </c>
      <c r="CV97" s="255">
        <v>0</v>
      </c>
      <c r="CW97" s="255">
        <v>0</v>
      </c>
      <c r="CX97" s="255">
        <v>9368.2999999999993</v>
      </c>
      <c r="CY97" s="255">
        <v>7494.6399999999994</v>
      </c>
      <c r="CZ97" s="255">
        <v>0</v>
      </c>
      <c r="DA97" s="255">
        <v>9368.2999999999993</v>
      </c>
      <c r="DB97" s="255">
        <v>16862.939999999999</v>
      </c>
      <c r="DC97" s="255">
        <v>11241.96</v>
      </c>
      <c r="DD97" s="255">
        <v>37473.199999999997</v>
      </c>
      <c r="DE97" s="255">
        <v>28383.600000000002</v>
      </c>
      <c r="DF97" s="255">
        <v>29724.799999999999</v>
      </c>
      <c r="DG97" s="255">
        <v>7431.2</v>
      </c>
      <c r="DH97" s="255">
        <v>7431.2</v>
      </c>
      <c r="DI97" s="255">
        <v>7431.2</v>
      </c>
      <c r="DJ97" s="255">
        <v>7431.2</v>
      </c>
      <c r="DK97" s="255">
        <v>7431.2</v>
      </c>
      <c r="DL97" s="255">
        <v>7431.2</v>
      </c>
      <c r="DM97" s="255">
        <v>7431.2</v>
      </c>
      <c r="DN97" s="255">
        <v>7431.2</v>
      </c>
      <c r="DO97" s="255">
        <v>0</v>
      </c>
      <c r="DP97" s="255">
        <v>0</v>
      </c>
      <c r="DQ97" s="255">
        <v>0</v>
      </c>
      <c r="DR97" s="255">
        <v>0</v>
      </c>
      <c r="DS97" s="255">
        <v>0</v>
      </c>
      <c r="DT97" s="255">
        <v>0</v>
      </c>
      <c r="DU97" s="255">
        <v>0</v>
      </c>
      <c r="DV97" s="255">
        <v>0</v>
      </c>
      <c r="DW97" s="255">
        <v>0</v>
      </c>
      <c r="DX97" s="255">
        <v>0</v>
      </c>
      <c r="DY97" s="255">
        <v>0</v>
      </c>
      <c r="DZ97" s="255">
        <v>0</v>
      </c>
      <c r="EA97" s="255">
        <v>0</v>
      </c>
      <c r="EB97" s="255">
        <v>0</v>
      </c>
      <c r="EC97" s="255">
        <v>0</v>
      </c>
      <c r="ED97" s="255">
        <v>0</v>
      </c>
      <c r="EE97" s="255">
        <v>0</v>
      </c>
      <c r="EF97" s="255">
        <v>0</v>
      </c>
      <c r="EG97" s="255">
        <v>0</v>
      </c>
      <c r="EH97" s="255">
        <v>0</v>
      </c>
      <c r="EI97" s="255">
        <v>0</v>
      </c>
      <c r="EJ97" s="255">
        <v>0</v>
      </c>
      <c r="EK97" s="255">
        <v>0</v>
      </c>
      <c r="EL97" s="255">
        <v>0</v>
      </c>
      <c r="EM97" s="255">
        <v>0</v>
      </c>
      <c r="EN97" s="255">
        <v>0</v>
      </c>
      <c r="EO97" s="255">
        <v>0</v>
      </c>
      <c r="EP97" s="255">
        <v>0</v>
      </c>
      <c r="EQ97" s="255">
        <v>0</v>
      </c>
      <c r="ER97" s="255">
        <v>0</v>
      </c>
      <c r="ES97" s="255">
        <v>0</v>
      </c>
      <c r="ET97" s="255">
        <v>0</v>
      </c>
      <c r="EU97" s="255">
        <v>0</v>
      </c>
      <c r="EV97" s="255">
        <v>0</v>
      </c>
      <c r="EW97" s="255">
        <v>0</v>
      </c>
      <c r="EX97" s="255">
        <v>0</v>
      </c>
      <c r="EY97" s="255">
        <v>0</v>
      </c>
      <c r="EZ97" s="255">
        <v>0</v>
      </c>
      <c r="FA97" s="255">
        <v>0</v>
      </c>
      <c r="FB97" s="255">
        <v>0</v>
      </c>
      <c r="FC97" s="255">
        <v>0</v>
      </c>
      <c r="FD97" s="255">
        <v>0</v>
      </c>
      <c r="FE97" s="255">
        <v>0</v>
      </c>
      <c r="FF97" s="255">
        <v>0</v>
      </c>
      <c r="FG97" s="255">
        <v>0</v>
      </c>
      <c r="FH97" s="255">
        <v>0</v>
      </c>
      <c r="FI97" s="255">
        <v>0</v>
      </c>
      <c r="FJ97" s="255">
        <v>0</v>
      </c>
      <c r="FK97" s="255">
        <v>0</v>
      </c>
      <c r="FL97" s="255">
        <v>0</v>
      </c>
      <c r="FM97" s="255">
        <v>0</v>
      </c>
      <c r="FN97" s="255">
        <v>0</v>
      </c>
      <c r="FO97" s="255">
        <v>0</v>
      </c>
      <c r="FP97" s="255">
        <v>0</v>
      </c>
      <c r="FQ97" s="255">
        <v>0</v>
      </c>
      <c r="FR97" s="255">
        <v>0</v>
      </c>
      <c r="FS97" s="255">
        <v>0</v>
      </c>
      <c r="FT97" s="255">
        <v>0</v>
      </c>
      <c r="FU97" s="255">
        <v>0</v>
      </c>
      <c r="FV97" s="255">
        <v>0</v>
      </c>
      <c r="FW97" s="255">
        <v>0</v>
      </c>
      <c r="FX97" s="116"/>
    </row>
    <row r="98" spans="2:180" x14ac:dyDescent="0.2">
      <c r="B98" s="253" t="s">
        <v>236</v>
      </c>
      <c r="C98" s="253" t="s">
        <v>286</v>
      </c>
      <c r="D98" s="253" t="s">
        <v>258</v>
      </c>
      <c r="E98" s="253" t="s">
        <v>127</v>
      </c>
      <c r="F98" s="253" t="s">
        <v>259</v>
      </c>
      <c r="G98" s="253" t="s">
        <v>260</v>
      </c>
      <c r="H98" s="237">
        <v>513.16999999999996</v>
      </c>
      <c r="I98" s="126">
        <f t="shared" si="86"/>
        <v>34872.600000000006</v>
      </c>
      <c r="J98" s="116"/>
      <c r="K98" s="254">
        <v>0</v>
      </c>
      <c r="L98" s="254">
        <v>0</v>
      </c>
      <c r="M98" s="254">
        <v>0</v>
      </c>
      <c r="N98" s="254">
        <v>0</v>
      </c>
      <c r="O98" s="254">
        <v>0</v>
      </c>
      <c r="P98" s="254">
        <v>0</v>
      </c>
      <c r="Q98" s="254">
        <v>0</v>
      </c>
      <c r="R98" s="254">
        <v>0</v>
      </c>
      <c r="S98" s="254">
        <v>0</v>
      </c>
      <c r="T98" s="254">
        <v>0</v>
      </c>
      <c r="U98" s="254">
        <v>0</v>
      </c>
      <c r="V98" s="254">
        <v>0</v>
      </c>
      <c r="W98" s="254">
        <v>0</v>
      </c>
      <c r="X98" s="254">
        <v>0.1</v>
      </c>
      <c r="Y98" s="254">
        <v>0.1</v>
      </c>
      <c r="Z98" s="254">
        <v>0.13333333333333333</v>
      </c>
      <c r="AA98" s="254">
        <v>9.2105263157894732E-2</v>
      </c>
      <c r="AB98" s="254">
        <v>9.2105263157894732E-2</v>
      </c>
      <c r="AC98" s="254">
        <v>0</v>
      </c>
      <c r="AD98" s="254">
        <v>0</v>
      </c>
      <c r="AE98" s="254">
        <v>0</v>
      </c>
      <c r="AF98" s="254">
        <v>0</v>
      </c>
      <c r="AG98" s="254">
        <v>0</v>
      </c>
      <c r="AH98" s="254">
        <v>0</v>
      </c>
      <c r="AI98" s="254">
        <v>0</v>
      </c>
      <c r="AJ98" s="254">
        <v>0</v>
      </c>
      <c r="AK98" s="254">
        <v>0</v>
      </c>
      <c r="AL98" s="254">
        <v>0</v>
      </c>
      <c r="AM98" s="254">
        <v>0</v>
      </c>
      <c r="AN98" s="254">
        <v>0</v>
      </c>
      <c r="AO98" s="254">
        <v>0</v>
      </c>
      <c r="AP98" s="254">
        <v>0</v>
      </c>
      <c r="AQ98" s="254">
        <v>0</v>
      </c>
      <c r="AR98" s="254">
        <v>0</v>
      </c>
      <c r="AS98" s="254">
        <v>0</v>
      </c>
      <c r="AT98" s="254">
        <v>0</v>
      </c>
      <c r="AU98" s="254">
        <v>0</v>
      </c>
      <c r="AV98" s="254">
        <v>0</v>
      </c>
      <c r="AW98" s="254">
        <v>0</v>
      </c>
      <c r="AX98" s="254">
        <v>0</v>
      </c>
      <c r="AY98" s="254">
        <v>0</v>
      </c>
      <c r="AZ98" s="254">
        <v>0</v>
      </c>
      <c r="BA98" s="254">
        <v>0</v>
      </c>
      <c r="BB98" s="254">
        <v>0</v>
      </c>
      <c r="BC98" s="254">
        <v>0</v>
      </c>
      <c r="BD98" s="254">
        <v>0</v>
      </c>
      <c r="BE98" s="254">
        <v>0</v>
      </c>
      <c r="BF98" s="254">
        <v>0</v>
      </c>
      <c r="BG98" s="254">
        <v>0</v>
      </c>
      <c r="BH98" s="254">
        <v>0</v>
      </c>
      <c r="BI98" s="254">
        <v>0</v>
      </c>
      <c r="BJ98" s="254">
        <v>0</v>
      </c>
      <c r="BK98" s="254">
        <v>0</v>
      </c>
      <c r="BL98" s="254">
        <v>0</v>
      </c>
      <c r="BM98" s="254">
        <v>0</v>
      </c>
      <c r="BN98" s="254">
        <v>0</v>
      </c>
      <c r="BO98" s="254">
        <v>0</v>
      </c>
      <c r="BP98" s="254">
        <v>0</v>
      </c>
      <c r="BQ98" s="254">
        <v>0</v>
      </c>
      <c r="BR98" s="254">
        <v>0</v>
      </c>
      <c r="BS98" s="254">
        <v>0</v>
      </c>
      <c r="BT98" s="254">
        <v>0</v>
      </c>
      <c r="BU98" s="254">
        <v>0</v>
      </c>
      <c r="BV98" s="254">
        <v>0</v>
      </c>
      <c r="BW98" s="254">
        <v>0</v>
      </c>
      <c r="BX98" s="254">
        <v>0</v>
      </c>
      <c r="BY98" s="254">
        <v>0</v>
      </c>
      <c r="BZ98" s="254">
        <v>0</v>
      </c>
      <c r="CA98" s="254">
        <v>0</v>
      </c>
      <c r="CB98" s="254">
        <v>0</v>
      </c>
      <c r="CC98" s="254">
        <v>0</v>
      </c>
      <c r="CD98" s="254">
        <v>0</v>
      </c>
      <c r="CE98" s="254">
        <v>0</v>
      </c>
      <c r="CF98" s="254">
        <v>0</v>
      </c>
      <c r="CG98" s="254">
        <v>0</v>
      </c>
      <c r="CH98" s="254">
        <v>0</v>
      </c>
      <c r="CI98" s="254">
        <v>0</v>
      </c>
      <c r="CJ98" s="254">
        <v>0</v>
      </c>
      <c r="CK98" s="254">
        <v>0</v>
      </c>
      <c r="CL98" s="254">
        <v>0</v>
      </c>
      <c r="CM98" s="254">
        <v>0</v>
      </c>
      <c r="CN98" s="254">
        <v>0</v>
      </c>
      <c r="CO98" s="254">
        <v>0</v>
      </c>
      <c r="CP98" s="254">
        <v>0</v>
      </c>
      <c r="CQ98" s="116"/>
      <c r="CR98" s="255">
        <v>0</v>
      </c>
      <c r="CS98" s="255">
        <v>0</v>
      </c>
      <c r="CT98" s="255">
        <v>0</v>
      </c>
      <c r="CU98" s="255">
        <v>0</v>
      </c>
      <c r="CV98" s="255">
        <v>0</v>
      </c>
      <c r="CW98" s="255">
        <v>0</v>
      </c>
      <c r="CX98" s="255">
        <v>0</v>
      </c>
      <c r="CY98" s="255">
        <v>0</v>
      </c>
      <c r="CZ98" s="255">
        <v>0</v>
      </c>
      <c r="DA98" s="255">
        <v>0</v>
      </c>
      <c r="DB98" s="255">
        <v>0</v>
      </c>
      <c r="DC98" s="255">
        <v>0</v>
      </c>
      <c r="DD98" s="255">
        <v>0</v>
      </c>
      <c r="DE98" s="255">
        <v>6974.52</v>
      </c>
      <c r="DF98" s="255">
        <v>6974.52</v>
      </c>
      <c r="DG98" s="255">
        <v>6974.52</v>
      </c>
      <c r="DH98" s="255">
        <v>6974.52</v>
      </c>
      <c r="DI98" s="255">
        <v>6974.52</v>
      </c>
      <c r="DJ98" s="255">
        <v>0</v>
      </c>
      <c r="DK98" s="255">
        <v>0</v>
      </c>
      <c r="DL98" s="255">
        <v>0</v>
      </c>
      <c r="DM98" s="255">
        <v>0</v>
      </c>
      <c r="DN98" s="255">
        <v>0</v>
      </c>
      <c r="DO98" s="255">
        <v>0</v>
      </c>
      <c r="DP98" s="255">
        <v>0</v>
      </c>
      <c r="DQ98" s="255">
        <v>0</v>
      </c>
      <c r="DR98" s="255">
        <v>0</v>
      </c>
      <c r="DS98" s="255">
        <v>0</v>
      </c>
      <c r="DT98" s="255">
        <v>0</v>
      </c>
      <c r="DU98" s="255">
        <v>0</v>
      </c>
      <c r="DV98" s="255">
        <v>0</v>
      </c>
      <c r="DW98" s="255">
        <v>0</v>
      </c>
      <c r="DX98" s="255">
        <v>0</v>
      </c>
      <c r="DY98" s="255">
        <v>0</v>
      </c>
      <c r="DZ98" s="255">
        <v>0</v>
      </c>
      <c r="EA98" s="255">
        <v>0</v>
      </c>
      <c r="EB98" s="255">
        <v>0</v>
      </c>
      <c r="EC98" s="255">
        <v>0</v>
      </c>
      <c r="ED98" s="255">
        <v>0</v>
      </c>
      <c r="EE98" s="255">
        <v>0</v>
      </c>
      <c r="EF98" s="255">
        <v>0</v>
      </c>
      <c r="EG98" s="255">
        <v>0</v>
      </c>
      <c r="EH98" s="255">
        <v>0</v>
      </c>
      <c r="EI98" s="255">
        <v>0</v>
      </c>
      <c r="EJ98" s="255">
        <v>0</v>
      </c>
      <c r="EK98" s="255">
        <v>0</v>
      </c>
      <c r="EL98" s="255">
        <v>0</v>
      </c>
      <c r="EM98" s="255">
        <v>0</v>
      </c>
      <c r="EN98" s="255">
        <v>0</v>
      </c>
      <c r="EO98" s="255">
        <v>0</v>
      </c>
      <c r="EP98" s="255">
        <v>0</v>
      </c>
      <c r="EQ98" s="255">
        <v>0</v>
      </c>
      <c r="ER98" s="255">
        <v>0</v>
      </c>
      <c r="ES98" s="255">
        <v>0</v>
      </c>
      <c r="ET98" s="255">
        <v>0</v>
      </c>
      <c r="EU98" s="255">
        <v>0</v>
      </c>
      <c r="EV98" s="255">
        <v>0</v>
      </c>
      <c r="EW98" s="255">
        <v>0</v>
      </c>
      <c r="EX98" s="255">
        <v>0</v>
      </c>
      <c r="EY98" s="255">
        <v>0</v>
      </c>
      <c r="EZ98" s="255">
        <v>0</v>
      </c>
      <c r="FA98" s="255">
        <v>0</v>
      </c>
      <c r="FB98" s="255">
        <v>0</v>
      </c>
      <c r="FC98" s="255">
        <v>0</v>
      </c>
      <c r="FD98" s="255">
        <v>0</v>
      </c>
      <c r="FE98" s="255">
        <v>0</v>
      </c>
      <c r="FF98" s="255">
        <v>0</v>
      </c>
      <c r="FG98" s="255">
        <v>0</v>
      </c>
      <c r="FH98" s="255">
        <v>0</v>
      </c>
      <c r="FI98" s="255">
        <v>0</v>
      </c>
      <c r="FJ98" s="255">
        <v>0</v>
      </c>
      <c r="FK98" s="255">
        <v>0</v>
      </c>
      <c r="FL98" s="255">
        <v>0</v>
      </c>
      <c r="FM98" s="255">
        <v>0</v>
      </c>
      <c r="FN98" s="255">
        <v>0</v>
      </c>
      <c r="FO98" s="255">
        <v>0</v>
      </c>
      <c r="FP98" s="255">
        <v>0</v>
      </c>
      <c r="FQ98" s="255">
        <v>0</v>
      </c>
      <c r="FR98" s="255">
        <v>0</v>
      </c>
      <c r="FS98" s="255">
        <v>0</v>
      </c>
      <c r="FT98" s="255">
        <v>0</v>
      </c>
      <c r="FU98" s="255">
        <v>0</v>
      </c>
      <c r="FV98" s="255">
        <v>0</v>
      </c>
      <c r="FW98" s="255">
        <v>0</v>
      </c>
      <c r="FX98" s="116"/>
    </row>
    <row r="99" spans="2:180" x14ac:dyDescent="0.2">
      <c r="B99" s="253" t="s">
        <v>236</v>
      </c>
      <c r="C99" s="286" t="s">
        <v>338</v>
      </c>
      <c r="D99" s="253" t="s">
        <v>85</v>
      </c>
      <c r="E99" s="253" t="s">
        <v>127</v>
      </c>
      <c r="F99" s="253">
        <v>0</v>
      </c>
      <c r="G99" s="253" t="s">
        <v>268</v>
      </c>
      <c r="H99" s="237">
        <v>0</v>
      </c>
      <c r="I99" s="126">
        <f t="shared" si="86"/>
        <v>70000</v>
      </c>
      <c r="J99" s="116"/>
      <c r="K99" s="254">
        <v>0</v>
      </c>
      <c r="L99" s="254">
        <v>0</v>
      </c>
      <c r="M99" s="254">
        <v>0</v>
      </c>
      <c r="N99" s="254">
        <v>0</v>
      </c>
      <c r="O99" s="254">
        <v>0</v>
      </c>
      <c r="P99" s="254">
        <v>0</v>
      </c>
      <c r="Q99" s="254">
        <v>0</v>
      </c>
      <c r="R99" s="254">
        <v>0</v>
      </c>
      <c r="S99" s="254">
        <v>0</v>
      </c>
      <c r="T99" s="254">
        <v>0</v>
      </c>
      <c r="U99" s="254">
        <v>0</v>
      </c>
      <c r="V99" s="254">
        <v>0</v>
      </c>
      <c r="W99" s="254">
        <v>0</v>
      </c>
      <c r="X99" s="254">
        <v>0.5714285714285714</v>
      </c>
      <c r="Y99" s="254">
        <v>0.14285714285714285</v>
      </c>
      <c r="Z99" s="254">
        <v>0.2857142857142857</v>
      </c>
      <c r="AA99" s="254">
        <v>0</v>
      </c>
      <c r="AB99" s="254">
        <v>0</v>
      </c>
      <c r="AC99" s="254">
        <v>0</v>
      </c>
      <c r="AD99" s="254">
        <v>0</v>
      </c>
      <c r="AE99" s="254">
        <v>0</v>
      </c>
      <c r="AF99" s="254">
        <v>0</v>
      </c>
      <c r="AG99" s="254">
        <v>0</v>
      </c>
      <c r="AH99" s="254">
        <v>0</v>
      </c>
      <c r="AI99" s="254">
        <v>0</v>
      </c>
      <c r="AJ99" s="254">
        <v>0</v>
      </c>
      <c r="AK99" s="254">
        <v>0</v>
      </c>
      <c r="AL99" s="254">
        <v>0</v>
      </c>
      <c r="AM99" s="254">
        <v>0</v>
      </c>
      <c r="AN99" s="254">
        <v>0</v>
      </c>
      <c r="AO99" s="254">
        <v>0</v>
      </c>
      <c r="AP99" s="254">
        <v>0</v>
      </c>
      <c r="AQ99" s="254">
        <v>0</v>
      </c>
      <c r="AR99" s="254">
        <v>0</v>
      </c>
      <c r="AS99" s="254">
        <v>0</v>
      </c>
      <c r="AT99" s="254">
        <v>0</v>
      </c>
      <c r="AU99" s="254">
        <v>0</v>
      </c>
      <c r="AV99" s="254">
        <v>0</v>
      </c>
      <c r="AW99" s="254">
        <v>0</v>
      </c>
      <c r="AX99" s="254">
        <v>0</v>
      </c>
      <c r="AY99" s="254">
        <v>0</v>
      </c>
      <c r="AZ99" s="254">
        <v>0</v>
      </c>
      <c r="BA99" s="254">
        <v>0</v>
      </c>
      <c r="BB99" s="254">
        <v>0</v>
      </c>
      <c r="BC99" s="254">
        <v>0</v>
      </c>
      <c r="BD99" s="254">
        <v>0</v>
      </c>
      <c r="BE99" s="254">
        <v>0</v>
      </c>
      <c r="BF99" s="254">
        <v>0</v>
      </c>
      <c r="BG99" s="254">
        <v>0</v>
      </c>
      <c r="BH99" s="254">
        <v>0</v>
      </c>
      <c r="BI99" s="254">
        <v>0</v>
      </c>
      <c r="BJ99" s="254">
        <v>0</v>
      </c>
      <c r="BK99" s="254">
        <v>0</v>
      </c>
      <c r="BL99" s="254">
        <v>0</v>
      </c>
      <c r="BM99" s="254">
        <v>0</v>
      </c>
      <c r="BN99" s="254">
        <v>0</v>
      </c>
      <c r="BO99" s="254">
        <v>0</v>
      </c>
      <c r="BP99" s="254">
        <v>0</v>
      </c>
      <c r="BQ99" s="254">
        <v>0</v>
      </c>
      <c r="BR99" s="254">
        <v>0</v>
      </c>
      <c r="BS99" s="254">
        <v>0</v>
      </c>
      <c r="BT99" s="254">
        <v>0</v>
      </c>
      <c r="BU99" s="254">
        <v>0</v>
      </c>
      <c r="BV99" s="254">
        <v>0</v>
      </c>
      <c r="BW99" s="254">
        <v>0</v>
      </c>
      <c r="BX99" s="254">
        <v>0</v>
      </c>
      <c r="BY99" s="254">
        <v>0</v>
      </c>
      <c r="BZ99" s="254">
        <v>0</v>
      </c>
      <c r="CA99" s="254">
        <v>0</v>
      </c>
      <c r="CB99" s="254">
        <v>0</v>
      </c>
      <c r="CC99" s="254">
        <v>0</v>
      </c>
      <c r="CD99" s="254">
        <v>0</v>
      </c>
      <c r="CE99" s="254">
        <v>0</v>
      </c>
      <c r="CF99" s="254">
        <v>0</v>
      </c>
      <c r="CG99" s="254">
        <v>0</v>
      </c>
      <c r="CH99" s="254">
        <v>0</v>
      </c>
      <c r="CI99" s="254">
        <v>0</v>
      </c>
      <c r="CJ99" s="254">
        <v>0</v>
      </c>
      <c r="CK99" s="254">
        <v>0</v>
      </c>
      <c r="CL99" s="254">
        <v>0</v>
      </c>
      <c r="CM99" s="254">
        <v>0</v>
      </c>
      <c r="CN99" s="254">
        <v>0</v>
      </c>
      <c r="CO99" s="254">
        <v>0</v>
      </c>
      <c r="CP99" s="254">
        <v>0</v>
      </c>
      <c r="CQ99" s="116"/>
      <c r="CR99" s="255">
        <v>0</v>
      </c>
      <c r="CS99" s="255">
        <v>0</v>
      </c>
      <c r="CT99" s="255">
        <v>0</v>
      </c>
      <c r="CU99" s="255">
        <v>0</v>
      </c>
      <c r="CV99" s="255">
        <v>0</v>
      </c>
      <c r="CW99" s="255">
        <v>0</v>
      </c>
      <c r="CX99" s="255">
        <v>0</v>
      </c>
      <c r="CY99" s="255">
        <v>0</v>
      </c>
      <c r="CZ99" s="255">
        <v>0</v>
      </c>
      <c r="DA99" s="255">
        <v>0</v>
      </c>
      <c r="DB99" s="255">
        <v>0</v>
      </c>
      <c r="DC99" s="255">
        <v>0</v>
      </c>
      <c r="DD99" s="255">
        <v>0</v>
      </c>
      <c r="DE99" s="255">
        <v>40000</v>
      </c>
      <c r="DF99" s="255">
        <v>10000</v>
      </c>
      <c r="DG99" s="255">
        <v>20000</v>
      </c>
      <c r="DH99" s="255">
        <v>0</v>
      </c>
      <c r="DI99" s="255">
        <v>0</v>
      </c>
      <c r="DJ99" s="255">
        <v>0</v>
      </c>
      <c r="DK99" s="255">
        <v>0</v>
      </c>
      <c r="DL99" s="255">
        <v>0</v>
      </c>
      <c r="DM99" s="255">
        <v>0</v>
      </c>
      <c r="DN99" s="255">
        <v>0</v>
      </c>
      <c r="DO99" s="255">
        <v>0</v>
      </c>
      <c r="DP99" s="255">
        <v>0</v>
      </c>
      <c r="DQ99" s="255">
        <v>0</v>
      </c>
      <c r="DR99" s="255">
        <v>0</v>
      </c>
      <c r="DS99" s="255">
        <v>0</v>
      </c>
      <c r="DT99" s="255">
        <v>0</v>
      </c>
      <c r="DU99" s="255">
        <v>0</v>
      </c>
      <c r="DV99" s="255">
        <v>0</v>
      </c>
      <c r="DW99" s="255">
        <v>0</v>
      </c>
      <c r="DX99" s="255">
        <v>0</v>
      </c>
      <c r="DY99" s="255">
        <v>0</v>
      </c>
      <c r="DZ99" s="255">
        <v>0</v>
      </c>
      <c r="EA99" s="255">
        <v>0</v>
      </c>
      <c r="EB99" s="255">
        <v>0</v>
      </c>
      <c r="EC99" s="255">
        <v>0</v>
      </c>
      <c r="ED99" s="255">
        <v>0</v>
      </c>
      <c r="EE99" s="255">
        <v>0</v>
      </c>
      <c r="EF99" s="255">
        <v>0</v>
      </c>
      <c r="EG99" s="255">
        <v>0</v>
      </c>
      <c r="EH99" s="255">
        <v>0</v>
      </c>
      <c r="EI99" s="255">
        <v>0</v>
      </c>
      <c r="EJ99" s="255">
        <v>0</v>
      </c>
      <c r="EK99" s="255">
        <v>0</v>
      </c>
      <c r="EL99" s="255">
        <v>0</v>
      </c>
      <c r="EM99" s="255">
        <v>0</v>
      </c>
      <c r="EN99" s="255">
        <v>0</v>
      </c>
      <c r="EO99" s="255">
        <v>0</v>
      </c>
      <c r="EP99" s="255">
        <v>0</v>
      </c>
      <c r="EQ99" s="255">
        <v>0</v>
      </c>
      <c r="ER99" s="255">
        <v>0</v>
      </c>
      <c r="ES99" s="255">
        <v>0</v>
      </c>
      <c r="ET99" s="255">
        <v>0</v>
      </c>
      <c r="EU99" s="255">
        <v>0</v>
      </c>
      <c r="EV99" s="255">
        <v>0</v>
      </c>
      <c r="EW99" s="255">
        <v>0</v>
      </c>
      <c r="EX99" s="255">
        <v>0</v>
      </c>
      <c r="EY99" s="255">
        <v>0</v>
      </c>
      <c r="EZ99" s="255">
        <v>0</v>
      </c>
      <c r="FA99" s="255">
        <v>0</v>
      </c>
      <c r="FB99" s="255">
        <v>0</v>
      </c>
      <c r="FC99" s="255">
        <v>0</v>
      </c>
      <c r="FD99" s="255">
        <v>0</v>
      </c>
      <c r="FE99" s="255">
        <v>0</v>
      </c>
      <c r="FF99" s="255">
        <v>0</v>
      </c>
      <c r="FG99" s="255">
        <v>0</v>
      </c>
      <c r="FH99" s="255">
        <v>0</v>
      </c>
      <c r="FI99" s="255">
        <v>0</v>
      </c>
      <c r="FJ99" s="255">
        <v>0</v>
      </c>
      <c r="FK99" s="255">
        <v>0</v>
      </c>
      <c r="FL99" s="255">
        <v>0</v>
      </c>
      <c r="FM99" s="255">
        <v>0</v>
      </c>
      <c r="FN99" s="255">
        <v>0</v>
      </c>
      <c r="FO99" s="255">
        <v>0</v>
      </c>
      <c r="FP99" s="255">
        <v>0</v>
      </c>
      <c r="FQ99" s="255">
        <v>0</v>
      </c>
      <c r="FR99" s="255">
        <v>0</v>
      </c>
      <c r="FS99" s="255">
        <v>0</v>
      </c>
      <c r="FT99" s="255">
        <v>0</v>
      </c>
      <c r="FU99" s="255">
        <v>0</v>
      </c>
      <c r="FV99" s="255">
        <v>0</v>
      </c>
      <c r="FW99" s="255">
        <v>0</v>
      </c>
      <c r="FX99" s="116"/>
    </row>
    <row r="100" spans="2:180" x14ac:dyDescent="0.2">
      <c r="B100" s="253" t="s">
        <v>236</v>
      </c>
      <c r="C100" s="286" t="s">
        <v>338</v>
      </c>
      <c r="D100" s="253" t="s">
        <v>85</v>
      </c>
      <c r="E100" s="253" t="s">
        <v>127</v>
      </c>
      <c r="F100" s="253">
        <v>0</v>
      </c>
      <c r="G100" s="253" t="s">
        <v>268</v>
      </c>
      <c r="H100" s="237">
        <v>0</v>
      </c>
      <c r="I100" s="126">
        <f t="shared" si="86"/>
        <v>250000</v>
      </c>
      <c r="J100" s="116"/>
      <c r="K100" s="254">
        <v>0</v>
      </c>
      <c r="L100" s="254">
        <v>0</v>
      </c>
      <c r="M100" s="254">
        <v>0</v>
      </c>
      <c r="N100" s="254">
        <v>0</v>
      </c>
      <c r="O100" s="254">
        <v>0</v>
      </c>
      <c r="P100" s="254">
        <v>0</v>
      </c>
      <c r="Q100" s="254">
        <v>0</v>
      </c>
      <c r="R100" s="254">
        <v>0</v>
      </c>
      <c r="S100" s="254">
        <v>0</v>
      </c>
      <c r="T100" s="254">
        <v>0</v>
      </c>
      <c r="U100" s="254">
        <v>0</v>
      </c>
      <c r="V100" s="254">
        <v>0</v>
      </c>
      <c r="W100" s="254">
        <v>0</v>
      </c>
      <c r="X100" s="254">
        <v>0.4</v>
      </c>
      <c r="Y100" s="254">
        <v>0.4</v>
      </c>
      <c r="Z100" s="254">
        <v>0.2</v>
      </c>
      <c r="AA100" s="254">
        <v>0</v>
      </c>
      <c r="AB100" s="254">
        <v>0</v>
      </c>
      <c r="AC100" s="254">
        <v>0</v>
      </c>
      <c r="AD100" s="254">
        <v>0</v>
      </c>
      <c r="AE100" s="254">
        <v>0</v>
      </c>
      <c r="AF100" s="254">
        <v>0</v>
      </c>
      <c r="AG100" s="254">
        <v>0</v>
      </c>
      <c r="AH100" s="254">
        <v>0</v>
      </c>
      <c r="AI100" s="254">
        <v>0</v>
      </c>
      <c r="AJ100" s="254">
        <v>0</v>
      </c>
      <c r="AK100" s="254">
        <v>0</v>
      </c>
      <c r="AL100" s="254">
        <v>0</v>
      </c>
      <c r="AM100" s="254">
        <v>0</v>
      </c>
      <c r="AN100" s="254">
        <v>0</v>
      </c>
      <c r="AO100" s="254">
        <v>0</v>
      </c>
      <c r="AP100" s="254">
        <v>0</v>
      </c>
      <c r="AQ100" s="254">
        <v>0</v>
      </c>
      <c r="AR100" s="254">
        <v>0</v>
      </c>
      <c r="AS100" s="254">
        <v>0</v>
      </c>
      <c r="AT100" s="254">
        <v>0</v>
      </c>
      <c r="AU100" s="254">
        <v>0</v>
      </c>
      <c r="AV100" s="254">
        <v>0</v>
      </c>
      <c r="AW100" s="254">
        <v>0</v>
      </c>
      <c r="AX100" s="254">
        <v>0</v>
      </c>
      <c r="AY100" s="254">
        <v>0</v>
      </c>
      <c r="AZ100" s="254">
        <v>0</v>
      </c>
      <c r="BA100" s="254">
        <v>0</v>
      </c>
      <c r="BB100" s="254">
        <v>0</v>
      </c>
      <c r="BC100" s="254">
        <v>0</v>
      </c>
      <c r="BD100" s="254">
        <v>0</v>
      </c>
      <c r="BE100" s="254">
        <v>0</v>
      </c>
      <c r="BF100" s="254">
        <v>0</v>
      </c>
      <c r="BG100" s="254">
        <v>0</v>
      </c>
      <c r="BH100" s="254">
        <v>0</v>
      </c>
      <c r="BI100" s="254">
        <v>0</v>
      </c>
      <c r="BJ100" s="254">
        <v>0</v>
      </c>
      <c r="BK100" s="254">
        <v>0</v>
      </c>
      <c r="BL100" s="254">
        <v>0</v>
      </c>
      <c r="BM100" s="254">
        <v>0</v>
      </c>
      <c r="BN100" s="254">
        <v>0</v>
      </c>
      <c r="BO100" s="254">
        <v>0</v>
      </c>
      <c r="BP100" s="254">
        <v>0</v>
      </c>
      <c r="BQ100" s="254">
        <v>0</v>
      </c>
      <c r="BR100" s="254">
        <v>0</v>
      </c>
      <c r="BS100" s="254">
        <v>0</v>
      </c>
      <c r="BT100" s="254">
        <v>0</v>
      </c>
      <c r="BU100" s="254">
        <v>0</v>
      </c>
      <c r="BV100" s="254">
        <v>0</v>
      </c>
      <c r="BW100" s="254">
        <v>0</v>
      </c>
      <c r="BX100" s="254">
        <v>0</v>
      </c>
      <c r="BY100" s="254">
        <v>0</v>
      </c>
      <c r="BZ100" s="254">
        <v>0</v>
      </c>
      <c r="CA100" s="254">
        <v>0</v>
      </c>
      <c r="CB100" s="254">
        <v>0</v>
      </c>
      <c r="CC100" s="254">
        <v>0</v>
      </c>
      <c r="CD100" s="254">
        <v>0</v>
      </c>
      <c r="CE100" s="254">
        <v>0</v>
      </c>
      <c r="CF100" s="254">
        <v>0</v>
      </c>
      <c r="CG100" s="254">
        <v>0</v>
      </c>
      <c r="CH100" s="254">
        <v>0</v>
      </c>
      <c r="CI100" s="254">
        <v>0</v>
      </c>
      <c r="CJ100" s="254">
        <v>0</v>
      </c>
      <c r="CK100" s="254">
        <v>0</v>
      </c>
      <c r="CL100" s="254">
        <v>0</v>
      </c>
      <c r="CM100" s="254">
        <v>0</v>
      </c>
      <c r="CN100" s="254">
        <v>0</v>
      </c>
      <c r="CO100" s="254">
        <v>0</v>
      </c>
      <c r="CP100" s="254">
        <v>0</v>
      </c>
      <c r="CQ100" s="116"/>
      <c r="CR100" s="255">
        <v>0</v>
      </c>
      <c r="CS100" s="255">
        <v>0</v>
      </c>
      <c r="CT100" s="255">
        <v>0</v>
      </c>
      <c r="CU100" s="255">
        <v>0</v>
      </c>
      <c r="CV100" s="255">
        <v>0</v>
      </c>
      <c r="CW100" s="255">
        <v>0</v>
      </c>
      <c r="CX100" s="255">
        <v>0</v>
      </c>
      <c r="CY100" s="255">
        <v>0</v>
      </c>
      <c r="CZ100" s="255">
        <v>0</v>
      </c>
      <c r="DA100" s="255">
        <v>0</v>
      </c>
      <c r="DB100" s="255">
        <v>0</v>
      </c>
      <c r="DC100" s="255">
        <v>0</v>
      </c>
      <c r="DD100" s="255">
        <v>0</v>
      </c>
      <c r="DE100" s="255">
        <v>100000</v>
      </c>
      <c r="DF100" s="255">
        <v>100000</v>
      </c>
      <c r="DG100" s="255">
        <v>50000</v>
      </c>
      <c r="DH100" s="255">
        <v>0</v>
      </c>
      <c r="DI100" s="255">
        <v>0</v>
      </c>
      <c r="DJ100" s="255">
        <v>0</v>
      </c>
      <c r="DK100" s="255">
        <v>0</v>
      </c>
      <c r="DL100" s="255">
        <v>0</v>
      </c>
      <c r="DM100" s="255">
        <v>0</v>
      </c>
      <c r="DN100" s="255">
        <v>0</v>
      </c>
      <c r="DO100" s="255">
        <v>0</v>
      </c>
      <c r="DP100" s="255">
        <v>0</v>
      </c>
      <c r="DQ100" s="255">
        <v>0</v>
      </c>
      <c r="DR100" s="255">
        <v>0</v>
      </c>
      <c r="DS100" s="255">
        <v>0</v>
      </c>
      <c r="DT100" s="255">
        <v>0</v>
      </c>
      <c r="DU100" s="255">
        <v>0</v>
      </c>
      <c r="DV100" s="255">
        <v>0</v>
      </c>
      <c r="DW100" s="255">
        <v>0</v>
      </c>
      <c r="DX100" s="255">
        <v>0</v>
      </c>
      <c r="DY100" s="255">
        <v>0</v>
      </c>
      <c r="DZ100" s="255">
        <v>0</v>
      </c>
      <c r="EA100" s="255">
        <v>0</v>
      </c>
      <c r="EB100" s="255">
        <v>0</v>
      </c>
      <c r="EC100" s="255">
        <v>0</v>
      </c>
      <c r="ED100" s="255">
        <v>0</v>
      </c>
      <c r="EE100" s="255">
        <v>0</v>
      </c>
      <c r="EF100" s="255">
        <v>0</v>
      </c>
      <c r="EG100" s="255">
        <v>0</v>
      </c>
      <c r="EH100" s="255">
        <v>0</v>
      </c>
      <c r="EI100" s="255">
        <v>0</v>
      </c>
      <c r="EJ100" s="255">
        <v>0</v>
      </c>
      <c r="EK100" s="255">
        <v>0</v>
      </c>
      <c r="EL100" s="255">
        <v>0</v>
      </c>
      <c r="EM100" s="255">
        <v>0</v>
      </c>
      <c r="EN100" s="255">
        <v>0</v>
      </c>
      <c r="EO100" s="255">
        <v>0</v>
      </c>
      <c r="EP100" s="255">
        <v>0</v>
      </c>
      <c r="EQ100" s="255">
        <v>0</v>
      </c>
      <c r="ER100" s="255">
        <v>0</v>
      </c>
      <c r="ES100" s="255">
        <v>0</v>
      </c>
      <c r="ET100" s="255">
        <v>0</v>
      </c>
      <c r="EU100" s="255">
        <v>0</v>
      </c>
      <c r="EV100" s="255">
        <v>0</v>
      </c>
      <c r="EW100" s="255">
        <v>0</v>
      </c>
      <c r="EX100" s="255">
        <v>0</v>
      </c>
      <c r="EY100" s="255">
        <v>0</v>
      </c>
      <c r="EZ100" s="255">
        <v>0</v>
      </c>
      <c r="FA100" s="255">
        <v>0</v>
      </c>
      <c r="FB100" s="255">
        <v>0</v>
      </c>
      <c r="FC100" s="255">
        <v>0</v>
      </c>
      <c r="FD100" s="255">
        <v>0</v>
      </c>
      <c r="FE100" s="255">
        <v>0</v>
      </c>
      <c r="FF100" s="255">
        <v>0</v>
      </c>
      <c r="FG100" s="255">
        <v>0</v>
      </c>
      <c r="FH100" s="255">
        <v>0</v>
      </c>
      <c r="FI100" s="255">
        <v>0</v>
      </c>
      <c r="FJ100" s="255">
        <v>0</v>
      </c>
      <c r="FK100" s="255">
        <v>0</v>
      </c>
      <c r="FL100" s="255">
        <v>0</v>
      </c>
      <c r="FM100" s="255">
        <v>0</v>
      </c>
      <c r="FN100" s="255">
        <v>0</v>
      </c>
      <c r="FO100" s="255">
        <v>0</v>
      </c>
      <c r="FP100" s="255">
        <v>0</v>
      </c>
      <c r="FQ100" s="255">
        <v>0</v>
      </c>
      <c r="FR100" s="255">
        <v>0</v>
      </c>
      <c r="FS100" s="255">
        <v>0</v>
      </c>
      <c r="FT100" s="255">
        <v>0</v>
      </c>
      <c r="FU100" s="255">
        <v>0</v>
      </c>
      <c r="FV100" s="255">
        <v>0</v>
      </c>
      <c r="FW100" s="255">
        <v>0</v>
      </c>
      <c r="FX100" s="116"/>
    </row>
    <row r="101" spans="2:180" x14ac:dyDescent="0.2">
      <c r="B101" s="253" t="s">
        <v>236</v>
      </c>
      <c r="C101" s="286" t="s">
        <v>338</v>
      </c>
      <c r="D101" s="253" t="s">
        <v>85</v>
      </c>
      <c r="E101" s="253" t="s">
        <v>127</v>
      </c>
      <c r="F101" s="253">
        <v>0</v>
      </c>
      <c r="G101" s="253" t="s">
        <v>268</v>
      </c>
      <c r="H101" s="237">
        <v>0</v>
      </c>
      <c r="I101" s="126">
        <f t="shared" si="86"/>
        <v>70000</v>
      </c>
      <c r="J101" s="116"/>
      <c r="K101" s="254">
        <v>0</v>
      </c>
      <c r="L101" s="254">
        <v>0</v>
      </c>
      <c r="M101" s="254">
        <v>0</v>
      </c>
      <c r="N101" s="254">
        <v>0</v>
      </c>
      <c r="O101" s="254">
        <v>0</v>
      </c>
      <c r="P101" s="254">
        <v>0</v>
      </c>
      <c r="Q101" s="254">
        <v>0</v>
      </c>
      <c r="R101" s="254">
        <v>0</v>
      </c>
      <c r="S101" s="254">
        <v>0</v>
      </c>
      <c r="T101" s="254">
        <v>0</v>
      </c>
      <c r="U101" s="254">
        <v>0</v>
      </c>
      <c r="V101" s="254">
        <v>0</v>
      </c>
      <c r="W101" s="254">
        <v>0</v>
      </c>
      <c r="X101" s="254">
        <v>0.5</v>
      </c>
      <c r="Y101" s="254">
        <v>0.5</v>
      </c>
      <c r="Z101" s="254">
        <v>0</v>
      </c>
      <c r="AA101" s="254">
        <v>0</v>
      </c>
      <c r="AB101" s="254">
        <v>0</v>
      </c>
      <c r="AC101" s="254">
        <v>0</v>
      </c>
      <c r="AD101" s="254">
        <v>0</v>
      </c>
      <c r="AE101" s="254">
        <v>0</v>
      </c>
      <c r="AF101" s="254">
        <v>0</v>
      </c>
      <c r="AG101" s="254">
        <v>0</v>
      </c>
      <c r="AH101" s="254">
        <v>0</v>
      </c>
      <c r="AI101" s="254">
        <v>0</v>
      </c>
      <c r="AJ101" s="254">
        <v>0</v>
      </c>
      <c r="AK101" s="254">
        <v>0</v>
      </c>
      <c r="AL101" s="254">
        <v>0</v>
      </c>
      <c r="AM101" s="254">
        <v>0</v>
      </c>
      <c r="AN101" s="254">
        <v>0</v>
      </c>
      <c r="AO101" s="254">
        <v>0</v>
      </c>
      <c r="AP101" s="254">
        <v>0</v>
      </c>
      <c r="AQ101" s="254">
        <v>0</v>
      </c>
      <c r="AR101" s="254">
        <v>0</v>
      </c>
      <c r="AS101" s="254">
        <v>0</v>
      </c>
      <c r="AT101" s="254">
        <v>0</v>
      </c>
      <c r="AU101" s="254">
        <v>0</v>
      </c>
      <c r="AV101" s="254">
        <v>0</v>
      </c>
      <c r="AW101" s="254">
        <v>0</v>
      </c>
      <c r="AX101" s="254">
        <v>0</v>
      </c>
      <c r="AY101" s="254">
        <v>0</v>
      </c>
      <c r="AZ101" s="254">
        <v>0</v>
      </c>
      <c r="BA101" s="254">
        <v>0</v>
      </c>
      <c r="BB101" s="254">
        <v>0</v>
      </c>
      <c r="BC101" s="254">
        <v>0</v>
      </c>
      <c r="BD101" s="254">
        <v>0</v>
      </c>
      <c r="BE101" s="254">
        <v>0</v>
      </c>
      <c r="BF101" s="254">
        <v>0</v>
      </c>
      <c r="BG101" s="254">
        <v>0</v>
      </c>
      <c r="BH101" s="254">
        <v>0</v>
      </c>
      <c r="BI101" s="254">
        <v>0</v>
      </c>
      <c r="BJ101" s="254">
        <v>0</v>
      </c>
      <c r="BK101" s="254">
        <v>0</v>
      </c>
      <c r="BL101" s="254">
        <v>0</v>
      </c>
      <c r="BM101" s="254">
        <v>0</v>
      </c>
      <c r="BN101" s="254">
        <v>0</v>
      </c>
      <c r="BO101" s="254">
        <v>0</v>
      </c>
      <c r="BP101" s="254">
        <v>0</v>
      </c>
      <c r="BQ101" s="254">
        <v>0</v>
      </c>
      <c r="BR101" s="254">
        <v>0</v>
      </c>
      <c r="BS101" s="254">
        <v>0</v>
      </c>
      <c r="BT101" s="254">
        <v>0</v>
      </c>
      <c r="BU101" s="254">
        <v>0</v>
      </c>
      <c r="BV101" s="254">
        <v>0</v>
      </c>
      <c r="BW101" s="254">
        <v>0</v>
      </c>
      <c r="BX101" s="254">
        <v>0</v>
      </c>
      <c r="BY101" s="254">
        <v>0</v>
      </c>
      <c r="BZ101" s="254">
        <v>0</v>
      </c>
      <c r="CA101" s="254">
        <v>0</v>
      </c>
      <c r="CB101" s="254">
        <v>0</v>
      </c>
      <c r="CC101" s="254">
        <v>0</v>
      </c>
      <c r="CD101" s="254">
        <v>0</v>
      </c>
      <c r="CE101" s="254">
        <v>0</v>
      </c>
      <c r="CF101" s="254">
        <v>0</v>
      </c>
      <c r="CG101" s="254">
        <v>0</v>
      </c>
      <c r="CH101" s="254">
        <v>0</v>
      </c>
      <c r="CI101" s="254">
        <v>0</v>
      </c>
      <c r="CJ101" s="254">
        <v>0</v>
      </c>
      <c r="CK101" s="254">
        <v>0</v>
      </c>
      <c r="CL101" s="254">
        <v>0</v>
      </c>
      <c r="CM101" s="254">
        <v>0</v>
      </c>
      <c r="CN101" s="254">
        <v>0</v>
      </c>
      <c r="CO101" s="254">
        <v>0</v>
      </c>
      <c r="CP101" s="254">
        <v>0</v>
      </c>
      <c r="CQ101" s="116"/>
      <c r="CR101" s="255">
        <v>0</v>
      </c>
      <c r="CS101" s="255">
        <v>0</v>
      </c>
      <c r="CT101" s="255">
        <v>0</v>
      </c>
      <c r="CU101" s="255">
        <v>0</v>
      </c>
      <c r="CV101" s="255">
        <v>0</v>
      </c>
      <c r="CW101" s="255">
        <v>0</v>
      </c>
      <c r="CX101" s="255">
        <v>0</v>
      </c>
      <c r="CY101" s="255">
        <v>0</v>
      </c>
      <c r="CZ101" s="255">
        <v>0</v>
      </c>
      <c r="DA101" s="255">
        <v>0</v>
      </c>
      <c r="DB101" s="255">
        <v>0</v>
      </c>
      <c r="DC101" s="255">
        <v>0</v>
      </c>
      <c r="DD101" s="255">
        <v>0</v>
      </c>
      <c r="DE101" s="255">
        <v>35000</v>
      </c>
      <c r="DF101" s="255">
        <v>35000</v>
      </c>
      <c r="DG101" s="255">
        <v>0</v>
      </c>
      <c r="DH101" s="255">
        <v>0</v>
      </c>
      <c r="DI101" s="255">
        <v>0</v>
      </c>
      <c r="DJ101" s="255">
        <v>0</v>
      </c>
      <c r="DK101" s="255">
        <v>0</v>
      </c>
      <c r="DL101" s="255">
        <v>0</v>
      </c>
      <c r="DM101" s="255">
        <v>0</v>
      </c>
      <c r="DN101" s="255">
        <v>0</v>
      </c>
      <c r="DO101" s="255">
        <v>0</v>
      </c>
      <c r="DP101" s="255">
        <v>0</v>
      </c>
      <c r="DQ101" s="255">
        <v>0</v>
      </c>
      <c r="DR101" s="255">
        <v>0</v>
      </c>
      <c r="DS101" s="255">
        <v>0</v>
      </c>
      <c r="DT101" s="255">
        <v>0</v>
      </c>
      <c r="DU101" s="255">
        <v>0</v>
      </c>
      <c r="DV101" s="255">
        <v>0</v>
      </c>
      <c r="DW101" s="255">
        <v>0</v>
      </c>
      <c r="DX101" s="255">
        <v>0</v>
      </c>
      <c r="DY101" s="255">
        <v>0</v>
      </c>
      <c r="DZ101" s="255">
        <v>0</v>
      </c>
      <c r="EA101" s="255">
        <v>0</v>
      </c>
      <c r="EB101" s="255">
        <v>0</v>
      </c>
      <c r="EC101" s="255">
        <v>0</v>
      </c>
      <c r="ED101" s="255">
        <v>0</v>
      </c>
      <c r="EE101" s="255">
        <v>0</v>
      </c>
      <c r="EF101" s="255">
        <v>0</v>
      </c>
      <c r="EG101" s="255">
        <v>0</v>
      </c>
      <c r="EH101" s="255">
        <v>0</v>
      </c>
      <c r="EI101" s="255">
        <v>0</v>
      </c>
      <c r="EJ101" s="255">
        <v>0</v>
      </c>
      <c r="EK101" s="255">
        <v>0</v>
      </c>
      <c r="EL101" s="255">
        <v>0</v>
      </c>
      <c r="EM101" s="255">
        <v>0</v>
      </c>
      <c r="EN101" s="255">
        <v>0</v>
      </c>
      <c r="EO101" s="255">
        <v>0</v>
      </c>
      <c r="EP101" s="255">
        <v>0</v>
      </c>
      <c r="EQ101" s="255">
        <v>0</v>
      </c>
      <c r="ER101" s="255">
        <v>0</v>
      </c>
      <c r="ES101" s="255">
        <v>0</v>
      </c>
      <c r="ET101" s="255">
        <v>0</v>
      </c>
      <c r="EU101" s="255">
        <v>0</v>
      </c>
      <c r="EV101" s="255">
        <v>0</v>
      </c>
      <c r="EW101" s="255">
        <v>0</v>
      </c>
      <c r="EX101" s="255">
        <v>0</v>
      </c>
      <c r="EY101" s="255">
        <v>0</v>
      </c>
      <c r="EZ101" s="255">
        <v>0</v>
      </c>
      <c r="FA101" s="255">
        <v>0</v>
      </c>
      <c r="FB101" s="255">
        <v>0</v>
      </c>
      <c r="FC101" s="255">
        <v>0</v>
      </c>
      <c r="FD101" s="255">
        <v>0</v>
      </c>
      <c r="FE101" s="255">
        <v>0</v>
      </c>
      <c r="FF101" s="255">
        <v>0</v>
      </c>
      <c r="FG101" s="255">
        <v>0</v>
      </c>
      <c r="FH101" s="255">
        <v>0</v>
      </c>
      <c r="FI101" s="255">
        <v>0</v>
      </c>
      <c r="FJ101" s="255">
        <v>0</v>
      </c>
      <c r="FK101" s="255">
        <v>0</v>
      </c>
      <c r="FL101" s="255">
        <v>0</v>
      </c>
      <c r="FM101" s="255">
        <v>0</v>
      </c>
      <c r="FN101" s="255">
        <v>0</v>
      </c>
      <c r="FO101" s="255">
        <v>0</v>
      </c>
      <c r="FP101" s="255">
        <v>0</v>
      </c>
      <c r="FQ101" s="255">
        <v>0</v>
      </c>
      <c r="FR101" s="255">
        <v>0</v>
      </c>
      <c r="FS101" s="255">
        <v>0</v>
      </c>
      <c r="FT101" s="255">
        <v>0</v>
      </c>
      <c r="FU101" s="255">
        <v>0</v>
      </c>
      <c r="FV101" s="255">
        <v>0</v>
      </c>
      <c r="FW101" s="255">
        <v>0</v>
      </c>
      <c r="FX101" s="116"/>
    </row>
    <row r="102" spans="2:180" x14ac:dyDescent="0.2">
      <c r="B102" s="253" t="s">
        <v>236</v>
      </c>
      <c r="C102" s="253" t="s">
        <v>282</v>
      </c>
      <c r="D102" s="253" t="s">
        <v>283</v>
      </c>
      <c r="E102" s="253" t="s">
        <v>127</v>
      </c>
      <c r="F102" s="253">
        <v>0</v>
      </c>
      <c r="G102" s="253" t="s">
        <v>268</v>
      </c>
      <c r="H102" s="237">
        <v>0</v>
      </c>
      <c r="I102" s="126">
        <f t="shared" si="86"/>
        <v>294400</v>
      </c>
      <c r="J102" s="116"/>
      <c r="K102" s="254">
        <v>0</v>
      </c>
      <c r="L102" s="254">
        <v>0</v>
      </c>
      <c r="M102" s="254">
        <v>0</v>
      </c>
      <c r="N102" s="254">
        <v>0</v>
      </c>
      <c r="O102" s="254">
        <v>0</v>
      </c>
      <c r="P102" s="254">
        <v>0</v>
      </c>
      <c r="Q102" s="254">
        <v>0</v>
      </c>
      <c r="R102" s="254">
        <v>0</v>
      </c>
      <c r="S102" s="254">
        <v>0</v>
      </c>
      <c r="T102" s="254">
        <v>0</v>
      </c>
      <c r="U102" s="254">
        <v>0</v>
      </c>
      <c r="V102" s="254">
        <v>0</v>
      </c>
      <c r="W102" s="254">
        <v>0</v>
      </c>
      <c r="X102" s="254">
        <v>0.125</v>
      </c>
      <c r="Y102" s="254">
        <v>0.125</v>
      </c>
      <c r="Z102" s="254">
        <v>0.125</v>
      </c>
      <c r="AA102" s="254">
        <v>0.125</v>
      </c>
      <c r="AB102" s="254">
        <v>0.125</v>
      </c>
      <c r="AC102" s="254">
        <v>0.125</v>
      </c>
      <c r="AD102" s="254">
        <v>0.125</v>
      </c>
      <c r="AE102" s="254">
        <v>0.125</v>
      </c>
      <c r="AF102" s="254">
        <v>0</v>
      </c>
      <c r="AG102" s="254">
        <v>0</v>
      </c>
      <c r="AH102" s="254">
        <v>0</v>
      </c>
      <c r="AI102" s="254">
        <v>0</v>
      </c>
      <c r="AJ102" s="254">
        <v>0</v>
      </c>
      <c r="AK102" s="254">
        <v>0</v>
      </c>
      <c r="AL102" s="254">
        <v>0</v>
      </c>
      <c r="AM102" s="254">
        <v>0</v>
      </c>
      <c r="AN102" s="254">
        <v>0</v>
      </c>
      <c r="AO102" s="254">
        <v>0</v>
      </c>
      <c r="AP102" s="254">
        <v>0</v>
      </c>
      <c r="AQ102" s="254">
        <v>0</v>
      </c>
      <c r="AR102" s="254">
        <v>0</v>
      </c>
      <c r="AS102" s="254">
        <v>0</v>
      </c>
      <c r="AT102" s="254">
        <v>0</v>
      </c>
      <c r="AU102" s="254">
        <v>0</v>
      </c>
      <c r="AV102" s="254">
        <v>0</v>
      </c>
      <c r="AW102" s="254">
        <v>0</v>
      </c>
      <c r="AX102" s="254">
        <v>0</v>
      </c>
      <c r="AY102" s="254">
        <v>0</v>
      </c>
      <c r="AZ102" s="254">
        <v>0</v>
      </c>
      <c r="BA102" s="254">
        <v>0</v>
      </c>
      <c r="BB102" s="254">
        <v>0</v>
      </c>
      <c r="BC102" s="254">
        <v>0</v>
      </c>
      <c r="BD102" s="254">
        <v>0</v>
      </c>
      <c r="BE102" s="254">
        <v>0</v>
      </c>
      <c r="BF102" s="254">
        <v>0</v>
      </c>
      <c r="BG102" s="254">
        <v>0</v>
      </c>
      <c r="BH102" s="254">
        <v>0</v>
      </c>
      <c r="BI102" s="254">
        <v>0</v>
      </c>
      <c r="BJ102" s="254">
        <v>0</v>
      </c>
      <c r="BK102" s="254">
        <v>0</v>
      </c>
      <c r="BL102" s="254">
        <v>0</v>
      </c>
      <c r="BM102" s="254">
        <v>0</v>
      </c>
      <c r="BN102" s="254">
        <v>0</v>
      </c>
      <c r="BO102" s="254">
        <v>0</v>
      </c>
      <c r="BP102" s="254">
        <v>0</v>
      </c>
      <c r="BQ102" s="254">
        <v>0</v>
      </c>
      <c r="BR102" s="254">
        <v>0</v>
      </c>
      <c r="BS102" s="254">
        <v>0</v>
      </c>
      <c r="BT102" s="254">
        <v>0</v>
      </c>
      <c r="BU102" s="254">
        <v>0</v>
      </c>
      <c r="BV102" s="254">
        <v>0</v>
      </c>
      <c r="BW102" s="254">
        <v>0</v>
      </c>
      <c r="BX102" s="254">
        <v>0</v>
      </c>
      <c r="BY102" s="254">
        <v>0</v>
      </c>
      <c r="BZ102" s="254">
        <v>0</v>
      </c>
      <c r="CA102" s="254">
        <v>0</v>
      </c>
      <c r="CB102" s="254">
        <v>0</v>
      </c>
      <c r="CC102" s="254">
        <v>0</v>
      </c>
      <c r="CD102" s="254">
        <v>0</v>
      </c>
      <c r="CE102" s="254">
        <v>0</v>
      </c>
      <c r="CF102" s="254">
        <v>0</v>
      </c>
      <c r="CG102" s="254">
        <v>0</v>
      </c>
      <c r="CH102" s="254">
        <v>0</v>
      </c>
      <c r="CI102" s="254">
        <v>0</v>
      </c>
      <c r="CJ102" s="254">
        <v>0</v>
      </c>
      <c r="CK102" s="254">
        <v>0</v>
      </c>
      <c r="CL102" s="254">
        <v>0</v>
      </c>
      <c r="CM102" s="254">
        <v>0</v>
      </c>
      <c r="CN102" s="254">
        <v>0</v>
      </c>
      <c r="CO102" s="254">
        <v>0</v>
      </c>
      <c r="CP102" s="254">
        <v>0</v>
      </c>
      <c r="CQ102" s="116"/>
      <c r="CR102" s="255">
        <v>0</v>
      </c>
      <c r="CS102" s="255">
        <v>0</v>
      </c>
      <c r="CT102" s="255">
        <v>0</v>
      </c>
      <c r="CU102" s="255">
        <v>0</v>
      </c>
      <c r="CV102" s="255">
        <v>0</v>
      </c>
      <c r="CW102" s="255">
        <v>0</v>
      </c>
      <c r="CX102" s="255">
        <v>0</v>
      </c>
      <c r="CY102" s="255">
        <v>0</v>
      </c>
      <c r="CZ102" s="255">
        <v>0</v>
      </c>
      <c r="DA102" s="255">
        <v>0</v>
      </c>
      <c r="DB102" s="255">
        <v>0</v>
      </c>
      <c r="DC102" s="255">
        <v>0</v>
      </c>
      <c r="DD102" s="255">
        <v>0</v>
      </c>
      <c r="DE102" s="255">
        <v>36800</v>
      </c>
      <c r="DF102" s="255">
        <v>36800</v>
      </c>
      <c r="DG102" s="255">
        <v>36800</v>
      </c>
      <c r="DH102" s="255">
        <v>36800</v>
      </c>
      <c r="DI102" s="255">
        <v>36800</v>
      </c>
      <c r="DJ102" s="255">
        <v>36800</v>
      </c>
      <c r="DK102" s="255">
        <v>36800</v>
      </c>
      <c r="DL102" s="255">
        <v>36800</v>
      </c>
      <c r="DM102" s="255">
        <v>0</v>
      </c>
      <c r="DN102" s="255">
        <v>0</v>
      </c>
      <c r="DO102" s="255">
        <v>0</v>
      </c>
      <c r="DP102" s="255">
        <v>0</v>
      </c>
      <c r="DQ102" s="255">
        <v>0</v>
      </c>
      <c r="DR102" s="255">
        <v>0</v>
      </c>
      <c r="DS102" s="255">
        <v>0</v>
      </c>
      <c r="DT102" s="255">
        <v>0</v>
      </c>
      <c r="DU102" s="255">
        <v>0</v>
      </c>
      <c r="DV102" s="255">
        <v>0</v>
      </c>
      <c r="DW102" s="255">
        <v>0</v>
      </c>
      <c r="DX102" s="255">
        <v>0</v>
      </c>
      <c r="DY102" s="255">
        <v>0</v>
      </c>
      <c r="DZ102" s="255">
        <v>0</v>
      </c>
      <c r="EA102" s="255">
        <v>0</v>
      </c>
      <c r="EB102" s="255">
        <v>0</v>
      </c>
      <c r="EC102" s="255">
        <v>0</v>
      </c>
      <c r="ED102" s="255">
        <v>0</v>
      </c>
      <c r="EE102" s="255">
        <v>0</v>
      </c>
      <c r="EF102" s="255">
        <v>0</v>
      </c>
      <c r="EG102" s="255">
        <v>0</v>
      </c>
      <c r="EH102" s="255">
        <v>0</v>
      </c>
      <c r="EI102" s="255">
        <v>0</v>
      </c>
      <c r="EJ102" s="255">
        <v>0</v>
      </c>
      <c r="EK102" s="255">
        <v>0</v>
      </c>
      <c r="EL102" s="255">
        <v>0</v>
      </c>
      <c r="EM102" s="255">
        <v>0</v>
      </c>
      <c r="EN102" s="255">
        <v>0</v>
      </c>
      <c r="EO102" s="255">
        <v>0</v>
      </c>
      <c r="EP102" s="255">
        <v>0</v>
      </c>
      <c r="EQ102" s="255">
        <v>0</v>
      </c>
      <c r="ER102" s="255">
        <v>0</v>
      </c>
      <c r="ES102" s="255">
        <v>0</v>
      </c>
      <c r="ET102" s="255">
        <v>0</v>
      </c>
      <c r="EU102" s="255">
        <v>0</v>
      </c>
      <c r="EV102" s="255">
        <v>0</v>
      </c>
      <c r="EW102" s="255">
        <v>0</v>
      </c>
      <c r="EX102" s="255">
        <v>0</v>
      </c>
      <c r="EY102" s="255">
        <v>0</v>
      </c>
      <c r="EZ102" s="255">
        <v>0</v>
      </c>
      <c r="FA102" s="255">
        <v>0</v>
      </c>
      <c r="FB102" s="255">
        <v>0</v>
      </c>
      <c r="FC102" s="255">
        <v>0</v>
      </c>
      <c r="FD102" s="255">
        <v>0</v>
      </c>
      <c r="FE102" s="255">
        <v>0</v>
      </c>
      <c r="FF102" s="255">
        <v>0</v>
      </c>
      <c r="FG102" s="255">
        <v>0</v>
      </c>
      <c r="FH102" s="255">
        <v>0</v>
      </c>
      <c r="FI102" s="255">
        <v>0</v>
      </c>
      <c r="FJ102" s="255">
        <v>0</v>
      </c>
      <c r="FK102" s="255">
        <v>0</v>
      </c>
      <c r="FL102" s="255">
        <v>0</v>
      </c>
      <c r="FM102" s="255">
        <v>0</v>
      </c>
      <c r="FN102" s="255">
        <v>0</v>
      </c>
      <c r="FO102" s="255">
        <v>0</v>
      </c>
      <c r="FP102" s="255">
        <v>0</v>
      </c>
      <c r="FQ102" s="255">
        <v>0</v>
      </c>
      <c r="FR102" s="255">
        <v>0</v>
      </c>
      <c r="FS102" s="255">
        <v>0</v>
      </c>
      <c r="FT102" s="255">
        <v>0</v>
      </c>
      <c r="FU102" s="255">
        <v>0</v>
      </c>
      <c r="FV102" s="255">
        <v>0</v>
      </c>
      <c r="FW102" s="255">
        <v>0</v>
      </c>
      <c r="FX102" s="116"/>
    </row>
    <row r="103" spans="2:180" x14ac:dyDescent="0.2">
      <c r="B103" s="253" t="s">
        <v>236</v>
      </c>
      <c r="C103" s="253" t="s">
        <v>282</v>
      </c>
      <c r="D103" s="253" t="s">
        <v>283</v>
      </c>
      <c r="E103" s="253" t="s">
        <v>127</v>
      </c>
      <c r="F103" s="253">
        <v>0</v>
      </c>
      <c r="G103" s="253" t="s">
        <v>268</v>
      </c>
      <c r="H103" s="237">
        <v>0</v>
      </c>
      <c r="I103" s="126">
        <f t="shared" si="86"/>
        <v>76800</v>
      </c>
      <c r="J103" s="116"/>
      <c r="K103" s="254">
        <v>0</v>
      </c>
      <c r="L103" s="254">
        <v>0</v>
      </c>
      <c r="M103" s="254">
        <v>0</v>
      </c>
      <c r="N103" s="254">
        <v>0</v>
      </c>
      <c r="O103" s="254">
        <v>0</v>
      </c>
      <c r="P103" s="254">
        <v>0</v>
      </c>
      <c r="Q103" s="254">
        <v>0</v>
      </c>
      <c r="R103" s="254">
        <v>0</v>
      </c>
      <c r="S103" s="254">
        <v>0</v>
      </c>
      <c r="T103" s="254">
        <v>0</v>
      </c>
      <c r="U103" s="254">
        <v>0</v>
      </c>
      <c r="V103" s="254">
        <v>0</v>
      </c>
      <c r="W103" s="254">
        <v>0</v>
      </c>
      <c r="X103" s="254">
        <v>0.5</v>
      </c>
      <c r="Y103" s="254">
        <v>0.5</v>
      </c>
      <c r="Z103" s="254">
        <v>0</v>
      </c>
      <c r="AA103" s="254">
        <v>0</v>
      </c>
      <c r="AB103" s="254">
        <v>0</v>
      </c>
      <c r="AC103" s="254">
        <v>0</v>
      </c>
      <c r="AD103" s="254">
        <v>0</v>
      </c>
      <c r="AE103" s="254">
        <v>0</v>
      </c>
      <c r="AF103" s="254">
        <v>0</v>
      </c>
      <c r="AG103" s="254">
        <v>0</v>
      </c>
      <c r="AH103" s="254">
        <v>0</v>
      </c>
      <c r="AI103" s="254">
        <v>0</v>
      </c>
      <c r="AJ103" s="254">
        <v>0</v>
      </c>
      <c r="AK103" s="254">
        <v>0</v>
      </c>
      <c r="AL103" s="254">
        <v>0</v>
      </c>
      <c r="AM103" s="254">
        <v>0</v>
      </c>
      <c r="AN103" s="254">
        <v>0</v>
      </c>
      <c r="AO103" s="254">
        <v>0</v>
      </c>
      <c r="AP103" s="254">
        <v>0</v>
      </c>
      <c r="AQ103" s="254">
        <v>0</v>
      </c>
      <c r="AR103" s="254">
        <v>0</v>
      </c>
      <c r="AS103" s="254">
        <v>0</v>
      </c>
      <c r="AT103" s="254">
        <v>0</v>
      </c>
      <c r="AU103" s="254">
        <v>0</v>
      </c>
      <c r="AV103" s="254">
        <v>0</v>
      </c>
      <c r="AW103" s="254">
        <v>0</v>
      </c>
      <c r="AX103" s="254">
        <v>0</v>
      </c>
      <c r="AY103" s="254">
        <v>0</v>
      </c>
      <c r="AZ103" s="254">
        <v>0</v>
      </c>
      <c r="BA103" s="254">
        <v>0</v>
      </c>
      <c r="BB103" s="254">
        <v>0</v>
      </c>
      <c r="BC103" s="254">
        <v>0</v>
      </c>
      <c r="BD103" s="254">
        <v>0</v>
      </c>
      <c r="BE103" s="254">
        <v>0</v>
      </c>
      <c r="BF103" s="254">
        <v>0</v>
      </c>
      <c r="BG103" s="254">
        <v>0</v>
      </c>
      <c r="BH103" s="254">
        <v>0</v>
      </c>
      <c r="BI103" s="254">
        <v>0</v>
      </c>
      <c r="BJ103" s="254">
        <v>0</v>
      </c>
      <c r="BK103" s="254">
        <v>0</v>
      </c>
      <c r="BL103" s="254">
        <v>0</v>
      </c>
      <c r="BM103" s="254">
        <v>0</v>
      </c>
      <c r="BN103" s="254">
        <v>0</v>
      </c>
      <c r="BO103" s="254">
        <v>0</v>
      </c>
      <c r="BP103" s="254">
        <v>0</v>
      </c>
      <c r="BQ103" s="254">
        <v>0</v>
      </c>
      <c r="BR103" s="254">
        <v>0</v>
      </c>
      <c r="BS103" s="254">
        <v>0</v>
      </c>
      <c r="BT103" s="254">
        <v>0</v>
      </c>
      <c r="BU103" s="254">
        <v>0</v>
      </c>
      <c r="BV103" s="254">
        <v>0</v>
      </c>
      <c r="BW103" s="254">
        <v>0</v>
      </c>
      <c r="BX103" s="254">
        <v>0</v>
      </c>
      <c r="BY103" s="254">
        <v>0</v>
      </c>
      <c r="BZ103" s="254">
        <v>0</v>
      </c>
      <c r="CA103" s="254">
        <v>0</v>
      </c>
      <c r="CB103" s="254">
        <v>0</v>
      </c>
      <c r="CC103" s="254">
        <v>0</v>
      </c>
      <c r="CD103" s="254">
        <v>0</v>
      </c>
      <c r="CE103" s="254">
        <v>0</v>
      </c>
      <c r="CF103" s="254">
        <v>0</v>
      </c>
      <c r="CG103" s="254">
        <v>0</v>
      </c>
      <c r="CH103" s="254">
        <v>0</v>
      </c>
      <c r="CI103" s="254">
        <v>0</v>
      </c>
      <c r="CJ103" s="254">
        <v>0</v>
      </c>
      <c r="CK103" s="254">
        <v>0</v>
      </c>
      <c r="CL103" s="254">
        <v>0</v>
      </c>
      <c r="CM103" s="254">
        <v>0</v>
      </c>
      <c r="CN103" s="254">
        <v>0</v>
      </c>
      <c r="CO103" s="254">
        <v>0</v>
      </c>
      <c r="CP103" s="254">
        <v>0</v>
      </c>
      <c r="CQ103" s="116"/>
      <c r="CR103" s="255">
        <v>0</v>
      </c>
      <c r="CS103" s="255">
        <v>0</v>
      </c>
      <c r="CT103" s="255">
        <v>0</v>
      </c>
      <c r="CU103" s="255">
        <v>0</v>
      </c>
      <c r="CV103" s="255">
        <v>0</v>
      </c>
      <c r="CW103" s="255">
        <v>0</v>
      </c>
      <c r="CX103" s="255">
        <v>0</v>
      </c>
      <c r="CY103" s="255">
        <v>0</v>
      </c>
      <c r="CZ103" s="255">
        <v>0</v>
      </c>
      <c r="DA103" s="255">
        <v>0</v>
      </c>
      <c r="DB103" s="255">
        <v>0</v>
      </c>
      <c r="DC103" s="255">
        <v>0</v>
      </c>
      <c r="DD103" s="255">
        <v>0</v>
      </c>
      <c r="DE103" s="255">
        <v>38400</v>
      </c>
      <c r="DF103" s="255">
        <v>38400</v>
      </c>
      <c r="DG103" s="255">
        <v>0</v>
      </c>
      <c r="DH103" s="255">
        <v>0</v>
      </c>
      <c r="DI103" s="255">
        <v>0</v>
      </c>
      <c r="DJ103" s="255">
        <v>0</v>
      </c>
      <c r="DK103" s="255">
        <v>0</v>
      </c>
      <c r="DL103" s="255">
        <v>0</v>
      </c>
      <c r="DM103" s="255">
        <v>0</v>
      </c>
      <c r="DN103" s="255">
        <v>0</v>
      </c>
      <c r="DO103" s="255">
        <v>0</v>
      </c>
      <c r="DP103" s="255">
        <v>0</v>
      </c>
      <c r="DQ103" s="255">
        <v>0</v>
      </c>
      <c r="DR103" s="255">
        <v>0</v>
      </c>
      <c r="DS103" s="255">
        <v>0</v>
      </c>
      <c r="DT103" s="255">
        <v>0</v>
      </c>
      <c r="DU103" s="255">
        <v>0</v>
      </c>
      <c r="DV103" s="255">
        <v>0</v>
      </c>
      <c r="DW103" s="255">
        <v>0</v>
      </c>
      <c r="DX103" s="255">
        <v>0</v>
      </c>
      <c r="DY103" s="255">
        <v>0</v>
      </c>
      <c r="DZ103" s="255">
        <v>0</v>
      </c>
      <c r="EA103" s="255">
        <v>0</v>
      </c>
      <c r="EB103" s="255">
        <v>0</v>
      </c>
      <c r="EC103" s="255">
        <v>0</v>
      </c>
      <c r="ED103" s="255">
        <v>0</v>
      </c>
      <c r="EE103" s="255">
        <v>0</v>
      </c>
      <c r="EF103" s="255">
        <v>0</v>
      </c>
      <c r="EG103" s="255">
        <v>0</v>
      </c>
      <c r="EH103" s="255">
        <v>0</v>
      </c>
      <c r="EI103" s="255">
        <v>0</v>
      </c>
      <c r="EJ103" s="255">
        <v>0</v>
      </c>
      <c r="EK103" s="255">
        <v>0</v>
      </c>
      <c r="EL103" s="255">
        <v>0</v>
      </c>
      <c r="EM103" s="255">
        <v>0</v>
      </c>
      <c r="EN103" s="255">
        <v>0</v>
      </c>
      <c r="EO103" s="255">
        <v>0</v>
      </c>
      <c r="EP103" s="255">
        <v>0</v>
      </c>
      <c r="EQ103" s="255">
        <v>0</v>
      </c>
      <c r="ER103" s="255">
        <v>0</v>
      </c>
      <c r="ES103" s="255">
        <v>0</v>
      </c>
      <c r="ET103" s="255">
        <v>0</v>
      </c>
      <c r="EU103" s="255">
        <v>0</v>
      </c>
      <c r="EV103" s="255">
        <v>0</v>
      </c>
      <c r="EW103" s="255">
        <v>0</v>
      </c>
      <c r="EX103" s="255">
        <v>0</v>
      </c>
      <c r="EY103" s="255">
        <v>0</v>
      </c>
      <c r="EZ103" s="255">
        <v>0</v>
      </c>
      <c r="FA103" s="255">
        <v>0</v>
      </c>
      <c r="FB103" s="255">
        <v>0</v>
      </c>
      <c r="FC103" s="255">
        <v>0</v>
      </c>
      <c r="FD103" s="255">
        <v>0</v>
      </c>
      <c r="FE103" s="255">
        <v>0</v>
      </c>
      <c r="FF103" s="255">
        <v>0</v>
      </c>
      <c r="FG103" s="255">
        <v>0</v>
      </c>
      <c r="FH103" s="255">
        <v>0</v>
      </c>
      <c r="FI103" s="255">
        <v>0</v>
      </c>
      <c r="FJ103" s="255">
        <v>0</v>
      </c>
      <c r="FK103" s="255">
        <v>0</v>
      </c>
      <c r="FL103" s="255">
        <v>0</v>
      </c>
      <c r="FM103" s="255">
        <v>0</v>
      </c>
      <c r="FN103" s="255">
        <v>0</v>
      </c>
      <c r="FO103" s="255">
        <v>0</v>
      </c>
      <c r="FP103" s="255">
        <v>0</v>
      </c>
      <c r="FQ103" s="255">
        <v>0</v>
      </c>
      <c r="FR103" s="255">
        <v>0</v>
      </c>
      <c r="FS103" s="255">
        <v>0</v>
      </c>
      <c r="FT103" s="255">
        <v>0</v>
      </c>
      <c r="FU103" s="255">
        <v>0</v>
      </c>
      <c r="FV103" s="255">
        <v>0</v>
      </c>
      <c r="FW103" s="255">
        <v>0</v>
      </c>
      <c r="FX103" s="116"/>
    </row>
    <row r="104" spans="2:180" x14ac:dyDescent="0.2">
      <c r="B104" s="253" t="s">
        <v>232</v>
      </c>
      <c r="C104" s="253" t="s">
        <v>304</v>
      </c>
      <c r="D104" s="253" t="s">
        <v>258</v>
      </c>
      <c r="E104" s="253" t="s">
        <v>127</v>
      </c>
      <c r="F104" s="253" t="s">
        <v>259</v>
      </c>
      <c r="G104" s="253" t="s">
        <v>260</v>
      </c>
      <c r="H104" s="237">
        <v>313.99</v>
      </c>
      <c r="I104" s="126">
        <f t="shared" si="86"/>
        <v>42303.13</v>
      </c>
      <c r="J104" s="116"/>
      <c r="K104" s="254">
        <v>0</v>
      </c>
      <c r="L104" s="254">
        <v>0</v>
      </c>
      <c r="M104" s="254">
        <v>0</v>
      </c>
      <c r="N104" s="254">
        <v>0</v>
      </c>
      <c r="O104" s="254">
        <v>0</v>
      </c>
      <c r="P104" s="254">
        <v>0</v>
      </c>
      <c r="Q104" s="254">
        <v>0</v>
      </c>
      <c r="R104" s="254">
        <v>0</v>
      </c>
      <c r="S104" s="254">
        <v>0</v>
      </c>
      <c r="T104" s="254">
        <v>0</v>
      </c>
      <c r="U104" s="254">
        <v>0.05</v>
      </c>
      <c r="V104" s="254">
        <v>0.40476190476190477</v>
      </c>
      <c r="W104" s="254">
        <v>0.13333333333333333</v>
      </c>
      <c r="X104" s="254">
        <v>0.25</v>
      </c>
      <c r="Y104" s="254">
        <v>0</v>
      </c>
      <c r="Z104" s="254">
        <v>0</v>
      </c>
      <c r="AA104" s="254">
        <v>0</v>
      </c>
      <c r="AB104" s="254">
        <v>0</v>
      </c>
      <c r="AC104" s="254">
        <v>0</v>
      </c>
      <c r="AD104" s="254">
        <v>0</v>
      </c>
      <c r="AE104" s="254">
        <v>0</v>
      </c>
      <c r="AF104" s="254">
        <v>0</v>
      </c>
      <c r="AG104" s="254">
        <v>0</v>
      </c>
      <c r="AH104" s="254">
        <v>0</v>
      </c>
      <c r="AI104" s="254">
        <v>0</v>
      </c>
      <c r="AJ104" s="254">
        <v>0</v>
      </c>
      <c r="AK104" s="254">
        <v>0</v>
      </c>
      <c r="AL104" s="254">
        <v>0</v>
      </c>
      <c r="AM104" s="254">
        <v>0</v>
      </c>
      <c r="AN104" s="254">
        <v>0</v>
      </c>
      <c r="AO104" s="254">
        <v>0</v>
      </c>
      <c r="AP104" s="254">
        <v>0</v>
      </c>
      <c r="AQ104" s="254">
        <v>0</v>
      </c>
      <c r="AR104" s="254">
        <v>0</v>
      </c>
      <c r="AS104" s="254">
        <v>0</v>
      </c>
      <c r="AT104" s="254">
        <v>0</v>
      </c>
      <c r="AU104" s="254">
        <v>0</v>
      </c>
      <c r="AV104" s="254">
        <v>0</v>
      </c>
      <c r="AW104" s="254">
        <v>0</v>
      </c>
      <c r="AX104" s="254">
        <v>0</v>
      </c>
      <c r="AY104" s="254">
        <v>0</v>
      </c>
      <c r="AZ104" s="254">
        <v>0</v>
      </c>
      <c r="BA104" s="254">
        <v>0</v>
      </c>
      <c r="BB104" s="254">
        <v>0</v>
      </c>
      <c r="BC104" s="254">
        <v>0</v>
      </c>
      <c r="BD104" s="254">
        <v>0</v>
      </c>
      <c r="BE104" s="254">
        <v>0</v>
      </c>
      <c r="BF104" s="254">
        <v>0</v>
      </c>
      <c r="BG104" s="254">
        <v>0</v>
      </c>
      <c r="BH104" s="254">
        <v>0</v>
      </c>
      <c r="BI104" s="254">
        <v>0</v>
      </c>
      <c r="BJ104" s="254">
        <v>0</v>
      </c>
      <c r="BK104" s="254">
        <v>0</v>
      </c>
      <c r="BL104" s="254">
        <v>0</v>
      </c>
      <c r="BM104" s="254">
        <v>0</v>
      </c>
      <c r="BN104" s="254">
        <v>0</v>
      </c>
      <c r="BO104" s="254">
        <v>0</v>
      </c>
      <c r="BP104" s="254">
        <v>0</v>
      </c>
      <c r="BQ104" s="254">
        <v>0</v>
      </c>
      <c r="BR104" s="254">
        <v>0</v>
      </c>
      <c r="BS104" s="254">
        <v>0</v>
      </c>
      <c r="BT104" s="254">
        <v>0</v>
      </c>
      <c r="BU104" s="254">
        <v>0</v>
      </c>
      <c r="BV104" s="254">
        <v>0</v>
      </c>
      <c r="BW104" s="254">
        <v>0</v>
      </c>
      <c r="BX104" s="254">
        <v>0</v>
      </c>
      <c r="BY104" s="254">
        <v>0</v>
      </c>
      <c r="BZ104" s="254">
        <v>0</v>
      </c>
      <c r="CA104" s="254">
        <v>0</v>
      </c>
      <c r="CB104" s="254">
        <v>0</v>
      </c>
      <c r="CC104" s="254">
        <v>0</v>
      </c>
      <c r="CD104" s="254">
        <v>0</v>
      </c>
      <c r="CE104" s="254">
        <v>0</v>
      </c>
      <c r="CF104" s="254">
        <v>0</v>
      </c>
      <c r="CG104" s="254">
        <v>0</v>
      </c>
      <c r="CH104" s="254">
        <v>0</v>
      </c>
      <c r="CI104" s="254">
        <v>0</v>
      </c>
      <c r="CJ104" s="254">
        <v>0</v>
      </c>
      <c r="CK104" s="254">
        <v>0</v>
      </c>
      <c r="CL104" s="254">
        <v>0</v>
      </c>
      <c r="CM104" s="254">
        <v>0</v>
      </c>
      <c r="CN104" s="254">
        <v>0</v>
      </c>
      <c r="CO104" s="254">
        <v>0</v>
      </c>
      <c r="CP104" s="254">
        <v>0</v>
      </c>
      <c r="CQ104" s="116"/>
      <c r="CR104" s="255">
        <v>0</v>
      </c>
      <c r="CS104" s="255">
        <v>0</v>
      </c>
      <c r="CT104" s="255">
        <v>0</v>
      </c>
      <c r="CU104" s="255">
        <v>0</v>
      </c>
      <c r="CV104" s="255">
        <v>0</v>
      </c>
      <c r="CW104" s="255">
        <v>0</v>
      </c>
      <c r="CX104" s="255">
        <v>0</v>
      </c>
      <c r="CY104" s="255">
        <v>0</v>
      </c>
      <c r="CZ104" s="255">
        <v>0</v>
      </c>
      <c r="DA104" s="255">
        <v>0</v>
      </c>
      <c r="DB104" s="255">
        <v>3487.26</v>
      </c>
      <c r="DC104" s="255">
        <v>21172.649999999994</v>
      </c>
      <c r="DD104" s="255">
        <v>6974.52</v>
      </c>
      <c r="DE104" s="255">
        <v>10668.699999999999</v>
      </c>
      <c r="DF104" s="255">
        <v>0</v>
      </c>
      <c r="DG104" s="255">
        <v>0</v>
      </c>
      <c r="DH104" s="255">
        <v>0</v>
      </c>
      <c r="DI104" s="255">
        <v>0</v>
      </c>
      <c r="DJ104" s="255">
        <v>0</v>
      </c>
      <c r="DK104" s="255">
        <v>0</v>
      </c>
      <c r="DL104" s="255">
        <v>0</v>
      </c>
      <c r="DM104" s="255">
        <v>0</v>
      </c>
      <c r="DN104" s="255">
        <v>0</v>
      </c>
      <c r="DO104" s="255">
        <v>0</v>
      </c>
      <c r="DP104" s="255">
        <v>0</v>
      </c>
      <c r="DQ104" s="255">
        <v>0</v>
      </c>
      <c r="DR104" s="255">
        <v>0</v>
      </c>
      <c r="DS104" s="255">
        <v>0</v>
      </c>
      <c r="DT104" s="255">
        <v>0</v>
      </c>
      <c r="DU104" s="255">
        <v>0</v>
      </c>
      <c r="DV104" s="255">
        <v>0</v>
      </c>
      <c r="DW104" s="255">
        <v>0</v>
      </c>
      <c r="DX104" s="255">
        <v>0</v>
      </c>
      <c r="DY104" s="255">
        <v>0</v>
      </c>
      <c r="DZ104" s="255">
        <v>0</v>
      </c>
      <c r="EA104" s="255">
        <v>0</v>
      </c>
      <c r="EB104" s="255">
        <v>0</v>
      </c>
      <c r="EC104" s="255">
        <v>0</v>
      </c>
      <c r="ED104" s="255">
        <v>0</v>
      </c>
      <c r="EE104" s="255">
        <v>0</v>
      </c>
      <c r="EF104" s="255">
        <v>0</v>
      </c>
      <c r="EG104" s="255">
        <v>0</v>
      </c>
      <c r="EH104" s="255">
        <v>0</v>
      </c>
      <c r="EI104" s="255">
        <v>0</v>
      </c>
      <c r="EJ104" s="255">
        <v>0</v>
      </c>
      <c r="EK104" s="255">
        <v>0</v>
      </c>
      <c r="EL104" s="255">
        <v>0</v>
      </c>
      <c r="EM104" s="255">
        <v>0</v>
      </c>
      <c r="EN104" s="255">
        <v>0</v>
      </c>
      <c r="EO104" s="255">
        <v>0</v>
      </c>
      <c r="EP104" s="255">
        <v>0</v>
      </c>
      <c r="EQ104" s="255">
        <v>0</v>
      </c>
      <c r="ER104" s="255">
        <v>0</v>
      </c>
      <c r="ES104" s="255">
        <v>0</v>
      </c>
      <c r="ET104" s="255">
        <v>0</v>
      </c>
      <c r="EU104" s="255">
        <v>0</v>
      </c>
      <c r="EV104" s="255">
        <v>0</v>
      </c>
      <c r="EW104" s="255">
        <v>0</v>
      </c>
      <c r="EX104" s="255">
        <v>0</v>
      </c>
      <c r="EY104" s="255">
        <v>0</v>
      </c>
      <c r="EZ104" s="255">
        <v>0</v>
      </c>
      <c r="FA104" s="255">
        <v>0</v>
      </c>
      <c r="FB104" s="255">
        <v>0</v>
      </c>
      <c r="FC104" s="255">
        <v>0</v>
      </c>
      <c r="FD104" s="255">
        <v>0</v>
      </c>
      <c r="FE104" s="255">
        <v>0</v>
      </c>
      <c r="FF104" s="255">
        <v>0</v>
      </c>
      <c r="FG104" s="255">
        <v>0</v>
      </c>
      <c r="FH104" s="255">
        <v>0</v>
      </c>
      <c r="FI104" s="255">
        <v>0</v>
      </c>
      <c r="FJ104" s="255">
        <v>0</v>
      </c>
      <c r="FK104" s="255">
        <v>0</v>
      </c>
      <c r="FL104" s="255">
        <v>0</v>
      </c>
      <c r="FM104" s="255">
        <v>0</v>
      </c>
      <c r="FN104" s="255">
        <v>0</v>
      </c>
      <c r="FO104" s="255">
        <v>0</v>
      </c>
      <c r="FP104" s="255">
        <v>0</v>
      </c>
      <c r="FQ104" s="255">
        <v>0</v>
      </c>
      <c r="FR104" s="255">
        <v>0</v>
      </c>
      <c r="FS104" s="255">
        <v>0</v>
      </c>
      <c r="FT104" s="255">
        <v>0</v>
      </c>
      <c r="FU104" s="255">
        <v>0</v>
      </c>
      <c r="FV104" s="255">
        <v>0</v>
      </c>
      <c r="FW104" s="255">
        <v>0</v>
      </c>
      <c r="FX104" s="116"/>
    </row>
    <row r="105" spans="2:180" x14ac:dyDescent="0.2">
      <c r="B105" s="253" t="s">
        <v>232</v>
      </c>
      <c r="C105" s="253" t="s">
        <v>308</v>
      </c>
      <c r="D105" s="253" t="s">
        <v>258</v>
      </c>
      <c r="E105" s="253" t="s">
        <v>127</v>
      </c>
      <c r="F105" s="253" t="s">
        <v>259</v>
      </c>
      <c r="G105" s="253" t="s">
        <v>260</v>
      </c>
      <c r="H105" s="237">
        <v>212.32</v>
      </c>
      <c r="I105" s="126">
        <f t="shared" si="86"/>
        <v>534494.4</v>
      </c>
      <c r="J105" s="116"/>
      <c r="K105" s="254">
        <v>0</v>
      </c>
      <c r="L105" s="254">
        <v>0</v>
      </c>
      <c r="M105" s="254">
        <v>0</v>
      </c>
      <c r="N105" s="254">
        <v>0</v>
      </c>
      <c r="O105" s="254">
        <v>0</v>
      </c>
      <c r="P105" s="254">
        <v>0</v>
      </c>
      <c r="Q105" s="254">
        <v>0</v>
      </c>
      <c r="R105" s="254">
        <v>0.7</v>
      </c>
      <c r="S105" s="254">
        <v>1.1000000000000001</v>
      </c>
      <c r="T105" s="254">
        <v>1.25</v>
      </c>
      <c r="U105" s="254">
        <v>0.35</v>
      </c>
      <c r="V105" s="254">
        <v>1.6</v>
      </c>
      <c r="W105" s="254">
        <v>1.0666666666666667</v>
      </c>
      <c r="X105" s="254">
        <v>1</v>
      </c>
      <c r="Y105" s="254">
        <v>0.25</v>
      </c>
      <c r="Z105" s="254">
        <v>0.33333333333333331</v>
      </c>
      <c r="AA105" s="254">
        <v>0.23026315789473684</v>
      </c>
      <c r="AB105" s="254">
        <v>0.23026315789473684</v>
      </c>
      <c r="AC105" s="254">
        <v>0.25</v>
      </c>
      <c r="AD105" s="254">
        <v>0.25</v>
      </c>
      <c r="AE105" s="254">
        <v>0.25</v>
      </c>
      <c r="AF105" s="254">
        <v>0.25</v>
      </c>
      <c r="AG105" s="254">
        <v>0.25</v>
      </c>
      <c r="AH105" s="254">
        <v>0.33333333333333331</v>
      </c>
      <c r="AI105" s="254">
        <v>0.33333333333333331</v>
      </c>
      <c r="AJ105" s="254">
        <v>0.25</v>
      </c>
      <c r="AK105" s="254">
        <v>0.25</v>
      </c>
      <c r="AL105" s="254">
        <v>0.33333333333333331</v>
      </c>
      <c r="AM105" s="254">
        <v>0.23026315789473684</v>
      </c>
      <c r="AN105" s="254">
        <v>0.23026315789473684</v>
      </c>
      <c r="AO105" s="254">
        <v>0.25</v>
      </c>
      <c r="AP105" s="254">
        <v>0.25</v>
      </c>
      <c r="AQ105" s="254">
        <v>0.25</v>
      </c>
      <c r="AR105" s="254">
        <v>0.25</v>
      </c>
      <c r="AS105" s="254">
        <v>0.25</v>
      </c>
      <c r="AT105" s="254">
        <v>0.33333333333333331</v>
      </c>
      <c r="AU105" s="254">
        <v>0.33333333333333331</v>
      </c>
      <c r="AV105" s="254">
        <v>0.25</v>
      </c>
      <c r="AW105" s="254">
        <v>0.25</v>
      </c>
      <c r="AX105" s="254">
        <v>0.33333333333333331</v>
      </c>
      <c r="AY105" s="254">
        <v>0.23026315789473684</v>
      </c>
      <c r="AZ105" s="254">
        <v>0.23026315789473684</v>
      </c>
      <c r="BA105" s="254">
        <v>0.25</v>
      </c>
      <c r="BB105" s="254">
        <v>0.25</v>
      </c>
      <c r="BC105" s="254">
        <v>0.25</v>
      </c>
      <c r="BD105" s="254">
        <v>0.25</v>
      </c>
      <c r="BE105" s="254">
        <v>0.25</v>
      </c>
      <c r="BF105" s="254">
        <v>0.33333333333333331</v>
      </c>
      <c r="BG105" s="254">
        <v>0.33333333333333331</v>
      </c>
      <c r="BH105" s="254">
        <v>0.25</v>
      </c>
      <c r="BI105" s="254">
        <v>0</v>
      </c>
      <c r="BJ105" s="254">
        <v>0</v>
      </c>
      <c r="BK105" s="254">
        <v>0</v>
      </c>
      <c r="BL105" s="254">
        <v>0</v>
      </c>
      <c r="BM105" s="254">
        <v>0</v>
      </c>
      <c r="BN105" s="254">
        <v>0</v>
      </c>
      <c r="BO105" s="254">
        <v>0</v>
      </c>
      <c r="BP105" s="254">
        <v>0</v>
      </c>
      <c r="BQ105" s="254">
        <v>0</v>
      </c>
      <c r="BR105" s="254">
        <v>0</v>
      </c>
      <c r="BS105" s="254">
        <v>0</v>
      </c>
      <c r="BT105" s="254">
        <v>0</v>
      </c>
      <c r="BU105" s="254">
        <v>0</v>
      </c>
      <c r="BV105" s="254">
        <v>0</v>
      </c>
      <c r="BW105" s="254">
        <v>0</v>
      </c>
      <c r="BX105" s="254">
        <v>0</v>
      </c>
      <c r="BY105" s="254">
        <v>0</v>
      </c>
      <c r="BZ105" s="254">
        <v>0</v>
      </c>
      <c r="CA105" s="254">
        <v>0</v>
      </c>
      <c r="CB105" s="254">
        <v>0</v>
      </c>
      <c r="CC105" s="254">
        <v>0</v>
      </c>
      <c r="CD105" s="254">
        <v>0</v>
      </c>
      <c r="CE105" s="254">
        <v>0</v>
      </c>
      <c r="CF105" s="254">
        <v>0</v>
      </c>
      <c r="CG105" s="254">
        <v>0</v>
      </c>
      <c r="CH105" s="254">
        <v>0</v>
      </c>
      <c r="CI105" s="254">
        <v>0</v>
      </c>
      <c r="CJ105" s="254">
        <v>0</v>
      </c>
      <c r="CK105" s="254">
        <v>0</v>
      </c>
      <c r="CL105" s="254">
        <v>0</v>
      </c>
      <c r="CM105" s="254">
        <v>0</v>
      </c>
      <c r="CN105" s="254">
        <v>0</v>
      </c>
      <c r="CO105" s="254">
        <v>0</v>
      </c>
      <c r="CP105" s="254">
        <v>0</v>
      </c>
      <c r="CQ105" s="116"/>
      <c r="CR105" s="255">
        <v>0</v>
      </c>
      <c r="CS105" s="255">
        <v>0</v>
      </c>
      <c r="CT105" s="255">
        <v>0</v>
      </c>
      <c r="CU105" s="255">
        <v>0</v>
      </c>
      <c r="CV105" s="255">
        <v>0</v>
      </c>
      <c r="CW105" s="255">
        <v>0</v>
      </c>
      <c r="CX105" s="255">
        <v>0</v>
      </c>
      <c r="CY105" s="255">
        <v>29871.799999999988</v>
      </c>
      <c r="CZ105" s="255">
        <v>46941.400000000074</v>
      </c>
      <c r="DA105" s="255">
        <v>53342.500000000087</v>
      </c>
      <c r="DB105" s="255">
        <v>14935.900000000001</v>
      </c>
      <c r="DC105" s="255">
        <v>51208.800000000083</v>
      </c>
      <c r="DD105" s="255">
        <v>34139.200000000026</v>
      </c>
      <c r="DE105" s="255">
        <v>28383.600000000002</v>
      </c>
      <c r="DF105" s="255">
        <v>7431.2</v>
      </c>
      <c r="DG105" s="255">
        <v>7431.2</v>
      </c>
      <c r="DH105" s="255">
        <v>7431.2</v>
      </c>
      <c r="DI105" s="255">
        <v>7431.2</v>
      </c>
      <c r="DJ105" s="255">
        <v>7431.2</v>
      </c>
      <c r="DK105" s="255">
        <v>7431.2</v>
      </c>
      <c r="DL105" s="255">
        <v>7431.2</v>
      </c>
      <c r="DM105" s="255">
        <v>7431.2</v>
      </c>
      <c r="DN105" s="255">
        <v>7431.2</v>
      </c>
      <c r="DO105" s="255">
        <v>7431.2</v>
      </c>
      <c r="DP105" s="255">
        <v>7431.2</v>
      </c>
      <c r="DQ105" s="255">
        <v>7431.2</v>
      </c>
      <c r="DR105" s="255">
        <v>7654.85</v>
      </c>
      <c r="DS105" s="255">
        <v>7654.85</v>
      </c>
      <c r="DT105" s="255">
        <v>7654.85</v>
      </c>
      <c r="DU105" s="255">
        <v>7654.85</v>
      </c>
      <c r="DV105" s="255">
        <v>7654.85</v>
      </c>
      <c r="DW105" s="255">
        <v>7654.85</v>
      </c>
      <c r="DX105" s="255">
        <v>7654.85</v>
      </c>
      <c r="DY105" s="255">
        <v>7654.85</v>
      </c>
      <c r="DZ105" s="255">
        <v>7654.85</v>
      </c>
      <c r="EA105" s="255">
        <v>7654.85</v>
      </c>
      <c r="EB105" s="255">
        <v>7654.85</v>
      </c>
      <c r="EC105" s="255">
        <v>7654.85</v>
      </c>
      <c r="ED105" s="255">
        <v>7886.55</v>
      </c>
      <c r="EE105" s="255">
        <v>7886.55</v>
      </c>
      <c r="EF105" s="255">
        <v>7886.55</v>
      </c>
      <c r="EG105" s="255">
        <v>7886.55</v>
      </c>
      <c r="EH105" s="255">
        <v>7886.55</v>
      </c>
      <c r="EI105" s="255">
        <v>7886.55</v>
      </c>
      <c r="EJ105" s="255">
        <v>7886.55</v>
      </c>
      <c r="EK105" s="255">
        <v>7886.55</v>
      </c>
      <c r="EL105" s="255">
        <v>7886.55</v>
      </c>
      <c r="EM105" s="255">
        <v>7886.55</v>
      </c>
      <c r="EN105" s="255">
        <v>7886.55</v>
      </c>
      <c r="EO105" s="255">
        <v>7886.55</v>
      </c>
      <c r="EP105" s="255">
        <v>0</v>
      </c>
      <c r="EQ105" s="255">
        <v>0</v>
      </c>
      <c r="ER105" s="255">
        <v>0</v>
      </c>
      <c r="ES105" s="255">
        <v>0</v>
      </c>
      <c r="ET105" s="255">
        <v>0</v>
      </c>
      <c r="EU105" s="255">
        <v>0</v>
      </c>
      <c r="EV105" s="255">
        <v>0</v>
      </c>
      <c r="EW105" s="255">
        <v>0</v>
      </c>
      <c r="EX105" s="255">
        <v>0</v>
      </c>
      <c r="EY105" s="255">
        <v>0</v>
      </c>
      <c r="EZ105" s="255">
        <v>0</v>
      </c>
      <c r="FA105" s="255">
        <v>0</v>
      </c>
      <c r="FB105" s="255">
        <v>0</v>
      </c>
      <c r="FC105" s="255">
        <v>0</v>
      </c>
      <c r="FD105" s="255">
        <v>0</v>
      </c>
      <c r="FE105" s="255">
        <v>0</v>
      </c>
      <c r="FF105" s="255">
        <v>0</v>
      </c>
      <c r="FG105" s="255">
        <v>0</v>
      </c>
      <c r="FH105" s="255">
        <v>0</v>
      </c>
      <c r="FI105" s="255">
        <v>0</v>
      </c>
      <c r="FJ105" s="255">
        <v>0</v>
      </c>
      <c r="FK105" s="255">
        <v>0</v>
      </c>
      <c r="FL105" s="255">
        <v>0</v>
      </c>
      <c r="FM105" s="255">
        <v>0</v>
      </c>
      <c r="FN105" s="255">
        <v>0</v>
      </c>
      <c r="FO105" s="255">
        <v>0</v>
      </c>
      <c r="FP105" s="255">
        <v>0</v>
      </c>
      <c r="FQ105" s="255">
        <v>0</v>
      </c>
      <c r="FR105" s="255">
        <v>0</v>
      </c>
      <c r="FS105" s="255">
        <v>0</v>
      </c>
      <c r="FT105" s="255">
        <v>0</v>
      </c>
      <c r="FU105" s="255">
        <v>0</v>
      </c>
      <c r="FV105" s="255">
        <v>0</v>
      </c>
      <c r="FW105" s="255">
        <v>0</v>
      </c>
      <c r="FX105" s="116"/>
    </row>
    <row r="106" spans="2:180" x14ac:dyDescent="0.2">
      <c r="B106" s="253" t="s">
        <v>232</v>
      </c>
      <c r="C106" s="253" t="s">
        <v>304</v>
      </c>
      <c r="D106" s="253" t="s">
        <v>258</v>
      </c>
      <c r="E106" s="253" t="s">
        <v>127</v>
      </c>
      <c r="F106" s="253" t="s">
        <v>259</v>
      </c>
      <c r="G106" s="253" t="s">
        <v>260</v>
      </c>
      <c r="H106" s="237">
        <v>313.99</v>
      </c>
      <c r="I106" s="126">
        <f t="shared" si="86"/>
        <v>82452.419999999984</v>
      </c>
      <c r="J106" s="116"/>
      <c r="K106" s="254">
        <v>0</v>
      </c>
      <c r="L106" s="254">
        <v>0</v>
      </c>
      <c r="M106" s="254">
        <v>0</v>
      </c>
      <c r="N106" s="254">
        <v>0</v>
      </c>
      <c r="O106" s="254">
        <v>0</v>
      </c>
      <c r="P106" s="254">
        <v>0</v>
      </c>
      <c r="Q106" s="254">
        <v>0.13214285714285715</v>
      </c>
      <c r="R106" s="254">
        <v>0.15714285714285714</v>
      </c>
      <c r="S106" s="254">
        <v>0.35</v>
      </c>
      <c r="T106" s="254">
        <v>0.51071428571428568</v>
      </c>
      <c r="U106" s="254">
        <v>0.29642857142857143</v>
      </c>
      <c r="V106" s="254">
        <v>0.20952380952380953</v>
      </c>
      <c r="W106" s="254">
        <v>0.43809523809523809</v>
      </c>
      <c r="X106" s="254">
        <v>0</v>
      </c>
      <c r="Y106" s="254">
        <v>0</v>
      </c>
      <c r="Z106" s="254">
        <v>0</v>
      </c>
      <c r="AA106" s="254">
        <v>0</v>
      </c>
      <c r="AB106" s="254">
        <v>0</v>
      </c>
      <c r="AC106" s="254">
        <v>0</v>
      </c>
      <c r="AD106" s="254">
        <v>0</v>
      </c>
      <c r="AE106" s="254">
        <v>0</v>
      </c>
      <c r="AF106" s="254">
        <v>0</v>
      </c>
      <c r="AG106" s="254">
        <v>0</v>
      </c>
      <c r="AH106" s="254">
        <v>0</v>
      </c>
      <c r="AI106" s="254">
        <v>0</v>
      </c>
      <c r="AJ106" s="254">
        <v>0</v>
      </c>
      <c r="AK106" s="254">
        <v>0</v>
      </c>
      <c r="AL106" s="254">
        <v>0</v>
      </c>
      <c r="AM106" s="254">
        <v>0</v>
      </c>
      <c r="AN106" s="254">
        <v>0</v>
      </c>
      <c r="AO106" s="254">
        <v>0</v>
      </c>
      <c r="AP106" s="254">
        <v>0</v>
      </c>
      <c r="AQ106" s="254">
        <v>0</v>
      </c>
      <c r="AR106" s="254">
        <v>0</v>
      </c>
      <c r="AS106" s="254">
        <v>0</v>
      </c>
      <c r="AT106" s="254">
        <v>0</v>
      </c>
      <c r="AU106" s="254">
        <v>0</v>
      </c>
      <c r="AV106" s="254">
        <v>0</v>
      </c>
      <c r="AW106" s="254">
        <v>0</v>
      </c>
      <c r="AX106" s="254">
        <v>0</v>
      </c>
      <c r="AY106" s="254">
        <v>0</v>
      </c>
      <c r="AZ106" s="254">
        <v>0</v>
      </c>
      <c r="BA106" s="254">
        <v>0</v>
      </c>
      <c r="BB106" s="254">
        <v>0</v>
      </c>
      <c r="BC106" s="254">
        <v>0</v>
      </c>
      <c r="BD106" s="254">
        <v>0</v>
      </c>
      <c r="BE106" s="254">
        <v>0</v>
      </c>
      <c r="BF106" s="254">
        <v>0</v>
      </c>
      <c r="BG106" s="254">
        <v>0</v>
      </c>
      <c r="BH106" s="254">
        <v>0</v>
      </c>
      <c r="BI106" s="254">
        <v>0</v>
      </c>
      <c r="BJ106" s="254">
        <v>0</v>
      </c>
      <c r="BK106" s="254">
        <v>0</v>
      </c>
      <c r="BL106" s="254">
        <v>0</v>
      </c>
      <c r="BM106" s="254">
        <v>0</v>
      </c>
      <c r="BN106" s="254">
        <v>0</v>
      </c>
      <c r="BO106" s="254">
        <v>0</v>
      </c>
      <c r="BP106" s="254">
        <v>0</v>
      </c>
      <c r="BQ106" s="254">
        <v>0</v>
      </c>
      <c r="BR106" s="254">
        <v>0</v>
      </c>
      <c r="BS106" s="254">
        <v>0</v>
      </c>
      <c r="BT106" s="254">
        <v>0</v>
      </c>
      <c r="BU106" s="254">
        <v>0</v>
      </c>
      <c r="BV106" s="254">
        <v>0</v>
      </c>
      <c r="BW106" s="254">
        <v>0</v>
      </c>
      <c r="BX106" s="254">
        <v>0</v>
      </c>
      <c r="BY106" s="254">
        <v>0</v>
      </c>
      <c r="BZ106" s="254">
        <v>0</v>
      </c>
      <c r="CA106" s="254">
        <v>0</v>
      </c>
      <c r="CB106" s="254">
        <v>0</v>
      </c>
      <c r="CC106" s="254">
        <v>0</v>
      </c>
      <c r="CD106" s="254">
        <v>0</v>
      </c>
      <c r="CE106" s="254">
        <v>0</v>
      </c>
      <c r="CF106" s="254">
        <v>0</v>
      </c>
      <c r="CG106" s="254">
        <v>0</v>
      </c>
      <c r="CH106" s="254">
        <v>0</v>
      </c>
      <c r="CI106" s="254">
        <v>0</v>
      </c>
      <c r="CJ106" s="254">
        <v>0</v>
      </c>
      <c r="CK106" s="254">
        <v>0</v>
      </c>
      <c r="CL106" s="254">
        <v>0</v>
      </c>
      <c r="CM106" s="254">
        <v>0</v>
      </c>
      <c r="CN106" s="254">
        <v>0</v>
      </c>
      <c r="CO106" s="254">
        <v>0</v>
      </c>
      <c r="CP106" s="254">
        <v>0</v>
      </c>
      <c r="CQ106" s="116"/>
      <c r="CR106" s="255">
        <v>0</v>
      </c>
      <c r="CS106" s="255">
        <v>0</v>
      </c>
      <c r="CT106" s="255">
        <v>0</v>
      </c>
      <c r="CU106" s="255">
        <v>0</v>
      </c>
      <c r="CV106" s="255">
        <v>0</v>
      </c>
      <c r="CW106" s="255">
        <v>0</v>
      </c>
      <c r="CX106" s="255">
        <v>5639.0699999999988</v>
      </c>
      <c r="CY106" s="255">
        <v>6705.9399999999987</v>
      </c>
      <c r="CZ106" s="255">
        <v>14935.93</v>
      </c>
      <c r="DA106" s="255">
        <v>21794.239999999991</v>
      </c>
      <c r="DB106" s="255">
        <v>12649.8</v>
      </c>
      <c r="DC106" s="255">
        <v>6705.9499999999989</v>
      </c>
      <c r="DD106" s="255">
        <v>14021.489999999998</v>
      </c>
      <c r="DE106" s="255">
        <v>0</v>
      </c>
      <c r="DF106" s="255">
        <v>0</v>
      </c>
      <c r="DG106" s="255">
        <v>0</v>
      </c>
      <c r="DH106" s="255">
        <v>0</v>
      </c>
      <c r="DI106" s="255">
        <v>0</v>
      </c>
      <c r="DJ106" s="255">
        <v>0</v>
      </c>
      <c r="DK106" s="255">
        <v>0</v>
      </c>
      <c r="DL106" s="255">
        <v>0</v>
      </c>
      <c r="DM106" s="255">
        <v>0</v>
      </c>
      <c r="DN106" s="255">
        <v>0</v>
      </c>
      <c r="DO106" s="255">
        <v>0</v>
      </c>
      <c r="DP106" s="255">
        <v>0</v>
      </c>
      <c r="DQ106" s="255">
        <v>0</v>
      </c>
      <c r="DR106" s="255">
        <v>0</v>
      </c>
      <c r="DS106" s="255">
        <v>0</v>
      </c>
      <c r="DT106" s="255">
        <v>0</v>
      </c>
      <c r="DU106" s="255">
        <v>0</v>
      </c>
      <c r="DV106" s="255">
        <v>0</v>
      </c>
      <c r="DW106" s="255">
        <v>0</v>
      </c>
      <c r="DX106" s="255">
        <v>0</v>
      </c>
      <c r="DY106" s="255">
        <v>0</v>
      </c>
      <c r="DZ106" s="255">
        <v>0</v>
      </c>
      <c r="EA106" s="255">
        <v>0</v>
      </c>
      <c r="EB106" s="255">
        <v>0</v>
      </c>
      <c r="EC106" s="255">
        <v>0</v>
      </c>
      <c r="ED106" s="255">
        <v>0</v>
      </c>
      <c r="EE106" s="255">
        <v>0</v>
      </c>
      <c r="EF106" s="255">
        <v>0</v>
      </c>
      <c r="EG106" s="255">
        <v>0</v>
      </c>
      <c r="EH106" s="255">
        <v>0</v>
      </c>
      <c r="EI106" s="255">
        <v>0</v>
      </c>
      <c r="EJ106" s="255">
        <v>0</v>
      </c>
      <c r="EK106" s="255">
        <v>0</v>
      </c>
      <c r="EL106" s="255">
        <v>0</v>
      </c>
      <c r="EM106" s="255">
        <v>0</v>
      </c>
      <c r="EN106" s="255">
        <v>0</v>
      </c>
      <c r="EO106" s="255">
        <v>0</v>
      </c>
      <c r="EP106" s="255">
        <v>0</v>
      </c>
      <c r="EQ106" s="255">
        <v>0</v>
      </c>
      <c r="ER106" s="255">
        <v>0</v>
      </c>
      <c r="ES106" s="255">
        <v>0</v>
      </c>
      <c r="ET106" s="255">
        <v>0</v>
      </c>
      <c r="EU106" s="255">
        <v>0</v>
      </c>
      <c r="EV106" s="255">
        <v>0</v>
      </c>
      <c r="EW106" s="255">
        <v>0</v>
      </c>
      <c r="EX106" s="255">
        <v>0</v>
      </c>
      <c r="EY106" s="255">
        <v>0</v>
      </c>
      <c r="EZ106" s="255">
        <v>0</v>
      </c>
      <c r="FA106" s="255">
        <v>0</v>
      </c>
      <c r="FB106" s="255">
        <v>0</v>
      </c>
      <c r="FC106" s="255">
        <v>0</v>
      </c>
      <c r="FD106" s="255">
        <v>0</v>
      </c>
      <c r="FE106" s="255">
        <v>0</v>
      </c>
      <c r="FF106" s="255">
        <v>0</v>
      </c>
      <c r="FG106" s="255">
        <v>0</v>
      </c>
      <c r="FH106" s="255">
        <v>0</v>
      </c>
      <c r="FI106" s="255">
        <v>0</v>
      </c>
      <c r="FJ106" s="255">
        <v>0</v>
      </c>
      <c r="FK106" s="255">
        <v>0</v>
      </c>
      <c r="FL106" s="255">
        <v>0</v>
      </c>
      <c r="FM106" s="255">
        <v>0</v>
      </c>
      <c r="FN106" s="255">
        <v>0</v>
      </c>
      <c r="FO106" s="255">
        <v>0</v>
      </c>
      <c r="FP106" s="255">
        <v>0</v>
      </c>
      <c r="FQ106" s="255">
        <v>0</v>
      </c>
      <c r="FR106" s="255">
        <v>0</v>
      </c>
      <c r="FS106" s="255">
        <v>0</v>
      </c>
      <c r="FT106" s="255">
        <v>0</v>
      </c>
      <c r="FU106" s="255">
        <v>0</v>
      </c>
      <c r="FV106" s="255">
        <v>0</v>
      </c>
      <c r="FW106" s="255">
        <v>0</v>
      </c>
      <c r="FX106" s="116"/>
    </row>
    <row r="107" spans="2:180" x14ac:dyDescent="0.2">
      <c r="B107" s="253" t="s">
        <v>232</v>
      </c>
      <c r="C107" s="286" t="s">
        <v>338</v>
      </c>
      <c r="D107" s="253" t="s">
        <v>85</v>
      </c>
      <c r="E107" s="253" t="s">
        <v>127</v>
      </c>
      <c r="F107" s="253">
        <v>0</v>
      </c>
      <c r="G107" s="253" t="s">
        <v>268</v>
      </c>
      <c r="H107" s="237">
        <v>0</v>
      </c>
      <c r="I107" s="126">
        <f t="shared" si="86"/>
        <v>440000</v>
      </c>
      <c r="J107" s="116"/>
      <c r="K107" s="254">
        <v>0</v>
      </c>
      <c r="L107" s="254">
        <v>0</v>
      </c>
      <c r="M107" s="254">
        <v>0</v>
      </c>
      <c r="N107" s="254">
        <v>0</v>
      </c>
      <c r="O107" s="254">
        <v>0</v>
      </c>
      <c r="P107" s="254">
        <v>0</v>
      </c>
      <c r="Q107" s="254">
        <v>0</v>
      </c>
      <c r="R107" s="254">
        <v>0</v>
      </c>
      <c r="S107" s="254">
        <v>0</v>
      </c>
      <c r="T107" s="254">
        <v>0</v>
      </c>
      <c r="U107" s="254">
        <v>0</v>
      </c>
      <c r="V107" s="254">
        <v>0</v>
      </c>
      <c r="W107" s="254">
        <v>0</v>
      </c>
      <c r="X107" s="254">
        <v>0.34090909090909088</v>
      </c>
      <c r="Y107" s="254">
        <v>0.34090909090909088</v>
      </c>
      <c r="Z107" s="254">
        <v>1.1363636363636364E-2</v>
      </c>
      <c r="AA107" s="254">
        <v>1.1363636363636364E-2</v>
      </c>
      <c r="AB107" s="254">
        <v>1.1363636363636364E-2</v>
      </c>
      <c r="AC107" s="254">
        <v>1.1363636363636364E-2</v>
      </c>
      <c r="AD107" s="254">
        <v>1.1363636363636364E-2</v>
      </c>
      <c r="AE107" s="254">
        <v>1.1363636363636364E-2</v>
      </c>
      <c r="AF107" s="254">
        <v>1.1363636363636364E-2</v>
      </c>
      <c r="AG107" s="254">
        <v>1.1363636363636364E-2</v>
      </c>
      <c r="AH107" s="254">
        <v>1.1363636363636364E-2</v>
      </c>
      <c r="AI107" s="254">
        <v>1.1363636363636364E-2</v>
      </c>
      <c r="AJ107" s="254">
        <v>1.1363636363636364E-2</v>
      </c>
      <c r="AK107" s="254">
        <v>1.1363636363636364E-2</v>
      </c>
      <c r="AL107" s="254">
        <v>1.1363636363636364E-2</v>
      </c>
      <c r="AM107" s="254">
        <v>1.1363636363636364E-2</v>
      </c>
      <c r="AN107" s="254">
        <v>1.1363636363636364E-2</v>
      </c>
      <c r="AO107" s="254">
        <v>1.1363636363636364E-2</v>
      </c>
      <c r="AP107" s="254">
        <v>1.1363636363636364E-2</v>
      </c>
      <c r="AQ107" s="254">
        <v>1.1363636363636364E-2</v>
      </c>
      <c r="AR107" s="254">
        <v>1.1363636363636364E-2</v>
      </c>
      <c r="AS107" s="254">
        <v>1.1363636363636364E-2</v>
      </c>
      <c r="AT107" s="254">
        <v>1.1363636363636364E-2</v>
      </c>
      <c r="AU107" s="254">
        <v>1.1363636363636364E-2</v>
      </c>
      <c r="AV107" s="254">
        <v>1.1363636363636364E-2</v>
      </c>
      <c r="AW107" s="254">
        <v>1.1363636363636364E-2</v>
      </c>
      <c r="AX107" s="254">
        <v>1.1363636363636364E-2</v>
      </c>
      <c r="AY107" s="254">
        <v>1.1363636363636364E-2</v>
      </c>
      <c r="AZ107" s="254">
        <v>1.1363636363636364E-2</v>
      </c>
      <c r="BA107" s="254">
        <v>1.1363636363636364E-2</v>
      </c>
      <c r="BB107" s="254">
        <v>0</v>
      </c>
      <c r="BC107" s="254">
        <v>0</v>
      </c>
      <c r="BD107" s="254">
        <v>0</v>
      </c>
      <c r="BE107" s="254">
        <v>0</v>
      </c>
      <c r="BF107" s="254">
        <v>0</v>
      </c>
      <c r="BG107" s="254">
        <v>0</v>
      </c>
      <c r="BH107" s="254">
        <v>0</v>
      </c>
      <c r="BI107" s="254">
        <v>0</v>
      </c>
      <c r="BJ107" s="254">
        <v>0</v>
      </c>
      <c r="BK107" s="254">
        <v>0</v>
      </c>
      <c r="BL107" s="254">
        <v>0</v>
      </c>
      <c r="BM107" s="254">
        <v>0</v>
      </c>
      <c r="BN107" s="254">
        <v>0</v>
      </c>
      <c r="BO107" s="254">
        <v>0</v>
      </c>
      <c r="BP107" s="254">
        <v>0</v>
      </c>
      <c r="BQ107" s="254">
        <v>0</v>
      </c>
      <c r="BR107" s="254">
        <v>0</v>
      </c>
      <c r="BS107" s="254">
        <v>0</v>
      </c>
      <c r="BT107" s="254">
        <v>0</v>
      </c>
      <c r="BU107" s="254">
        <v>0</v>
      </c>
      <c r="BV107" s="254">
        <v>0</v>
      </c>
      <c r="BW107" s="254">
        <v>0</v>
      </c>
      <c r="BX107" s="254">
        <v>0</v>
      </c>
      <c r="BY107" s="254">
        <v>0</v>
      </c>
      <c r="BZ107" s="254">
        <v>0</v>
      </c>
      <c r="CA107" s="254">
        <v>0</v>
      </c>
      <c r="CB107" s="254">
        <v>0</v>
      </c>
      <c r="CC107" s="254">
        <v>0</v>
      </c>
      <c r="CD107" s="254">
        <v>0</v>
      </c>
      <c r="CE107" s="254">
        <v>0</v>
      </c>
      <c r="CF107" s="254">
        <v>0</v>
      </c>
      <c r="CG107" s="254">
        <v>0</v>
      </c>
      <c r="CH107" s="254">
        <v>0</v>
      </c>
      <c r="CI107" s="254">
        <v>0</v>
      </c>
      <c r="CJ107" s="254">
        <v>0</v>
      </c>
      <c r="CK107" s="254">
        <v>0</v>
      </c>
      <c r="CL107" s="254">
        <v>0</v>
      </c>
      <c r="CM107" s="254">
        <v>0</v>
      </c>
      <c r="CN107" s="254">
        <v>0</v>
      </c>
      <c r="CO107" s="254">
        <v>0</v>
      </c>
      <c r="CP107" s="254">
        <v>0</v>
      </c>
      <c r="CQ107" s="116"/>
      <c r="CR107" s="255">
        <v>0</v>
      </c>
      <c r="CS107" s="255">
        <v>0</v>
      </c>
      <c r="CT107" s="255">
        <v>0</v>
      </c>
      <c r="CU107" s="255">
        <v>0</v>
      </c>
      <c r="CV107" s="255">
        <v>0</v>
      </c>
      <c r="CW107" s="255">
        <v>0</v>
      </c>
      <c r="CX107" s="255">
        <v>0</v>
      </c>
      <c r="CY107" s="255">
        <v>0</v>
      </c>
      <c r="CZ107" s="255">
        <v>0</v>
      </c>
      <c r="DA107" s="255">
        <v>0</v>
      </c>
      <c r="DB107" s="255">
        <v>0</v>
      </c>
      <c r="DC107" s="255">
        <v>0</v>
      </c>
      <c r="DD107" s="255">
        <v>0</v>
      </c>
      <c r="DE107" s="255">
        <v>150000</v>
      </c>
      <c r="DF107" s="255">
        <v>150000</v>
      </c>
      <c r="DG107" s="255">
        <v>5000</v>
      </c>
      <c r="DH107" s="255">
        <v>5000</v>
      </c>
      <c r="DI107" s="255">
        <v>5000</v>
      </c>
      <c r="DJ107" s="255">
        <v>5000</v>
      </c>
      <c r="DK107" s="255">
        <v>5000</v>
      </c>
      <c r="DL107" s="255">
        <v>5000</v>
      </c>
      <c r="DM107" s="255">
        <v>5000</v>
      </c>
      <c r="DN107" s="255">
        <v>5000</v>
      </c>
      <c r="DO107" s="255">
        <v>5000</v>
      </c>
      <c r="DP107" s="255">
        <v>5000</v>
      </c>
      <c r="DQ107" s="255">
        <v>5000</v>
      </c>
      <c r="DR107" s="255">
        <v>5000</v>
      </c>
      <c r="DS107" s="255">
        <v>5000</v>
      </c>
      <c r="DT107" s="255">
        <v>5000</v>
      </c>
      <c r="DU107" s="255">
        <v>5000</v>
      </c>
      <c r="DV107" s="255">
        <v>5000</v>
      </c>
      <c r="DW107" s="255">
        <v>5000</v>
      </c>
      <c r="DX107" s="255">
        <v>5000</v>
      </c>
      <c r="DY107" s="255">
        <v>5000</v>
      </c>
      <c r="DZ107" s="255">
        <v>5000</v>
      </c>
      <c r="EA107" s="255">
        <v>5000</v>
      </c>
      <c r="EB107" s="255">
        <v>5000</v>
      </c>
      <c r="EC107" s="255">
        <v>5000</v>
      </c>
      <c r="ED107" s="255">
        <v>5000</v>
      </c>
      <c r="EE107" s="255">
        <v>5000</v>
      </c>
      <c r="EF107" s="255">
        <v>5000</v>
      </c>
      <c r="EG107" s="255">
        <v>5000</v>
      </c>
      <c r="EH107" s="255">
        <v>5000</v>
      </c>
      <c r="EI107" s="255">
        <v>0</v>
      </c>
      <c r="EJ107" s="255">
        <v>0</v>
      </c>
      <c r="EK107" s="255">
        <v>0</v>
      </c>
      <c r="EL107" s="255">
        <v>0</v>
      </c>
      <c r="EM107" s="255">
        <v>0</v>
      </c>
      <c r="EN107" s="255">
        <v>0</v>
      </c>
      <c r="EO107" s="255">
        <v>0</v>
      </c>
      <c r="EP107" s="255">
        <v>0</v>
      </c>
      <c r="EQ107" s="255">
        <v>0</v>
      </c>
      <c r="ER107" s="255">
        <v>0</v>
      </c>
      <c r="ES107" s="255">
        <v>0</v>
      </c>
      <c r="ET107" s="255">
        <v>0</v>
      </c>
      <c r="EU107" s="255">
        <v>0</v>
      </c>
      <c r="EV107" s="255">
        <v>0</v>
      </c>
      <c r="EW107" s="255">
        <v>0</v>
      </c>
      <c r="EX107" s="255">
        <v>0</v>
      </c>
      <c r="EY107" s="255">
        <v>0</v>
      </c>
      <c r="EZ107" s="255">
        <v>0</v>
      </c>
      <c r="FA107" s="255">
        <v>0</v>
      </c>
      <c r="FB107" s="255">
        <v>0</v>
      </c>
      <c r="FC107" s="255">
        <v>0</v>
      </c>
      <c r="FD107" s="255">
        <v>0</v>
      </c>
      <c r="FE107" s="255">
        <v>0</v>
      </c>
      <c r="FF107" s="255">
        <v>0</v>
      </c>
      <c r="FG107" s="255">
        <v>0</v>
      </c>
      <c r="FH107" s="255">
        <v>0</v>
      </c>
      <c r="FI107" s="255">
        <v>0</v>
      </c>
      <c r="FJ107" s="255">
        <v>0</v>
      </c>
      <c r="FK107" s="255">
        <v>0</v>
      </c>
      <c r="FL107" s="255">
        <v>0</v>
      </c>
      <c r="FM107" s="255">
        <v>0</v>
      </c>
      <c r="FN107" s="255">
        <v>0</v>
      </c>
      <c r="FO107" s="255">
        <v>0</v>
      </c>
      <c r="FP107" s="255">
        <v>0</v>
      </c>
      <c r="FQ107" s="255">
        <v>0</v>
      </c>
      <c r="FR107" s="255">
        <v>0</v>
      </c>
      <c r="FS107" s="255">
        <v>0</v>
      </c>
      <c r="FT107" s="255">
        <v>0</v>
      </c>
      <c r="FU107" s="255">
        <v>0</v>
      </c>
      <c r="FV107" s="255">
        <v>0</v>
      </c>
      <c r="FW107" s="255">
        <v>0</v>
      </c>
      <c r="FX107" s="116"/>
    </row>
    <row r="108" spans="2:180" x14ac:dyDescent="0.2">
      <c r="B108" s="253" t="s">
        <v>232</v>
      </c>
      <c r="C108" s="253" t="s">
        <v>317</v>
      </c>
      <c r="D108" s="253" t="s">
        <v>258</v>
      </c>
      <c r="E108" s="253" t="s">
        <v>127</v>
      </c>
      <c r="F108" s="253" t="s">
        <v>259</v>
      </c>
      <c r="G108" s="253" t="s">
        <v>260</v>
      </c>
      <c r="H108" s="237">
        <v>400.37</v>
      </c>
      <c r="I108" s="126">
        <f t="shared" si="86"/>
        <v>138258.13</v>
      </c>
      <c r="J108" s="116"/>
      <c r="K108" s="254">
        <v>0</v>
      </c>
      <c r="L108" s="254">
        <v>0</v>
      </c>
      <c r="M108" s="254">
        <v>0</v>
      </c>
      <c r="N108" s="254">
        <v>0</v>
      </c>
      <c r="O108" s="254">
        <v>0</v>
      </c>
      <c r="P108" s="254">
        <v>0</v>
      </c>
      <c r="Q108" s="254">
        <v>0</v>
      </c>
      <c r="R108" s="254">
        <v>4.642857142857143E-2</v>
      </c>
      <c r="S108" s="254">
        <v>3.5714285714285712E-2</v>
      </c>
      <c r="T108" s="254">
        <v>1.4285714285714285E-2</v>
      </c>
      <c r="U108" s="254">
        <v>1.4285714285714285E-2</v>
      </c>
      <c r="V108" s="254">
        <v>5.7142857142857141E-2</v>
      </c>
      <c r="W108" s="254">
        <v>2.8571428571428571E-2</v>
      </c>
      <c r="X108" s="254">
        <v>0</v>
      </c>
      <c r="Y108" s="254">
        <v>0.4</v>
      </c>
      <c r="Z108" s="254">
        <v>0.13333333333333333</v>
      </c>
      <c r="AA108" s="254">
        <v>0.23026315789473684</v>
      </c>
      <c r="AB108" s="254">
        <v>0</v>
      </c>
      <c r="AC108" s="254">
        <v>0</v>
      </c>
      <c r="AD108" s="254">
        <v>0</v>
      </c>
      <c r="AE108" s="254">
        <v>0</v>
      </c>
      <c r="AF108" s="254">
        <v>0.25</v>
      </c>
      <c r="AG108" s="254">
        <v>0</v>
      </c>
      <c r="AH108" s="254">
        <v>0</v>
      </c>
      <c r="AI108" s="254">
        <v>0</v>
      </c>
      <c r="AJ108" s="254">
        <v>0</v>
      </c>
      <c r="AK108" s="254">
        <v>0</v>
      </c>
      <c r="AL108" s="254">
        <v>0.33333333333333331</v>
      </c>
      <c r="AM108" s="254">
        <v>0</v>
      </c>
      <c r="AN108" s="254">
        <v>0</v>
      </c>
      <c r="AO108" s="254">
        <v>0</v>
      </c>
      <c r="AP108" s="254">
        <v>0</v>
      </c>
      <c r="AQ108" s="254">
        <v>0</v>
      </c>
      <c r="AR108" s="254">
        <v>0.25</v>
      </c>
      <c r="AS108" s="254">
        <v>0</v>
      </c>
      <c r="AT108" s="254">
        <v>0</v>
      </c>
      <c r="AU108" s="254">
        <v>0</v>
      </c>
      <c r="AV108" s="254">
        <v>0.4</v>
      </c>
      <c r="AW108" s="254">
        <v>0.1</v>
      </c>
      <c r="AX108" s="254">
        <v>0</v>
      </c>
      <c r="AY108" s="254">
        <v>0</v>
      </c>
      <c r="AZ108" s="254">
        <v>0</v>
      </c>
      <c r="BA108" s="254">
        <v>0</v>
      </c>
      <c r="BB108" s="254">
        <v>0</v>
      </c>
      <c r="BC108" s="254">
        <v>0.25</v>
      </c>
      <c r="BD108" s="254">
        <v>0</v>
      </c>
      <c r="BE108" s="254">
        <v>0</v>
      </c>
      <c r="BF108" s="254">
        <v>0</v>
      </c>
      <c r="BG108" s="254">
        <v>0</v>
      </c>
      <c r="BH108" s="254">
        <v>0</v>
      </c>
      <c r="BI108" s="254">
        <v>0</v>
      </c>
      <c r="BJ108" s="254">
        <v>0</v>
      </c>
      <c r="BK108" s="254">
        <v>0</v>
      </c>
      <c r="BL108" s="254">
        <v>0</v>
      </c>
      <c r="BM108" s="254">
        <v>0</v>
      </c>
      <c r="BN108" s="254">
        <v>0</v>
      </c>
      <c r="BO108" s="254">
        <v>0</v>
      </c>
      <c r="BP108" s="254">
        <v>0</v>
      </c>
      <c r="BQ108" s="254">
        <v>0</v>
      </c>
      <c r="BR108" s="254">
        <v>0</v>
      </c>
      <c r="BS108" s="254">
        <v>0</v>
      </c>
      <c r="BT108" s="254">
        <v>0</v>
      </c>
      <c r="BU108" s="254">
        <v>0</v>
      </c>
      <c r="BV108" s="254">
        <v>0</v>
      </c>
      <c r="BW108" s="254">
        <v>0</v>
      </c>
      <c r="BX108" s="254">
        <v>0</v>
      </c>
      <c r="BY108" s="254">
        <v>0</v>
      </c>
      <c r="BZ108" s="254">
        <v>0</v>
      </c>
      <c r="CA108" s="254">
        <v>0</v>
      </c>
      <c r="CB108" s="254">
        <v>0</v>
      </c>
      <c r="CC108" s="254">
        <v>0</v>
      </c>
      <c r="CD108" s="254">
        <v>0</v>
      </c>
      <c r="CE108" s="254">
        <v>0</v>
      </c>
      <c r="CF108" s="254">
        <v>0</v>
      </c>
      <c r="CG108" s="254">
        <v>0</v>
      </c>
      <c r="CH108" s="254">
        <v>0</v>
      </c>
      <c r="CI108" s="254">
        <v>0</v>
      </c>
      <c r="CJ108" s="254">
        <v>0</v>
      </c>
      <c r="CK108" s="254">
        <v>0</v>
      </c>
      <c r="CL108" s="254">
        <v>0</v>
      </c>
      <c r="CM108" s="254">
        <v>0</v>
      </c>
      <c r="CN108" s="254">
        <v>0</v>
      </c>
      <c r="CO108" s="254">
        <v>0</v>
      </c>
      <c r="CP108" s="254">
        <v>0</v>
      </c>
      <c r="CQ108" s="116"/>
      <c r="CR108" s="255">
        <v>0</v>
      </c>
      <c r="CS108" s="255">
        <v>0</v>
      </c>
      <c r="CT108" s="255">
        <v>0</v>
      </c>
      <c r="CU108" s="255">
        <v>0</v>
      </c>
      <c r="CV108" s="255">
        <v>0</v>
      </c>
      <c r="CW108" s="255">
        <v>0</v>
      </c>
      <c r="CX108" s="255">
        <v>0</v>
      </c>
      <c r="CY108" s="255">
        <v>2271.3399999999997</v>
      </c>
      <c r="CZ108" s="255">
        <v>2490.9000000000005</v>
      </c>
      <c r="DA108" s="255">
        <v>996.3599999999999</v>
      </c>
      <c r="DB108" s="255">
        <v>996.3599999999999</v>
      </c>
      <c r="DC108" s="255">
        <v>2989.08</v>
      </c>
      <c r="DD108" s="255">
        <v>1494.54</v>
      </c>
      <c r="DE108" s="255">
        <v>0</v>
      </c>
      <c r="DF108" s="255">
        <v>21769.440000000002</v>
      </c>
      <c r="DG108" s="255">
        <v>5442.3600000000006</v>
      </c>
      <c r="DH108" s="255">
        <v>13605.9</v>
      </c>
      <c r="DI108" s="255">
        <v>0</v>
      </c>
      <c r="DJ108" s="255">
        <v>0</v>
      </c>
      <c r="DK108" s="255">
        <v>0</v>
      </c>
      <c r="DL108" s="255">
        <v>0</v>
      </c>
      <c r="DM108" s="255">
        <v>14013.3</v>
      </c>
      <c r="DN108" s="255">
        <v>0</v>
      </c>
      <c r="DO108" s="255">
        <v>0</v>
      </c>
      <c r="DP108" s="255">
        <v>0</v>
      </c>
      <c r="DQ108" s="255">
        <v>0</v>
      </c>
      <c r="DR108" s="255">
        <v>0</v>
      </c>
      <c r="DS108" s="255">
        <v>14013.3</v>
      </c>
      <c r="DT108" s="255">
        <v>0</v>
      </c>
      <c r="DU108" s="255">
        <v>0</v>
      </c>
      <c r="DV108" s="255">
        <v>0</v>
      </c>
      <c r="DW108" s="255">
        <v>0</v>
      </c>
      <c r="DX108" s="255">
        <v>0</v>
      </c>
      <c r="DY108" s="255">
        <v>14436.099999999999</v>
      </c>
      <c r="DZ108" s="255">
        <v>0</v>
      </c>
      <c r="EA108" s="255">
        <v>0</v>
      </c>
      <c r="EB108" s="255">
        <v>0</v>
      </c>
      <c r="EC108" s="255">
        <v>23097.759999999998</v>
      </c>
      <c r="ED108" s="255">
        <v>5774.44</v>
      </c>
      <c r="EE108" s="255">
        <v>0</v>
      </c>
      <c r="EF108" s="255">
        <v>0</v>
      </c>
      <c r="EG108" s="255">
        <v>0</v>
      </c>
      <c r="EH108" s="255">
        <v>0</v>
      </c>
      <c r="EI108" s="255">
        <v>0</v>
      </c>
      <c r="EJ108" s="255">
        <v>14866.949999999999</v>
      </c>
      <c r="EK108" s="255">
        <v>0</v>
      </c>
      <c r="EL108" s="255">
        <v>0</v>
      </c>
      <c r="EM108" s="255">
        <v>0</v>
      </c>
      <c r="EN108" s="255">
        <v>0</v>
      </c>
      <c r="EO108" s="255">
        <v>0</v>
      </c>
      <c r="EP108" s="255">
        <v>0</v>
      </c>
      <c r="EQ108" s="255">
        <v>0</v>
      </c>
      <c r="ER108" s="255">
        <v>0</v>
      </c>
      <c r="ES108" s="255">
        <v>0</v>
      </c>
      <c r="ET108" s="255">
        <v>0</v>
      </c>
      <c r="EU108" s="255">
        <v>0</v>
      </c>
      <c r="EV108" s="255">
        <v>0</v>
      </c>
      <c r="EW108" s="255">
        <v>0</v>
      </c>
      <c r="EX108" s="255">
        <v>0</v>
      </c>
      <c r="EY108" s="255">
        <v>0</v>
      </c>
      <c r="EZ108" s="255">
        <v>0</v>
      </c>
      <c r="FA108" s="255">
        <v>0</v>
      </c>
      <c r="FB108" s="255">
        <v>0</v>
      </c>
      <c r="FC108" s="255">
        <v>0</v>
      </c>
      <c r="FD108" s="255">
        <v>0</v>
      </c>
      <c r="FE108" s="255">
        <v>0</v>
      </c>
      <c r="FF108" s="255">
        <v>0</v>
      </c>
      <c r="FG108" s="255">
        <v>0</v>
      </c>
      <c r="FH108" s="255">
        <v>0</v>
      </c>
      <c r="FI108" s="255">
        <v>0</v>
      </c>
      <c r="FJ108" s="255">
        <v>0</v>
      </c>
      <c r="FK108" s="255">
        <v>0</v>
      </c>
      <c r="FL108" s="255">
        <v>0</v>
      </c>
      <c r="FM108" s="255">
        <v>0</v>
      </c>
      <c r="FN108" s="255">
        <v>0</v>
      </c>
      <c r="FO108" s="255">
        <v>0</v>
      </c>
      <c r="FP108" s="255">
        <v>0</v>
      </c>
      <c r="FQ108" s="255">
        <v>0</v>
      </c>
      <c r="FR108" s="255">
        <v>0</v>
      </c>
      <c r="FS108" s="255">
        <v>0</v>
      </c>
      <c r="FT108" s="255">
        <v>0</v>
      </c>
      <c r="FU108" s="255">
        <v>0</v>
      </c>
      <c r="FV108" s="255">
        <v>0</v>
      </c>
      <c r="FW108" s="255">
        <v>0</v>
      </c>
      <c r="FX108" s="116"/>
    </row>
    <row r="109" spans="2:180" x14ac:dyDescent="0.2">
      <c r="B109" s="253" t="s">
        <v>232</v>
      </c>
      <c r="C109" s="253" t="s">
        <v>308</v>
      </c>
      <c r="D109" s="253" t="s">
        <v>258</v>
      </c>
      <c r="E109" s="253" t="s">
        <v>127</v>
      </c>
      <c r="F109" s="253" t="s">
        <v>259</v>
      </c>
      <c r="G109" s="253" t="s">
        <v>260</v>
      </c>
      <c r="H109" s="237">
        <v>212.32</v>
      </c>
      <c r="I109" s="126">
        <f t="shared" si="86"/>
        <v>180621.04999999996</v>
      </c>
      <c r="J109" s="116"/>
      <c r="K109" s="254">
        <v>0</v>
      </c>
      <c r="L109" s="254">
        <v>0</v>
      </c>
      <c r="M109" s="254">
        <v>0</v>
      </c>
      <c r="N109" s="254">
        <v>0</v>
      </c>
      <c r="O109" s="254">
        <v>0</v>
      </c>
      <c r="P109" s="254">
        <v>0</v>
      </c>
      <c r="Q109" s="254">
        <v>0</v>
      </c>
      <c r="R109" s="254">
        <v>0</v>
      </c>
      <c r="S109" s="254">
        <v>7.1428571428571426E-3</v>
      </c>
      <c r="T109" s="254">
        <v>0</v>
      </c>
      <c r="U109" s="254">
        <v>0.16428571428571428</v>
      </c>
      <c r="V109" s="254">
        <v>0.7142857142857143</v>
      </c>
      <c r="W109" s="254">
        <v>0.19047619047619047</v>
      </c>
      <c r="X109" s="254">
        <v>0</v>
      </c>
      <c r="Y109" s="254">
        <v>1</v>
      </c>
      <c r="Z109" s="254">
        <v>0.66666666666666663</v>
      </c>
      <c r="AA109" s="254">
        <v>0</v>
      </c>
      <c r="AB109" s="254">
        <v>0</v>
      </c>
      <c r="AC109" s="254">
        <v>0</v>
      </c>
      <c r="AD109" s="254">
        <v>0</v>
      </c>
      <c r="AE109" s="254">
        <v>0</v>
      </c>
      <c r="AF109" s="254">
        <v>0.5</v>
      </c>
      <c r="AG109" s="254">
        <v>0</v>
      </c>
      <c r="AH109" s="254">
        <v>0</v>
      </c>
      <c r="AI109" s="254">
        <v>0</v>
      </c>
      <c r="AJ109" s="254">
        <v>0</v>
      </c>
      <c r="AK109" s="254">
        <v>0</v>
      </c>
      <c r="AL109" s="254">
        <v>0.66666666666666663</v>
      </c>
      <c r="AM109" s="254">
        <v>0</v>
      </c>
      <c r="AN109" s="254">
        <v>0</v>
      </c>
      <c r="AO109" s="254">
        <v>0</v>
      </c>
      <c r="AP109" s="254">
        <v>0</v>
      </c>
      <c r="AQ109" s="254">
        <v>0</v>
      </c>
      <c r="AR109" s="254">
        <v>0.5</v>
      </c>
      <c r="AS109" s="254">
        <v>0</v>
      </c>
      <c r="AT109" s="254">
        <v>0</v>
      </c>
      <c r="AU109" s="254">
        <v>0</v>
      </c>
      <c r="AV109" s="254">
        <v>1</v>
      </c>
      <c r="AW109" s="254">
        <v>0.25</v>
      </c>
      <c r="AX109" s="254">
        <v>0</v>
      </c>
      <c r="AY109" s="254">
        <v>0</v>
      </c>
      <c r="AZ109" s="254">
        <v>0</v>
      </c>
      <c r="BA109" s="254">
        <v>0</v>
      </c>
      <c r="BB109" s="254">
        <v>0</v>
      </c>
      <c r="BC109" s="254">
        <v>0.5</v>
      </c>
      <c r="BD109" s="254">
        <v>0</v>
      </c>
      <c r="BE109" s="254">
        <v>0</v>
      </c>
      <c r="BF109" s="254">
        <v>0</v>
      </c>
      <c r="BG109" s="254">
        <v>0</v>
      </c>
      <c r="BH109" s="254">
        <v>0</v>
      </c>
      <c r="BI109" s="254">
        <v>0</v>
      </c>
      <c r="BJ109" s="254">
        <v>0</v>
      </c>
      <c r="BK109" s="254">
        <v>0</v>
      </c>
      <c r="BL109" s="254">
        <v>0</v>
      </c>
      <c r="BM109" s="254">
        <v>0</v>
      </c>
      <c r="BN109" s="254">
        <v>0</v>
      </c>
      <c r="BO109" s="254">
        <v>0</v>
      </c>
      <c r="BP109" s="254">
        <v>0</v>
      </c>
      <c r="BQ109" s="254">
        <v>0</v>
      </c>
      <c r="BR109" s="254">
        <v>0</v>
      </c>
      <c r="BS109" s="254">
        <v>0</v>
      </c>
      <c r="BT109" s="254">
        <v>0</v>
      </c>
      <c r="BU109" s="254">
        <v>0</v>
      </c>
      <c r="BV109" s="254">
        <v>0</v>
      </c>
      <c r="BW109" s="254">
        <v>0</v>
      </c>
      <c r="BX109" s="254">
        <v>0</v>
      </c>
      <c r="BY109" s="254">
        <v>0</v>
      </c>
      <c r="BZ109" s="254">
        <v>0</v>
      </c>
      <c r="CA109" s="254">
        <v>0</v>
      </c>
      <c r="CB109" s="254">
        <v>0</v>
      </c>
      <c r="CC109" s="254">
        <v>0</v>
      </c>
      <c r="CD109" s="254">
        <v>0</v>
      </c>
      <c r="CE109" s="254">
        <v>0</v>
      </c>
      <c r="CF109" s="254">
        <v>0</v>
      </c>
      <c r="CG109" s="254">
        <v>0</v>
      </c>
      <c r="CH109" s="254">
        <v>0</v>
      </c>
      <c r="CI109" s="254">
        <v>0</v>
      </c>
      <c r="CJ109" s="254">
        <v>0</v>
      </c>
      <c r="CK109" s="254">
        <v>0</v>
      </c>
      <c r="CL109" s="254">
        <v>0</v>
      </c>
      <c r="CM109" s="254">
        <v>0</v>
      </c>
      <c r="CN109" s="254">
        <v>0</v>
      </c>
      <c r="CO109" s="254">
        <v>0</v>
      </c>
      <c r="CP109" s="254">
        <v>0</v>
      </c>
      <c r="CQ109" s="116"/>
      <c r="CR109" s="255">
        <v>0</v>
      </c>
      <c r="CS109" s="255">
        <v>0</v>
      </c>
      <c r="CT109" s="255">
        <v>0</v>
      </c>
      <c r="CU109" s="255">
        <v>0</v>
      </c>
      <c r="CV109" s="255">
        <v>0</v>
      </c>
      <c r="CW109" s="255">
        <v>0</v>
      </c>
      <c r="CX109" s="255">
        <v>0</v>
      </c>
      <c r="CY109" s="255">
        <v>0</v>
      </c>
      <c r="CZ109" s="255">
        <v>304.81</v>
      </c>
      <c r="DA109" s="255">
        <v>0</v>
      </c>
      <c r="DB109" s="255">
        <v>7010.7899999999981</v>
      </c>
      <c r="DC109" s="255">
        <v>22861.149999999991</v>
      </c>
      <c r="DD109" s="255">
        <v>6096.2499999999964</v>
      </c>
      <c r="DE109" s="255">
        <v>0</v>
      </c>
      <c r="DF109" s="255">
        <v>29724.799999999999</v>
      </c>
      <c r="DG109" s="255">
        <v>14862.4</v>
      </c>
      <c r="DH109" s="255">
        <v>0</v>
      </c>
      <c r="DI109" s="255">
        <v>0</v>
      </c>
      <c r="DJ109" s="255">
        <v>0</v>
      </c>
      <c r="DK109" s="255">
        <v>0</v>
      </c>
      <c r="DL109" s="255">
        <v>0</v>
      </c>
      <c r="DM109" s="255">
        <v>14862.4</v>
      </c>
      <c r="DN109" s="255">
        <v>0</v>
      </c>
      <c r="DO109" s="255">
        <v>0</v>
      </c>
      <c r="DP109" s="255">
        <v>0</v>
      </c>
      <c r="DQ109" s="255">
        <v>0</v>
      </c>
      <c r="DR109" s="255">
        <v>0</v>
      </c>
      <c r="DS109" s="255">
        <v>15309.7</v>
      </c>
      <c r="DT109" s="255">
        <v>0</v>
      </c>
      <c r="DU109" s="255">
        <v>0</v>
      </c>
      <c r="DV109" s="255">
        <v>0</v>
      </c>
      <c r="DW109" s="255">
        <v>0</v>
      </c>
      <c r="DX109" s="255">
        <v>0</v>
      </c>
      <c r="DY109" s="255">
        <v>15309.7</v>
      </c>
      <c r="DZ109" s="255">
        <v>0</v>
      </c>
      <c r="EA109" s="255">
        <v>0</v>
      </c>
      <c r="EB109" s="255">
        <v>0</v>
      </c>
      <c r="EC109" s="255">
        <v>30619.4</v>
      </c>
      <c r="ED109" s="255">
        <v>7886.55</v>
      </c>
      <c r="EE109" s="255">
        <v>0</v>
      </c>
      <c r="EF109" s="255">
        <v>0</v>
      </c>
      <c r="EG109" s="255">
        <v>0</v>
      </c>
      <c r="EH109" s="255">
        <v>0</v>
      </c>
      <c r="EI109" s="255">
        <v>0</v>
      </c>
      <c r="EJ109" s="255">
        <v>15773.1</v>
      </c>
      <c r="EK109" s="255">
        <v>0</v>
      </c>
      <c r="EL109" s="255">
        <v>0</v>
      </c>
      <c r="EM109" s="255">
        <v>0</v>
      </c>
      <c r="EN109" s="255">
        <v>0</v>
      </c>
      <c r="EO109" s="255">
        <v>0</v>
      </c>
      <c r="EP109" s="255">
        <v>0</v>
      </c>
      <c r="EQ109" s="255">
        <v>0</v>
      </c>
      <c r="ER109" s="255">
        <v>0</v>
      </c>
      <c r="ES109" s="255">
        <v>0</v>
      </c>
      <c r="ET109" s="255">
        <v>0</v>
      </c>
      <c r="EU109" s="255">
        <v>0</v>
      </c>
      <c r="EV109" s="255">
        <v>0</v>
      </c>
      <c r="EW109" s="255">
        <v>0</v>
      </c>
      <c r="EX109" s="255">
        <v>0</v>
      </c>
      <c r="EY109" s="255">
        <v>0</v>
      </c>
      <c r="EZ109" s="255">
        <v>0</v>
      </c>
      <c r="FA109" s="255">
        <v>0</v>
      </c>
      <c r="FB109" s="255">
        <v>0</v>
      </c>
      <c r="FC109" s="255">
        <v>0</v>
      </c>
      <c r="FD109" s="255">
        <v>0</v>
      </c>
      <c r="FE109" s="255">
        <v>0</v>
      </c>
      <c r="FF109" s="255">
        <v>0</v>
      </c>
      <c r="FG109" s="255">
        <v>0</v>
      </c>
      <c r="FH109" s="255">
        <v>0</v>
      </c>
      <c r="FI109" s="255">
        <v>0</v>
      </c>
      <c r="FJ109" s="255">
        <v>0</v>
      </c>
      <c r="FK109" s="255">
        <v>0</v>
      </c>
      <c r="FL109" s="255">
        <v>0</v>
      </c>
      <c r="FM109" s="255">
        <v>0</v>
      </c>
      <c r="FN109" s="255">
        <v>0</v>
      </c>
      <c r="FO109" s="255">
        <v>0</v>
      </c>
      <c r="FP109" s="255">
        <v>0</v>
      </c>
      <c r="FQ109" s="255">
        <v>0</v>
      </c>
      <c r="FR109" s="255">
        <v>0</v>
      </c>
      <c r="FS109" s="255">
        <v>0</v>
      </c>
      <c r="FT109" s="255">
        <v>0</v>
      </c>
      <c r="FU109" s="255">
        <v>0</v>
      </c>
      <c r="FV109" s="255">
        <v>0</v>
      </c>
      <c r="FW109" s="255">
        <v>0</v>
      </c>
      <c r="FX109" s="116"/>
    </row>
    <row r="110" spans="2:180" x14ac:dyDescent="0.2">
      <c r="B110" s="253" t="s">
        <v>232</v>
      </c>
      <c r="C110" s="253" t="s">
        <v>318</v>
      </c>
      <c r="D110" s="253" t="s">
        <v>85</v>
      </c>
      <c r="E110" s="253" t="s">
        <v>127</v>
      </c>
      <c r="F110" s="253">
        <v>0</v>
      </c>
      <c r="G110" s="253" t="s">
        <v>268</v>
      </c>
      <c r="H110" s="237">
        <v>0</v>
      </c>
      <c r="I110" s="126">
        <f t="shared" si="86"/>
        <v>230000</v>
      </c>
      <c r="J110" s="116"/>
      <c r="K110" s="254">
        <v>0</v>
      </c>
      <c r="L110" s="254">
        <v>0</v>
      </c>
      <c r="M110" s="254">
        <v>0</v>
      </c>
      <c r="N110" s="254">
        <v>0</v>
      </c>
      <c r="O110" s="254">
        <v>0</v>
      </c>
      <c r="P110" s="254">
        <v>0</v>
      </c>
      <c r="Q110" s="254">
        <v>0</v>
      </c>
      <c r="R110" s="254">
        <v>0</v>
      </c>
      <c r="S110" s="254">
        <v>0</v>
      </c>
      <c r="T110" s="254">
        <v>0</v>
      </c>
      <c r="U110" s="254">
        <v>0</v>
      </c>
      <c r="V110" s="254">
        <v>0</v>
      </c>
      <c r="W110" s="254">
        <v>0</v>
      </c>
      <c r="X110" s="254">
        <v>0</v>
      </c>
      <c r="Y110" s="254">
        <v>0.21739130434782608</v>
      </c>
      <c r="Z110" s="254">
        <v>0.21739130434782608</v>
      </c>
      <c r="AA110" s="254">
        <v>0</v>
      </c>
      <c r="AB110" s="254">
        <v>0</v>
      </c>
      <c r="AC110" s="254">
        <v>0</v>
      </c>
      <c r="AD110" s="254">
        <v>0</v>
      </c>
      <c r="AE110" s="254">
        <v>0</v>
      </c>
      <c r="AF110" s="254">
        <v>0</v>
      </c>
      <c r="AG110" s="254">
        <v>0</v>
      </c>
      <c r="AH110" s="254">
        <v>0</v>
      </c>
      <c r="AI110" s="254">
        <v>0</v>
      </c>
      <c r="AJ110" s="254">
        <v>0</v>
      </c>
      <c r="AK110" s="254">
        <v>0</v>
      </c>
      <c r="AL110" s="254">
        <v>0</v>
      </c>
      <c r="AM110" s="254">
        <v>0</v>
      </c>
      <c r="AN110" s="254">
        <v>0</v>
      </c>
      <c r="AO110" s="254">
        <v>0</v>
      </c>
      <c r="AP110" s="254">
        <v>0</v>
      </c>
      <c r="AQ110" s="254">
        <v>0</v>
      </c>
      <c r="AR110" s="254">
        <v>0</v>
      </c>
      <c r="AS110" s="254">
        <v>0</v>
      </c>
      <c r="AT110" s="254">
        <v>0</v>
      </c>
      <c r="AU110" s="254">
        <v>0</v>
      </c>
      <c r="AV110" s="254">
        <v>0.2608695652173913</v>
      </c>
      <c r="AW110" s="254">
        <v>0.30434782608695654</v>
      </c>
      <c r="AX110" s="254">
        <v>0</v>
      </c>
      <c r="AY110" s="254">
        <v>0</v>
      </c>
      <c r="AZ110" s="254">
        <v>0</v>
      </c>
      <c r="BA110" s="254">
        <v>0</v>
      </c>
      <c r="BB110" s="254">
        <v>0</v>
      </c>
      <c r="BC110" s="254">
        <v>0</v>
      </c>
      <c r="BD110" s="254">
        <v>0</v>
      </c>
      <c r="BE110" s="254">
        <v>0</v>
      </c>
      <c r="BF110" s="254">
        <v>0</v>
      </c>
      <c r="BG110" s="254">
        <v>0</v>
      </c>
      <c r="BH110" s="254">
        <v>0</v>
      </c>
      <c r="BI110" s="254">
        <v>0</v>
      </c>
      <c r="BJ110" s="254">
        <v>0</v>
      </c>
      <c r="BK110" s="254">
        <v>0</v>
      </c>
      <c r="BL110" s="254">
        <v>0</v>
      </c>
      <c r="BM110" s="254">
        <v>0</v>
      </c>
      <c r="BN110" s="254">
        <v>0</v>
      </c>
      <c r="BO110" s="254">
        <v>0</v>
      </c>
      <c r="BP110" s="254">
        <v>0</v>
      </c>
      <c r="BQ110" s="254">
        <v>0</v>
      </c>
      <c r="BR110" s="254">
        <v>0</v>
      </c>
      <c r="BS110" s="254">
        <v>0</v>
      </c>
      <c r="BT110" s="254">
        <v>0</v>
      </c>
      <c r="BU110" s="254">
        <v>0</v>
      </c>
      <c r="BV110" s="254">
        <v>0</v>
      </c>
      <c r="BW110" s="254">
        <v>0</v>
      </c>
      <c r="BX110" s="254">
        <v>0</v>
      </c>
      <c r="BY110" s="254">
        <v>0</v>
      </c>
      <c r="BZ110" s="254">
        <v>0</v>
      </c>
      <c r="CA110" s="254">
        <v>0</v>
      </c>
      <c r="CB110" s="254">
        <v>0</v>
      </c>
      <c r="CC110" s="254">
        <v>0</v>
      </c>
      <c r="CD110" s="254">
        <v>0</v>
      </c>
      <c r="CE110" s="254">
        <v>0</v>
      </c>
      <c r="CF110" s="254">
        <v>0</v>
      </c>
      <c r="CG110" s="254">
        <v>0</v>
      </c>
      <c r="CH110" s="254">
        <v>0</v>
      </c>
      <c r="CI110" s="254">
        <v>0</v>
      </c>
      <c r="CJ110" s="254">
        <v>0</v>
      </c>
      <c r="CK110" s="254">
        <v>0</v>
      </c>
      <c r="CL110" s="254">
        <v>0</v>
      </c>
      <c r="CM110" s="254">
        <v>0</v>
      </c>
      <c r="CN110" s="254">
        <v>0</v>
      </c>
      <c r="CO110" s="254">
        <v>0</v>
      </c>
      <c r="CP110" s="254">
        <v>0</v>
      </c>
      <c r="CQ110" s="116"/>
      <c r="CR110" s="255">
        <v>0</v>
      </c>
      <c r="CS110" s="255">
        <v>0</v>
      </c>
      <c r="CT110" s="255">
        <v>0</v>
      </c>
      <c r="CU110" s="255">
        <v>0</v>
      </c>
      <c r="CV110" s="255">
        <v>0</v>
      </c>
      <c r="CW110" s="255">
        <v>0</v>
      </c>
      <c r="CX110" s="255">
        <v>0</v>
      </c>
      <c r="CY110" s="255">
        <v>0</v>
      </c>
      <c r="CZ110" s="255">
        <v>0</v>
      </c>
      <c r="DA110" s="255">
        <v>0</v>
      </c>
      <c r="DB110" s="255">
        <v>0</v>
      </c>
      <c r="DC110" s="255">
        <v>0</v>
      </c>
      <c r="DD110" s="255">
        <v>0</v>
      </c>
      <c r="DE110" s="255">
        <v>0</v>
      </c>
      <c r="DF110" s="255">
        <v>50000</v>
      </c>
      <c r="DG110" s="255">
        <v>50000</v>
      </c>
      <c r="DH110" s="255">
        <v>0</v>
      </c>
      <c r="DI110" s="255">
        <v>0</v>
      </c>
      <c r="DJ110" s="255">
        <v>0</v>
      </c>
      <c r="DK110" s="255">
        <v>0</v>
      </c>
      <c r="DL110" s="255">
        <v>0</v>
      </c>
      <c r="DM110" s="255">
        <v>0</v>
      </c>
      <c r="DN110" s="255">
        <v>0</v>
      </c>
      <c r="DO110" s="255">
        <v>0</v>
      </c>
      <c r="DP110" s="255">
        <v>0</v>
      </c>
      <c r="DQ110" s="255">
        <v>0</v>
      </c>
      <c r="DR110" s="255">
        <v>0</v>
      </c>
      <c r="DS110" s="255">
        <v>0</v>
      </c>
      <c r="DT110" s="255">
        <v>0</v>
      </c>
      <c r="DU110" s="255">
        <v>0</v>
      </c>
      <c r="DV110" s="255">
        <v>0</v>
      </c>
      <c r="DW110" s="255">
        <v>0</v>
      </c>
      <c r="DX110" s="255">
        <v>0</v>
      </c>
      <c r="DY110" s="255">
        <v>0</v>
      </c>
      <c r="DZ110" s="255">
        <v>0</v>
      </c>
      <c r="EA110" s="255">
        <v>0</v>
      </c>
      <c r="EB110" s="255">
        <v>0</v>
      </c>
      <c r="EC110" s="255">
        <v>60000</v>
      </c>
      <c r="ED110" s="255">
        <v>70000</v>
      </c>
      <c r="EE110" s="255">
        <v>0</v>
      </c>
      <c r="EF110" s="255">
        <v>0</v>
      </c>
      <c r="EG110" s="255">
        <v>0</v>
      </c>
      <c r="EH110" s="255">
        <v>0</v>
      </c>
      <c r="EI110" s="255">
        <v>0</v>
      </c>
      <c r="EJ110" s="255">
        <v>0</v>
      </c>
      <c r="EK110" s="255">
        <v>0</v>
      </c>
      <c r="EL110" s="255">
        <v>0</v>
      </c>
      <c r="EM110" s="255">
        <v>0</v>
      </c>
      <c r="EN110" s="255">
        <v>0</v>
      </c>
      <c r="EO110" s="255">
        <v>0</v>
      </c>
      <c r="EP110" s="255">
        <v>0</v>
      </c>
      <c r="EQ110" s="255">
        <v>0</v>
      </c>
      <c r="ER110" s="255">
        <v>0</v>
      </c>
      <c r="ES110" s="255">
        <v>0</v>
      </c>
      <c r="ET110" s="255">
        <v>0</v>
      </c>
      <c r="EU110" s="255">
        <v>0</v>
      </c>
      <c r="EV110" s="255">
        <v>0</v>
      </c>
      <c r="EW110" s="255">
        <v>0</v>
      </c>
      <c r="EX110" s="255">
        <v>0</v>
      </c>
      <c r="EY110" s="255">
        <v>0</v>
      </c>
      <c r="EZ110" s="255">
        <v>0</v>
      </c>
      <c r="FA110" s="255">
        <v>0</v>
      </c>
      <c r="FB110" s="255">
        <v>0</v>
      </c>
      <c r="FC110" s="255">
        <v>0</v>
      </c>
      <c r="FD110" s="255">
        <v>0</v>
      </c>
      <c r="FE110" s="255">
        <v>0</v>
      </c>
      <c r="FF110" s="255">
        <v>0</v>
      </c>
      <c r="FG110" s="255">
        <v>0</v>
      </c>
      <c r="FH110" s="255">
        <v>0</v>
      </c>
      <c r="FI110" s="255">
        <v>0</v>
      </c>
      <c r="FJ110" s="255">
        <v>0</v>
      </c>
      <c r="FK110" s="255">
        <v>0</v>
      </c>
      <c r="FL110" s="255">
        <v>0</v>
      </c>
      <c r="FM110" s="255">
        <v>0</v>
      </c>
      <c r="FN110" s="255">
        <v>0</v>
      </c>
      <c r="FO110" s="255">
        <v>0</v>
      </c>
      <c r="FP110" s="255">
        <v>0</v>
      </c>
      <c r="FQ110" s="255">
        <v>0</v>
      </c>
      <c r="FR110" s="255">
        <v>0</v>
      </c>
      <c r="FS110" s="255">
        <v>0</v>
      </c>
      <c r="FT110" s="255">
        <v>0</v>
      </c>
      <c r="FU110" s="255">
        <v>0</v>
      </c>
      <c r="FV110" s="255">
        <v>0</v>
      </c>
      <c r="FW110" s="255">
        <v>0</v>
      </c>
      <c r="FX110" s="116"/>
    </row>
    <row r="111" spans="2:180" x14ac:dyDescent="0.2">
      <c r="B111" s="253" t="s">
        <v>232</v>
      </c>
      <c r="C111" s="253" t="s">
        <v>319</v>
      </c>
      <c r="D111" s="253" t="s">
        <v>85</v>
      </c>
      <c r="E111" s="253" t="s">
        <v>127</v>
      </c>
      <c r="F111" s="253">
        <v>0</v>
      </c>
      <c r="G111" s="253" t="s">
        <v>268</v>
      </c>
      <c r="H111" s="237">
        <v>0</v>
      </c>
      <c r="I111" s="126">
        <f t="shared" si="86"/>
        <v>7287758.0034106616</v>
      </c>
      <c r="J111" s="116"/>
      <c r="K111" s="254">
        <v>0</v>
      </c>
      <c r="L111" s="254">
        <v>0</v>
      </c>
      <c r="M111" s="254">
        <v>0</v>
      </c>
      <c r="N111" s="254">
        <v>0</v>
      </c>
      <c r="O111" s="254">
        <v>0</v>
      </c>
      <c r="P111" s="254">
        <v>0</v>
      </c>
      <c r="Q111" s="254">
        <v>0</v>
      </c>
      <c r="R111" s="254">
        <v>0</v>
      </c>
      <c r="S111" s="254">
        <v>0</v>
      </c>
      <c r="T111" s="254">
        <v>0</v>
      </c>
      <c r="U111" s="254">
        <v>0</v>
      </c>
      <c r="V111" s="254">
        <v>0</v>
      </c>
      <c r="W111" s="254">
        <v>0</v>
      </c>
      <c r="X111" s="254">
        <v>5.2026467683174836E-2</v>
      </c>
      <c r="Y111" s="254">
        <v>2.4165973462576935E-2</v>
      </c>
      <c r="Z111" s="254">
        <v>2.4165973462576935E-2</v>
      </c>
      <c r="AA111" s="254">
        <v>2.1200813008578182E-2</v>
      </c>
      <c r="AB111" s="254">
        <v>2.1200813008578182E-2</v>
      </c>
      <c r="AC111" s="254">
        <v>2.1200813008578182E-2</v>
      </c>
      <c r="AD111" s="254">
        <v>2.1200813008578182E-2</v>
      </c>
      <c r="AE111" s="254">
        <v>2.1200813008578182E-2</v>
      </c>
      <c r="AF111" s="254">
        <v>2.1200813008578182E-2</v>
      </c>
      <c r="AG111" s="254">
        <v>2.2044545413676387E-2</v>
      </c>
      <c r="AH111" s="254">
        <v>2.2044545413676387E-2</v>
      </c>
      <c r="AI111" s="254">
        <v>2.6037364763422662E-2</v>
      </c>
      <c r="AJ111" s="254">
        <v>2.6037364763422662E-2</v>
      </c>
      <c r="AK111" s="254">
        <v>2.6037364763422662E-2</v>
      </c>
      <c r="AL111" s="254">
        <v>2.6037364763422662E-2</v>
      </c>
      <c r="AM111" s="254">
        <v>2.6037364763422662E-2</v>
      </c>
      <c r="AN111" s="254">
        <v>2.6037364763422662E-2</v>
      </c>
      <c r="AO111" s="254">
        <v>2.6037364763422662E-2</v>
      </c>
      <c r="AP111" s="254">
        <v>2.6037364763422662E-2</v>
      </c>
      <c r="AQ111" s="254">
        <v>2.6037364763422662E-2</v>
      </c>
      <c r="AR111" s="254">
        <v>2.6037364763422662E-2</v>
      </c>
      <c r="AS111" s="254">
        <v>3.0657130072523311E-2</v>
      </c>
      <c r="AT111" s="254">
        <v>3.363975683123839E-2</v>
      </c>
      <c r="AU111" s="254">
        <v>3.363975683123839E-2</v>
      </c>
      <c r="AV111" s="254">
        <v>3.363975683123839E-2</v>
      </c>
      <c r="AW111" s="254">
        <v>3.363975683123839E-2</v>
      </c>
      <c r="AX111" s="254">
        <v>3.363975683123839E-2</v>
      </c>
      <c r="AY111" s="254">
        <v>3.363975683123839E-2</v>
      </c>
      <c r="AZ111" s="254">
        <v>3.363975683123839E-2</v>
      </c>
      <c r="BA111" s="254">
        <v>3.363975683123839E-2</v>
      </c>
      <c r="BB111" s="254">
        <v>3.363975683123839E-2</v>
      </c>
      <c r="BC111" s="254">
        <v>3.363975683123839E-2</v>
      </c>
      <c r="BD111" s="254">
        <v>3.363975683123839E-2</v>
      </c>
      <c r="BE111" s="254">
        <v>3.363975683123839E-2</v>
      </c>
      <c r="BF111" s="254">
        <v>3.363975683123839E-2</v>
      </c>
      <c r="BG111" s="254">
        <v>0</v>
      </c>
      <c r="BH111" s="254">
        <v>0</v>
      </c>
      <c r="BI111" s="254">
        <v>0</v>
      </c>
      <c r="BJ111" s="254">
        <v>0</v>
      </c>
      <c r="BK111" s="254">
        <v>0</v>
      </c>
      <c r="BL111" s="254">
        <v>0</v>
      </c>
      <c r="BM111" s="254">
        <v>0</v>
      </c>
      <c r="BN111" s="254">
        <v>0</v>
      </c>
      <c r="BO111" s="254">
        <v>0</v>
      </c>
      <c r="BP111" s="254">
        <v>0</v>
      </c>
      <c r="BQ111" s="254">
        <v>0</v>
      </c>
      <c r="BR111" s="254">
        <v>0</v>
      </c>
      <c r="BS111" s="254">
        <v>0</v>
      </c>
      <c r="BT111" s="254">
        <v>0</v>
      </c>
      <c r="BU111" s="254">
        <v>0</v>
      </c>
      <c r="BV111" s="254">
        <v>0</v>
      </c>
      <c r="BW111" s="254">
        <v>0</v>
      </c>
      <c r="BX111" s="254">
        <v>0</v>
      </c>
      <c r="BY111" s="254">
        <v>0</v>
      </c>
      <c r="BZ111" s="254">
        <v>0</v>
      </c>
      <c r="CA111" s="254">
        <v>0</v>
      </c>
      <c r="CB111" s="254">
        <v>0</v>
      </c>
      <c r="CC111" s="254">
        <v>0</v>
      </c>
      <c r="CD111" s="254">
        <v>0</v>
      </c>
      <c r="CE111" s="254">
        <v>0</v>
      </c>
      <c r="CF111" s="254">
        <v>0</v>
      </c>
      <c r="CG111" s="254">
        <v>0</v>
      </c>
      <c r="CH111" s="254">
        <v>0</v>
      </c>
      <c r="CI111" s="254">
        <v>0</v>
      </c>
      <c r="CJ111" s="254">
        <v>0</v>
      </c>
      <c r="CK111" s="254">
        <v>0</v>
      </c>
      <c r="CL111" s="254">
        <v>0</v>
      </c>
      <c r="CM111" s="254">
        <v>0</v>
      </c>
      <c r="CN111" s="254">
        <v>0</v>
      </c>
      <c r="CO111" s="254">
        <v>0</v>
      </c>
      <c r="CP111" s="254">
        <v>0</v>
      </c>
      <c r="CQ111" s="116"/>
      <c r="CR111" s="255">
        <v>0</v>
      </c>
      <c r="CS111" s="255">
        <v>0</v>
      </c>
      <c r="CT111" s="255">
        <v>0</v>
      </c>
      <c r="CU111" s="255">
        <v>0</v>
      </c>
      <c r="CV111" s="255">
        <v>0</v>
      </c>
      <c r="CW111" s="255">
        <v>0</v>
      </c>
      <c r="CX111" s="255">
        <v>0</v>
      </c>
      <c r="CY111" s="255">
        <v>0</v>
      </c>
      <c r="CZ111" s="255">
        <v>0</v>
      </c>
      <c r="DA111" s="255">
        <v>0</v>
      </c>
      <c r="DB111" s="255">
        <v>0</v>
      </c>
      <c r="DC111" s="255">
        <v>0</v>
      </c>
      <c r="DD111" s="255">
        <v>0</v>
      </c>
      <c r="DE111" s="255">
        <v>379156.30624724354</v>
      </c>
      <c r="DF111" s="255">
        <v>176115.76651210472</v>
      </c>
      <c r="DG111" s="255">
        <v>176115.76651210472</v>
      </c>
      <c r="DH111" s="255">
        <v>154506.39468207851</v>
      </c>
      <c r="DI111" s="255">
        <v>154506.39468207851</v>
      </c>
      <c r="DJ111" s="255">
        <v>154506.39468207851</v>
      </c>
      <c r="DK111" s="255">
        <v>154506.39468207851</v>
      </c>
      <c r="DL111" s="255">
        <v>154506.39468207851</v>
      </c>
      <c r="DM111" s="255">
        <v>154506.39468207851</v>
      </c>
      <c r="DN111" s="255">
        <v>160655.31227006987</v>
      </c>
      <c r="DO111" s="255">
        <v>160655.31227006987</v>
      </c>
      <c r="DP111" s="255">
        <v>189754.01344235626</v>
      </c>
      <c r="DQ111" s="255">
        <v>189754.01344235626</v>
      </c>
      <c r="DR111" s="255">
        <v>189754.01344235626</v>
      </c>
      <c r="DS111" s="255">
        <v>189754.01344235626</v>
      </c>
      <c r="DT111" s="255">
        <v>189754.01344235626</v>
      </c>
      <c r="DU111" s="255">
        <v>189754.01344235626</v>
      </c>
      <c r="DV111" s="255">
        <v>189754.01344235626</v>
      </c>
      <c r="DW111" s="255">
        <v>189754.01344235626</v>
      </c>
      <c r="DX111" s="255">
        <v>189754.01344235626</v>
      </c>
      <c r="DY111" s="255">
        <v>189754.01344235626</v>
      </c>
      <c r="DZ111" s="255">
        <v>223421.74504763345</v>
      </c>
      <c r="EA111" s="255">
        <v>245158.40707964604</v>
      </c>
      <c r="EB111" s="255">
        <v>245158.40707964604</v>
      </c>
      <c r="EC111" s="255">
        <v>245158.40707964604</v>
      </c>
      <c r="ED111" s="255">
        <v>245158.40707964604</v>
      </c>
      <c r="EE111" s="255">
        <v>245158.40707964604</v>
      </c>
      <c r="EF111" s="255">
        <v>245158.40707964604</v>
      </c>
      <c r="EG111" s="255">
        <v>245158.40707964604</v>
      </c>
      <c r="EH111" s="255">
        <v>245158.40707964604</v>
      </c>
      <c r="EI111" s="255">
        <v>245158.40707964604</v>
      </c>
      <c r="EJ111" s="255">
        <v>245158.40707964604</v>
      </c>
      <c r="EK111" s="255">
        <v>245158.40707964604</v>
      </c>
      <c r="EL111" s="255">
        <v>245158.40707964604</v>
      </c>
      <c r="EM111" s="255">
        <v>245158.40707964604</v>
      </c>
      <c r="EN111" s="255">
        <v>0</v>
      </c>
      <c r="EO111" s="255">
        <v>0</v>
      </c>
      <c r="EP111" s="255">
        <v>0</v>
      </c>
      <c r="EQ111" s="255">
        <v>0</v>
      </c>
      <c r="ER111" s="255">
        <v>0</v>
      </c>
      <c r="ES111" s="255">
        <v>0</v>
      </c>
      <c r="ET111" s="255">
        <v>0</v>
      </c>
      <c r="EU111" s="255">
        <v>0</v>
      </c>
      <c r="EV111" s="255">
        <v>0</v>
      </c>
      <c r="EW111" s="255">
        <v>0</v>
      </c>
      <c r="EX111" s="255">
        <v>0</v>
      </c>
      <c r="EY111" s="255">
        <v>0</v>
      </c>
      <c r="EZ111" s="255">
        <v>0</v>
      </c>
      <c r="FA111" s="255">
        <v>0</v>
      </c>
      <c r="FB111" s="255">
        <v>0</v>
      </c>
      <c r="FC111" s="255">
        <v>0</v>
      </c>
      <c r="FD111" s="255">
        <v>0</v>
      </c>
      <c r="FE111" s="255">
        <v>0</v>
      </c>
      <c r="FF111" s="255">
        <v>0</v>
      </c>
      <c r="FG111" s="255">
        <v>0</v>
      </c>
      <c r="FH111" s="255">
        <v>0</v>
      </c>
      <c r="FI111" s="255">
        <v>0</v>
      </c>
      <c r="FJ111" s="255">
        <v>0</v>
      </c>
      <c r="FK111" s="255">
        <v>0</v>
      </c>
      <c r="FL111" s="255">
        <v>0</v>
      </c>
      <c r="FM111" s="255">
        <v>0</v>
      </c>
      <c r="FN111" s="255">
        <v>0</v>
      </c>
      <c r="FO111" s="255">
        <v>0</v>
      </c>
      <c r="FP111" s="255">
        <v>0</v>
      </c>
      <c r="FQ111" s="255">
        <v>0</v>
      </c>
      <c r="FR111" s="255">
        <v>0</v>
      </c>
      <c r="FS111" s="255">
        <v>0</v>
      </c>
      <c r="FT111" s="255">
        <v>0</v>
      </c>
      <c r="FU111" s="255">
        <v>0</v>
      </c>
      <c r="FV111" s="255">
        <v>0</v>
      </c>
      <c r="FW111" s="255">
        <v>0</v>
      </c>
      <c r="FX111" s="116"/>
    </row>
    <row r="112" spans="2:180" x14ac:dyDescent="0.2">
      <c r="B112" s="253" t="s">
        <v>232</v>
      </c>
      <c r="C112" s="253" t="s">
        <v>319</v>
      </c>
      <c r="D112" s="253" t="s">
        <v>85</v>
      </c>
      <c r="E112" s="253" t="s">
        <v>127</v>
      </c>
      <c r="F112" s="253">
        <v>0</v>
      </c>
      <c r="G112" s="253" t="s">
        <v>268</v>
      </c>
      <c r="H112" s="237">
        <v>0</v>
      </c>
      <c r="I112" s="126">
        <f t="shared" si="86"/>
        <v>1702000</v>
      </c>
      <c r="J112" s="116"/>
      <c r="K112" s="254">
        <v>0</v>
      </c>
      <c r="L112" s="254">
        <v>0</v>
      </c>
      <c r="M112" s="254">
        <v>0</v>
      </c>
      <c r="N112" s="254">
        <v>0</v>
      </c>
      <c r="O112" s="254">
        <v>0</v>
      </c>
      <c r="P112" s="254">
        <v>0</v>
      </c>
      <c r="Q112" s="254">
        <v>0</v>
      </c>
      <c r="R112" s="254">
        <v>0</v>
      </c>
      <c r="S112" s="254">
        <v>0</v>
      </c>
      <c r="T112" s="254">
        <v>0</v>
      </c>
      <c r="U112" s="254">
        <v>0</v>
      </c>
      <c r="V112" s="254">
        <v>0</v>
      </c>
      <c r="W112" s="254">
        <v>0</v>
      </c>
      <c r="X112" s="254">
        <v>2.7027027027027029E-2</v>
      </c>
      <c r="Y112" s="254">
        <v>2.7027027027027029E-2</v>
      </c>
      <c r="Z112" s="254">
        <v>2.7027027027027029E-2</v>
      </c>
      <c r="AA112" s="254">
        <v>2.7027027027027029E-2</v>
      </c>
      <c r="AB112" s="254">
        <v>2.7027027027027029E-2</v>
      </c>
      <c r="AC112" s="254">
        <v>2.7027027027027029E-2</v>
      </c>
      <c r="AD112" s="254">
        <v>2.7027027027027029E-2</v>
      </c>
      <c r="AE112" s="254">
        <v>2.7027027027027029E-2</v>
      </c>
      <c r="AF112" s="254">
        <v>2.7027027027027029E-2</v>
      </c>
      <c r="AG112" s="254">
        <v>2.7027027027027029E-2</v>
      </c>
      <c r="AH112" s="254">
        <v>2.7027027027027029E-2</v>
      </c>
      <c r="AI112" s="254">
        <v>2.7027027027027029E-2</v>
      </c>
      <c r="AJ112" s="254">
        <v>2.7027027027027029E-2</v>
      </c>
      <c r="AK112" s="254">
        <v>2.7027027027027029E-2</v>
      </c>
      <c r="AL112" s="254">
        <v>2.7027027027027029E-2</v>
      </c>
      <c r="AM112" s="254">
        <v>2.7027027027027029E-2</v>
      </c>
      <c r="AN112" s="254">
        <v>2.7027027027027029E-2</v>
      </c>
      <c r="AO112" s="254">
        <v>2.7027027027027029E-2</v>
      </c>
      <c r="AP112" s="254">
        <v>2.7027027027027029E-2</v>
      </c>
      <c r="AQ112" s="254">
        <v>2.7027027027027029E-2</v>
      </c>
      <c r="AR112" s="254">
        <v>2.7027027027027029E-2</v>
      </c>
      <c r="AS112" s="254">
        <v>2.7027027027027029E-2</v>
      </c>
      <c r="AT112" s="254">
        <v>2.7027027027027029E-2</v>
      </c>
      <c r="AU112" s="254">
        <v>2.7027027027027029E-2</v>
      </c>
      <c r="AV112" s="254">
        <v>2.7027027027027029E-2</v>
      </c>
      <c r="AW112" s="254">
        <v>2.7027027027027029E-2</v>
      </c>
      <c r="AX112" s="254">
        <v>2.7027027027027029E-2</v>
      </c>
      <c r="AY112" s="254">
        <v>2.7027027027027029E-2</v>
      </c>
      <c r="AZ112" s="254">
        <v>2.7027027027027029E-2</v>
      </c>
      <c r="BA112" s="254">
        <v>2.7027027027027029E-2</v>
      </c>
      <c r="BB112" s="254">
        <v>2.7027027027027029E-2</v>
      </c>
      <c r="BC112" s="254">
        <v>2.7027027027027029E-2</v>
      </c>
      <c r="BD112" s="254">
        <v>2.7027027027027029E-2</v>
      </c>
      <c r="BE112" s="254">
        <v>2.7027027027027029E-2</v>
      </c>
      <c r="BF112" s="254">
        <v>2.7027027027027029E-2</v>
      </c>
      <c r="BG112" s="254">
        <v>2.7027027027027029E-2</v>
      </c>
      <c r="BH112" s="254">
        <v>2.7027027027027029E-2</v>
      </c>
      <c r="BI112" s="254">
        <v>0</v>
      </c>
      <c r="BJ112" s="254">
        <v>0</v>
      </c>
      <c r="BK112" s="254">
        <v>0</v>
      </c>
      <c r="BL112" s="254">
        <v>0</v>
      </c>
      <c r="BM112" s="254">
        <v>0</v>
      </c>
      <c r="BN112" s="254">
        <v>0</v>
      </c>
      <c r="BO112" s="254">
        <v>0</v>
      </c>
      <c r="BP112" s="254">
        <v>0</v>
      </c>
      <c r="BQ112" s="254">
        <v>0</v>
      </c>
      <c r="BR112" s="254">
        <v>0</v>
      </c>
      <c r="BS112" s="254">
        <v>0</v>
      </c>
      <c r="BT112" s="254">
        <v>0</v>
      </c>
      <c r="BU112" s="254">
        <v>0</v>
      </c>
      <c r="BV112" s="254">
        <v>0</v>
      </c>
      <c r="BW112" s="254">
        <v>0</v>
      </c>
      <c r="BX112" s="254">
        <v>0</v>
      </c>
      <c r="BY112" s="254">
        <v>0</v>
      </c>
      <c r="BZ112" s="254">
        <v>0</v>
      </c>
      <c r="CA112" s="254">
        <v>0</v>
      </c>
      <c r="CB112" s="254">
        <v>0</v>
      </c>
      <c r="CC112" s="254">
        <v>0</v>
      </c>
      <c r="CD112" s="254">
        <v>0</v>
      </c>
      <c r="CE112" s="254">
        <v>0</v>
      </c>
      <c r="CF112" s="254">
        <v>0</v>
      </c>
      <c r="CG112" s="254">
        <v>0</v>
      </c>
      <c r="CH112" s="254">
        <v>0</v>
      </c>
      <c r="CI112" s="254">
        <v>0</v>
      </c>
      <c r="CJ112" s="254">
        <v>0</v>
      </c>
      <c r="CK112" s="254">
        <v>0</v>
      </c>
      <c r="CL112" s="254">
        <v>0</v>
      </c>
      <c r="CM112" s="254">
        <v>0</v>
      </c>
      <c r="CN112" s="254">
        <v>0</v>
      </c>
      <c r="CO112" s="254">
        <v>0</v>
      </c>
      <c r="CP112" s="254">
        <v>0</v>
      </c>
      <c r="CQ112" s="116"/>
      <c r="CR112" s="255">
        <v>0</v>
      </c>
      <c r="CS112" s="255">
        <v>0</v>
      </c>
      <c r="CT112" s="255">
        <v>0</v>
      </c>
      <c r="CU112" s="255">
        <v>0</v>
      </c>
      <c r="CV112" s="255">
        <v>0</v>
      </c>
      <c r="CW112" s="255">
        <v>0</v>
      </c>
      <c r="CX112" s="255">
        <v>0</v>
      </c>
      <c r="CY112" s="255">
        <v>0</v>
      </c>
      <c r="CZ112" s="255">
        <v>0</v>
      </c>
      <c r="DA112" s="255">
        <v>0</v>
      </c>
      <c r="DB112" s="255">
        <v>0</v>
      </c>
      <c r="DC112" s="255">
        <v>0</v>
      </c>
      <c r="DD112" s="255">
        <v>0</v>
      </c>
      <c r="DE112" s="255">
        <v>46000</v>
      </c>
      <c r="DF112" s="255">
        <v>46000</v>
      </c>
      <c r="DG112" s="255">
        <v>46000</v>
      </c>
      <c r="DH112" s="255">
        <v>46000</v>
      </c>
      <c r="DI112" s="255">
        <v>46000</v>
      </c>
      <c r="DJ112" s="255">
        <v>46000</v>
      </c>
      <c r="DK112" s="255">
        <v>46000</v>
      </c>
      <c r="DL112" s="255">
        <v>46000</v>
      </c>
      <c r="DM112" s="255">
        <v>46000</v>
      </c>
      <c r="DN112" s="255">
        <v>46000</v>
      </c>
      <c r="DO112" s="255">
        <v>46000</v>
      </c>
      <c r="DP112" s="255">
        <v>46000</v>
      </c>
      <c r="DQ112" s="255">
        <v>46000</v>
      </c>
      <c r="DR112" s="255">
        <v>46000</v>
      </c>
      <c r="DS112" s="255">
        <v>46000</v>
      </c>
      <c r="DT112" s="255">
        <v>46000</v>
      </c>
      <c r="DU112" s="255">
        <v>46000</v>
      </c>
      <c r="DV112" s="255">
        <v>46000</v>
      </c>
      <c r="DW112" s="255">
        <v>46000</v>
      </c>
      <c r="DX112" s="255">
        <v>46000</v>
      </c>
      <c r="DY112" s="255">
        <v>46000</v>
      </c>
      <c r="DZ112" s="255">
        <v>46000</v>
      </c>
      <c r="EA112" s="255">
        <v>46000</v>
      </c>
      <c r="EB112" s="255">
        <v>46000</v>
      </c>
      <c r="EC112" s="255">
        <v>46000</v>
      </c>
      <c r="ED112" s="255">
        <v>46000</v>
      </c>
      <c r="EE112" s="255">
        <v>46000</v>
      </c>
      <c r="EF112" s="255">
        <v>46000</v>
      </c>
      <c r="EG112" s="255">
        <v>46000</v>
      </c>
      <c r="EH112" s="255">
        <v>46000</v>
      </c>
      <c r="EI112" s="255">
        <v>46000</v>
      </c>
      <c r="EJ112" s="255">
        <v>46000</v>
      </c>
      <c r="EK112" s="255">
        <v>46000</v>
      </c>
      <c r="EL112" s="255">
        <v>46000</v>
      </c>
      <c r="EM112" s="255">
        <v>46000</v>
      </c>
      <c r="EN112" s="255">
        <v>46000</v>
      </c>
      <c r="EO112" s="255">
        <v>46000</v>
      </c>
      <c r="EP112" s="255">
        <v>0</v>
      </c>
      <c r="EQ112" s="255">
        <v>0</v>
      </c>
      <c r="ER112" s="255">
        <v>0</v>
      </c>
      <c r="ES112" s="255">
        <v>0</v>
      </c>
      <c r="ET112" s="255">
        <v>0</v>
      </c>
      <c r="EU112" s="255">
        <v>0</v>
      </c>
      <c r="EV112" s="255">
        <v>0</v>
      </c>
      <c r="EW112" s="255">
        <v>0</v>
      </c>
      <c r="EX112" s="255">
        <v>0</v>
      </c>
      <c r="EY112" s="255">
        <v>0</v>
      </c>
      <c r="EZ112" s="255">
        <v>0</v>
      </c>
      <c r="FA112" s="255">
        <v>0</v>
      </c>
      <c r="FB112" s="255">
        <v>0</v>
      </c>
      <c r="FC112" s="255">
        <v>0</v>
      </c>
      <c r="FD112" s="255">
        <v>0</v>
      </c>
      <c r="FE112" s="255">
        <v>0</v>
      </c>
      <c r="FF112" s="255">
        <v>0</v>
      </c>
      <c r="FG112" s="255">
        <v>0</v>
      </c>
      <c r="FH112" s="255">
        <v>0</v>
      </c>
      <c r="FI112" s="255">
        <v>0</v>
      </c>
      <c r="FJ112" s="255">
        <v>0</v>
      </c>
      <c r="FK112" s="255">
        <v>0</v>
      </c>
      <c r="FL112" s="255">
        <v>0</v>
      </c>
      <c r="FM112" s="255">
        <v>0</v>
      </c>
      <c r="FN112" s="255">
        <v>0</v>
      </c>
      <c r="FO112" s="255">
        <v>0</v>
      </c>
      <c r="FP112" s="255">
        <v>0</v>
      </c>
      <c r="FQ112" s="255">
        <v>0</v>
      </c>
      <c r="FR112" s="255">
        <v>0</v>
      </c>
      <c r="FS112" s="255">
        <v>0</v>
      </c>
      <c r="FT112" s="255">
        <v>0</v>
      </c>
      <c r="FU112" s="255">
        <v>0</v>
      </c>
      <c r="FV112" s="255">
        <v>0</v>
      </c>
      <c r="FW112" s="255">
        <v>0</v>
      </c>
      <c r="FX112" s="116"/>
    </row>
    <row r="113" spans="2:180" x14ac:dyDescent="0.2">
      <c r="B113" s="253" t="s">
        <v>205</v>
      </c>
      <c r="C113" s="253" t="s">
        <v>272</v>
      </c>
      <c r="D113" s="253" t="s">
        <v>258</v>
      </c>
      <c r="E113" s="253" t="s">
        <v>127</v>
      </c>
      <c r="F113" s="253" t="s">
        <v>259</v>
      </c>
      <c r="G113" s="253" t="s">
        <v>260</v>
      </c>
      <c r="H113" s="237">
        <v>254.01</v>
      </c>
      <c r="I113" s="126">
        <f t="shared" si="86"/>
        <v>535171.26000000013</v>
      </c>
      <c r="J113" s="116"/>
      <c r="K113" s="254">
        <v>0</v>
      </c>
      <c r="L113" s="254">
        <v>0</v>
      </c>
      <c r="M113" s="254">
        <v>0</v>
      </c>
      <c r="N113" s="254">
        <v>0</v>
      </c>
      <c r="O113" s="254">
        <v>0</v>
      </c>
      <c r="P113" s="254">
        <v>0</v>
      </c>
      <c r="Q113" s="254">
        <v>0</v>
      </c>
      <c r="R113" s="254">
        <v>0</v>
      </c>
      <c r="S113" s="254">
        <v>0</v>
      </c>
      <c r="T113" s="254">
        <v>0</v>
      </c>
      <c r="U113" s="254">
        <v>0</v>
      </c>
      <c r="V113" s="254">
        <v>0</v>
      </c>
      <c r="W113" s="254">
        <v>0</v>
      </c>
      <c r="X113" s="254">
        <v>0</v>
      </c>
      <c r="Y113" s="254">
        <v>0</v>
      </c>
      <c r="Z113" s="254">
        <v>0.5</v>
      </c>
      <c r="AA113" s="254">
        <v>0.46052631578947367</v>
      </c>
      <c r="AB113" s="254">
        <v>0.46052631578947367</v>
      </c>
      <c r="AC113" s="254">
        <v>0.5</v>
      </c>
      <c r="AD113" s="254">
        <v>0.5</v>
      </c>
      <c r="AE113" s="254">
        <v>0.5</v>
      </c>
      <c r="AF113" s="254">
        <v>0.5</v>
      </c>
      <c r="AG113" s="254">
        <v>0.5</v>
      </c>
      <c r="AH113" s="254">
        <v>0.5</v>
      </c>
      <c r="AI113" s="254">
        <v>0.5</v>
      </c>
      <c r="AJ113" s="254">
        <v>0.5</v>
      </c>
      <c r="AK113" s="254">
        <v>0.5</v>
      </c>
      <c r="AL113" s="254">
        <v>0.5</v>
      </c>
      <c r="AM113" s="254">
        <v>0.5</v>
      </c>
      <c r="AN113" s="254">
        <v>0.5</v>
      </c>
      <c r="AO113" s="254">
        <v>0.5</v>
      </c>
      <c r="AP113" s="254">
        <v>0.5</v>
      </c>
      <c r="AQ113" s="254">
        <v>0.5</v>
      </c>
      <c r="AR113" s="254">
        <v>0.5</v>
      </c>
      <c r="AS113" s="254">
        <v>0.5</v>
      </c>
      <c r="AT113" s="254">
        <v>0.5</v>
      </c>
      <c r="AU113" s="254">
        <v>0.5</v>
      </c>
      <c r="AV113" s="254">
        <v>0.5</v>
      </c>
      <c r="AW113" s="254">
        <v>0.5</v>
      </c>
      <c r="AX113" s="254">
        <v>0.5</v>
      </c>
      <c r="AY113" s="254">
        <v>0.5</v>
      </c>
      <c r="AZ113" s="254">
        <v>0.5</v>
      </c>
      <c r="BA113" s="254">
        <v>0.5</v>
      </c>
      <c r="BB113" s="254">
        <v>0.5</v>
      </c>
      <c r="BC113" s="254">
        <v>0.5</v>
      </c>
      <c r="BD113" s="254">
        <v>0.5</v>
      </c>
      <c r="BE113" s="254">
        <v>0</v>
      </c>
      <c r="BF113" s="254">
        <v>0</v>
      </c>
      <c r="BG113" s="254">
        <v>0</v>
      </c>
      <c r="BH113" s="254">
        <v>0</v>
      </c>
      <c r="BI113" s="254">
        <v>0</v>
      </c>
      <c r="BJ113" s="254">
        <v>0</v>
      </c>
      <c r="BK113" s="254">
        <v>0</v>
      </c>
      <c r="BL113" s="254">
        <v>0</v>
      </c>
      <c r="BM113" s="254">
        <v>0</v>
      </c>
      <c r="BN113" s="254">
        <v>0</v>
      </c>
      <c r="BO113" s="254">
        <v>0</v>
      </c>
      <c r="BP113" s="254">
        <v>0</v>
      </c>
      <c r="BQ113" s="254">
        <v>0</v>
      </c>
      <c r="BR113" s="254">
        <v>0</v>
      </c>
      <c r="BS113" s="254">
        <v>0</v>
      </c>
      <c r="BT113" s="254">
        <v>0</v>
      </c>
      <c r="BU113" s="254">
        <v>0</v>
      </c>
      <c r="BV113" s="254">
        <v>0</v>
      </c>
      <c r="BW113" s="254">
        <v>0</v>
      </c>
      <c r="BX113" s="254">
        <v>0</v>
      </c>
      <c r="BY113" s="254">
        <v>0</v>
      </c>
      <c r="BZ113" s="254">
        <v>0</v>
      </c>
      <c r="CA113" s="254">
        <v>0</v>
      </c>
      <c r="CB113" s="254">
        <v>0</v>
      </c>
      <c r="CC113" s="254">
        <v>0</v>
      </c>
      <c r="CD113" s="254">
        <v>0</v>
      </c>
      <c r="CE113" s="254">
        <v>0</v>
      </c>
      <c r="CF113" s="254">
        <v>0</v>
      </c>
      <c r="CG113" s="254">
        <v>0</v>
      </c>
      <c r="CH113" s="254">
        <v>0</v>
      </c>
      <c r="CI113" s="254">
        <v>0</v>
      </c>
      <c r="CJ113" s="254">
        <v>0</v>
      </c>
      <c r="CK113" s="254">
        <v>0</v>
      </c>
      <c r="CL113" s="254">
        <v>0</v>
      </c>
      <c r="CM113" s="254">
        <v>0</v>
      </c>
      <c r="CN113" s="254">
        <v>0</v>
      </c>
      <c r="CO113" s="254">
        <v>0</v>
      </c>
      <c r="CP113" s="254">
        <v>0</v>
      </c>
      <c r="CQ113" s="116"/>
      <c r="CR113" s="255">
        <v>0</v>
      </c>
      <c r="CS113" s="255">
        <v>0</v>
      </c>
      <c r="CT113" s="255">
        <v>0</v>
      </c>
      <c r="CU113" s="255">
        <v>0</v>
      </c>
      <c r="CV113" s="255">
        <v>0</v>
      </c>
      <c r="CW113" s="255">
        <v>0</v>
      </c>
      <c r="CX113" s="255">
        <v>0</v>
      </c>
      <c r="CY113" s="255">
        <v>0</v>
      </c>
      <c r="CZ113" s="255">
        <v>0</v>
      </c>
      <c r="DA113" s="255">
        <v>0</v>
      </c>
      <c r="DB113" s="255">
        <v>0</v>
      </c>
      <c r="DC113" s="255">
        <v>0</v>
      </c>
      <c r="DD113" s="255">
        <v>0</v>
      </c>
      <c r="DE113" s="255">
        <v>0</v>
      </c>
      <c r="DF113" s="255">
        <v>0</v>
      </c>
      <c r="DG113" s="255">
        <v>12948.074999999999</v>
      </c>
      <c r="DH113" s="255">
        <v>17264.099999999999</v>
      </c>
      <c r="DI113" s="255">
        <v>17264.099999999999</v>
      </c>
      <c r="DJ113" s="255">
        <v>17780.7</v>
      </c>
      <c r="DK113" s="255">
        <v>17780.7</v>
      </c>
      <c r="DL113" s="255">
        <v>17780.7</v>
      </c>
      <c r="DM113" s="255">
        <v>17780.7</v>
      </c>
      <c r="DN113" s="255">
        <v>17780.7</v>
      </c>
      <c r="DO113" s="255">
        <v>13335.525</v>
      </c>
      <c r="DP113" s="255">
        <v>13335.525</v>
      </c>
      <c r="DQ113" s="255">
        <v>17780.7</v>
      </c>
      <c r="DR113" s="255">
        <v>17780.7</v>
      </c>
      <c r="DS113" s="255">
        <v>13335.525</v>
      </c>
      <c r="DT113" s="255">
        <v>19304.759999999998</v>
      </c>
      <c r="DU113" s="255">
        <v>19304.759999999998</v>
      </c>
      <c r="DV113" s="255">
        <v>18313.400000000001</v>
      </c>
      <c r="DW113" s="255">
        <v>18313.400000000001</v>
      </c>
      <c r="DX113" s="255">
        <v>18313.400000000001</v>
      </c>
      <c r="DY113" s="255">
        <v>18313.400000000001</v>
      </c>
      <c r="DZ113" s="255">
        <v>18313.400000000001</v>
      </c>
      <c r="EA113" s="255">
        <v>13735.050000000001</v>
      </c>
      <c r="EB113" s="255">
        <v>13735.050000000001</v>
      </c>
      <c r="EC113" s="255">
        <v>18313.400000000001</v>
      </c>
      <c r="ED113" s="255">
        <v>18313.400000000001</v>
      </c>
      <c r="EE113" s="255">
        <v>13735.050000000001</v>
      </c>
      <c r="EF113" s="255">
        <v>19883.12</v>
      </c>
      <c r="EG113" s="255">
        <v>19883.12</v>
      </c>
      <c r="EH113" s="255">
        <v>18862.199999999997</v>
      </c>
      <c r="EI113" s="255">
        <v>18862.199999999997</v>
      </c>
      <c r="EJ113" s="255">
        <v>18862.199999999997</v>
      </c>
      <c r="EK113" s="255">
        <v>18862.199999999997</v>
      </c>
      <c r="EL113" s="255">
        <v>0</v>
      </c>
      <c r="EM113" s="255">
        <v>0</v>
      </c>
      <c r="EN113" s="255">
        <v>0</v>
      </c>
      <c r="EO113" s="255">
        <v>0</v>
      </c>
      <c r="EP113" s="255">
        <v>0</v>
      </c>
      <c r="EQ113" s="255">
        <v>0</v>
      </c>
      <c r="ER113" s="255">
        <v>0</v>
      </c>
      <c r="ES113" s="255">
        <v>0</v>
      </c>
      <c r="ET113" s="255">
        <v>0</v>
      </c>
      <c r="EU113" s="255">
        <v>0</v>
      </c>
      <c r="EV113" s="255">
        <v>0</v>
      </c>
      <c r="EW113" s="255">
        <v>0</v>
      </c>
      <c r="EX113" s="255">
        <v>0</v>
      </c>
      <c r="EY113" s="255">
        <v>0</v>
      </c>
      <c r="EZ113" s="255">
        <v>0</v>
      </c>
      <c r="FA113" s="255">
        <v>0</v>
      </c>
      <c r="FB113" s="255">
        <v>0</v>
      </c>
      <c r="FC113" s="255">
        <v>0</v>
      </c>
      <c r="FD113" s="255">
        <v>0</v>
      </c>
      <c r="FE113" s="255">
        <v>0</v>
      </c>
      <c r="FF113" s="255">
        <v>0</v>
      </c>
      <c r="FG113" s="255">
        <v>0</v>
      </c>
      <c r="FH113" s="255">
        <v>0</v>
      </c>
      <c r="FI113" s="255">
        <v>0</v>
      </c>
      <c r="FJ113" s="255">
        <v>0</v>
      </c>
      <c r="FK113" s="255">
        <v>0</v>
      </c>
      <c r="FL113" s="255">
        <v>0</v>
      </c>
      <c r="FM113" s="255">
        <v>0</v>
      </c>
      <c r="FN113" s="255">
        <v>0</v>
      </c>
      <c r="FO113" s="255">
        <v>0</v>
      </c>
      <c r="FP113" s="255">
        <v>0</v>
      </c>
      <c r="FQ113" s="255">
        <v>0</v>
      </c>
      <c r="FR113" s="255">
        <v>0</v>
      </c>
      <c r="FS113" s="255">
        <v>0</v>
      </c>
      <c r="FT113" s="255">
        <v>0</v>
      </c>
      <c r="FU113" s="255">
        <v>0</v>
      </c>
      <c r="FV113" s="255">
        <v>0</v>
      </c>
      <c r="FW113" s="255">
        <v>0</v>
      </c>
      <c r="FX113" s="116"/>
    </row>
    <row r="114" spans="2:180" x14ac:dyDescent="0.2">
      <c r="B114" s="253" t="s">
        <v>205</v>
      </c>
      <c r="C114" s="253" t="s">
        <v>320</v>
      </c>
      <c r="D114" s="253" t="s">
        <v>258</v>
      </c>
      <c r="E114" s="253" t="s">
        <v>127</v>
      </c>
      <c r="F114" s="253" t="s">
        <v>259</v>
      </c>
      <c r="G114" s="253" t="s">
        <v>260</v>
      </c>
      <c r="H114" s="237">
        <v>202.73</v>
      </c>
      <c r="I114" s="126">
        <f t="shared" si="86"/>
        <v>863434.2</v>
      </c>
      <c r="J114" s="116"/>
      <c r="K114" s="254">
        <v>0</v>
      </c>
      <c r="L114" s="254">
        <v>0</v>
      </c>
      <c r="M114" s="254">
        <v>0</v>
      </c>
      <c r="N114" s="254">
        <v>0</v>
      </c>
      <c r="O114" s="254">
        <v>0</v>
      </c>
      <c r="P114" s="254">
        <v>0</v>
      </c>
      <c r="Q114" s="254">
        <v>0</v>
      </c>
      <c r="R114" s="254">
        <v>0</v>
      </c>
      <c r="S114" s="254">
        <v>0</v>
      </c>
      <c r="T114" s="254">
        <v>0</v>
      </c>
      <c r="U114" s="254">
        <v>0</v>
      </c>
      <c r="V114" s="254">
        <v>0</v>
      </c>
      <c r="W114" s="254">
        <v>0</v>
      </c>
      <c r="X114" s="254">
        <v>0</v>
      </c>
      <c r="Y114" s="254">
        <v>0</v>
      </c>
      <c r="Z114" s="254">
        <v>1</v>
      </c>
      <c r="AA114" s="254">
        <v>0.92105263157894735</v>
      </c>
      <c r="AB114" s="254">
        <v>0.92105263157894735</v>
      </c>
      <c r="AC114" s="254">
        <v>1</v>
      </c>
      <c r="AD114" s="254">
        <v>1</v>
      </c>
      <c r="AE114" s="254">
        <v>1</v>
      </c>
      <c r="AF114" s="254">
        <v>1</v>
      </c>
      <c r="AG114" s="254">
        <v>1</v>
      </c>
      <c r="AH114" s="254">
        <v>1</v>
      </c>
      <c r="AI114" s="254">
        <v>1</v>
      </c>
      <c r="AJ114" s="254">
        <v>1</v>
      </c>
      <c r="AK114" s="254">
        <v>1</v>
      </c>
      <c r="AL114" s="254">
        <v>1</v>
      </c>
      <c r="AM114" s="254">
        <v>1</v>
      </c>
      <c r="AN114" s="254">
        <v>1</v>
      </c>
      <c r="AO114" s="254">
        <v>1</v>
      </c>
      <c r="AP114" s="254">
        <v>1</v>
      </c>
      <c r="AQ114" s="254">
        <v>1</v>
      </c>
      <c r="AR114" s="254">
        <v>1</v>
      </c>
      <c r="AS114" s="254">
        <v>1</v>
      </c>
      <c r="AT114" s="254">
        <v>1</v>
      </c>
      <c r="AU114" s="254">
        <v>1</v>
      </c>
      <c r="AV114" s="254">
        <v>1</v>
      </c>
      <c r="AW114" s="254">
        <v>1</v>
      </c>
      <c r="AX114" s="254">
        <v>1</v>
      </c>
      <c r="AY114" s="254">
        <v>1</v>
      </c>
      <c r="AZ114" s="254">
        <v>1</v>
      </c>
      <c r="BA114" s="254">
        <v>1</v>
      </c>
      <c r="BB114" s="254">
        <v>1</v>
      </c>
      <c r="BC114" s="254">
        <v>1</v>
      </c>
      <c r="BD114" s="254">
        <v>1</v>
      </c>
      <c r="BE114" s="254">
        <v>0</v>
      </c>
      <c r="BF114" s="254">
        <v>0</v>
      </c>
      <c r="BG114" s="254">
        <v>0</v>
      </c>
      <c r="BH114" s="254">
        <v>0</v>
      </c>
      <c r="BI114" s="254">
        <v>0</v>
      </c>
      <c r="BJ114" s="254">
        <v>0</v>
      </c>
      <c r="BK114" s="254">
        <v>0</v>
      </c>
      <c r="BL114" s="254">
        <v>0</v>
      </c>
      <c r="BM114" s="254">
        <v>0</v>
      </c>
      <c r="BN114" s="254">
        <v>0</v>
      </c>
      <c r="BO114" s="254">
        <v>0</v>
      </c>
      <c r="BP114" s="254">
        <v>0</v>
      </c>
      <c r="BQ114" s="254">
        <v>0</v>
      </c>
      <c r="BR114" s="254">
        <v>0</v>
      </c>
      <c r="BS114" s="254">
        <v>0</v>
      </c>
      <c r="BT114" s="254">
        <v>0</v>
      </c>
      <c r="BU114" s="254">
        <v>0</v>
      </c>
      <c r="BV114" s="254">
        <v>0</v>
      </c>
      <c r="BW114" s="254">
        <v>0</v>
      </c>
      <c r="BX114" s="254">
        <v>0</v>
      </c>
      <c r="BY114" s="254">
        <v>0</v>
      </c>
      <c r="BZ114" s="254">
        <v>0</v>
      </c>
      <c r="CA114" s="254">
        <v>0</v>
      </c>
      <c r="CB114" s="254">
        <v>0</v>
      </c>
      <c r="CC114" s="254">
        <v>0</v>
      </c>
      <c r="CD114" s="254">
        <v>0</v>
      </c>
      <c r="CE114" s="254">
        <v>0</v>
      </c>
      <c r="CF114" s="254">
        <v>0</v>
      </c>
      <c r="CG114" s="254">
        <v>0</v>
      </c>
      <c r="CH114" s="254">
        <v>0</v>
      </c>
      <c r="CI114" s="254">
        <v>0</v>
      </c>
      <c r="CJ114" s="254">
        <v>0</v>
      </c>
      <c r="CK114" s="254">
        <v>0</v>
      </c>
      <c r="CL114" s="254">
        <v>0</v>
      </c>
      <c r="CM114" s="254">
        <v>0</v>
      </c>
      <c r="CN114" s="254">
        <v>0</v>
      </c>
      <c r="CO114" s="254">
        <v>0</v>
      </c>
      <c r="CP114" s="254">
        <v>0</v>
      </c>
      <c r="CQ114" s="116"/>
      <c r="CR114" s="255">
        <v>0</v>
      </c>
      <c r="CS114" s="255">
        <v>0</v>
      </c>
      <c r="CT114" s="255">
        <v>0</v>
      </c>
      <c r="CU114" s="255">
        <v>0</v>
      </c>
      <c r="CV114" s="255">
        <v>0</v>
      </c>
      <c r="CW114" s="255">
        <v>0</v>
      </c>
      <c r="CX114" s="255">
        <v>0</v>
      </c>
      <c r="CY114" s="255">
        <v>0</v>
      </c>
      <c r="CZ114" s="255">
        <v>0</v>
      </c>
      <c r="DA114" s="255">
        <v>0</v>
      </c>
      <c r="DB114" s="255">
        <v>0</v>
      </c>
      <c r="DC114" s="255">
        <v>0</v>
      </c>
      <c r="DD114" s="255">
        <v>0</v>
      </c>
      <c r="DE114" s="255">
        <v>0</v>
      </c>
      <c r="DF114" s="255">
        <v>0</v>
      </c>
      <c r="DG114" s="255">
        <v>21286.649999999998</v>
      </c>
      <c r="DH114" s="255">
        <v>28382.199999999997</v>
      </c>
      <c r="DI114" s="255">
        <v>28382.199999999997</v>
      </c>
      <c r="DJ114" s="255">
        <v>28382.199999999997</v>
      </c>
      <c r="DK114" s="255">
        <v>28382.199999999997</v>
      </c>
      <c r="DL114" s="255">
        <v>28382.199999999997</v>
      </c>
      <c r="DM114" s="255">
        <v>28382.199999999997</v>
      </c>
      <c r="DN114" s="255">
        <v>28382.199999999997</v>
      </c>
      <c r="DO114" s="255">
        <v>21286.649999999998</v>
      </c>
      <c r="DP114" s="255">
        <v>21286.649999999998</v>
      </c>
      <c r="DQ114" s="255">
        <v>28382.199999999997</v>
      </c>
      <c r="DR114" s="255">
        <v>29244.6</v>
      </c>
      <c r="DS114" s="255">
        <v>21933.449999999997</v>
      </c>
      <c r="DT114" s="255">
        <v>31751.279999999999</v>
      </c>
      <c r="DU114" s="255">
        <v>31751.279999999999</v>
      </c>
      <c r="DV114" s="255">
        <v>29244.6</v>
      </c>
      <c r="DW114" s="255">
        <v>29244.6</v>
      </c>
      <c r="DX114" s="255">
        <v>29244.6</v>
      </c>
      <c r="DY114" s="255">
        <v>29244.6</v>
      </c>
      <c r="DZ114" s="255">
        <v>29244.6</v>
      </c>
      <c r="EA114" s="255">
        <v>21933.449999999997</v>
      </c>
      <c r="EB114" s="255">
        <v>21933.449999999997</v>
      </c>
      <c r="EC114" s="255">
        <v>29244.6</v>
      </c>
      <c r="ED114" s="255">
        <v>30108.400000000001</v>
      </c>
      <c r="EE114" s="255">
        <v>22581.3</v>
      </c>
      <c r="EF114" s="255">
        <v>32689.119999999999</v>
      </c>
      <c r="EG114" s="255">
        <v>32689.119999999999</v>
      </c>
      <c r="EH114" s="255">
        <v>30108.400000000001</v>
      </c>
      <c r="EI114" s="255">
        <v>30108.400000000001</v>
      </c>
      <c r="EJ114" s="255">
        <v>30108.400000000001</v>
      </c>
      <c r="EK114" s="255">
        <v>30108.400000000001</v>
      </c>
      <c r="EL114" s="255">
        <v>0</v>
      </c>
      <c r="EM114" s="255">
        <v>0</v>
      </c>
      <c r="EN114" s="255">
        <v>0</v>
      </c>
      <c r="EO114" s="255">
        <v>0</v>
      </c>
      <c r="EP114" s="255">
        <v>0</v>
      </c>
      <c r="EQ114" s="255">
        <v>0</v>
      </c>
      <c r="ER114" s="255">
        <v>0</v>
      </c>
      <c r="ES114" s="255">
        <v>0</v>
      </c>
      <c r="ET114" s="255">
        <v>0</v>
      </c>
      <c r="EU114" s="255">
        <v>0</v>
      </c>
      <c r="EV114" s="255">
        <v>0</v>
      </c>
      <c r="EW114" s="255">
        <v>0</v>
      </c>
      <c r="EX114" s="255">
        <v>0</v>
      </c>
      <c r="EY114" s="255">
        <v>0</v>
      </c>
      <c r="EZ114" s="255">
        <v>0</v>
      </c>
      <c r="FA114" s="255">
        <v>0</v>
      </c>
      <c r="FB114" s="255">
        <v>0</v>
      </c>
      <c r="FC114" s="255">
        <v>0</v>
      </c>
      <c r="FD114" s="255">
        <v>0</v>
      </c>
      <c r="FE114" s="255">
        <v>0</v>
      </c>
      <c r="FF114" s="255">
        <v>0</v>
      </c>
      <c r="FG114" s="255">
        <v>0</v>
      </c>
      <c r="FH114" s="255">
        <v>0</v>
      </c>
      <c r="FI114" s="255">
        <v>0</v>
      </c>
      <c r="FJ114" s="255">
        <v>0</v>
      </c>
      <c r="FK114" s="255">
        <v>0</v>
      </c>
      <c r="FL114" s="255">
        <v>0</v>
      </c>
      <c r="FM114" s="255">
        <v>0</v>
      </c>
      <c r="FN114" s="255">
        <v>0</v>
      </c>
      <c r="FO114" s="255">
        <v>0</v>
      </c>
      <c r="FP114" s="255">
        <v>0</v>
      </c>
      <c r="FQ114" s="255">
        <v>0</v>
      </c>
      <c r="FR114" s="255">
        <v>0</v>
      </c>
      <c r="FS114" s="255">
        <v>0</v>
      </c>
      <c r="FT114" s="255">
        <v>0</v>
      </c>
      <c r="FU114" s="255">
        <v>0</v>
      </c>
      <c r="FV114" s="255">
        <v>0</v>
      </c>
      <c r="FW114" s="255">
        <v>0</v>
      </c>
      <c r="FX114" s="116"/>
    </row>
    <row r="115" spans="2:180" x14ac:dyDescent="0.2">
      <c r="B115" s="253" t="s">
        <v>233</v>
      </c>
      <c r="C115" s="253" t="s">
        <v>265</v>
      </c>
      <c r="D115" s="253" t="s">
        <v>258</v>
      </c>
      <c r="E115" s="253" t="s">
        <v>127</v>
      </c>
      <c r="F115" s="253" t="s">
        <v>259</v>
      </c>
      <c r="G115" s="253" t="s">
        <v>260</v>
      </c>
      <c r="H115" s="237">
        <v>333.23</v>
      </c>
      <c r="I115" s="126">
        <f t="shared" si="86"/>
        <v>702204.65000000014</v>
      </c>
      <c r="J115" s="116"/>
      <c r="K115" s="254">
        <v>0</v>
      </c>
      <c r="L115" s="254">
        <v>0</v>
      </c>
      <c r="M115" s="254">
        <v>0</v>
      </c>
      <c r="N115" s="254">
        <v>0</v>
      </c>
      <c r="O115" s="254">
        <v>0</v>
      </c>
      <c r="P115" s="254">
        <v>0</v>
      </c>
      <c r="Q115" s="254">
        <v>0</v>
      </c>
      <c r="R115" s="254">
        <v>0</v>
      </c>
      <c r="S115" s="254">
        <v>0</v>
      </c>
      <c r="T115" s="254">
        <v>0</v>
      </c>
      <c r="U115" s="254">
        <v>0</v>
      </c>
      <c r="V115" s="254">
        <v>0</v>
      </c>
      <c r="W115" s="254">
        <v>0</v>
      </c>
      <c r="X115" s="254">
        <v>0</v>
      </c>
      <c r="Y115" s="254">
        <v>0</v>
      </c>
      <c r="Z115" s="254">
        <v>0.5</v>
      </c>
      <c r="AA115" s="254">
        <v>0.46052631578947367</v>
      </c>
      <c r="AB115" s="254">
        <v>0.46052631578947367</v>
      </c>
      <c r="AC115" s="254">
        <v>0.5</v>
      </c>
      <c r="AD115" s="254">
        <v>0.5</v>
      </c>
      <c r="AE115" s="254">
        <v>0.5</v>
      </c>
      <c r="AF115" s="254">
        <v>0.5</v>
      </c>
      <c r="AG115" s="254">
        <v>0.5</v>
      </c>
      <c r="AH115" s="254">
        <v>0.5</v>
      </c>
      <c r="AI115" s="254">
        <v>0.5</v>
      </c>
      <c r="AJ115" s="254">
        <v>0.5</v>
      </c>
      <c r="AK115" s="254">
        <v>0.5</v>
      </c>
      <c r="AL115" s="254">
        <v>0.5</v>
      </c>
      <c r="AM115" s="254">
        <v>0.5</v>
      </c>
      <c r="AN115" s="254">
        <v>0.5</v>
      </c>
      <c r="AO115" s="254">
        <v>0.5</v>
      </c>
      <c r="AP115" s="254">
        <v>0.5</v>
      </c>
      <c r="AQ115" s="254">
        <v>0.5</v>
      </c>
      <c r="AR115" s="254">
        <v>0.5</v>
      </c>
      <c r="AS115" s="254">
        <v>0.5</v>
      </c>
      <c r="AT115" s="254">
        <v>0.5</v>
      </c>
      <c r="AU115" s="254">
        <v>0.5</v>
      </c>
      <c r="AV115" s="254">
        <v>0.5</v>
      </c>
      <c r="AW115" s="254">
        <v>0.5</v>
      </c>
      <c r="AX115" s="254">
        <v>0.5</v>
      </c>
      <c r="AY115" s="254">
        <v>0.5</v>
      </c>
      <c r="AZ115" s="254">
        <v>0.5</v>
      </c>
      <c r="BA115" s="254">
        <v>0.5</v>
      </c>
      <c r="BB115" s="254">
        <v>0.5</v>
      </c>
      <c r="BC115" s="254">
        <v>0.5</v>
      </c>
      <c r="BD115" s="254">
        <v>0.5</v>
      </c>
      <c r="BE115" s="254">
        <v>0</v>
      </c>
      <c r="BF115" s="254">
        <v>0</v>
      </c>
      <c r="BG115" s="254">
        <v>0</v>
      </c>
      <c r="BH115" s="254">
        <v>0</v>
      </c>
      <c r="BI115" s="254">
        <v>0</v>
      </c>
      <c r="BJ115" s="254">
        <v>0</v>
      </c>
      <c r="BK115" s="254">
        <v>0</v>
      </c>
      <c r="BL115" s="254">
        <v>0</v>
      </c>
      <c r="BM115" s="254">
        <v>0</v>
      </c>
      <c r="BN115" s="254">
        <v>0</v>
      </c>
      <c r="BO115" s="254">
        <v>0</v>
      </c>
      <c r="BP115" s="254">
        <v>0</v>
      </c>
      <c r="BQ115" s="254">
        <v>0</v>
      </c>
      <c r="BR115" s="254">
        <v>0</v>
      </c>
      <c r="BS115" s="254">
        <v>0</v>
      </c>
      <c r="BT115" s="254">
        <v>0</v>
      </c>
      <c r="BU115" s="254">
        <v>0</v>
      </c>
      <c r="BV115" s="254">
        <v>0</v>
      </c>
      <c r="BW115" s="254">
        <v>0</v>
      </c>
      <c r="BX115" s="254">
        <v>0</v>
      </c>
      <c r="BY115" s="254">
        <v>0</v>
      </c>
      <c r="BZ115" s="254">
        <v>0</v>
      </c>
      <c r="CA115" s="254">
        <v>0</v>
      </c>
      <c r="CB115" s="254">
        <v>0</v>
      </c>
      <c r="CC115" s="254">
        <v>0</v>
      </c>
      <c r="CD115" s="254">
        <v>0</v>
      </c>
      <c r="CE115" s="254">
        <v>0</v>
      </c>
      <c r="CF115" s="254">
        <v>0</v>
      </c>
      <c r="CG115" s="254">
        <v>0</v>
      </c>
      <c r="CH115" s="254">
        <v>0</v>
      </c>
      <c r="CI115" s="254">
        <v>0</v>
      </c>
      <c r="CJ115" s="254">
        <v>0</v>
      </c>
      <c r="CK115" s="254">
        <v>0</v>
      </c>
      <c r="CL115" s="254">
        <v>0</v>
      </c>
      <c r="CM115" s="254">
        <v>0</v>
      </c>
      <c r="CN115" s="254">
        <v>0</v>
      </c>
      <c r="CO115" s="254">
        <v>0</v>
      </c>
      <c r="CP115" s="254">
        <v>0</v>
      </c>
      <c r="CQ115" s="116"/>
      <c r="CR115" s="255">
        <v>0</v>
      </c>
      <c r="CS115" s="255">
        <v>0</v>
      </c>
      <c r="CT115" s="255">
        <v>0</v>
      </c>
      <c r="CU115" s="255">
        <v>0</v>
      </c>
      <c r="CV115" s="255">
        <v>0</v>
      </c>
      <c r="CW115" s="255">
        <v>0</v>
      </c>
      <c r="CX115" s="255">
        <v>0</v>
      </c>
      <c r="CY115" s="255">
        <v>0</v>
      </c>
      <c r="CZ115" s="255">
        <v>0</v>
      </c>
      <c r="DA115" s="255">
        <v>0</v>
      </c>
      <c r="DB115" s="255">
        <v>0</v>
      </c>
      <c r="DC115" s="255">
        <v>0</v>
      </c>
      <c r="DD115" s="255">
        <v>0</v>
      </c>
      <c r="DE115" s="255">
        <v>0</v>
      </c>
      <c r="DF115" s="255">
        <v>0</v>
      </c>
      <c r="DG115" s="255">
        <v>16989.525000000001</v>
      </c>
      <c r="DH115" s="255">
        <v>22652.7</v>
      </c>
      <c r="DI115" s="255">
        <v>22652.7</v>
      </c>
      <c r="DJ115" s="255">
        <v>23326.799999999999</v>
      </c>
      <c r="DK115" s="255">
        <v>23326.799999999999</v>
      </c>
      <c r="DL115" s="255">
        <v>23326.799999999999</v>
      </c>
      <c r="DM115" s="255">
        <v>23326.799999999999</v>
      </c>
      <c r="DN115" s="255">
        <v>23326.799999999999</v>
      </c>
      <c r="DO115" s="255">
        <v>17495.100000000002</v>
      </c>
      <c r="DP115" s="255">
        <v>17495.100000000002</v>
      </c>
      <c r="DQ115" s="255">
        <v>23326.799999999999</v>
      </c>
      <c r="DR115" s="255">
        <v>23326.799999999999</v>
      </c>
      <c r="DS115" s="255">
        <v>17495.100000000002</v>
      </c>
      <c r="DT115" s="255">
        <v>25326.240000000002</v>
      </c>
      <c r="DU115" s="255">
        <v>25326.240000000002</v>
      </c>
      <c r="DV115" s="255">
        <v>24031.7</v>
      </c>
      <c r="DW115" s="255">
        <v>24031.7</v>
      </c>
      <c r="DX115" s="255">
        <v>24031.7</v>
      </c>
      <c r="DY115" s="255">
        <v>24031.7</v>
      </c>
      <c r="DZ115" s="255">
        <v>24031.7</v>
      </c>
      <c r="EA115" s="255">
        <v>18023.775000000001</v>
      </c>
      <c r="EB115" s="255">
        <v>18023.775000000001</v>
      </c>
      <c r="EC115" s="255">
        <v>24031.7</v>
      </c>
      <c r="ED115" s="255">
        <v>24031.7</v>
      </c>
      <c r="EE115" s="255">
        <v>18023.775000000001</v>
      </c>
      <c r="EF115" s="255">
        <v>26091.56</v>
      </c>
      <c r="EG115" s="255">
        <v>26091.56</v>
      </c>
      <c r="EH115" s="255">
        <v>24752</v>
      </c>
      <c r="EI115" s="255">
        <v>24752</v>
      </c>
      <c r="EJ115" s="255">
        <v>24752</v>
      </c>
      <c r="EK115" s="255">
        <v>24752</v>
      </c>
      <c r="EL115" s="255">
        <v>0</v>
      </c>
      <c r="EM115" s="255">
        <v>0</v>
      </c>
      <c r="EN115" s="255">
        <v>0</v>
      </c>
      <c r="EO115" s="255">
        <v>0</v>
      </c>
      <c r="EP115" s="255">
        <v>0</v>
      </c>
      <c r="EQ115" s="255">
        <v>0</v>
      </c>
      <c r="ER115" s="255">
        <v>0</v>
      </c>
      <c r="ES115" s="255">
        <v>0</v>
      </c>
      <c r="ET115" s="255">
        <v>0</v>
      </c>
      <c r="EU115" s="255">
        <v>0</v>
      </c>
      <c r="EV115" s="255">
        <v>0</v>
      </c>
      <c r="EW115" s="255">
        <v>0</v>
      </c>
      <c r="EX115" s="255">
        <v>0</v>
      </c>
      <c r="EY115" s="255">
        <v>0</v>
      </c>
      <c r="EZ115" s="255">
        <v>0</v>
      </c>
      <c r="FA115" s="255">
        <v>0</v>
      </c>
      <c r="FB115" s="255">
        <v>0</v>
      </c>
      <c r="FC115" s="255">
        <v>0</v>
      </c>
      <c r="FD115" s="255">
        <v>0</v>
      </c>
      <c r="FE115" s="255">
        <v>0</v>
      </c>
      <c r="FF115" s="255">
        <v>0</v>
      </c>
      <c r="FG115" s="255">
        <v>0</v>
      </c>
      <c r="FH115" s="255">
        <v>0</v>
      </c>
      <c r="FI115" s="255">
        <v>0</v>
      </c>
      <c r="FJ115" s="255">
        <v>0</v>
      </c>
      <c r="FK115" s="255">
        <v>0</v>
      </c>
      <c r="FL115" s="255">
        <v>0</v>
      </c>
      <c r="FM115" s="255">
        <v>0</v>
      </c>
      <c r="FN115" s="255">
        <v>0</v>
      </c>
      <c r="FO115" s="255">
        <v>0</v>
      </c>
      <c r="FP115" s="255">
        <v>0</v>
      </c>
      <c r="FQ115" s="255">
        <v>0</v>
      </c>
      <c r="FR115" s="255">
        <v>0</v>
      </c>
      <c r="FS115" s="255">
        <v>0</v>
      </c>
      <c r="FT115" s="255">
        <v>0</v>
      </c>
      <c r="FU115" s="255">
        <v>0</v>
      </c>
      <c r="FV115" s="255">
        <v>0</v>
      </c>
      <c r="FW115" s="255">
        <v>0</v>
      </c>
      <c r="FX115" s="116"/>
    </row>
    <row r="116" spans="2:180" x14ac:dyDescent="0.2">
      <c r="B116" s="253" t="s">
        <v>233</v>
      </c>
      <c r="C116" s="253" t="s">
        <v>278</v>
      </c>
      <c r="D116" s="253" t="s">
        <v>258</v>
      </c>
      <c r="E116" s="253" t="s">
        <v>127</v>
      </c>
      <c r="F116" s="253" t="s">
        <v>259</v>
      </c>
      <c r="G116" s="253" t="s">
        <v>260</v>
      </c>
      <c r="H116" s="237">
        <v>202.73</v>
      </c>
      <c r="I116" s="126">
        <f t="shared" si="86"/>
        <v>431717.1</v>
      </c>
      <c r="J116" s="116"/>
      <c r="K116" s="254">
        <v>0</v>
      </c>
      <c r="L116" s="254">
        <v>0</v>
      </c>
      <c r="M116" s="254">
        <v>0</v>
      </c>
      <c r="N116" s="254">
        <v>0</v>
      </c>
      <c r="O116" s="254">
        <v>0</v>
      </c>
      <c r="P116" s="254">
        <v>0</v>
      </c>
      <c r="Q116" s="254">
        <v>0</v>
      </c>
      <c r="R116" s="254">
        <v>0</v>
      </c>
      <c r="S116" s="254">
        <v>0</v>
      </c>
      <c r="T116" s="254">
        <v>0</v>
      </c>
      <c r="U116" s="254">
        <v>0</v>
      </c>
      <c r="V116" s="254">
        <v>0</v>
      </c>
      <c r="W116" s="254">
        <v>0</v>
      </c>
      <c r="X116" s="254">
        <v>0</v>
      </c>
      <c r="Y116" s="254">
        <v>0</v>
      </c>
      <c r="Z116" s="254">
        <v>0.5</v>
      </c>
      <c r="AA116" s="254">
        <v>0.46052631578947367</v>
      </c>
      <c r="AB116" s="254">
        <v>0.46052631578947367</v>
      </c>
      <c r="AC116" s="254">
        <v>0.5</v>
      </c>
      <c r="AD116" s="254">
        <v>0.5</v>
      </c>
      <c r="AE116" s="254">
        <v>0.5</v>
      </c>
      <c r="AF116" s="254">
        <v>0.5</v>
      </c>
      <c r="AG116" s="254">
        <v>0.5</v>
      </c>
      <c r="AH116" s="254">
        <v>0.5</v>
      </c>
      <c r="AI116" s="254">
        <v>0.5</v>
      </c>
      <c r="AJ116" s="254">
        <v>0.5</v>
      </c>
      <c r="AK116" s="254">
        <v>0.5</v>
      </c>
      <c r="AL116" s="254">
        <v>0.5</v>
      </c>
      <c r="AM116" s="254">
        <v>0.5</v>
      </c>
      <c r="AN116" s="254">
        <v>0.5</v>
      </c>
      <c r="AO116" s="254">
        <v>0.5</v>
      </c>
      <c r="AP116" s="254">
        <v>0.5</v>
      </c>
      <c r="AQ116" s="254">
        <v>0.5</v>
      </c>
      <c r="AR116" s="254">
        <v>0.5</v>
      </c>
      <c r="AS116" s="254">
        <v>0.5</v>
      </c>
      <c r="AT116" s="254">
        <v>0.5</v>
      </c>
      <c r="AU116" s="254">
        <v>0.5</v>
      </c>
      <c r="AV116" s="254">
        <v>0.5</v>
      </c>
      <c r="AW116" s="254">
        <v>0.5</v>
      </c>
      <c r="AX116" s="254">
        <v>0.5</v>
      </c>
      <c r="AY116" s="254">
        <v>0.5</v>
      </c>
      <c r="AZ116" s="254">
        <v>0.5</v>
      </c>
      <c r="BA116" s="254">
        <v>0.5</v>
      </c>
      <c r="BB116" s="254">
        <v>0.5</v>
      </c>
      <c r="BC116" s="254">
        <v>0.5</v>
      </c>
      <c r="BD116" s="254">
        <v>0.5</v>
      </c>
      <c r="BE116" s="254">
        <v>0</v>
      </c>
      <c r="BF116" s="254">
        <v>0</v>
      </c>
      <c r="BG116" s="254">
        <v>0</v>
      </c>
      <c r="BH116" s="254">
        <v>0</v>
      </c>
      <c r="BI116" s="254">
        <v>0</v>
      </c>
      <c r="BJ116" s="254">
        <v>0</v>
      </c>
      <c r="BK116" s="254">
        <v>0</v>
      </c>
      <c r="BL116" s="254">
        <v>0</v>
      </c>
      <c r="BM116" s="254">
        <v>0</v>
      </c>
      <c r="BN116" s="254">
        <v>0</v>
      </c>
      <c r="BO116" s="254">
        <v>0</v>
      </c>
      <c r="BP116" s="254">
        <v>0</v>
      </c>
      <c r="BQ116" s="254">
        <v>0</v>
      </c>
      <c r="BR116" s="254">
        <v>0</v>
      </c>
      <c r="BS116" s="254">
        <v>0</v>
      </c>
      <c r="BT116" s="254">
        <v>0</v>
      </c>
      <c r="BU116" s="254">
        <v>0</v>
      </c>
      <c r="BV116" s="254">
        <v>0</v>
      </c>
      <c r="BW116" s="254">
        <v>0</v>
      </c>
      <c r="BX116" s="254">
        <v>0</v>
      </c>
      <c r="BY116" s="254">
        <v>0</v>
      </c>
      <c r="BZ116" s="254">
        <v>0</v>
      </c>
      <c r="CA116" s="254">
        <v>0</v>
      </c>
      <c r="CB116" s="254">
        <v>0</v>
      </c>
      <c r="CC116" s="254">
        <v>0</v>
      </c>
      <c r="CD116" s="254">
        <v>0</v>
      </c>
      <c r="CE116" s="254">
        <v>0</v>
      </c>
      <c r="CF116" s="254">
        <v>0</v>
      </c>
      <c r="CG116" s="254">
        <v>0</v>
      </c>
      <c r="CH116" s="254">
        <v>0</v>
      </c>
      <c r="CI116" s="254">
        <v>0</v>
      </c>
      <c r="CJ116" s="254">
        <v>0</v>
      </c>
      <c r="CK116" s="254">
        <v>0</v>
      </c>
      <c r="CL116" s="254">
        <v>0</v>
      </c>
      <c r="CM116" s="254">
        <v>0</v>
      </c>
      <c r="CN116" s="254">
        <v>0</v>
      </c>
      <c r="CO116" s="254">
        <v>0</v>
      </c>
      <c r="CP116" s="254">
        <v>0</v>
      </c>
      <c r="CQ116" s="116"/>
      <c r="CR116" s="255">
        <v>0</v>
      </c>
      <c r="CS116" s="255">
        <v>0</v>
      </c>
      <c r="CT116" s="255">
        <v>0</v>
      </c>
      <c r="CU116" s="255">
        <v>0</v>
      </c>
      <c r="CV116" s="255">
        <v>0</v>
      </c>
      <c r="CW116" s="255">
        <v>0</v>
      </c>
      <c r="CX116" s="255">
        <v>0</v>
      </c>
      <c r="CY116" s="255">
        <v>0</v>
      </c>
      <c r="CZ116" s="255">
        <v>0</v>
      </c>
      <c r="DA116" s="255">
        <v>0</v>
      </c>
      <c r="DB116" s="255">
        <v>0</v>
      </c>
      <c r="DC116" s="255">
        <v>0</v>
      </c>
      <c r="DD116" s="255">
        <v>0</v>
      </c>
      <c r="DE116" s="255">
        <v>0</v>
      </c>
      <c r="DF116" s="255">
        <v>0</v>
      </c>
      <c r="DG116" s="255">
        <v>10643.324999999999</v>
      </c>
      <c r="DH116" s="255">
        <v>14191.099999999999</v>
      </c>
      <c r="DI116" s="255">
        <v>14191.099999999999</v>
      </c>
      <c r="DJ116" s="255">
        <v>14191.099999999999</v>
      </c>
      <c r="DK116" s="255">
        <v>14191.099999999999</v>
      </c>
      <c r="DL116" s="255">
        <v>14191.099999999999</v>
      </c>
      <c r="DM116" s="255">
        <v>14191.099999999999</v>
      </c>
      <c r="DN116" s="255">
        <v>14191.099999999999</v>
      </c>
      <c r="DO116" s="255">
        <v>10643.324999999999</v>
      </c>
      <c r="DP116" s="255">
        <v>10643.324999999999</v>
      </c>
      <c r="DQ116" s="255">
        <v>14191.099999999999</v>
      </c>
      <c r="DR116" s="255">
        <v>14622.3</v>
      </c>
      <c r="DS116" s="255">
        <v>10966.724999999999</v>
      </c>
      <c r="DT116" s="255">
        <v>15875.64</v>
      </c>
      <c r="DU116" s="255">
        <v>15875.64</v>
      </c>
      <c r="DV116" s="255">
        <v>14622.3</v>
      </c>
      <c r="DW116" s="255">
        <v>14622.3</v>
      </c>
      <c r="DX116" s="255">
        <v>14622.3</v>
      </c>
      <c r="DY116" s="255">
        <v>14622.3</v>
      </c>
      <c r="DZ116" s="255">
        <v>14622.3</v>
      </c>
      <c r="EA116" s="255">
        <v>10966.724999999999</v>
      </c>
      <c r="EB116" s="255">
        <v>10966.724999999999</v>
      </c>
      <c r="EC116" s="255">
        <v>14622.3</v>
      </c>
      <c r="ED116" s="255">
        <v>15054.2</v>
      </c>
      <c r="EE116" s="255">
        <v>11290.65</v>
      </c>
      <c r="EF116" s="255">
        <v>16344.56</v>
      </c>
      <c r="EG116" s="255">
        <v>16344.56</v>
      </c>
      <c r="EH116" s="255">
        <v>15054.2</v>
      </c>
      <c r="EI116" s="255">
        <v>15054.2</v>
      </c>
      <c r="EJ116" s="255">
        <v>15054.2</v>
      </c>
      <c r="EK116" s="255">
        <v>15054.2</v>
      </c>
      <c r="EL116" s="255">
        <v>0</v>
      </c>
      <c r="EM116" s="255">
        <v>0</v>
      </c>
      <c r="EN116" s="255">
        <v>0</v>
      </c>
      <c r="EO116" s="255">
        <v>0</v>
      </c>
      <c r="EP116" s="255">
        <v>0</v>
      </c>
      <c r="EQ116" s="255">
        <v>0</v>
      </c>
      <c r="ER116" s="255">
        <v>0</v>
      </c>
      <c r="ES116" s="255">
        <v>0</v>
      </c>
      <c r="ET116" s="255">
        <v>0</v>
      </c>
      <c r="EU116" s="255">
        <v>0</v>
      </c>
      <c r="EV116" s="255">
        <v>0</v>
      </c>
      <c r="EW116" s="255">
        <v>0</v>
      </c>
      <c r="EX116" s="255">
        <v>0</v>
      </c>
      <c r="EY116" s="255">
        <v>0</v>
      </c>
      <c r="EZ116" s="255">
        <v>0</v>
      </c>
      <c r="FA116" s="255">
        <v>0</v>
      </c>
      <c r="FB116" s="255">
        <v>0</v>
      </c>
      <c r="FC116" s="255">
        <v>0</v>
      </c>
      <c r="FD116" s="255">
        <v>0</v>
      </c>
      <c r="FE116" s="255">
        <v>0</v>
      </c>
      <c r="FF116" s="255">
        <v>0</v>
      </c>
      <c r="FG116" s="255">
        <v>0</v>
      </c>
      <c r="FH116" s="255">
        <v>0</v>
      </c>
      <c r="FI116" s="255">
        <v>0</v>
      </c>
      <c r="FJ116" s="255">
        <v>0</v>
      </c>
      <c r="FK116" s="255">
        <v>0</v>
      </c>
      <c r="FL116" s="255">
        <v>0</v>
      </c>
      <c r="FM116" s="255">
        <v>0</v>
      </c>
      <c r="FN116" s="255">
        <v>0</v>
      </c>
      <c r="FO116" s="255">
        <v>0</v>
      </c>
      <c r="FP116" s="255">
        <v>0</v>
      </c>
      <c r="FQ116" s="255">
        <v>0</v>
      </c>
      <c r="FR116" s="255">
        <v>0</v>
      </c>
      <c r="FS116" s="255">
        <v>0</v>
      </c>
      <c r="FT116" s="255">
        <v>0</v>
      </c>
      <c r="FU116" s="255">
        <v>0</v>
      </c>
      <c r="FV116" s="255">
        <v>0</v>
      </c>
      <c r="FW116" s="255">
        <v>0</v>
      </c>
      <c r="FX116" s="116"/>
    </row>
    <row r="117" spans="2:180" x14ac:dyDescent="0.2">
      <c r="B117" s="253" t="s">
        <v>214</v>
      </c>
      <c r="C117" s="253" t="s">
        <v>321</v>
      </c>
      <c r="D117" s="253" t="s">
        <v>258</v>
      </c>
      <c r="E117" s="253" t="s">
        <v>127</v>
      </c>
      <c r="F117" s="253" t="s">
        <v>259</v>
      </c>
      <c r="G117" s="253" t="s">
        <v>260</v>
      </c>
      <c r="H117" s="237">
        <v>245.65</v>
      </c>
      <c r="I117" s="126">
        <f t="shared" si="86"/>
        <v>503664.00000000006</v>
      </c>
      <c r="J117" s="116"/>
      <c r="K117" s="254">
        <v>0</v>
      </c>
      <c r="L117" s="254">
        <v>0</v>
      </c>
      <c r="M117" s="254">
        <v>0</v>
      </c>
      <c r="N117" s="254">
        <v>0</v>
      </c>
      <c r="O117" s="254">
        <v>0</v>
      </c>
      <c r="P117" s="254">
        <v>0</v>
      </c>
      <c r="Q117" s="254">
        <v>0</v>
      </c>
      <c r="R117" s="254">
        <v>0</v>
      </c>
      <c r="S117" s="254">
        <v>0</v>
      </c>
      <c r="T117" s="254">
        <v>0</v>
      </c>
      <c r="U117" s="254">
        <v>0</v>
      </c>
      <c r="V117" s="254">
        <v>0</v>
      </c>
      <c r="W117" s="254">
        <v>0</v>
      </c>
      <c r="X117" s="254">
        <v>0</v>
      </c>
      <c r="Y117" s="254">
        <v>0.5</v>
      </c>
      <c r="Z117" s="254">
        <v>0.5</v>
      </c>
      <c r="AA117" s="254">
        <v>0.46052631578947367</v>
      </c>
      <c r="AB117" s="254">
        <v>0.46052631578947367</v>
      </c>
      <c r="AC117" s="254">
        <v>0.5</v>
      </c>
      <c r="AD117" s="254">
        <v>0.5</v>
      </c>
      <c r="AE117" s="254">
        <v>0.5</v>
      </c>
      <c r="AF117" s="254">
        <v>0.5</v>
      </c>
      <c r="AG117" s="254">
        <v>0.5</v>
      </c>
      <c r="AH117" s="254">
        <v>0.5</v>
      </c>
      <c r="AI117" s="254">
        <v>0.5</v>
      </c>
      <c r="AJ117" s="254">
        <v>0.5</v>
      </c>
      <c r="AK117" s="254">
        <v>0.5</v>
      </c>
      <c r="AL117" s="254">
        <v>0.5</v>
      </c>
      <c r="AM117" s="254">
        <v>0.5</v>
      </c>
      <c r="AN117" s="254">
        <v>0.5</v>
      </c>
      <c r="AO117" s="254">
        <v>0.5</v>
      </c>
      <c r="AP117" s="254">
        <v>0.5</v>
      </c>
      <c r="AQ117" s="254">
        <v>0.5</v>
      </c>
      <c r="AR117" s="254">
        <v>0.5</v>
      </c>
      <c r="AS117" s="254">
        <v>0.5</v>
      </c>
      <c r="AT117" s="254">
        <v>0.5</v>
      </c>
      <c r="AU117" s="254">
        <v>0.5</v>
      </c>
      <c r="AV117" s="254">
        <v>0.5</v>
      </c>
      <c r="AW117" s="254">
        <v>0.5</v>
      </c>
      <c r="AX117" s="254">
        <v>0.5</v>
      </c>
      <c r="AY117" s="254">
        <v>0.5</v>
      </c>
      <c r="AZ117" s="254">
        <v>0.5</v>
      </c>
      <c r="BA117" s="254">
        <v>0.5</v>
      </c>
      <c r="BB117" s="254">
        <v>0.5</v>
      </c>
      <c r="BC117" s="254">
        <v>0</v>
      </c>
      <c r="BD117" s="254">
        <v>0</v>
      </c>
      <c r="BE117" s="254">
        <v>0</v>
      </c>
      <c r="BF117" s="254">
        <v>0</v>
      </c>
      <c r="BG117" s="254">
        <v>0</v>
      </c>
      <c r="BH117" s="254">
        <v>0</v>
      </c>
      <c r="BI117" s="254">
        <v>0</v>
      </c>
      <c r="BJ117" s="254">
        <v>0</v>
      </c>
      <c r="BK117" s="254">
        <v>0</v>
      </c>
      <c r="BL117" s="254">
        <v>0</v>
      </c>
      <c r="BM117" s="254">
        <v>0</v>
      </c>
      <c r="BN117" s="254">
        <v>0</v>
      </c>
      <c r="BO117" s="254">
        <v>0</v>
      </c>
      <c r="BP117" s="254">
        <v>0</v>
      </c>
      <c r="BQ117" s="254">
        <v>0</v>
      </c>
      <c r="BR117" s="254">
        <v>0</v>
      </c>
      <c r="BS117" s="254">
        <v>0</v>
      </c>
      <c r="BT117" s="254">
        <v>0</v>
      </c>
      <c r="BU117" s="254">
        <v>0</v>
      </c>
      <c r="BV117" s="254">
        <v>0</v>
      </c>
      <c r="BW117" s="254">
        <v>0</v>
      </c>
      <c r="BX117" s="254">
        <v>0</v>
      </c>
      <c r="BY117" s="254">
        <v>0</v>
      </c>
      <c r="BZ117" s="254">
        <v>0</v>
      </c>
      <c r="CA117" s="254">
        <v>0</v>
      </c>
      <c r="CB117" s="254">
        <v>0</v>
      </c>
      <c r="CC117" s="254">
        <v>0</v>
      </c>
      <c r="CD117" s="254">
        <v>0</v>
      </c>
      <c r="CE117" s="254">
        <v>0</v>
      </c>
      <c r="CF117" s="254">
        <v>0</v>
      </c>
      <c r="CG117" s="254">
        <v>0</v>
      </c>
      <c r="CH117" s="254">
        <v>0</v>
      </c>
      <c r="CI117" s="254">
        <v>0</v>
      </c>
      <c r="CJ117" s="254">
        <v>0</v>
      </c>
      <c r="CK117" s="254">
        <v>0</v>
      </c>
      <c r="CL117" s="254">
        <v>0</v>
      </c>
      <c r="CM117" s="254">
        <v>0</v>
      </c>
      <c r="CN117" s="254">
        <v>0</v>
      </c>
      <c r="CO117" s="254">
        <v>0</v>
      </c>
      <c r="CP117" s="254">
        <v>0</v>
      </c>
      <c r="CQ117" s="116"/>
      <c r="CR117" s="255">
        <v>0</v>
      </c>
      <c r="CS117" s="255">
        <v>0</v>
      </c>
      <c r="CT117" s="255">
        <v>0</v>
      </c>
      <c r="CU117" s="255">
        <v>0</v>
      </c>
      <c r="CV117" s="255">
        <v>0</v>
      </c>
      <c r="CW117" s="255">
        <v>0</v>
      </c>
      <c r="CX117" s="255">
        <v>0</v>
      </c>
      <c r="CY117" s="255">
        <v>0</v>
      </c>
      <c r="CZ117" s="255">
        <v>0</v>
      </c>
      <c r="DA117" s="255">
        <v>0</v>
      </c>
      <c r="DB117" s="255">
        <v>0</v>
      </c>
      <c r="DC117" s="255">
        <v>0</v>
      </c>
      <c r="DD117" s="255">
        <v>0</v>
      </c>
      <c r="DE117" s="255">
        <v>0</v>
      </c>
      <c r="DF117" s="255">
        <v>17195.5</v>
      </c>
      <c r="DG117" s="255">
        <v>12896.625</v>
      </c>
      <c r="DH117" s="255">
        <v>17195.5</v>
      </c>
      <c r="DI117" s="255">
        <v>17195.5</v>
      </c>
      <c r="DJ117" s="255">
        <v>17195.5</v>
      </c>
      <c r="DK117" s="255">
        <v>17195.5</v>
      </c>
      <c r="DL117" s="255">
        <v>17195.5</v>
      </c>
      <c r="DM117" s="255">
        <v>17195.5</v>
      </c>
      <c r="DN117" s="255">
        <v>17195.5</v>
      </c>
      <c r="DO117" s="255">
        <v>12896.625</v>
      </c>
      <c r="DP117" s="255">
        <v>12896.625</v>
      </c>
      <c r="DQ117" s="255">
        <v>17195.5</v>
      </c>
      <c r="DR117" s="255">
        <v>17707.2</v>
      </c>
      <c r="DS117" s="255">
        <v>13280.4</v>
      </c>
      <c r="DT117" s="255">
        <v>19224.96</v>
      </c>
      <c r="DU117" s="255">
        <v>19224.96</v>
      </c>
      <c r="DV117" s="255">
        <v>17707.2</v>
      </c>
      <c r="DW117" s="255">
        <v>17707.2</v>
      </c>
      <c r="DX117" s="255">
        <v>17707.2</v>
      </c>
      <c r="DY117" s="255">
        <v>17707.2</v>
      </c>
      <c r="DZ117" s="255">
        <v>17707.2</v>
      </c>
      <c r="EA117" s="255">
        <v>13280.4</v>
      </c>
      <c r="EB117" s="255">
        <v>13280.4</v>
      </c>
      <c r="EC117" s="255">
        <v>17707.2</v>
      </c>
      <c r="ED117" s="255">
        <v>18234.3</v>
      </c>
      <c r="EE117" s="255">
        <v>13675.725</v>
      </c>
      <c r="EF117" s="255">
        <v>19797.240000000002</v>
      </c>
      <c r="EG117" s="255">
        <v>19797.240000000002</v>
      </c>
      <c r="EH117" s="255">
        <v>18234.3</v>
      </c>
      <c r="EI117" s="255">
        <v>18234.3</v>
      </c>
      <c r="EJ117" s="255">
        <v>0</v>
      </c>
      <c r="EK117" s="255">
        <v>0</v>
      </c>
      <c r="EL117" s="255">
        <v>0</v>
      </c>
      <c r="EM117" s="255">
        <v>0</v>
      </c>
      <c r="EN117" s="255">
        <v>0</v>
      </c>
      <c r="EO117" s="255">
        <v>0</v>
      </c>
      <c r="EP117" s="255">
        <v>0</v>
      </c>
      <c r="EQ117" s="255">
        <v>0</v>
      </c>
      <c r="ER117" s="255">
        <v>0</v>
      </c>
      <c r="ES117" s="255">
        <v>0</v>
      </c>
      <c r="ET117" s="255">
        <v>0</v>
      </c>
      <c r="EU117" s="255">
        <v>0</v>
      </c>
      <c r="EV117" s="255">
        <v>0</v>
      </c>
      <c r="EW117" s="255">
        <v>0</v>
      </c>
      <c r="EX117" s="255">
        <v>0</v>
      </c>
      <c r="EY117" s="255">
        <v>0</v>
      </c>
      <c r="EZ117" s="255">
        <v>0</v>
      </c>
      <c r="FA117" s="255">
        <v>0</v>
      </c>
      <c r="FB117" s="255">
        <v>0</v>
      </c>
      <c r="FC117" s="255">
        <v>0</v>
      </c>
      <c r="FD117" s="255">
        <v>0</v>
      </c>
      <c r="FE117" s="255">
        <v>0</v>
      </c>
      <c r="FF117" s="255">
        <v>0</v>
      </c>
      <c r="FG117" s="255">
        <v>0</v>
      </c>
      <c r="FH117" s="255">
        <v>0</v>
      </c>
      <c r="FI117" s="255">
        <v>0</v>
      </c>
      <c r="FJ117" s="255">
        <v>0</v>
      </c>
      <c r="FK117" s="255">
        <v>0</v>
      </c>
      <c r="FL117" s="255">
        <v>0</v>
      </c>
      <c r="FM117" s="255">
        <v>0</v>
      </c>
      <c r="FN117" s="255">
        <v>0</v>
      </c>
      <c r="FO117" s="255">
        <v>0</v>
      </c>
      <c r="FP117" s="255">
        <v>0</v>
      </c>
      <c r="FQ117" s="255">
        <v>0</v>
      </c>
      <c r="FR117" s="255">
        <v>0</v>
      </c>
      <c r="FS117" s="255">
        <v>0</v>
      </c>
      <c r="FT117" s="255">
        <v>0</v>
      </c>
      <c r="FU117" s="255">
        <v>0</v>
      </c>
      <c r="FV117" s="255">
        <v>0</v>
      </c>
      <c r="FW117" s="255">
        <v>0</v>
      </c>
      <c r="FX117" s="116"/>
    </row>
    <row r="118" spans="2:180" x14ac:dyDescent="0.2">
      <c r="B118" s="253" t="s">
        <v>214</v>
      </c>
      <c r="C118" s="253" t="s">
        <v>321</v>
      </c>
      <c r="D118" s="253" t="s">
        <v>258</v>
      </c>
      <c r="E118" s="253" t="s">
        <v>127</v>
      </c>
      <c r="F118" s="253">
        <v>0</v>
      </c>
      <c r="G118" s="253" t="s">
        <v>322</v>
      </c>
      <c r="H118" s="237">
        <v>245.65</v>
      </c>
      <c r="I118" s="126">
        <f t="shared" si="86"/>
        <v>568569.9</v>
      </c>
      <c r="J118" s="116"/>
      <c r="K118" s="254">
        <v>0</v>
      </c>
      <c r="L118" s="254">
        <v>0</v>
      </c>
      <c r="M118" s="254">
        <v>0</v>
      </c>
      <c r="N118" s="254">
        <v>0</v>
      </c>
      <c r="O118" s="254">
        <v>0</v>
      </c>
      <c r="P118" s="254">
        <v>0</v>
      </c>
      <c r="Q118" s="254">
        <v>0</v>
      </c>
      <c r="R118" s="254">
        <v>0</v>
      </c>
      <c r="S118" s="254">
        <v>0</v>
      </c>
      <c r="T118" s="254">
        <v>0</v>
      </c>
      <c r="U118" s="254">
        <v>0</v>
      </c>
      <c r="V118" s="254">
        <v>0</v>
      </c>
      <c r="W118" s="254">
        <v>0</v>
      </c>
      <c r="X118" s="254">
        <v>0</v>
      </c>
      <c r="Y118" s="254">
        <v>0.2857142857142857</v>
      </c>
      <c r="Z118" s="254">
        <v>0.2857142857142857</v>
      </c>
      <c r="AA118" s="254">
        <v>0.26315789473684209</v>
      </c>
      <c r="AB118" s="254">
        <v>0.26315789473684209</v>
      </c>
      <c r="AC118" s="254">
        <v>0.2857142857142857</v>
      </c>
      <c r="AD118" s="254">
        <v>0.2857142857142857</v>
      </c>
      <c r="AE118" s="254">
        <v>0.2857142857142857</v>
      </c>
      <c r="AF118" s="254">
        <v>0.2857142857142857</v>
      </c>
      <c r="AG118" s="254">
        <v>0.2857142857142857</v>
      </c>
      <c r="AH118" s="254">
        <v>0.2857142857142857</v>
      </c>
      <c r="AI118" s="254">
        <v>0.2857142857142857</v>
      </c>
      <c r="AJ118" s="254">
        <v>0.2857142857142857</v>
      </c>
      <c r="AK118" s="254">
        <v>0.2857142857142857</v>
      </c>
      <c r="AL118" s="254">
        <v>0.2857142857142857</v>
      </c>
      <c r="AM118" s="254">
        <v>0.26315789473684209</v>
      </c>
      <c r="AN118" s="254">
        <v>0.26315789473684209</v>
      </c>
      <c r="AO118" s="254">
        <v>0.2857142857142857</v>
      </c>
      <c r="AP118" s="254">
        <v>0.2857142857142857</v>
      </c>
      <c r="AQ118" s="254">
        <v>0.2857142857142857</v>
      </c>
      <c r="AR118" s="254">
        <v>0.2857142857142857</v>
      </c>
      <c r="AS118" s="254">
        <v>0.2857142857142857</v>
      </c>
      <c r="AT118" s="254">
        <v>0.2857142857142857</v>
      </c>
      <c r="AU118" s="254">
        <v>0.2857142857142857</v>
      </c>
      <c r="AV118" s="254">
        <v>0.2857142857142857</v>
      </c>
      <c r="AW118" s="254">
        <v>0.2857142857142857</v>
      </c>
      <c r="AX118" s="254">
        <v>0.2857142857142857</v>
      </c>
      <c r="AY118" s="254">
        <v>0.26315789473684209</v>
      </c>
      <c r="AZ118" s="254">
        <v>0.26315789473684209</v>
      </c>
      <c r="BA118" s="254">
        <v>0.2857142857142857</v>
      </c>
      <c r="BB118" s="254">
        <v>0.2857142857142857</v>
      </c>
      <c r="BC118" s="254">
        <v>0</v>
      </c>
      <c r="BD118" s="254">
        <v>0</v>
      </c>
      <c r="BE118" s="254">
        <v>0</v>
      </c>
      <c r="BF118" s="254">
        <v>0</v>
      </c>
      <c r="BG118" s="254">
        <v>0</v>
      </c>
      <c r="BH118" s="254">
        <v>0</v>
      </c>
      <c r="BI118" s="254">
        <v>0</v>
      </c>
      <c r="BJ118" s="254">
        <v>0</v>
      </c>
      <c r="BK118" s="254">
        <v>0</v>
      </c>
      <c r="BL118" s="254">
        <v>0</v>
      </c>
      <c r="BM118" s="254">
        <v>0</v>
      </c>
      <c r="BN118" s="254">
        <v>0</v>
      </c>
      <c r="BO118" s="254">
        <v>0</v>
      </c>
      <c r="BP118" s="254">
        <v>0</v>
      </c>
      <c r="BQ118" s="254">
        <v>0</v>
      </c>
      <c r="BR118" s="254">
        <v>0</v>
      </c>
      <c r="BS118" s="254">
        <v>0</v>
      </c>
      <c r="BT118" s="254">
        <v>0</v>
      </c>
      <c r="BU118" s="254">
        <v>0</v>
      </c>
      <c r="BV118" s="254">
        <v>0</v>
      </c>
      <c r="BW118" s="254">
        <v>0</v>
      </c>
      <c r="BX118" s="254">
        <v>0</v>
      </c>
      <c r="BY118" s="254">
        <v>0</v>
      </c>
      <c r="BZ118" s="254">
        <v>0</v>
      </c>
      <c r="CA118" s="254">
        <v>0</v>
      </c>
      <c r="CB118" s="254">
        <v>0</v>
      </c>
      <c r="CC118" s="254">
        <v>0</v>
      </c>
      <c r="CD118" s="254">
        <v>0</v>
      </c>
      <c r="CE118" s="254">
        <v>0</v>
      </c>
      <c r="CF118" s="254">
        <v>0</v>
      </c>
      <c r="CG118" s="254">
        <v>0</v>
      </c>
      <c r="CH118" s="254">
        <v>0</v>
      </c>
      <c r="CI118" s="254">
        <v>0</v>
      </c>
      <c r="CJ118" s="254">
        <v>0</v>
      </c>
      <c r="CK118" s="254">
        <v>0</v>
      </c>
      <c r="CL118" s="254">
        <v>0</v>
      </c>
      <c r="CM118" s="254">
        <v>0</v>
      </c>
      <c r="CN118" s="254">
        <v>0</v>
      </c>
      <c r="CO118" s="254">
        <v>0</v>
      </c>
      <c r="CP118" s="254">
        <v>0</v>
      </c>
      <c r="CQ118" s="116"/>
      <c r="CR118" s="255">
        <v>0</v>
      </c>
      <c r="CS118" s="255">
        <v>0</v>
      </c>
      <c r="CT118" s="255">
        <v>0</v>
      </c>
      <c r="CU118" s="255">
        <v>0</v>
      </c>
      <c r="CV118" s="255">
        <v>0</v>
      </c>
      <c r="CW118" s="255">
        <v>0</v>
      </c>
      <c r="CX118" s="255">
        <v>0</v>
      </c>
      <c r="CY118" s="255">
        <v>0</v>
      </c>
      <c r="CZ118" s="255">
        <v>0</v>
      </c>
      <c r="DA118" s="255">
        <v>0</v>
      </c>
      <c r="DB118" s="255">
        <v>0</v>
      </c>
      <c r="DC118" s="255">
        <v>0</v>
      </c>
      <c r="DD118" s="255">
        <v>0</v>
      </c>
      <c r="DE118" s="255">
        <v>0</v>
      </c>
      <c r="DF118" s="255">
        <v>19652</v>
      </c>
      <c r="DG118" s="255">
        <v>14739</v>
      </c>
      <c r="DH118" s="255">
        <v>19652</v>
      </c>
      <c r="DI118" s="255">
        <v>19652</v>
      </c>
      <c r="DJ118" s="255">
        <v>19652</v>
      </c>
      <c r="DK118" s="255">
        <v>19652</v>
      </c>
      <c r="DL118" s="255">
        <v>19652</v>
      </c>
      <c r="DM118" s="255">
        <v>19652</v>
      </c>
      <c r="DN118" s="255">
        <v>19652</v>
      </c>
      <c r="DO118" s="255">
        <v>14739</v>
      </c>
      <c r="DP118" s="255">
        <v>14739</v>
      </c>
      <c r="DQ118" s="255">
        <v>19652</v>
      </c>
      <c r="DR118" s="255">
        <v>20236.400000000001</v>
      </c>
      <c r="DS118" s="255">
        <v>15177.300000000001</v>
      </c>
      <c r="DT118" s="255">
        <v>20236.400000000001</v>
      </c>
      <c r="DU118" s="255">
        <v>20236.400000000001</v>
      </c>
      <c r="DV118" s="255">
        <v>20236.400000000001</v>
      </c>
      <c r="DW118" s="255">
        <v>20236.400000000001</v>
      </c>
      <c r="DX118" s="255">
        <v>20236.400000000001</v>
      </c>
      <c r="DY118" s="255">
        <v>20236.400000000001</v>
      </c>
      <c r="DZ118" s="255">
        <v>20236.400000000001</v>
      </c>
      <c r="EA118" s="255">
        <v>15177.300000000001</v>
      </c>
      <c r="EB118" s="255">
        <v>15177.300000000001</v>
      </c>
      <c r="EC118" s="255">
        <v>20236.400000000001</v>
      </c>
      <c r="ED118" s="255">
        <v>20839.2</v>
      </c>
      <c r="EE118" s="255">
        <v>15629.400000000001</v>
      </c>
      <c r="EF118" s="255">
        <v>20839.2</v>
      </c>
      <c r="EG118" s="255">
        <v>20839.2</v>
      </c>
      <c r="EH118" s="255">
        <v>20839.2</v>
      </c>
      <c r="EI118" s="255">
        <v>20839.2</v>
      </c>
      <c r="EJ118" s="255">
        <v>0</v>
      </c>
      <c r="EK118" s="255">
        <v>0</v>
      </c>
      <c r="EL118" s="255">
        <v>0</v>
      </c>
      <c r="EM118" s="255">
        <v>0</v>
      </c>
      <c r="EN118" s="255">
        <v>0</v>
      </c>
      <c r="EO118" s="255">
        <v>0</v>
      </c>
      <c r="EP118" s="255">
        <v>0</v>
      </c>
      <c r="EQ118" s="255">
        <v>0</v>
      </c>
      <c r="ER118" s="255">
        <v>0</v>
      </c>
      <c r="ES118" s="255">
        <v>0</v>
      </c>
      <c r="ET118" s="255">
        <v>0</v>
      </c>
      <c r="EU118" s="255">
        <v>0</v>
      </c>
      <c r="EV118" s="255">
        <v>0</v>
      </c>
      <c r="EW118" s="255">
        <v>0</v>
      </c>
      <c r="EX118" s="255">
        <v>0</v>
      </c>
      <c r="EY118" s="255">
        <v>0</v>
      </c>
      <c r="EZ118" s="255">
        <v>0</v>
      </c>
      <c r="FA118" s="255">
        <v>0</v>
      </c>
      <c r="FB118" s="255">
        <v>0</v>
      </c>
      <c r="FC118" s="255">
        <v>0</v>
      </c>
      <c r="FD118" s="255">
        <v>0</v>
      </c>
      <c r="FE118" s="255">
        <v>0</v>
      </c>
      <c r="FF118" s="255">
        <v>0</v>
      </c>
      <c r="FG118" s="255">
        <v>0</v>
      </c>
      <c r="FH118" s="255">
        <v>0</v>
      </c>
      <c r="FI118" s="255">
        <v>0</v>
      </c>
      <c r="FJ118" s="255">
        <v>0</v>
      </c>
      <c r="FK118" s="255">
        <v>0</v>
      </c>
      <c r="FL118" s="255">
        <v>0</v>
      </c>
      <c r="FM118" s="255">
        <v>0</v>
      </c>
      <c r="FN118" s="255">
        <v>0</v>
      </c>
      <c r="FO118" s="255">
        <v>0</v>
      </c>
      <c r="FP118" s="255">
        <v>0</v>
      </c>
      <c r="FQ118" s="255">
        <v>0</v>
      </c>
      <c r="FR118" s="255">
        <v>0</v>
      </c>
      <c r="FS118" s="255">
        <v>0</v>
      </c>
      <c r="FT118" s="255">
        <v>0</v>
      </c>
      <c r="FU118" s="255">
        <v>0</v>
      </c>
      <c r="FV118" s="255">
        <v>0</v>
      </c>
      <c r="FW118" s="255">
        <v>0</v>
      </c>
      <c r="FX118" s="116"/>
    </row>
    <row r="119" spans="2:180" x14ac:dyDescent="0.2">
      <c r="B119" s="253" t="s">
        <v>214</v>
      </c>
      <c r="C119" s="253" t="s">
        <v>323</v>
      </c>
      <c r="D119" s="253" t="s">
        <v>258</v>
      </c>
      <c r="E119" s="253" t="s">
        <v>127</v>
      </c>
      <c r="F119" s="253" t="s">
        <v>259</v>
      </c>
      <c r="G119" s="253" t="s">
        <v>260</v>
      </c>
      <c r="H119" s="237">
        <v>214.83</v>
      </c>
      <c r="I119" s="126">
        <f t="shared" si="86"/>
        <v>941058.09999999986</v>
      </c>
      <c r="J119" s="116"/>
      <c r="K119" s="254">
        <v>0</v>
      </c>
      <c r="L119" s="254">
        <v>0</v>
      </c>
      <c r="M119" s="254">
        <v>0</v>
      </c>
      <c r="N119" s="254">
        <v>0</v>
      </c>
      <c r="O119" s="254">
        <v>0</v>
      </c>
      <c r="P119" s="254">
        <v>0</v>
      </c>
      <c r="Q119" s="254">
        <v>0</v>
      </c>
      <c r="R119" s="254">
        <v>0</v>
      </c>
      <c r="S119" s="254">
        <v>0</v>
      </c>
      <c r="T119" s="254">
        <v>0</v>
      </c>
      <c r="U119" s="254">
        <v>0</v>
      </c>
      <c r="V119" s="254">
        <v>0</v>
      </c>
      <c r="W119" s="254">
        <v>0</v>
      </c>
      <c r="X119" s="254">
        <v>0</v>
      </c>
      <c r="Y119" s="254">
        <v>0</v>
      </c>
      <c r="Z119" s="254">
        <v>1</v>
      </c>
      <c r="AA119" s="254">
        <v>0.78289473684210531</v>
      </c>
      <c r="AB119" s="254">
        <v>0.82894736842105265</v>
      </c>
      <c r="AC119" s="254">
        <v>0.95</v>
      </c>
      <c r="AD119" s="254">
        <v>0.75</v>
      </c>
      <c r="AE119" s="254">
        <v>0.9</v>
      </c>
      <c r="AF119" s="254">
        <v>0.9</v>
      </c>
      <c r="AG119" s="254">
        <v>0.85</v>
      </c>
      <c r="AH119" s="254">
        <v>0.8</v>
      </c>
      <c r="AI119" s="254">
        <v>1.5333333333333334</v>
      </c>
      <c r="AJ119" s="254">
        <v>0.8</v>
      </c>
      <c r="AK119" s="254">
        <v>0.8</v>
      </c>
      <c r="AL119" s="254">
        <v>1.2666666666666666</v>
      </c>
      <c r="AM119" s="254">
        <v>0.82894736842105265</v>
      </c>
      <c r="AN119" s="254">
        <v>0.78289473684210531</v>
      </c>
      <c r="AO119" s="254">
        <v>0.9</v>
      </c>
      <c r="AP119" s="254">
        <v>0.85</v>
      </c>
      <c r="AQ119" s="254">
        <v>0.9</v>
      </c>
      <c r="AR119" s="254">
        <v>0.9</v>
      </c>
      <c r="AS119" s="254">
        <v>0.85</v>
      </c>
      <c r="AT119" s="254">
        <v>1.0666666666666667</v>
      </c>
      <c r="AU119" s="254">
        <v>1.2666666666666666</v>
      </c>
      <c r="AV119" s="254">
        <v>0.8</v>
      </c>
      <c r="AW119" s="254">
        <v>0.95</v>
      </c>
      <c r="AX119" s="254">
        <v>1.0666666666666667</v>
      </c>
      <c r="AY119" s="254">
        <v>0.875</v>
      </c>
      <c r="AZ119" s="254">
        <v>0.875</v>
      </c>
      <c r="BA119" s="254">
        <v>0.8</v>
      </c>
      <c r="BB119" s="254">
        <v>0.9</v>
      </c>
      <c r="BC119" s="254">
        <v>5.1428571428571432</v>
      </c>
      <c r="BD119" s="254">
        <v>0</v>
      </c>
      <c r="BE119" s="254">
        <v>0</v>
      </c>
      <c r="BF119" s="254">
        <v>0</v>
      </c>
      <c r="BG119" s="254">
        <v>0</v>
      </c>
      <c r="BH119" s="254">
        <v>0</v>
      </c>
      <c r="BI119" s="254">
        <v>0</v>
      </c>
      <c r="BJ119" s="254">
        <v>0</v>
      </c>
      <c r="BK119" s="254">
        <v>0</v>
      </c>
      <c r="BL119" s="254">
        <v>0</v>
      </c>
      <c r="BM119" s="254">
        <v>0</v>
      </c>
      <c r="BN119" s="254">
        <v>0</v>
      </c>
      <c r="BO119" s="254">
        <v>0</v>
      </c>
      <c r="BP119" s="254">
        <v>0</v>
      </c>
      <c r="BQ119" s="254">
        <v>0</v>
      </c>
      <c r="BR119" s="254">
        <v>0</v>
      </c>
      <c r="BS119" s="254">
        <v>0</v>
      </c>
      <c r="BT119" s="254">
        <v>0</v>
      </c>
      <c r="BU119" s="254">
        <v>0</v>
      </c>
      <c r="BV119" s="254">
        <v>0</v>
      </c>
      <c r="BW119" s="254">
        <v>0</v>
      </c>
      <c r="BX119" s="254">
        <v>0</v>
      </c>
      <c r="BY119" s="254">
        <v>0</v>
      </c>
      <c r="BZ119" s="254">
        <v>0</v>
      </c>
      <c r="CA119" s="254">
        <v>0</v>
      </c>
      <c r="CB119" s="254">
        <v>0</v>
      </c>
      <c r="CC119" s="254">
        <v>0</v>
      </c>
      <c r="CD119" s="254">
        <v>0</v>
      </c>
      <c r="CE119" s="254">
        <v>0</v>
      </c>
      <c r="CF119" s="254">
        <v>0</v>
      </c>
      <c r="CG119" s="254">
        <v>0</v>
      </c>
      <c r="CH119" s="254">
        <v>0</v>
      </c>
      <c r="CI119" s="254">
        <v>0</v>
      </c>
      <c r="CJ119" s="254">
        <v>0</v>
      </c>
      <c r="CK119" s="254">
        <v>0</v>
      </c>
      <c r="CL119" s="254">
        <v>0</v>
      </c>
      <c r="CM119" s="254">
        <v>0</v>
      </c>
      <c r="CN119" s="254">
        <v>0</v>
      </c>
      <c r="CO119" s="254">
        <v>0</v>
      </c>
      <c r="CP119" s="254">
        <v>0</v>
      </c>
      <c r="CQ119" s="116"/>
      <c r="CR119" s="255">
        <v>0</v>
      </c>
      <c r="CS119" s="255">
        <v>0</v>
      </c>
      <c r="CT119" s="255">
        <v>0</v>
      </c>
      <c r="CU119" s="255">
        <v>0</v>
      </c>
      <c r="CV119" s="255">
        <v>0</v>
      </c>
      <c r="CW119" s="255">
        <v>0</v>
      </c>
      <c r="CX119" s="255">
        <v>0</v>
      </c>
      <c r="CY119" s="255">
        <v>0</v>
      </c>
      <c r="CZ119" s="255">
        <v>0</v>
      </c>
      <c r="DA119" s="255">
        <v>0</v>
      </c>
      <c r="DB119" s="255">
        <v>0</v>
      </c>
      <c r="DC119" s="255">
        <v>0</v>
      </c>
      <c r="DD119" s="255">
        <v>0</v>
      </c>
      <c r="DE119" s="255">
        <v>0</v>
      </c>
      <c r="DF119" s="255">
        <v>0</v>
      </c>
      <c r="DG119" s="255">
        <v>22557.15</v>
      </c>
      <c r="DH119" s="255">
        <v>25564.77</v>
      </c>
      <c r="DI119" s="255">
        <v>27068.58</v>
      </c>
      <c r="DJ119" s="255">
        <v>28572.390000000003</v>
      </c>
      <c r="DK119" s="255">
        <v>22557.15</v>
      </c>
      <c r="DL119" s="255">
        <v>27068.58</v>
      </c>
      <c r="DM119" s="255">
        <v>27068.58</v>
      </c>
      <c r="DN119" s="255">
        <v>25564.77</v>
      </c>
      <c r="DO119" s="255">
        <v>18045.72</v>
      </c>
      <c r="DP119" s="255">
        <v>34587.630000000005</v>
      </c>
      <c r="DQ119" s="255">
        <v>24060.960000000003</v>
      </c>
      <c r="DR119" s="255">
        <v>24776.639999999999</v>
      </c>
      <c r="DS119" s="255">
        <v>29422.26</v>
      </c>
      <c r="DT119" s="255">
        <v>27873.72</v>
      </c>
      <c r="DU119" s="255">
        <v>26325.18</v>
      </c>
      <c r="DV119" s="255">
        <v>27873.72</v>
      </c>
      <c r="DW119" s="255">
        <v>26325.18</v>
      </c>
      <c r="DX119" s="255">
        <v>27873.72</v>
      </c>
      <c r="DY119" s="255">
        <v>27873.72</v>
      </c>
      <c r="DZ119" s="255">
        <v>26325.18</v>
      </c>
      <c r="EA119" s="255">
        <v>24776.639999999999</v>
      </c>
      <c r="EB119" s="255">
        <v>29422.26</v>
      </c>
      <c r="EC119" s="255">
        <v>24776.639999999999</v>
      </c>
      <c r="ED119" s="255">
        <v>30302.720000000001</v>
      </c>
      <c r="EE119" s="255">
        <v>25518.080000000002</v>
      </c>
      <c r="EF119" s="255">
        <v>30302.720000000001</v>
      </c>
      <c r="EG119" s="255">
        <v>30302.720000000001</v>
      </c>
      <c r="EH119" s="255">
        <v>25518.080000000002</v>
      </c>
      <c r="EI119" s="255">
        <v>28707.84</v>
      </c>
      <c r="EJ119" s="255">
        <v>164044.79999999999</v>
      </c>
      <c r="EK119" s="255">
        <v>0</v>
      </c>
      <c r="EL119" s="255">
        <v>0</v>
      </c>
      <c r="EM119" s="255">
        <v>0</v>
      </c>
      <c r="EN119" s="255">
        <v>0</v>
      </c>
      <c r="EO119" s="255">
        <v>0</v>
      </c>
      <c r="EP119" s="255">
        <v>0</v>
      </c>
      <c r="EQ119" s="255">
        <v>0</v>
      </c>
      <c r="ER119" s="255">
        <v>0</v>
      </c>
      <c r="ES119" s="255">
        <v>0</v>
      </c>
      <c r="ET119" s="255">
        <v>0</v>
      </c>
      <c r="EU119" s="255">
        <v>0</v>
      </c>
      <c r="EV119" s="255">
        <v>0</v>
      </c>
      <c r="EW119" s="255">
        <v>0</v>
      </c>
      <c r="EX119" s="255">
        <v>0</v>
      </c>
      <c r="EY119" s="255">
        <v>0</v>
      </c>
      <c r="EZ119" s="255">
        <v>0</v>
      </c>
      <c r="FA119" s="255">
        <v>0</v>
      </c>
      <c r="FB119" s="255">
        <v>0</v>
      </c>
      <c r="FC119" s="255">
        <v>0</v>
      </c>
      <c r="FD119" s="255">
        <v>0</v>
      </c>
      <c r="FE119" s="255">
        <v>0</v>
      </c>
      <c r="FF119" s="255">
        <v>0</v>
      </c>
      <c r="FG119" s="255">
        <v>0</v>
      </c>
      <c r="FH119" s="255">
        <v>0</v>
      </c>
      <c r="FI119" s="255">
        <v>0</v>
      </c>
      <c r="FJ119" s="255">
        <v>0</v>
      </c>
      <c r="FK119" s="255">
        <v>0</v>
      </c>
      <c r="FL119" s="255">
        <v>0</v>
      </c>
      <c r="FM119" s="255">
        <v>0</v>
      </c>
      <c r="FN119" s="255">
        <v>0</v>
      </c>
      <c r="FO119" s="255">
        <v>0</v>
      </c>
      <c r="FP119" s="255">
        <v>0</v>
      </c>
      <c r="FQ119" s="255">
        <v>0</v>
      </c>
      <c r="FR119" s="255">
        <v>0</v>
      </c>
      <c r="FS119" s="255">
        <v>0</v>
      </c>
      <c r="FT119" s="255">
        <v>0</v>
      </c>
      <c r="FU119" s="255">
        <v>0</v>
      </c>
      <c r="FV119" s="255">
        <v>0</v>
      </c>
      <c r="FW119" s="255">
        <v>0</v>
      </c>
      <c r="FX119" s="116"/>
    </row>
    <row r="120" spans="2:180" x14ac:dyDescent="0.2">
      <c r="B120" s="253" t="s">
        <v>214</v>
      </c>
      <c r="C120" s="253" t="s">
        <v>323</v>
      </c>
      <c r="D120" s="253" t="s">
        <v>258</v>
      </c>
      <c r="E120" s="253" t="s">
        <v>127</v>
      </c>
      <c r="F120" s="253">
        <v>0</v>
      </c>
      <c r="G120" s="253" t="s">
        <v>322</v>
      </c>
      <c r="H120" s="237">
        <v>214.83</v>
      </c>
      <c r="I120" s="126">
        <f t="shared" si="86"/>
        <v>1302747.3</v>
      </c>
      <c r="J120" s="116"/>
      <c r="K120" s="254">
        <v>0</v>
      </c>
      <c r="L120" s="254">
        <v>0</v>
      </c>
      <c r="M120" s="254">
        <v>0</v>
      </c>
      <c r="N120" s="254">
        <v>0</v>
      </c>
      <c r="O120" s="254">
        <v>0</v>
      </c>
      <c r="P120" s="254">
        <v>0</v>
      </c>
      <c r="Q120" s="254">
        <v>0</v>
      </c>
      <c r="R120" s="254">
        <v>0</v>
      </c>
      <c r="S120" s="254">
        <v>0</v>
      </c>
      <c r="T120" s="254">
        <v>0</v>
      </c>
      <c r="U120" s="254">
        <v>0</v>
      </c>
      <c r="V120" s="254">
        <v>0</v>
      </c>
      <c r="W120" s="254">
        <v>0</v>
      </c>
      <c r="X120" s="254">
        <v>0</v>
      </c>
      <c r="Y120" s="254">
        <v>0</v>
      </c>
      <c r="Z120" s="254">
        <v>0</v>
      </c>
      <c r="AA120" s="254">
        <v>0.65131578947368418</v>
      </c>
      <c r="AB120" s="254">
        <v>0.67105263157894735</v>
      </c>
      <c r="AC120" s="254">
        <v>0.92142857142857137</v>
      </c>
      <c r="AD120" s="254">
        <v>0.66428571428571426</v>
      </c>
      <c r="AE120" s="254">
        <v>0.72857142857142854</v>
      </c>
      <c r="AF120" s="254">
        <v>0.72857142857142854</v>
      </c>
      <c r="AG120" s="254">
        <v>0.70714285714285718</v>
      </c>
      <c r="AH120" s="254">
        <v>0.8</v>
      </c>
      <c r="AI120" s="254">
        <v>1.3428571428571427</v>
      </c>
      <c r="AJ120" s="254">
        <v>0.68571428571428572</v>
      </c>
      <c r="AK120" s="254">
        <v>0.68571428571428572</v>
      </c>
      <c r="AL120" s="254">
        <v>1</v>
      </c>
      <c r="AM120" s="254">
        <v>0.75</v>
      </c>
      <c r="AN120" s="254">
        <v>0.73026315789473684</v>
      </c>
      <c r="AO120" s="254">
        <v>0.72857142857142854</v>
      </c>
      <c r="AP120" s="254">
        <v>0.70714285714285718</v>
      </c>
      <c r="AQ120" s="254">
        <v>0.72857142857142854</v>
      </c>
      <c r="AR120" s="254">
        <v>0.72857142857142854</v>
      </c>
      <c r="AS120" s="254">
        <v>0.87857142857142856</v>
      </c>
      <c r="AT120" s="254">
        <v>0.68571428571428572</v>
      </c>
      <c r="AU120" s="254">
        <v>1.2285714285714286</v>
      </c>
      <c r="AV120" s="254">
        <v>0.68571428571428572</v>
      </c>
      <c r="AW120" s="254">
        <v>0.75</v>
      </c>
      <c r="AX120" s="254">
        <v>0.91428571428571426</v>
      </c>
      <c r="AY120" s="254">
        <v>0.84868421052631582</v>
      </c>
      <c r="AZ120" s="254">
        <v>0.84868421052631582</v>
      </c>
      <c r="BA120" s="254">
        <v>0.68571428571428572</v>
      </c>
      <c r="BB120" s="254">
        <v>0.72857142857142854</v>
      </c>
      <c r="BC120" s="254">
        <v>0</v>
      </c>
      <c r="BD120" s="254">
        <v>0</v>
      </c>
      <c r="BE120" s="254">
        <v>0</v>
      </c>
      <c r="BF120" s="254">
        <v>0</v>
      </c>
      <c r="BG120" s="254">
        <v>0</v>
      </c>
      <c r="BH120" s="254">
        <v>0</v>
      </c>
      <c r="BI120" s="254">
        <v>0</v>
      </c>
      <c r="BJ120" s="254">
        <v>0</v>
      </c>
      <c r="BK120" s="254">
        <v>0</v>
      </c>
      <c r="BL120" s="254">
        <v>0</v>
      </c>
      <c r="BM120" s="254">
        <v>0</v>
      </c>
      <c r="BN120" s="254">
        <v>0</v>
      </c>
      <c r="BO120" s="254">
        <v>0</v>
      </c>
      <c r="BP120" s="254">
        <v>0</v>
      </c>
      <c r="BQ120" s="254">
        <v>0</v>
      </c>
      <c r="BR120" s="254">
        <v>0</v>
      </c>
      <c r="BS120" s="254">
        <v>0</v>
      </c>
      <c r="BT120" s="254">
        <v>0</v>
      </c>
      <c r="BU120" s="254">
        <v>0</v>
      </c>
      <c r="BV120" s="254">
        <v>0</v>
      </c>
      <c r="BW120" s="254">
        <v>0</v>
      </c>
      <c r="BX120" s="254">
        <v>0</v>
      </c>
      <c r="BY120" s="254">
        <v>0</v>
      </c>
      <c r="BZ120" s="254">
        <v>0</v>
      </c>
      <c r="CA120" s="254">
        <v>0</v>
      </c>
      <c r="CB120" s="254">
        <v>0</v>
      </c>
      <c r="CC120" s="254">
        <v>0</v>
      </c>
      <c r="CD120" s="254">
        <v>0</v>
      </c>
      <c r="CE120" s="254">
        <v>0</v>
      </c>
      <c r="CF120" s="254">
        <v>0</v>
      </c>
      <c r="CG120" s="254">
        <v>0</v>
      </c>
      <c r="CH120" s="254">
        <v>0</v>
      </c>
      <c r="CI120" s="254">
        <v>0</v>
      </c>
      <c r="CJ120" s="254">
        <v>0</v>
      </c>
      <c r="CK120" s="254">
        <v>0</v>
      </c>
      <c r="CL120" s="254">
        <v>0</v>
      </c>
      <c r="CM120" s="254">
        <v>0</v>
      </c>
      <c r="CN120" s="254">
        <v>0</v>
      </c>
      <c r="CO120" s="254">
        <v>0</v>
      </c>
      <c r="CP120" s="254">
        <v>0</v>
      </c>
      <c r="CQ120" s="116"/>
      <c r="CR120" s="255">
        <v>0</v>
      </c>
      <c r="CS120" s="255">
        <v>0</v>
      </c>
      <c r="CT120" s="255">
        <v>0</v>
      </c>
      <c r="CU120" s="255">
        <v>0</v>
      </c>
      <c r="CV120" s="255">
        <v>0</v>
      </c>
      <c r="CW120" s="255">
        <v>0</v>
      </c>
      <c r="CX120" s="255">
        <v>0</v>
      </c>
      <c r="CY120" s="255">
        <v>0</v>
      </c>
      <c r="CZ120" s="255">
        <v>0</v>
      </c>
      <c r="DA120" s="255">
        <v>0</v>
      </c>
      <c r="DB120" s="255">
        <v>0</v>
      </c>
      <c r="DC120" s="255">
        <v>0</v>
      </c>
      <c r="DD120" s="255">
        <v>0</v>
      </c>
      <c r="DE120" s="255">
        <v>0</v>
      </c>
      <c r="DF120" s="255">
        <v>0</v>
      </c>
      <c r="DG120" s="255">
        <v>0</v>
      </c>
      <c r="DH120" s="255">
        <v>42536.340000000004</v>
      </c>
      <c r="DI120" s="255">
        <v>43825.32</v>
      </c>
      <c r="DJ120" s="255">
        <v>55426.140000000007</v>
      </c>
      <c r="DK120" s="255">
        <v>39958.380000000005</v>
      </c>
      <c r="DL120" s="255">
        <v>43825.32</v>
      </c>
      <c r="DM120" s="255">
        <v>43825.32</v>
      </c>
      <c r="DN120" s="255">
        <v>42536.340000000004</v>
      </c>
      <c r="DO120" s="255">
        <v>36091.440000000002</v>
      </c>
      <c r="DP120" s="255">
        <v>60582.060000000005</v>
      </c>
      <c r="DQ120" s="255">
        <v>41247.360000000001</v>
      </c>
      <c r="DR120" s="255">
        <v>42475.199999999997</v>
      </c>
      <c r="DS120" s="255">
        <v>46457.25</v>
      </c>
      <c r="DT120" s="255">
        <v>50439.299999999996</v>
      </c>
      <c r="DU120" s="255">
        <v>49111.95</v>
      </c>
      <c r="DV120" s="255">
        <v>45129.9</v>
      </c>
      <c r="DW120" s="255">
        <v>43802.549999999996</v>
      </c>
      <c r="DX120" s="255">
        <v>45129.9</v>
      </c>
      <c r="DY120" s="255">
        <v>45129.9</v>
      </c>
      <c r="DZ120" s="255">
        <v>54421.35</v>
      </c>
      <c r="EA120" s="255">
        <v>31856.399999999998</v>
      </c>
      <c r="EB120" s="255">
        <v>57076.049999999996</v>
      </c>
      <c r="EC120" s="255">
        <v>42475.199999999997</v>
      </c>
      <c r="ED120" s="255">
        <v>47847.45</v>
      </c>
      <c r="EE120" s="255">
        <v>43746.239999999998</v>
      </c>
      <c r="EF120" s="255">
        <v>58784.01</v>
      </c>
      <c r="EG120" s="255">
        <v>58784.01</v>
      </c>
      <c r="EH120" s="255">
        <v>43746.239999999998</v>
      </c>
      <c r="EI120" s="255">
        <v>46480.38</v>
      </c>
      <c r="EJ120" s="255">
        <v>0</v>
      </c>
      <c r="EK120" s="255">
        <v>0</v>
      </c>
      <c r="EL120" s="255">
        <v>0</v>
      </c>
      <c r="EM120" s="255">
        <v>0</v>
      </c>
      <c r="EN120" s="255">
        <v>0</v>
      </c>
      <c r="EO120" s="255">
        <v>0</v>
      </c>
      <c r="EP120" s="255">
        <v>0</v>
      </c>
      <c r="EQ120" s="255">
        <v>0</v>
      </c>
      <c r="ER120" s="255">
        <v>0</v>
      </c>
      <c r="ES120" s="255">
        <v>0</v>
      </c>
      <c r="ET120" s="255">
        <v>0</v>
      </c>
      <c r="EU120" s="255">
        <v>0</v>
      </c>
      <c r="EV120" s="255">
        <v>0</v>
      </c>
      <c r="EW120" s="255">
        <v>0</v>
      </c>
      <c r="EX120" s="255">
        <v>0</v>
      </c>
      <c r="EY120" s="255">
        <v>0</v>
      </c>
      <c r="EZ120" s="255">
        <v>0</v>
      </c>
      <c r="FA120" s="255">
        <v>0</v>
      </c>
      <c r="FB120" s="255">
        <v>0</v>
      </c>
      <c r="FC120" s="255">
        <v>0</v>
      </c>
      <c r="FD120" s="255">
        <v>0</v>
      </c>
      <c r="FE120" s="255">
        <v>0</v>
      </c>
      <c r="FF120" s="255">
        <v>0</v>
      </c>
      <c r="FG120" s="255">
        <v>0</v>
      </c>
      <c r="FH120" s="255">
        <v>0</v>
      </c>
      <c r="FI120" s="255">
        <v>0</v>
      </c>
      <c r="FJ120" s="255">
        <v>0</v>
      </c>
      <c r="FK120" s="255">
        <v>0</v>
      </c>
      <c r="FL120" s="255">
        <v>0</v>
      </c>
      <c r="FM120" s="255">
        <v>0</v>
      </c>
      <c r="FN120" s="255">
        <v>0</v>
      </c>
      <c r="FO120" s="255">
        <v>0</v>
      </c>
      <c r="FP120" s="255">
        <v>0</v>
      </c>
      <c r="FQ120" s="255">
        <v>0</v>
      </c>
      <c r="FR120" s="255">
        <v>0</v>
      </c>
      <c r="FS120" s="255">
        <v>0</v>
      </c>
      <c r="FT120" s="255">
        <v>0</v>
      </c>
      <c r="FU120" s="255">
        <v>0</v>
      </c>
      <c r="FV120" s="255">
        <v>0</v>
      </c>
      <c r="FW120" s="255">
        <v>0</v>
      </c>
      <c r="FX120" s="116"/>
    </row>
    <row r="121" spans="2:180" x14ac:dyDescent="0.2">
      <c r="B121" s="253" t="s">
        <v>214</v>
      </c>
      <c r="C121" s="253" t="s">
        <v>324</v>
      </c>
      <c r="D121" s="253" t="s">
        <v>258</v>
      </c>
      <c r="E121" s="253" t="s">
        <v>127</v>
      </c>
      <c r="F121" s="253" t="s">
        <v>259</v>
      </c>
      <c r="G121" s="253" t="s">
        <v>260</v>
      </c>
      <c r="H121" s="237">
        <v>205.24</v>
      </c>
      <c r="I121" s="126">
        <f t="shared" si="86"/>
        <v>149940.85400000005</v>
      </c>
      <c r="J121" s="116"/>
      <c r="K121" s="254">
        <v>0</v>
      </c>
      <c r="L121" s="254">
        <v>0</v>
      </c>
      <c r="M121" s="254">
        <v>0</v>
      </c>
      <c r="N121" s="254">
        <v>0</v>
      </c>
      <c r="O121" s="254">
        <v>0</v>
      </c>
      <c r="P121" s="254">
        <v>0</v>
      </c>
      <c r="Q121" s="254">
        <v>0</v>
      </c>
      <c r="R121" s="254">
        <v>0</v>
      </c>
      <c r="S121" s="254">
        <v>0</v>
      </c>
      <c r="T121" s="254">
        <v>0</v>
      </c>
      <c r="U121" s="254">
        <v>0</v>
      </c>
      <c r="V121" s="254">
        <v>0</v>
      </c>
      <c r="W121" s="254">
        <v>0</v>
      </c>
      <c r="X121" s="254">
        <v>0</v>
      </c>
      <c r="Y121" s="254">
        <v>0.1</v>
      </c>
      <c r="Z121" s="254">
        <v>0.13333333333333333</v>
      </c>
      <c r="AA121" s="254">
        <v>0.15657894736842107</v>
      </c>
      <c r="AB121" s="254">
        <v>0.16578947368421051</v>
      </c>
      <c r="AC121" s="254">
        <v>0.19</v>
      </c>
      <c r="AD121" s="254">
        <v>0.15</v>
      </c>
      <c r="AE121" s="254">
        <v>0.18</v>
      </c>
      <c r="AF121" s="254">
        <v>0.18</v>
      </c>
      <c r="AG121" s="254">
        <v>0.17</v>
      </c>
      <c r="AH121" s="254">
        <v>0.16</v>
      </c>
      <c r="AI121" s="254">
        <v>0.3066666666666667</v>
      </c>
      <c r="AJ121" s="254">
        <v>0.16</v>
      </c>
      <c r="AK121" s="254">
        <v>0.16</v>
      </c>
      <c r="AL121" s="254">
        <v>0.25333333333333335</v>
      </c>
      <c r="AM121" s="254">
        <v>0.16578947368421051</v>
      </c>
      <c r="AN121" s="254">
        <v>0.15657894736842107</v>
      </c>
      <c r="AO121" s="254">
        <v>0.18</v>
      </c>
      <c r="AP121" s="254">
        <v>0.17</v>
      </c>
      <c r="AQ121" s="254">
        <v>0.18</v>
      </c>
      <c r="AR121" s="254">
        <v>0.18</v>
      </c>
      <c r="AS121" s="254">
        <v>0.17</v>
      </c>
      <c r="AT121" s="254">
        <v>0.21333333333333332</v>
      </c>
      <c r="AU121" s="254">
        <v>0.25333333333333335</v>
      </c>
      <c r="AV121" s="254">
        <v>0.16</v>
      </c>
      <c r="AW121" s="254">
        <v>0.19</v>
      </c>
      <c r="AX121" s="254">
        <v>0.21333333333333332</v>
      </c>
      <c r="AY121" s="254">
        <v>0.17500000000000002</v>
      </c>
      <c r="AZ121" s="254">
        <v>0.17500000000000002</v>
      </c>
      <c r="BA121" s="254">
        <v>0.16</v>
      </c>
      <c r="BB121" s="254">
        <v>0.18</v>
      </c>
      <c r="BC121" s="254">
        <v>0</v>
      </c>
      <c r="BD121" s="254">
        <v>0</v>
      </c>
      <c r="BE121" s="254">
        <v>0</v>
      </c>
      <c r="BF121" s="254">
        <v>0</v>
      </c>
      <c r="BG121" s="254">
        <v>0</v>
      </c>
      <c r="BH121" s="254">
        <v>0</v>
      </c>
      <c r="BI121" s="254">
        <v>0</v>
      </c>
      <c r="BJ121" s="254">
        <v>0</v>
      </c>
      <c r="BK121" s="254">
        <v>0</v>
      </c>
      <c r="BL121" s="254">
        <v>0</v>
      </c>
      <c r="BM121" s="254">
        <v>0</v>
      </c>
      <c r="BN121" s="254">
        <v>0</v>
      </c>
      <c r="BO121" s="254">
        <v>0</v>
      </c>
      <c r="BP121" s="254">
        <v>0</v>
      </c>
      <c r="BQ121" s="254">
        <v>0</v>
      </c>
      <c r="BR121" s="254">
        <v>0</v>
      </c>
      <c r="BS121" s="254">
        <v>0</v>
      </c>
      <c r="BT121" s="254">
        <v>0</v>
      </c>
      <c r="BU121" s="254">
        <v>0</v>
      </c>
      <c r="BV121" s="254">
        <v>0</v>
      </c>
      <c r="BW121" s="254">
        <v>0</v>
      </c>
      <c r="BX121" s="254">
        <v>0</v>
      </c>
      <c r="BY121" s="254">
        <v>0</v>
      </c>
      <c r="BZ121" s="254">
        <v>0</v>
      </c>
      <c r="CA121" s="254">
        <v>0</v>
      </c>
      <c r="CB121" s="254">
        <v>0</v>
      </c>
      <c r="CC121" s="254">
        <v>0</v>
      </c>
      <c r="CD121" s="254">
        <v>0</v>
      </c>
      <c r="CE121" s="254">
        <v>0</v>
      </c>
      <c r="CF121" s="254">
        <v>0</v>
      </c>
      <c r="CG121" s="254">
        <v>0</v>
      </c>
      <c r="CH121" s="254">
        <v>0</v>
      </c>
      <c r="CI121" s="254">
        <v>0</v>
      </c>
      <c r="CJ121" s="254">
        <v>0</v>
      </c>
      <c r="CK121" s="254">
        <v>0</v>
      </c>
      <c r="CL121" s="254">
        <v>0</v>
      </c>
      <c r="CM121" s="254">
        <v>0</v>
      </c>
      <c r="CN121" s="254">
        <v>0</v>
      </c>
      <c r="CO121" s="254">
        <v>0</v>
      </c>
      <c r="CP121" s="254">
        <v>0</v>
      </c>
      <c r="CQ121" s="116"/>
      <c r="CR121" s="255">
        <v>0</v>
      </c>
      <c r="CS121" s="255">
        <v>0</v>
      </c>
      <c r="CT121" s="255">
        <v>0</v>
      </c>
      <c r="CU121" s="255">
        <v>0</v>
      </c>
      <c r="CV121" s="255">
        <v>0</v>
      </c>
      <c r="CW121" s="255">
        <v>0</v>
      </c>
      <c r="CX121" s="255">
        <v>0</v>
      </c>
      <c r="CY121" s="255">
        <v>0</v>
      </c>
      <c r="CZ121" s="255">
        <v>0</v>
      </c>
      <c r="DA121" s="255">
        <v>0</v>
      </c>
      <c r="DB121" s="255">
        <v>0</v>
      </c>
      <c r="DC121" s="255">
        <v>0</v>
      </c>
      <c r="DD121" s="255">
        <v>0</v>
      </c>
      <c r="DE121" s="255">
        <v>0</v>
      </c>
      <c r="DF121" s="255">
        <v>2873.36</v>
      </c>
      <c r="DG121" s="255">
        <v>2873.36</v>
      </c>
      <c r="DH121" s="255">
        <v>4884.7120000000004</v>
      </c>
      <c r="DI121" s="255">
        <v>5172.0479999999998</v>
      </c>
      <c r="DJ121" s="255">
        <v>5459.3840000000009</v>
      </c>
      <c r="DK121" s="255">
        <v>4310.04</v>
      </c>
      <c r="DL121" s="255">
        <v>5172.0479999999998</v>
      </c>
      <c r="DM121" s="255">
        <v>5172.0479999999998</v>
      </c>
      <c r="DN121" s="255">
        <v>4884.7120000000004</v>
      </c>
      <c r="DO121" s="255">
        <v>3448.0320000000002</v>
      </c>
      <c r="DP121" s="255">
        <v>6608.728000000001</v>
      </c>
      <c r="DQ121" s="255">
        <v>4597.3760000000002</v>
      </c>
      <c r="DR121" s="255">
        <v>4735.5839999999998</v>
      </c>
      <c r="DS121" s="255">
        <v>5623.5060000000003</v>
      </c>
      <c r="DT121" s="255">
        <v>5327.5320000000002</v>
      </c>
      <c r="DU121" s="255">
        <v>5031.558</v>
      </c>
      <c r="DV121" s="255">
        <v>5327.5320000000002</v>
      </c>
      <c r="DW121" s="255">
        <v>5031.558</v>
      </c>
      <c r="DX121" s="255">
        <v>5327.5320000000002</v>
      </c>
      <c r="DY121" s="255">
        <v>5327.5320000000002</v>
      </c>
      <c r="DZ121" s="255">
        <v>5031.558</v>
      </c>
      <c r="EA121" s="255">
        <v>4735.5839999999998</v>
      </c>
      <c r="EB121" s="255">
        <v>5623.5060000000003</v>
      </c>
      <c r="EC121" s="255">
        <v>4735.5839999999998</v>
      </c>
      <c r="ED121" s="255">
        <v>5793.4800000000005</v>
      </c>
      <c r="EE121" s="255">
        <v>4878.72</v>
      </c>
      <c r="EF121" s="255">
        <v>5793.4800000000005</v>
      </c>
      <c r="EG121" s="255">
        <v>5793.4800000000005</v>
      </c>
      <c r="EH121" s="255">
        <v>4878.72</v>
      </c>
      <c r="EI121" s="255">
        <v>5488.56</v>
      </c>
      <c r="EJ121" s="255">
        <v>0</v>
      </c>
      <c r="EK121" s="255">
        <v>0</v>
      </c>
      <c r="EL121" s="255">
        <v>0</v>
      </c>
      <c r="EM121" s="255">
        <v>0</v>
      </c>
      <c r="EN121" s="255">
        <v>0</v>
      </c>
      <c r="EO121" s="255">
        <v>0</v>
      </c>
      <c r="EP121" s="255">
        <v>0</v>
      </c>
      <c r="EQ121" s="255">
        <v>0</v>
      </c>
      <c r="ER121" s="255">
        <v>0</v>
      </c>
      <c r="ES121" s="255">
        <v>0</v>
      </c>
      <c r="ET121" s="255">
        <v>0</v>
      </c>
      <c r="EU121" s="255">
        <v>0</v>
      </c>
      <c r="EV121" s="255">
        <v>0</v>
      </c>
      <c r="EW121" s="255">
        <v>0</v>
      </c>
      <c r="EX121" s="255">
        <v>0</v>
      </c>
      <c r="EY121" s="255">
        <v>0</v>
      </c>
      <c r="EZ121" s="255">
        <v>0</v>
      </c>
      <c r="FA121" s="255">
        <v>0</v>
      </c>
      <c r="FB121" s="255">
        <v>0</v>
      </c>
      <c r="FC121" s="255">
        <v>0</v>
      </c>
      <c r="FD121" s="255">
        <v>0</v>
      </c>
      <c r="FE121" s="255">
        <v>0</v>
      </c>
      <c r="FF121" s="255">
        <v>0</v>
      </c>
      <c r="FG121" s="255">
        <v>0</v>
      </c>
      <c r="FH121" s="255">
        <v>0</v>
      </c>
      <c r="FI121" s="255">
        <v>0</v>
      </c>
      <c r="FJ121" s="255">
        <v>0</v>
      </c>
      <c r="FK121" s="255">
        <v>0</v>
      </c>
      <c r="FL121" s="255">
        <v>0</v>
      </c>
      <c r="FM121" s="255">
        <v>0</v>
      </c>
      <c r="FN121" s="255">
        <v>0</v>
      </c>
      <c r="FO121" s="255">
        <v>0</v>
      </c>
      <c r="FP121" s="255">
        <v>0</v>
      </c>
      <c r="FQ121" s="255">
        <v>0</v>
      </c>
      <c r="FR121" s="255">
        <v>0</v>
      </c>
      <c r="FS121" s="255">
        <v>0</v>
      </c>
      <c r="FT121" s="255">
        <v>0</v>
      </c>
      <c r="FU121" s="255">
        <v>0</v>
      </c>
      <c r="FV121" s="255">
        <v>0</v>
      </c>
      <c r="FW121" s="255">
        <v>0</v>
      </c>
      <c r="FX121" s="116"/>
    </row>
    <row r="122" spans="2:180" x14ac:dyDescent="0.2">
      <c r="B122" s="253" t="s">
        <v>214</v>
      </c>
      <c r="C122" s="253" t="s">
        <v>324</v>
      </c>
      <c r="D122" s="253" t="s">
        <v>258</v>
      </c>
      <c r="E122" s="253" t="s">
        <v>127</v>
      </c>
      <c r="F122" s="253">
        <v>0</v>
      </c>
      <c r="G122" s="253" t="s">
        <v>322</v>
      </c>
      <c r="H122" s="237">
        <v>205.24</v>
      </c>
      <c r="I122" s="126">
        <f t="shared" si="86"/>
        <v>248979.41399999996</v>
      </c>
      <c r="J122" s="116"/>
      <c r="K122" s="254">
        <v>0</v>
      </c>
      <c r="L122" s="254">
        <v>0</v>
      </c>
      <c r="M122" s="254">
        <v>0</v>
      </c>
      <c r="N122" s="254">
        <v>0</v>
      </c>
      <c r="O122" s="254">
        <v>0</v>
      </c>
      <c r="P122" s="254">
        <v>0</v>
      </c>
      <c r="Q122" s="254">
        <v>0</v>
      </c>
      <c r="R122" s="254">
        <v>0</v>
      </c>
      <c r="S122" s="254">
        <v>0</v>
      </c>
      <c r="T122" s="254">
        <v>0</v>
      </c>
      <c r="U122" s="254">
        <v>0</v>
      </c>
      <c r="V122" s="254">
        <v>0</v>
      </c>
      <c r="W122" s="254">
        <v>0</v>
      </c>
      <c r="X122" s="254">
        <v>0</v>
      </c>
      <c r="Y122" s="254">
        <v>0</v>
      </c>
      <c r="Z122" s="254">
        <v>0</v>
      </c>
      <c r="AA122" s="254">
        <v>0.13026315789473686</v>
      </c>
      <c r="AB122" s="254">
        <v>0.13421052631578947</v>
      </c>
      <c r="AC122" s="254">
        <v>0.1842857142857143</v>
      </c>
      <c r="AD122" s="254">
        <v>0.13285714285714287</v>
      </c>
      <c r="AE122" s="254">
        <v>0.14571428571428571</v>
      </c>
      <c r="AF122" s="254">
        <v>0.14571428571428571</v>
      </c>
      <c r="AG122" s="254">
        <v>0.14142857142857143</v>
      </c>
      <c r="AH122" s="254">
        <v>0.16</v>
      </c>
      <c r="AI122" s="254">
        <v>0.26857142857142857</v>
      </c>
      <c r="AJ122" s="254">
        <v>0.13714285714285715</v>
      </c>
      <c r="AK122" s="254">
        <v>0.13714285714285715</v>
      </c>
      <c r="AL122" s="254">
        <v>0.2</v>
      </c>
      <c r="AM122" s="254">
        <v>0.15</v>
      </c>
      <c r="AN122" s="254">
        <v>0.14605263157894735</v>
      </c>
      <c r="AO122" s="254">
        <v>0.14571428571428571</v>
      </c>
      <c r="AP122" s="254">
        <v>0.14142857142857143</v>
      </c>
      <c r="AQ122" s="254">
        <v>0.14571428571428571</v>
      </c>
      <c r="AR122" s="254">
        <v>0.14571428571428571</v>
      </c>
      <c r="AS122" s="254">
        <v>0.17571428571428571</v>
      </c>
      <c r="AT122" s="254">
        <v>0.13714285714285715</v>
      </c>
      <c r="AU122" s="254">
        <v>0.24571428571428572</v>
      </c>
      <c r="AV122" s="254">
        <v>0.13714285714285715</v>
      </c>
      <c r="AW122" s="254">
        <v>0.15</v>
      </c>
      <c r="AX122" s="254">
        <v>0.18285714285714286</v>
      </c>
      <c r="AY122" s="254">
        <v>0.16973684210526316</v>
      </c>
      <c r="AZ122" s="254">
        <v>0.16973684210526316</v>
      </c>
      <c r="BA122" s="254">
        <v>0.13714285714285715</v>
      </c>
      <c r="BB122" s="254">
        <v>0.14571428571428571</v>
      </c>
      <c r="BC122" s="254">
        <v>0</v>
      </c>
      <c r="BD122" s="254">
        <v>0</v>
      </c>
      <c r="BE122" s="254">
        <v>0</v>
      </c>
      <c r="BF122" s="254">
        <v>0</v>
      </c>
      <c r="BG122" s="254">
        <v>0</v>
      </c>
      <c r="BH122" s="254">
        <v>0</v>
      </c>
      <c r="BI122" s="254">
        <v>0</v>
      </c>
      <c r="BJ122" s="254">
        <v>0</v>
      </c>
      <c r="BK122" s="254">
        <v>0</v>
      </c>
      <c r="BL122" s="254">
        <v>0</v>
      </c>
      <c r="BM122" s="254">
        <v>0</v>
      </c>
      <c r="BN122" s="254">
        <v>0</v>
      </c>
      <c r="BO122" s="254">
        <v>0</v>
      </c>
      <c r="BP122" s="254">
        <v>0</v>
      </c>
      <c r="BQ122" s="254">
        <v>0</v>
      </c>
      <c r="BR122" s="254">
        <v>0</v>
      </c>
      <c r="BS122" s="254">
        <v>0</v>
      </c>
      <c r="BT122" s="254">
        <v>0</v>
      </c>
      <c r="BU122" s="254">
        <v>0</v>
      </c>
      <c r="BV122" s="254">
        <v>0</v>
      </c>
      <c r="BW122" s="254">
        <v>0</v>
      </c>
      <c r="BX122" s="254">
        <v>0</v>
      </c>
      <c r="BY122" s="254">
        <v>0</v>
      </c>
      <c r="BZ122" s="254">
        <v>0</v>
      </c>
      <c r="CA122" s="254">
        <v>0</v>
      </c>
      <c r="CB122" s="254">
        <v>0</v>
      </c>
      <c r="CC122" s="254">
        <v>0</v>
      </c>
      <c r="CD122" s="254">
        <v>0</v>
      </c>
      <c r="CE122" s="254">
        <v>0</v>
      </c>
      <c r="CF122" s="254">
        <v>0</v>
      </c>
      <c r="CG122" s="254">
        <v>0</v>
      </c>
      <c r="CH122" s="254">
        <v>0</v>
      </c>
      <c r="CI122" s="254">
        <v>0</v>
      </c>
      <c r="CJ122" s="254">
        <v>0</v>
      </c>
      <c r="CK122" s="254">
        <v>0</v>
      </c>
      <c r="CL122" s="254">
        <v>0</v>
      </c>
      <c r="CM122" s="254">
        <v>0</v>
      </c>
      <c r="CN122" s="254">
        <v>0</v>
      </c>
      <c r="CO122" s="254">
        <v>0</v>
      </c>
      <c r="CP122" s="254">
        <v>0</v>
      </c>
      <c r="CQ122" s="116"/>
      <c r="CR122" s="255">
        <v>0</v>
      </c>
      <c r="CS122" s="255">
        <v>0</v>
      </c>
      <c r="CT122" s="255">
        <v>0</v>
      </c>
      <c r="CU122" s="255">
        <v>0</v>
      </c>
      <c r="CV122" s="255">
        <v>0</v>
      </c>
      <c r="CW122" s="255">
        <v>0</v>
      </c>
      <c r="CX122" s="255">
        <v>0</v>
      </c>
      <c r="CY122" s="255">
        <v>0</v>
      </c>
      <c r="CZ122" s="255">
        <v>0</v>
      </c>
      <c r="DA122" s="255">
        <v>0</v>
      </c>
      <c r="DB122" s="255">
        <v>0</v>
      </c>
      <c r="DC122" s="255">
        <v>0</v>
      </c>
      <c r="DD122" s="255">
        <v>0</v>
      </c>
      <c r="DE122" s="255">
        <v>0</v>
      </c>
      <c r="DF122" s="255">
        <v>0</v>
      </c>
      <c r="DG122" s="255">
        <v>0</v>
      </c>
      <c r="DH122" s="255">
        <v>8127.5040000000008</v>
      </c>
      <c r="DI122" s="255">
        <v>8373.7919999999995</v>
      </c>
      <c r="DJ122" s="255">
        <v>10590.384</v>
      </c>
      <c r="DK122" s="255">
        <v>7634.9280000000008</v>
      </c>
      <c r="DL122" s="255">
        <v>8373.7919999999995</v>
      </c>
      <c r="DM122" s="255">
        <v>8373.7919999999995</v>
      </c>
      <c r="DN122" s="255">
        <v>8127.5040000000008</v>
      </c>
      <c r="DO122" s="255">
        <v>6896.0640000000003</v>
      </c>
      <c r="DP122" s="255">
        <v>11575.536</v>
      </c>
      <c r="DQ122" s="255">
        <v>7881.2160000000003</v>
      </c>
      <c r="DR122" s="255">
        <v>8117.9519999999993</v>
      </c>
      <c r="DS122" s="255">
        <v>8879.01</v>
      </c>
      <c r="DT122" s="255">
        <v>9640.0680000000011</v>
      </c>
      <c r="DU122" s="255">
        <v>9386.3819999999996</v>
      </c>
      <c r="DV122" s="255">
        <v>8625.3239999999987</v>
      </c>
      <c r="DW122" s="255">
        <v>8371.6380000000008</v>
      </c>
      <c r="DX122" s="255">
        <v>8625.3239999999987</v>
      </c>
      <c r="DY122" s="255">
        <v>8625.3239999999987</v>
      </c>
      <c r="DZ122" s="255">
        <v>10401.126</v>
      </c>
      <c r="EA122" s="255">
        <v>6088.4639999999999</v>
      </c>
      <c r="EB122" s="255">
        <v>10908.498</v>
      </c>
      <c r="EC122" s="255">
        <v>8117.9519999999993</v>
      </c>
      <c r="ED122" s="255">
        <v>9147.6</v>
      </c>
      <c r="EE122" s="255">
        <v>8363.52</v>
      </c>
      <c r="EF122" s="255">
        <v>11238.480000000001</v>
      </c>
      <c r="EG122" s="255">
        <v>11238.480000000001</v>
      </c>
      <c r="EH122" s="255">
        <v>8363.52</v>
      </c>
      <c r="EI122" s="255">
        <v>8886.24</v>
      </c>
      <c r="EJ122" s="255">
        <v>0</v>
      </c>
      <c r="EK122" s="255">
        <v>0</v>
      </c>
      <c r="EL122" s="255">
        <v>0</v>
      </c>
      <c r="EM122" s="255">
        <v>0</v>
      </c>
      <c r="EN122" s="255">
        <v>0</v>
      </c>
      <c r="EO122" s="255">
        <v>0</v>
      </c>
      <c r="EP122" s="255">
        <v>0</v>
      </c>
      <c r="EQ122" s="255">
        <v>0</v>
      </c>
      <c r="ER122" s="255">
        <v>0</v>
      </c>
      <c r="ES122" s="255">
        <v>0</v>
      </c>
      <c r="ET122" s="255">
        <v>0</v>
      </c>
      <c r="EU122" s="255">
        <v>0</v>
      </c>
      <c r="EV122" s="255">
        <v>0</v>
      </c>
      <c r="EW122" s="255">
        <v>0</v>
      </c>
      <c r="EX122" s="255">
        <v>0</v>
      </c>
      <c r="EY122" s="255">
        <v>0</v>
      </c>
      <c r="EZ122" s="255">
        <v>0</v>
      </c>
      <c r="FA122" s="255">
        <v>0</v>
      </c>
      <c r="FB122" s="255">
        <v>0</v>
      </c>
      <c r="FC122" s="255">
        <v>0</v>
      </c>
      <c r="FD122" s="255">
        <v>0</v>
      </c>
      <c r="FE122" s="255">
        <v>0</v>
      </c>
      <c r="FF122" s="255">
        <v>0</v>
      </c>
      <c r="FG122" s="255">
        <v>0</v>
      </c>
      <c r="FH122" s="255">
        <v>0</v>
      </c>
      <c r="FI122" s="255">
        <v>0</v>
      </c>
      <c r="FJ122" s="255">
        <v>0</v>
      </c>
      <c r="FK122" s="255">
        <v>0</v>
      </c>
      <c r="FL122" s="255">
        <v>0</v>
      </c>
      <c r="FM122" s="255">
        <v>0</v>
      </c>
      <c r="FN122" s="255">
        <v>0</v>
      </c>
      <c r="FO122" s="255">
        <v>0</v>
      </c>
      <c r="FP122" s="255">
        <v>0</v>
      </c>
      <c r="FQ122" s="255">
        <v>0</v>
      </c>
      <c r="FR122" s="255">
        <v>0</v>
      </c>
      <c r="FS122" s="255">
        <v>0</v>
      </c>
      <c r="FT122" s="255">
        <v>0</v>
      </c>
      <c r="FU122" s="255">
        <v>0</v>
      </c>
      <c r="FV122" s="255">
        <v>0</v>
      </c>
      <c r="FW122" s="255">
        <v>0</v>
      </c>
      <c r="FX122" s="116"/>
    </row>
    <row r="123" spans="2:180" x14ac:dyDescent="0.2">
      <c r="B123" s="253" t="s">
        <v>214</v>
      </c>
      <c r="C123" s="253" t="s">
        <v>324</v>
      </c>
      <c r="D123" s="253" t="s">
        <v>258</v>
      </c>
      <c r="E123" s="253" t="s">
        <v>127</v>
      </c>
      <c r="F123" s="253" t="s">
        <v>259</v>
      </c>
      <c r="G123" s="253" t="s">
        <v>260</v>
      </c>
      <c r="H123" s="237">
        <v>205.24</v>
      </c>
      <c r="I123" s="126">
        <f t="shared" si="86"/>
        <v>240323.5566666667</v>
      </c>
      <c r="J123" s="116"/>
      <c r="K123" s="254">
        <v>0</v>
      </c>
      <c r="L123" s="254">
        <v>0</v>
      </c>
      <c r="M123" s="254">
        <v>0</v>
      </c>
      <c r="N123" s="254">
        <v>0</v>
      </c>
      <c r="O123" s="254">
        <v>0</v>
      </c>
      <c r="P123" s="254">
        <v>0</v>
      </c>
      <c r="Q123" s="254">
        <v>0</v>
      </c>
      <c r="R123" s="254">
        <v>0</v>
      </c>
      <c r="S123" s="254">
        <v>0</v>
      </c>
      <c r="T123" s="254">
        <v>0</v>
      </c>
      <c r="U123" s="254">
        <v>0</v>
      </c>
      <c r="V123" s="254">
        <v>0</v>
      </c>
      <c r="W123" s="254">
        <v>0</v>
      </c>
      <c r="X123" s="254">
        <v>0</v>
      </c>
      <c r="Y123" s="254">
        <v>0</v>
      </c>
      <c r="Z123" s="254">
        <v>0</v>
      </c>
      <c r="AA123" s="254">
        <v>0.26096491228070173</v>
      </c>
      <c r="AB123" s="254">
        <v>0.27631578947368424</v>
      </c>
      <c r="AC123" s="254">
        <v>0.31666666666666671</v>
      </c>
      <c r="AD123" s="254">
        <v>0.25</v>
      </c>
      <c r="AE123" s="254">
        <v>0.3</v>
      </c>
      <c r="AF123" s="254">
        <v>0.3</v>
      </c>
      <c r="AG123" s="254">
        <v>0.28333333333333333</v>
      </c>
      <c r="AH123" s="254">
        <v>0.26666666666666666</v>
      </c>
      <c r="AI123" s="254">
        <v>0.51111111111111107</v>
      </c>
      <c r="AJ123" s="254">
        <v>0.26666666666666666</v>
      </c>
      <c r="AK123" s="254">
        <v>0.26666666666666666</v>
      </c>
      <c r="AL123" s="254">
        <v>0.42222222222222222</v>
      </c>
      <c r="AM123" s="254">
        <v>0.27631578947368424</v>
      </c>
      <c r="AN123" s="254">
        <v>0.26096491228070173</v>
      </c>
      <c r="AO123" s="254">
        <v>0.3</v>
      </c>
      <c r="AP123" s="254">
        <v>0.28333333333333333</v>
      </c>
      <c r="AQ123" s="254">
        <v>0.3</v>
      </c>
      <c r="AR123" s="254">
        <v>0.3</v>
      </c>
      <c r="AS123" s="254">
        <v>0.28333333333333333</v>
      </c>
      <c r="AT123" s="254">
        <v>0.35555555555555557</v>
      </c>
      <c r="AU123" s="254">
        <v>0.42222222222222222</v>
      </c>
      <c r="AV123" s="254">
        <v>0.26666666666666666</v>
      </c>
      <c r="AW123" s="254">
        <v>0.31666666666666671</v>
      </c>
      <c r="AX123" s="254">
        <v>0.35555555555555557</v>
      </c>
      <c r="AY123" s="254">
        <v>0.29166666666666669</v>
      </c>
      <c r="AZ123" s="254">
        <v>0.29166666666666669</v>
      </c>
      <c r="BA123" s="254">
        <v>0.26666666666666666</v>
      </c>
      <c r="BB123" s="254">
        <v>0.3</v>
      </c>
      <c r="BC123" s="254">
        <v>0</v>
      </c>
      <c r="BD123" s="254">
        <v>0</v>
      </c>
      <c r="BE123" s="254">
        <v>0</v>
      </c>
      <c r="BF123" s="254">
        <v>0</v>
      </c>
      <c r="BG123" s="254">
        <v>0</v>
      </c>
      <c r="BH123" s="254">
        <v>0</v>
      </c>
      <c r="BI123" s="254">
        <v>0</v>
      </c>
      <c r="BJ123" s="254">
        <v>0</v>
      </c>
      <c r="BK123" s="254">
        <v>0</v>
      </c>
      <c r="BL123" s="254">
        <v>0</v>
      </c>
      <c r="BM123" s="254">
        <v>0</v>
      </c>
      <c r="BN123" s="254">
        <v>0</v>
      </c>
      <c r="BO123" s="254">
        <v>0</v>
      </c>
      <c r="BP123" s="254">
        <v>0</v>
      </c>
      <c r="BQ123" s="254">
        <v>0</v>
      </c>
      <c r="BR123" s="254">
        <v>0</v>
      </c>
      <c r="BS123" s="254">
        <v>0</v>
      </c>
      <c r="BT123" s="254">
        <v>0</v>
      </c>
      <c r="BU123" s="254">
        <v>0</v>
      </c>
      <c r="BV123" s="254">
        <v>0</v>
      </c>
      <c r="BW123" s="254">
        <v>0</v>
      </c>
      <c r="BX123" s="254">
        <v>0</v>
      </c>
      <c r="BY123" s="254">
        <v>0</v>
      </c>
      <c r="BZ123" s="254">
        <v>0</v>
      </c>
      <c r="CA123" s="254">
        <v>0</v>
      </c>
      <c r="CB123" s="254">
        <v>0</v>
      </c>
      <c r="CC123" s="254">
        <v>0</v>
      </c>
      <c r="CD123" s="254">
        <v>0</v>
      </c>
      <c r="CE123" s="254">
        <v>0</v>
      </c>
      <c r="CF123" s="254">
        <v>0</v>
      </c>
      <c r="CG123" s="254">
        <v>0</v>
      </c>
      <c r="CH123" s="254">
        <v>0</v>
      </c>
      <c r="CI123" s="254">
        <v>0</v>
      </c>
      <c r="CJ123" s="254">
        <v>0</v>
      </c>
      <c r="CK123" s="254">
        <v>0</v>
      </c>
      <c r="CL123" s="254">
        <v>0</v>
      </c>
      <c r="CM123" s="254">
        <v>0</v>
      </c>
      <c r="CN123" s="254">
        <v>0</v>
      </c>
      <c r="CO123" s="254">
        <v>0</v>
      </c>
      <c r="CP123" s="254">
        <v>0</v>
      </c>
      <c r="CQ123" s="116"/>
      <c r="CR123" s="255">
        <v>0</v>
      </c>
      <c r="CS123" s="255">
        <v>0</v>
      </c>
      <c r="CT123" s="255">
        <v>0</v>
      </c>
      <c r="CU123" s="255">
        <v>0</v>
      </c>
      <c r="CV123" s="255">
        <v>0</v>
      </c>
      <c r="CW123" s="255">
        <v>0</v>
      </c>
      <c r="CX123" s="255">
        <v>0</v>
      </c>
      <c r="CY123" s="255">
        <v>0</v>
      </c>
      <c r="CZ123" s="255">
        <v>0</v>
      </c>
      <c r="DA123" s="255">
        <v>0</v>
      </c>
      <c r="DB123" s="255">
        <v>0</v>
      </c>
      <c r="DC123" s="255">
        <v>0</v>
      </c>
      <c r="DD123" s="255">
        <v>0</v>
      </c>
      <c r="DE123" s="255">
        <v>0</v>
      </c>
      <c r="DF123" s="255">
        <v>0</v>
      </c>
      <c r="DG123" s="255">
        <v>0</v>
      </c>
      <c r="DH123" s="255">
        <v>8141.1866666666665</v>
      </c>
      <c r="DI123" s="255">
        <v>8620.08</v>
      </c>
      <c r="DJ123" s="255">
        <v>9098.9733333333334</v>
      </c>
      <c r="DK123" s="255">
        <v>7183.4000000000005</v>
      </c>
      <c r="DL123" s="255">
        <v>8620.08</v>
      </c>
      <c r="DM123" s="255">
        <v>8620.08</v>
      </c>
      <c r="DN123" s="255">
        <v>8141.1866666666665</v>
      </c>
      <c r="DO123" s="255">
        <v>5746.72</v>
      </c>
      <c r="DP123" s="255">
        <v>11014.546666666667</v>
      </c>
      <c r="DQ123" s="255">
        <v>7662.293333333334</v>
      </c>
      <c r="DR123" s="255">
        <v>7892.64</v>
      </c>
      <c r="DS123" s="255">
        <v>9372.51</v>
      </c>
      <c r="DT123" s="255">
        <v>8879.2199999999993</v>
      </c>
      <c r="DU123" s="255">
        <v>8385.9299999999985</v>
      </c>
      <c r="DV123" s="255">
        <v>8879.2199999999993</v>
      </c>
      <c r="DW123" s="255">
        <v>8385.9299999999985</v>
      </c>
      <c r="DX123" s="255">
        <v>8879.2199999999993</v>
      </c>
      <c r="DY123" s="255">
        <v>8879.2199999999993</v>
      </c>
      <c r="DZ123" s="255">
        <v>8385.9299999999985</v>
      </c>
      <c r="EA123" s="255">
        <v>7892.64</v>
      </c>
      <c r="EB123" s="255">
        <v>9372.51</v>
      </c>
      <c r="EC123" s="255">
        <v>7892.64</v>
      </c>
      <c r="ED123" s="255">
        <v>9655.8000000000011</v>
      </c>
      <c r="EE123" s="255">
        <v>8131.2000000000007</v>
      </c>
      <c r="EF123" s="255">
        <v>9655.8000000000011</v>
      </c>
      <c r="EG123" s="255">
        <v>9655.8000000000011</v>
      </c>
      <c r="EH123" s="255">
        <v>8131.2000000000007</v>
      </c>
      <c r="EI123" s="255">
        <v>9147.6</v>
      </c>
      <c r="EJ123" s="255">
        <v>0</v>
      </c>
      <c r="EK123" s="255">
        <v>0</v>
      </c>
      <c r="EL123" s="255">
        <v>0</v>
      </c>
      <c r="EM123" s="255">
        <v>0</v>
      </c>
      <c r="EN123" s="255">
        <v>0</v>
      </c>
      <c r="EO123" s="255">
        <v>0</v>
      </c>
      <c r="EP123" s="255">
        <v>0</v>
      </c>
      <c r="EQ123" s="255">
        <v>0</v>
      </c>
      <c r="ER123" s="255">
        <v>0</v>
      </c>
      <c r="ES123" s="255">
        <v>0</v>
      </c>
      <c r="ET123" s="255">
        <v>0</v>
      </c>
      <c r="EU123" s="255">
        <v>0</v>
      </c>
      <c r="EV123" s="255">
        <v>0</v>
      </c>
      <c r="EW123" s="255">
        <v>0</v>
      </c>
      <c r="EX123" s="255">
        <v>0</v>
      </c>
      <c r="EY123" s="255">
        <v>0</v>
      </c>
      <c r="EZ123" s="255">
        <v>0</v>
      </c>
      <c r="FA123" s="255">
        <v>0</v>
      </c>
      <c r="FB123" s="255">
        <v>0</v>
      </c>
      <c r="FC123" s="255">
        <v>0</v>
      </c>
      <c r="FD123" s="255">
        <v>0</v>
      </c>
      <c r="FE123" s="255">
        <v>0</v>
      </c>
      <c r="FF123" s="255">
        <v>0</v>
      </c>
      <c r="FG123" s="255">
        <v>0</v>
      </c>
      <c r="FH123" s="255">
        <v>0</v>
      </c>
      <c r="FI123" s="255">
        <v>0</v>
      </c>
      <c r="FJ123" s="255">
        <v>0</v>
      </c>
      <c r="FK123" s="255">
        <v>0</v>
      </c>
      <c r="FL123" s="255">
        <v>0</v>
      </c>
      <c r="FM123" s="255">
        <v>0</v>
      </c>
      <c r="FN123" s="255">
        <v>0</v>
      </c>
      <c r="FO123" s="255">
        <v>0</v>
      </c>
      <c r="FP123" s="255">
        <v>0</v>
      </c>
      <c r="FQ123" s="255">
        <v>0</v>
      </c>
      <c r="FR123" s="255">
        <v>0</v>
      </c>
      <c r="FS123" s="255">
        <v>0</v>
      </c>
      <c r="FT123" s="255">
        <v>0</v>
      </c>
      <c r="FU123" s="255">
        <v>0</v>
      </c>
      <c r="FV123" s="255">
        <v>0</v>
      </c>
      <c r="FW123" s="255">
        <v>0</v>
      </c>
      <c r="FX123" s="116"/>
    </row>
    <row r="124" spans="2:180" x14ac:dyDescent="0.2">
      <c r="B124" s="253" t="s">
        <v>214</v>
      </c>
      <c r="C124" s="253" t="s">
        <v>324</v>
      </c>
      <c r="D124" s="253" t="s">
        <v>258</v>
      </c>
      <c r="E124" s="253" t="s">
        <v>127</v>
      </c>
      <c r="F124" s="253">
        <v>0</v>
      </c>
      <c r="G124" s="253" t="s">
        <v>322</v>
      </c>
      <c r="H124" s="237">
        <v>205.24</v>
      </c>
      <c r="I124" s="126">
        <f t="shared" si="86"/>
        <v>414965.69000000012</v>
      </c>
      <c r="J124" s="116"/>
      <c r="K124" s="254">
        <v>0</v>
      </c>
      <c r="L124" s="254">
        <v>0</v>
      </c>
      <c r="M124" s="254">
        <v>0</v>
      </c>
      <c r="N124" s="254">
        <v>0</v>
      </c>
      <c r="O124" s="254">
        <v>0</v>
      </c>
      <c r="P124" s="254">
        <v>0</v>
      </c>
      <c r="Q124" s="254">
        <v>0</v>
      </c>
      <c r="R124" s="254">
        <v>0</v>
      </c>
      <c r="S124" s="254">
        <v>0</v>
      </c>
      <c r="T124" s="254">
        <v>0</v>
      </c>
      <c r="U124" s="254">
        <v>0</v>
      </c>
      <c r="V124" s="254">
        <v>0</v>
      </c>
      <c r="W124" s="254">
        <v>0</v>
      </c>
      <c r="X124" s="254">
        <v>0</v>
      </c>
      <c r="Y124" s="254">
        <v>0</v>
      </c>
      <c r="Z124" s="254">
        <v>0</v>
      </c>
      <c r="AA124" s="254">
        <v>0.21710526315789475</v>
      </c>
      <c r="AB124" s="254">
        <v>0.22368421052631579</v>
      </c>
      <c r="AC124" s="254">
        <v>0.30714285714285716</v>
      </c>
      <c r="AD124" s="254">
        <v>0.22142857142857142</v>
      </c>
      <c r="AE124" s="254">
        <v>0.24285714285714285</v>
      </c>
      <c r="AF124" s="254">
        <v>0.24285714285714285</v>
      </c>
      <c r="AG124" s="254">
        <v>0.23571428571428571</v>
      </c>
      <c r="AH124" s="254">
        <v>0.26666666666666666</v>
      </c>
      <c r="AI124" s="254">
        <v>0.44761904761904764</v>
      </c>
      <c r="AJ124" s="254">
        <v>0.22857142857142856</v>
      </c>
      <c r="AK124" s="254">
        <v>0.22857142857142856</v>
      </c>
      <c r="AL124" s="254">
        <v>0.33333333333333331</v>
      </c>
      <c r="AM124" s="254">
        <v>0.25</v>
      </c>
      <c r="AN124" s="254">
        <v>0.24342105263157895</v>
      </c>
      <c r="AO124" s="254">
        <v>0.24285714285714285</v>
      </c>
      <c r="AP124" s="254">
        <v>0.23571428571428571</v>
      </c>
      <c r="AQ124" s="254">
        <v>0.24285714285714285</v>
      </c>
      <c r="AR124" s="254">
        <v>0.24285714285714285</v>
      </c>
      <c r="AS124" s="254">
        <v>0.29285714285714287</v>
      </c>
      <c r="AT124" s="254">
        <v>0.22857142857142856</v>
      </c>
      <c r="AU124" s="254">
        <v>0.40952380952380951</v>
      </c>
      <c r="AV124" s="254">
        <v>0.22857142857142856</v>
      </c>
      <c r="AW124" s="254">
        <v>0.25</v>
      </c>
      <c r="AX124" s="254">
        <v>0.30476190476190479</v>
      </c>
      <c r="AY124" s="254">
        <v>0.28289473684210525</v>
      </c>
      <c r="AZ124" s="254">
        <v>0.28289473684210525</v>
      </c>
      <c r="BA124" s="254">
        <v>0.22857142857142856</v>
      </c>
      <c r="BB124" s="254">
        <v>0.24285714285714285</v>
      </c>
      <c r="BC124" s="254">
        <v>0</v>
      </c>
      <c r="BD124" s="254">
        <v>0</v>
      </c>
      <c r="BE124" s="254">
        <v>0</v>
      </c>
      <c r="BF124" s="254">
        <v>0</v>
      </c>
      <c r="BG124" s="254">
        <v>0</v>
      </c>
      <c r="BH124" s="254">
        <v>0</v>
      </c>
      <c r="BI124" s="254">
        <v>0</v>
      </c>
      <c r="BJ124" s="254">
        <v>0</v>
      </c>
      <c r="BK124" s="254">
        <v>0</v>
      </c>
      <c r="BL124" s="254">
        <v>0</v>
      </c>
      <c r="BM124" s="254">
        <v>0</v>
      </c>
      <c r="BN124" s="254">
        <v>0</v>
      </c>
      <c r="BO124" s="254">
        <v>0</v>
      </c>
      <c r="BP124" s="254">
        <v>0</v>
      </c>
      <c r="BQ124" s="254">
        <v>0</v>
      </c>
      <c r="BR124" s="254">
        <v>0</v>
      </c>
      <c r="BS124" s="254">
        <v>0</v>
      </c>
      <c r="BT124" s="254">
        <v>0</v>
      </c>
      <c r="BU124" s="254">
        <v>0</v>
      </c>
      <c r="BV124" s="254">
        <v>0</v>
      </c>
      <c r="BW124" s="254">
        <v>0</v>
      </c>
      <c r="BX124" s="254">
        <v>0</v>
      </c>
      <c r="BY124" s="254">
        <v>0</v>
      </c>
      <c r="BZ124" s="254">
        <v>0</v>
      </c>
      <c r="CA124" s="254">
        <v>0</v>
      </c>
      <c r="CB124" s="254">
        <v>0</v>
      </c>
      <c r="CC124" s="254">
        <v>0</v>
      </c>
      <c r="CD124" s="254">
        <v>0</v>
      </c>
      <c r="CE124" s="254">
        <v>0</v>
      </c>
      <c r="CF124" s="254">
        <v>0</v>
      </c>
      <c r="CG124" s="254">
        <v>0</v>
      </c>
      <c r="CH124" s="254">
        <v>0</v>
      </c>
      <c r="CI124" s="254">
        <v>0</v>
      </c>
      <c r="CJ124" s="254">
        <v>0</v>
      </c>
      <c r="CK124" s="254">
        <v>0</v>
      </c>
      <c r="CL124" s="254">
        <v>0</v>
      </c>
      <c r="CM124" s="254">
        <v>0</v>
      </c>
      <c r="CN124" s="254">
        <v>0</v>
      </c>
      <c r="CO124" s="254">
        <v>0</v>
      </c>
      <c r="CP124" s="254">
        <v>0</v>
      </c>
      <c r="CQ124" s="116"/>
      <c r="CR124" s="255">
        <v>0</v>
      </c>
      <c r="CS124" s="255">
        <v>0</v>
      </c>
      <c r="CT124" s="255">
        <v>0</v>
      </c>
      <c r="CU124" s="255">
        <v>0</v>
      </c>
      <c r="CV124" s="255">
        <v>0</v>
      </c>
      <c r="CW124" s="255">
        <v>0</v>
      </c>
      <c r="CX124" s="255">
        <v>0</v>
      </c>
      <c r="CY124" s="255">
        <v>0</v>
      </c>
      <c r="CZ124" s="255">
        <v>0</v>
      </c>
      <c r="DA124" s="255">
        <v>0</v>
      </c>
      <c r="DB124" s="255">
        <v>0</v>
      </c>
      <c r="DC124" s="255">
        <v>0</v>
      </c>
      <c r="DD124" s="255">
        <v>0</v>
      </c>
      <c r="DE124" s="255">
        <v>0</v>
      </c>
      <c r="DF124" s="255">
        <v>0</v>
      </c>
      <c r="DG124" s="255">
        <v>0</v>
      </c>
      <c r="DH124" s="255">
        <v>13545.84</v>
      </c>
      <c r="DI124" s="255">
        <v>13956.32</v>
      </c>
      <c r="DJ124" s="255">
        <v>17650.64</v>
      </c>
      <c r="DK124" s="255">
        <v>12724.880000000001</v>
      </c>
      <c r="DL124" s="255">
        <v>13956.32</v>
      </c>
      <c r="DM124" s="255">
        <v>13956.32</v>
      </c>
      <c r="DN124" s="255">
        <v>13545.84</v>
      </c>
      <c r="DO124" s="255">
        <v>11493.44</v>
      </c>
      <c r="DP124" s="255">
        <v>19292.560000000001</v>
      </c>
      <c r="DQ124" s="255">
        <v>13135.36</v>
      </c>
      <c r="DR124" s="255">
        <v>13529.92</v>
      </c>
      <c r="DS124" s="255">
        <v>14798.35</v>
      </c>
      <c r="DT124" s="255">
        <v>16066.78</v>
      </c>
      <c r="DU124" s="255">
        <v>15643.97</v>
      </c>
      <c r="DV124" s="255">
        <v>14375.54</v>
      </c>
      <c r="DW124" s="255">
        <v>13952.73</v>
      </c>
      <c r="DX124" s="255">
        <v>14375.54</v>
      </c>
      <c r="DY124" s="255">
        <v>14375.54</v>
      </c>
      <c r="DZ124" s="255">
        <v>17335.21</v>
      </c>
      <c r="EA124" s="255">
        <v>10147.44</v>
      </c>
      <c r="EB124" s="255">
        <v>18180.830000000002</v>
      </c>
      <c r="EC124" s="255">
        <v>13529.92</v>
      </c>
      <c r="ED124" s="255">
        <v>15246</v>
      </c>
      <c r="EE124" s="255">
        <v>13939.2</v>
      </c>
      <c r="EF124" s="255">
        <v>18730.8</v>
      </c>
      <c r="EG124" s="255">
        <v>18730.8</v>
      </c>
      <c r="EH124" s="255">
        <v>13939.2</v>
      </c>
      <c r="EI124" s="255">
        <v>14810.400000000001</v>
      </c>
      <c r="EJ124" s="255">
        <v>0</v>
      </c>
      <c r="EK124" s="255">
        <v>0</v>
      </c>
      <c r="EL124" s="255">
        <v>0</v>
      </c>
      <c r="EM124" s="255">
        <v>0</v>
      </c>
      <c r="EN124" s="255">
        <v>0</v>
      </c>
      <c r="EO124" s="255">
        <v>0</v>
      </c>
      <c r="EP124" s="255">
        <v>0</v>
      </c>
      <c r="EQ124" s="255">
        <v>0</v>
      </c>
      <c r="ER124" s="255">
        <v>0</v>
      </c>
      <c r="ES124" s="255">
        <v>0</v>
      </c>
      <c r="ET124" s="255">
        <v>0</v>
      </c>
      <c r="EU124" s="255">
        <v>0</v>
      </c>
      <c r="EV124" s="255">
        <v>0</v>
      </c>
      <c r="EW124" s="255">
        <v>0</v>
      </c>
      <c r="EX124" s="255">
        <v>0</v>
      </c>
      <c r="EY124" s="255">
        <v>0</v>
      </c>
      <c r="EZ124" s="255">
        <v>0</v>
      </c>
      <c r="FA124" s="255">
        <v>0</v>
      </c>
      <c r="FB124" s="255">
        <v>0</v>
      </c>
      <c r="FC124" s="255">
        <v>0</v>
      </c>
      <c r="FD124" s="255">
        <v>0</v>
      </c>
      <c r="FE124" s="255">
        <v>0</v>
      </c>
      <c r="FF124" s="255">
        <v>0</v>
      </c>
      <c r="FG124" s="255">
        <v>0</v>
      </c>
      <c r="FH124" s="255">
        <v>0</v>
      </c>
      <c r="FI124" s="255">
        <v>0</v>
      </c>
      <c r="FJ124" s="255">
        <v>0</v>
      </c>
      <c r="FK124" s="255">
        <v>0</v>
      </c>
      <c r="FL124" s="255">
        <v>0</v>
      </c>
      <c r="FM124" s="255">
        <v>0</v>
      </c>
      <c r="FN124" s="255">
        <v>0</v>
      </c>
      <c r="FO124" s="255">
        <v>0</v>
      </c>
      <c r="FP124" s="255">
        <v>0</v>
      </c>
      <c r="FQ124" s="255">
        <v>0</v>
      </c>
      <c r="FR124" s="255">
        <v>0</v>
      </c>
      <c r="FS124" s="255">
        <v>0</v>
      </c>
      <c r="FT124" s="255">
        <v>0</v>
      </c>
      <c r="FU124" s="255">
        <v>0</v>
      </c>
      <c r="FV124" s="255">
        <v>0</v>
      </c>
      <c r="FW124" s="255">
        <v>0</v>
      </c>
      <c r="FX124" s="116"/>
    </row>
    <row r="125" spans="2:180" x14ac:dyDescent="0.2">
      <c r="B125" s="253" t="s">
        <v>231</v>
      </c>
      <c r="C125" s="253" t="s">
        <v>301</v>
      </c>
      <c r="D125" s="253" t="s">
        <v>258</v>
      </c>
      <c r="E125" s="253" t="s">
        <v>127</v>
      </c>
      <c r="F125" s="253" t="s">
        <v>259</v>
      </c>
      <c r="G125" s="253" t="s">
        <v>260</v>
      </c>
      <c r="H125" s="237">
        <v>210.04</v>
      </c>
      <c r="I125" s="126">
        <f t="shared" si="86"/>
        <v>153458.66200000001</v>
      </c>
      <c r="J125" s="116"/>
      <c r="K125" s="254">
        <v>0</v>
      </c>
      <c r="L125" s="254">
        <v>0</v>
      </c>
      <c r="M125" s="254">
        <v>0</v>
      </c>
      <c r="N125" s="254">
        <v>0</v>
      </c>
      <c r="O125" s="254">
        <v>0</v>
      </c>
      <c r="P125" s="254">
        <v>0</v>
      </c>
      <c r="Q125" s="254">
        <v>0</v>
      </c>
      <c r="R125" s="254">
        <v>0</v>
      </c>
      <c r="S125" s="254">
        <v>0</v>
      </c>
      <c r="T125" s="254">
        <v>0</v>
      </c>
      <c r="U125" s="254">
        <v>0</v>
      </c>
      <c r="V125" s="254">
        <v>0</v>
      </c>
      <c r="W125" s="254">
        <v>0</v>
      </c>
      <c r="X125" s="254">
        <v>0</v>
      </c>
      <c r="Y125" s="254">
        <v>0.1</v>
      </c>
      <c r="Z125" s="254">
        <v>0.13333333333333333</v>
      </c>
      <c r="AA125" s="254">
        <v>0.15657894736842107</v>
      </c>
      <c r="AB125" s="254">
        <v>0.16578947368421051</v>
      </c>
      <c r="AC125" s="254">
        <v>0.19</v>
      </c>
      <c r="AD125" s="254">
        <v>0.15</v>
      </c>
      <c r="AE125" s="254">
        <v>0.18</v>
      </c>
      <c r="AF125" s="254">
        <v>0.18</v>
      </c>
      <c r="AG125" s="254">
        <v>0.17</v>
      </c>
      <c r="AH125" s="254">
        <v>0.16</v>
      </c>
      <c r="AI125" s="254">
        <v>0.3066666666666667</v>
      </c>
      <c r="AJ125" s="254">
        <v>0.16</v>
      </c>
      <c r="AK125" s="254">
        <v>0.16</v>
      </c>
      <c r="AL125" s="254">
        <v>0.25333333333333335</v>
      </c>
      <c r="AM125" s="254">
        <v>0.16578947368421051</v>
      </c>
      <c r="AN125" s="254">
        <v>0.15657894736842107</v>
      </c>
      <c r="AO125" s="254">
        <v>0.18</v>
      </c>
      <c r="AP125" s="254">
        <v>0.17</v>
      </c>
      <c r="AQ125" s="254">
        <v>0.18</v>
      </c>
      <c r="AR125" s="254">
        <v>0.18</v>
      </c>
      <c r="AS125" s="254">
        <v>0.17</v>
      </c>
      <c r="AT125" s="254">
        <v>0.21333333333333332</v>
      </c>
      <c r="AU125" s="254">
        <v>0.25333333333333335</v>
      </c>
      <c r="AV125" s="254">
        <v>0.16</v>
      </c>
      <c r="AW125" s="254">
        <v>0.19</v>
      </c>
      <c r="AX125" s="254">
        <v>0.21333333333333332</v>
      </c>
      <c r="AY125" s="254">
        <v>0.17500000000000002</v>
      </c>
      <c r="AZ125" s="254">
        <v>0.17500000000000002</v>
      </c>
      <c r="BA125" s="254">
        <v>0.16</v>
      </c>
      <c r="BB125" s="254">
        <v>0.18</v>
      </c>
      <c r="BC125" s="254">
        <v>0</v>
      </c>
      <c r="BD125" s="254">
        <v>0</v>
      </c>
      <c r="BE125" s="254">
        <v>0</v>
      </c>
      <c r="BF125" s="254">
        <v>0</v>
      </c>
      <c r="BG125" s="254">
        <v>0</v>
      </c>
      <c r="BH125" s="254">
        <v>0</v>
      </c>
      <c r="BI125" s="254">
        <v>0</v>
      </c>
      <c r="BJ125" s="254">
        <v>0</v>
      </c>
      <c r="BK125" s="254">
        <v>0</v>
      </c>
      <c r="BL125" s="254">
        <v>0</v>
      </c>
      <c r="BM125" s="254">
        <v>0</v>
      </c>
      <c r="BN125" s="254">
        <v>0</v>
      </c>
      <c r="BO125" s="254">
        <v>0</v>
      </c>
      <c r="BP125" s="254">
        <v>0</v>
      </c>
      <c r="BQ125" s="254">
        <v>0</v>
      </c>
      <c r="BR125" s="254">
        <v>0</v>
      </c>
      <c r="BS125" s="254">
        <v>0</v>
      </c>
      <c r="BT125" s="254">
        <v>0</v>
      </c>
      <c r="BU125" s="254">
        <v>0</v>
      </c>
      <c r="BV125" s="254">
        <v>0</v>
      </c>
      <c r="BW125" s="254">
        <v>0</v>
      </c>
      <c r="BX125" s="254">
        <v>0</v>
      </c>
      <c r="BY125" s="254">
        <v>0</v>
      </c>
      <c r="BZ125" s="254">
        <v>0</v>
      </c>
      <c r="CA125" s="254">
        <v>0</v>
      </c>
      <c r="CB125" s="254">
        <v>0</v>
      </c>
      <c r="CC125" s="254">
        <v>0</v>
      </c>
      <c r="CD125" s="254">
        <v>0</v>
      </c>
      <c r="CE125" s="254">
        <v>0</v>
      </c>
      <c r="CF125" s="254">
        <v>0</v>
      </c>
      <c r="CG125" s="254">
        <v>0</v>
      </c>
      <c r="CH125" s="254">
        <v>0</v>
      </c>
      <c r="CI125" s="254">
        <v>0</v>
      </c>
      <c r="CJ125" s="254">
        <v>0</v>
      </c>
      <c r="CK125" s="254">
        <v>0</v>
      </c>
      <c r="CL125" s="254">
        <v>0</v>
      </c>
      <c r="CM125" s="254">
        <v>0</v>
      </c>
      <c r="CN125" s="254">
        <v>0</v>
      </c>
      <c r="CO125" s="254">
        <v>0</v>
      </c>
      <c r="CP125" s="254">
        <v>0</v>
      </c>
      <c r="CQ125" s="116"/>
      <c r="CR125" s="255">
        <v>0</v>
      </c>
      <c r="CS125" s="255">
        <v>0</v>
      </c>
      <c r="CT125" s="255">
        <v>0</v>
      </c>
      <c r="CU125" s="255">
        <v>0</v>
      </c>
      <c r="CV125" s="255">
        <v>0</v>
      </c>
      <c r="CW125" s="255">
        <v>0</v>
      </c>
      <c r="CX125" s="255">
        <v>0</v>
      </c>
      <c r="CY125" s="255">
        <v>0</v>
      </c>
      <c r="CZ125" s="255">
        <v>0</v>
      </c>
      <c r="DA125" s="255">
        <v>0</v>
      </c>
      <c r="DB125" s="255">
        <v>0</v>
      </c>
      <c r="DC125" s="255">
        <v>0</v>
      </c>
      <c r="DD125" s="255">
        <v>0</v>
      </c>
      <c r="DE125" s="255">
        <v>0</v>
      </c>
      <c r="DF125" s="255">
        <v>2940.56</v>
      </c>
      <c r="DG125" s="255">
        <v>2940.56</v>
      </c>
      <c r="DH125" s="255">
        <v>4998.9520000000002</v>
      </c>
      <c r="DI125" s="255">
        <v>5293.0079999999998</v>
      </c>
      <c r="DJ125" s="255">
        <v>5587.0640000000003</v>
      </c>
      <c r="DK125" s="255">
        <v>4410.84</v>
      </c>
      <c r="DL125" s="255">
        <v>5293.0079999999998</v>
      </c>
      <c r="DM125" s="255">
        <v>5293.0079999999998</v>
      </c>
      <c r="DN125" s="255">
        <v>4998.9520000000002</v>
      </c>
      <c r="DO125" s="255">
        <v>3528.672</v>
      </c>
      <c r="DP125" s="255">
        <v>6763.2880000000005</v>
      </c>
      <c r="DQ125" s="255">
        <v>4704.8959999999997</v>
      </c>
      <c r="DR125" s="255">
        <v>4848.0320000000002</v>
      </c>
      <c r="DS125" s="255">
        <v>5757.0380000000005</v>
      </c>
      <c r="DT125" s="255">
        <v>5454.0360000000001</v>
      </c>
      <c r="DU125" s="255">
        <v>5151.0340000000006</v>
      </c>
      <c r="DV125" s="255">
        <v>5454.0360000000001</v>
      </c>
      <c r="DW125" s="255">
        <v>5151.0340000000006</v>
      </c>
      <c r="DX125" s="255">
        <v>5454.0360000000001</v>
      </c>
      <c r="DY125" s="255">
        <v>5454.0360000000001</v>
      </c>
      <c r="DZ125" s="255">
        <v>5151.0340000000006</v>
      </c>
      <c r="EA125" s="255">
        <v>4848.0320000000002</v>
      </c>
      <c r="EB125" s="255">
        <v>5757.0380000000005</v>
      </c>
      <c r="EC125" s="255">
        <v>4848.0320000000002</v>
      </c>
      <c r="ED125" s="255">
        <v>5927.0119999999997</v>
      </c>
      <c r="EE125" s="255">
        <v>4991.1679999999997</v>
      </c>
      <c r="EF125" s="255">
        <v>5927.0119999999997</v>
      </c>
      <c r="EG125" s="255">
        <v>5927.0119999999997</v>
      </c>
      <c r="EH125" s="255">
        <v>4991.1679999999997</v>
      </c>
      <c r="EI125" s="255">
        <v>5615.0639999999994</v>
      </c>
      <c r="EJ125" s="255">
        <v>0</v>
      </c>
      <c r="EK125" s="255">
        <v>0</v>
      </c>
      <c r="EL125" s="255">
        <v>0</v>
      </c>
      <c r="EM125" s="255">
        <v>0</v>
      </c>
      <c r="EN125" s="255">
        <v>0</v>
      </c>
      <c r="EO125" s="255">
        <v>0</v>
      </c>
      <c r="EP125" s="255">
        <v>0</v>
      </c>
      <c r="EQ125" s="255">
        <v>0</v>
      </c>
      <c r="ER125" s="255">
        <v>0</v>
      </c>
      <c r="ES125" s="255">
        <v>0</v>
      </c>
      <c r="ET125" s="255">
        <v>0</v>
      </c>
      <c r="EU125" s="255">
        <v>0</v>
      </c>
      <c r="EV125" s="255">
        <v>0</v>
      </c>
      <c r="EW125" s="255">
        <v>0</v>
      </c>
      <c r="EX125" s="255">
        <v>0</v>
      </c>
      <c r="EY125" s="255">
        <v>0</v>
      </c>
      <c r="EZ125" s="255">
        <v>0</v>
      </c>
      <c r="FA125" s="255">
        <v>0</v>
      </c>
      <c r="FB125" s="255">
        <v>0</v>
      </c>
      <c r="FC125" s="255">
        <v>0</v>
      </c>
      <c r="FD125" s="255">
        <v>0</v>
      </c>
      <c r="FE125" s="255">
        <v>0</v>
      </c>
      <c r="FF125" s="255">
        <v>0</v>
      </c>
      <c r="FG125" s="255">
        <v>0</v>
      </c>
      <c r="FH125" s="255">
        <v>0</v>
      </c>
      <c r="FI125" s="255">
        <v>0</v>
      </c>
      <c r="FJ125" s="255">
        <v>0</v>
      </c>
      <c r="FK125" s="255">
        <v>0</v>
      </c>
      <c r="FL125" s="255">
        <v>0</v>
      </c>
      <c r="FM125" s="255">
        <v>0</v>
      </c>
      <c r="FN125" s="255">
        <v>0</v>
      </c>
      <c r="FO125" s="255">
        <v>0</v>
      </c>
      <c r="FP125" s="255">
        <v>0</v>
      </c>
      <c r="FQ125" s="255">
        <v>0</v>
      </c>
      <c r="FR125" s="255">
        <v>0</v>
      </c>
      <c r="FS125" s="255">
        <v>0</v>
      </c>
      <c r="FT125" s="255">
        <v>0</v>
      </c>
      <c r="FU125" s="255">
        <v>0</v>
      </c>
      <c r="FV125" s="255">
        <v>0</v>
      </c>
      <c r="FW125" s="255">
        <v>0</v>
      </c>
      <c r="FX125" s="116"/>
    </row>
    <row r="126" spans="2:180" x14ac:dyDescent="0.2">
      <c r="B126" s="253" t="s">
        <v>231</v>
      </c>
      <c r="C126" s="253" t="s">
        <v>301</v>
      </c>
      <c r="D126" s="253" t="s">
        <v>258</v>
      </c>
      <c r="E126" s="253" t="s">
        <v>127</v>
      </c>
      <c r="F126" s="253">
        <v>0</v>
      </c>
      <c r="G126" s="253" t="s">
        <v>322</v>
      </c>
      <c r="H126" s="237">
        <v>210.04</v>
      </c>
      <c r="I126" s="126">
        <f t="shared" si="86"/>
        <v>254821.32600000003</v>
      </c>
      <c r="J126" s="116"/>
      <c r="K126" s="254">
        <v>0</v>
      </c>
      <c r="L126" s="254">
        <v>0</v>
      </c>
      <c r="M126" s="254">
        <v>0</v>
      </c>
      <c r="N126" s="254">
        <v>0</v>
      </c>
      <c r="O126" s="254">
        <v>0</v>
      </c>
      <c r="P126" s="254">
        <v>0</v>
      </c>
      <c r="Q126" s="254">
        <v>0</v>
      </c>
      <c r="R126" s="254">
        <v>0</v>
      </c>
      <c r="S126" s="254">
        <v>0</v>
      </c>
      <c r="T126" s="254">
        <v>0</v>
      </c>
      <c r="U126" s="254">
        <v>0</v>
      </c>
      <c r="V126" s="254">
        <v>0</v>
      </c>
      <c r="W126" s="254">
        <v>0</v>
      </c>
      <c r="X126" s="254">
        <v>0</v>
      </c>
      <c r="Y126" s="254">
        <v>0</v>
      </c>
      <c r="Z126" s="254">
        <v>0</v>
      </c>
      <c r="AA126" s="254">
        <v>0.13026315789473686</v>
      </c>
      <c r="AB126" s="254">
        <v>0.13421052631578947</v>
      </c>
      <c r="AC126" s="254">
        <v>0.1842857142857143</v>
      </c>
      <c r="AD126" s="254">
        <v>0.13285714285714287</v>
      </c>
      <c r="AE126" s="254">
        <v>0.14571428571428571</v>
      </c>
      <c r="AF126" s="254">
        <v>0.14571428571428571</v>
      </c>
      <c r="AG126" s="254">
        <v>0.14142857142857143</v>
      </c>
      <c r="AH126" s="254">
        <v>0.16</v>
      </c>
      <c r="AI126" s="254">
        <v>0.26857142857142857</v>
      </c>
      <c r="AJ126" s="254">
        <v>0.13714285714285715</v>
      </c>
      <c r="AK126" s="254">
        <v>0.13714285714285715</v>
      </c>
      <c r="AL126" s="254">
        <v>0.2</v>
      </c>
      <c r="AM126" s="254">
        <v>0.15</v>
      </c>
      <c r="AN126" s="254">
        <v>0.14605263157894735</v>
      </c>
      <c r="AO126" s="254">
        <v>0.14571428571428571</v>
      </c>
      <c r="AP126" s="254">
        <v>0.14142857142857143</v>
      </c>
      <c r="AQ126" s="254">
        <v>0.14571428571428571</v>
      </c>
      <c r="AR126" s="254">
        <v>0.14571428571428571</v>
      </c>
      <c r="AS126" s="254">
        <v>0.17571428571428571</v>
      </c>
      <c r="AT126" s="254">
        <v>0.13714285714285715</v>
      </c>
      <c r="AU126" s="254">
        <v>0.24571428571428572</v>
      </c>
      <c r="AV126" s="254">
        <v>0.13714285714285715</v>
      </c>
      <c r="AW126" s="254">
        <v>0.15</v>
      </c>
      <c r="AX126" s="254">
        <v>0.18285714285714286</v>
      </c>
      <c r="AY126" s="254">
        <v>0.16973684210526316</v>
      </c>
      <c r="AZ126" s="254">
        <v>0.16973684210526316</v>
      </c>
      <c r="BA126" s="254">
        <v>0.13714285714285715</v>
      </c>
      <c r="BB126" s="254">
        <v>0.14571428571428571</v>
      </c>
      <c r="BC126" s="254">
        <v>0</v>
      </c>
      <c r="BD126" s="254">
        <v>0</v>
      </c>
      <c r="BE126" s="254">
        <v>0</v>
      </c>
      <c r="BF126" s="254">
        <v>0</v>
      </c>
      <c r="BG126" s="254">
        <v>0</v>
      </c>
      <c r="BH126" s="254">
        <v>0</v>
      </c>
      <c r="BI126" s="254">
        <v>0</v>
      </c>
      <c r="BJ126" s="254">
        <v>0</v>
      </c>
      <c r="BK126" s="254">
        <v>0</v>
      </c>
      <c r="BL126" s="254">
        <v>0</v>
      </c>
      <c r="BM126" s="254">
        <v>0</v>
      </c>
      <c r="BN126" s="254">
        <v>0</v>
      </c>
      <c r="BO126" s="254">
        <v>0</v>
      </c>
      <c r="BP126" s="254">
        <v>0</v>
      </c>
      <c r="BQ126" s="254">
        <v>0</v>
      </c>
      <c r="BR126" s="254">
        <v>0</v>
      </c>
      <c r="BS126" s="254">
        <v>0</v>
      </c>
      <c r="BT126" s="254">
        <v>0</v>
      </c>
      <c r="BU126" s="254">
        <v>0</v>
      </c>
      <c r="BV126" s="254">
        <v>0</v>
      </c>
      <c r="BW126" s="254">
        <v>0</v>
      </c>
      <c r="BX126" s="254">
        <v>0</v>
      </c>
      <c r="BY126" s="254">
        <v>0</v>
      </c>
      <c r="BZ126" s="254">
        <v>0</v>
      </c>
      <c r="CA126" s="254">
        <v>0</v>
      </c>
      <c r="CB126" s="254">
        <v>0</v>
      </c>
      <c r="CC126" s="254">
        <v>0</v>
      </c>
      <c r="CD126" s="254">
        <v>0</v>
      </c>
      <c r="CE126" s="254">
        <v>0</v>
      </c>
      <c r="CF126" s="254">
        <v>0</v>
      </c>
      <c r="CG126" s="254">
        <v>0</v>
      </c>
      <c r="CH126" s="254">
        <v>0</v>
      </c>
      <c r="CI126" s="254">
        <v>0</v>
      </c>
      <c r="CJ126" s="254">
        <v>0</v>
      </c>
      <c r="CK126" s="254">
        <v>0</v>
      </c>
      <c r="CL126" s="254">
        <v>0</v>
      </c>
      <c r="CM126" s="254">
        <v>0</v>
      </c>
      <c r="CN126" s="254">
        <v>0</v>
      </c>
      <c r="CO126" s="254">
        <v>0</v>
      </c>
      <c r="CP126" s="254">
        <v>0</v>
      </c>
      <c r="CQ126" s="116"/>
      <c r="CR126" s="255">
        <v>0</v>
      </c>
      <c r="CS126" s="255">
        <v>0</v>
      </c>
      <c r="CT126" s="255">
        <v>0</v>
      </c>
      <c r="CU126" s="255">
        <v>0</v>
      </c>
      <c r="CV126" s="255">
        <v>0</v>
      </c>
      <c r="CW126" s="255">
        <v>0</v>
      </c>
      <c r="CX126" s="255">
        <v>0</v>
      </c>
      <c r="CY126" s="255">
        <v>0</v>
      </c>
      <c r="CZ126" s="255">
        <v>0</v>
      </c>
      <c r="DA126" s="255">
        <v>0</v>
      </c>
      <c r="DB126" s="255">
        <v>0</v>
      </c>
      <c r="DC126" s="255">
        <v>0</v>
      </c>
      <c r="DD126" s="255">
        <v>0</v>
      </c>
      <c r="DE126" s="255">
        <v>0</v>
      </c>
      <c r="DF126" s="255">
        <v>0</v>
      </c>
      <c r="DG126" s="255">
        <v>0</v>
      </c>
      <c r="DH126" s="255">
        <v>8317.3860000000004</v>
      </c>
      <c r="DI126" s="255">
        <v>8569.4279999999999</v>
      </c>
      <c r="DJ126" s="255">
        <v>10837.806</v>
      </c>
      <c r="DK126" s="255">
        <v>7813.3020000000006</v>
      </c>
      <c r="DL126" s="255">
        <v>8569.4279999999999</v>
      </c>
      <c r="DM126" s="255">
        <v>8569.4279999999999</v>
      </c>
      <c r="DN126" s="255">
        <v>8317.3860000000004</v>
      </c>
      <c r="DO126" s="255">
        <v>7057.1760000000004</v>
      </c>
      <c r="DP126" s="255">
        <v>11845.974</v>
      </c>
      <c r="DQ126" s="255">
        <v>8065.3439999999991</v>
      </c>
      <c r="DR126" s="255">
        <v>8310.9120000000003</v>
      </c>
      <c r="DS126" s="255">
        <v>9090.06</v>
      </c>
      <c r="DT126" s="255">
        <v>9869.2080000000005</v>
      </c>
      <c r="DU126" s="255">
        <v>9609.4920000000002</v>
      </c>
      <c r="DV126" s="255">
        <v>8830.3439999999991</v>
      </c>
      <c r="DW126" s="255">
        <v>8570.6280000000006</v>
      </c>
      <c r="DX126" s="255">
        <v>8830.3439999999991</v>
      </c>
      <c r="DY126" s="255">
        <v>8830.3439999999991</v>
      </c>
      <c r="DZ126" s="255">
        <v>10648.356000000002</v>
      </c>
      <c r="EA126" s="255">
        <v>6233.1840000000002</v>
      </c>
      <c r="EB126" s="255">
        <v>11167.788</v>
      </c>
      <c r="EC126" s="255">
        <v>8310.9120000000003</v>
      </c>
      <c r="ED126" s="255">
        <v>9358.44</v>
      </c>
      <c r="EE126" s="255">
        <v>8556.2879999999986</v>
      </c>
      <c r="EF126" s="255">
        <v>11497.512000000001</v>
      </c>
      <c r="EG126" s="255">
        <v>11497.512000000001</v>
      </c>
      <c r="EH126" s="255">
        <v>8556.2879999999986</v>
      </c>
      <c r="EI126" s="255">
        <v>9091.0559999999987</v>
      </c>
      <c r="EJ126" s="255">
        <v>0</v>
      </c>
      <c r="EK126" s="255">
        <v>0</v>
      </c>
      <c r="EL126" s="255">
        <v>0</v>
      </c>
      <c r="EM126" s="255">
        <v>0</v>
      </c>
      <c r="EN126" s="255">
        <v>0</v>
      </c>
      <c r="EO126" s="255">
        <v>0</v>
      </c>
      <c r="EP126" s="255">
        <v>0</v>
      </c>
      <c r="EQ126" s="255">
        <v>0</v>
      </c>
      <c r="ER126" s="255">
        <v>0</v>
      </c>
      <c r="ES126" s="255">
        <v>0</v>
      </c>
      <c r="ET126" s="255">
        <v>0</v>
      </c>
      <c r="EU126" s="255">
        <v>0</v>
      </c>
      <c r="EV126" s="255">
        <v>0</v>
      </c>
      <c r="EW126" s="255">
        <v>0</v>
      </c>
      <c r="EX126" s="255">
        <v>0</v>
      </c>
      <c r="EY126" s="255">
        <v>0</v>
      </c>
      <c r="EZ126" s="255">
        <v>0</v>
      </c>
      <c r="FA126" s="255">
        <v>0</v>
      </c>
      <c r="FB126" s="255">
        <v>0</v>
      </c>
      <c r="FC126" s="255">
        <v>0</v>
      </c>
      <c r="FD126" s="255">
        <v>0</v>
      </c>
      <c r="FE126" s="255">
        <v>0</v>
      </c>
      <c r="FF126" s="255">
        <v>0</v>
      </c>
      <c r="FG126" s="255">
        <v>0</v>
      </c>
      <c r="FH126" s="255">
        <v>0</v>
      </c>
      <c r="FI126" s="255">
        <v>0</v>
      </c>
      <c r="FJ126" s="255">
        <v>0</v>
      </c>
      <c r="FK126" s="255">
        <v>0</v>
      </c>
      <c r="FL126" s="255">
        <v>0</v>
      </c>
      <c r="FM126" s="255">
        <v>0</v>
      </c>
      <c r="FN126" s="255">
        <v>0</v>
      </c>
      <c r="FO126" s="255">
        <v>0</v>
      </c>
      <c r="FP126" s="255">
        <v>0</v>
      </c>
      <c r="FQ126" s="255">
        <v>0</v>
      </c>
      <c r="FR126" s="255">
        <v>0</v>
      </c>
      <c r="FS126" s="255">
        <v>0</v>
      </c>
      <c r="FT126" s="255">
        <v>0</v>
      </c>
      <c r="FU126" s="255">
        <v>0</v>
      </c>
      <c r="FV126" s="255">
        <v>0</v>
      </c>
      <c r="FW126" s="255">
        <v>0</v>
      </c>
      <c r="FX126" s="116"/>
    </row>
    <row r="127" spans="2:180" x14ac:dyDescent="0.2">
      <c r="B127" s="253" t="s">
        <v>231</v>
      </c>
      <c r="C127" s="253" t="s">
        <v>301</v>
      </c>
      <c r="D127" s="253" t="s">
        <v>258</v>
      </c>
      <c r="E127" s="253" t="s">
        <v>127</v>
      </c>
      <c r="F127" s="253" t="s">
        <v>263</v>
      </c>
      <c r="G127" s="253" t="s">
        <v>260</v>
      </c>
      <c r="H127" s="237">
        <v>210.04</v>
      </c>
      <c r="I127" s="126">
        <f t="shared" si="86"/>
        <v>147577.54200000004</v>
      </c>
      <c r="J127" s="116"/>
      <c r="K127" s="254">
        <v>0</v>
      </c>
      <c r="L127" s="254">
        <v>0</v>
      </c>
      <c r="M127" s="254">
        <v>0</v>
      </c>
      <c r="N127" s="254">
        <v>0</v>
      </c>
      <c r="O127" s="254">
        <v>0</v>
      </c>
      <c r="P127" s="254">
        <v>0</v>
      </c>
      <c r="Q127" s="254">
        <v>0</v>
      </c>
      <c r="R127" s="254">
        <v>0</v>
      </c>
      <c r="S127" s="254">
        <v>0</v>
      </c>
      <c r="T127" s="254">
        <v>0</v>
      </c>
      <c r="U127" s="254">
        <v>0</v>
      </c>
      <c r="V127" s="254">
        <v>0</v>
      </c>
      <c r="W127" s="254">
        <v>0</v>
      </c>
      <c r="X127" s="254">
        <v>0</v>
      </c>
      <c r="Y127" s="254">
        <v>0</v>
      </c>
      <c r="Z127" s="254">
        <v>0</v>
      </c>
      <c r="AA127" s="254">
        <v>0.15657894736842107</v>
      </c>
      <c r="AB127" s="254">
        <v>0.16578947368421051</v>
      </c>
      <c r="AC127" s="254">
        <v>0.19</v>
      </c>
      <c r="AD127" s="254">
        <v>0.15</v>
      </c>
      <c r="AE127" s="254">
        <v>0.18</v>
      </c>
      <c r="AF127" s="254">
        <v>0.18</v>
      </c>
      <c r="AG127" s="254">
        <v>0.17</v>
      </c>
      <c r="AH127" s="254">
        <v>0.16</v>
      </c>
      <c r="AI127" s="254">
        <v>0.3066666666666667</v>
      </c>
      <c r="AJ127" s="254">
        <v>0.16</v>
      </c>
      <c r="AK127" s="254">
        <v>0.16</v>
      </c>
      <c r="AL127" s="254">
        <v>0.25333333333333335</v>
      </c>
      <c r="AM127" s="254">
        <v>0.16578947368421051</v>
      </c>
      <c r="AN127" s="254">
        <v>0.15657894736842107</v>
      </c>
      <c r="AO127" s="254">
        <v>0.18</v>
      </c>
      <c r="AP127" s="254">
        <v>0.17</v>
      </c>
      <c r="AQ127" s="254">
        <v>0.18</v>
      </c>
      <c r="AR127" s="254">
        <v>0.18</v>
      </c>
      <c r="AS127" s="254">
        <v>0.17</v>
      </c>
      <c r="AT127" s="254">
        <v>0.21333333333333332</v>
      </c>
      <c r="AU127" s="254">
        <v>0.25333333333333335</v>
      </c>
      <c r="AV127" s="254">
        <v>0.16</v>
      </c>
      <c r="AW127" s="254">
        <v>0.19</v>
      </c>
      <c r="AX127" s="254">
        <v>0.21333333333333332</v>
      </c>
      <c r="AY127" s="254">
        <v>0.17500000000000002</v>
      </c>
      <c r="AZ127" s="254">
        <v>0.17500000000000002</v>
      </c>
      <c r="BA127" s="254">
        <v>0.16</v>
      </c>
      <c r="BB127" s="254">
        <v>0.18</v>
      </c>
      <c r="BC127" s="254">
        <v>0</v>
      </c>
      <c r="BD127" s="254">
        <v>0</v>
      </c>
      <c r="BE127" s="254">
        <v>0</v>
      </c>
      <c r="BF127" s="254">
        <v>0</v>
      </c>
      <c r="BG127" s="254">
        <v>0</v>
      </c>
      <c r="BH127" s="254">
        <v>0</v>
      </c>
      <c r="BI127" s="254">
        <v>0</v>
      </c>
      <c r="BJ127" s="254">
        <v>0</v>
      </c>
      <c r="BK127" s="254">
        <v>0</v>
      </c>
      <c r="BL127" s="254">
        <v>0</v>
      </c>
      <c r="BM127" s="254">
        <v>0</v>
      </c>
      <c r="BN127" s="254">
        <v>0</v>
      </c>
      <c r="BO127" s="254">
        <v>0</v>
      </c>
      <c r="BP127" s="254">
        <v>0</v>
      </c>
      <c r="BQ127" s="254">
        <v>0</v>
      </c>
      <c r="BR127" s="254">
        <v>0</v>
      </c>
      <c r="BS127" s="254">
        <v>0</v>
      </c>
      <c r="BT127" s="254">
        <v>0</v>
      </c>
      <c r="BU127" s="254">
        <v>0</v>
      </c>
      <c r="BV127" s="254">
        <v>0</v>
      </c>
      <c r="BW127" s="254">
        <v>0</v>
      </c>
      <c r="BX127" s="254">
        <v>0</v>
      </c>
      <c r="BY127" s="254">
        <v>0</v>
      </c>
      <c r="BZ127" s="254">
        <v>0</v>
      </c>
      <c r="CA127" s="254">
        <v>0</v>
      </c>
      <c r="CB127" s="254">
        <v>0</v>
      </c>
      <c r="CC127" s="254">
        <v>0</v>
      </c>
      <c r="CD127" s="254">
        <v>0</v>
      </c>
      <c r="CE127" s="254">
        <v>0</v>
      </c>
      <c r="CF127" s="254">
        <v>0</v>
      </c>
      <c r="CG127" s="254">
        <v>0</v>
      </c>
      <c r="CH127" s="254">
        <v>0</v>
      </c>
      <c r="CI127" s="254">
        <v>0</v>
      </c>
      <c r="CJ127" s="254">
        <v>0</v>
      </c>
      <c r="CK127" s="254">
        <v>0</v>
      </c>
      <c r="CL127" s="254">
        <v>0</v>
      </c>
      <c r="CM127" s="254">
        <v>0</v>
      </c>
      <c r="CN127" s="254">
        <v>0</v>
      </c>
      <c r="CO127" s="254">
        <v>0</v>
      </c>
      <c r="CP127" s="254">
        <v>0</v>
      </c>
      <c r="CQ127" s="116"/>
      <c r="CR127" s="255">
        <v>0</v>
      </c>
      <c r="CS127" s="255">
        <v>0</v>
      </c>
      <c r="CT127" s="255">
        <v>0</v>
      </c>
      <c r="CU127" s="255">
        <v>0</v>
      </c>
      <c r="CV127" s="255">
        <v>0</v>
      </c>
      <c r="CW127" s="255">
        <v>0</v>
      </c>
      <c r="CX127" s="255">
        <v>0</v>
      </c>
      <c r="CY127" s="255">
        <v>0</v>
      </c>
      <c r="CZ127" s="255">
        <v>0</v>
      </c>
      <c r="DA127" s="255">
        <v>0</v>
      </c>
      <c r="DB127" s="255">
        <v>0</v>
      </c>
      <c r="DC127" s="255">
        <v>0</v>
      </c>
      <c r="DD127" s="255">
        <v>0</v>
      </c>
      <c r="DE127" s="255">
        <v>0</v>
      </c>
      <c r="DF127" s="255">
        <v>0</v>
      </c>
      <c r="DG127" s="255">
        <v>0</v>
      </c>
      <c r="DH127" s="255">
        <v>4998.9520000000002</v>
      </c>
      <c r="DI127" s="255">
        <v>5293.0079999999998</v>
      </c>
      <c r="DJ127" s="255">
        <v>5587.0640000000003</v>
      </c>
      <c r="DK127" s="255">
        <v>4410.84</v>
      </c>
      <c r="DL127" s="255">
        <v>5293.0079999999998</v>
      </c>
      <c r="DM127" s="255">
        <v>5293.0079999999998</v>
      </c>
      <c r="DN127" s="255">
        <v>4998.9520000000002</v>
      </c>
      <c r="DO127" s="255">
        <v>3528.672</v>
      </c>
      <c r="DP127" s="255">
        <v>6763.2880000000005</v>
      </c>
      <c r="DQ127" s="255">
        <v>4704.8959999999997</v>
      </c>
      <c r="DR127" s="255">
        <v>4848.0320000000002</v>
      </c>
      <c r="DS127" s="255">
        <v>5757.0380000000005</v>
      </c>
      <c r="DT127" s="255">
        <v>5454.0360000000001</v>
      </c>
      <c r="DU127" s="255">
        <v>5151.0340000000006</v>
      </c>
      <c r="DV127" s="255">
        <v>5454.0360000000001</v>
      </c>
      <c r="DW127" s="255">
        <v>5151.0340000000006</v>
      </c>
      <c r="DX127" s="255">
        <v>5454.0360000000001</v>
      </c>
      <c r="DY127" s="255">
        <v>5454.0360000000001</v>
      </c>
      <c r="DZ127" s="255">
        <v>5151.0340000000006</v>
      </c>
      <c r="EA127" s="255">
        <v>4848.0320000000002</v>
      </c>
      <c r="EB127" s="255">
        <v>5757.0380000000005</v>
      </c>
      <c r="EC127" s="255">
        <v>4848.0320000000002</v>
      </c>
      <c r="ED127" s="255">
        <v>5927.0119999999997</v>
      </c>
      <c r="EE127" s="255">
        <v>4991.1679999999997</v>
      </c>
      <c r="EF127" s="255">
        <v>5927.0119999999997</v>
      </c>
      <c r="EG127" s="255">
        <v>5927.0119999999997</v>
      </c>
      <c r="EH127" s="255">
        <v>4991.1679999999997</v>
      </c>
      <c r="EI127" s="255">
        <v>5615.0639999999994</v>
      </c>
      <c r="EJ127" s="255">
        <v>0</v>
      </c>
      <c r="EK127" s="255">
        <v>0</v>
      </c>
      <c r="EL127" s="255">
        <v>0</v>
      </c>
      <c r="EM127" s="255">
        <v>0</v>
      </c>
      <c r="EN127" s="255">
        <v>0</v>
      </c>
      <c r="EO127" s="255">
        <v>0</v>
      </c>
      <c r="EP127" s="255">
        <v>0</v>
      </c>
      <c r="EQ127" s="255">
        <v>0</v>
      </c>
      <c r="ER127" s="255">
        <v>0</v>
      </c>
      <c r="ES127" s="255">
        <v>0</v>
      </c>
      <c r="ET127" s="255">
        <v>0</v>
      </c>
      <c r="EU127" s="255">
        <v>0</v>
      </c>
      <c r="EV127" s="255">
        <v>0</v>
      </c>
      <c r="EW127" s="255">
        <v>0</v>
      </c>
      <c r="EX127" s="255">
        <v>0</v>
      </c>
      <c r="EY127" s="255">
        <v>0</v>
      </c>
      <c r="EZ127" s="255">
        <v>0</v>
      </c>
      <c r="FA127" s="255">
        <v>0</v>
      </c>
      <c r="FB127" s="255">
        <v>0</v>
      </c>
      <c r="FC127" s="255">
        <v>0</v>
      </c>
      <c r="FD127" s="255">
        <v>0</v>
      </c>
      <c r="FE127" s="255">
        <v>0</v>
      </c>
      <c r="FF127" s="255">
        <v>0</v>
      </c>
      <c r="FG127" s="255">
        <v>0</v>
      </c>
      <c r="FH127" s="255">
        <v>0</v>
      </c>
      <c r="FI127" s="255">
        <v>0</v>
      </c>
      <c r="FJ127" s="255">
        <v>0</v>
      </c>
      <c r="FK127" s="255">
        <v>0</v>
      </c>
      <c r="FL127" s="255">
        <v>0</v>
      </c>
      <c r="FM127" s="255">
        <v>0</v>
      </c>
      <c r="FN127" s="255">
        <v>0</v>
      </c>
      <c r="FO127" s="255">
        <v>0</v>
      </c>
      <c r="FP127" s="255">
        <v>0</v>
      </c>
      <c r="FQ127" s="255">
        <v>0</v>
      </c>
      <c r="FR127" s="255">
        <v>0</v>
      </c>
      <c r="FS127" s="255">
        <v>0</v>
      </c>
      <c r="FT127" s="255">
        <v>0</v>
      </c>
      <c r="FU127" s="255">
        <v>0</v>
      </c>
      <c r="FV127" s="255">
        <v>0</v>
      </c>
      <c r="FW127" s="255">
        <v>0</v>
      </c>
      <c r="FX127" s="116"/>
    </row>
    <row r="128" spans="2:180" x14ac:dyDescent="0.2">
      <c r="B128" s="253" t="s">
        <v>231</v>
      </c>
      <c r="C128" s="253" t="s">
        <v>301</v>
      </c>
      <c r="D128" s="253" t="s">
        <v>258</v>
      </c>
      <c r="E128" s="253" t="s">
        <v>127</v>
      </c>
      <c r="F128" s="253">
        <v>0</v>
      </c>
      <c r="G128" s="253" t="s">
        <v>322</v>
      </c>
      <c r="H128" s="237">
        <v>210.04</v>
      </c>
      <c r="I128" s="126">
        <f t="shared" si="86"/>
        <v>254821.32600000003</v>
      </c>
      <c r="J128" s="116"/>
      <c r="K128" s="254">
        <v>0</v>
      </c>
      <c r="L128" s="254">
        <v>0</v>
      </c>
      <c r="M128" s="254">
        <v>0</v>
      </c>
      <c r="N128" s="254">
        <v>0</v>
      </c>
      <c r="O128" s="254">
        <v>0</v>
      </c>
      <c r="P128" s="254">
        <v>0</v>
      </c>
      <c r="Q128" s="254">
        <v>0</v>
      </c>
      <c r="R128" s="254">
        <v>0</v>
      </c>
      <c r="S128" s="254">
        <v>0</v>
      </c>
      <c r="T128" s="254">
        <v>0</v>
      </c>
      <c r="U128" s="254">
        <v>0</v>
      </c>
      <c r="V128" s="254">
        <v>0</v>
      </c>
      <c r="W128" s="254">
        <v>0</v>
      </c>
      <c r="X128" s="254">
        <v>0</v>
      </c>
      <c r="Y128" s="254">
        <v>0</v>
      </c>
      <c r="Z128" s="254">
        <v>0</v>
      </c>
      <c r="AA128" s="254">
        <v>0.13026315789473686</v>
      </c>
      <c r="AB128" s="254">
        <v>0.13421052631578947</v>
      </c>
      <c r="AC128" s="254">
        <v>0.1842857142857143</v>
      </c>
      <c r="AD128" s="254">
        <v>0.13285714285714287</v>
      </c>
      <c r="AE128" s="254">
        <v>0.14571428571428571</v>
      </c>
      <c r="AF128" s="254">
        <v>0.14571428571428571</v>
      </c>
      <c r="AG128" s="254">
        <v>0.14142857142857143</v>
      </c>
      <c r="AH128" s="254">
        <v>0.16</v>
      </c>
      <c r="AI128" s="254">
        <v>0.26857142857142857</v>
      </c>
      <c r="AJ128" s="254">
        <v>0.13714285714285715</v>
      </c>
      <c r="AK128" s="254">
        <v>0.13714285714285715</v>
      </c>
      <c r="AL128" s="254">
        <v>0.2</v>
      </c>
      <c r="AM128" s="254">
        <v>0.15</v>
      </c>
      <c r="AN128" s="254">
        <v>0.14605263157894735</v>
      </c>
      <c r="AO128" s="254">
        <v>0.14571428571428571</v>
      </c>
      <c r="AP128" s="254">
        <v>0.14142857142857143</v>
      </c>
      <c r="AQ128" s="254">
        <v>0.14571428571428571</v>
      </c>
      <c r="AR128" s="254">
        <v>0.14571428571428571</v>
      </c>
      <c r="AS128" s="254">
        <v>0.17571428571428571</v>
      </c>
      <c r="AT128" s="254">
        <v>0.13714285714285715</v>
      </c>
      <c r="AU128" s="254">
        <v>0.24571428571428572</v>
      </c>
      <c r="AV128" s="254">
        <v>0.13714285714285715</v>
      </c>
      <c r="AW128" s="254">
        <v>0.15</v>
      </c>
      <c r="AX128" s="254">
        <v>0.18285714285714286</v>
      </c>
      <c r="AY128" s="254">
        <v>0.16973684210526316</v>
      </c>
      <c r="AZ128" s="254">
        <v>0.16973684210526316</v>
      </c>
      <c r="BA128" s="254">
        <v>0.13714285714285715</v>
      </c>
      <c r="BB128" s="254">
        <v>0.14571428571428571</v>
      </c>
      <c r="BC128" s="254">
        <v>0</v>
      </c>
      <c r="BD128" s="254">
        <v>0</v>
      </c>
      <c r="BE128" s="254">
        <v>0</v>
      </c>
      <c r="BF128" s="254">
        <v>0</v>
      </c>
      <c r="BG128" s="254">
        <v>0</v>
      </c>
      <c r="BH128" s="254">
        <v>0</v>
      </c>
      <c r="BI128" s="254">
        <v>0</v>
      </c>
      <c r="BJ128" s="254">
        <v>0</v>
      </c>
      <c r="BK128" s="254">
        <v>0</v>
      </c>
      <c r="BL128" s="254">
        <v>0</v>
      </c>
      <c r="BM128" s="254">
        <v>0</v>
      </c>
      <c r="BN128" s="254">
        <v>0</v>
      </c>
      <c r="BO128" s="254">
        <v>0</v>
      </c>
      <c r="BP128" s="254">
        <v>0</v>
      </c>
      <c r="BQ128" s="254">
        <v>0</v>
      </c>
      <c r="BR128" s="254">
        <v>0</v>
      </c>
      <c r="BS128" s="254">
        <v>0</v>
      </c>
      <c r="BT128" s="254">
        <v>0</v>
      </c>
      <c r="BU128" s="254">
        <v>0</v>
      </c>
      <c r="BV128" s="254">
        <v>0</v>
      </c>
      <c r="BW128" s="254">
        <v>0</v>
      </c>
      <c r="BX128" s="254">
        <v>0</v>
      </c>
      <c r="BY128" s="254">
        <v>0</v>
      </c>
      <c r="BZ128" s="254">
        <v>0</v>
      </c>
      <c r="CA128" s="254">
        <v>0</v>
      </c>
      <c r="CB128" s="254">
        <v>0</v>
      </c>
      <c r="CC128" s="254">
        <v>0</v>
      </c>
      <c r="CD128" s="254">
        <v>0</v>
      </c>
      <c r="CE128" s="254">
        <v>0</v>
      </c>
      <c r="CF128" s="254">
        <v>0</v>
      </c>
      <c r="CG128" s="254">
        <v>0</v>
      </c>
      <c r="CH128" s="254">
        <v>0</v>
      </c>
      <c r="CI128" s="254">
        <v>0</v>
      </c>
      <c r="CJ128" s="254">
        <v>0</v>
      </c>
      <c r="CK128" s="254">
        <v>0</v>
      </c>
      <c r="CL128" s="254">
        <v>0</v>
      </c>
      <c r="CM128" s="254">
        <v>0</v>
      </c>
      <c r="CN128" s="254">
        <v>0</v>
      </c>
      <c r="CO128" s="254">
        <v>0</v>
      </c>
      <c r="CP128" s="254">
        <v>0</v>
      </c>
      <c r="CQ128" s="116"/>
      <c r="CR128" s="255">
        <v>0</v>
      </c>
      <c r="CS128" s="255">
        <v>0</v>
      </c>
      <c r="CT128" s="255">
        <v>0</v>
      </c>
      <c r="CU128" s="255">
        <v>0</v>
      </c>
      <c r="CV128" s="255">
        <v>0</v>
      </c>
      <c r="CW128" s="255">
        <v>0</v>
      </c>
      <c r="CX128" s="255">
        <v>0</v>
      </c>
      <c r="CY128" s="255">
        <v>0</v>
      </c>
      <c r="CZ128" s="255">
        <v>0</v>
      </c>
      <c r="DA128" s="255">
        <v>0</v>
      </c>
      <c r="DB128" s="255">
        <v>0</v>
      </c>
      <c r="DC128" s="255">
        <v>0</v>
      </c>
      <c r="DD128" s="255">
        <v>0</v>
      </c>
      <c r="DE128" s="255">
        <v>0</v>
      </c>
      <c r="DF128" s="255">
        <v>0</v>
      </c>
      <c r="DG128" s="255">
        <v>0</v>
      </c>
      <c r="DH128" s="255">
        <v>8317.3860000000004</v>
      </c>
      <c r="DI128" s="255">
        <v>8569.4279999999999</v>
      </c>
      <c r="DJ128" s="255">
        <v>10837.806</v>
      </c>
      <c r="DK128" s="255">
        <v>7813.3020000000006</v>
      </c>
      <c r="DL128" s="255">
        <v>8569.4279999999999</v>
      </c>
      <c r="DM128" s="255">
        <v>8569.4279999999999</v>
      </c>
      <c r="DN128" s="255">
        <v>8317.3860000000004</v>
      </c>
      <c r="DO128" s="255">
        <v>7057.1760000000004</v>
      </c>
      <c r="DP128" s="255">
        <v>11845.974</v>
      </c>
      <c r="DQ128" s="255">
        <v>8065.3439999999991</v>
      </c>
      <c r="DR128" s="255">
        <v>8310.9120000000003</v>
      </c>
      <c r="DS128" s="255">
        <v>9090.06</v>
      </c>
      <c r="DT128" s="255">
        <v>9869.2080000000005</v>
      </c>
      <c r="DU128" s="255">
        <v>9609.4920000000002</v>
      </c>
      <c r="DV128" s="255">
        <v>8830.3439999999991</v>
      </c>
      <c r="DW128" s="255">
        <v>8570.6280000000006</v>
      </c>
      <c r="DX128" s="255">
        <v>8830.3439999999991</v>
      </c>
      <c r="DY128" s="255">
        <v>8830.3439999999991</v>
      </c>
      <c r="DZ128" s="255">
        <v>10648.356000000002</v>
      </c>
      <c r="EA128" s="255">
        <v>6233.1840000000002</v>
      </c>
      <c r="EB128" s="255">
        <v>11167.788</v>
      </c>
      <c r="EC128" s="255">
        <v>8310.9120000000003</v>
      </c>
      <c r="ED128" s="255">
        <v>9358.44</v>
      </c>
      <c r="EE128" s="255">
        <v>8556.2879999999986</v>
      </c>
      <c r="EF128" s="255">
        <v>11497.512000000001</v>
      </c>
      <c r="EG128" s="255">
        <v>11497.512000000001</v>
      </c>
      <c r="EH128" s="255">
        <v>8556.2879999999986</v>
      </c>
      <c r="EI128" s="255">
        <v>9091.0559999999987</v>
      </c>
      <c r="EJ128" s="255">
        <v>0</v>
      </c>
      <c r="EK128" s="255">
        <v>0</v>
      </c>
      <c r="EL128" s="255">
        <v>0</v>
      </c>
      <c r="EM128" s="255">
        <v>0</v>
      </c>
      <c r="EN128" s="255">
        <v>0</v>
      </c>
      <c r="EO128" s="255">
        <v>0</v>
      </c>
      <c r="EP128" s="255">
        <v>0</v>
      </c>
      <c r="EQ128" s="255">
        <v>0</v>
      </c>
      <c r="ER128" s="255">
        <v>0</v>
      </c>
      <c r="ES128" s="255">
        <v>0</v>
      </c>
      <c r="ET128" s="255">
        <v>0</v>
      </c>
      <c r="EU128" s="255">
        <v>0</v>
      </c>
      <c r="EV128" s="255">
        <v>0</v>
      </c>
      <c r="EW128" s="255">
        <v>0</v>
      </c>
      <c r="EX128" s="255">
        <v>0</v>
      </c>
      <c r="EY128" s="255">
        <v>0</v>
      </c>
      <c r="EZ128" s="255">
        <v>0</v>
      </c>
      <c r="FA128" s="255">
        <v>0</v>
      </c>
      <c r="FB128" s="255">
        <v>0</v>
      </c>
      <c r="FC128" s="255">
        <v>0</v>
      </c>
      <c r="FD128" s="255">
        <v>0</v>
      </c>
      <c r="FE128" s="255">
        <v>0</v>
      </c>
      <c r="FF128" s="255">
        <v>0</v>
      </c>
      <c r="FG128" s="255">
        <v>0</v>
      </c>
      <c r="FH128" s="255">
        <v>0</v>
      </c>
      <c r="FI128" s="255">
        <v>0</v>
      </c>
      <c r="FJ128" s="255">
        <v>0</v>
      </c>
      <c r="FK128" s="255">
        <v>0</v>
      </c>
      <c r="FL128" s="255">
        <v>0</v>
      </c>
      <c r="FM128" s="255">
        <v>0</v>
      </c>
      <c r="FN128" s="255">
        <v>0</v>
      </c>
      <c r="FO128" s="255">
        <v>0</v>
      </c>
      <c r="FP128" s="255">
        <v>0</v>
      </c>
      <c r="FQ128" s="255">
        <v>0</v>
      </c>
      <c r="FR128" s="255">
        <v>0</v>
      </c>
      <c r="FS128" s="255">
        <v>0</v>
      </c>
      <c r="FT128" s="255">
        <v>0</v>
      </c>
      <c r="FU128" s="255">
        <v>0</v>
      </c>
      <c r="FV128" s="255">
        <v>0</v>
      </c>
      <c r="FW128" s="255">
        <v>0</v>
      </c>
      <c r="FX128" s="116"/>
    </row>
    <row r="129" spans="2:180" x14ac:dyDescent="0.2">
      <c r="B129" s="253" t="s">
        <v>214</v>
      </c>
      <c r="C129" s="253" t="s">
        <v>325</v>
      </c>
      <c r="D129" s="253" t="s">
        <v>258</v>
      </c>
      <c r="E129" s="253" t="s">
        <v>127</v>
      </c>
      <c r="F129" s="253" t="s">
        <v>259</v>
      </c>
      <c r="G129" s="253" t="s">
        <v>260</v>
      </c>
      <c r="H129" s="237">
        <v>316.45</v>
      </c>
      <c r="I129" s="126">
        <f t="shared" si="86"/>
        <v>1670144</v>
      </c>
      <c r="J129" s="116"/>
      <c r="K129" s="254">
        <v>0</v>
      </c>
      <c r="L129" s="254">
        <v>0</v>
      </c>
      <c r="M129" s="254">
        <v>0</v>
      </c>
      <c r="N129" s="254">
        <v>0</v>
      </c>
      <c r="O129" s="254">
        <v>0</v>
      </c>
      <c r="P129" s="254">
        <v>0</v>
      </c>
      <c r="Q129" s="254">
        <v>0</v>
      </c>
      <c r="R129" s="254">
        <v>0</v>
      </c>
      <c r="S129" s="254">
        <v>0</v>
      </c>
      <c r="T129" s="254">
        <v>0</v>
      </c>
      <c r="U129" s="254">
        <v>0</v>
      </c>
      <c r="V129" s="254">
        <v>0</v>
      </c>
      <c r="W129" s="254">
        <v>0</v>
      </c>
      <c r="X129" s="254">
        <v>1</v>
      </c>
      <c r="Y129" s="254">
        <v>1</v>
      </c>
      <c r="Z129" s="254">
        <v>1.3333333333333333</v>
      </c>
      <c r="AA129" s="254">
        <v>0.92105263157894735</v>
      </c>
      <c r="AB129" s="254">
        <v>0.92105263157894735</v>
      </c>
      <c r="AC129" s="254">
        <v>1</v>
      </c>
      <c r="AD129" s="254">
        <v>1</v>
      </c>
      <c r="AE129" s="254">
        <v>1</v>
      </c>
      <c r="AF129" s="254">
        <v>1</v>
      </c>
      <c r="AG129" s="254">
        <v>1</v>
      </c>
      <c r="AH129" s="254">
        <v>1.3333333333333333</v>
      </c>
      <c r="AI129" s="254">
        <v>1.3333333333333333</v>
      </c>
      <c r="AJ129" s="254">
        <v>1</v>
      </c>
      <c r="AK129" s="254">
        <v>1</v>
      </c>
      <c r="AL129" s="254">
        <v>1.3333333333333333</v>
      </c>
      <c r="AM129" s="254">
        <v>0.92105263157894735</v>
      </c>
      <c r="AN129" s="254">
        <v>0.92105263157894735</v>
      </c>
      <c r="AO129" s="254">
        <v>1</v>
      </c>
      <c r="AP129" s="254">
        <v>1</v>
      </c>
      <c r="AQ129" s="254">
        <v>1</v>
      </c>
      <c r="AR129" s="254">
        <v>1</v>
      </c>
      <c r="AS129" s="254">
        <v>1</v>
      </c>
      <c r="AT129" s="254">
        <v>1.3333333333333333</v>
      </c>
      <c r="AU129" s="254">
        <v>1.3333333333333333</v>
      </c>
      <c r="AV129" s="254">
        <v>1</v>
      </c>
      <c r="AW129" s="254">
        <v>1</v>
      </c>
      <c r="AX129" s="254">
        <v>1.3333333333333333</v>
      </c>
      <c r="AY129" s="254">
        <v>0.92105263157894735</v>
      </c>
      <c r="AZ129" s="254">
        <v>0.92105263157894735</v>
      </c>
      <c r="BA129" s="254">
        <v>1</v>
      </c>
      <c r="BB129" s="254">
        <v>1</v>
      </c>
      <c r="BC129" s="254">
        <v>1</v>
      </c>
      <c r="BD129" s="254">
        <v>1</v>
      </c>
      <c r="BE129" s="254">
        <v>1</v>
      </c>
      <c r="BF129" s="254">
        <v>1.3333333333333333</v>
      </c>
      <c r="BG129" s="254">
        <v>1.3333333333333333</v>
      </c>
      <c r="BH129" s="254">
        <v>1</v>
      </c>
      <c r="BI129" s="254">
        <v>0</v>
      </c>
      <c r="BJ129" s="254">
        <v>0</v>
      </c>
      <c r="BK129" s="254">
        <v>0</v>
      </c>
      <c r="BL129" s="254">
        <v>0</v>
      </c>
      <c r="BM129" s="254">
        <v>0</v>
      </c>
      <c r="BN129" s="254">
        <v>0</v>
      </c>
      <c r="BO129" s="254">
        <v>0</v>
      </c>
      <c r="BP129" s="254">
        <v>0</v>
      </c>
      <c r="BQ129" s="254">
        <v>0</v>
      </c>
      <c r="BR129" s="254">
        <v>0</v>
      </c>
      <c r="BS129" s="254">
        <v>0</v>
      </c>
      <c r="BT129" s="254">
        <v>0</v>
      </c>
      <c r="BU129" s="254">
        <v>0</v>
      </c>
      <c r="BV129" s="254">
        <v>0</v>
      </c>
      <c r="BW129" s="254">
        <v>0</v>
      </c>
      <c r="BX129" s="254">
        <v>0</v>
      </c>
      <c r="BY129" s="254">
        <v>0</v>
      </c>
      <c r="BZ129" s="254">
        <v>0</v>
      </c>
      <c r="CA129" s="254">
        <v>0</v>
      </c>
      <c r="CB129" s="254">
        <v>0</v>
      </c>
      <c r="CC129" s="254">
        <v>0</v>
      </c>
      <c r="CD129" s="254">
        <v>0</v>
      </c>
      <c r="CE129" s="254">
        <v>0</v>
      </c>
      <c r="CF129" s="254">
        <v>0</v>
      </c>
      <c r="CG129" s="254">
        <v>0</v>
      </c>
      <c r="CH129" s="254">
        <v>0</v>
      </c>
      <c r="CI129" s="254">
        <v>0</v>
      </c>
      <c r="CJ129" s="254">
        <v>0</v>
      </c>
      <c r="CK129" s="254">
        <v>0</v>
      </c>
      <c r="CL129" s="254">
        <v>0</v>
      </c>
      <c r="CM129" s="254">
        <v>0</v>
      </c>
      <c r="CN129" s="254">
        <v>0</v>
      </c>
      <c r="CO129" s="254">
        <v>0</v>
      </c>
      <c r="CP129" s="254">
        <v>0</v>
      </c>
      <c r="CQ129" s="116"/>
      <c r="CR129" s="255">
        <v>0</v>
      </c>
      <c r="CS129" s="255">
        <v>0</v>
      </c>
      <c r="CT129" s="255">
        <v>0</v>
      </c>
      <c r="CU129" s="255">
        <v>0</v>
      </c>
      <c r="CV129" s="255">
        <v>0</v>
      </c>
      <c r="CW129" s="255">
        <v>0</v>
      </c>
      <c r="CX129" s="255">
        <v>0</v>
      </c>
      <c r="CY129" s="255">
        <v>0</v>
      </c>
      <c r="CZ129" s="255">
        <v>0</v>
      </c>
      <c r="DA129" s="255">
        <v>0</v>
      </c>
      <c r="DB129" s="255">
        <v>0</v>
      </c>
      <c r="DC129" s="255">
        <v>0</v>
      </c>
      <c r="DD129" s="255">
        <v>0</v>
      </c>
      <c r="DE129" s="255">
        <v>43019.199999999997</v>
      </c>
      <c r="DF129" s="255">
        <v>43019.199999999997</v>
      </c>
      <c r="DG129" s="255">
        <v>43019.199999999997</v>
      </c>
      <c r="DH129" s="255">
        <v>43019.199999999997</v>
      </c>
      <c r="DI129" s="255">
        <v>43019.199999999997</v>
      </c>
      <c r="DJ129" s="255">
        <v>44303</v>
      </c>
      <c r="DK129" s="255">
        <v>44303</v>
      </c>
      <c r="DL129" s="255">
        <v>44303</v>
      </c>
      <c r="DM129" s="255">
        <v>44303</v>
      </c>
      <c r="DN129" s="255">
        <v>44303</v>
      </c>
      <c r="DO129" s="255">
        <v>44303</v>
      </c>
      <c r="DP129" s="255">
        <v>44303</v>
      </c>
      <c r="DQ129" s="255">
        <v>44303</v>
      </c>
      <c r="DR129" s="255">
        <v>44303</v>
      </c>
      <c r="DS129" s="255">
        <v>44303</v>
      </c>
      <c r="DT129" s="255">
        <v>44303</v>
      </c>
      <c r="DU129" s="255">
        <v>44303</v>
      </c>
      <c r="DV129" s="255">
        <v>45619</v>
      </c>
      <c r="DW129" s="255">
        <v>45619</v>
      </c>
      <c r="DX129" s="255">
        <v>45619</v>
      </c>
      <c r="DY129" s="255">
        <v>45619</v>
      </c>
      <c r="DZ129" s="255">
        <v>45619</v>
      </c>
      <c r="EA129" s="255">
        <v>45619</v>
      </c>
      <c r="EB129" s="255">
        <v>45619</v>
      </c>
      <c r="EC129" s="255">
        <v>45619</v>
      </c>
      <c r="ED129" s="255">
        <v>45619</v>
      </c>
      <c r="EE129" s="255">
        <v>45619</v>
      </c>
      <c r="EF129" s="255">
        <v>45619</v>
      </c>
      <c r="EG129" s="255">
        <v>45619</v>
      </c>
      <c r="EH129" s="255">
        <v>46998</v>
      </c>
      <c r="EI129" s="255">
        <v>46998</v>
      </c>
      <c r="EJ129" s="255">
        <v>46998</v>
      </c>
      <c r="EK129" s="255">
        <v>46998</v>
      </c>
      <c r="EL129" s="255">
        <v>46998</v>
      </c>
      <c r="EM129" s="255">
        <v>46998</v>
      </c>
      <c r="EN129" s="255">
        <v>46998</v>
      </c>
      <c r="EO129" s="255">
        <v>46998</v>
      </c>
      <c r="EP129" s="255">
        <v>0</v>
      </c>
      <c r="EQ129" s="255">
        <v>0</v>
      </c>
      <c r="ER129" s="255">
        <v>0</v>
      </c>
      <c r="ES129" s="255">
        <v>0</v>
      </c>
      <c r="ET129" s="255">
        <v>0</v>
      </c>
      <c r="EU129" s="255">
        <v>0</v>
      </c>
      <c r="EV129" s="255">
        <v>0</v>
      </c>
      <c r="EW129" s="255">
        <v>0</v>
      </c>
      <c r="EX129" s="255">
        <v>0</v>
      </c>
      <c r="EY129" s="255">
        <v>0</v>
      </c>
      <c r="EZ129" s="255">
        <v>0</v>
      </c>
      <c r="FA129" s="255">
        <v>0</v>
      </c>
      <c r="FB129" s="255">
        <v>0</v>
      </c>
      <c r="FC129" s="255">
        <v>0</v>
      </c>
      <c r="FD129" s="255">
        <v>0</v>
      </c>
      <c r="FE129" s="255">
        <v>0</v>
      </c>
      <c r="FF129" s="255">
        <v>0</v>
      </c>
      <c r="FG129" s="255">
        <v>0</v>
      </c>
      <c r="FH129" s="255">
        <v>0</v>
      </c>
      <c r="FI129" s="255">
        <v>0</v>
      </c>
      <c r="FJ129" s="255">
        <v>0</v>
      </c>
      <c r="FK129" s="255">
        <v>0</v>
      </c>
      <c r="FL129" s="255">
        <v>0</v>
      </c>
      <c r="FM129" s="255">
        <v>0</v>
      </c>
      <c r="FN129" s="255">
        <v>0</v>
      </c>
      <c r="FO129" s="255">
        <v>0</v>
      </c>
      <c r="FP129" s="255">
        <v>0</v>
      </c>
      <c r="FQ129" s="255">
        <v>0</v>
      </c>
      <c r="FR129" s="255">
        <v>0</v>
      </c>
      <c r="FS129" s="255">
        <v>0</v>
      </c>
      <c r="FT129" s="255">
        <v>0</v>
      </c>
      <c r="FU129" s="255">
        <v>0</v>
      </c>
      <c r="FV129" s="255">
        <v>0</v>
      </c>
      <c r="FW129" s="255">
        <v>0</v>
      </c>
      <c r="FX129" s="116"/>
    </row>
    <row r="130" spans="2:180" x14ac:dyDescent="0.2">
      <c r="B130" s="253" t="s">
        <v>216</v>
      </c>
      <c r="C130" s="253" t="s">
        <v>326</v>
      </c>
      <c r="D130" s="253" t="s">
        <v>258</v>
      </c>
      <c r="E130" s="253" t="s">
        <v>127</v>
      </c>
      <c r="F130" s="253" t="s">
        <v>259</v>
      </c>
      <c r="G130" s="253" t="s">
        <v>260</v>
      </c>
      <c r="H130" s="237">
        <v>210.04</v>
      </c>
      <c r="I130" s="126">
        <f t="shared" si="86"/>
        <v>85684.62000000001</v>
      </c>
      <c r="J130" s="116"/>
      <c r="K130" s="254">
        <v>0</v>
      </c>
      <c r="L130" s="254">
        <v>0</v>
      </c>
      <c r="M130" s="254">
        <v>0</v>
      </c>
      <c r="N130" s="254">
        <v>0</v>
      </c>
      <c r="O130" s="254">
        <v>0</v>
      </c>
      <c r="P130" s="254">
        <v>0</v>
      </c>
      <c r="Q130" s="254">
        <v>0</v>
      </c>
      <c r="R130" s="254">
        <v>0</v>
      </c>
      <c r="S130" s="254">
        <v>0</v>
      </c>
      <c r="T130" s="254">
        <v>0</v>
      </c>
      <c r="U130" s="254">
        <v>0</v>
      </c>
      <c r="V130" s="254">
        <v>0</v>
      </c>
      <c r="W130" s="254">
        <v>0</v>
      </c>
      <c r="X130" s="254">
        <v>0</v>
      </c>
      <c r="Y130" s="254">
        <v>0</v>
      </c>
      <c r="Z130" s="254">
        <v>0</v>
      </c>
      <c r="AA130" s="254">
        <v>0</v>
      </c>
      <c r="AB130" s="254">
        <v>0</v>
      </c>
      <c r="AC130" s="254">
        <v>0</v>
      </c>
      <c r="AD130" s="254">
        <v>0</v>
      </c>
      <c r="AE130" s="254">
        <v>0</v>
      </c>
      <c r="AF130" s="254">
        <v>0.5</v>
      </c>
      <c r="AG130" s="254">
        <v>0.25</v>
      </c>
      <c r="AH130" s="254">
        <v>0</v>
      </c>
      <c r="AI130" s="254">
        <v>0</v>
      </c>
      <c r="AJ130" s="254">
        <v>0</v>
      </c>
      <c r="AK130" s="254">
        <v>0</v>
      </c>
      <c r="AL130" s="254">
        <v>0</v>
      </c>
      <c r="AM130" s="254">
        <v>0</v>
      </c>
      <c r="AN130" s="254">
        <v>0</v>
      </c>
      <c r="AO130" s="254">
        <v>0</v>
      </c>
      <c r="AP130" s="254">
        <v>1.1000000000000001</v>
      </c>
      <c r="AQ130" s="254">
        <v>0</v>
      </c>
      <c r="AR130" s="254">
        <v>0</v>
      </c>
      <c r="AS130" s="254">
        <v>0.5</v>
      </c>
      <c r="AT130" s="254">
        <v>0.66666666666666663</v>
      </c>
      <c r="AU130" s="254">
        <v>0</v>
      </c>
      <c r="AV130" s="254">
        <v>0</v>
      </c>
      <c r="AW130" s="254">
        <v>0</v>
      </c>
      <c r="AX130" s="254">
        <v>0</v>
      </c>
      <c r="AY130" s="254">
        <v>0</v>
      </c>
      <c r="AZ130" s="254">
        <v>0</v>
      </c>
      <c r="BA130" s="254">
        <v>0</v>
      </c>
      <c r="BB130" s="254">
        <v>0</v>
      </c>
      <c r="BC130" s="254">
        <v>0</v>
      </c>
      <c r="BD130" s="254">
        <v>0</v>
      </c>
      <c r="BE130" s="254">
        <v>0</v>
      </c>
      <c r="BF130" s="254">
        <v>0</v>
      </c>
      <c r="BG130" s="254">
        <v>0</v>
      </c>
      <c r="BH130" s="254">
        <v>0</v>
      </c>
      <c r="BI130" s="254">
        <v>0</v>
      </c>
      <c r="BJ130" s="254">
        <v>0</v>
      </c>
      <c r="BK130" s="254">
        <v>0</v>
      </c>
      <c r="BL130" s="254">
        <v>0</v>
      </c>
      <c r="BM130" s="254">
        <v>0</v>
      </c>
      <c r="BN130" s="254">
        <v>0</v>
      </c>
      <c r="BO130" s="254">
        <v>0</v>
      </c>
      <c r="BP130" s="254">
        <v>0</v>
      </c>
      <c r="BQ130" s="254">
        <v>0</v>
      </c>
      <c r="BR130" s="254">
        <v>0</v>
      </c>
      <c r="BS130" s="254">
        <v>0</v>
      </c>
      <c r="BT130" s="254">
        <v>0</v>
      </c>
      <c r="BU130" s="254">
        <v>0</v>
      </c>
      <c r="BV130" s="254">
        <v>0</v>
      </c>
      <c r="BW130" s="254">
        <v>0</v>
      </c>
      <c r="BX130" s="254">
        <v>0</v>
      </c>
      <c r="BY130" s="254">
        <v>0</v>
      </c>
      <c r="BZ130" s="254">
        <v>0</v>
      </c>
      <c r="CA130" s="254">
        <v>0</v>
      </c>
      <c r="CB130" s="254">
        <v>0</v>
      </c>
      <c r="CC130" s="254">
        <v>0</v>
      </c>
      <c r="CD130" s="254">
        <v>0</v>
      </c>
      <c r="CE130" s="254">
        <v>0</v>
      </c>
      <c r="CF130" s="254">
        <v>0</v>
      </c>
      <c r="CG130" s="254">
        <v>0</v>
      </c>
      <c r="CH130" s="254">
        <v>0</v>
      </c>
      <c r="CI130" s="254">
        <v>0</v>
      </c>
      <c r="CJ130" s="254">
        <v>0</v>
      </c>
      <c r="CK130" s="254">
        <v>0</v>
      </c>
      <c r="CL130" s="254">
        <v>0</v>
      </c>
      <c r="CM130" s="254">
        <v>0</v>
      </c>
      <c r="CN130" s="254">
        <v>0</v>
      </c>
      <c r="CO130" s="254">
        <v>0</v>
      </c>
      <c r="CP130" s="254">
        <v>0</v>
      </c>
      <c r="CQ130" s="116"/>
      <c r="CR130" s="255">
        <v>0</v>
      </c>
      <c r="CS130" s="255">
        <v>0</v>
      </c>
      <c r="CT130" s="255">
        <v>0</v>
      </c>
      <c r="CU130" s="255">
        <v>0</v>
      </c>
      <c r="CV130" s="255">
        <v>0</v>
      </c>
      <c r="CW130" s="255">
        <v>0</v>
      </c>
      <c r="CX130" s="255">
        <v>0</v>
      </c>
      <c r="CY130" s="255">
        <v>0</v>
      </c>
      <c r="CZ130" s="255">
        <v>0</v>
      </c>
      <c r="DA130" s="255">
        <v>0</v>
      </c>
      <c r="DB130" s="255">
        <v>0</v>
      </c>
      <c r="DC130" s="255">
        <v>0</v>
      </c>
      <c r="DD130" s="255">
        <v>0</v>
      </c>
      <c r="DE130" s="255">
        <v>0</v>
      </c>
      <c r="DF130" s="255">
        <v>0</v>
      </c>
      <c r="DG130" s="255">
        <v>0</v>
      </c>
      <c r="DH130" s="255">
        <v>0</v>
      </c>
      <c r="DI130" s="255">
        <v>0</v>
      </c>
      <c r="DJ130" s="255">
        <v>0</v>
      </c>
      <c r="DK130" s="255">
        <v>0</v>
      </c>
      <c r="DL130" s="255">
        <v>0</v>
      </c>
      <c r="DM130" s="255">
        <v>14702.8</v>
      </c>
      <c r="DN130" s="255">
        <v>7351.4</v>
      </c>
      <c r="DO130" s="255">
        <v>0</v>
      </c>
      <c r="DP130" s="255">
        <v>0</v>
      </c>
      <c r="DQ130" s="255">
        <v>0</v>
      </c>
      <c r="DR130" s="255">
        <v>0</v>
      </c>
      <c r="DS130" s="255">
        <v>0</v>
      </c>
      <c r="DT130" s="255">
        <v>0</v>
      </c>
      <c r="DU130" s="255">
        <v>0</v>
      </c>
      <c r="DV130" s="255">
        <v>0</v>
      </c>
      <c r="DW130" s="255">
        <v>33330.22</v>
      </c>
      <c r="DX130" s="255">
        <v>0</v>
      </c>
      <c r="DY130" s="255">
        <v>0</v>
      </c>
      <c r="DZ130" s="255">
        <v>15150.1</v>
      </c>
      <c r="EA130" s="255">
        <v>15150.1</v>
      </c>
      <c r="EB130" s="255">
        <v>0</v>
      </c>
      <c r="EC130" s="255">
        <v>0</v>
      </c>
      <c r="ED130" s="255">
        <v>0</v>
      </c>
      <c r="EE130" s="255">
        <v>0</v>
      </c>
      <c r="EF130" s="255">
        <v>0</v>
      </c>
      <c r="EG130" s="255">
        <v>0</v>
      </c>
      <c r="EH130" s="255">
        <v>0</v>
      </c>
      <c r="EI130" s="255">
        <v>0</v>
      </c>
      <c r="EJ130" s="255">
        <v>0</v>
      </c>
      <c r="EK130" s="255">
        <v>0</v>
      </c>
      <c r="EL130" s="255">
        <v>0</v>
      </c>
      <c r="EM130" s="255">
        <v>0</v>
      </c>
      <c r="EN130" s="255">
        <v>0</v>
      </c>
      <c r="EO130" s="255">
        <v>0</v>
      </c>
      <c r="EP130" s="255">
        <v>0</v>
      </c>
      <c r="EQ130" s="255">
        <v>0</v>
      </c>
      <c r="ER130" s="255">
        <v>0</v>
      </c>
      <c r="ES130" s="255">
        <v>0</v>
      </c>
      <c r="ET130" s="255">
        <v>0</v>
      </c>
      <c r="EU130" s="255">
        <v>0</v>
      </c>
      <c r="EV130" s="255">
        <v>0</v>
      </c>
      <c r="EW130" s="255">
        <v>0</v>
      </c>
      <c r="EX130" s="255">
        <v>0</v>
      </c>
      <c r="EY130" s="255">
        <v>0</v>
      </c>
      <c r="EZ130" s="255">
        <v>0</v>
      </c>
      <c r="FA130" s="255">
        <v>0</v>
      </c>
      <c r="FB130" s="255">
        <v>0</v>
      </c>
      <c r="FC130" s="255">
        <v>0</v>
      </c>
      <c r="FD130" s="255">
        <v>0</v>
      </c>
      <c r="FE130" s="255">
        <v>0</v>
      </c>
      <c r="FF130" s="255">
        <v>0</v>
      </c>
      <c r="FG130" s="255">
        <v>0</v>
      </c>
      <c r="FH130" s="255">
        <v>0</v>
      </c>
      <c r="FI130" s="255">
        <v>0</v>
      </c>
      <c r="FJ130" s="255">
        <v>0</v>
      </c>
      <c r="FK130" s="255">
        <v>0</v>
      </c>
      <c r="FL130" s="255">
        <v>0</v>
      </c>
      <c r="FM130" s="255">
        <v>0</v>
      </c>
      <c r="FN130" s="255">
        <v>0</v>
      </c>
      <c r="FO130" s="255">
        <v>0</v>
      </c>
      <c r="FP130" s="255">
        <v>0</v>
      </c>
      <c r="FQ130" s="255">
        <v>0</v>
      </c>
      <c r="FR130" s="255">
        <v>0</v>
      </c>
      <c r="FS130" s="255">
        <v>0</v>
      </c>
      <c r="FT130" s="255">
        <v>0</v>
      </c>
      <c r="FU130" s="255">
        <v>0</v>
      </c>
      <c r="FV130" s="255">
        <v>0</v>
      </c>
      <c r="FW130" s="255">
        <v>0</v>
      </c>
      <c r="FX130" s="116"/>
    </row>
    <row r="131" spans="2:180" x14ac:dyDescent="0.2">
      <c r="B131" s="253" t="s">
        <v>216</v>
      </c>
      <c r="C131" s="253" t="s">
        <v>326</v>
      </c>
      <c r="D131" s="253" t="s">
        <v>258</v>
      </c>
      <c r="E131" s="253" t="s">
        <v>127</v>
      </c>
      <c r="F131" s="253">
        <v>0</v>
      </c>
      <c r="G131" s="253" t="s">
        <v>322</v>
      </c>
      <c r="H131" s="237">
        <v>210.04</v>
      </c>
      <c r="I131" s="126">
        <f t="shared" si="86"/>
        <v>64417.400000000009</v>
      </c>
      <c r="J131" s="116"/>
      <c r="K131" s="254">
        <v>0</v>
      </c>
      <c r="L131" s="254">
        <v>0</v>
      </c>
      <c r="M131" s="254">
        <v>0</v>
      </c>
      <c r="N131" s="254">
        <v>0</v>
      </c>
      <c r="O131" s="254">
        <v>0</v>
      </c>
      <c r="P131" s="254">
        <v>0</v>
      </c>
      <c r="Q131" s="254">
        <v>0</v>
      </c>
      <c r="R131" s="254">
        <v>0</v>
      </c>
      <c r="S131" s="254">
        <v>0</v>
      </c>
      <c r="T131" s="254">
        <v>0</v>
      </c>
      <c r="U131" s="254">
        <v>0</v>
      </c>
      <c r="V131" s="254">
        <v>0</v>
      </c>
      <c r="W131" s="254">
        <v>0</v>
      </c>
      <c r="X131" s="254">
        <v>0</v>
      </c>
      <c r="Y131" s="254">
        <v>0</v>
      </c>
      <c r="Z131" s="254">
        <v>0</v>
      </c>
      <c r="AA131" s="254">
        <v>0</v>
      </c>
      <c r="AB131" s="254">
        <v>0</v>
      </c>
      <c r="AC131" s="254">
        <v>0</v>
      </c>
      <c r="AD131" s="254">
        <v>0</v>
      </c>
      <c r="AE131" s="254">
        <v>0</v>
      </c>
      <c r="AF131" s="254">
        <v>0.21428571428571427</v>
      </c>
      <c r="AG131" s="254">
        <v>7.1428571428571425E-2</v>
      </c>
      <c r="AH131" s="254">
        <v>0</v>
      </c>
      <c r="AI131" s="254">
        <v>0</v>
      </c>
      <c r="AJ131" s="254">
        <v>0</v>
      </c>
      <c r="AK131" s="254">
        <v>0</v>
      </c>
      <c r="AL131" s="254">
        <v>0</v>
      </c>
      <c r="AM131" s="254">
        <v>0</v>
      </c>
      <c r="AN131" s="254">
        <v>0</v>
      </c>
      <c r="AO131" s="254">
        <v>0</v>
      </c>
      <c r="AP131" s="254">
        <v>0.35714285714285715</v>
      </c>
      <c r="AQ131" s="254">
        <v>0</v>
      </c>
      <c r="AR131" s="254">
        <v>0</v>
      </c>
      <c r="AS131" s="254">
        <v>0.21428571428571427</v>
      </c>
      <c r="AT131" s="254">
        <v>0.2857142857142857</v>
      </c>
      <c r="AU131" s="254">
        <v>0</v>
      </c>
      <c r="AV131" s="254">
        <v>0</v>
      </c>
      <c r="AW131" s="254">
        <v>0</v>
      </c>
      <c r="AX131" s="254">
        <v>0</v>
      </c>
      <c r="AY131" s="254">
        <v>0</v>
      </c>
      <c r="AZ131" s="254">
        <v>0</v>
      </c>
      <c r="BA131" s="254">
        <v>0</v>
      </c>
      <c r="BB131" s="254">
        <v>0</v>
      </c>
      <c r="BC131" s="254">
        <v>0</v>
      </c>
      <c r="BD131" s="254">
        <v>0</v>
      </c>
      <c r="BE131" s="254">
        <v>0</v>
      </c>
      <c r="BF131" s="254">
        <v>0</v>
      </c>
      <c r="BG131" s="254">
        <v>0</v>
      </c>
      <c r="BH131" s="254">
        <v>0</v>
      </c>
      <c r="BI131" s="254">
        <v>0</v>
      </c>
      <c r="BJ131" s="254">
        <v>0</v>
      </c>
      <c r="BK131" s="254">
        <v>0</v>
      </c>
      <c r="BL131" s="254">
        <v>0</v>
      </c>
      <c r="BM131" s="254">
        <v>0</v>
      </c>
      <c r="BN131" s="254">
        <v>0</v>
      </c>
      <c r="BO131" s="254">
        <v>0</v>
      </c>
      <c r="BP131" s="254">
        <v>0</v>
      </c>
      <c r="BQ131" s="254">
        <v>0</v>
      </c>
      <c r="BR131" s="254">
        <v>0</v>
      </c>
      <c r="BS131" s="254">
        <v>0</v>
      </c>
      <c r="BT131" s="254">
        <v>0</v>
      </c>
      <c r="BU131" s="254">
        <v>0</v>
      </c>
      <c r="BV131" s="254">
        <v>0</v>
      </c>
      <c r="BW131" s="254">
        <v>0</v>
      </c>
      <c r="BX131" s="254">
        <v>0</v>
      </c>
      <c r="BY131" s="254">
        <v>0</v>
      </c>
      <c r="BZ131" s="254">
        <v>0</v>
      </c>
      <c r="CA131" s="254">
        <v>0</v>
      </c>
      <c r="CB131" s="254">
        <v>0</v>
      </c>
      <c r="CC131" s="254">
        <v>0</v>
      </c>
      <c r="CD131" s="254">
        <v>0</v>
      </c>
      <c r="CE131" s="254">
        <v>0</v>
      </c>
      <c r="CF131" s="254">
        <v>0</v>
      </c>
      <c r="CG131" s="254">
        <v>0</v>
      </c>
      <c r="CH131" s="254">
        <v>0</v>
      </c>
      <c r="CI131" s="254">
        <v>0</v>
      </c>
      <c r="CJ131" s="254">
        <v>0</v>
      </c>
      <c r="CK131" s="254">
        <v>0</v>
      </c>
      <c r="CL131" s="254">
        <v>0</v>
      </c>
      <c r="CM131" s="254">
        <v>0</v>
      </c>
      <c r="CN131" s="254">
        <v>0</v>
      </c>
      <c r="CO131" s="254">
        <v>0</v>
      </c>
      <c r="CP131" s="254">
        <v>0</v>
      </c>
      <c r="CQ131" s="116"/>
      <c r="CR131" s="255">
        <v>0</v>
      </c>
      <c r="CS131" s="255">
        <v>0</v>
      </c>
      <c r="CT131" s="255">
        <v>0</v>
      </c>
      <c r="CU131" s="255">
        <v>0</v>
      </c>
      <c r="CV131" s="255">
        <v>0</v>
      </c>
      <c r="CW131" s="255">
        <v>0</v>
      </c>
      <c r="CX131" s="255">
        <v>0</v>
      </c>
      <c r="CY131" s="255">
        <v>0</v>
      </c>
      <c r="CZ131" s="255">
        <v>0</v>
      </c>
      <c r="DA131" s="255">
        <v>0</v>
      </c>
      <c r="DB131" s="255">
        <v>0</v>
      </c>
      <c r="DC131" s="255">
        <v>0</v>
      </c>
      <c r="DD131" s="255">
        <v>0</v>
      </c>
      <c r="DE131" s="255">
        <v>0</v>
      </c>
      <c r="DF131" s="255">
        <v>0</v>
      </c>
      <c r="DG131" s="255">
        <v>0</v>
      </c>
      <c r="DH131" s="255">
        <v>0</v>
      </c>
      <c r="DI131" s="255">
        <v>0</v>
      </c>
      <c r="DJ131" s="255">
        <v>0</v>
      </c>
      <c r="DK131" s="255">
        <v>0</v>
      </c>
      <c r="DL131" s="255">
        <v>0</v>
      </c>
      <c r="DM131" s="255">
        <v>12602.1</v>
      </c>
      <c r="DN131" s="255">
        <v>4200.7</v>
      </c>
      <c r="DO131" s="255">
        <v>0</v>
      </c>
      <c r="DP131" s="255">
        <v>0</v>
      </c>
      <c r="DQ131" s="255">
        <v>0</v>
      </c>
      <c r="DR131" s="255">
        <v>0</v>
      </c>
      <c r="DS131" s="255">
        <v>0</v>
      </c>
      <c r="DT131" s="255">
        <v>0</v>
      </c>
      <c r="DU131" s="255">
        <v>0</v>
      </c>
      <c r="DV131" s="255">
        <v>0</v>
      </c>
      <c r="DW131" s="255">
        <v>21643</v>
      </c>
      <c r="DX131" s="255">
        <v>0</v>
      </c>
      <c r="DY131" s="255">
        <v>0</v>
      </c>
      <c r="DZ131" s="255">
        <v>12985.800000000001</v>
      </c>
      <c r="EA131" s="255">
        <v>12985.800000000001</v>
      </c>
      <c r="EB131" s="255">
        <v>0</v>
      </c>
      <c r="EC131" s="255">
        <v>0</v>
      </c>
      <c r="ED131" s="255">
        <v>0</v>
      </c>
      <c r="EE131" s="255">
        <v>0</v>
      </c>
      <c r="EF131" s="255">
        <v>0</v>
      </c>
      <c r="EG131" s="255">
        <v>0</v>
      </c>
      <c r="EH131" s="255">
        <v>0</v>
      </c>
      <c r="EI131" s="255">
        <v>0</v>
      </c>
      <c r="EJ131" s="255">
        <v>0</v>
      </c>
      <c r="EK131" s="255">
        <v>0</v>
      </c>
      <c r="EL131" s="255">
        <v>0</v>
      </c>
      <c r="EM131" s="255">
        <v>0</v>
      </c>
      <c r="EN131" s="255">
        <v>0</v>
      </c>
      <c r="EO131" s="255">
        <v>0</v>
      </c>
      <c r="EP131" s="255">
        <v>0</v>
      </c>
      <c r="EQ131" s="255">
        <v>0</v>
      </c>
      <c r="ER131" s="255">
        <v>0</v>
      </c>
      <c r="ES131" s="255">
        <v>0</v>
      </c>
      <c r="ET131" s="255">
        <v>0</v>
      </c>
      <c r="EU131" s="255">
        <v>0</v>
      </c>
      <c r="EV131" s="255">
        <v>0</v>
      </c>
      <c r="EW131" s="255">
        <v>0</v>
      </c>
      <c r="EX131" s="255">
        <v>0</v>
      </c>
      <c r="EY131" s="255">
        <v>0</v>
      </c>
      <c r="EZ131" s="255">
        <v>0</v>
      </c>
      <c r="FA131" s="255">
        <v>0</v>
      </c>
      <c r="FB131" s="255">
        <v>0</v>
      </c>
      <c r="FC131" s="255">
        <v>0</v>
      </c>
      <c r="FD131" s="255">
        <v>0</v>
      </c>
      <c r="FE131" s="255">
        <v>0</v>
      </c>
      <c r="FF131" s="255">
        <v>0</v>
      </c>
      <c r="FG131" s="255">
        <v>0</v>
      </c>
      <c r="FH131" s="255">
        <v>0</v>
      </c>
      <c r="FI131" s="255">
        <v>0</v>
      </c>
      <c r="FJ131" s="255">
        <v>0</v>
      </c>
      <c r="FK131" s="255">
        <v>0</v>
      </c>
      <c r="FL131" s="255">
        <v>0</v>
      </c>
      <c r="FM131" s="255">
        <v>0</v>
      </c>
      <c r="FN131" s="255">
        <v>0</v>
      </c>
      <c r="FO131" s="255">
        <v>0</v>
      </c>
      <c r="FP131" s="255">
        <v>0</v>
      </c>
      <c r="FQ131" s="255">
        <v>0</v>
      </c>
      <c r="FR131" s="255">
        <v>0</v>
      </c>
      <c r="FS131" s="255">
        <v>0</v>
      </c>
      <c r="FT131" s="255">
        <v>0</v>
      </c>
      <c r="FU131" s="255">
        <v>0</v>
      </c>
      <c r="FV131" s="255">
        <v>0</v>
      </c>
      <c r="FW131" s="255">
        <v>0</v>
      </c>
      <c r="FX131" s="116"/>
    </row>
    <row r="132" spans="2:180" x14ac:dyDescent="0.2">
      <c r="B132" s="253" t="s">
        <v>216</v>
      </c>
      <c r="C132" s="253" t="s">
        <v>327</v>
      </c>
      <c r="D132" s="253" t="s">
        <v>258</v>
      </c>
      <c r="E132" s="253" t="s">
        <v>127</v>
      </c>
      <c r="F132" s="253" t="s">
        <v>259</v>
      </c>
      <c r="G132" s="253" t="s">
        <v>260</v>
      </c>
      <c r="H132" s="237">
        <v>221.91</v>
      </c>
      <c r="I132" s="126">
        <f t="shared" si="86"/>
        <v>322448.28000000003</v>
      </c>
      <c r="J132" s="116"/>
      <c r="K132" s="254">
        <v>0</v>
      </c>
      <c r="L132" s="254">
        <v>0</v>
      </c>
      <c r="M132" s="254">
        <v>0</v>
      </c>
      <c r="N132" s="254">
        <v>0</v>
      </c>
      <c r="O132" s="254">
        <v>0</v>
      </c>
      <c r="P132" s="254">
        <v>0</v>
      </c>
      <c r="Q132" s="254">
        <v>0</v>
      </c>
      <c r="R132" s="254">
        <v>0</v>
      </c>
      <c r="S132" s="254">
        <v>0</v>
      </c>
      <c r="T132" s="254">
        <v>0</v>
      </c>
      <c r="U132" s="254">
        <v>0</v>
      </c>
      <c r="V132" s="254">
        <v>0</v>
      </c>
      <c r="W132" s="254">
        <v>0</v>
      </c>
      <c r="X132" s="254">
        <v>0</v>
      </c>
      <c r="Y132" s="254">
        <v>0</v>
      </c>
      <c r="Z132" s="254">
        <v>0</v>
      </c>
      <c r="AA132" s="254">
        <v>0</v>
      </c>
      <c r="AB132" s="254">
        <v>0</v>
      </c>
      <c r="AC132" s="254">
        <v>0</v>
      </c>
      <c r="AD132" s="254">
        <v>0</v>
      </c>
      <c r="AE132" s="254">
        <v>0</v>
      </c>
      <c r="AF132" s="254">
        <v>0.5</v>
      </c>
      <c r="AG132" s="254">
        <v>0.5</v>
      </c>
      <c r="AH132" s="254">
        <v>1.5333333333333334</v>
      </c>
      <c r="AI132" s="254">
        <v>1.4</v>
      </c>
      <c r="AJ132" s="254">
        <v>1</v>
      </c>
      <c r="AK132" s="254">
        <v>0</v>
      </c>
      <c r="AL132" s="254">
        <v>0</v>
      </c>
      <c r="AM132" s="254">
        <v>0</v>
      </c>
      <c r="AN132" s="254">
        <v>0</v>
      </c>
      <c r="AO132" s="254">
        <v>0</v>
      </c>
      <c r="AP132" s="254">
        <v>1.6</v>
      </c>
      <c r="AQ132" s="254">
        <v>1.1000000000000001</v>
      </c>
      <c r="AR132" s="254">
        <v>1.05</v>
      </c>
      <c r="AS132" s="254">
        <v>1.1000000000000001</v>
      </c>
      <c r="AT132" s="254">
        <v>1.5333333333333334</v>
      </c>
      <c r="AU132" s="254">
        <v>0</v>
      </c>
      <c r="AV132" s="254">
        <v>0</v>
      </c>
      <c r="AW132" s="254">
        <v>0</v>
      </c>
      <c r="AX132" s="254">
        <v>0</v>
      </c>
      <c r="AY132" s="254">
        <v>0</v>
      </c>
      <c r="AZ132" s="254">
        <v>0</v>
      </c>
      <c r="BA132" s="254">
        <v>0</v>
      </c>
      <c r="BB132" s="254">
        <v>0</v>
      </c>
      <c r="BC132" s="254">
        <v>0</v>
      </c>
      <c r="BD132" s="254">
        <v>0</v>
      </c>
      <c r="BE132" s="254">
        <v>0</v>
      </c>
      <c r="BF132" s="254">
        <v>0</v>
      </c>
      <c r="BG132" s="254">
        <v>0</v>
      </c>
      <c r="BH132" s="254">
        <v>0</v>
      </c>
      <c r="BI132" s="254">
        <v>0</v>
      </c>
      <c r="BJ132" s="254">
        <v>0</v>
      </c>
      <c r="BK132" s="254">
        <v>0</v>
      </c>
      <c r="BL132" s="254">
        <v>0</v>
      </c>
      <c r="BM132" s="254">
        <v>0</v>
      </c>
      <c r="BN132" s="254">
        <v>0</v>
      </c>
      <c r="BO132" s="254">
        <v>0</v>
      </c>
      <c r="BP132" s="254">
        <v>0</v>
      </c>
      <c r="BQ132" s="254">
        <v>0</v>
      </c>
      <c r="BR132" s="254">
        <v>0</v>
      </c>
      <c r="BS132" s="254">
        <v>0</v>
      </c>
      <c r="BT132" s="254">
        <v>0</v>
      </c>
      <c r="BU132" s="254">
        <v>0</v>
      </c>
      <c r="BV132" s="254">
        <v>0</v>
      </c>
      <c r="BW132" s="254">
        <v>0</v>
      </c>
      <c r="BX132" s="254">
        <v>0</v>
      </c>
      <c r="BY132" s="254">
        <v>0</v>
      </c>
      <c r="BZ132" s="254">
        <v>0</v>
      </c>
      <c r="CA132" s="254">
        <v>0</v>
      </c>
      <c r="CB132" s="254">
        <v>0</v>
      </c>
      <c r="CC132" s="254">
        <v>0</v>
      </c>
      <c r="CD132" s="254">
        <v>0</v>
      </c>
      <c r="CE132" s="254">
        <v>0</v>
      </c>
      <c r="CF132" s="254">
        <v>0</v>
      </c>
      <c r="CG132" s="254">
        <v>0</v>
      </c>
      <c r="CH132" s="254">
        <v>0</v>
      </c>
      <c r="CI132" s="254">
        <v>0</v>
      </c>
      <c r="CJ132" s="254">
        <v>0</v>
      </c>
      <c r="CK132" s="254">
        <v>0</v>
      </c>
      <c r="CL132" s="254">
        <v>0</v>
      </c>
      <c r="CM132" s="254">
        <v>0</v>
      </c>
      <c r="CN132" s="254">
        <v>0</v>
      </c>
      <c r="CO132" s="254">
        <v>0</v>
      </c>
      <c r="CP132" s="254">
        <v>0</v>
      </c>
      <c r="CQ132" s="116"/>
      <c r="CR132" s="255">
        <v>0</v>
      </c>
      <c r="CS132" s="255">
        <v>0</v>
      </c>
      <c r="CT132" s="255">
        <v>0</v>
      </c>
      <c r="CU132" s="255">
        <v>0</v>
      </c>
      <c r="CV132" s="255">
        <v>0</v>
      </c>
      <c r="CW132" s="255">
        <v>0</v>
      </c>
      <c r="CX132" s="255">
        <v>0</v>
      </c>
      <c r="CY132" s="255">
        <v>0</v>
      </c>
      <c r="CZ132" s="255">
        <v>0</v>
      </c>
      <c r="DA132" s="255">
        <v>0</v>
      </c>
      <c r="DB132" s="255">
        <v>0</v>
      </c>
      <c r="DC132" s="255">
        <v>0</v>
      </c>
      <c r="DD132" s="255">
        <v>0</v>
      </c>
      <c r="DE132" s="255">
        <v>0</v>
      </c>
      <c r="DF132" s="255">
        <v>0</v>
      </c>
      <c r="DG132" s="255">
        <v>0</v>
      </c>
      <c r="DH132" s="255">
        <v>0</v>
      </c>
      <c r="DI132" s="255">
        <v>0</v>
      </c>
      <c r="DJ132" s="255">
        <v>0</v>
      </c>
      <c r="DK132" s="255">
        <v>0</v>
      </c>
      <c r="DL132" s="255">
        <v>0</v>
      </c>
      <c r="DM132" s="255">
        <v>15533.699999999999</v>
      </c>
      <c r="DN132" s="255">
        <v>15533.699999999999</v>
      </c>
      <c r="DO132" s="255">
        <v>35727.51</v>
      </c>
      <c r="DP132" s="255">
        <v>32620.77</v>
      </c>
      <c r="DQ132" s="255">
        <v>31067.399999999998</v>
      </c>
      <c r="DR132" s="255">
        <v>0</v>
      </c>
      <c r="DS132" s="255">
        <v>0</v>
      </c>
      <c r="DT132" s="255">
        <v>0</v>
      </c>
      <c r="DU132" s="255">
        <v>0</v>
      </c>
      <c r="DV132" s="255">
        <v>0</v>
      </c>
      <c r="DW132" s="255">
        <v>51190.720000000001</v>
      </c>
      <c r="DX132" s="255">
        <v>35193.620000000003</v>
      </c>
      <c r="DY132" s="255">
        <v>33593.910000000003</v>
      </c>
      <c r="DZ132" s="255">
        <v>35193.620000000003</v>
      </c>
      <c r="EA132" s="255">
        <v>36793.33</v>
      </c>
      <c r="EB132" s="255">
        <v>0</v>
      </c>
      <c r="EC132" s="255">
        <v>0</v>
      </c>
      <c r="ED132" s="255">
        <v>0</v>
      </c>
      <c r="EE132" s="255">
        <v>0</v>
      </c>
      <c r="EF132" s="255">
        <v>0</v>
      </c>
      <c r="EG132" s="255">
        <v>0</v>
      </c>
      <c r="EH132" s="255">
        <v>0</v>
      </c>
      <c r="EI132" s="255">
        <v>0</v>
      </c>
      <c r="EJ132" s="255">
        <v>0</v>
      </c>
      <c r="EK132" s="255">
        <v>0</v>
      </c>
      <c r="EL132" s="255">
        <v>0</v>
      </c>
      <c r="EM132" s="255">
        <v>0</v>
      </c>
      <c r="EN132" s="255">
        <v>0</v>
      </c>
      <c r="EO132" s="255">
        <v>0</v>
      </c>
      <c r="EP132" s="255">
        <v>0</v>
      </c>
      <c r="EQ132" s="255">
        <v>0</v>
      </c>
      <c r="ER132" s="255">
        <v>0</v>
      </c>
      <c r="ES132" s="255">
        <v>0</v>
      </c>
      <c r="ET132" s="255">
        <v>0</v>
      </c>
      <c r="EU132" s="255">
        <v>0</v>
      </c>
      <c r="EV132" s="255">
        <v>0</v>
      </c>
      <c r="EW132" s="255">
        <v>0</v>
      </c>
      <c r="EX132" s="255">
        <v>0</v>
      </c>
      <c r="EY132" s="255">
        <v>0</v>
      </c>
      <c r="EZ132" s="255">
        <v>0</v>
      </c>
      <c r="FA132" s="255">
        <v>0</v>
      </c>
      <c r="FB132" s="255">
        <v>0</v>
      </c>
      <c r="FC132" s="255">
        <v>0</v>
      </c>
      <c r="FD132" s="255">
        <v>0</v>
      </c>
      <c r="FE132" s="255">
        <v>0</v>
      </c>
      <c r="FF132" s="255">
        <v>0</v>
      </c>
      <c r="FG132" s="255">
        <v>0</v>
      </c>
      <c r="FH132" s="255">
        <v>0</v>
      </c>
      <c r="FI132" s="255">
        <v>0</v>
      </c>
      <c r="FJ132" s="255">
        <v>0</v>
      </c>
      <c r="FK132" s="255">
        <v>0</v>
      </c>
      <c r="FL132" s="255">
        <v>0</v>
      </c>
      <c r="FM132" s="255">
        <v>0</v>
      </c>
      <c r="FN132" s="255">
        <v>0</v>
      </c>
      <c r="FO132" s="255">
        <v>0</v>
      </c>
      <c r="FP132" s="255">
        <v>0</v>
      </c>
      <c r="FQ132" s="255">
        <v>0</v>
      </c>
      <c r="FR132" s="255">
        <v>0</v>
      </c>
      <c r="FS132" s="255">
        <v>0</v>
      </c>
      <c r="FT132" s="255">
        <v>0</v>
      </c>
      <c r="FU132" s="255">
        <v>0</v>
      </c>
      <c r="FV132" s="255">
        <v>0</v>
      </c>
      <c r="FW132" s="255">
        <v>0</v>
      </c>
      <c r="FX132" s="116"/>
    </row>
    <row r="133" spans="2:180" x14ac:dyDescent="0.2">
      <c r="B133" s="253" t="s">
        <v>216</v>
      </c>
      <c r="C133" s="253" t="s">
        <v>327</v>
      </c>
      <c r="D133" s="253" t="s">
        <v>258</v>
      </c>
      <c r="E133" s="253" t="s">
        <v>127</v>
      </c>
      <c r="F133" s="253">
        <v>0</v>
      </c>
      <c r="G133" s="253" t="s">
        <v>322</v>
      </c>
      <c r="H133" s="237">
        <v>221.91</v>
      </c>
      <c r="I133" s="126">
        <f t="shared" si="86"/>
        <v>221179</v>
      </c>
      <c r="J133" s="116"/>
      <c r="K133" s="254">
        <v>0</v>
      </c>
      <c r="L133" s="254">
        <v>0</v>
      </c>
      <c r="M133" s="254">
        <v>0</v>
      </c>
      <c r="N133" s="254">
        <v>0</v>
      </c>
      <c r="O133" s="254">
        <v>0</v>
      </c>
      <c r="P133" s="254">
        <v>0</v>
      </c>
      <c r="Q133" s="254">
        <v>0</v>
      </c>
      <c r="R133" s="254">
        <v>0</v>
      </c>
      <c r="S133" s="254">
        <v>0</v>
      </c>
      <c r="T133" s="254">
        <v>0</v>
      </c>
      <c r="U133" s="254">
        <v>0</v>
      </c>
      <c r="V133" s="254">
        <v>0</v>
      </c>
      <c r="W133" s="254">
        <v>0</v>
      </c>
      <c r="X133" s="254">
        <v>0</v>
      </c>
      <c r="Y133" s="254">
        <v>0</v>
      </c>
      <c r="Z133" s="254">
        <v>0</v>
      </c>
      <c r="AA133" s="254">
        <v>0</v>
      </c>
      <c r="AB133" s="254">
        <v>0</v>
      </c>
      <c r="AC133" s="254">
        <v>0</v>
      </c>
      <c r="AD133" s="254">
        <v>0</v>
      </c>
      <c r="AE133" s="254">
        <v>0</v>
      </c>
      <c r="AF133" s="254">
        <v>0.21428571428571427</v>
      </c>
      <c r="AG133" s="254">
        <v>0.21428571428571427</v>
      </c>
      <c r="AH133" s="254">
        <v>0.47619047619047616</v>
      </c>
      <c r="AI133" s="254">
        <v>0.47619047619047616</v>
      </c>
      <c r="AJ133" s="254">
        <v>0.35714285714285715</v>
      </c>
      <c r="AK133" s="254">
        <v>0</v>
      </c>
      <c r="AL133" s="254">
        <v>0</v>
      </c>
      <c r="AM133" s="254">
        <v>0</v>
      </c>
      <c r="AN133" s="254">
        <v>0</v>
      </c>
      <c r="AO133" s="254">
        <v>0</v>
      </c>
      <c r="AP133" s="254">
        <v>0.5714285714285714</v>
      </c>
      <c r="AQ133" s="254">
        <v>0.35714285714285715</v>
      </c>
      <c r="AR133" s="254">
        <v>0.35714285714285715</v>
      </c>
      <c r="AS133" s="254">
        <v>0.35714285714285715</v>
      </c>
      <c r="AT133" s="254">
        <v>0.47619047619047616</v>
      </c>
      <c r="AU133" s="254">
        <v>0</v>
      </c>
      <c r="AV133" s="254">
        <v>0</v>
      </c>
      <c r="AW133" s="254">
        <v>0</v>
      </c>
      <c r="AX133" s="254">
        <v>0</v>
      </c>
      <c r="AY133" s="254">
        <v>0</v>
      </c>
      <c r="AZ133" s="254">
        <v>0</v>
      </c>
      <c r="BA133" s="254">
        <v>0</v>
      </c>
      <c r="BB133" s="254">
        <v>0</v>
      </c>
      <c r="BC133" s="254">
        <v>0</v>
      </c>
      <c r="BD133" s="254">
        <v>0</v>
      </c>
      <c r="BE133" s="254">
        <v>0</v>
      </c>
      <c r="BF133" s="254">
        <v>0</v>
      </c>
      <c r="BG133" s="254">
        <v>0</v>
      </c>
      <c r="BH133" s="254">
        <v>0</v>
      </c>
      <c r="BI133" s="254">
        <v>0</v>
      </c>
      <c r="BJ133" s="254">
        <v>0</v>
      </c>
      <c r="BK133" s="254">
        <v>0</v>
      </c>
      <c r="BL133" s="254">
        <v>0</v>
      </c>
      <c r="BM133" s="254">
        <v>0</v>
      </c>
      <c r="BN133" s="254">
        <v>0</v>
      </c>
      <c r="BO133" s="254">
        <v>0</v>
      </c>
      <c r="BP133" s="254">
        <v>0</v>
      </c>
      <c r="BQ133" s="254">
        <v>0</v>
      </c>
      <c r="BR133" s="254">
        <v>0</v>
      </c>
      <c r="BS133" s="254">
        <v>0</v>
      </c>
      <c r="BT133" s="254">
        <v>0</v>
      </c>
      <c r="BU133" s="254">
        <v>0</v>
      </c>
      <c r="BV133" s="254">
        <v>0</v>
      </c>
      <c r="BW133" s="254">
        <v>0</v>
      </c>
      <c r="BX133" s="254">
        <v>0</v>
      </c>
      <c r="BY133" s="254">
        <v>0</v>
      </c>
      <c r="BZ133" s="254">
        <v>0</v>
      </c>
      <c r="CA133" s="254">
        <v>0</v>
      </c>
      <c r="CB133" s="254">
        <v>0</v>
      </c>
      <c r="CC133" s="254">
        <v>0</v>
      </c>
      <c r="CD133" s="254">
        <v>0</v>
      </c>
      <c r="CE133" s="254">
        <v>0</v>
      </c>
      <c r="CF133" s="254">
        <v>0</v>
      </c>
      <c r="CG133" s="254">
        <v>0</v>
      </c>
      <c r="CH133" s="254">
        <v>0</v>
      </c>
      <c r="CI133" s="254">
        <v>0</v>
      </c>
      <c r="CJ133" s="254">
        <v>0</v>
      </c>
      <c r="CK133" s="254">
        <v>0</v>
      </c>
      <c r="CL133" s="254">
        <v>0</v>
      </c>
      <c r="CM133" s="254">
        <v>0</v>
      </c>
      <c r="CN133" s="254">
        <v>0</v>
      </c>
      <c r="CO133" s="254">
        <v>0</v>
      </c>
      <c r="CP133" s="254">
        <v>0</v>
      </c>
      <c r="CQ133" s="116"/>
      <c r="CR133" s="255">
        <v>0</v>
      </c>
      <c r="CS133" s="255">
        <v>0</v>
      </c>
      <c r="CT133" s="255">
        <v>0</v>
      </c>
      <c r="CU133" s="255">
        <v>0</v>
      </c>
      <c r="CV133" s="255">
        <v>0</v>
      </c>
      <c r="CW133" s="255">
        <v>0</v>
      </c>
      <c r="CX133" s="255">
        <v>0</v>
      </c>
      <c r="CY133" s="255">
        <v>0</v>
      </c>
      <c r="CZ133" s="255">
        <v>0</v>
      </c>
      <c r="DA133" s="255">
        <v>0</v>
      </c>
      <c r="DB133" s="255">
        <v>0</v>
      </c>
      <c r="DC133" s="255">
        <v>0</v>
      </c>
      <c r="DD133" s="255">
        <v>0</v>
      </c>
      <c r="DE133" s="255">
        <v>0</v>
      </c>
      <c r="DF133" s="255">
        <v>0</v>
      </c>
      <c r="DG133" s="255">
        <v>0</v>
      </c>
      <c r="DH133" s="255">
        <v>0</v>
      </c>
      <c r="DI133" s="255">
        <v>0</v>
      </c>
      <c r="DJ133" s="255">
        <v>0</v>
      </c>
      <c r="DK133" s="255">
        <v>0</v>
      </c>
      <c r="DL133" s="255">
        <v>0</v>
      </c>
      <c r="DM133" s="255">
        <v>13314.6</v>
      </c>
      <c r="DN133" s="255">
        <v>13314.6</v>
      </c>
      <c r="DO133" s="255">
        <v>22191</v>
      </c>
      <c r="DP133" s="255">
        <v>22191</v>
      </c>
      <c r="DQ133" s="255">
        <v>22191</v>
      </c>
      <c r="DR133" s="255">
        <v>0</v>
      </c>
      <c r="DS133" s="255">
        <v>0</v>
      </c>
      <c r="DT133" s="255">
        <v>0</v>
      </c>
      <c r="DU133" s="255">
        <v>0</v>
      </c>
      <c r="DV133" s="255">
        <v>0</v>
      </c>
      <c r="DW133" s="255">
        <v>36564.800000000003</v>
      </c>
      <c r="DX133" s="255">
        <v>22853</v>
      </c>
      <c r="DY133" s="255">
        <v>22853</v>
      </c>
      <c r="DZ133" s="255">
        <v>22853</v>
      </c>
      <c r="EA133" s="255">
        <v>22853</v>
      </c>
      <c r="EB133" s="255">
        <v>0</v>
      </c>
      <c r="EC133" s="255">
        <v>0</v>
      </c>
      <c r="ED133" s="255">
        <v>0</v>
      </c>
      <c r="EE133" s="255">
        <v>0</v>
      </c>
      <c r="EF133" s="255">
        <v>0</v>
      </c>
      <c r="EG133" s="255">
        <v>0</v>
      </c>
      <c r="EH133" s="255">
        <v>0</v>
      </c>
      <c r="EI133" s="255">
        <v>0</v>
      </c>
      <c r="EJ133" s="255">
        <v>0</v>
      </c>
      <c r="EK133" s="255">
        <v>0</v>
      </c>
      <c r="EL133" s="255">
        <v>0</v>
      </c>
      <c r="EM133" s="255">
        <v>0</v>
      </c>
      <c r="EN133" s="255">
        <v>0</v>
      </c>
      <c r="EO133" s="255">
        <v>0</v>
      </c>
      <c r="EP133" s="255">
        <v>0</v>
      </c>
      <c r="EQ133" s="255">
        <v>0</v>
      </c>
      <c r="ER133" s="255">
        <v>0</v>
      </c>
      <c r="ES133" s="255">
        <v>0</v>
      </c>
      <c r="ET133" s="255">
        <v>0</v>
      </c>
      <c r="EU133" s="255">
        <v>0</v>
      </c>
      <c r="EV133" s="255">
        <v>0</v>
      </c>
      <c r="EW133" s="255">
        <v>0</v>
      </c>
      <c r="EX133" s="255">
        <v>0</v>
      </c>
      <c r="EY133" s="255">
        <v>0</v>
      </c>
      <c r="EZ133" s="255">
        <v>0</v>
      </c>
      <c r="FA133" s="255">
        <v>0</v>
      </c>
      <c r="FB133" s="255">
        <v>0</v>
      </c>
      <c r="FC133" s="255">
        <v>0</v>
      </c>
      <c r="FD133" s="255">
        <v>0</v>
      </c>
      <c r="FE133" s="255">
        <v>0</v>
      </c>
      <c r="FF133" s="255">
        <v>0</v>
      </c>
      <c r="FG133" s="255">
        <v>0</v>
      </c>
      <c r="FH133" s="255">
        <v>0</v>
      </c>
      <c r="FI133" s="255">
        <v>0</v>
      </c>
      <c r="FJ133" s="255">
        <v>0</v>
      </c>
      <c r="FK133" s="255">
        <v>0</v>
      </c>
      <c r="FL133" s="255">
        <v>0</v>
      </c>
      <c r="FM133" s="255">
        <v>0</v>
      </c>
      <c r="FN133" s="255">
        <v>0</v>
      </c>
      <c r="FO133" s="255">
        <v>0</v>
      </c>
      <c r="FP133" s="255">
        <v>0</v>
      </c>
      <c r="FQ133" s="255">
        <v>0</v>
      </c>
      <c r="FR133" s="255">
        <v>0</v>
      </c>
      <c r="FS133" s="255">
        <v>0</v>
      </c>
      <c r="FT133" s="255">
        <v>0</v>
      </c>
      <c r="FU133" s="255">
        <v>0</v>
      </c>
      <c r="FV133" s="255">
        <v>0</v>
      </c>
      <c r="FW133" s="255">
        <v>0</v>
      </c>
      <c r="FX133" s="116"/>
    </row>
    <row r="134" spans="2:180" x14ac:dyDescent="0.2">
      <c r="B134" s="253" t="s">
        <v>216</v>
      </c>
      <c r="C134" s="253" t="s">
        <v>328</v>
      </c>
      <c r="D134" s="253" t="s">
        <v>258</v>
      </c>
      <c r="E134" s="253" t="s">
        <v>127</v>
      </c>
      <c r="F134" s="253" t="s">
        <v>259</v>
      </c>
      <c r="G134" s="253" t="s">
        <v>260</v>
      </c>
      <c r="H134" s="237">
        <v>202.73</v>
      </c>
      <c r="I134" s="126">
        <f t="shared" si="86"/>
        <v>69842.639999999985</v>
      </c>
      <c r="J134" s="116"/>
      <c r="K134" s="254">
        <v>0</v>
      </c>
      <c r="L134" s="254">
        <v>0</v>
      </c>
      <c r="M134" s="254">
        <v>0</v>
      </c>
      <c r="N134" s="254">
        <v>0</v>
      </c>
      <c r="O134" s="254">
        <v>0</v>
      </c>
      <c r="P134" s="254">
        <v>0</v>
      </c>
      <c r="Q134" s="254">
        <v>0</v>
      </c>
      <c r="R134" s="254">
        <v>0</v>
      </c>
      <c r="S134" s="254">
        <v>0</v>
      </c>
      <c r="T134" s="254">
        <v>0</v>
      </c>
      <c r="U134" s="254">
        <v>0</v>
      </c>
      <c r="V134" s="254">
        <v>0</v>
      </c>
      <c r="W134" s="254">
        <v>0</v>
      </c>
      <c r="X134" s="254">
        <v>0</v>
      </c>
      <c r="Y134" s="254">
        <v>0</v>
      </c>
      <c r="Z134" s="254">
        <v>0</v>
      </c>
      <c r="AA134" s="254">
        <v>0</v>
      </c>
      <c r="AB134" s="254">
        <v>0</v>
      </c>
      <c r="AC134" s="254">
        <v>0.1</v>
      </c>
      <c r="AD134" s="254">
        <v>0.1</v>
      </c>
      <c r="AE134" s="254">
        <v>0.1</v>
      </c>
      <c r="AF134" s="254">
        <v>0.1</v>
      </c>
      <c r="AG134" s="254">
        <v>0.1</v>
      </c>
      <c r="AH134" s="254">
        <v>0.13333333333333333</v>
      </c>
      <c r="AI134" s="254">
        <v>0.13333333333333333</v>
      </c>
      <c r="AJ134" s="254">
        <v>0.1</v>
      </c>
      <c r="AK134" s="254">
        <v>0.1</v>
      </c>
      <c r="AL134" s="254">
        <v>0.13333333333333333</v>
      </c>
      <c r="AM134" s="254">
        <v>9.2105263157894732E-2</v>
      </c>
      <c r="AN134" s="254">
        <v>9.2105263157894732E-2</v>
      </c>
      <c r="AO134" s="254">
        <v>0.1</v>
      </c>
      <c r="AP134" s="254">
        <v>0.1</v>
      </c>
      <c r="AQ134" s="254">
        <v>0.1</v>
      </c>
      <c r="AR134" s="254">
        <v>0.1</v>
      </c>
      <c r="AS134" s="254">
        <v>0.1</v>
      </c>
      <c r="AT134" s="254">
        <v>0.13333333333333333</v>
      </c>
      <c r="AU134" s="254">
        <v>0.13333333333333333</v>
      </c>
      <c r="AV134" s="254">
        <v>0.1</v>
      </c>
      <c r="AW134" s="254">
        <v>0.1</v>
      </c>
      <c r="AX134" s="254">
        <v>0.13333333333333333</v>
      </c>
      <c r="AY134" s="254">
        <v>9.2105263157894732E-2</v>
      </c>
      <c r="AZ134" s="254">
        <v>9.2105263157894732E-2</v>
      </c>
      <c r="BA134" s="254">
        <v>0</v>
      </c>
      <c r="BB134" s="254">
        <v>0</v>
      </c>
      <c r="BC134" s="254">
        <v>0</v>
      </c>
      <c r="BD134" s="254">
        <v>0</v>
      </c>
      <c r="BE134" s="254">
        <v>0</v>
      </c>
      <c r="BF134" s="254">
        <v>0</v>
      </c>
      <c r="BG134" s="254">
        <v>0</v>
      </c>
      <c r="BH134" s="254">
        <v>0</v>
      </c>
      <c r="BI134" s="254">
        <v>0</v>
      </c>
      <c r="BJ134" s="254">
        <v>0</v>
      </c>
      <c r="BK134" s="254">
        <v>0</v>
      </c>
      <c r="BL134" s="254">
        <v>0</v>
      </c>
      <c r="BM134" s="254">
        <v>0</v>
      </c>
      <c r="BN134" s="254">
        <v>0</v>
      </c>
      <c r="BO134" s="254">
        <v>0</v>
      </c>
      <c r="BP134" s="254">
        <v>0</v>
      </c>
      <c r="BQ134" s="254">
        <v>0</v>
      </c>
      <c r="BR134" s="254">
        <v>0</v>
      </c>
      <c r="BS134" s="254">
        <v>0</v>
      </c>
      <c r="BT134" s="254">
        <v>0</v>
      </c>
      <c r="BU134" s="254">
        <v>0</v>
      </c>
      <c r="BV134" s="254">
        <v>0</v>
      </c>
      <c r="BW134" s="254">
        <v>0</v>
      </c>
      <c r="BX134" s="254">
        <v>0</v>
      </c>
      <c r="BY134" s="254">
        <v>0</v>
      </c>
      <c r="BZ134" s="254">
        <v>0</v>
      </c>
      <c r="CA134" s="254">
        <v>0</v>
      </c>
      <c r="CB134" s="254">
        <v>0</v>
      </c>
      <c r="CC134" s="254">
        <v>0</v>
      </c>
      <c r="CD134" s="254">
        <v>0</v>
      </c>
      <c r="CE134" s="254">
        <v>0</v>
      </c>
      <c r="CF134" s="254">
        <v>0</v>
      </c>
      <c r="CG134" s="254">
        <v>0</v>
      </c>
      <c r="CH134" s="254">
        <v>0</v>
      </c>
      <c r="CI134" s="254">
        <v>0</v>
      </c>
      <c r="CJ134" s="254">
        <v>0</v>
      </c>
      <c r="CK134" s="254">
        <v>0</v>
      </c>
      <c r="CL134" s="254">
        <v>0</v>
      </c>
      <c r="CM134" s="254">
        <v>0</v>
      </c>
      <c r="CN134" s="254">
        <v>0</v>
      </c>
      <c r="CO134" s="254">
        <v>0</v>
      </c>
      <c r="CP134" s="254">
        <v>0</v>
      </c>
      <c r="CQ134" s="116"/>
      <c r="CR134" s="255">
        <v>0</v>
      </c>
      <c r="CS134" s="255">
        <v>0</v>
      </c>
      <c r="CT134" s="255">
        <v>0</v>
      </c>
      <c r="CU134" s="255">
        <v>0</v>
      </c>
      <c r="CV134" s="255">
        <v>0</v>
      </c>
      <c r="CW134" s="255">
        <v>0</v>
      </c>
      <c r="CX134" s="255">
        <v>0</v>
      </c>
      <c r="CY134" s="255">
        <v>0</v>
      </c>
      <c r="CZ134" s="255">
        <v>0</v>
      </c>
      <c r="DA134" s="255">
        <v>0</v>
      </c>
      <c r="DB134" s="255">
        <v>0</v>
      </c>
      <c r="DC134" s="255">
        <v>0</v>
      </c>
      <c r="DD134" s="255">
        <v>0</v>
      </c>
      <c r="DE134" s="255">
        <v>0</v>
      </c>
      <c r="DF134" s="255">
        <v>0</v>
      </c>
      <c r="DG134" s="255">
        <v>0</v>
      </c>
      <c r="DH134" s="255">
        <v>0</v>
      </c>
      <c r="DI134" s="255">
        <v>0</v>
      </c>
      <c r="DJ134" s="255">
        <v>2838.22</v>
      </c>
      <c r="DK134" s="255">
        <v>2838.22</v>
      </c>
      <c r="DL134" s="255">
        <v>2838.22</v>
      </c>
      <c r="DM134" s="255">
        <v>2838.22</v>
      </c>
      <c r="DN134" s="255">
        <v>2838.22</v>
      </c>
      <c r="DO134" s="255">
        <v>2838.22</v>
      </c>
      <c r="DP134" s="255">
        <v>2838.22</v>
      </c>
      <c r="DQ134" s="255">
        <v>2838.22</v>
      </c>
      <c r="DR134" s="255">
        <v>2924.46</v>
      </c>
      <c r="DS134" s="255">
        <v>2924.46</v>
      </c>
      <c r="DT134" s="255">
        <v>2924.46</v>
      </c>
      <c r="DU134" s="255">
        <v>2924.46</v>
      </c>
      <c r="DV134" s="255">
        <v>2924.46</v>
      </c>
      <c r="DW134" s="255">
        <v>2924.46</v>
      </c>
      <c r="DX134" s="255">
        <v>2924.46</v>
      </c>
      <c r="DY134" s="255">
        <v>2924.46</v>
      </c>
      <c r="DZ134" s="255">
        <v>2924.46</v>
      </c>
      <c r="EA134" s="255">
        <v>2924.46</v>
      </c>
      <c r="EB134" s="255">
        <v>2924.46</v>
      </c>
      <c r="EC134" s="255">
        <v>2924.46</v>
      </c>
      <c r="ED134" s="255">
        <v>3010.84</v>
      </c>
      <c r="EE134" s="255">
        <v>3010.84</v>
      </c>
      <c r="EF134" s="255">
        <v>3010.84</v>
      </c>
      <c r="EG134" s="255">
        <v>3010.84</v>
      </c>
      <c r="EH134" s="255">
        <v>0</v>
      </c>
      <c r="EI134" s="255">
        <v>0</v>
      </c>
      <c r="EJ134" s="255">
        <v>0</v>
      </c>
      <c r="EK134" s="255">
        <v>0</v>
      </c>
      <c r="EL134" s="255">
        <v>0</v>
      </c>
      <c r="EM134" s="255">
        <v>0</v>
      </c>
      <c r="EN134" s="255">
        <v>0</v>
      </c>
      <c r="EO134" s="255">
        <v>0</v>
      </c>
      <c r="EP134" s="255">
        <v>0</v>
      </c>
      <c r="EQ134" s="255">
        <v>0</v>
      </c>
      <c r="ER134" s="255">
        <v>0</v>
      </c>
      <c r="ES134" s="255">
        <v>0</v>
      </c>
      <c r="ET134" s="255">
        <v>0</v>
      </c>
      <c r="EU134" s="255">
        <v>0</v>
      </c>
      <c r="EV134" s="255">
        <v>0</v>
      </c>
      <c r="EW134" s="255">
        <v>0</v>
      </c>
      <c r="EX134" s="255">
        <v>0</v>
      </c>
      <c r="EY134" s="255">
        <v>0</v>
      </c>
      <c r="EZ134" s="255">
        <v>0</v>
      </c>
      <c r="FA134" s="255">
        <v>0</v>
      </c>
      <c r="FB134" s="255">
        <v>0</v>
      </c>
      <c r="FC134" s="255">
        <v>0</v>
      </c>
      <c r="FD134" s="255">
        <v>0</v>
      </c>
      <c r="FE134" s="255">
        <v>0</v>
      </c>
      <c r="FF134" s="255">
        <v>0</v>
      </c>
      <c r="FG134" s="255">
        <v>0</v>
      </c>
      <c r="FH134" s="255">
        <v>0</v>
      </c>
      <c r="FI134" s="255">
        <v>0</v>
      </c>
      <c r="FJ134" s="255">
        <v>0</v>
      </c>
      <c r="FK134" s="255">
        <v>0</v>
      </c>
      <c r="FL134" s="255">
        <v>0</v>
      </c>
      <c r="FM134" s="255">
        <v>0</v>
      </c>
      <c r="FN134" s="255">
        <v>0</v>
      </c>
      <c r="FO134" s="255">
        <v>0</v>
      </c>
      <c r="FP134" s="255">
        <v>0</v>
      </c>
      <c r="FQ134" s="255">
        <v>0</v>
      </c>
      <c r="FR134" s="255">
        <v>0</v>
      </c>
      <c r="FS134" s="255">
        <v>0</v>
      </c>
      <c r="FT134" s="255">
        <v>0</v>
      </c>
      <c r="FU134" s="255">
        <v>0</v>
      </c>
      <c r="FV134" s="255">
        <v>0</v>
      </c>
      <c r="FW134" s="255">
        <v>0</v>
      </c>
      <c r="FX134" s="116"/>
    </row>
    <row r="135" spans="2:180" x14ac:dyDescent="0.2">
      <c r="B135" s="253" t="s">
        <v>216</v>
      </c>
      <c r="C135" s="253" t="s">
        <v>271</v>
      </c>
      <c r="D135" s="253" t="s">
        <v>258</v>
      </c>
      <c r="E135" s="253" t="s">
        <v>127</v>
      </c>
      <c r="F135" s="253" t="s">
        <v>259</v>
      </c>
      <c r="G135" s="253" t="s">
        <v>260</v>
      </c>
      <c r="H135" s="237">
        <v>202.73</v>
      </c>
      <c r="I135" s="126">
        <f t="shared" ref="I135:I198" si="87">SUM(CR135:FW135)</f>
        <v>201909.39999999994</v>
      </c>
      <c r="J135" s="116"/>
      <c r="K135" s="254">
        <v>0</v>
      </c>
      <c r="L135" s="254">
        <v>0</v>
      </c>
      <c r="M135" s="254">
        <v>0</v>
      </c>
      <c r="N135" s="254">
        <v>0</v>
      </c>
      <c r="O135" s="254">
        <v>0</v>
      </c>
      <c r="P135" s="254">
        <v>0</v>
      </c>
      <c r="Q135" s="254">
        <v>0</v>
      </c>
      <c r="R135" s="254">
        <v>0</v>
      </c>
      <c r="S135" s="254">
        <v>0</v>
      </c>
      <c r="T135" s="254">
        <v>0</v>
      </c>
      <c r="U135" s="254">
        <v>0</v>
      </c>
      <c r="V135" s="254">
        <v>0</v>
      </c>
      <c r="W135" s="254">
        <v>0</v>
      </c>
      <c r="X135" s="254">
        <v>0</v>
      </c>
      <c r="Y135" s="254">
        <v>0</v>
      </c>
      <c r="Z135" s="254">
        <v>0</v>
      </c>
      <c r="AA135" s="254">
        <v>0</v>
      </c>
      <c r="AB135" s="254">
        <v>0</v>
      </c>
      <c r="AC135" s="254">
        <v>0.5</v>
      </c>
      <c r="AD135" s="254">
        <v>0.5</v>
      </c>
      <c r="AE135" s="254">
        <v>0.5</v>
      </c>
      <c r="AF135" s="254">
        <v>0.5</v>
      </c>
      <c r="AG135" s="254">
        <v>0</v>
      </c>
      <c r="AH135" s="254">
        <v>0.33333333333333331</v>
      </c>
      <c r="AI135" s="254">
        <v>0.33333333333333331</v>
      </c>
      <c r="AJ135" s="254">
        <v>0.75</v>
      </c>
      <c r="AK135" s="254">
        <v>0.5</v>
      </c>
      <c r="AL135" s="254">
        <v>0.66666666666666663</v>
      </c>
      <c r="AM135" s="254">
        <v>0.46052631578947367</v>
      </c>
      <c r="AN135" s="254">
        <v>0.46052631578947367</v>
      </c>
      <c r="AO135" s="254">
        <v>0.5</v>
      </c>
      <c r="AP135" s="254">
        <v>0.25</v>
      </c>
      <c r="AQ135" s="254">
        <v>0.25</v>
      </c>
      <c r="AR135" s="254">
        <v>0.25</v>
      </c>
      <c r="AS135" s="254">
        <v>0.25</v>
      </c>
      <c r="AT135" s="254">
        <v>0.33333333333333331</v>
      </c>
      <c r="AU135" s="254">
        <v>0</v>
      </c>
      <c r="AV135" s="254">
        <v>0</v>
      </c>
      <c r="AW135" s="254">
        <v>0</v>
      </c>
      <c r="AX135" s="254">
        <v>0</v>
      </c>
      <c r="AY135" s="254">
        <v>0</v>
      </c>
      <c r="AZ135" s="254">
        <v>0</v>
      </c>
      <c r="BA135" s="254">
        <v>0</v>
      </c>
      <c r="BB135" s="254">
        <v>0</v>
      </c>
      <c r="BC135" s="254">
        <v>0</v>
      </c>
      <c r="BD135" s="254">
        <v>0</v>
      </c>
      <c r="BE135" s="254">
        <v>0</v>
      </c>
      <c r="BF135" s="254">
        <v>0</v>
      </c>
      <c r="BG135" s="254">
        <v>0</v>
      </c>
      <c r="BH135" s="254">
        <v>0</v>
      </c>
      <c r="BI135" s="254">
        <v>0</v>
      </c>
      <c r="BJ135" s="254">
        <v>0</v>
      </c>
      <c r="BK135" s="254">
        <v>0</v>
      </c>
      <c r="BL135" s="254">
        <v>0</v>
      </c>
      <c r="BM135" s="254">
        <v>0</v>
      </c>
      <c r="BN135" s="254">
        <v>0</v>
      </c>
      <c r="BO135" s="254">
        <v>0</v>
      </c>
      <c r="BP135" s="254">
        <v>0</v>
      </c>
      <c r="BQ135" s="254">
        <v>0</v>
      </c>
      <c r="BR135" s="254">
        <v>0</v>
      </c>
      <c r="BS135" s="254">
        <v>0</v>
      </c>
      <c r="BT135" s="254">
        <v>0</v>
      </c>
      <c r="BU135" s="254">
        <v>0</v>
      </c>
      <c r="BV135" s="254">
        <v>0</v>
      </c>
      <c r="BW135" s="254">
        <v>0</v>
      </c>
      <c r="BX135" s="254">
        <v>0</v>
      </c>
      <c r="BY135" s="254">
        <v>0</v>
      </c>
      <c r="BZ135" s="254">
        <v>0</v>
      </c>
      <c r="CA135" s="254">
        <v>0</v>
      </c>
      <c r="CB135" s="254">
        <v>0</v>
      </c>
      <c r="CC135" s="254">
        <v>0</v>
      </c>
      <c r="CD135" s="254">
        <v>0</v>
      </c>
      <c r="CE135" s="254">
        <v>0</v>
      </c>
      <c r="CF135" s="254">
        <v>0</v>
      </c>
      <c r="CG135" s="254">
        <v>0</v>
      </c>
      <c r="CH135" s="254">
        <v>0</v>
      </c>
      <c r="CI135" s="254">
        <v>0</v>
      </c>
      <c r="CJ135" s="254">
        <v>0</v>
      </c>
      <c r="CK135" s="254">
        <v>0</v>
      </c>
      <c r="CL135" s="254">
        <v>0</v>
      </c>
      <c r="CM135" s="254">
        <v>0</v>
      </c>
      <c r="CN135" s="254">
        <v>0</v>
      </c>
      <c r="CO135" s="254">
        <v>0</v>
      </c>
      <c r="CP135" s="254">
        <v>0</v>
      </c>
      <c r="CQ135" s="116"/>
      <c r="CR135" s="255">
        <v>0</v>
      </c>
      <c r="CS135" s="255">
        <v>0</v>
      </c>
      <c r="CT135" s="255">
        <v>0</v>
      </c>
      <c r="CU135" s="255">
        <v>0</v>
      </c>
      <c r="CV135" s="255">
        <v>0</v>
      </c>
      <c r="CW135" s="255">
        <v>0</v>
      </c>
      <c r="CX135" s="255">
        <v>0</v>
      </c>
      <c r="CY135" s="255">
        <v>0</v>
      </c>
      <c r="CZ135" s="255">
        <v>0</v>
      </c>
      <c r="DA135" s="255">
        <v>0</v>
      </c>
      <c r="DB135" s="255">
        <v>0</v>
      </c>
      <c r="DC135" s="255">
        <v>0</v>
      </c>
      <c r="DD135" s="255">
        <v>0</v>
      </c>
      <c r="DE135" s="255">
        <v>0</v>
      </c>
      <c r="DF135" s="255">
        <v>0</v>
      </c>
      <c r="DG135" s="255">
        <v>0</v>
      </c>
      <c r="DH135" s="255">
        <v>0</v>
      </c>
      <c r="DI135" s="255">
        <v>0</v>
      </c>
      <c r="DJ135" s="255">
        <v>14191.099999999999</v>
      </c>
      <c r="DK135" s="255">
        <v>14191.099999999999</v>
      </c>
      <c r="DL135" s="255">
        <v>14191.099999999999</v>
      </c>
      <c r="DM135" s="255">
        <v>14191.099999999999</v>
      </c>
      <c r="DN135" s="255">
        <v>0</v>
      </c>
      <c r="DO135" s="255">
        <v>7095.5499999999993</v>
      </c>
      <c r="DP135" s="255">
        <v>7095.5499999999993</v>
      </c>
      <c r="DQ135" s="255">
        <v>21286.649999999998</v>
      </c>
      <c r="DR135" s="255">
        <v>14622.3</v>
      </c>
      <c r="DS135" s="255">
        <v>14622.3</v>
      </c>
      <c r="DT135" s="255">
        <v>14622.3</v>
      </c>
      <c r="DU135" s="255">
        <v>14622.3</v>
      </c>
      <c r="DV135" s="255">
        <v>14622.3</v>
      </c>
      <c r="DW135" s="255">
        <v>7311.15</v>
      </c>
      <c r="DX135" s="255">
        <v>7311.15</v>
      </c>
      <c r="DY135" s="255">
        <v>7311.15</v>
      </c>
      <c r="DZ135" s="255">
        <v>7311.15</v>
      </c>
      <c r="EA135" s="255">
        <v>7311.15</v>
      </c>
      <c r="EB135" s="255">
        <v>0</v>
      </c>
      <c r="EC135" s="255">
        <v>0</v>
      </c>
      <c r="ED135" s="255">
        <v>0</v>
      </c>
      <c r="EE135" s="255">
        <v>0</v>
      </c>
      <c r="EF135" s="255">
        <v>0</v>
      </c>
      <c r="EG135" s="255">
        <v>0</v>
      </c>
      <c r="EH135" s="255">
        <v>0</v>
      </c>
      <c r="EI135" s="255">
        <v>0</v>
      </c>
      <c r="EJ135" s="255">
        <v>0</v>
      </c>
      <c r="EK135" s="255">
        <v>0</v>
      </c>
      <c r="EL135" s="255">
        <v>0</v>
      </c>
      <c r="EM135" s="255">
        <v>0</v>
      </c>
      <c r="EN135" s="255">
        <v>0</v>
      </c>
      <c r="EO135" s="255">
        <v>0</v>
      </c>
      <c r="EP135" s="255">
        <v>0</v>
      </c>
      <c r="EQ135" s="255">
        <v>0</v>
      </c>
      <c r="ER135" s="255">
        <v>0</v>
      </c>
      <c r="ES135" s="255">
        <v>0</v>
      </c>
      <c r="ET135" s="255">
        <v>0</v>
      </c>
      <c r="EU135" s="255">
        <v>0</v>
      </c>
      <c r="EV135" s="255">
        <v>0</v>
      </c>
      <c r="EW135" s="255">
        <v>0</v>
      </c>
      <c r="EX135" s="255">
        <v>0</v>
      </c>
      <c r="EY135" s="255">
        <v>0</v>
      </c>
      <c r="EZ135" s="255">
        <v>0</v>
      </c>
      <c r="FA135" s="255">
        <v>0</v>
      </c>
      <c r="FB135" s="255">
        <v>0</v>
      </c>
      <c r="FC135" s="255">
        <v>0</v>
      </c>
      <c r="FD135" s="255">
        <v>0</v>
      </c>
      <c r="FE135" s="255">
        <v>0</v>
      </c>
      <c r="FF135" s="255">
        <v>0</v>
      </c>
      <c r="FG135" s="255">
        <v>0</v>
      </c>
      <c r="FH135" s="255">
        <v>0</v>
      </c>
      <c r="FI135" s="255">
        <v>0</v>
      </c>
      <c r="FJ135" s="255">
        <v>0</v>
      </c>
      <c r="FK135" s="255">
        <v>0</v>
      </c>
      <c r="FL135" s="255">
        <v>0</v>
      </c>
      <c r="FM135" s="255">
        <v>0</v>
      </c>
      <c r="FN135" s="255">
        <v>0</v>
      </c>
      <c r="FO135" s="255">
        <v>0</v>
      </c>
      <c r="FP135" s="255">
        <v>0</v>
      </c>
      <c r="FQ135" s="255">
        <v>0</v>
      </c>
      <c r="FR135" s="255">
        <v>0</v>
      </c>
      <c r="FS135" s="255">
        <v>0</v>
      </c>
      <c r="FT135" s="255">
        <v>0</v>
      </c>
      <c r="FU135" s="255">
        <v>0</v>
      </c>
      <c r="FV135" s="255">
        <v>0</v>
      </c>
      <c r="FW135" s="255">
        <v>0</v>
      </c>
      <c r="FX135" s="116"/>
    </row>
    <row r="136" spans="2:180" x14ac:dyDescent="0.2">
      <c r="B136" s="253" t="s">
        <v>216</v>
      </c>
      <c r="C136" s="253" t="s">
        <v>329</v>
      </c>
      <c r="D136" s="253" t="s">
        <v>258</v>
      </c>
      <c r="E136" s="253" t="s">
        <v>127</v>
      </c>
      <c r="F136" s="253" t="s">
        <v>259</v>
      </c>
      <c r="G136" s="253" t="s">
        <v>260</v>
      </c>
      <c r="H136" s="237">
        <v>195.66</v>
      </c>
      <c r="I136" s="126">
        <f t="shared" si="87"/>
        <v>215396.15999999997</v>
      </c>
      <c r="J136" s="116"/>
      <c r="K136" s="254">
        <v>0</v>
      </c>
      <c r="L136" s="254">
        <v>0</v>
      </c>
      <c r="M136" s="254">
        <v>0</v>
      </c>
      <c r="N136" s="254">
        <v>0</v>
      </c>
      <c r="O136" s="254">
        <v>0</v>
      </c>
      <c r="P136" s="254">
        <v>0</v>
      </c>
      <c r="Q136" s="254">
        <v>0</v>
      </c>
      <c r="R136" s="254">
        <v>0</v>
      </c>
      <c r="S136" s="254">
        <v>0</v>
      </c>
      <c r="T136" s="254">
        <v>0</v>
      </c>
      <c r="U136" s="254">
        <v>0</v>
      </c>
      <c r="V136" s="254">
        <v>0</v>
      </c>
      <c r="W136" s="254">
        <v>0</v>
      </c>
      <c r="X136" s="254">
        <v>0</v>
      </c>
      <c r="Y136" s="254">
        <v>0</v>
      </c>
      <c r="Z136" s="254">
        <v>0</v>
      </c>
      <c r="AA136" s="254">
        <v>0</v>
      </c>
      <c r="AB136" s="254">
        <v>0</v>
      </c>
      <c r="AC136" s="254">
        <v>0</v>
      </c>
      <c r="AD136" s="254">
        <v>0</v>
      </c>
      <c r="AE136" s="254">
        <v>0</v>
      </c>
      <c r="AF136" s="254">
        <v>1.1000000000000001</v>
      </c>
      <c r="AG136" s="254">
        <v>1.55</v>
      </c>
      <c r="AH136" s="254">
        <v>0</v>
      </c>
      <c r="AI136" s="254">
        <v>2.0666666666666669</v>
      </c>
      <c r="AJ136" s="254">
        <v>1.5</v>
      </c>
      <c r="AK136" s="254">
        <v>0</v>
      </c>
      <c r="AL136" s="254">
        <v>0</v>
      </c>
      <c r="AM136" s="254">
        <v>0</v>
      </c>
      <c r="AN136" s="254">
        <v>0</v>
      </c>
      <c r="AO136" s="254">
        <v>0</v>
      </c>
      <c r="AP136" s="254">
        <v>1.1000000000000001</v>
      </c>
      <c r="AQ136" s="254">
        <v>0.5</v>
      </c>
      <c r="AR136" s="254">
        <v>0.5</v>
      </c>
      <c r="AS136" s="254">
        <v>0</v>
      </c>
      <c r="AT136" s="254">
        <v>0</v>
      </c>
      <c r="AU136" s="254">
        <v>0</v>
      </c>
      <c r="AV136" s="254">
        <v>0</v>
      </c>
      <c r="AW136" s="254">
        <v>0</v>
      </c>
      <c r="AX136" s="254">
        <v>0</v>
      </c>
      <c r="AY136" s="254">
        <v>0</v>
      </c>
      <c r="AZ136" s="254">
        <v>0</v>
      </c>
      <c r="BA136" s="254">
        <v>0</v>
      </c>
      <c r="BB136" s="254">
        <v>0</v>
      </c>
      <c r="BC136" s="254">
        <v>0</v>
      </c>
      <c r="BD136" s="254">
        <v>0</v>
      </c>
      <c r="BE136" s="254">
        <v>0</v>
      </c>
      <c r="BF136" s="254">
        <v>0</v>
      </c>
      <c r="BG136" s="254">
        <v>0</v>
      </c>
      <c r="BH136" s="254">
        <v>0</v>
      </c>
      <c r="BI136" s="254">
        <v>0</v>
      </c>
      <c r="BJ136" s="254">
        <v>0</v>
      </c>
      <c r="BK136" s="254">
        <v>0</v>
      </c>
      <c r="BL136" s="254">
        <v>0</v>
      </c>
      <c r="BM136" s="254">
        <v>0</v>
      </c>
      <c r="BN136" s="254">
        <v>0</v>
      </c>
      <c r="BO136" s="254">
        <v>0</v>
      </c>
      <c r="BP136" s="254">
        <v>0</v>
      </c>
      <c r="BQ136" s="254">
        <v>0</v>
      </c>
      <c r="BR136" s="254">
        <v>0</v>
      </c>
      <c r="BS136" s="254">
        <v>0</v>
      </c>
      <c r="BT136" s="254">
        <v>0</v>
      </c>
      <c r="BU136" s="254">
        <v>0</v>
      </c>
      <c r="BV136" s="254">
        <v>0</v>
      </c>
      <c r="BW136" s="254">
        <v>0</v>
      </c>
      <c r="BX136" s="254">
        <v>0</v>
      </c>
      <c r="BY136" s="254">
        <v>0</v>
      </c>
      <c r="BZ136" s="254">
        <v>0</v>
      </c>
      <c r="CA136" s="254">
        <v>0</v>
      </c>
      <c r="CB136" s="254">
        <v>0</v>
      </c>
      <c r="CC136" s="254">
        <v>0</v>
      </c>
      <c r="CD136" s="254">
        <v>0</v>
      </c>
      <c r="CE136" s="254">
        <v>0</v>
      </c>
      <c r="CF136" s="254">
        <v>0</v>
      </c>
      <c r="CG136" s="254">
        <v>0</v>
      </c>
      <c r="CH136" s="254">
        <v>0</v>
      </c>
      <c r="CI136" s="254">
        <v>0</v>
      </c>
      <c r="CJ136" s="254">
        <v>0</v>
      </c>
      <c r="CK136" s="254">
        <v>0</v>
      </c>
      <c r="CL136" s="254">
        <v>0</v>
      </c>
      <c r="CM136" s="254">
        <v>0</v>
      </c>
      <c r="CN136" s="254">
        <v>0</v>
      </c>
      <c r="CO136" s="254">
        <v>0</v>
      </c>
      <c r="CP136" s="254">
        <v>0</v>
      </c>
      <c r="CQ136" s="116"/>
      <c r="CR136" s="255">
        <v>0</v>
      </c>
      <c r="CS136" s="255">
        <v>0</v>
      </c>
      <c r="CT136" s="255">
        <v>0</v>
      </c>
      <c r="CU136" s="255">
        <v>0</v>
      </c>
      <c r="CV136" s="255">
        <v>0</v>
      </c>
      <c r="CW136" s="255">
        <v>0</v>
      </c>
      <c r="CX136" s="255">
        <v>0</v>
      </c>
      <c r="CY136" s="255">
        <v>0</v>
      </c>
      <c r="CZ136" s="255">
        <v>0</v>
      </c>
      <c r="DA136" s="255">
        <v>0</v>
      </c>
      <c r="DB136" s="255">
        <v>0</v>
      </c>
      <c r="DC136" s="255">
        <v>0</v>
      </c>
      <c r="DD136" s="255">
        <v>0</v>
      </c>
      <c r="DE136" s="255">
        <v>0</v>
      </c>
      <c r="DF136" s="255">
        <v>0</v>
      </c>
      <c r="DG136" s="255">
        <v>0</v>
      </c>
      <c r="DH136" s="255">
        <v>0</v>
      </c>
      <c r="DI136" s="255">
        <v>0</v>
      </c>
      <c r="DJ136" s="255">
        <v>0</v>
      </c>
      <c r="DK136" s="255">
        <v>0</v>
      </c>
      <c r="DL136" s="255">
        <v>0</v>
      </c>
      <c r="DM136" s="255">
        <v>30130.100000000002</v>
      </c>
      <c r="DN136" s="255">
        <v>42456.05</v>
      </c>
      <c r="DO136" s="255">
        <v>0</v>
      </c>
      <c r="DP136" s="255">
        <v>42456.05</v>
      </c>
      <c r="DQ136" s="255">
        <v>41086.5</v>
      </c>
      <c r="DR136" s="255">
        <v>0</v>
      </c>
      <c r="DS136" s="255">
        <v>0</v>
      </c>
      <c r="DT136" s="255">
        <v>0</v>
      </c>
      <c r="DU136" s="255">
        <v>0</v>
      </c>
      <c r="DV136" s="255">
        <v>0</v>
      </c>
      <c r="DW136" s="255">
        <v>31044.86</v>
      </c>
      <c r="DX136" s="255">
        <v>14111.300000000001</v>
      </c>
      <c r="DY136" s="255">
        <v>14111.300000000001</v>
      </c>
      <c r="DZ136" s="255">
        <v>0</v>
      </c>
      <c r="EA136" s="255">
        <v>0</v>
      </c>
      <c r="EB136" s="255">
        <v>0</v>
      </c>
      <c r="EC136" s="255">
        <v>0</v>
      </c>
      <c r="ED136" s="255">
        <v>0</v>
      </c>
      <c r="EE136" s="255">
        <v>0</v>
      </c>
      <c r="EF136" s="255">
        <v>0</v>
      </c>
      <c r="EG136" s="255">
        <v>0</v>
      </c>
      <c r="EH136" s="255">
        <v>0</v>
      </c>
      <c r="EI136" s="255">
        <v>0</v>
      </c>
      <c r="EJ136" s="255">
        <v>0</v>
      </c>
      <c r="EK136" s="255">
        <v>0</v>
      </c>
      <c r="EL136" s="255">
        <v>0</v>
      </c>
      <c r="EM136" s="255">
        <v>0</v>
      </c>
      <c r="EN136" s="255">
        <v>0</v>
      </c>
      <c r="EO136" s="255">
        <v>0</v>
      </c>
      <c r="EP136" s="255">
        <v>0</v>
      </c>
      <c r="EQ136" s="255">
        <v>0</v>
      </c>
      <c r="ER136" s="255">
        <v>0</v>
      </c>
      <c r="ES136" s="255">
        <v>0</v>
      </c>
      <c r="ET136" s="255">
        <v>0</v>
      </c>
      <c r="EU136" s="255">
        <v>0</v>
      </c>
      <c r="EV136" s="255">
        <v>0</v>
      </c>
      <c r="EW136" s="255">
        <v>0</v>
      </c>
      <c r="EX136" s="255">
        <v>0</v>
      </c>
      <c r="EY136" s="255">
        <v>0</v>
      </c>
      <c r="EZ136" s="255">
        <v>0</v>
      </c>
      <c r="FA136" s="255">
        <v>0</v>
      </c>
      <c r="FB136" s="255">
        <v>0</v>
      </c>
      <c r="FC136" s="255">
        <v>0</v>
      </c>
      <c r="FD136" s="255">
        <v>0</v>
      </c>
      <c r="FE136" s="255">
        <v>0</v>
      </c>
      <c r="FF136" s="255">
        <v>0</v>
      </c>
      <c r="FG136" s="255">
        <v>0</v>
      </c>
      <c r="FH136" s="255">
        <v>0</v>
      </c>
      <c r="FI136" s="255">
        <v>0</v>
      </c>
      <c r="FJ136" s="255">
        <v>0</v>
      </c>
      <c r="FK136" s="255">
        <v>0</v>
      </c>
      <c r="FL136" s="255">
        <v>0</v>
      </c>
      <c r="FM136" s="255">
        <v>0</v>
      </c>
      <c r="FN136" s="255">
        <v>0</v>
      </c>
      <c r="FO136" s="255">
        <v>0</v>
      </c>
      <c r="FP136" s="255">
        <v>0</v>
      </c>
      <c r="FQ136" s="255">
        <v>0</v>
      </c>
      <c r="FR136" s="255">
        <v>0</v>
      </c>
      <c r="FS136" s="255">
        <v>0</v>
      </c>
      <c r="FT136" s="255">
        <v>0</v>
      </c>
      <c r="FU136" s="255">
        <v>0</v>
      </c>
      <c r="FV136" s="255">
        <v>0</v>
      </c>
      <c r="FW136" s="255">
        <v>0</v>
      </c>
      <c r="FX136" s="116"/>
    </row>
    <row r="137" spans="2:180" x14ac:dyDescent="0.2">
      <c r="B137" s="253" t="s">
        <v>216</v>
      </c>
      <c r="C137" s="253" t="s">
        <v>329</v>
      </c>
      <c r="D137" s="253" t="s">
        <v>258</v>
      </c>
      <c r="E137" s="253" t="s">
        <v>127</v>
      </c>
      <c r="F137" s="253">
        <v>0</v>
      </c>
      <c r="G137" s="253" t="s">
        <v>322</v>
      </c>
      <c r="H137" s="237">
        <v>195.66</v>
      </c>
      <c r="I137" s="126">
        <f t="shared" si="87"/>
        <v>130437.99999999999</v>
      </c>
      <c r="J137" s="116"/>
      <c r="K137" s="254">
        <v>0</v>
      </c>
      <c r="L137" s="254">
        <v>0</v>
      </c>
      <c r="M137" s="254">
        <v>0</v>
      </c>
      <c r="N137" s="254">
        <v>0</v>
      </c>
      <c r="O137" s="254">
        <v>0</v>
      </c>
      <c r="P137" s="254">
        <v>0</v>
      </c>
      <c r="Q137" s="254">
        <v>0</v>
      </c>
      <c r="R137" s="254">
        <v>0</v>
      </c>
      <c r="S137" s="254">
        <v>0</v>
      </c>
      <c r="T137" s="254">
        <v>0</v>
      </c>
      <c r="U137" s="254">
        <v>0</v>
      </c>
      <c r="V137" s="254">
        <v>0</v>
      </c>
      <c r="W137" s="254">
        <v>0</v>
      </c>
      <c r="X137" s="254">
        <v>0</v>
      </c>
      <c r="Y137" s="254">
        <v>0</v>
      </c>
      <c r="Z137" s="254">
        <v>0</v>
      </c>
      <c r="AA137" s="254">
        <v>0</v>
      </c>
      <c r="AB137" s="254">
        <v>0</v>
      </c>
      <c r="AC137" s="254">
        <v>0</v>
      </c>
      <c r="AD137" s="254">
        <v>0</v>
      </c>
      <c r="AE137" s="254">
        <v>0</v>
      </c>
      <c r="AF137" s="254">
        <v>0.35714285714285715</v>
      </c>
      <c r="AG137" s="254">
        <v>0.35714285714285715</v>
      </c>
      <c r="AH137" s="254">
        <v>0</v>
      </c>
      <c r="AI137" s="254">
        <v>0.5714285714285714</v>
      </c>
      <c r="AJ137" s="254">
        <v>0.42857142857142855</v>
      </c>
      <c r="AK137" s="254">
        <v>0</v>
      </c>
      <c r="AL137" s="254">
        <v>0</v>
      </c>
      <c r="AM137" s="254">
        <v>0</v>
      </c>
      <c r="AN137" s="254">
        <v>0</v>
      </c>
      <c r="AO137" s="254">
        <v>0</v>
      </c>
      <c r="AP137" s="254">
        <v>0.35714285714285715</v>
      </c>
      <c r="AQ137" s="254">
        <v>0.21428571428571427</v>
      </c>
      <c r="AR137" s="254">
        <v>0.21428571428571427</v>
      </c>
      <c r="AS137" s="254">
        <v>0</v>
      </c>
      <c r="AT137" s="254">
        <v>0</v>
      </c>
      <c r="AU137" s="254">
        <v>0</v>
      </c>
      <c r="AV137" s="254">
        <v>0</v>
      </c>
      <c r="AW137" s="254">
        <v>0</v>
      </c>
      <c r="AX137" s="254">
        <v>0</v>
      </c>
      <c r="AY137" s="254">
        <v>0</v>
      </c>
      <c r="AZ137" s="254">
        <v>0</v>
      </c>
      <c r="BA137" s="254">
        <v>0</v>
      </c>
      <c r="BB137" s="254">
        <v>0</v>
      </c>
      <c r="BC137" s="254">
        <v>0</v>
      </c>
      <c r="BD137" s="254">
        <v>0</v>
      </c>
      <c r="BE137" s="254">
        <v>0</v>
      </c>
      <c r="BF137" s="254">
        <v>0</v>
      </c>
      <c r="BG137" s="254">
        <v>0</v>
      </c>
      <c r="BH137" s="254">
        <v>0</v>
      </c>
      <c r="BI137" s="254">
        <v>0</v>
      </c>
      <c r="BJ137" s="254">
        <v>0</v>
      </c>
      <c r="BK137" s="254">
        <v>0</v>
      </c>
      <c r="BL137" s="254">
        <v>0</v>
      </c>
      <c r="BM137" s="254">
        <v>0</v>
      </c>
      <c r="BN137" s="254">
        <v>0</v>
      </c>
      <c r="BO137" s="254">
        <v>0</v>
      </c>
      <c r="BP137" s="254">
        <v>0</v>
      </c>
      <c r="BQ137" s="254">
        <v>0</v>
      </c>
      <c r="BR137" s="254">
        <v>0</v>
      </c>
      <c r="BS137" s="254">
        <v>0</v>
      </c>
      <c r="BT137" s="254">
        <v>0</v>
      </c>
      <c r="BU137" s="254">
        <v>0</v>
      </c>
      <c r="BV137" s="254">
        <v>0</v>
      </c>
      <c r="BW137" s="254">
        <v>0</v>
      </c>
      <c r="BX137" s="254">
        <v>0</v>
      </c>
      <c r="BY137" s="254">
        <v>0</v>
      </c>
      <c r="BZ137" s="254">
        <v>0</v>
      </c>
      <c r="CA137" s="254">
        <v>0</v>
      </c>
      <c r="CB137" s="254">
        <v>0</v>
      </c>
      <c r="CC137" s="254">
        <v>0</v>
      </c>
      <c r="CD137" s="254">
        <v>0</v>
      </c>
      <c r="CE137" s="254">
        <v>0</v>
      </c>
      <c r="CF137" s="254">
        <v>0</v>
      </c>
      <c r="CG137" s="254">
        <v>0</v>
      </c>
      <c r="CH137" s="254">
        <v>0</v>
      </c>
      <c r="CI137" s="254">
        <v>0</v>
      </c>
      <c r="CJ137" s="254">
        <v>0</v>
      </c>
      <c r="CK137" s="254">
        <v>0</v>
      </c>
      <c r="CL137" s="254">
        <v>0</v>
      </c>
      <c r="CM137" s="254">
        <v>0</v>
      </c>
      <c r="CN137" s="254">
        <v>0</v>
      </c>
      <c r="CO137" s="254">
        <v>0</v>
      </c>
      <c r="CP137" s="254">
        <v>0</v>
      </c>
      <c r="CQ137" s="116"/>
      <c r="CR137" s="255">
        <v>0</v>
      </c>
      <c r="CS137" s="255">
        <v>0</v>
      </c>
      <c r="CT137" s="255">
        <v>0</v>
      </c>
      <c r="CU137" s="255">
        <v>0</v>
      </c>
      <c r="CV137" s="255">
        <v>0</v>
      </c>
      <c r="CW137" s="255">
        <v>0</v>
      </c>
      <c r="CX137" s="255">
        <v>0</v>
      </c>
      <c r="CY137" s="255">
        <v>0</v>
      </c>
      <c r="CZ137" s="255">
        <v>0</v>
      </c>
      <c r="DA137" s="255">
        <v>0</v>
      </c>
      <c r="DB137" s="255">
        <v>0</v>
      </c>
      <c r="DC137" s="255">
        <v>0</v>
      </c>
      <c r="DD137" s="255">
        <v>0</v>
      </c>
      <c r="DE137" s="255">
        <v>0</v>
      </c>
      <c r="DF137" s="255">
        <v>0</v>
      </c>
      <c r="DG137" s="255">
        <v>0</v>
      </c>
      <c r="DH137" s="255">
        <v>0</v>
      </c>
      <c r="DI137" s="255">
        <v>0</v>
      </c>
      <c r="DJ137" s="255">
        <v>0</v>
      </c>
      <c r="DK137" s="255">
        <v>0</v>
      </c>
      <c r="DL137" s="255">
        <v>0</v>
      </c>
      <c r="DM137" s="255">
        <v>19565.5</v>
      </c>
      <c r="DN137" s="255">
        <v>19565.5</v>
      </c>
      <c r="DO137" s="255">
        <v>0</v>
      </c>
      <c r="DP137" s="255">
        <v>23478.6</v>
      </c>
      <c r="DQ137" s="255">
        <v>23478.6</v>
      </c>
      <c r="DR137" s="255">
        <v>0</v>
      </c>
      <c r="DS137" s="255">
        <v>0</v>
      </c>
      <c r="DT137" s="255">
        <v>0</v>
      </c>
      <c r="DU137" s="255">
        <v>0</v>
      </c>
      <c r="DV137" s="255">
        <v>0</v>
      </c>
      <c r="DW137" s="255">
        <v>20159</v>
      </c>
      <c r="DX137" s="255">
        <v>12095.4</v>
      </c>
      <c r="DY137" s="255">
        <v>12095.4</v>
      </c>
      <c r="DZ137" s="255">
        <v>0</v>
      </c>
      <c r="EA137" s="255">
        <v>0</v>
      </c>
      <c r="EB137" s="255">
        <v>0</v>
      </c>
      <c r="EC137" s="255">
        <v>0</v>
      </c>
      <c r="ED137" s="255">
        <v>0</v>
      </c>
      <c r="EE137" s="255">
        <v>0</v>
      </c>
      <c r="EF137" s="255">
        <v>0</v>
      </c>
      <c r="EG137" s="255">
        <v>0</v>
      </c>
      <c r="EH137" s="255">
        <v>0</v>
      </c>
      <c r="EI137" s="255">
        <v>0</v>
      </c>
      <c r="EJ137" s="255">
        <v>0</v>
      </c>
      <c r="EK137" s="255">
        <v>0</v>
      </c>
      <c r="EL137" s="255">
        <v>0</v>
      </c>
      <c r="EM137" s="255">
        <v>0</v>
      </c>
      <c r="EN137" s="255">
        <v>0</v>
      </c>
      <c r="EO137" s="255">
        <v>0</v>
      </c>
      <c r="EP137" s="255">
        <v>0</v>
      </c>
      <c r="EQ137" s="255">
        <v>0</v>
      </c>
      <c r="ER137" s="255">
        <v>0</v>
      </c>
      <c r="ES137" s="255">
        <v>0</v>
      </c>
      <c r="ET137" s="255">
        <v>0</v>
      </c>
      <c r="EU137" s="255">
        <v>0</v>
      </c>
      <c r="EV137" s="255">
        <v>0</v>
      </c>
      <c r="EW137" s="255">
        <v>0</v>
      </c>
      <c r="EX137" s="255">
        <v>0</v>
      </c>
      <c r="EY137" s="255">
        <v>0</v>
      </c>
      <c r="EZ137" s="255">
        <v>0</v>
      </c>
      <c r="FA137" s="255">
        <v>0</v>
      </c>
      <c r="FB137" s="255">
        <v>0</v>
      </c>
      <c r="FC137" s="255">
        <v>0</v>
      </c>
      <c r="FD137" s="255">
        <v>0</v>
      </c>
      <c r="FE137" s="255">
        <v>0</v>
      </c>
      <c r="FF137" s="255">
        <v>0</v>
      </c>
      <c r="FG137" s="255">
        <v>0</v>
      </c>
      <c r="FH137" s="255">
        <v>0</v>
      </c>
      <c r="FI137" s="255">
        <v>0</v>
      </c>
      <c r="FJ137" s="255">
        <v>0</v>
      </c>
      <c r="FK137" s="255">
        <v>0</v>
      </c>
      <c r="FL137" s="255">
        <v>0</v>
      </c>
      <c r="FM137" s="255">
        <v>0</v>
      </c>
      <c r="FN137" s="255">
        <v>0</v>
      </c>
      <c r="FO137" s="255">
        <v>0</v>
      </c>
      <c r="FP137" s="255">
        <v>0</v>
      </c>
      <c r="FQ137" s="255">
        <v>0</v>
      </c>
      <c r="FR137" s="255">
        <v>0</v>
      </c>
      <c r="FS137" s="255">
        <v>0</v>
      </c>
      <c r="FT137" s="255">
        <v>0</v>
      </c>
      <c r="FU137" s="255">
        <v>0</v>
      </c>
      <c r="FV137" s="255">
        <v>0</v>
      </c>
      <c r="FW137" s="255">
        <v>0</v>
      </c>
      <c r="FX137" s="116"/>
    </row>
    <row r="138" spans="2:180" x14ac:dyDescent="0.2">
      <c r="B138" s="253" t="s">
        <v>216</v>
      </c>
      <c r="C138" s="253" t="s">
        <v>330</v>
      </c>
      <c r="D138" s="253" t="s">
        <v>258</v>
      </c>
      <c r="E138" s="253" t="s">
        <v>127</v>
      </c>
      <c r="F138" s="253" t="s">
        <v>259</v>
      </c>
      <c r="G138" s="253" t="s">
        <v>260</v>
      </c>
      <c r="H138" s="237">
        <v>157.53</v>
      </c>
      <c r="I138" s="126">
        <f t="shared" si="87"/>
        <v>948736.06000000017</v>
      </c>
      <c r="J138" s="116"/>
      <c r="K138" s="254">
        <v>0</v>
      </c>
      <c r="L138" s="254">
        <v>0</v>
      </c>
      <c r="M138" s="254">
        <v>0</v>
      </c>
      <c r="N138" s="254">
        <v>0</v>
      </c>
      <c r="O138" s="254">
        <v>0</v>
      </c>
      <c r="P138" s="254">
        <v>0</v>
      </c>
      <c r="Q138" s="254">
        <v>0</v>
      </c>
      <c r="R138" s="254">
        <v>0</v>
      </c>
      <c r="S138" s="254">
        <v>0</v>
      </c>
      <c r="T138" s="254">
        <v>0</v>
      </c>
      <c r="U138" s="254">
        <v>0</v>
      </c>
      <c r="V138" s="254">
        <v>0</v>
      </c>
      <c r="W138" s="254">
        <v>0</v>
      </c>
      <c r="X138" s="254">
        <v>0</v>
      </c>
      <c r="Y138" s="254">
        <v>0</v>
      </c>
      <c r="Z138" s="254">
        <v>0</v>
      </c>
      <c r="AA138" s="254">
        <v>0</v>
      </c>
      <c r="AB138" s="254">
        <v>1.243421052631579</v>
      </c>
      <c r="AC138" s="254">
        <v>1.425</v>
      </c>
      <c r="AD138" s="254">
        <v>1.125</v>
      </c>
      <c r="AE138" s="254">
        <v>1.35</v>
      </c>
      <c r="AF138" s="254">
        <v>1.35</v>
      </c>
      <c r="AG138" s="254">
        <v>1.2749999999999999</v>
      </c>
      <c r="AH138" s="254">
        <v>1.2</v>
      </c>
      <c r="AI138" s="254">
        <v>2.2999999999999998</v>
      </c>
      <c r="AJ138" s="254">
        <v>1.2</v>
      </c>
      <c r="AK138" s="254">
        <v>1.2</v>
      </c>
      <c r="AL138" s="254">
        <v>1.9</v>
      </c>
      <c r="AM138" s="254">
        <v>1.243421052631579</v>
      </c>
      <c r="AN138" s="254">
        <v>1.174342105263158</v>
      </c>
      <c r="AO138" s="254">
        <v>1.35</v>
      </c>
      <c r="AP138" s="254">
        <v>1.2749999999999999</v>
      </c>
      <c r="AQ138" s="254">
        <v>1.35</v>
      </c>
      <c r="AR138" s="254">
        <v>1.35</v>
      </c>
      <c r="AS138" s="254">
        <v>1.2749999999999999</v>
      </c>
      <c r="AT138" s="254">
        <v>1.6</v>
      </c>
      <c r="AU138" s="254">
        <v>1.9</v>
      </c>
      <c r="AV138" s="254">
        <v>1.2</v>
      </c>
      <c r="AW138" s="254">
        <v>1.425</v>
      </c>
      <c r="AX138" s="254">
        <v>1.6</v>
      </c>
      <c r="AY138" s="254">
        <v>1.3125</v>
      </c>
      <c r="AZ138" s="254">
        <v>1.3125</v>
      </c>
      <c r="BA138" s="254">
        <v>1.2</v>
      </c>
      <c r="BB138" s="254">
        <v>1.35</v>
      </c>
      <c r="BC138" s="254">
        <v>6.2714285714285714</v>
      </c>
      <c r="BD138" s="254">
        <v>0</v>
      </c>
      <c r="BE138" s="254">
        <v>0</v>
      </c>
      <c r="BF138" s="254">
        <v>0</v>
      </c>
      <c r="BG138" s="254">
        <v>0</v>
      </c>
      <c r="BH138" s="254">
        <v>0</v>
      </c>
      <c r="BI138" s="254">
        <v>0</v>
      </c>
      <c r="BJ138" s="254">
        <v>0</v>
      </c>
      <c r="BK138" s="254">
        <v>0</v>
      </c>
      <c r="BL138" s="254">
        <v>0</v>
      </c>
      <c r="BM138" s="254">
        <v>0</v>
      </c>
      <c r="BN138" s="254">
        <v>0</v>
      </c>
      <c r="BO138" s="254">
        <v>0</v>
      </c>
      <c r="BP138" s="254">
        <v>0</v>
      </c>
      <c r="BQ138" s="254">
        <v>0</v>
      </c>
      <c r="BR138" s="254">
        <v>0</v>
      </c>
      <c r="BS138" s="254">
        <v>0</v>
      </c>
      <c r="BT138" s="254">
        <v>0</v>
      </c>
      <c r="BU138" s="254">
        <v>0</v>
      </c>
      <c r="BV138" s="254">
        <v>0</v>
      </c>
      <c r="BW138" s="254">
        <v>0</v>
      </c>
      <c r="BX138" s="254">
        <v>0</v>
      </c>
      <c r="BY138" s="254">
        <v>0</v>
      </c>
      <c r="BZ138" s="254">
        <v>0</v>
      </c>
      <c r="CA138" s="254">
        <v>0</v>
      </c>
      <c r="CB138" s="254">
        <v>0</v>
      </c>
      <c r="CC138" s="254">
        <v>0</v>
      </c>
      <c r="CD138" s="254">
        <v>0</v>
      </c>
      <c r="CE138" s="254">
        <v>0</v>
      </c>
      <c r="CF138" s="254">
        <v>0</v>
      </c>
      <c r="CG138" s="254">
        <v>0</v>
      </c>
      <c r="CH138" s="254">
        <v>0</v>
      </c>
      <c r="CI138" s="254">
        <v>0</v>
      </c>
      <c r="CJ138" s="254">
        <v>0</v>
      </c>
      <c r="CK138" s="254">
        <v>0</v>
      </c>
      <c r="CL138" s="254">
        <v>0</v>
      </c>
      <c r="CM138" s="254">
        <v>0</v>
      </c>
      <c r="CN138" s="254">
        <v>0</v>
      </c>
      <c r="CO138" s="254">
        <v>0</v>
      </c>
      <c r="CP138" s="254">
        <v>0</v>
      </c>
      <c r="CQ138" s="116"/>
      <c r="CR138" s="255">
        <v>0</v>
      </c>
      <c r="CS138" s="255">
        <v>0</v>
      </c>
      <c r="CT138" s="255">
        <v>0</v>
      </c>
      <c r="CU138" s="255">
        <v>0</v>
      </c>
      <c r="CV138" s="255">
        <v>0</v>
      </c>
      <c r="CW138" s="255">
        <v>0</v>
      </c>
      <c r="CX138" s="255">
        <v>0</v>
      </c>
      <c r="CY138" s="255">
        <v>0</v>
      </c>
      <c r="CZ138" s="255">
        <v>0</v>
      </c>
      <c r="DA138" s="255">
        <v>0</v>
      </c>
      <c r="DB138" s="255">
        <v>0</v>
      </c>
      <c r="DC138" s="255">
        <v>0</v>
      </c>
      <c r="DD138" s="255">
        <v>0</v>
      </c>
      <c r="DE138" s="255">
        <v>0</v>
      </c>
      <c r="DF138" s="255">
        <v>0</v>
      </c>
      <c r="DG138" s="255">
        <v>0</v>
      </c>
      <c r="DH138" s="255">
        <v>0</v>
      </c>
      <c r="DI138" s="255">
        <v>29773.170000000002</v>
      </c>
      <c r="DJ138" s="255">
        <v>31427.235000000001</v>
      </c>
      <c r="DK138" s="255">
        <v>24810.974999999999</v>
      </c>
      <c r="DL138" s="255">
        <v>29773.170000000002</v>
      </c>
      <c r="DM138" s="255">
        <v>29773.170000000002</v>
      </c>
      <c r="DN138" s="255">
        <v>28119.105</v>
      </c>
      <c r="DO138" s="255">
        <v>19848.78</v>
      </c>
      <c r="DP138" s="255">
        <v>38043.495000000003</v>
      </c>
      <c r="DQ138" s="255">
        <v>26465.040000000001</v>
      </c>
      <c r="DR138" s="255">
        <v>27269.759999999998</v>
      </c>
      <c r="DS138" s="255">
        <v>32382.84</v>
      </c>
      <c r="DT138" s="255">
        <v>30678.48</v>
      </c>
      <c r="DU138" s="255">
        <v>28974.12</v>
      </c>
      <c r="DV138" s="255">
        <v>30678.48</v>
      </c>
      <c r="DW138" s="255">
        <v>28974.12</v>
      </c>
      <c r="DX138" s="255">
        <v>30678.48</v>
      </c>
      <c r="DY138" s="255">
        <v>30678.48</v>
      </c>
      <c r="DZ138" s="255">
        <v>28974.12</v>
      </c>
      <c r="EA138" s="255">
        <v>27269.759999999998</v>
      </c>
      <c r="EB138" s="255">
        <v>32382.84</v>
      </c>
      <c r="EC138" s="255">
        <v>27269.759999999998</v>
      </c>
      <c r="ED138" s="255">
        <v>33340.44</v>
      </c>
      <c r="EE138" s="255">
        <v>28076.16</v>
      </c>
      <c r="EF138" s="255">
        <v>33340.44</v>
      </c>
      <c r="EG138" s="255">
        <v>33340.44</v>
      </c>
      <c r="EH138" s="255">
        <v>28076.16</v>
      </c>
      <c r="EI138" s="255">
        <v>31585.68</v>
      </c>
      <c r="EJ138" s="255">
        <v>146731.36000000002</v>
      </c>
      <c r="EK138" s="255">
        <v>0</v>
      </c>
      <c r="EL138" s="255">
        <v>0</v>
      </c>
      <c r="EM138" s="255">
        <v>0</v>
      </c>
      <c r="EN138" s="255">
        <v>0</v>
      </c>
      <c r="EO138" s="255">
        <v>0</v>
      </c>
      <c r="EP138" s="255">
        <v>0</v>
      </c>
      <c r="EQ138" s="255">
        <v>0</v>
      </c>
      <c r="ER138" s="255">
        <v>0</v>
      </c>
      <c r="ES138" s="255">
        <v>0</v>
      </c>
      <c r="ET138" s="255">
        <v>0</v>
      </c>
      <c r="EU138" s="255">
        <v>0</v>
      </c>
      <c r="EV138" s="255">
        <v>0</v>
      </c>
      <c r="EW138" s="255">
        <v>0</v>
      </c>
      <c r="EX138" s="255">
        <v>0</v>
      </c>
      <c r="EY138" s="255">
        <v>0</v>
      </c>
      <c r="EZ138" s="255">
        <v>0</v>
      </c>
      <c r="FA138" s="255">
        <v>0</v>
      </c>
      <c r="FB138" s="255">
        <v>0</v>
      </c>
      <c r="FC138" s="255">
        <v>0</v>
      </c>
      <c r="FD138" s="255">
        <v>0</v>
      </c>
      <c r="FE138" s="255">
        <v>0</v>
      </c>
      <c r="FF138" s="255">
        <v>0</v>
      </c>
      <c r="FG138" s="255">
        <v>0</v>
      </c>
      <c r="FH138" s="255">
        <v>0</v>
      </c>
      <c r="FI138" s="255">
        <v>0</v>
      </c>
      <c r="FJ138" s="255">
        <v>0</v>
      </c>
      <c r="FK138" s="255">
        <v>0</v>
      </c>
      <c r="FL138" s="255">
        <v>0</v>
      </c>
      <c r="FM138" s="255">
        <v>0</v>
      </c>
      <c r="FN138" s="255">
        <v>0</v>
      </c>
      <c r="FO138" s="255">
        <v>0</v>
      </c>
      <c r="FP138" s="255">
        <v>0</v>
      </c>
      <c r="FQ138" s="255">
        <v>0</v>
      </c>
      <c r="FR138" s="255">
        <v>0</v>
      </c>
      <c r="FS138" s="255">
        <v>0</v>
      </c>
      <c r="FT138" s="255">
        <v>0</v>
      </c>
      <c r="FU138" s="255">
        <v>0</v>
      </c>
      <c r="FV138" s="255">
        <v>0</v>
      </c>
      <c r="FW138" s="255">
        <v>0</v>
      </c>
      <c r="FX138" s="116"/>
    </row>
    <row r="139" spans="2:180" x14ac:dyDescent="0.2">
      <c r="B139" s="253" t="s">
        <v>216</v>
      </c>
      <c r="C139" s="253" t="s">
        <v>330</v>
      </c>
      <c r="D139" s="253" t="s">
        <v>258</v>
      </c>
      <c r="E139" s="253" t="s">
        <v>127</v>
      </c>
      <c r="F139" s="253">
        <v>0</v>
      </c>
      <c r="G139" s="253" t="s">
        <v>322</v>
      </c>
      <c r="H139" s="237">
        <v>157.53</v>
      </c>
      <c r="I139" s="126">
        <f t="shared" si="87"/>
        <v>1386571.7250000001</v>
      </c>
      <c r="J139" s="116"/>
      <c r="K139" s="254">
        <v>0</v>
      </c>
      <c r="L139" s="254">
        <v>0</v>
      </c>
      <c r="M139" s="254">
        <v>0</v>
      </c>
      <c r="N139" s="254">
        <v>0</v>
      </c>
      <c r="O139" s="254">
        <v>0</v>
      </c>
      <c r="P139" s="254">
        <v>0</v>
      </c>
      <c r="Q139" s="254">
        <v>0</v>
      </c>
      <c r="R139" s="254">
        <v>0</v>
      </c>
      <c r="S139" s="254">
        <v>0</v>
      </c>
      <c r="T139" s="254">
        <v>0</v>
      </c>
      <c r="U139" s="254">
        <v>0</v>
      </c>
      <c r="V139" s="254">
        <v>0</v>
      </c>
      <c r="W139" s="254">
        <v>0</v>
      </c>
      <c r="X139" s="254">
        <v>0</v>
      </c>
      <c r="Y139" s="254">
        <v>0</v>
      </c>
      <c r="Z139" s="254">
        <v>0</v>
      </c>
      <c r="AA139" s="254">
        <v>0</v>
      </c>
      <c r="AB139" s="254">
        <v>1.006578947368421</v>
      </c>
      <c r="AC139" s="254">
        <v>1.3821428571428571</v>
      </c>
      <c r="AD139" s="254">
        <v>0.99642857142857144</v>
      </c>
      <c r="AE139" s="254">
        <v>1.0928571428571427</v>
      </c>
      <c r="AF139" s="254">
        <v>1.0928571428571427</v>
      </c>
      <c r="AG139" s="254">
        <v>1.0607142857142857</v>
      </c>
      <c r="AH139" s="254">
        <v>1.2</v>
      </c>
      <c r="AI139" s="254">
        <v>2.0142857142857142</v>
      </c>
      <c r="AJ139" s="254">
        <v>1.0285714285714285</v>
      </c>
      <c r="AK139" s="254">
        <v>1.0285714285714285</v>
      </c>
      <c r="AL139" s="254">
        <v>1.5</v>
      </c>
      <c r="AM139" s="254">
        <v>1.125</v>
      </c>
      <c r="AN139" s="254">
        <v>1.0953947368421053</v>
      </c>
      <c r="AO139" s="254">
        <v>1.0928571428571427</v>
      </c>
      <c r="AP139" s="254">
        <v>1.0607142857142857</v>
      </c>
      <c r="AQ139" s="254">
        <v>1.0928571428571427</v>
      </c>
      <c r="AR139" s="254">
        <v>1.0928571428571427</v>
      </c>
      <c r="AS139" s="254">
        <v>1.3178571428571428</v>
      </c>
      <c r="AT139" s="254">
        <v>1.0285714285714285</v>
      </c>
      <c r="AU139" s="254">
        <v>1.8428571428571427</v>
      </c>
      <c r="AV139" s="254">
        <v>1.0285714285714285</v>
      </c>
      <c r="AW139" s="254">
        <v>1.125</v>
      </c>
      <c r="AX139" s="254">
        <v>1.3714285714285714</v>
      </c>
      <c r="AY139" s="254">
        <v>1.2730263157894737</v>
      </c>
      <c r="AZ139" s="254">
        <v>1.2730263157894737</v>
      </c>
      <c r="BA139" s="254">
        <v>1.0285714285714285</v>
      </c>
      <c r="BB139" s="254">
        <v>1.0928571428571427</v>
      </c>
      <c r="BC139" s="254">
        <v>0</v>
      </c>
      <c r="BD139" s="254">
        <v>0</v>
      </c>
      <c r="BE139" s="254">
        <v>0</v>
      </c>
      <c r="BF139" s="254">
        <v>0</v>
      </c>
      <c r="BG139" s="254">
        <v>0</v>
      </c>
      <c r="BH139" s="254">
        <v>0</v>
      </c>
      <c r="BI139" s="254">
        <v>0</v>
      </c>
      <c r="BJ139" s="254">
        <v>0</v>
      </c>
      <c r="BK139" s="254">
        <v>0</v>
      </c>
      <c r="BL139" s="254">
        <v>0</v>
      </c>
      <c r="BM139" s="254">
        <v>0</v>
      </c>
      <c r="BN139" s="254">
        <v>0</v>
      </c>
      <c r="BO139" s="254">
        <v>0</v>
      </c>
      <c r="BP139" s="254">
        <v>0</v>
      </c>
      <c r="BQ139" s="254">
        <v>0</v>
      </c>
      <c r="BR139" s="254">
        <v>0</v>
      </c>
      <c r="BS139" s="254">
        <v>0</v>
      </c>
      <c r="BT139" s="254">
        <v>0</v>
      </c>
      <c r="BU139" s="254">
        <v>0</v>
      </c>
      <c r="BV139" s="254">
        <v>0</v>
      </c>
      <c r="BW139" s="254">
        <v>0</v>
      </c>
      <c r="BX139" s="254">
        <v>0</v>
      </c>
      <c r="BY139" s="254">
        <v>0</v>
      </c>
      <c r="BZ139" s="254">
        <v>0</v>
      </c>
      <c r="CA139" s="254">
        <v>0</v>
      </c>
      <c r="CB139" s="254">
        <v>0</v>
      </c>
      <c r="CC139" s="254">
        <v>0</v>
      </c>
      <c r="CD139" s="254">
        <v>0</v>
      </c>
      <c r="CE139" s="254">
        <v>0</v>
      </c>
      <c r="CF139" s="254">
        <v>0</v>
      </c>
      <c r="CG139" s="254">
        <v>0</v>
      </c>
      <c r="CH139" s="254">
        <v>0</v>
      </c>
      <c r="CI139" s="254">
        <v>0</v>
      </c>
      <c r="CJ139" s="254">
        <v>0</v>
      </c>
      <c r="CK139" s="254">
        <v>0</v>
      </c>
      <c r="CL139" s="254">
        <v>0</v>
      </c>
      <c r="CM139" s="254">
        <v>0</v>
      </c>
      <c r="CN139" s="254">
        <v>0</v>
      </c>
      <c r="CO139" s="254">
        <v>0</v>
      </c>
      <c r="CP139" s="254">
        <v>0</v>
      </c>
      <c r="CQ139" s="116"/>
      <c r="CR139" s="255">
        <v>0</v>
      </c>
      <c r="CS139" s="255">
        <v>0</v>
      </c>
      <c r="CT139" s="255">
        <v>0</v>
      </c>
      <c r="CU139" s="255">
        <v>0</v>
      </c>
      <c r="CV139" s="255">
        <v>0</v>
      </c>
      <c r="CW139" s="255">
        <v>0</v>
      </c>
      <c r="CX139" s="255">
        <v>0</v>
      </c>
      <c r="CY139" s="255">
        <v>0</v>
      </c>
      <c r="CZ139" s="255">
        <v>0</v>
      </c>
      <c r="DA139" s="255">
        <v>0</v>
      </c>
      <c r="DB139" s="255">
        <v>0</v>
      </c>
      <c r="DC139" s="255">
        <v>0</v>
      </c>
      <c r="DD139" s="255">
        <v>0</v>
      </c>
      <c r="DE139" s="255">
        <v>0</v>
      </c>
      <c r="DF139" s="255">
        <v>0</v>
      </c>
      <c r="DG139" s="255">
        <v>0</v>
      </c>
      <c r="DH139" s="255">
        <v>0</v>
      </c>
      <c r="DI139" s="255">
        <v>48202.65</v>
      </c>
      <c r="DJ139" s="255">
        <v>60962.175000000003</v>
      </c>
      <c r="DK139" s="255">
        <v>43949.474999999999</v>
      </c>
      <c r="DL139" s="255">
        <v>48202.65</v>
      </c>
      <c r="DM139" s="255">
        <v>48202.65</v>
      </c>
      <c r="DN139" s="255">
        <v>46784.925000000003</v>
      </c>
      <c r="DO139" s="255">
        <v>39696.300000000003</v>
      </c>
      <c r="DP139" s="255">
        <v>66633.074999999997</v>
      </c>
      <c r="DQ139" s="255">
        <v>45367.200000000004</v>
      </c>
      <c r="DR139" s="255">
        <v>46748.159999999996</v>
      </c>
      <c r="DS139" s="255">
        <v>51130.799999999996</v>
      </c>
      <c r="DT139" s="255">
        <v>55513.439999999995</v>
      </c>
      <c r="DU139" s="255">
        <v>54052.56</v>
      </c>
      <c r="DV139" s="255">
        <v>49669.919999999998</v>
      </c>
      <c r="DW139" s="255">
        <v>48209.04</v>
      </c>
      <c r="DX139" s="255">
        <v>49669.919999999998</v>
      </c>
      <c r="DY139" s="255">
        <v>49669.919999999998</v>
      </c>
      <c r="DZ139" s="255">
        <v>59896.079999999994</v>
      </c>
      <c r="EA139" s="255">
        <v>35061.119999999995</v>
      </c>
      <c r="EB139" s="255">
        <v>62817.84</v>
      </c>
      <c r="EC139" s="255">
        <v>46748.159999999996</v>
      </c>
      <c r="ED139" s="255">
        <v>52641.225000000006</v>
      </c>
      <c r="EE139" s="255">
        <v>48129.120000000003</v>
      </c>
      <c r="EF139" s="255">
        <v>64673.505000000005</v>
      </c>
      <c r="EG139" s="255">
        <v>64673.505000000005</v>
      </c>
      <c r="EH139" s="255">
        <v>48129.120000000003</v>
      </c>
      <c r="EI139" s="255">
        <v>51137.19</v>
      </c>
      <c r="EJ139" s="255">
        <v>0</v>
      </c>
      <c r="EK139" s="255">
        <v>0</v>
      </c>
      <c r="EL139" s="255">
        <v>0</v>
      </c>
      <c r="EM139" s="255">
        <v>0</v>
      </c>
      <c r="EN139" s="255">
        <v>0</v>
      </c>
      <c r="EO139" s="255">
        <v>0</v>
      </c>
      <c r="EP139" s="255">
        <v>0</v>
      </c>
      <c r="EQ139" s="255">
        <v>0</v>
      </c>
      <c r="ER139" s="255">
        <v>0</v>
      </c>
      <c r="ES139" s="255">
        <v>0</v>
      </c>
      <c r="ET139" s="255">
        <v>0</v>
      </c>
      <c r="EU139" s="255">
        <v>0</v>
      </c>
      <c r="EV139" s="255">
        <v>0</v>
      </c>
      <c r="EW139" s="255">
        <v>0</v>
      </c>
      <c r="EX139" s="255">
        <v>0</v>
      </c>
      <c r="EY139" s="255">
        <v>0</v>
      </c>
      <c r="EZ139" s="255">
        <v>0</v>
      </c>
      <c r="FA139" s="255">
        <v>0</v>
      </c>
      <c r="FB139" s="255">
        <v>0</v>
      </c>
      <c r="FC139" s="255">
        <v>0</v>
      </c>
      <c r="FD139" s="255">
        <v>0</v>
      </c>
      <c r="FE139" s="255">
        <v>0</v>
      </c>
      <c r="FF139" s="255">
        <v>0</v>
      </c>
      <c r="FG139" s="255">
        <v>0</v>
      </c>
      <c r="FH139" s="255">
        <v>0</v>
      </c>
      <c r="FI139" s="255">
        <v>0</v>
      </c>
      <c r="FJ139" s="255">
        <v>0</v>
      </c>
      <c r="FK139" s="255">
        <v>0</v>
      </c>
      <c r="FL139" s="255">
        <v>0</v>
      </c>
      <c r="FM139" s="255">
        <v>0</v>
      </c>
      <c r="FN139" s="255">
        <v>0</v>
      </c>
      <c r="FO139" s="255">
        <v>0</v>
      </c>
      <c r="FP139" s="255">
        <v>0</v>
      </c>
      <c r="FQ139" s="255">
        <v>0</v>
      </c>
      <c r="FR139" s="255">
        <v>0</v>
      </c>
      <c r="FS139" s="255">
        <v>0</v>
      </c>
      <c r="FT139" s="255">
        <v>0</v>
      </c>
      <c r="FU139" s="255">
        <v>0</v>
      </c>
      <c r="FV139" s="255">
        <v>0</v>
      </c>
      <c r="FW139" s="255">
        <v>0</v>
      </c>
      <c r="FX139" s="116"/>
    </row>
    <row r="140" spans="2:180" x14ac:dyDescent="0.2">
      <c r="B140" s="253" t="s">
        <v>216</v>
      </c>
      <c r="C140" s="253" t="s">
        <v>270</v>
      </c>
      <c r="D140" s="253" t="s">
        <v>258</v>
      </c>
      <c r="E140" s="253" t="s">
        <v>127</v>
      </c>
      <c r="F140" s="253" t="s">
        <v>259</v>
      </c>
      <c r="G140" s="253" t="s">
        <v>260</v>
      </c>
      <c r="H140" s="237">
        <v>240.85</v>
      </c>
      <c r="I140" s="126">
        <f t="shared" si="87"/>
        <v>53697</v>
      </c>
      <c r="J140" s="116"/>
      <c r="K140" s="254">
        <v>0</v>
      </c>
      <c r="L140" s="254">
        <v>0</v>
      </c>
      <c r="M140" s="254">
        <v>0</v>
      </c>
      <c r="N140" s="254">
        <v>0</v>
      </c>
      <c r="O140" s="254">
        <v>0</v>
      </c>
      <c r="P140" s="254">
        <v>0</v>
      </c>
      <c r="Q140" s="254">
        <v>0</v>
      </c>
      <c r="R140" s="254">
        <v>0</v>
      </c>
      <c r="S140" s="254">
        <v>0</v>
      </c>
      <c r="T140" s="254">
        <v>0</v>
      </c>
      <c r="U140" s="254">
        <v>0</v>
      </c>
      <c r="V140" s="254">
        <v>0</v>
      </c>
      <c r="W140" s="254">
        <v>0</v>
      </c>
      <c r="X140" s="254">
        <v>0</v>
      </c>
      <c r="Y140" s="254">
        <v>0</v>
      </c>
      <c r="Z140" s="254">
        <v>0</v>
      </c>
      <c r="AA140" s="254">
        <v>0</v>
      </c>
      <c r="AB140" s="254">
        <v>0</v>
      </c>
      <c r="AC140" s="254">
        <v>0</v>
      </c>
      <c r="AD140" s="254">
        <v>0</v>
      </c>
      <c r="AE140" s="254">
        <v>0</v>
      </c>
      <c r="AF140" s="254">
        <v>0</v>
      </c>
      <c r="AG140" s="254">
        <v>0</v>
      </c>
      <c r="AH140" s="254">
        <v>0</v>
      </c>
      <c r="AI140" s="254">
        <v>0</v>
      </c>
      <c r="AJ140" s="254">
        <v>0</v>
      </c>
      <c r="AK140" s="254">
        <v>0</v>
      </c>
      <c r="AL140" s="254">
        <v>0</v>
      </c>
      <c r="AM140" s="254">
        <v>0</v>
      </c>
      <c r="AN140" s="254">
        <v>0</v>
      </c>
      <c r="AO140" s="254">
        <v>0</v>
      </c>
      <c r="AP140" s="254">
        <v>0</v>
      </c>
      <c r="AQ140" s="254">
        <v>0</v>
      </c>
      <c r="AR140" s="254">
        <v>0</v>
      </c>
      <c r="AS140" s="254">
        <v>0</v>
      </c>
      <c r="AT140" s="254">
        <v>0</v>
      </c>
      <c r="AU140" s="254">
        <v>0</v>
      </c>
      <c r="AV140" s="254">
        <v>0</v>
      </c>
      <c r="AW140" s="254">
        <v>0</v>
      </c>
      <c r="AX140" s="254">
        <v>0.66666666666666663</v>
      </c>
      <c r="AY140" s="254">
        <v>0.46052631578947367</v>
      </c>
      <c r="AZ140" s="254">
        <v>0.46052631578947367</v>
      </c>
      <c r="BA140" s="254">
        <v>0</v>
      </c>
      <c r="BB140" s="254">
        <v>0</v>
      </c>
      <c r="BC140" s="254">
        <v>0</v>
      </c>
      <c r="BD140" s="254">
        <v>0</v>
      </c>
      <c r="BE140" s="254">
        <v>0</v>
      </c>
      <c r="BF140" s="254">
        <v>0</v>
      </c>
      <c r="BG140" s="254">
        <v>0</v>
      </c>
      <c r="BH140" s="254">
        <v>0</v>
      </c>
      <c r="BI140" s="254">
        <v>0</v>
      </c>
      <c r="BJ140" s="254">
        <v>0</v>
      </c>
      <c r="BK140" s="254">
        <v>0</v>
      </c>
      <c r="BL140" s="254">
        <v>0</v>
      </c>
      <c r="BM140" s="254">
        <v>0</v>
      </c>
      <c r="BN140" s="254">
        <v>0</v>
      </c>
      <c r="BO140" s="254">
        <v>0</v>
      </c>
      <c r="BP140" s="254">
        <v>0</v>
      </c>
      <c r="BQ140" s="254">
        <v>0</v>
      </c>
      <c r="BR140" s="254">
        <v>0</v>
      </c>
      <c r="BS140" s="254">
        <v>0</v>
      </c>
      <c r="BT140" s="254">
        <v>0</v>
      </c>
      <c r="BU140" s="254">
        <v>0</v>
      </c>
      <c r="BV140" s="254">
        <v>0</v>
      </c>
      <c r="BW140" s="254">
        <v>0</v>
      </c>
      <c r="BX140" s="254">
        <v>0</v>
      </c>
      <c r="BY140" s="254">
        <v>0</v>
      </c>
      <c r="BZ140" s="254">
        <v>0</v>
      </c>
      <c r="CA140" s="254">
        <v>0</v>
      </c>
      <c r="CB140" s="254">
        <v>0</v>
      </c>
      <c r="CC140" s="254">
        <v>0</v>
      </c>
      <c r="CD140" s="254">
        <v>0</v>
      </c>
      <c r="CE140" s="254">
        <v>0</v>
      </c>
      <c r="CF140" s="254">
        <v>0</v>
      </c>
      <c r="CG140" s="254">
        <v>0</v>
      </c>
      <c r="CH140" s="254">
        <v>0</v>
      </c>
      <c r="CI140" s="254">
        <v>0</v>
      </c>
      <c r="CJ140" s="254">
        <v>0</v>
      </c>
      <c r="CK140" s="254">
        <v>0</v>
      </c>
      <c r="CL140" s="254">
        <v>0</v>
      </c>
      <c r="CM140" s="254">
        <v>0</v>
      </c>
      <c r="CN140" s="254">
        <v>0</v>
      </c>
      <c r="CO140" s="254">
        <v>0</v>
      </c>
      <c r="CP140" s="254">
        <v>0</v>
      </c>
      <c r="CQ140" s="116"/>
      <c r="CR140" s="255">
        <v>0</v>
      </c>
      <c r="CS140" s="255">
        <v>0</v>
      </c>
      <c r="CT140" s="255">
        <v>0</v>
      </c>
      <c r="CU140" s="255">
        <v>0</v>
      </c>
      <c r="CV140" s="255">
        <v>0</v>
      </c>
      <c r="CW140" s="255">
        <v>0</v>
      </c>
      <c r="CX140" s="255">
        <v>0</v>
      </c>
      <c r="CY140" s="255">
        <v>0</v>
      </c>
      <c r="CZ140" s="255">
        <v>0</v>
      </c>
      <c r="DA140" s="255">
        <v>0</v>
      </c>
      <c r="DB140" s="255">
        <v>0</v>
      </c>
      <c r="DC140" s="255">
        <v>0</v>
      </c>
      <c r="DD140" s="255">
        <v>0</v>
      </c>
      <c r="DE140" s="255">
        <v>0</v>
      </c>
      <c r="DF140" s="255">
        <v>0</v>
      </c>
      <c r="DG140" s="255">
        <v>0</v>
      </c>
      <c r="DH140" s="255">
        <v>0</v>
      </c>
      <c r="DI140" s="255">
        <v>0</v>
      </c>
      <c r="DJ140" s="255">
        <v>0</v>
      </c>
      <c r="DK140" s="255">
        <v>0</v>
      </c>
      <c r="DL140" s="255">
        <v>0</v>
      </c>
      <c r="DM140" s="255">
        <v>0</v>
      </c>
      <c r="DN140" s="255">
        <v>0</v>
      </c>
      <c r="DO140" s="255">
        <v>0</v>
      </c>
      <c r="DP140" s="255">
        <v>0</v>
      </c>
      <c r="DQ140" s="255">
        <v>0</v>
      </c>
      <c r="DR140" s="255">
        <v>0</v>
      </c>
      <c r="DS140" s="255">
        <v>0</v>
      </c>
      <c r="DT140" s="255">
        <v>0</v>
      </c>
      <c r="DU140" s="255">
        <v>0</v>
      </c>
      <c r="DV140" s="255">
        <v>0</v>
      </c>
      <c r="DW140" s="255">
        <v>0</v>
      </c>
      <c r="DX140" s="255">
        <v>0</v>
      </c>
      <c r="DY140" s="255">
        <v>0</v>
      </c>
      <c r="DZ140" s="255">
        <v>0</v>
      </c>
      <c r="EA140" s="255">
        <v>0</v>
      </c>
      <c r="EB140" s="255">
        <v>0</v>
      </c>
      <c r="EC140" s="255">
        <v>0</v>
      </c>
      <c r="ED140" s="255">
        <v>0</v>
      </c>
      <c r="EE140" s="255">
        <v>17899</v>
      </c>
      <c r="EF140" s="255">
        <v>17899</v>
      </c>
      <c r="EG140" s="255">
        <v>17899</v>
      </c>
      <c r="EH140" s="255">
        <v>0</v>
      </c>
      <c r="EI140" s="255">
        <v>0</v>
      </c>
      <c r="EJ140" s="255">
        <v>0</v>
      </c>
      <c r="EK140" s="255">
        <v>0</v>
      </c>
      <c r="EL140" s="255">
        <v>0</v>
      </c>
      <c r="EM140" s="255">
        <v>0</v>
      </c>
      <c r="EN140" s="255">
        <v>0</v>
      </c>
      <c r="EO140" s="255">
        <v>0</v>
      </c>
      <c r="EP140" s="255">
        <v>0</v>
      </c>
      <c r="EQ140" s="255">
        <v>0</v>
      </c>
      <c r="ER140" s="255">
        <v>0</v>
      </c>
      <c r="ES140" s="255">
        <v>0</v>
      </c>
      <c r="ET140" s="255">
        <v>0</v>
      </c>
      <c r="EU140" s="255">
        <v>0</v>
      </c>
      <c r="EV140" s="255">
        <v>0</v>
      </c>
      <c r="EW140" s="255">
        <v>0</v>
      </c>
      <c r="EX140" s="255">
        <v>0</v>
      </c>
      <c r="EY140" s="255">
        <v>0</v>
      </c>
      <c r="EZ140" s="255">
        <v>0</v>
      </c>
      <c r="FA140" s="255">
        <v>0</v>
      </c>
      <c r="FB140" s="255">
        <v>0</v>
      </c>
      <c r="FC140" s="255">
        <v>0</v>
      </c>
      <c r="FD140" s="255">
        <v>0</v>
      </c>
      <c r="FE140" s="255">
        <v>0</v>
      </c>
      <c r="FF140" s="255">
        <v>0</v>
      </c>
      <c r="FG140" s="255">
        <v>0</v>
      </c>
      <c r="FH140" s="255">
        <v>0</v>
      </c>
      <c r="FI140" s="255">
        <v>0</v>
      </c>
      <c r="FJ140" s="255">
        <v>0</v>
      </c>
      <c r="FK140" s="255">
        <v>0</v>
      </c>
      <c r="FL140" s="255">
        <v>0</v>
      </c>
      <c r="FM140" s="255">
        <v>0</v>
      </c>
      <c r="FN140" s="255">
        <v>0</v>
      </c>
      <c r="FO140" s="255">
        <v>0</v>
      </c>
      <c r="FP140" s="255">
        <v>0</v>
      </c>
      <c r="FQ140" s="255">
        <v>0</v>
      </c>
      <c r="FR140" s="255">
        <v>0</v>
      </c>
      <c r="FS140" s="255">
        <v>0</v>
      </c>
      <c r="FT140" s="255">
        <v>0</v>
      </c>
      <c r="FU140" s="255">
        <v>0</v>
      </c>
      <c r="FV140" s="255">
        <v>0</v>
      </c>
      <c r="FW140" s="255">
        <v>0</v>
      </c>
      <c r="FX140" s="116"/>
    </row>
    <row r="141" spans="2:180" x14ac:dyDescent="0.2">
      <c r="B141" s="253" t="s">
        <v>216</v>
      </c>
      <c r="C141" s="253" t="s">
        <v>270</v>
      </c>
      <c r="D141" s="253" t="s">
        <v>258</v>
      </c>
      <c r="E141" s="253" t="s">
        <v>127</v>
      </c>
      <c r="F141" s="253" t="s">
        <v>259</v>
      </c>
      <c r="G141" s="253" t="s">
        <v>260</v>
      </c>
      <c r="H141" s="237">
        <v>240.85</v>
      </c>
      <c r="I141" s="126">
        <f t="shared" si="87"/>
        <v>53697</v>
      </c>
      <c r="J141" s="116"/>
      <c r="K141" s="254">
        <v>0</v>
      </c>
      <c r="L141" s="254">
        <v>0</v>
      </c>
      <c r="M141" s="254">
        <v>0</v>
      </c>
      <c r="N141" s="254">
        <v>0</v>
      </c>
      <c r="O141" s="254">
        <v>0</v>
      </c>
      <c r="P141" s="254">
        <v>0</v>
      </c>
      <c r="Q141" s="254">
        <v>0</v>
      </c>
      <c r="R141" s="254">
        <v>0</v>
      </c>
      <c r="S141" s="254">
        <v>0</v>
      </c>
      <c r="T141" s="254">
        <v>0</v>
      </c>
      <c r="U141" s="254">
        <v>0</v>
      </c>
      <c r="V141" s="254">
        <v>0</v>
      </c>
      <c r="W141" s="254">
        <v>0</v>
      </c>
      <c r="X141" s="254">
        <v>0</v>
      </c>
      <c r="Y141" s="254">
        <v>0</v>
      </c>
      <c r="Z141" s="254">
        <v>0</v>
      </c>
      <c r="AA141" s="254">
        <v>0</v>
      </c>
      <c r="AB141" s="254">
        <v>0</v>
      </c>
      <c r="AC141" s="254">
        <v>0</v>
      </c>
      <c r="AD141" s="254">
        <v>0</v>
      </c>
      <c r="AE141" s="254">
        <v>0</v>
      </c>
      <c r="AF141" s="254">
        <v>0</v>
      </c>
      <c r="AG141" s="254">
        <v>0</v>
      </c>
      <c r="AH141" s="254">
        <v>0</v>
      </c>
      <c r="AI141" s="254">
        <v>0</v>
      </c>
      <c r="AJ141" s="254">
        <v>0</v>
      </c>
      <c r="AK141" s="254">
        <v>0</v>
      </c>
      <c r="AL141" s="254">
        <v>0</v>
      </c>
      <c r="AM141" s="254">
        <v>0</v>
      </c>
      <c r="AN141" s="254">
        <v>0</v>
      </c>
      <c r="AO141" s="254">
        <v>0</v>
      </c>
      <c r="AP141" s="254">
        <v>0</v>
      </c>
      <c r="AQ141" s="254">
        <v>0</v>
      </c>
      <c r="AR141" s="254">
        <v>0</v>
      </c>
      <c r="AS141" s="254">
        <v>0</v>
      </c>
      <c r="AT141" s="254">
        <v>0</v>
      </c>
      <c r="AU141" s="254">
        <v>0</v>
      </c>
      <c r="AV141" s="254">
        <v>0</v>
      </c>
      <c r="AW141" s="254">
        <v>0</v>
      </c>
      <c r="AX141" s="254">
        <v>0.66666666666666663</v>
      </c>
      <c r="AY141" s="254">
        <v>0.46052631578947367</v>
      </c>
      <c r="AZ141" s="254">
        <v>0.46052631578947367</v>
      </c>
      <c r="BA141" s="254">
        <v>0</v>
      </c>
      <c r="BB141" s="254">
        <v>0</v>
      </c>
      <c r="BC141" s="254">
        <v>0</v>
      </c>
      <c r="BD141" s="254">
        <v>0</v>
      </c>
      <c r="BE141" s="254">
        <v>0</v>
      </c>
      <c r="BF141" s="254">
        <v>0</v>
      </c>
      <c r="BG141" s="254">
        <v>0</v>
      </c>
      <c r="BH141" s="254">
        <v>0</v>
      </c>
      <c r="BI141" s="254">
        <v>0</v>
      </c>
      <c r="BJ141" s="254">
        <v>0</v>
      </c>
      <c r="BK141" s="254">
        <v>0</v>
      </c>
      <c r="BL141" s="254">
        <v>0</v>
      </c>
      <c r="BM141" s="254">
        <v>0</v>
      </c>
      <c r="BN141" s="254">
        <v>0</v>
      </c>
      <c r="BO141" s="254">
        <v>0</v>
      </c>
      <c r="BP141" s="254">
        <v>0</v>
      </c>
      <c r="BQ141" s="254">
        <v>0</v>
      </c>
      <c r="BR141" s="254">
        <v>0</v>
      </c>
      <c r="BS141" s="254">
        <v>0</v>
      </c>
      <c r="BT141" s="254">
        <v>0</v>
      </c>
      <c r="BU141" s="254">
        <v>0</v>
      </c>
      <c r="BV141" s="254">
        <v>0</v>
      </c>
      <c r="BW141" s="254">
        <v>0</v>
      </c>
      <c r="BX141" s="254">
        <v>0</v>
      </c>
      <c r="BY141" s="254">
        <v>0</v>
      </c>
      <c r="BZ141" s="254">
        <v>0</v>
      </c>
      <c r="CA141" s="254">
        <v>0</v>
      </c>
      <c r="CB141" s="254">
        <v>0</v>
      </c>
      <c r="CC141" s="254">
        <v>0</v>
      </c>
      <c r="CD141" s="254">
        <v>0</v>
      </c>
      <c r="CE141" s="254">
        <v>0</v>
      </c>
      <c r="CF141" s="254">
        <v>0</v>
      </c>
      <c r="CG141" s="254">
        <v>0</v>
      </c>
      <c r="CH141" s="254">
        <v>0</v>
      </c>
      <c r="CI141" s="254">
        <v>0</v>
      </c>
      <c r="CJ141" s="254">
        <v>0</v>
      </c>
      <c r="CK141" s="254">
        <v>0</v>
      </c>
      <c r="CL141" s="254">
        <v>0</v>
      </c>
      <c r="CM141" s="254">
        <v>0</v>
      </c>
      <c r="CN141" s="254">
        <v>0</v>
      </c>
      <c r="CO141" s="254">
        <v>0</v>
      </c>
      <c r="CP141" s="254">
        <v>0</v>
      </c>
      <c r="CQ141" s="116"/>
      <c r="CR141" s="255">
        <v>0</v>
      </c>
      <c r="CS141" s="255">
        <v>0</v>
      </c>
      <c r="CT141" s="255">
        <v>0</v>
      </c>
      <c r="CU141" s="255">
        <v>0</v>
      </c>
      <c r="CV141" s="255">
        <v>0</v>
      </c>
      <c r="CW141" s="255">
        <v>0</v>
      </c>
      <c r="CX141" s="255">
        <v>0</v>
      </c>
      <c r="CY141" s="255">
        <v>0</v>
      </c>
      <c r="CZ141" s="255">
        <v>0</v>
      </c>
      <c r="DA141" s="255">
        <v>0</v>
      </c>
      <c r="DB141" s="255">
        <v>0</v>
      </c>
      <c r="DC141" s="255">
        <v>0</v>
      </c>
      <c r="DD141" s="255">
        <v>0</v>
      </c>
      <c r="DE141" s="255">
        <v>0</v>
      </c>
      <c r="DF141" s="255">
        <v>0</v>
      </c>
      <c r="DG141" s="255">
        <v>0</v>
      </c>
      <c r="DH141" s="255">
        <v>0</v>
      </c>
      <c r="DI141" s="255">
        <v>0</v>
      </c>
      <c r="DJ141" s="255">
        <v>0</v>
      </c>
      <c r="DK141" s="255">
        <v>0</v>
      </c>
      <c r="DL141" s="255">
        <v>0</v>
      </c>
      <c r="DM141" s="255">
        <v>0</v>
      </c>
      <c r="DN141" s="255">
        <v>0</v>
      </c>
      <c r="DO141" s="255">
        <v>0</v>
      </c>
      <c r="DP141" s="255">
        <v>0</v>
      </c>
      <c r="DQ141" s="255">
        <v>0</v>
      </c>
      <c r="DR141" s="255">
        <v>0</v>
      </c>
      <c r="DS141" s="255">
        <v>0</v>
      </c>
      <c r="DT141" s="255">
        <v>0</v>
      </c>
      <c r="DU141" s="255">
        <v>0</v>
      </c>
      <c r="DV141" s="255">
        <v>0</v>
      </c>
      <c r="DW141" s="255">
        <v>0</v>
      </c>
      <c r="DX141" s="255">
        <v>0</v>
      </c>
      <c r="DY141" s="255">
        <v>0</v>
      </c>
      <c r="DZ141" s="255">
        <v>0</v>
      </c>
      <c r="EA141" s="255">
        <v>0</v>
      </c>
      <c r="EB141" s="255">
        <v>0</v>
      </c>
      <c r="EC141" s="255">
        <v>0</v>
      </c>
      <c r="ED141" s="255">
        <v>0</v>
      </c>
      <c r="EE141" s="255">
        <v>17899</v>
      </c>
      <c r="EF141" s="255">
        <v>17899</v>
      </c>
      <c r="EG141" s="255">
        <v>17899</v>
      </c>
      <c r="EH141" s="255">
        <v>0</v>
      </c>
      <c r="EI141" s="255">
        <v>0</v>
      </c>
      <c r="EJ141" s="255">
        <v>0</v>
      </c>
      <c r="EK141" s="255">
        <v>0</v>
      </c>
      <c r="EL141" s="255">
        <v>0</v>
      </c>
      <c r="EM141" s="255">
        <v>0</v>
      </c>
      <c r="EN141" s="255">
        <v>0</v>
      </c>
      <c r="EO141" s="255">
        <v>0</v>
      </c>
      <c r="EP141" s="255">
        <v>0</v>
      </c>
      <c r="EQ141" s="255">
        <v>0</v>
      </c>
      <c r="ER141" s="255">
        <v>0</v>
      </c>
      <c r="ES141" s="255">
        <v>0</v>
      </c>
      <c r="ET141" s="255">
        <v>0</v>
      </c>
      <c r="EU141" s="255">
        <v>0</v>
      </c>
      <c r="EV141" s="255">
        <v>0</v>
      </c>
      <c r="EW141" s="255">
        <v>0</v>
      </c>
      <c r="EX141" s="255">
        <v>0</v>
      </c>
      <c r="EY141" s="255">
        <v>0</v>
      </c>
      <c r="EZ141" s="255">
        <v>0</v>
      </c>
      <c r="FA141" s="255">
        <v>0</v>
      </c>
      <c r="FB141" s="255">
        <v>0</v>
      </c>
      <c r="FC141" s="255">
        <v>0</v>
      </c>
      <c r="FD141" s="255">
        <v>0</v>
      </c>
      <c r="FE141" s="255">
        <v>0</v>
      </c>
      <c r="FF141" s="255">
        <v>0</v>
      </c>
      <c r="FG141" s="255">
        <v>0</v>
      </c>
      <c r="FH141" s="255">
        <v>0</v>
      </c>
      <c r="FI141" s="255">
        <v>0</v>
      </c>
      <c r="FJ141" s="255">
        <v>0</v>
      </c>
      <c r="FK141" s="255">
        <v>0</v>
      </c>
      <c r="FL141" s="255">
        <v>0</v>
      </c>
      <c r="FM141" s="255">
        <v>0</v>
      </c>
      <c r="FN141" s="255">
        <v>0</v>
      </c>
      <c r="FO141" s="255">
        <v>0</v>
      </c>
      <c r="FP141" s="255">
        <v>0</v>
      </c>
      <c r="FQ141" s="255">
        <v>0</v>
      </c>
      <c r="FR141" s="255">
        <v>0</v>
      </c>
      <c r="FS141" s="255">
        <v>0</v>
      </c>
      <c r="FT141" s="255">
        <v>0</v>
      </c>
      <c r="FU141" s="255">
        <v>0</v>
      </c>
      <c r="FV141" s="255">
        <v>0</v>
      </c>
      <c r="FW141" s="255">
        <v>0</v>
      </c>
      <c r="FX141" s="116"/>
    </row>
    <row r="142" spans="2:180" x14ac:dyDescent="0.2">
      <c r="B142" s="253" t="s">
        <v>216</v>
      </c>
      <c r="C142" s="253" t="s">
        <v>331</v>
      </c>
      <c r="D142" s="253" t="s">
        <v>258</v>
      </c>
      <c r="E142" s="253" t="s">
        <v>127</v>
      </c>
      <c r="F142" s="253" t="s">
        <v>259</v>
      </c>
      <c r="G142" s="253" t="s">
        <v>260</v>
      </c>
      <c r="H142" s="237">
        <v>233.78</v>
      </c>
      <c r="I142" s="126">
        <f t="shared" si="87"/>
        <v>103205.2</v>
      </c>
      <c r="J142" s="116"/>
      <c r="K142" s="254">
        <v>0</v>
      </c>
      <c r="L142" s="254">
        <v>0</v>
      </c>
      <c r="M142" s="254">
        <v>0</v>
      </c>
      <c r="N142" s="254">
        <v>0</v>
      </c>
      <c r="O142" s="254">
        <v>0</v>
      </c>
      <c r="P142" s="254">
        <v>0</v>
      </c>
      <c r="Q142" s="254">
        <v>0</v>
      </c>
      <c r="R142" s="254">
        <v>0</v>
      </c>
      <c r="S142" s="254">
        <v>0</v>
      </c>
      <c r="T142" s="254">
        <v>0</v>
      </c>
      <c r="U142" s="254">
        <v>0</v>
      </c>
      <c r="V142" s="254">
        <v>0</v>
      </c>
      <c r="W142" s="254">
        <v>0</v>
      </c>
      <c r="X142" s="254">
        <v>0</v>
      </c>
      <c r="Y142" s="254">
        <v>0</v>
      </c>
      <c r="Z142" s="254">
        <v>0</v>
      </c>
      <c r="AA142" s="254">
        <v>0</v>
      </c>
      <c r="AB142" s="254">
        <v>0</v>
      </c>
      <c r="AC142" s="254">
        <v>0</v>
      </c>
      <c r="AD142" s="254">
        <v>0</v>
      </c>
      <c r="AE142" s="254">
        <v>0</v>
      </c>
      <c r="AF142" s="254">
        <v>0</v>
      </c>
      <c r="AG142" s="254">
        <v>0</v>
      </c>
      <c r="AH142" s="254">
        <v>0</v>
      </c>
      <c r="AI142" s="254">
        <v>0</v>
      </c>
      <c r="AJ142" s="254">
        <v>0</v>
      </c>
      <c r="AK142" s="254">
        <v>0.5</v>
      </c>
      <c r="AL142" s="254">
        <v>0.66666666666666663</v>
      </c>
      <c r="AM142" s="254">
        <v>0</v>
      </c>
      <c r="AN142" s="254">
        <v>0</v>
      </c>
      <c r="AO142" s="254">
        <v>0</v>
      </c>
      <c r="AP142" s="254">
        <v>0</v>
      </c>
      <c r="AQ142" s="254">
        <v>0</v>
      </c>
      <c r="AR142" s="254">
        <v>0</v>
      </c>
      <c r="AS142" s="254">
        <v>0</v>
      </c>
      <c r="AT142" s="254">
        <v>0</v>
      </c>
      <c r="AU142" s="254">
        <v>0</v>
      </c>
      <c r="AV142" s="254">
        <v>0</v>
      </c>
      <c r="AW142" s="254">
        <v>0.5</v>
      </c>
      <c r="AX142" s="254">
        <v>0.66666666666666663</v>
      </c>
      <c r="AY142" s="254">
        <v>0.46052631578947367</v>
      </c>
      <c r="AZ142" s="254">
        <v>0.46052631578947367</v>
      </c>
      <c r="BA142" s="254">
        <v>0</v>
      </c>
      <c r="BB142" s="254">
        <v>0</v>
      </c>
      <c r="BC142" s="254">
        <v>0</v>
      </c>
      <c r="BD142" s="254">
        <v>0</v>
      </c>
      <c r="BE142" s="254">
        <v>0</v>
      </c>
      <c r="BF142" s="254">
        <v>0</v>
      </c>
      <c r="BG142" s="254">
        <v>0</v>
      </c>
      <c r="BH142" s="254">
        <v>0</v>
      </c>
      <c r="BI142" s="254">
        <v>0</v>
      </c>
      <c r="BJ142" s="254">
        <v>0</v>
      </c>
      <c r="BK142" s="254">
        <v>0</v>
      </c>
      <c r="BL142" s="254">
        <v>0</v>
      </c>
      <c r="BM142" s="254">
        <v>0</v>
      </c>
      <c r="BN142" s="254">
        <v>0</v>
      </c>
      <c r="BO142" s="254">
        <v>0</v>
      </c>
      <c r="BP142" s="254">
        <v>0</v>
      </c>
      <c r="BQ142" s="254">
        <v>0</v>
      </c>
      <c r="BR142" s="254">
        <v>0</v>
      </c>
      <c r="BS142" s="254">
        <v>0</v>
      </c>
      <c r="BT142" s="254">
        <v>0</v>
      </c>
      <c r="BU142" s="254">
        <v>0</v>
      </c>
      <c r="BV142" s="254">
        <v>0</v>
      </c>
      <c r="BW142" s="254">
        <v>0</v>
      </c>
      <c r="BX142" s="254">
        <v>0</v>
      </c>
      <c r="BY142" s="254">
        <v>0</v>
      </c>
      <c r="BZ142" s="254">
        <v>0</v>
      </c>
      <c r="CA142" s="254">
        <v>0</v>
      </c>
      <c r="CB142" s="254">
        <v>0</v>
      </c>
      <c r="CC142" s="254">
        <v>0</v>
      </c>
      <c r="CD142" s="254">
        <v>0</v>
      </c>
      <c r="CE142" s="254">
        <v>0</v>
      </c>
      <c r="CF142" s="254">
        <v>0</v>
      </c>
      <c r="CG142" s="254">
        <v>0</v>
      </c>
      <c r="CH142" s="254">
        <v>0</v>
      </c>
      <c r="CI142" s="254">
        <v>0</v>
      </c>
      <c r="CJ142" s="254">
        <v>0</v>
      </c>
      <c r="CK142" s="254">
        <v>0</v>
      </c>
      <c r="CL142" s="254">
        <v>0</v>
      </c>
      <c r="CM142" s="254">
        <v>0</v>
      </c>
      <c r="CN142" s="254">
        <v>0</v>
      </c>
      <c r="CO142" s="254">
        <v>0</v>
      </c>
      <c r="CP142" s="254">
        <v>0</v>
      </c>
      <c r="CQ142" s="116"/>
      <c r="CR142" s="255">
        <v>0</v>
      </c>
      <c r="CS142" s="255">
        <v>0</v>
      </c>
      <c r="CT142" s="255">
        <v>0</v>
      </c>
      <c r="CU142" s="255">
        <v>0</v>
      </c>
      <c r="CV142" s="255">
        <v>0</v>
      </c>
      <c r="CW142" s="255">
        <v>0</v>
      </c>
      <c r="CX142" s="255">
        <v>0</v>
      </c>
      <c r="CY142" s="255">
        <v>0</v>
      </c>
      <c r="CZ142" s="255">
        <v>0</v>
      </c>
      <c r="DA142" s="255">
        <v>0</v>
      </c>
      <c r="DB142" s="255">
        <v>0</v>
      </c>
      <c r="DC142" s="255">
        <v>0</v>
      </c>
      <c r="DD142" s="255">
        <v>0</v>
      </c>
      <c r="DE142" s="255">
        <v>0</v>
      </c>
      <c r="DF142" s="255">
        <v>0</v>
      </c>
      <c r="DG142" s="255">
        <v>0</v>
      </c>
      <c r="DH142" s="255">
        <v>0</v>
      </c>
      <c r="DI142" s="255">
        <v>0</v>
      </c>
      <c r="DJ142" s="255">
        <v>0</v>
      </c>
      <c r="DK142" s="255">
        <v>0</v>
      </c>
      <c r="DL142" s="255">
        <v>0</v>
      </c>
      <c r="DM142" s="255">
        <v>0</v>
      </c>
      <c r="DN142" s="255">
        <v>0</v>
      </c>
      <c r="DO142" s="255">
        <v>0</v>
      </c>
      <c r="DP142" s="255">
        <v>0</v>
      </c>
      <c r="DQ142" s="255">
        <v>0</v>
      </c>
      <c r="DR142" s="255">
        <v>16860.2</v>
      </c>
      <c r="DS142" s="255">
        <v>16860.2</v>
      </c>
      <c r="DT142" s="255">
        <v>0</v>
      </c>
      <c r="DU142" s="255">
        <v>0</v>
      </c>
      <c r="DV142" s="255">
        <v>0</v>
      </c>
      <c r="DW142" s="255">
        <v>0</v>
      </c>
      <c r="DX142" s="255">
        <v>0</v>
      </c>
      <c r="DY142" s="255">
        <v>0</v>
      </c>
      <c r="DZ142" s="255">
        <v>0</v>
      </c>
      <c r="EA142" s="255">
        <v>0</v>
      </c>
      <c r="EB142" s="255">
        <v>0</v>
      </c>
      <c r="EC142" s="255">
        <v>0</v>
      </c>
      <c r="ED142" s="255">
        <v>17371.2</v>
      </c>
      <c r="EE142" s="255">
        <v>17371.2</v>
      </c>
      <c r="EF142" s="255">
        <v>17371.2</v>
      </c>
      <c r="EG142" s="255">
        <v>17371.2</v>
      </c>
      <c r="EH142" s="255">
        <v>0</v>
      </c>
      <c r="EI142" s="255">
        <v>0</v>
      </c>
      <c r="EJ142" s="255">
        <v>0</v>
      </c>
      <c r="EK142" s="255">
        <v>0</v>
      </c>
      <c r="EL142" s="255">
        <v>0</v>
      </c>
      <c r="EM142" s="255">
        <v>0</v>
      </c>
      <c r="EN142" s="255">
        <v>0</v>
      </c>
      <c r="EO142" s="255">
        <v>0</v>
      </c>
      <c r="EP142" s="255">
        <v>0</v>
      </c>
      <c r="EQ142" s="255">
        <v>0</v>
      </c>
      <c r="ER142" s="255">
        <v>0</v>
      </c>
      <c r="ES142" s="255">
        <v>0</v>
      </c>
      <c r="ET142" s="255">
        <v>0</v>
      </c>
      <c r="EU142" s="255">
        <v>0</v>
      </c>
      <c r="EV142" s="255">
        <v>0</v>
      </c>
      <c r="EW142" s="255">
        <v>0</v>
      </c>
      <c r="EX142" s="255">
        <v>0</v>
      </c>
      <c r="EY142" s="255">
        <v>0</v>
      </c>
      <c r="EZ142" s="255">
        <v>0</v>
      </c>
      <c r="FA142" s="255">
        <v>0</v>
      </c>
      <c r="FB142" s="255">
        <v>0</v>
      </c>
      <c r="FC142" s="255">
        <v>0</v>
      </c>
      <c r="FD142" s="255">
        <v>0</v>
      </c>
      <c r="FE142" s="255">
        <v>0</v>
      </c>
      <c r="FF142" s="255">
        <v>0</v>
      </c>
      <c r="FG142" s="255">
        <v>0</v>
      </c>
      <c r="FH142" s="255">
        <v>0</v>
      </c>
      <c r="FI142" s="255">
        <v>0</v>
      </c>
      <c r="FJ142" s="255">
        <v>0</v>
      </c>
      <c r="FK142" s="255">
        <v>0</v>
      </c>
      <c r="FL142" s="255">
        <v>0</v>
      </c>
      <c r="FM142" s="255">
        <v>0</v>
      </c>
      <c r="FN142" s="255">
        <v>0</v>
      </c>
      <c r="FO142" s="255">
        <v>0</v>
      </c>
      <c r="FP142" s="255">
        <v>0</v>
      </c>
      <c r="FQ142" s="255">
        <v>0</v>
      </c>
      <c r="FR142" s="255">
        <v>0</v>
      </c>
      <c r="FS142" s="255">
        <v>0</v>
      </c>
      <c r="FT142" s="255">
        <v>0</v>
      </c>
      <c r="FU142" s="255">
        <v>0</v>
      </c>
      <c r="FV142" s="255">
        <v>0</v>
      </c>
      <c r="FW142" s="255">
        <v>0</v>
      </c>
      <c r="FX142" s="116"/>
    </row>
    <row r="143" spans="2:180" x14ac:dyDescent="0.2">
      <c r="B143" s="253" t="s">
        <v>216</v>
      </c>
      <c r="C143" s="253" t="s">
        <v>332</v>
      </c>
      <c r="D143" s="253" t="s">
        <v>258</v>
      </c>
      <c r="E143" s="253" t="s">
        <v>127</v>
      </c>
      <c r="F143" s="253" t="s">
        <v>259</v>
      </c>
      <c r="G143" s="253" t="s">
        <v>260</v>
      </c>
      <c r="H143" s="237">
        <v>188.58</v>
      </c>
      <c r="I143" s="126">
        <f t="shared" si="87"/>
        <v>85803.900000000009</v>
      </c>
      <c r="J143" s="116"/>
      <c r="K143" s="254">
        <v>0</v>
      </c>
      <c r="L143" s="254">
        <v>0</v>
      </c>
      <c r="M143" s="254">
        <v>0</v>
      </c>
      <c r="N143" s="254">
        <v>0</v>
      </c>
      <c r="O143" s="254">
        <v>0</v>
      </c>
      <c r="P143" s="254">
        <v>0</v>
      </c>
      <c r="Q143" s="254">
        <v>0</v>
      </c>
      <c r="R143" s="254">
        <v>0</v>
      </c>
      <c r="S143" s="254">
        <v>0</v>
      </c>
      <c r="T143" s="254">
        <v>0</v>
      </c>
      <c r="U143" s="254">
        <v>0</v>
      </c>
      <c r="V143" s="254">
        <v>0</v>
      </c>
      <c r="W143" s="254">
        <v>0</v>
      </c>
      <c r="X143" s="254">
        <v>0</v>
      </c>
      <c r="Y143" s="254">
        <v>0</v>
      </c>
      <c r="Z143" s="254">
        <v>0</v>
      </c>
      <c r="AA143" s="254">
        <v>0</v>
      </c>
      <c r="AB143" s="254">
        <v>0</v>
      </c>
      <c r="AC143" s="254">
        <v>0</v>
      </c>
      <c r="AD143" s="254">
        <v>1.05</v>
      </c>
      <c r="AE143" s="254">
        <v>1.1000000000000001</v>
      </c>
      <c r="AF143" s="254">
        <v>1.1000000000000001</v>
      </c>
      <c r="AG143" s="254">
        <v>0</v>
      </c>
      <c r="AH143" s="254">
        <v>0</v>
      </c>
      <c r="AI143" s="254">
        <v>0</v>
      </c>
      <c r="AJ143" s="254">
        <v>0</v>
      </c>
      <c r="AK143" s="254">
        <v>0</v>
      </c>
      <c r="AL143" s="254">
        <v>0</v>
      </c>
      <c r="AM143" s="254">
        <v>0</v>
      </c>
      <c r="AN143" s="254">
        <v>0</v>
      </c>
      <c r="AO143" s="254">
        <v>0</v>
      </c>
      <c r="AP143" s="254">
        <v>0</v>
      </c>
      <c r="AQ143" s="254">
        <v>0</v>
      </c>
      <c r="AR143" s="254">
        <v>0</v>
      </c>
      <c r="AS143" s="254">
        <v>0</v>
      </c>
      <c r="AT143" s="254">
        <v>0</v>
      </c>
      <c r="AU143" s="254">
        <v>0</v>
      </c>
      <c r="AV143" s="254">
        <v>0</v>
      </c>
      <c r="AW143" s="254">
        <v>0</v>
      </c>
      <c r="AX143" s="254">
        <v>0</v>
      </c>
      <c r="AY143" s="254">
        <v>0</v>
      </c>
      <c r="AZ143" s="254">
        <v>0</v>
      </c>
      <c r="BA143" s="254">
        <v>0</v>
      </c>
      <c r="BB143" s="254">
        <v>0</v>
      </c>
      <c r="BC143" s="254">
        <v>0</v>
      </c>
      <c r="BD143" s="254">
        <v>0</v>
      </c>
      <c r="BE143" s="254">
        <v>0</v>
      </c>
      <c r="BF143" s="254">
        <v>0</v>
      </c>
      <c r="BG143" s="254">
        <v>0</v>
      </c>
      <c r="BH143" s="254">
        <v>0</v>
      </c>
      <c r="BI143" s="254">
        <v>0</v>
      </c>
      <c r="BJ143" s="254">
        <v>0</v>
      </c>
      <c r="BK143" s="254">
        <v>0</v>
      </c>
      <c r="BL143" s="254">
        <v>0</v>
      </c>
      <c r="BM143" s="254">
        <v>0</v>
      </c>
      <c r="BN143" s="254">
        <v>0</v>
      </c>
      <c r="BO143" s="254">
        <v>0</v>
      </c>
      <c r="BP143" s="254">
        <v>0</v>
      </c>
      <c r="BQ143" s="254">
        <v>0</v>
      </c>
      <c r="BR143" s="254">
        <v>0</v>
      </c>
      <c r="BS143" s="254">
        <v>0</v>
      </c>
      <c r="BT143" s="254">
        <v>0</v>
      </c>
      <c r="BU143" s="254">
        <v>0</v>
      </c>
      <c r="BV143" s="254">
        <v>0</v>
      </c>
      <c r="BW143" s="254">
        <v>0</v>
      </c>
      <c r="BX143" s="254">
        <v>0</v>
      </c>
      <c r="BY143" s="254">
        <v>0</v>
      </c>
      <c r="BZ143" s="254">
        <v>0</v>
      </c>
      <c r="CA143" s="254">
        <v>0</v>
      </c>
      <c r="CB143" s="254">
        <v>0</v>
      </c>
      <c r="CC143" s="254">
        <v>0</v>
      </c>
      <c r="CD143" s="254">
        <v>0</v>
      </c>
      <c r="CE143" s="254">
        <v>0</v>
      </c>
      <c r="CF143" s="254">
        <v>0</v>
      </c>
      <c r="CG143" s="254">
        <v>0</v>
      </c>
      <c r="CH143" s="254">
        <v>0</v>
      </c>
      <c r="CI143" s="254">
        <v>0</v>
      </c>
      <c r="CJ143" s="254">
        <v>0</v>
      </c>
      <c r="CK143" s="254">
        <v>0</v>
      </c>
      <c r="CL143" s="254">
        <v>0</v>
      </c>
      <c r="CM143" s="254">
        <v>0</v>
      </c>
      <c r="CN143" s="254">
        <v>0</v>
      </c>
      <c r="CO143" s="254">
        <v>0</v>
      </c>
      <c r="CP143" s="254">
        <v>0</v>
      </c>
      <c r="CQ143" s="116"/>
      <c r="CR143" s="255">
        <v>0</v>
      </c>
      <c r="CS143" s="255">
        <v>0</v>
      </c>
      <c r="CT143" s="255">
        <v>0</v>
      </c>
      <c r="CU143" s="255">
        <v>0</v>
      </c>
      <c r="CV143" s="255">
        <v>0</v>
      </c>
      <c r="CW143" s="255">
        <v>0</v>
      </c>
      <c r="CX143" s="255">
        <v>0</v>
      </c>
      <c r="CY143" s="255">
        <v>0</v>
      </c>
      <c r="CZ143" s="255">
        <v>0</v>
      </c>
      <c r="DA143" s="255">
        <v>0</v>
      </c>
      <c r="DB143" s="255">
        <v>0</v>
      </c>
      <c r="DC143" s="255">
        <v>0</v>
      </c>
      <c r="DD143" s="255">
        <v>0</v>
      </c>
      <c r="DE143" s="255">
        <v>0</v>
      </c>
      <c r="DF143" s="255">
        <v>0</v>
      </c>
      <c r="DG143" s="255">
        <v>0</v>
      </c>
      <c r="DH143" s="255">
        <v>0</v>
      </c>
      <c r="DI143" s="255">
        <v>0</v>
      </c>
      <c r="DJ143" s="255">
        <v>0</v>
      </c>
      <c r="DK143" s="255">
        <v>27721.260000000002</v>
      </c>
      <c r="DL143" s="255">
        <v>29041.320000000003</v>
      </c>
      <c r="DM143" s="255">
        <v>29041.320000000003</v>
      </c>
      <c r="DN143" s="255">
        <v>0</v>
      </c>
      <c r="DO143" s="255">
        <v>0</v>
      </c>
      <c r="DP143" s="255">
        <v>0</v>
      </c>
      <c r="DQ143" s="255">
        <v>0</v>
      </c>
      <c r="DR143" s="255">
        <v>0</v>
      </c>
      <c r="DS143" s="255">
        <v>0</v>
      </c>
      <c r="DT143" s="255">
        <v>0</v>
      </c>
      <c r="DU143" s="255">
        <v>0</v>
      </c>
      <c r="DV143" s="255">
        <v>0</v>
      </c>
      <c r="DW143" s="255">
        <v>0</v>
      </c>
      <c r="DX143" s="255">
        <v>0</v>
      </c>
      <c r="DY143" s="255">
        <v>0</v>
      </c>
      <c r="DZ143" s="255">
        <v>0</v>
      </c>
      <c r="EA143" s="255">
        <v>0</v>
      </c>
      <c r="EB143" s="255">
        <v>0</v>
      </c>
      <c r="EC143" s="255">
        <v>0</v>
      </c>
      <c r="ED143" s="255">
        <v>0</v>
      </c>
      <c r="EE143" s="255">
        <v>0</v>
      </c>
      <c r="EF143" s="255">
        <v>0</v>
      </c>
      <c r="EG143" s="255">
        <v>0</v>
      </c>
      <c r="EH143" s="255">
        <v>0</v>
      </c>
      <c r="EI143" s="255">
        <v>0</v>
      </c>
      <c r="EJ143" s="255">
        <v>0</v>
      </c>
      <c r="EK143" s="255">
        <v>0</v>
      </c>
      <c r="EL143" s="255">
        <v>0</v>
      </c>
      <c r="EM143" s="255">
        <v>0</v>
      </c>
      <c r="EN143" s="255">
        <v>0</v>
      </c>
      <c r="EO143" s="255">
        <v>0</v>
      </c>
      <c r="EP143" s="255">
        <v>0</v>
      </c>
      <c r="EQ143" s="255">
        <v>0</v>
      </c>
      <c r="ER143" s="255">
        <v>0</v>
      </c>
      <c r="ES143" s="255">
        <v>0</v>
      </c>
      <c r="ET143" s="255">
        <v>0</v>
      </c>
      <c r="EU143" s="255">
        <v>0</v>
      </c>
      <c r="EV143" s="255">
        <v>0</v>
      </c>
      <c r="EW143" s="255">
        <v>0</v>
      </c>
      <c r="EX143" s="255">
        <v>0</v>
      </c>
      <c r="EY143" s="255">
        <v>0</v>
      </c>
      <c r="EZ143" s="255">
        <v>0</v>
      </c>
      <c r="FA143" s="255">
        <v>0</v>
      </c>
      <c r="FB143" s="255">
        <v>0</v>
      </c>
      <c r="FC143" s="255">
        <v>0</v>
      </c>
      <c r="FD143" s="255">
        <v>0</v>
      </c>
      <c r="FE143" s="255">
        <v>0</v>
      </c>
      <c r="FF143" s="255">
        <v>0</v>
      </c>
      <c r="FG143" s="255">
        <v>0</v>
      </c>
      <c r="FH143" s="255">
        <v>0</v>
      </c>
      <c r="FI143" s="255">
        <v>0</v>
      </c>
      <c r="FJ143" s="255">
        <v>0</v>
      </c>
      <c r="FK143" s="255">
        <v>0</v>
      </c>
      <c r="FL143" s="255">
        <v>0</v>
      </c>
      <c r="FM143" s="255">
        <v>0</v>
      </c>
      <c r="FN143" s="255">
        <v>0</v>
      </c>
      <c r="FO143" s="255">
        <v>0</v>
      </c>
      <c r="FP143" s="255">
        <v>0</v>
      </c>
      <c r="FQ143" s="255">
        <v>0</v>
      </c>
      <c r="FR143" s="255">
        <v>0</v>
      </c>
      <c r="FS143" s="255">
        <v>0</v>
      </c>
      <c r="FT143" s="255">
        <v>0</v>
      </c>
      <c r="FU143" s="255">
        <v>0</v>
      </c>
      <c r="FV143" s="255">
        <v>0</v>
      </c>
      <c r="FW143" s="255">
        <v>0</v>
      </c>
      <c r="FX143" s="116"/>
    </row>
    <row r="144" spans="2:180" x14ac:dyDescent="0.2">
      <c r="B144" s="253" t="s">
        <v>216</v>
      </c>
      <c r="C144" s="253" t="s">
        <v>332</v>
      </c>
      <c r="D144" s="253" t="s">
        <v>258</v>
      </c>
      <c r="E144" s="253" t="s">
        <v>127</v>
      </c>
      <c r="F144" s="253">
        <v>0</v>
      </c>
      <c r="G144" s="253" t="s">
        <v>322</v>
      </c>
      <c r="H144" s="237">
        <v>188.58</v>
      </c>
      <c r="I144" s="126">
        <f t="shared" si="87"/>
        <v>45258</v>
      </c>
      <c r="J144" s="116"/>
      <c r="K144" s="254">
        <v>0</v>
      </c>
      <c r="L144" s="254">
        <v>0</v>
      </c>
      <c r="M144" s="254">
        <v>0</v>
      </c>
      <c r="N144" s="254">
        <v>0</v>
      </c>
      <c r="O144" s="254">
        <v>0</v>
      </c>
      <c r="P144" s="254">
        <v>0</v>
      </c>
      <c r="Q144" s="254">
        <v>0</v>
      </c>
      <c r="R144" s="254">
        <v>0</v>
      </c>
      <c r="S144" s="254">
        <v>0</v>
      </c>
      <c r="T144" s="254">
        <v>0</v>
      </c>
      <c r="U144" s="254">
        <v>0</v>
      </c>
      <c r="V144" s="254">
        <v>0</v>
      </c>
      <c r="W144" s="254">
        <v>0</v>
      </c>
      <c r="X144" s="254">
        <v>0</v>
      </c>
      <c r="Y144" s="254">
        <v>0</v>
      </c>
      <c r="Z144" s="254">
        <v>0</v>
      </c>
      <c r="AA144" s="254">
        <v>0</v>
      </c>
      <c r="AB144" s="254">
        <v>0</v>
      </c>
      <c r="AC144" s="254">
        <v>0</v>
      </c>
      <c r="AD144" s="254">
        <v>0.2857142857142857</v>
      </c>
      <c r="AE144" s="254">
        <v>0.2857142857142857</v>
      </c>
      <c r="AF144" s="254">
        <v>0.2857142857142857</v>
      </c>
      <c r="AG144" s="254">
        <v>0</v>
      </c>
      <c r="AH144" s="254">
        <v>0</v>
      </c>
      <c r="AI144" s="254">
        <v>0</v>
      </c>
      <c r="AJ144" s="254">
        <v>0</v>
      </c>
      <c r="AK144" s="254">
        <v>0</v>
      </c>
      <c r="AL144" s="254">
        <v>0</v>
      </c>
      <c r="AM144" s="254">
        <v>0</v>
      </c>
      <c r="AN144" s="254">
        <v>0</v>
      </c>
      <c r="AO144" s="254">
        <v>0</v>
      </c>
      <c r="AP144" s="254">
        <v>0</v>
      </c>
      <c r="AQ144" s="254">
        <v>0</v>
      </c>
      <c r="AR144" s="254">
        <v>0</v>
      </c>
      <c r="AS144" s="254">
        <v>0</v>
      </c>
      <c r="AT144" s="254">
        <v>0</v>
      </c>
      <c r="AU144" s="254">
        <v>0</v>
      </c>
      <c r="AV144" s="254">
        <v>0</v>
      </c>
      <c r="AW144" s="254">
        <v>0</v>
      </c>
      <c r="AX144" s="254">
        <v>0</v>
      </c>
      <c r="AY144" s="254">
        <v>0</v>
      </c>
      <c r="AZ144" s="254">
        <v>0</v>
      </c>
      <c r="BA144" s="254">
        <v>0</v>
      </c>
      <c r="BB144" s="254">
        <v>0</v>
      </c>
      <c r="BC144" s="254">
        <v>0</v>
      </c>
      <c r="BD144" s="254">
        <v>0</v>
      </c>
      <c r="BE144" s="254">
        <v>0</v>
      </c>
      <c r="BF144" s="254">
        <v>0</v>
      </c>
      <c r="BG144" s="254">
        <v>0</v>
      </c>
      <c r="BH144" s="254">
        <v>0</v>
      </c>
      <c r="BI144" s="254">
        <v>0</v>
      </c>
      <c r="BJ144" s="254">
        <v>0</v>
      </c>
      <c r="BK144" s="254">
        <v>0</v>
      </c>
      <c r="BL144" s="254">
        <v>0</v>
      </c>
      <c r="BM144" s="254">
        <v>0</v>
      </c>
      <c r="BN144" s="254">
        <v>0</v>
      </c>
      <c r="BO144" s="254">
        <v>0</v>
      </c>
      <c r="BP144" s="254">
        <v>0</v>
      </c>
      <c r="BQ144" s="254">
        <v>0</v>
      </c>
      <c r="BR144" s="254">
        <v>0</v>
      </c>
      <c r="BS144" s="254">
        <v>0</v>
      </c>
      <c r="BT144" s="254">
        <v>0</v>
      </c>
      <c r="BU144" s="254">
        <v>0</v>
      </c>
      <c r="BV144" s="254">
        <v>0</v>
      </c>
      <c r="BW144" s="254">
        <v>0</v>
      </c>
      <c r="BX144" s="254">
        <v>0</v>
      </c>
      <c r="BY144" s="254">
        <v>0</v>
      </c>
      <c r="BZ144" s="254">
        <v>0</v>
      </c>
      <c r="CA144" s="254">
        <v>0</v>
      </c>
      <c r="CB144" s="254">
        <v>0</v>
      </c>
      <c r="CC144" s="254">
        <v>0</v>
      </c>
      <c r="CD144" s="254">
        <v>0</v>
      </c>
      <c r="CE144" s="254">
        <v>0</v>
      </c>
      <c r="CF144" s="254">
        <v>0</v>
      </c>
      <c r="CG144" s="254">
        <v>0</v>
      </c>
      <c r="CH144" s="254">
        <v>0</v>
      </c>
      <c r="CI144" s="254">
        <v>0</v>
      </c>
      <c r="CJ144" s="254">
        <v>0</v>
      </c>
      <c r="CK144" s="254">
        <v>0</v>
      </c>
      <c r="CL144" s="254">
        <v>0</v>
      </c>
      <c r="CM144" s="254">
        <v>0</v>
      </c>
      <c r="CN144" s="254">
        <v>0</v>
      </c>
      <c r="CO144" s="254">
        <v>0</v>
      </c>
      <c r="CP144" s="254">
        <v>0</v>
      </c>
      <c r="CQ144" s="116"/>
      <c r="CR144" s="255">
        <v>0</v>
      </c>
      <c r="CS144" s="255">
        <v>0</v>
      </c>
      <c r="CT144" s="255">
        <v>0</v>
      </c>
      <c r="CU144" s="255">
        <v>0</v>
      </c>
      <c r="CV144" s="255">
        <v>0</v>
      </c>
      <c r="CW144" s="255">
        <v>0</v>
      </c>
      <c r="CX144" s="255">
        <v>0</v>
      </c>
      <c r="CY144" s="255">
        <v>0</v>
      </c>
      <c r="CZ144" s="255">
        <v>0</v>
      </c>
      <c r="DA144" s="255">
        <v>0</v>
      </c>
      <c r="DB144" s="255">
        <v>0</v>
      </c>
      <c r="DC144" s="255">
        <v>0</v>
      </c>
      <c r="DD144" s="255">
        <v>0</v>
      </c>
      <c r="DE144" s="255">
        <v>0</v>
      </c>
      <c r="DF144" s="255">
        <v>0</v>
      </c>
      <c r="DG144" s="255">
        <v>0</v>
      </c>
      <c r="DH144" s="255">
        <v>0</v>
      </c>
      <c r="DI144" s="255">
        <v>0</v>
      </c>
      <c r="DJ144" s="255">
        <v>0</v>
      </c>
      <c r="DK144" s="255">
        <v>15086</v>
      </c>
      <c r="DL144" s="255">
        <v>15086</v>
      </c>
      <c r="DM144" s="255">
        <v>15086</v>
      </c>
      <c r="DN144" s="255">
        <v>0</v>
      </c>
      <c r="DO144" s="255">
        <v>0</v>
      </c>
      <c r="DP144" s="255">
        <v>0</v>
      </c>
      <c r="DQ144" s="255">
        <v>0</v>
      </c>
      <c r="DR144" s="255">
        <v>0</v>
      </c>
      <c r="DS144" s="255">
        <v>0</v>
      </c>
      <c r="DT144" s="255">
        <v>0</v>
      </c>
      <c r="DU144" s="255">
        <v>0</v>
      </c>
      <c r="DV144" s="255">
        <v>0</v>
      </c>
      <c r="DW144" s="255">
        <v>0</v>
      </c>
      <c r="DX144" s="255">
        <v>0</v>
      </c>
      <c r="DY144" s="255">
        <v>0</v>
      </c>
      <c r="DZ144" s="255">
        <v>0</v>
      </c>
      <c r="EA144" s="255">
        <v>0</v>
      </c>
      <c r="EB144" s="255">
        <v>0</v>
      </c>
      <c r="EC144" s="255">
        <v>0</v>
      </c>
      <c r="ED144" s="255">
        <v>0</v>
      </c>
      <c r="EE144" s="255">
        <v>0</v>
      </c>
      <c r="EF144" s="255">
        <v>0</v>
      </c>
      <c r="EG144" s="255">
        <v>0</v>
      </c>
      <c r="EH144" s="255">
        <v>0</v>
      </c>
      <c r="EI144" s="255">
        <v>0</v>
      </c>
      <c r="EJ144" s="255">
        <v>0</v>
      </c>
      <c r="EK144" s="255">
        <v>0</v>
      </c>
      <c r="EL144" s="255">
        <v>0</v>
      </c>
      <c r="EM144" s="255">
        <v>0</v>
      </c>
      <c r="EN144" s="255">
        <v>0</v>
      </c>
      <c r="EO144" s="255">
        <v>0</v>
      </c>
      <c r="EP144" s="255">
        <v>0</v>
      </c>
      <c r="EQ144" s="255">
        <v>0</v>
      </c>
      <c r="ER144" s="255">
        <v>0</v>
      </c>
      <c r="ES144" s="255">
        <v>0</v>
      </c>
      <c r="ET144" s="255">
        <v>0</v>
      </c>
      <c r="EU144" s="255">
        <v>0</v>
      </c>
      <c r="EV144" s="255">
        <v>0</v>
      </c>
      <c r="EW144" s="255">
        <v>0</v>
      </c>
      <c r="EX144" s="255">
        <v>0</v>
      </c>
      <c r="EY144" s="255">
        <v>0</v>
      </c>
      <c r="EZ144" s="255">
        <v>0</v>
      </c>
      <c r="FA144" s="255">
        <v>0</v>
      </c>
      <c r="FB144" s="255">
        <v>0</v>
      </c>
      <c r="FC144" s="255">
        <v>0</v>
      </c>
      <c r="FD144" s="255">
        <v>0</v>
      </c>
      <c r="FE144" s="255">
        <v>0</v>
      </c>
      <c r="FF144" s="255">
        <v>0</v>
      </c>
      <c r="FG144" s="255">
        <v>0</v>
      </c>
      <c r="FH144" s="255">
        <v>0</v>
      </c>
      <c r="FI144" s="255">
        <v>0</v>
      </c>
      <c r="FJ144" s="255">
        <v>0</v>
      </c>
      <c r="FK144" s="255">
        <v>0</v>
      </c>
      <c r="FL144" s="255">
        <v>0</v>
      </c>
      <c r="FM144" s="255">
        <v>0</v>
      </c>
      <c r="FN144" s="255">
        <v>0</v>
      </c>
      <c r="FO144" s="255">
        <v>0</v>
      </c>
      <c r="FP144" s="255">
        <v>0</v>
      </c>
      <c r="FQ144" s="255">
        <v>0</v>
      </c>
      <c r="FR144" s="255">
        <v>0</v>
      </c>
      <c r="FS144" s="255">
        <v>0</v>
      </c>
      <c r="FT144" s="255">
        <v>0</v>
      </c>
      <c r="FU144" s="255">
        <v>0</v>
      </c>
      <c r="FV144" s="255">
        <v>0</v>
      </c>
      <c r="FW144" s="255">
        <v>0</v>
      </c>
      <c r="FX144" s="116"/>
    </row>
    <row r="145" spans="2:180" x14ac:dyDescent="0.2">
      <c r="B145" s="253" t="s">
        <v>230</v>
      </c>
      <c r="C145" s="253" t="s">
        <v>333</v>
      </c>
      <c r="D145" s="253" t="s">
        <v>85</v>
      </c>
      <c r="E145" s="253" t="s">
        <v>127</v>
      </c>
      <c r="F145" s="253">
        <v>0</v>
      </c>
      <c r="G145" s="253" t="s">
        <v>268</v>
      </c>
      <c r="H145" s="237">
        <v>0</v>
      </c>
      <c r="I145" s="126">
        <f t="shared" si="87"/>
        <v>30000</v>
      </c>
      <c r="J145" s="116"/>
      <c r="K145" s="254">
        <v>0</v>
      </c>
      <c r="L145" s="254">
        <v>0</v>
      </c>
      <c r="M145" s="254">
        <v>0</v>
      </c>
      <c r="N145" s="254">
        <v>0</v>
      </c>
      <c r="O145" s="254">
        <v>0</v>
      </c>
      <c r="P145" s="254">
        <v>0</v>
      </c>
      <c r="Q145" s="254">
        <v>0</v>
      </c>
      <c r="R145" s="254">
        <v>0</v>
      </c>
      <c r="S145" s="254">
        <v>0</v>
      </c>
      <c r="T145" s="254">
        <v>0</v>
      </c>
      <c r="U145" s="254">
        <v>0</v>
      </c>
      <c r="V145" s="254">
        <v>0</v>
      </c>
      <c r="W145" s="254">
        <v>0</v>
      </c>
      <c r="X145" s="254">
        <v>0</v>
      </c>
      <c r="Y145" s="254">
        <v>0</v>
      </c>
      <c r="Z145" s="254">
        <v>0</v>
      </c>
      <c r="AA145" s="254">
        <v>0</v>
      </c>
      <c r="AB145" s="254">
        <v>0</v>
      </c>
      <c r="AC145" s="254">
        <v>0</v>
      </c>
      <c r="AD145" s="254">
        <v>0</v>
      </c>
      <c r="AE145" s="254">
        <v>0</v>
      </c>
      <c r="AF145" s="254">
        <v>0</v>
      </c>
      <c r="AG145" s="254">
        <v>0</v>
      </c>
      <c r="AH145" s="254">
        <v>0</v>
      </c>
      <c r="AI145" s="254">
        <v>0</v>
      </c>
      <c r="AJ145" s="254">
        <v>0</v>
      </c>
      <c r="AK145" s="254">
        <v>0.5</v>
      </c>
      <c r="AL145" s="254">
        <v>0</v>
      </c>
      <c r="AM145" s="254">
        <v>0</v>
      </c>
      <c r="AN145" s="254">
        <v>0.5</v>
      </c>
      <c r="AO145" s="254">
        <v>0</v>
      </c>
      <c r="AP145" s="254">
        <v>0</v>
      </c>
      <c r="AQ145" s="254">
        <v>0</v>
      </c>
      <c r="AR145" s="254">
        <v>0</v>
      </c>
      <c r="AS145" s="254">
        <v>0</v>
      </c>
      <c r="AT145" s="254">
        <v>0</v>
      </c>
      <c r="AU145" s="254">
        <v>0</v>
      </c>
      <c r="AV145" s="254">
        <v>0</v>
      </c>
      <c r="AW145" s="254">
        <v>0</v>
      </c>
      <c r="AX145" s="254">
        <v>0</v>
      </c>
      <c r="AY145" s="254">
        <v>0</v>
      </c>
      <c r="AZ145" s="254">
        <v>0</v>
      </c>
      <c r="BA145" s="254">
        <v>0</v>
      </c>
      <c r="BB145" s="254">
        <v>0</v>
      </c>
      <c r="BC145" s="254">
        <v>0</v>
      </c>
      <c r="BD145" s="254">
        <v>0</v>
      </c>
      <c r="BE145" s="254">
        <v>0</v>
      </c>
      <c r="BF145" s="254">
        <v>0</v>
      </c>
      <c r="BG145" s="254">
        <v>0</v>
      </c>
      <c r="BH145" s="254">
        <v>0</v>
      </c>
      <c r="BI145" s="254">
        <v>0</v>
      </c>
      <c r="BJ145" s="254">
        <v>0</v>
      </c>
      <c r="BK145" s="254">
        <v>0</v>
      </c>
      <c r="BL145" s="254">
        <v>0</v>
      </c>
      <c r="BM145" s="254">
        <v>0</v>
      </c>
      <c r="BN145" s="254">
        <v>0</v>
      </c>
      <c r="BO145" s="254">
        <v>0</v>
      </c>
      <c r="BP145" s="254">
        <v>0</v>
      </c>
      <c r="BQ145" s="254">
        <v>0</v>
      </c>
      <c r="BR145" s="254">
        <v>0</v>
      </c>
      <c r="BS145" s="254">
        <v>0</v>
      </c>
      <c r="BT145" s="254">
        <v>0</v>
      </c>
      <c r="BU145" s="254">
        <v>0</v>
      </c>
      <c r="BV145" s="254">
        <v>0</v>
      </c>
      <c r="BW145" s="254">
        <v>0</v>
      </c>
      <c r="BX145" s="254">
        <v>0</v>
      </c>
      <c r="BY145" s="254">
        <v>0</v>
      </c>
      <c r="BZ145" s="254">
        <v>0</v>
      </c>
      <c r="CA145" s="254">
        <v>0</v>
      </c>
      <c r="CB145" s="254">
        <v>0</v>
      </c>
      <c r="CC145" s="254">
        <v>0</v>
      </c>
      <c r="CD145" s="254">
        <v>0</v>
      </c>
      <c r="CE145" s="254">
        <v>0</v>
      </c>
      <c r="CF145" s="254">
        <v>0</v>
      </c>
      <c r="CG145" s="254">
        <v>0</v>
      </c>
      <c r="CH145" s="254">
        <v>0</v>
      </c>
      <c r="CI145" s="254">
        <v>0</v>
      </c>
      <c r="CJ145" s="254">
        <v>0</v>
      </c>
      <c r="CK145" s="254">
        <v>0</v>
      </c>
      <c r="CL145" s="254">
        <v>0</v>
      </c>
      <c r="CM145" s="254">
        <v>0</v>
      </c>
      <c r="CN145" s="254">
        <v>0</v>
      </c>
      <c r="CO145" s="254">
        <v>0</v>
      </c>
      <c r="CP145" s="254">
        <v>0</v>
      </c>
      <c r="CQ145" s="116"/>
      <c r="CR145" s="255">
        <v>0</v>
      </c>
      <c r="CS145" s="255">
        <v>0</v>
      </c>
      <c r="CT145" s="255">
        <v>0</v>
      </c>
      <c r="CU145" s="255">
        <v>0</v>
      </c>
      <c r="CV145" s="255">
        <v>0</v>
      </c>
      <c r="CW145" s="255">
        <v>0</v>
      </c>
      <c r="CX145" s="255">
        <v>0</v>
      </c>
      <c r="CY145" s="255">
        <v>0</v>
      </c>
      <c r="CZ145" s="255">
        <v>0</v>
      </c>
      <c r="DA145" s="255">
        <v>0</v>
      </c>
      <c r="DB145" s="255">
        <v>0</v>
      </c>
      <c r="DC145" s="255">
        <v>0</v>
      </c>
      <c r="DD145" s="255">
        <v>0</v>
      </c>
      <c r="DE145" s="255">
        <v>0</v>
      </c>
      <c r="DF145" s="255">
        <v>0</v>
      </c>
      <c r="DG145" s="255">
        <v>0</v>
      </c>
      <c r="DH145" s="255">
        <v>0</v>
      </c>
      <c r="DI145" s="255">
        <v>0</v>
      </c>
      <c r="DJ145" s="255">
        <v>0</v>
      </c>
      <c r="DK145" s="255">
        <v>0</v>
      </c>
      <c r="DL145" s="255">
        <v>0</v>
      </c>
      <c r="DM145" s="255">
        <v>0</v>
      </c>
      <c r="DN145" s="255">
        <v>0</v>
      </c>
      <c r="DO145" s="255">
        <v>0</v>
      </c>
      <c r="DP145" s="255">
        <v>0</v>
      </c>
      <c r="DQ145" s="255">
        <v>0</v>
      </c>
      <c r="DR145" s="255">
        <v>15000</v>
      </c>
      <c r="DS145" s="255">
        <v>0</v>
      </c>
      <c r="DT145" s="255">
        <v>0</v>
      </c>
      <c r="DU145" s="255">
        <v>15000</v>
      </c>
      <c r="DV145" s="255">
        <v>0</v>
      </c>
      <c r="DW145" s="255">
        <v>0</v>
      </c>
      <c r="DX145" s="255">
        <v>0</v>
      </c>
      <c r="DY145" s="255">
        <v>0</v>
      </c>
      <c r="DZ145" s="255">
        <v>0</v>
      </c>
      <c r="EA145" s="255">
        <v>0</v>
      </c>
      <c r="EB145" s="255">
        <v>0</v>
      </c>
      <c r="EC145" s="255">
        <v>0</v>
      </c>
      <c r="ED145" s="255">
        <v>0</v>
      </c>
      <c r="EE145" s="255">
        <v>0</v>
      </c>
      <c r="EF145" s="255">
        <v>0</v>
      </c>
      <c r="EG145" s="255">
        <v>0</v>
      </c>
      <c r="EH145" s="255">
        <v>0</v>
      </c>
      <c r="EI145" s="255">
        <v>0</v>
      </c>
      <c r="EJ145" s="255">
        <v>0</v>
      </c>
      <c r="EK145" s="255">
        <v>0</v>
      </c>
      <c r="EL145" s="255">
        <v>0</v>
      </c>
      <c r="EM145" s="255">
        <v>0</v>
      </c>
      <c r="EN145" s="255">
        <v>0</v>
      </c>
      <c r="EO145" s="255">
        <v>0</v>
      </c>
      <c r="EP145" s="255">
        <v>0</v>
      </c>
      <c r="EQ145" s="255">
        <v>0</v>
      </c>
      <c r="ER145" s="255">
        <v>0</v>
      </c>
      <c r="ES145" s="255">
        <v>0</v>
      </c>
      <c r="ET145" s="255">
        <v>0</v>
      </c>
      <c r="EU145" s="255">
        <v>0</v>
      </c>
      <c r="EV145" s="255">
        <v>0</v>
      </c>
      <c r="EW145" s="255">
        <v>0</v>
      </c>
      <c r="EX145" s="255">
        <v>0</v>
      </c>
      <c r="EY145" s="255">
        <v>0</v>
      </c>
      <c r="EZ145" s="255">
        <v>0</v>
      </c>
      <c r="FA145" s="255">
        <v>0</v>
      </c>
      <c r="FB145" s="255">
        <v>0</v>
      </c>
      <c r="FC145" s="255">
        <v>0</v>
      </c>
      <c r="FD145" s="255">
        <v>0</v>
      </c>
      <c r="FE145" s="255">
        <v>0</v>
      </c>
      <c r="FF145" s="255">
        <v>0</v>
      </c>
      <c r="FG145" s="255">
        <v>0</v>
      </c>
      <c r="FH145" s="255">
        <v>0</v>
      </c>
      <c r="FI145" s="255">
        <v>0</v>
      </c>
      <c r="FJ145" s="255">
        <v>0</v>
      </c>
      <c r="FK145" s="255">
        <v>0</v>
      </c>
      <c r="FL145" s="255">
        <v>0</v>
      </c>
      <c r="FM145" s="255">
        <v>0</v>
      </c>
      <c r="FN145" s="255">
        <v>0</v>
      </c>
      <c r="FO145" s="255">
        <v>0</v>
      </c>
      <c r="FP145" s="255">
        <v>0</v>
      </c>
      <c r="FQ145" s="255">
        <v>0</v>
      </c>
      <c r="FR145" s="255">
        <v>0</v>
      </c>
      <c r="FS145" s="255">
        <v>0</v>
      </c>
      <c r="FT145" s="255">
        <v>0</v>
      </c>
      <c r="FU145" s="255">
        <v>0</v>
      </c>
      <c r="FV145" s="255">
        <v>0</v>
      </c>
      <c r="FW145" s="255">
        <v>0</v>
      </c>
      <c r="FX145" s="116"/>
    </row>
    <row r="146" spans="2:180" x14ac:dyDescent="0.2">
      <c r="B146" s="253" t="s">
        <v>216</v>
      </c>
      <c r="C146" s="253" t="s">
        <v>272</v>
      </c>
      <c r="D146" s="253" t="s">
        <v>258</v>
      </c>
      <c r="E146" s="253" t="s">
        <v>127</v>
      </c>
      <c r="F146" s="253" t="s">
        <v>259</v>
      </c>
      <c r="G146" s="253" t="s">
        <v>260</v>
      </c>
      <c r="H146" s="237">
        <v>254.01</v>
      </c>
      <c r="I146" s="126">
        <f t="shared" si="87"/>
        <v>188319.59999999992</v>
      </c>
      <c r="J146" s="116"/>
      <c r="K146" s="254">
        <v>0</v>
      </c>
      <c r="L146" s="254">
        <v>0</v>
      </c>
      <c r="M146" s="254">
        <v>0</v>
      </c>
      <c r="N146" s="254">
        <v>0</v>
      </c>
      <c r="O146" s="254">
        <v>0</v>
      </c>
      <c r="P146" s="254">
        <v>0</v>
      </c>
      <c r="Q146" s="254">
        <v>0</v>
      </c>
      <c r="R146" s="254">
        <v>0</v>
      </c>
      <c r="S146" s="254">
        <v>0</v>
      </c>
      <c r="T146" s="254">
        <v>0</v>
      </c>
      <c r="U146" s="254">
        <v>0</v>
      </c>
      <c r="V146" s="254">
        <v>0</v>
      </c>
      <c r="W146" s="254">
        <v>0</v>
      </c>
      <c r="X146" s="254">
        <v>0</v>
      </c>
      <c r="Y146" s="254">
        <v>0.2</v>
      </c>
      <c r="Z146" s="254">
        <v>0.2</v>
      </c>
      <c r="AA146" s="254">
        <v>0.18421052631578946</v>
      </c>
      <c r="AB146" s="254">
        <v>0.18421052631578946</v>
      </c>
      <c r="AC146" s="254">
        <v>0.2</v>
      </c>
      <c r="AD146" s="254">
        <v>0.2</v>
      </c>
      <c r="AE146" s="254">
        <v>0.2</v>
      </c>
      <c r="AF146" s="254">
        <v>0.2</v>
      </c>
      <c r="AG146" s="254">
        <v>0.2</v>
      </c>
      <c r="AH146" s="254">
        <v>0.2</v>
      </c>
      <c r="AI146" s="254">
        <v>0.2</v>
      </c>
      <c r="AJ146" s="254">
        <v>0.2</v>
      </c>
      <c r="AK146" s="254">
        <v>0.2</v>
      </c>
      <c r="AL146" s="254">
        <v>0.2</v>
      </c>
      <c r="AM146" s="254">
        <v>0.18421052631578946</v>
      </c>
      <c r="AN146" s="254">
        <v>0.18421052631578946</v>
      </c>
      <c r="AO146" s="254">
        <v>0.2</v>
      </c>
      <c r="AP146" s="254">
        <v>0.2</v>
      </c>
      <c r="AQ146" s="254">
        <v>0.2</v>
      </c>
      <c r="AR146" s="254">
        <v>0.2</v>
      </c>
      <c r="AS146" s="254">
        <v>0.2</v>
      </c>
      <c r="AT146" s="254">
        <v>0.2</v>
      </c>
      <c r="AU146" s="254">
        <v>0.2</v>
      </c>
      <c r="AV146" s="254">
        <v>0.2</v>
      </c>
      <c r="AW146" s="254">
        <v>0.2</v>
      </c>
      <c r="AX146" s="254">
        <v>0.2</v>
      </c>
      <c r="AY146" s="254">
        <v>0.18421052631578946</v>
      </c>
      <c r="AZ146" s="254">
        <v>0.18421052631578946</v>
      </c>
      <c r="BA146" s="254">
        <v>0</v>
      </c>
      <c r="BB146" s="254">
        <v>0</v>
      </c>
      <c r="BC146" s="254">
        <v>0</v>
      </c>
      <c r="BD146" s="254">
        <v>0</v>
      </c>
      <c r="BE146" s="254">
        <v>0</v>
      </c>
      <c r="BF146" s="254">
        <v>0</v>
      </c>
      <c r="BG146" s="254">
        <v>0</v>
      </c>
      <c r="BH146" s="254">
        <v>0</v>
      </c>
      <c r="BI146" s="254">
        <v>0</v>
      </c>
      <c r="BJ146" s="254">
        <v>0</v>
      </c>
      <c r="BK146" s="254">
        <v>0</v>
      </c>
      <c r="BL146" s="254">
        <v>0</v>
      </c>
      <c r="BM146" s="254">
        <v>0</v>
      </c>
      <c r="BN146" s="254">
        <v>0</v>
      </c>
      <c r="BO146" s="254">
        <v>0</v>
      </c>
      <c r="BP146" s="254">
        <v>0</v>
      </c>
      <c r="BQ146" s="254">
        <v>0</v>
      </c>
      <c r="BR146" s="254">
        <v>0</v>
      </c>
      <c r="BS146" s="254">
        <v>0</v>
      </c>
      <c r="BT146" s="254">
        <v>0</v>
      </c>
      <c r="BU146" s="254">
        <v>0</v>
      </c>
      <c r="BV146" s="254">
        <v>0</v>
      </c>
      <c r="BW146" s="254">
        <v>0</v>
      </c>
      <c r="BX146" s="254">
        <v>0</v>
      </c>
      <c r="BY146" s="254">
        <v>0</v>
      </c>
      <c r="BZ146" s="254">
        <v>0</v>
      </c>
      <c r="CA146" s="254">
        <v>0</v>
      </c>
      <c r="CB146" s="254">
        <v>0</v>
      </c>
      <c r="CC146" s="254">
        <v>0</v>
      </c>
      <c r="CD146" s="254">
        <v>0</v>
      </c>
      <c r="CE146" s="254">
        <v>0</v>
      </c>
      <c r="CF146" s="254">
        <v>0</v>
      </c>
      <c r="CG146" s="254">
        <v>0</v>
      </c>
      <c r="CH146" s="254">
        <v>0</v>
      </c>
      <c r="CI146" s="254">
        <v>0</v>
      </c>
      <c r="CJ146" s="254">
        <v>0</v>
      </c>
      <c r="CK146" s="254">
        <v>0</v>
      </c>
      <c r="CL146" s="254">
        <v>0</v>
      </c>
      <c r="CM146" s="254">
        <v>0</v>
      </c>
      <c r="CN146" s="254">
        <v>0</v>
      </c>
      <c r="CO146" s="254">
        <v>0</v>
      </c>
      <c r="CP146" s="254">
        <v>0</v>
      </c>
      <c r="CQ146" s="116"/>
      <c r="CR146" s="255">
        <v>0</v>
      </c>
      <c r="CS146" s="255">
        <v>0</v>
      </c>
      <c r="CT146" s="255">
        <v>0</v>
      </c>
      <c r="CU146" s="255">
        <v>0</v>
      </c>
      <c r="CV146" s="255">
        <v>0</v>
      </c>
      <c r="CW146" s="255">
        <v>0</v>
      </c>
      <c r="CX146" s="255">
        <v>0</v>
      </c>
      <c r="CY146" s="255">
        <v>0</v>
      </c>
      <c r="CZ146" s="255">
        <v>0</v>
      </c>
      <c r="DA146" s="255">
        <v>0</v>
      </c>
      <c r="DB146" s="255">
        <v>0</v>
      </c>
      <c r="DC146" s="255">
        <v>0</v>
      </c>
      <c r="DD146" s="255">
        <v>0</v>
      </c>
      <c r="DE146" s="255">
        <v>0</v>
      </c>
      <c r="DF146" s="255">
        <v>6905.6399999999994</v>
      </c>
      <c r="DG146" s="255">
        <v>5179.2299999999996</v>
      </c>
      <c r="DH146" s="255">
        <v>6905.6399999999994</v>
      </c>
      <c r="DI146" s="255">
        <v>6905.6399999999994</v>
      </c>
      <c r="DJ146" s="255">
        <v>7112.28</v>
      </c>
      <c r="DK146" s="255">
        <v>7112.28</v>
      </c>
      <c r="DL146" s="255">
        <v>7112.28</v>
      </c>
      <c r="DM146" s="255">
        <v>7112.28</v>
      </c>
      <c r="DN146" s="255">
        <v>7112.28</v>
      </c>
      <c r="DO146" s="255">
        <v>5334.21</v>
      </c>
      <c r="DP146" s="255">
        <v>5334.21</v>
      </c>
      <c r="DQ146" s="255">
        <v>7112.28</v>
      </c>
      <c r="DR146" s="255">
        <v>7112.28</v>
      </c>
      <c r="DS146" s="255">
        <v>5334.21</v>
      </c>
      <c r="DT146" s="255">
        <v>7112.28</v>
      </c>
      <c r="DU146" s="255">
        <v>7112.28</v>
      </c>
      <c r="DV146" s="255">
        <v>7325.3600000000006</v>
      </c>
      <c r="DW146" s="255">
        <v>7325.3600000000006</v>
      </c>
      <c r="DX146" s="255">
        <v>7325.3600000000006</v>
      </c>
      <c r="DY146" s="255">
        <v>7325.3600000000006</v>
      </c>
      <c r="DZ146" s="255">
        <v>7325.3600000000006</v>
      </c>
      <c r="EA146" s="255">
        <v>5494.02</v>
      </c>
      <c r="EB146" s="255">
        <v>5494.02</v>
      </c>
      <c r="EC146" s="255">
        <v>7325.3600000000006</v>
      </c>
      <c r="ED146" s="255">
        <v>7325.3600000000006</v>
      </c>
      <c r="EE146" s="255">
        <v>5494.02</v>
      </c>
      <c r="EF146" s="255">
        <v>7325.3600000000006</v>
      </c>
      <c r="EG146" s="255">
        <v>7325.3600000000006</v>
      </c>
      <c r="EH146" s="255">
        <v>0</v>
      </c>
      <c r="EI146" s="255">
        <v>0</v>
      </c>
      <c r="EJ146" s="255">
        <v>0</v>
      </c>
      <c r="EK146" s="255">
        <v>0</v>
      </c>
      <c r="EL146" s="255">
        <v>0</v>
      </c>
      <c r="EM146" s="255">
        <v>0</v>
      </c>
      <c r="EN146" s="255">
        <v>0</v>
      </c>
      <c r="EO146" s="255">
        <v>0</v>
      </c>
      <c r="EP146" s="255">
        <v>0</v>
      </c>
      <c r="EQ146" s="255">
        <v>0</v>
      </c>
      <c r="ER146" s="255">
        <v>0</v>
      </c>
      <c r="ES146" s="255">
        <v>0</v>
      </c>
      <c r="ET146" s="255">
        <v>0</v>
      </c>
      <c r="EU146" s="255">
        <v>0</v>
      </c>
      <c r="EV146" s="255">
        <v>0</v>
      </c>
      <c r="EW146" s="255">
        <v>0</v>
      </c>
      <c r="EX146" s="255">
        <v>0</v>
      </c>
      <c r="EY146" s="255">
        <v>0</v>
      </c>
      <c r="EZ146" s="255">
        <v>0</v>
      </c>
      <c r="FA146" s="255">
        <v>0</v>
      </c>
      <c r="FB146" s="255">
        <v>0</v>
      </c>
      <c r="FC146" s="255">
        <v>0</v>
      </c>
      <c r="FD146" s="255">
        <v>0</v>
      </c>
      <c r="FE146" s="255">
        <v>0</v>
      </c>
      <c r="FF146" s="255">
        <v>0</v>
      </c>
      <c r="FG146" s="255">
        <v>0</v>
      </c>
      <c r="FH146" s="255">
        <v>0</v>
      </c>
      <c r="FI146" s="255">
        <v>0</v>
      </c>
      <c r="FJ146" s="255">
        <v>0</v>
      </c>
      <c r="FK146" s="255">
        <v>0</v>
      </c>
      <c r="FL146" s="255">
        <v>0</v>
      </c>
      <c r="FM146" s="255">
        <v>0</v>
      </c>
      <c r="FN146" s="255">
        <v>0</v>
      </c>
      <c r="FO146" s="255">
        <v>0</v>
      </c>
      <c r="FP146" s="255">
        <v>0</v>
      </c>
      <c r="FQ146" s="255">
        <v>0</v>
      </c>
      <c r="FR146" s="255">
        <v>0</v>
      </c>
      <c r="FS146" s="255">
        <v>0</v>
      </c>
      <c r="FT146" s="255">
        <v>0</v>
      </c>
      <c r="FU146" s="255">
        <v>0</v>
      </c>
      <c r="FV146" s="255">
        <v>0</v>
      </c>
      <c r="FW146" s="255">
        <v>0</v>
      </c>
      <c r="FX146" s="116"/>
    </row>
    <row r="147" spans="2:180" x14ac:dyDescent="0.2">
      <c r="B147" s="253" t="s">
        <v>216</v>
      </c>
      <c r="C147" s="253" t="s">
        <v>272</v>
      </c>
      <c r="D147" s="253" t="s">
        <v>258</v>
      </c>
      <c r="E147" s="253" t="s">
        <v>127</v>
      </c>
      <c r="F147" s="253" t="s">
        <v>259</v>
      </c>
      <c r="G147" s="253" t="s">
        <v>260</v>
      </c>
      <c r="H147" s="237">
        <v>254.01</v>
      </c>
      <c r="I147" s="126">
        <f t="shared" si="87"/>
        <v>89522.580000000016</v>
      </c>
      <c r="J147" s="116"/>
      <c r="K147" s="254">
        <v>0</v>
      </c>
      <c r="L147" s="254">
        <v>0</v>
      </c>
      <c r="M147" s="254">
        <v>0</v>
      </c>
      <c r="N147" s="254">
        <v>0</v>
      </c>
      <c r="O147" s="254">
        <v>0</v>
      </c>
      <c r="P147" s="254">
        <v>0</v>
      </c>
      <c r="Q147" s="254">
        <v>0</v>
      </c>
      <c r="R147" s="254">
        <v>0</v>
      </c>
      <c r="S147" s="254">
        <v>0</v>
      </c>
      <c r="T147" s="254">
        <v>0</v>
      </c>
      <c r="U147" s="254">
        <v>0</v>
      </c>
      <c r="V147" s="254">
        <v>0</v>
      </c>
      <c r="W147" s="254">
        <v>0</v>
      </c>
      <c r="X147" s="254">
        <v>0</v>
      </c>
      <c r="Y147" s="254">
        <v>0</v>
      </c>
      <c r="Z147" s="254">
        <v>0</v>
      </c>
      <c r="AA147" s="254">
        <v>0</v>
      </c>
      <c r="AB147" s="254">
        <v>0</v>
      </c>
      <c r="AC147" s="254">
        <v>0</v>
      </c>
      <c r="AD147" s="254">
        <v>0</v>
      </c>
      <c r="AE147" s="254">
        <v>0</v>
      </c>
      <c r="AF147" s="254">
        <v>0</v>
      </c>
      <c r="AG147" s="254">
        <v>0</v>
      </c>
      <c r="AH147" s="254">
        <v>0</v>
      </c>
      <c r="AI147" s="254">
        <v>0</v>
      </c>
      <c r="AJ147" s="254">
        <v>0</v>
      </c>
      <c r="AK147" s="254">
        <v>0</v>
      </c>
      <c r="AL147" s="254">
        <v>0</v>
      </c>
      <c r="AM147" s="254">
        <v>0</v>
      </c>
      <c r="AN147" s="254">
        <v>0.18421052631578946</v>
      </c>
      <c r="AO147" s="254">
        <v>0.2</v>
      </c>
      <c r="AP147" s="254">
        <v>0.2</v>
      </c>
      <c r="AQ147" s="254">
        <v>0.2</v>
      </c>
      <c r="AR147" s="254">
        <v>0.2</v>
      </c>
      <c r="AS147" s="254">
        <v>0.2</v>
      </c>
      <c r="AT147" s="254">
        <v>0.2</v>
      </c>
      <c r="AU147" s="254">
        <v>0.2</v>
      </c>
      <c r="AV147" s="254">
        <v>0.2</v>
      </c>
      <c r="AW147" s="254">
        <v>0.2</v>
      </c>
      <c r="AX147" s="254">
        <v>0.2</v>
      </c>
      <c r="AY147" s="254">
        <v>0.18421052631578946</v>
      </c>
      <c r="AZ147" s="254">
        <v>0.18421052631578946</v>
      </c>
      <c r="BA147" s="254">
        <v>0</v>
      </c>
      <c r="BB147" s="254">
        <v>0</v>
      </c>
      <c r="BC147" s="254">
        <v>0</v>
      </c>
      <c r="BD147" s="254">
        <v>0</v>
      </c>
      <c r="BE147" s="254">
        <v>0</v>
      </c>
      <c r="BF147" s="254">
        <v>0</v>
      </c>
      <c r="BG147" s="254">
        <v>0</v>
      </c>
      <c r="BH147" s="254">
        <v>0</v>
      </c>
      <c r="BI147" s="254">
        <v>0</v>
      </c>
      <c r="BJ147" s="254">
        <v>0</v>
      </c>
      <c r="BK147" s="254">
        <v>0</v>
      </c>
      <c r="BL147" s="254">
        <v>0</v>
      </c>
      <c r="BM147" s="254">
        <v>0</v>
      </c>
      <c r="BN147" s="254">
        <v>0</v>
      </c>
      <c r="BO147" s="254">
        <v>0</v>
      </c>
      <c r="BP147" s="254">
        <v>0</v>
      </c>
      <c r="BQ147" s="254">
        <v>0</v>
      </c>
      <c r="BR147" s="254">
        <v>0</v>
      </c>
      <c r="BS147" s="254">
        <v>0</v>
      </c>
      <c r="BT147" s="254">
        <v>0</v>
      </c>
      <c r="BU147" s="254">
        <v>0</v>
      </c>
      <c r="BV147" s="254">
        <v>0</v>
      </c>
      <c r="BW147" s="254">
        <v>0</v>
      </c>
      <c r="BX147" s="254">
        <v>0</v>
      </c>
      <c r="BY147" s="254">
        <v>0</v>
      </c>
      <c r="BZ147" s="254">
        <v>0</v>
      </c>
      <c r="CA147" s="254">
        <v>0</v>
      </c>
      <c r="CB147" s="254">
        <v>0</v>
      </c>
      <c r="CC147" s="254">
        <v>0</v>
      </c>
      <c r="CD147" s="254">
        <v>0</v>
      </c>
      <c r="CE147" s="254">
        <v>0</v>
      </c>
      <c r="CF147" s="254">
        <v>0</v>
      </c>
      <c r="CG147" s="254">
        <v>0</v>
      </c>
      <c r="CH147" s="254">
        <v>0</v>
      </c>
      <c r="CI147" s="254">
        <v>0</v>
      </c>
      <c r="CJ147" s="254">
        <v>0</v>
      </c>
      <c r="CK147" s="254">
        <v>0</v>
      </c>
      <c r="CL147" s="254">
        <v>0</v>
      </c>
      <c r="CM147" s="254">
        <v>0</v>
      </c>
      <c r="CN147" s="254">
        <v>0</v>
      </c>
      <c r="CO147" s="254">
        <v>0</v>
      </c>
      <c r="CP147" s="254">
        <v>0</v>
      </c>
      <c r="CQ147" s="116"/>
      <c r="CR147" s="255">
        <v>0</v>
      </c>
      <c r="CS147" s="255">
        <v>0</v>
      </c>
      <c r="CT147" s="255">
        <v>0</v>
      </c>
      <c r="CU147" s="255">
        <v>0</v>
      </c>
      <c r="CV147" s="255">
        <v>0</v>
      </c>
      <c r="CW147" s="255">
        <v>0</v>
      </c>
      <c r="CX147" s="255">
        <v>0</v>
      </c>
      <c r="CY147" s="255">
        <v>0</v>
      </c>
      <c r="CZ147" s="255">
        <v>0</v>
      </c>
      <c r="DA147" s="255">
        <v>0</v>
      </c>
      <c r="DB147" s="255">
        <v>0</v>
      </c>
      <c r="DC147" s="255">
        <v>0</v>
      </c>
      <c r="DD147" s="255">
        <v>0</v>
      </c>
      <c r="DE147" s="255">
        <v>0</v>
      </c>
      <c r="DF147" s="255">
        <v>0</v>
      </c>
      <c r="DG147" s="255">
        <v>0</v>
      </c>
      <c r="DH147" s="255">
        <v>0</v>
      </c>
      <c r="DI147" s="255">
        <v>0</v>
      </c>
      <c r="DJ147" s="255">
        <v>0</v>
      </c>
      <c r="DK147" s="255">
        <v>0</v>
      </c>
      <c r="DL147" s="255">
        <v>0</v>
      </c>
      <c r="DM147" s="255">
        <v>0</v>
      </c>
      <c r="DN147" s="255">
        <v>0</v>
      </c>
      <c r="DO147" s="255">
        <v>0</v>
      </c>
      <c r="DP147" s="255">
        <v>0</v>
      </c>
      <c r="DQ147" s="255">
        <v>0</v>
      </c>
      <c r="DR147" s="255">
        <v>0</v>
      </c>
      <c r="DS147" s="255">
        <v>0</v>
      </c>
      <c r="DT147" s="255">
        <v>0</v>
      </c>
      <c r="DU147" s="255">
        <v>7112.28</v>
      </c>
      <c r="DV147" s="255">
        <v>7325.3600000000006</v>
      </c>
      <c r="DW147" s="255">
        <v>7325.3600000000006</v>
      </c>
      <c r="DX147" s="255">
        <v>7325.3600000000006</v>
      </c>
      <c r="DY147" s="255">
        <v>7325.3600000000006</v>
      </c>
      <c r="DZ147" s="255">
        <v>7325.3600000000006</v>
      </c>
      <c r="EA147" s="255">
        <v>5494.02</v>
      </c>
      <c r="EB147" s="255">
        <v>5494.02</v>
      </c>
      <c r="EC147" s="255">
        <v>7325.3600000000006</v>
      </c>
      <c r="ED147" s="255">
        <v>7325.3600000000006</v>
      </c>
      <c r="EE147" s="255">
        <v>5494.02</v>
      </c>
      <c r="EF147" s="255">
        <v>7325.3600000000006</v>
      </c>
      <c r="EG147" s="255">
        <v>7325.3600000000006</v>
      </c>
      <c r="EH147" s="255">
        <v>0</v>
      </c>
      <c r="EI147" s="255">
        <v>0</v>
      </c>
      <c r="EJ147" s="255">
        <v>0</v>
      </c>
      <c r="EK147" s="255">
        <v>0</v>
      </c>
      <c r="EL147" s="255">
        <v>0</v>
      </c>
      <c r="EM147" s="255">
        <v>0</v>
      </c>
      <c r="EN147" s="255">
        <v>0</v>
      </c>
      <c r="EO147" s="255">
        <v>0</v>
      </c>
      <c r="EP147" s="255">
        <v>0</v>
      </c>
      <c r="EQ147" s="255">
        <v>0</v>
      </c>
      <c r="ER147" s="255">
        <v>0</v>
      </c>
      <c r="ES147" s="255">
        <v>0</v>
      </c>
      <c r="ET147" s="255">
        <v>0</v>
      </c>
      <c r="EU147" s="255">
        <v>0</v>
      </c>
      <c r="EV147" s="255">
        <v>0</v>
      </c>
      <c r="EW147" s="255">
        <v>0</v>
      </c>
      <c r="EX147" s="255">
        <v>0</v>
      </c>
      <c r="EY147" s="255">
        <v>0</v>
      </c>
      <c r="EZ147" s="255">
        <v>0</v>
      </c>
      <c r="FA147" s="255">
        <v>0</v>
      </c>
      <c r="FB147" s="255">
        <v>0</v>
      </c>
      <c r="FC147" s="255">
        <v>0</v>
      </c>
      <c r="FD147" s="255">
        <v>0</v>
      </c>
      <c r="FE147" s="255">
        <v>0</v>
      </c>
      <c r="FF147" s="255">
        <v>0</v>
      </c>
      <c r="FG147" s="255">
        <v>0</v>
      </c>
      <c r="FH147" s="255">
        <v>0</v>
      </c>
      <c r="FI147" s="255">
        <v>0</v>
      </c>
      <c r="FJ147" s="255">
        <v>0</v>
      </c>
      <c r="FK147" s="255">
        <v>0</v>
      </c>
      <c r="FL147" s="255">
        <v>0</v>
      </c>
      <c r="FM147" s="255">
        <v>0</v>
      </c>
      <c r="FN147" s="255">
        <v>0</v>
      </c>
      <c r="FO147" s="255">
        <v>0</v>
      </c>
      <c r="FP147" s="255">
        <v>0</v>
      </c>
      <c r="FQ147" s="255">
        <v>0</v>
      </c>
      <c r="FR147" s="255">
        <v>0</v>
      </c>
      <c r="FS147" s="255">
        <v>0</v>
      </c>
      <c r="FT147" s="255">
        <v>0</v>
      </c>
      <c r="FU147" s="255">
        <v>0</v>
      </c>
      <c r="FV147" s="255">
        <v>0</v>
      </c>
      <c r="FW147" s="255">
        <v>0</v>
      </c>
      <c r="FX147" s="116"/>
    </row>
    <row r="148" spans="2:180" x14ac:dyDescent="0.2">
      <c r="B148" s="253" t="s">
        <v>205</v>
      </c>
      <c r="C148" s="253" t="s">
        <v>272</v>
      </c>
      <c r="D148" s="253" t="s">
        <v>258</v>
      </c>
      <c r="E148" s="253" t="s">
        <v>127</v>
      </c>
      <c r="F148" s="253" t="s">
        <v>259</v>
      </c>
      <c r="G148" s="253" t="s">
        <v>260</v>
      </c>
      <c r="H148" s="237">
        <v>254.01</v>
      </c>
      <c r="I148" s="126">
        <f t="shared" si="87"/>
        <v>572895.66</v>
      </c>
      <c r="J148" s="116"/>
      <c r="K148" s="254">
        <v>0</v>
      </c>
      <c r="L148" s="254">
        <v>0</v>
      </c>
      <c r="M148" s="254">
        <v>0</v>
      </c>
      <c r="N148" s="254">
        <v>0</v>
      </c>
      <c r="O148" s="254">
        <v>0</v>
      </c>
      <c r="P148" s="254">
        <v>0</v>
      </c>
      <c r="Q148" s="254">
        <v>0</v>
      </c>
      <c r="R148" s="254">
        <v>0</v>
      </c>
      <c r="S148" s="254">
        <v>0</v>
      </c>
      <c r="T148" s="254">
        <v>0</v>
      </c>
      <c r="U148" s="254">
        <v>0</v>
      </c>
      <c r="V148" s="254">
        <v>0</v>
      </c>
      <c r="W148" s="254">
        <v>0</v>
      </c>
      <c r="X148" s="254">
        <v>0</v>
      </c>
      <c r="Y148" s="254">
        <v>0</v>
      </c>
      <c r="Z148" s="254">
        <v>0.5</v>
      </c>
      <c r="AA148" s="254">
        <v>0.46052631578947367</v>
      </c>
      <c r="AB148" s="254">
        <v>0.46052631578947367</v>
      </c>
      <c r="AC148" s="254">
        <v>0.5</v>
      </c>
      <c r="AD148" s="254">
        <v>0.5</v>
      </c>
      <c r="AE148" s="254">
        <v>0.5</v>
      </c>
      <c r="AF148" s="254">
        <v>0.5</v>
      </c>
      <c r="AG148" s="254">
        <v>0.5</v>
      </c>
      <c r="AH148" s="254">
        <v>0.5</v>
      </c>
      <c r="AI148" s="254">
        <v>0.5</v>
      </c>
      <c r="AJ148" s="254">
        <v>0.5</v>
      </c>
      <c r="AK148" s="254">
        <v>0.5</v>
      </c>
      <c r="AL148" s="254">
        <v>0.5</v>
      </c>
      <c r="AM148" s="254">
        <v>0.5</v>
      </c>
      <c r="AN148" s="254">
        <v>0.5</v>
      </c>
      <c r="AO148" s="254">
        <v>0.5</v>
      </c>
      <c r="AP148" s="254">
        <v>0.5</v>
      </c>
      <c r="AQ148" s="254">
        <v>0.5</v>
      </c>
      <c r="AR148" s="254">
        <v>0.5</v>
      </c>
      <c r="AS148" s="254">
        <v>0.5</v>
      </c>
      <c r="AT148" s="254">
        <v>0.5</v>
      </c>
      <c r="AU148" s="254">
        <v>0.5</v>
      </c>
      <c r="AV148" s="254">
        <v>0.5</v>
      </c>
      <c r="AW148" s="254">
        <v>0.5</v>
      </c>
      <c r="AX148" s="254">
        <v>0.5</v>
      </c>
      <c r="AY148" s="254">
        <v>0.5</v>
      </c>
      <c r="AZ148" s="254">
        <v>0.5</v>
      </c>
      <c r="BA148" s="254">
        <v>0.5</v>
      </c>
      <c r="BB148" s="254">
        <v>0.5</v>
      </c>
      <c r="BC148" s="254">
        <v>0.5</v>
      </c>
      <c r="BD148" s="254">
        <v>0.5</v>
      </c>
      <c r="BE148" s="254">
        <v>0.5</v>
      </c>
      <c r="BF148" s="254">
        <v>0.66666666666666663</v>
      </c>
      <c r="BG148" s="254">
        <v>0</v>
      </c>
      <c r="BH148" s="254">
        <v>0</v>
      </c>
      <c r="BI148" s="254">
        <v>0</v>
      </c>
      <c r="BJ148" s="254">
        <v>0</v>
      </c>
      <c r="BK148" s="254">
        <v>0</v>
      </c>
      <c r="BL148" s="254">
        <v>0</v>
      </c>
      <c r="BM148" s="254">
        <v>0</v>
      </c>
      <c r="BN148" s="254">
        <v>0</v>
      </c>
      <c r="BO148" s="254">
        <v>0</v>
      </c>
      <c r="BP148" s="254">
        <v>0</v>
      </c>
      <c r="BQ148" s="254">
        <v>0</v>
      </c>
      <c r="BR148" s="254">
        <v>0</v>
      </c>
      <c r="BS148" s="254">
        <v>0</v>
      </c>
      <c r="BT148" s="254">
        <v>0</v>
      </c>
      <c r="BU148" s="254">
        <v>0</v>
      </c>
      <c r="BV148" s="254">
        <v>0</v>
      </c>
      <c r="BW148" s="254">
        <v>0</v>
      </c>
      <c r="BX148" s="254">
        <v>0</v>
      </c>
      <c r="BY148" s="254">
        <v>0</v>
      </c>
      <c r="BZ148" s="254">
        <v>0</v>
      </c>
      <c r="CA148" s="254">
        <v>0</v>
      </c>
      <c r="CB148" s="254">
        <v>0</v>
      </c>
      <c r="CC148" s="254">
        <v>0</v>
      </c>
      <c r="CD148" s="254">
        <v>0</v>
      </c>
      <c r="CE148" s="254">
        <v>0</v>
      </c>
      <c r="CF148" s="254">
        <v>0</v>
      </c>
      <c r="CG148" s="254">
        <v>0</v>
      </c>
      <c r="CH148" s="254">
        <v>0</v>
      </c>
      <c r="CI148" s="254">
        <v>0</v>
      </c>
      <c r="CJ148" s="254">
        <v>0</v>
      </c>
      <c r="CK148" s="254">
        <v>0</v>
      </c>
      <c r="CL148" s="254">
        <v>0</v>
      </c>
      <c r="CM148" s="254">
        <v>0</v>
      </c>
      <c r="CN148" s="254">
        <v>0</v>
      </c>
      <c r="CO148" s="254">
        <v>0</v>
      </c>
      <c r="CP148" s="254">
        <v>0</v>
      </c>
      <c r="CQ148" s="116"/>
      <c r="CR148" s="255">
        <v>0</v>
      </c>
      <c r="CS148" s="255">
        <v>0</v>
      </c>
      <c r="CT148" s="255">
        <v>0</v>
      </c>
      <c r="CU148" s="255">
        <v>0</v>
      </c>
      <c r="CV148" s="255">
        <v>0</v>
      </c>
      <c r="CW148" s="255">
        <v>0</v>
      </c>
      <c r="CX148" s="255">
        <v>0</v>
      </c>
      <c r="CY148" s="255">
        <v>0</v>
      </c>
      <c r="CZ148" s="255">
        <v>0</v>
      </c>
      <c r="DA148" s="255">
        <v>0</v>
      </c>
      <c r="DB148" s="255">
        <v>0</v>
      </c>
      <c r="DC148" s="255">
        <v>0</v>
      </c>
      <c r="DD148" s="255">
        <v>0</v>
      </c>
      <c r="DE148" s="255">
        <v>0</v>
      </c>
      <c r="DF148" s="255">
        <v>0</v>
      </c>
      <c r="DG148" s="255">
        <v>12948.074999999999</v>
      </c>
      <c r="DH148" s="255">
        <v>17264.099999999999</v>
      </c>
      <c r="DI148" s="255">
        <v>17264.099999999999</v>
      </c>
      <c r="DJ148" s="255">
        <v>17780.7</v>
      </c>
      <c r="DK148" s="255">
        <v>17780.7</v>
      </c>
      <c r="DL148" s="255">
        <v>17780.7</v>
      </c>
      <c r="DM148" s="255">
        <v>17780.7</v>
      </c>
      <c r="DN148" s="255">
        <v>17780.7</v>
      </c>
      <c r="DO148" s="255">
        <v>13335.525</v>
      </c>
      <c r="DP148" s="255">
        <v>13335.525</v>
      </c>
      <c r="DQ148" s="255">
        <v>17780.7</v>
      </c>
      <c r="DR148" s="255">
        <v>17780.7</v>
      </c>
      <c r="DS148" s="255">
        <v>13335.525</v>
      </c>
      <c r="DT148" s="255">
        <v>19304.759999999998</v>
      </c>
      <c r="DU148" s="255">
        <v>19304.759999999998</v>
      </c>
      <c r="DV148" s="255">
        <v>18313.400000000001</v>
      </c>
      <c r="DW148" s="255">
        <v>18313.400000000001</v>
      </c>
      <c r="DX148" s="255">
        <v>18313.400000000001</v>
      </c>
      <c r="DY148" s="255">
        <v>18313.400000000001</v>
      </c>
      <c r="DZ148" s="255">
        <v>18313.400000000001</v>
      </c>
      <c r="EA148" s="255">
        <v>13735.050000000001</v>
      </c>
      <c r="EB148" s="255">
        <v>13735.050000000001</v>
      </c>
      <c r="EC148" s="255">
        <v>18313.400000000001</v>
      </c>
      <c r="ED148" s="255">
        <v>18313.400000000001</v>
      </c>
      <c r="EE148" s="255">
        <v>13735.050000000001</v>
      </c>
      <c r="EF148" s="255">
        <v>19883.12</v>
      </c>
      <c r="EG148" s="255">
        <v>19883.12</v>
      </c>
      <c r="EH148" s="255">
        <v>18862.199999999997</v>
      </c>
      <c r="EI148" s="255">
        <v>18862.199999999997</v>
      </c>
      <c r="EJ148" s="255">
        <v>18862.199999999997</v>
      </c>
      <c r="EK148" s="255">
        <v>18862.199999999997</v>
      </c>
      <c r="EL148" s="255">
        <v>18862.199999999997</v>
      </c>
      <c r="EM148" s="255">
        <v>18862.199999999997</v>
      </c>
      <c r="EN148" s="255">
        <v>0</v>
      </c>
      <c r="EO148" s="255">
        <v>0</v>
      </c>
      <c r="EP148" s="255">
        <v>0</v>
      </c>
      <c r="EQ148" s="255">
        <v>0</v>
      </c>
      <c r="ER148" s="255">
        <v>0</v>
      </c>
      <c r="ES148" s="255">
        <v>0</v>
      </c>
      <c r="ET148" s="255">
        <v>0</v>
      </c>
      <c r="EU148" s="255">
        <v>0</v>
      </c>
      <c r="EV148" s="255">
        <v>0</v>
      </c>
      <c r="EW148" s="255">
        <v>0</v>
      </c>
      <c r="EX148" s="255">
        <v>0</v>
      </c>
      <c r="EY148" s="255">
        <v>0</v>
      </c>
      <c r="EZ148" s="255">
        <v>0</v>
      </c>
      <c r="FA148" s="255">
        <v>0</v>
      </c>
      <c r="FB148" s="255">
        <v>0</v>
      </c>
      <c r="FC148" s="255">
        <v>0</v>
      </c>
      <c r="FD148" s="255">
        <v>0</v>
      </c>
      <c r="FE148" s="255">
        <v>0</v>
      </c>
      <c r="FF148" s="255">
        <v>0</v>
      </c>
      <c r="FG148" s="255">
        <v>0</v>
      </c>
      <c r="FH148" s="255">
        <v>0</v>
      </c>
      <c r="FI148" s="255">
        <v>0</v>
      </c>
      <c r="FJ148" s="255">
        <v>0</v>
      </c>
      <c r="FK148" s="255">
        <v>0</v>
      </c>
      <c r="FL148" s="255">
        <v>0</v>
      </c>
      <c r="FM148" s="255">
        <v>0</v>
      </c>
      <c r="FN148" s="255">
        <v>0</v>
      </c>
      <c r="FO148" s="255">
        <v>0</v>
      </c>
      <c r="FP148" s="255">
        <v>0</v>
      </c>
      <c r="FQ148" s="255">
        <v>0</v>
      </c>
      <c r="FR148" s="255">
        <v>0</v>
      </c>
      <c r="FS148" s="255">
        <v>0</v>
      </c>
      <c r="FT148" s="255">
        <v>0</v>
      </c>
      <c r="FU148" s="255">
        <v>0</v>
      </c>
      <c r="FV148" s="255">
        <v>0</v>
      </c>
      <c r="FW148" s="255">
        <v>0</v>
      </c>
      <c r="FX148" s="116"/>
    </row>
    <row r="149" spans="2:180" x14ac:dyDescent="0.2">
      <c r="B149" s="253" t="s">
        <v>205</v>
      </c>
      <c r="C149" s="253" t="s">
        <v>320</v>
      </c>
      <c r="D149" s="253" t="s">
        <v>258</v>
      </c>
      <c r="E149" s="253" t="s">
        <v>127</v>
      </c>
      <c r="F149" s="253" t="s">
        <v>259</v>
      </c>
      <c r="G149" s="253" t="s">
        <v>260</v>
      </c>
      <c r="H149" s="237">
        <v>202.73</v>
      </c>
      <c r="I149" s="126">
        <f t="shared" si="87"/>
        <v>923651</v>
      </c>
      <c r="J149" s="116"/>
      <c r="K149" s="254">
        <v>0</v>
      </c>
      <c r="L149" s="254">
        <v>0</v>
      </c>
      <c r="M149" s="254">
        <v>0</v>
      </c>
      <c r="N149" s="254">
        <v>0</v>
      </c>
      <c r="O149" s="254">
        <v>0</v>
      </c>
      <c r="P149" s="254">
        <v>0</v>
      </c>
      <c r="Q149" s="254">
        <v>0</v>
      </c>
      <c r="R149" s="254">
        <v>0</v>
      </c>
      <c r="S149" s="254">
        <v>0</v>
      </c>
      <c r="T149" s="254">
        <v>0</v>
      </c>
      <c r="U149" s="254">
        <v>0</v>
      </c>
      <c r="V149" s="254">
        <v>0</v>
      </c>
      <c r="W149" s="254">
        <v>0</v>
      </c>
      <c r="X149" s="254">
        <v>0</v>
      </c>
      <c r="Y149" s="254">
        <v>0</v>
      </c>
      <c r="Z149" s="254">
        <v>1</v>
      </c>
      <c r="AA149" s="254">
        <v>0.92105263157894735</v>
      </c>
      <c r="AB149" s="254">
        <v>0.92105263157894735</v>
      </c>
      <c r="AC149" s="254">
        <v>1</v>
      </c>
      <c r="AD149" s="254">
        <v>1</v>
      </c>
      <c r="AE149" s="254">
        <v>1</v>
      </c>
      <c r="AF149" s="254">
        <v>1</v>
      </c>
      <c r="AG149" s="254">
        <v>1</v>
      </c>
      <c r="AH149" s="254">
        <v>1</v>
      </c>
      <c r="AI149" s="254">
        <v>1</v>
      </c>
      <c r="AJ149" s="254">
        <v>1</v>
      </c>
      <c r="AK149" s="254">
        <v>1</v>
      </c>
      <c r="AL149" s="254">
        <v>1</v>
      </c>
      <c r="AM149" s="254">
        <v>1</v>
      </c>
      <c r="AN149" s="254">
        <v>1</v>
      </c>
      <c r="AO149" s="254">
        <v>1</v>
      </c>
      <c r="AP149" s="254">
        <v>1</v>
      </c>
      <c r="AQ149" s="254">
        <v>1</v>
      </c>
      <c r="AR149" s="254">
        <v>1</v>
      </c>
      <c r="AS149" s="254">
        <v>1</v>
      </c>
      <c r="AT149" s="254">
        <v>1</v>
      </c>
      <c r="AU149" s="254">
        <v>1</v>
      </c>
      <c r="AV149" s="254">
        <v>1</v>
      </c>
      <c r="AW149" s="254">
        <v>1</v>
      </c>
      <c r="AX149" s="254">
        <v>1</v>
      </c>
      <c r="AY149" s="254">
        <v>1</v>
      </c>
      <c r="AZ149" s="254">
        <v>1</v>
      </c>
      <c r="BA149" s="254">
        <v>1</v>
      </c>
      <c r="BB149" s="254">
        <v>1</v>
      </c>
      <c r="BC149" s="254">
        <v>1</v>
      </c>
      <c r="BD149" s="254">
        <v>1</v>
      </c>
      <c r="BE149" s="254">
        <v>1</v>
      </c>
      <c r="BF149" s="254">
        <v>1.3333333333333333</v>
      </c>
      <c r="BG149" s="254">
        <v>0</v>
      </c>
      <c r="BH149" s="254">
        <v>0</v>
      </c>
      <c r="BI149" s="254">
        <v>0</v>
      </c>
      <c r="BJ149" s="254">
        <v>0</v>
      </c>
      <c r="BK149" s="254">
        <v>0</v>
      </c>
      <c r="BL149" s="254">
        <v>0</v>
      </c>
      <c r="BM149" s="254">
        <v>0</v>
      </c>
      <c r="BN149" s="254">
        <v>0</v>
      </c>
      <c r="BO149" s="254">
        <v>0</v>
      </c>
      <c r="BP149" s="254">
        <v>0</v>
      </c>
      <c r="BQ149" s="254">
        <v>0</v>
      </c>
      <c r="BR149" s="254">
        <v>0</v>
      </c>
      <c r="BS149" s="254">
        <v>0</v>
      </c>
      <c r="BT149" s="254">
        <v>0</v>
      </c>
      <c r="BU149" s="254">
        <v>0</v>
      </c>
      <c r="BV149" s="254">
        <v>0</v>
      </c>
      <c r="BW149" s="254">
        <v>0</v>
      </c>
      <c r="BX149" s="254">
        <v>0</v>
      </c>
      <c r="BY149" s="254">
        <v>0</v>
      </c>
      <c r="BZ149" s="254">
        <v>0</v>
      </c>
      <c r="CA149" s="254">
        <v>0</v>
      </c>
      <c r="CB149" s="254">
        <v>0</v>
      </c>
      <c r="CC149" s="254">
        <v>0</v>
      </c>
      <c r="CD149" s="254">
        <v>0</v>
      </c>
      <c r="CE149" s="254">
        <v>0</v>
      </c>
      <c r="CF149" s="254">
        <v>0</v>
      </c>
      <c r="CG149" s="254">
        <v>0</v>
      </c>
      <c r="CH149" s="254">
        <v>0</v>
      </c>
      <c r="CI149" s="254">
        <v>0</v>
      </c>
      <c r="CJ149" s="254">
        <v>0</v>
      </c>
      <c r="CK149" s="254">
        <v>0</v>
      </c>
      <c r="CL149" s="254">
        <v>0</v>
      </c>
      <c r="CM149" s="254">
        <v>0</v>
      </c>
      <c r="CN149" s="254">
        <v>0</v>
      </c>
      <c r="CO149" s="254">
        <v>0</v>
      </c>
      <c r="CP149" s="254">
        <v>0</v>
      </c>
      <c r="CQ149" s="116"/>
      <c r="CR149" s="255">
        <v>0</v>
      </c>
      <c r="CS149" s="255">
        <v>0</v>
      </c>
      <c r="CT149" s="255">
        <v>0</v>
      </c>
      <c r="CU149" s="255">
        <v>0</v>
      </c>
      <c r="CV149" s="255">
        <v>0</v>
      </c>
      <c r="CW149" s="255">
        <v>0</v>
      </c>
      <c r="CX149" s="255">
        <v>0</v>
      </c>
      <c r="CY149" s="255">
        <v>0</v>
      </c>
      <c r="CZ149" s="255">
        <v>0</v>
      </c>
      <c r="DA149" s="255">
        <v>0</v>
      </c>
      <c r="DB149" s="255">
        <v>0</v>
      </c>
      <c r="DC149" s="255">
        <v>0</v>
      </c>
      <c r="DD149" s="255">
        <v>0</v>
      </c>
      <c r="DE149" s="255">
        <v>0</v>
      </c>
      <c r="DF149" s="255">
        <v>0</v>
      </c>
      <c r="DG149" s="255">
        <v>21286.649999999998</v>
      </c>
      <c r="DH149" s="255">
        <v>28382.199999999997</v>
      </c>
      <c r="DI149" s="255">
        <v>28382.199999999997</v>
      </c>
      <c r="DJ149" s="255">
        <v>28382.199999999997</v>
      </c>
      <c r="DK149" s="255">
        <v>28382.199999999997</v>
      </c>
      <c r="DL149" s="255">
        <v>28382.199999999997</v>
      </c>
      <c r="DM149" s="255">
        <v>28382.199999999997</v>
      </c>
      <c r="DN149" s="255">
        <v>28382.199999999997</v>
      </c>
      <c r="DO149" s="255">
        <v>21286.649999999998</v>
      </c>
      <c r="DP149" s="255">
        <v>21286.649999999998</v>
      </c>
      <c r="DQ149" s="255">
        <v>28382.199999999997</v>
      </c>
      <c r="DR149" s="255">
        <v>29244.6</v>
      </c>
      <c r="DS149" s="255">
        <v>21933.449999999997</v>
      </c>
      <c r="DT149" s="255">
        <v>31751.279999999999</v>
      </c>
      <c r="DU149" s="255">
        <v>31751.279999999999</v>
      </c>
      <c r="DV149" s="255">
        <v>29244.6</v>
      </c>
      <c r="DW149" s="255">
        <v>29244.6</v>
      </c>
      <c r="DX149" s="255">
        <v>29244.6</v>
      </c>
      <c r="DY149" s="255">
        <v>29244.6</v>
      </c>
      <c r="DZ149" s="255">
        <v>29244.6</v>
      </c>
      <c r="EA149" s="255">
        <v>21933.449999999997</v>
      </c>
      <c r="EB149" s="255">
        <v>21933.449999999997</v>
      </c>
      <c r="EC149" s="255">
        <v>29244.6</v>
      </c>
      <c r="ED149" s="255">
        <v>30108.400000000001</v>
      </c>
      <c r="EE149" s="255">
        <v>22581.3</v>
      </c>
      <c r="EF149" s="255">
        <v>32689.119999999999</v>
      </c>
      <c r="EG149" s="255">
        <v>32689.119999999999</v>
      </c>
      <c r="EH149" s="255">
        <v>30108.400000000001</v>
      </c>
      <c r="EI149" s="255">
        <v>30108.400000000001</v>
      </c>
      <c r="EJ149" s="255">
        <v>30108.400000000001</v>
      </c>
      <c r="EK149" s="255">
        <v>30108.400000000001</v>
      </c>
      <c r="EL149" s="255">
        <v>30108.400000000001</v>
      </c>
      <c r="EM149" s="255">
        <v>30108.400000000001</v>
      </c>
      <c r="EN149" s="255">
        <v>0</v>
      </c>
      <c r="EO149" s="255">
        <v>0</v>
      </c>
      <c r="EP149" s="255">
        <v>0</v>
      </c>
      <c r="EQ149" s="255">
        <v>0</v>
      </c>
      <c r="ER149" s="255">
        <v>0</v>
      </c>
      <c r="ES149" s="255">
        <v>0</v>
      </c>
      <c r="ET149" s="255">
        <v>0</v>
      </c>
      <c r="EU149" s="255">
        <v>0</v>
      </c>
      <c r="EV149" s="255">
        <v>0</v>
      </c>
      <c r="EW149" s="255">
        <v>0</v>
      </c>
      <c r="EX149" s="255">
        <v>0</v>
      </c>
      <c r="EY149" s="255">
        <v>0</v>
      </c>
      <c r="EZ149" s="255">
        <v>0</v>
      </c>
      <c r="FA149" s="255">
        <v>0</v>
      </c>
      <c r="FB149" s="255">
        <v>0</v>
      </c>
      <c r="FC149" s="255">
        <v>0</v>
      </c>
      <c r="FD149" s="255">
        <v>0</v>
      </c>
      <c r="FE149" s="255">
        <v>0</v>
      </c>
      <c r="FF149" s="255">
        <v>0</v>
      </c>
      <c r="FG149" s="255">
        <v>0</v>
      </c>
      <c r="FH149" s="255">
        <v>0</v>
      </c>
      <c r="FI149" s="255">
        <v>0</v>
      </c>
      <c r="FJ149" s="255">
        <v>0</v>
      </c>
      <c r="FK149" s="255">
        <v>0</v>
      </c>
      <c r="FL149" s="255">
        <v>0</v>
      </c>
      <c r="FM149" s="255">
        <v>0</v>
      </c>
      <c r="FN149" s="255">
        <v>0</v>
      </c>
      <c r="FO149" s="255">
        <v>0</v>
      </c>
      <c r="FP149" s="255">
        <v>0</v>
      </c>
      <c r="FQ149" s="255">
        <v>0</v>
      </c>
      <c r="FR149" s="255">
        <v>0</v>
      </c>
      <c r="FS149" s="255">
        <v>0</v>
      </c>
      <c r="FT149" s="255">
        <v>0</v>
      </c>
      <c r="FU149" s="255">
        <v>0</v>
      </c>
      <c r="FV149" s="255">
        <v>0</v>
      </c>
      <c r="FW149" s="255">
        <v>0</v>
      </c>
      <c r="FX149" s="116"/>
    </row>
    <row r="150" spans="2:180" x14ac:dyDescent="0.2">
      <c r="B150" s="253" t="s">
        <v>233</v>
      </c>
      <c r="C150" s="253" t="s">
        <v>265</v>
      </c>
      <c r="D150" s="253" t="s">
        <v>258</v>
      </c>
      <c r="E150" s="253" t="s">
        <v>127</v>
      </c>
      <c r="F150" s="253" t="s">
        <v>259</v>
      </c>
      <c r="G150" s="253" t="s">
        <v>260</v>
      </c>
      <c r="H150" s="237">
        <v>333.23</v>
      </c>
      <c r="I150" s="126">
        <f t="shared" si="87"/>
        <v>751708.65000000014</v>
      </c>
      <c r="J150" s="116"/>
      <c r="K150" s="254">
        <v>0</v>
      </c>
      <c r="L150" s="254">
        <v>0</v>
      </c>
      <c r="M150" s="254">
        <v>0</v>
      </c>
      <c r="N150" s="254">
        <v>0</v>
      </c>
      <c r="O150" s="254">
        <v>0</v>
      </c>
      <c r="P150" s="254">
        <v>0</v>
      </c>
      <c r="Q150" s="254">
        <v>0</v>
      </c>
      <c r="R150" s="254">
        <v>0</v>
      </c>
      <c r="S150" s="254">
        <v>0</v>
      </c>
      <c r="T150" s="254">
        <v>0</v>
      </c>
      <c r="U150" s="254">
        <v>0</v>
      </c>
      <c r="V150" s="254">
        <v>0</v>
      </c>
      <c r="W150" s="254">
        <v>0</v>
      </c>
      <c r="X150" s="254">
        <v>0</v>
      </c>
      <c r="Y150" s="254">
        <v>0</v>
      </c>
      <c r="Z150" s="254">
        <v>0.5</v>
      </c>
      <c r="AA150" s="254">
        <v>0.46052631578947367</v>
      </c>
      <c r="AB150" s="254">
        <v>0.46052631578947367</v>
      </c>
      <c r="AC150" s="254">
        <v>0.5</v>
      </c>
      <c r="AD150" s="254">
        <v>0.5</v>
      </c>
      <c r="AE150" s="254">
        <v>0.5</v>
      </c>
      <c r="AF150" s="254">
        <v>0.5</v>
      </c>
      <c r="AG150" s="254">
        <v>0.5</v>
      </c>
      <c r="AH150" s="254">
        <v>0.5</v>
      </c>
      <c r="AI150" s="254">
        <v>0.5</v>
      </c>
      <c r="AJ150" s="254">
        <v>0.5</v>
      </c>
      <c r="AK150" s="254">
        <v>0.5</v>
      </c>
      <c r="AL150" s="254">
        <v>0.5</v>
      </c>
      <c r="AM150" s="254">
        <v>0.5</v>
      </c>
      <c r="AN150" s="254">
        <v>0.5</v>
      </c>
      <c r="AO150" s="254">
        <v>0.5</v>
      </c>
      <c r="AP150" s="254">
        <v>0.5</v>
      </c>
      <c r="AQ150" s="254">
        <v>0.5</v>
      </c>
      <c r="AR150" s="254">
        <v>0.5</v>
      </c>
      <c r="AS150" s="254">
        <v>0.5</v>
      </c>
      <c r="AT150" s="254">
        <v>0.5</v>
      </c>
      <c r="AU150" s="254">
        <v>0.5</v>
      </c>
      <c r="AV150" s="254">
        <v>0.5</v>
      </c>
      <c r="AW150" s="254">
        <v>0.5</v>
      </c>
      <c r="AX150" s="254">
        <v>0.5</v>
      </c>
      <c r="AY150" s="254">
        <v>0.5</v>
      </c>
      <c r="AZ150" s="254">
        <v>0.5</v>
      </c>
      <c r="BA150" s="254">
        <v>0.5</v>
      </c>
      <c r="BB150" s="254">
        <v>0.5</v>
      </c>
      <c r="BC150" s="254">
        <v>0.5</v>
      </c>
      <c r="BD150" s="254">
        <v>0.5</v>
      </c>
      <c r="BE150" s="254">
        <v>0.5</v>
      </c>
      <c r="BF150" s="254">
        <v>0.66666666666666663</v>
      </c>
      <c r="BG150" s="254">
        <v>0</v>
      </c>
      <c r="BH150" s="254">
        <v>0</v>
      </c>
      <c r="BI150" s="254">
        <v>0</v>
      </c>
      <c r="BJ150" s="254">
        <v>0</v>
      </c>
      <c r="BK150" s="254">
        <v>0</v>
      </c>
      <c r="BL150" s="254">
        <v>0</v>
      </c>
      <c r="BM150" s="254">
        <v>0</v>
      </c>
      <c r="BN150" s="254">
        <v>0</v>
      </c>
      <c r="BO150" s="254">
        <v>0</v>
      </c>
      <c r="BP150" s="254">
        <v>0</v>
      </c>
      <c r="BQ150" s="254">
        <v>0</v>
      </c>
      <c r="BR150" s="254">
        <v>0</v>
      </c>
      <c r="BS150" s="254">
        <v>0</v>
      </c>
      <c r="BT150" s="254">
        <v>0</v>
      </c>
      <c r="BU150" s="254">
        <v>0</v>
      </c>
      <c r="BV150" s="254">
        <v>0</v>
      </c>
      <c r="BW150" s="254">
        <v>0</v>
      </c>
      <c r="BX150" s="254">
        <v>0</v>
      </c>
      <c r="BY150" s="254">
        <v>0</v>
      </c>
      <c r="BZ150" s="254">
        <v>0</v>
      </c>
      <c r="CA150" s="254">
        <v>0</v>
      </c>
      <c r="CB150" s="254">
        <v>0</v>
      </c>
      <c r="CC150" s="254">
        <v>0</v>
      </c>
      <c r="CD150" s="254">
        <v>0</v>
      </c>
      <c r="CE150" s="254">
        <v>0</v>
      </c>
      <c r="CF150" s="254">
        <v>0</v>
      </c>
      <c r="CG150" s="254">
        <v>0</v>
      </c>
      <c r="CH150" s="254">
        <v>0</v>
      </c>
      <c r="CI150" s="254">
        <v>0</v>
      </c>
      <c r="CJ150" s="254">
        <v>0</v>
      </c>
      <c r="CK150" s="254">
        <v>0</v>
      </c>
      <c r="CL150" s="254">
        <v>0</v>
      </c>
      <c r="CM150" s="254">
        <v>0</v>
      </c>
      <c r="CN150" s="254">
        <v>0</v>
      </c>
      <c r="CO150" s="254">
        <v>0</v>
      </c>
      <c r="CP150" s="254">
        <v>0</v>
      </c>
      <c r="CQ150" s="116"/>
      <c r="CR150" s="255">
        <v>0</v>
      </c>
      <c r="CS150" s="255">
        <v>0</v>
      </c>
      <c r="CT150" s="255">
        <v>0</v>
      </c>
      <c r="CU150" s="255">
        <v>0</v>
      </c>
      <c r="CV150" s="255">
        <v>0</v>
      </c>
      <c r="CW150" s="255">
        <v>0</v>
      </c>
      <c r="CX150" s="255">
        <v>0</v>
      </c>
      <c r="CY150" s="255">
        <v>0</v>
      </c>
      <c r="CZ150" s="255">
        <v>0</v>
      </c>
      <c r="DA150" s="255">
        <v>0</v>
      </c>
      <c r="DB150" s="255">
        <v>0</v>
      </c>
      <c r="DC150" s="255">
        <v>0</v>
      </c>
      <c r="DD150" s="255">
        <v>0</v>
      </c>
      <c r="DE150" s="255">
        <v>0</v>
      </c>
      <c r="DF150" s="255">
        <v>0</v>
      </c>
      <c r="DG150" s="255">
        <v>16989.525000000001</v>
      </c>
      <c r="DH150" s="255">
        <v>22652.7</v>
      </c>
      <c r="DI150" s="255">
        <v>22652.7</v>
      </c>
      <c r="DJ150" s="255">
        <v>23326.799999999999</v>
      </c>
      <c r="DK150" s="255">
        <v>23326.799999999999</v>
      </c>
      <c r="DL150" s="255">
        <v>23326.799999999999</v>
      </c>
      <c r="DM150" s="255">
        <v>23326.799999999999</v>
      </c>
      <c r="DN150" s="255">
        <v>23326.799999999999</v>
      </c>
      <c r="DO150" s="255">
        <v>17495.100000000002</v>
      </c>
      <c r="DP150" s="255">
        <v>17495.100000000002</v>
      </c>
      <c r="DQ150" s="255">
        <v>23326.799999999999</v>
      </c>
      <c r="DR150" s="255">
        <v>23326.799999999999</v>
      </c>
      <c r="DS150" s="255">
        <v>17495.100000000002</v>
      </c>
      <c r="DT150" s="255">
        <v>25326.240000000002</v>
      </c>
      <c r="DU150" s="255">
        <v>25326.240000000002</v>
      </c>
      <c r="DV150" s="255">
        <v>24031.7</v>
      </c>
      <c r="DW150" s="255">
        <v>24031.7</v>
      </c>
      <c r="DX150" s="255">
        <v>24031.7</v>
      </c>
      <c r="DY150" s="255">
        <v>24031.7</v>
      </c>
      <c r="DZ150" s="255">
        <v>24031.7</v>
      </c>
      <c r="EA150" s="255">
        <v>18023.775000000001</v>
      </c>
      <c r="EB150" s="255">
        <v>18023.775000000001</v>
      </c>
      <c r="EC150" s="255">
        <v>24031.7</v>
      </c>
      <c r="ED150" s="255">
        <v>24031.7</v>
      </c>
      <c r="EE150" s="255">
        <v>18023.775000000001</v>
      </c>
      <c r="EF150" s="255">
        <v>26091.56</v>
      </c>
      <c r="EG150" s="255">
        <v>26091.56</v>
      </c>
      <c r="EH150" s="255">
        <v>24752</v>
      </c>
      <c r="EI150" s="255">
        <v>24752</v>
      </c>
      <c r="EJ150" s="255">
        <v>24752</v>
      </c>
      <c r="EK150" s="255">
        <v>24752</v>
      </c>
      <c r="EL150" s="255">
        <v>24752</v>
      </c>
      <c r="EM150" s="255">
        <v>24752</v>
      </c>
      <c r="EN150" s="255">
        <v>0</v>
      </c>
      <c r="EO150" s="255">
        <v>0</v>
      </c>
      <c r="EP150" s="255">
        <v>0</v>
      </c>
      <c r="EQ150" s="255">
        <v>0</v>
      </c>
      <c r="ER150" s="255">
        <v>0</v>
      </c>
      <c r="ES150" s="255">
        <v>0</v>
      </c>
      <c r="ET150" s="255">
        <v>0</v>
      </c>
      <c r="EU150" s="255">
        <v>0</v>
      </c>
      <c r="EV150" s="255">
        <v>0</v>
      </c>
      <c r="EW150" s="255">
        <v>0</v>
      </c>
      <c r="EX150" s="255">
        <v>0</v>
      </c>
      <c r="EY150" s="255">
        <v>0</v>
      </c>
      <c r="EZ150" s="255">
        <v>0</v>
      </c>
      <c r="FA150" s="255">
        <v>0</v>
      </c>
      <c r="FB150" s="255">
        <v>0</v>
      </c>
      <c r="FC150" s="255">
        <v>0</v>
      </c>
      <c r="FD150" s="255">
        <v>0</v>
      </c>
      <c r="FE150" s="255">
        <v>0</v>
      </c>
      <c r="FF150" s="255">
        <v>0</v>
      </c>
      <c r="FG150" s="255">
        <v>0</v>
      </c>
      <c r="FH150" s="255">
        <v>0</v>
      </c>
      <c r="FI150" s="255">
        <v>0</v>
      </c>
      <c r="FJ150" s="255">
        <v>0</v>
      </c>
      <c r="FK150" s="255">
        <v>0</v>
      </c>
      <c r="FL150" s="255">
        <v>0</v>
      </c>
      <c r="FM150" s="255">
        <v>0</v>
      </c>
      <c r="FN150" s="255">
        <v>0</v>
      </c>
      <c r="FO150" s="255">
        <v>0</v>
      </c>
      <c r="FP150" s="255">
        <v>0</v>
      </c>
      <c r="FQ150" s="255">
        <v>0</v>
      </c>
      <c r="FR150" s="255">
        <v>0</v>
      </c>
      <c r="FS150" s="255">
        <v>0</v>
      </c>
      <c r="FT150" s="255">
        <v>0</v>
      </c>
      <c r="FU150" s="255">
        <v>0</v>
      </c>
      <c r="FV150" s="255">
        <v>0</v>
      </c>
      <c r="FW150" s="255">
        <v>0</v>
      </c>
      <c r="FX150" s="116"/>
    </row>
    <row r="151" spans="2:180" x14ac:dyDescent="0.2">
      <c r="B151" s="253" t="s">
        <v>233</v>
      </c>
      <c r="C151" s="253" t="s">
        <v>278</v>
      </c>
      <c r="D151" s="253" t="s">
        <v>258</v>
      </c>
      <c r="E151" s="253" t="s">
        <v>127</v>
      </c>
      <c r="F151" s="253" t="s">
        <v>259</v>
      </c>
      <c r="G151" s="253" t="s">
        <v>260</v>
      </c>
      <c r="H151" s="237">
        <v>202.73</v>
      </c>
      <c r="I151" s="126">
        <f t="shared" si="87"/>
        <v>461825.5</v>
      </c>
      <c r="J151" s="116"/>
      <c r="K151" s="254">
        <v>0</v>
      </c>
      <c r="L151" s="254">
        <v>0</v>
      </c>
      <c r="M151" s="254">
        <v>0</v>
      </c>
      <c r="N151" s="254">
        <v>0</v>
      </c>
      <c r="O151" s="254">
        <v>0</v>
      </c>
      <c r="P151" s="254">
        <v>0</v>
      </c>
      <c r="Q151" s="254">
        <v>0</v>
      </c>
      <c r="R151" s="254">
        <v>0</v>
      </c>
      <c r="S151" s="254">
        <v>0</v>
      </c>
      <c r="T151" s="254">
        <v>0</v>
      </c>
      <c r="U151" s="254">
        <v>0</v>
      </c>
      <c r="V151" s="254">
        <v>0</v>
      </c>
      <c r="W151" s="254">
        <v>0</v>
      </c>
      <c r="X151" s="254">
        <v>0</v>
      </c>
      <c r="Y151" s="254">
        <v>0</v>
      </c>
      <c r="Z151" s="254">
        <v>0.5</v>
      </c>
      <c r="AA151" s="254">
        <v>0.46052631578947367</v>
      </c>
      <c r="AB151" s="254">
        <v>0.46052631578947367</v>
      </c>
      <c r="AC151" s="254">
        <v>0.5</v>
      </c>
      <c r="AD151" s="254">
        <v>0.5</v>
      </c>
      <c r="AE151" s="254">
        <v>0.5</v>
      </c>
      <c r="AF151" s="254">
        <v>0.5</v>
      </c>
      <c r="AG151" s="254">
        <v>0.5</v>
      </c>
      <c r="AH151" s="254">
        <v>0.5</v>
      </c>
      <c r="AI151" s="254">
        <v>0.5</v>
      </c>
      <c r="AJ151" s="254">
        <v>0.5</v>
      </c>
      <c r="AK151" s="254">
        <v>0.5</v>
      </c>
      <c r="AL151" s="254">
        <v>0.5</v>
      </c>
      <c r="AM151" s="254">
        <v>0.5</v>
      </c>
      <c r="AN151" s="254">
        <v>0.5</v>
      </c>
      <c r="AO151" s="254">
        <v>0.5</v>
      </c>
      <c r="AP151" s="254">
        <v>0.5</v>
      </c>
      <c r="AQ151" s="254">
        <v>0.5</v>
      </c>
      <c r="AR151" s="254">
        <v>0.5</v>
      </c>
      <c r="AS151" s="254">
        <v>0.5</v>
      </c>
      <c r="AT151" s="254">
        <v>0.5</v>
      </c>
      <c r="AU151" s="254">
        <v>0.5</v>
      </c>
      <c r="AV151" s="254">
        <v>0.5</v>
      </c>
      <c r="AW151" s="254">
        <v>0.5</v>
      </c>
      <c r="AX151" s="254">
        <v>0.5</v>
      </c>
      <c r="AY151" s="254">
        <v>0.5</v>
      </c>
      <c r="AZ151" s="254">
        <v>0.5</v>
      </c>
      <c r="BA151" s="254">
        <v>0.5</v>
      </c>
      <c r="BB151" s="254">
        <v>0.5</v>
      </c>
      <c r="BC151" s="254">
        <v>0.5</v>
      </c>
      <c r="BD151" s="254">
        <v>0.5</v>
      </c>
      <c r="BE151" s="254">
        <v>0.5</v>
      </c>
      <c r="BF151" s="254">
        <v>0.66666666666666663</v>
      </c>
      <c r="BG151" s="254">
        <v>0</v>
      </c>
      <c r="BH151" s="254">
        <v>0</v>
      </c>
      <c r="BI151" s="254">
        <v>0</v>
      </c>
      <c r="BJ151" s="254">
        <v>0</v>
      </c>
      <c r="BK151" s="254">
        <v>0</v>
      </c>
      <c r="BL151" s="254">
        <v>0</v>
      </c>
      <c r="BM151" s="254">
        <v>0</v>
      </c>
      <c r="BN151" s="254">
        <v>0</v>
      </c>
      <c r="BO151" s="254">
        <v>0</v>
      </c>
      <c r="BP151" s="254">
        <v>0</v>
      </c>
      <c r="BQ151" s="254">
        <v>0</v>
      </c>
      <c r="BR151" s="254">
        <v>0</v>
      </c>
      <c r="BS151" s="254">
        <v>0</v>
      </c>
      <c r="BT151" s="254">
        <v>0</v>
      </c>
      <c r="BU151" s="254">
        <v>0</v>
      </c>
      <c r="BV151" s="254">
        <v>0</v>
      </c>
      <c r="BW151" s="254">
        <v>0</v>
      </c>
      <c r="BX151" s="254">
        <v>0</v>
      </c>
      <c r="BY151" s="254">
        <v>0</v>
      </c>
      <c r="BZ151" s="254">
        <v>0</v>
      </c>
      <c r="CA151" s="254">
        <v>0</v>
      </c>
      <c r="CB151" s="254">
        <v>0</v>
      </c>
      <c r="CC151" s="254">
        <v>0</v>
      </c>
      <c r="CD151" s="254">
        <v>0</v>
      </c>
      <c r="CE151" s="254">
        <v>0</v>
      </c>
      <c r="CF151" s="254">
        <v>0</v>
      </c>
      <c r="CG151" s="254">
        <v>0</v>
      </c>
      <c r="CH151" s="254">
        <v>0</v>
      </c>
      <c r="CI151" s="254">
        <v>0</v>
      </c>
      <c r="CJ151" s="254">
        <v>0</v>
      </c>
      <c r="CK151" s="254">
        <v>0</v>
      </c>
      <c r="CL151" s="254">
        <v>0</v>
      </c>
      <c r="CM151" s="254">
        <v>0</v>
      </c>
      <c r="CN151" s="254">
        <v>0</v>
      </c>
      <c r="CO151" s="254">
        <v>0</v>
      </c>
      <c r="CP151" s="254">
        <v>0</v>
      </c>
      <c r="CQ151" s="116"/>
      <c r="CR151" s="255">
        <v>0</v>
      </c>
      <c r="CS151" s="255">
        <v>0</v>
      </c>
      <c r="CT151" s="255">
        <v>0</v>
      </c>
      <c r="CU151" s="255">
        <v>0</v>
      </c>
      <c r="CV151" s="255">
        <v>0</v>
      </c>
      <c r="CW151" s="255">
        <v>0</v>
      </c>
      <c r="CX151" s="255">
        <v>0</v>
      </c>
      <c r="CY151" s="255">
        <v>0</v>
      </c>
      <c r="CZ151" s="255">
        <v>0</v>
      </c>
      <c r="DA151" s="255">
        <v>0</v>
      </c>
      <c r="DB151" s="255">
        <v>0</v>
      </c>
      <c r="DC151" s="255">
        <v>0</v>
      </c>
      <c r="DD151" s="255">
        <v>0</v>
      </c>
      <c r="DE151" s="255">
        <v>0</v>
      </c>
      <c r="DF151" s="255">
        <v>0</v>
      </c>
      <c r="DG151" s="255">
        <v>10643.324999999999</v>
      </c>
      <c r="DH151" s="255">
        <v>14191.099999999999</v>
      </c>
      <c r="DI151" s="255">
        <v>14191.099999999999</v>
      </c>
      <c r="DJ151" s="255">
        <v>14191.099999999999</v>
      </c>
      <c r="DK151" s="255">
        <v>14191.099999999999</v>
      </c>
      <c r="DL151" s="255">
        <v>14191.099999999999</v>
      </c>
      <c r="DM151" s="255">
        <v>14191.099999999999</v>
      </c>
      <c r="DN151" s="255">
        <v>14191.099999999999</v>
      </c>
      <c r="DO151" s="255">
        <v>10643.324999999999</v>
      </c>
      <c r="DP151" s="255">
        <v>10643.324999999999</v>
      </c>
      <c r="DQ151" s="255">
        <v>14191.099999999999</v>
      </c>
      <c r="DR151" s="255">
        <v>14622.3</v>
      </c>
      <c r="DS151" s="255">
        <v>10966.724999999999</v>
      </c>
      <c r="DT151" s="255">
        <v>15875.64</v>
      </c>
      <c r="DU151" s="255">
        <v>15875.64</v>
      </c>
      <c r="DV151" s="255">
        <v>14622.3</v>
      </c>
      <c r="DW151" s="255">
        <v>14622.3</v>
      </c>
      <c r="DX151" s="255">
        <v>14622.3</v>
      </c>
      <c r="DY151" s="255">
        <v>14622.3</v>
      </c>
      <c r="DZ151" s="255">
        <v>14622.3</v>
      </c>
      <c r="EA151" s="255">
        <v>10966.724999999999</v>
      </c>
      <c r="EB151" s="255">
        <v>10966.724999999999</v>
      </c>
      <c r="EC151" s="255">
        <v>14622.3</v>
      </c>
      <c r="ED151" s="255">
        <v>15054.2</v>
      </c>
      <c r="EE151" s="255">
        <v>11290.65</v>
      </c>
      <c r="EF151" s="255">
        <v>16344.56</v>
      </c>
      <c r="EG151" s="255">
        <v>16344.56</v>
      </c>
      <c r="EH151" s="255">
        <v>15054.2</v>
      </c>
      <c r="EI151" s="255">
        <v>15054.2</v>
      </c>
      <c r="EJ151" s="255">
        <v>15054.2</v>
      </c>
      <c r="EK151" s="255">
        <v>15054.2</v>
      </c>
      <c r="EL151" s="255">
        <v>15054.2</v>
      </c>
      <c r="EM151" s="255">
        <v>15054.2</v>
      </c>
      <c r="EN151" s="255">
        <v>0</v>
      </c>
      <c r="EO151" s="255">
        <v>0</v>
      </c>
      <c r="EP151" s="255">
        <v>0</v>
      </c>
      <c r="EQ151" s="255">
        <v>0</v>
      </c>
      <c r="ER151" s="255">
        <v>0</v>
      </c>
      <c r="ES151" s="255">
        <v>0</v>
      </c>
      <c r="ET151" s="255">
        <v>0</v>
      </c>
      <c r="EU151" s="255">
        <v>0</v>
      </c>
      <c r="EV151" s="255">
        <v>0</v>
      </c>
      <c r="EW151" s="255">
        <v>0</v>
      </c>
      <c r="EX151" s="255">
        <v>0</v>
      </c>
      <c r="EY151" s="255">
        <v>0</v>
      </c>
      <c r="EZ151" s="255">
        <v>0</v>
      </c>
      <c r="FA151" s="255">
        <v>0</v>
      </c>
      <c r="FB151" s="255">
        <v>0</v>
      </c>
      <c r="FC151" s="255">
        <v>0</v>
      </c>
      <c r="FD151" s="255">
        <v>0</v>
      </c>
      <c r="FE151" s="255">
        <v>0</v>
      </c>
      <c r="FF151" s="255">
        <v>0</v>
      </c>
      <c r="FG151" s="255">
        <v>0</v>
      </c>
      <c r="FH151" s="255">
        <v>0</v>
      </c>
      <c r="FI151" s="255">
        <v>0</v>
      </c>
      <c r="FJ151" s="255">
        <v>0</v>
      </c>
      <c r="FK151" s="255">
        <v>0</v>
      </c>
      <c r="FL151" s="255">
        <v>0</v>
      </c>
      <c r="FM151" s="255">
        <v>0</v>
      </c>
      <c r="FN151" s="255">
        <v>0</v>
      </c>
      <c r="FO151" s="255">
        <v>0</v>
      </c>
      <c r="FP151" s="255">
        <v>0</v>
      </c>
      <c r="FQ151" s="255">
        <v>0</v>
      </c>
      <c r="FR151" s="255">
        <v>0</v>
      </c>
      <c r="FS151" s="255">
        <v>0</v>
      </c>
      <c r="FT151" s="255">
        <v>0</v>
      </c>
      <c r="FU151" s="255">
        <v>0</v>
      </c>
      <c r="FV151" s="255">
        <v>0</v>
      </c>
      <c r="FW151" s="255">
        <v>0</v>
      </c>
      <c r="FX151" s="116"/>
    </row>
    <row r="152" spans="2:180" x14ac:dyDescent="0.2">
      <c r="B152" s="253" t="s">
        <v>214</v>
      </c>
      <c r="C152" s="253" t="s">
        <v>321</v>
      </c>
      <c r="D152" s="253" t="s">
        <v>258</v>
      </c>
      <c r="E152" s="253" t="s">
        <v>127</v>
      </c>
      <c r="F152" s="253" t="s">
        <v>259</v>
      </c>
      <c r="G152" s="253" t="s">
        <v>260</v>
      </c>
      <c r="H152" s="237">
        <v>245.65</v>
      </c>
      <c r="I152" s="126">
        <f t="shared" si="87"/>
        <v>537097.08000000007</v>
      </c>
      <c r="J152" s="116"/>
      <c r="K152" s="254">
        <v>0</v>
      </c>
      <c r="L152" s="254">
        <v>0</v>
      </c>
      <c r="M152" s="254">
        <v>0</v>
      </c>
      <c r="N152" s="254">
        <v>0</v>
      </c>
      <c r="O152" s="254">
        <v>0</v>
      </c>
      <c r="P152" s="254">
        <v>0</v>
      </c>
      <c r="Q152" s="254">
        <v>0</v>
      </c>
      <c r="R152" s="254">
        <v>0</v>
      </c>
      <c r="S152" s="254">
        <v>0</v>
      </c>
      <c r="T152" s="254">
        <v>0</v>
      </c>
      <c r="U152" s="254">
        <v>0</v>
      </c>
      <c r="V152" s="254">
        <v>0</v>
      </c>
      <c r="W152" s="254">
        <v>0</v>
      </c>
      <c r="X152" s="254">
        <v>0</v>
      </c>
      <c r="Y152" s="254">
        <v>0.5</v>
      </c>
      <c r="Z152" s="254">
        <v>0.5</v>
      </c>
      <c r="AA152" s="254">
        <v>0.46052631578947367</v>
      </c>
      <c r="AB152" s="254">
        <v>0.46052631578947367</v>
      </c>
      <c r="AC152" s="254">
        <v>0.5</v>
      </c>
      <c r="AD152" s="254">
        <v>0.5</v>
      </c>
      <c r="AE152" s="254">
        <v>0.5</v>
      </c>
      <c r="AF152" s="254">
        <v>0.5</v>
      </c>
      <c r="AG152" s="254">
        <v>0.5</v>
      </c>
      <c r="AH152" s="254">
        <v>0.5</v>
      </c>
      <c r="AI152" s="254">
        <v>0.5</v>
      </c>
      <c r="AJ152" s="254">
        <v>0.5</v>
      </c>
      <c r="AK152" s="254">
        <v>0.5</v>
      </c>
      <c r="AL152" s="254">
        <v>0.5</v>
      </c>
      <c r="AM152" s="254">
        <v>0.46052631578947367</v>
      </c>
      <c r="AN152" s="254">
        <v>0.46052631578947367</v>
      </c>
      <c r="AO152" s="254">
        <v>0.5</v>
      </c>
      <c r="AP152" s="254">
        <v>0.5</v>
      </c>
      <c r="AQ152" s="254">
        <v>0.5</v>
      </c>
      <c r="AR152" s="254">
        <v>0.5</v>
      </c>
      <c r="AS152" s="254">
        <v>0.5</v>
      </c>
      <c r="AT152" s="254">
        <v>0.5</v>
      </c>
      <c r="AU152" s="254">
        <v>0.5</v>
      </c>
      <c r="AV152" s="254">
        <v>0.5</v>
      </c>
      <c r="AW152" s="254">
        <v>0.5</v>
      </c>
      <c r="AX152" s="254">
        <v>0.5</v>
      </c>
      <c r="AY152" s="254">
        <v>0.5</v>
      </c>
      <c r="AZ152" s="254">
        <v>0.5</v>
      </c>
      <c r="BA152" s="254">
        <v>0.5</v>
      </c>
      <c r="BB152" s="254">
        <v>0.5</v>
      </c>
      <c r="BC152" s="254">
        <v>0.5</v>
      </c>
      <c r="BD152" s="254">
        <v>0.5</v>
      </c>
      <c r="BE152" s="254">
        <v>0</v>
      </c>
      <c r="BF152" s="254">
        <v>0</v>
      </c>
      <c r="BG152" s="254">
        <v>0</v>
      </c>
      <c r="BH152" s="254">
        <v>0</v>
      </c>
      <c r="BI152" s="254">
        <v>0</v>
      </c>
      <c r="BJ152" s="254">
        <v>0</v>
      </c>
      <c r="BK152" s="254">
        <v>0</v>
      </c>
      <c r="BL152" s="254">
        <v>0</v>
      </c>
      <c r="BM152" s="254">
        <v>0</v>
      </c>
      <c r="BN152" s="254">
        <v>0</v>
      </c>
      <c r="BO152" s="254">
        <v>0</v>
      </c>
      <c r="BP152" s="254">
        <v>0</v>
      </c>
      <c r="BQ152" s="254">
        <v>0</v>
      </c>
      <c r="BR152" s="254">
        <v>0</v>
      </c>
      <c r="BS152" s="254">
        <v>0</v>
      </c>
      <c r="BT152" s="254">
        <v>0</v>
      </c>
      <c r="BU152" s="254">
        <v>0</v>
      </c>
      <c r="BV152" s="254">
        <v>0</v>
      </c>
      <c r="BW152" s="254">
        <v>0</v>
      </c>
      <c r="BX152" s="254">
        <v>0</v>
      </c>
      <c r="BY152" s="254">
        <v>0</v>
      </c>
      <c r="BZ152" s="254">
        <v>0</v>
      </c>
      <c r="CA152" s="254">
        <v>0</v>
      </c>
      <c r="CB152" s="254">
        <v>0</v>
      </c>
      <c r="CC152" s="254">
        <v>0</v>
      </c>
      <c r="CD152" s="254">
        <v>0</v>
      </c>
      <c r="CE152" s="254">
        <v>0</v>
      </c>
      <c r="CF152" s="254">
        <v>0</v>
      </c>
      <c r="CG152" s="254">
        <v>0</v>
      </c>
      <c r="CH152" s="254">
        <v>0</v>
      </c>
      <c r="CI152" s="254">
        <v>0</v>
      </c>
      <c r="CJ152" s="254">
        <v>0</v>
      </c>
      <c r="CK152" s="254">
        <v>0</v>
      </c>
      <c r="CL152" s="254">
        <v>0</v>
      </c>
      <c r="CM152" s="254">
        <v>0</v>
      </c>
      <c r="CN152" s="254">
        <v>0</v>
      </c>
      <c r="CO152" s="254">
        <v>0</v>
      </c>
      <c r="CP152" s="254">
        <v>0</v>
      </c>
      <c r="CQ152" s="116"/>
      <c r="CR152" s="255">
        <v>0</v>
      </c>
      <c r="CS152" s="255">
        <v>0</v>
      </c>
      <c r="CT152" s="255">
        <v>0</v>
      </c>
      <c r="CU152" s="255">
        <v>0</v>
      </c>
      <c r="CV152" s="255">
        <v>0</v>
      </c>
      <c r="CW152" s="255">
        <v>0</v>
      </c>
      <c r="CX152" s="255">
        <v>0</v>
      </c>
      <c r="CY152" s="255">
        <v>0</v>
      </c>
      <c r="CZ152" s="255">
        <v>0</v>
      </c>
      <c r="DA152" s="255">
        <v>0</v>
      </c>
      <c r="DB152" s="255">
        <v>0</v>
      </c>
      <c r="DC152" s="255">
        <v>0</v>
      </c>
      <c r="DD152" s="255">
        <v>0</v>
      </c>
      <c r="DE152" s="255">
        <v>0</v>
      </c>
      <c r="DF152" s="255">
        <v>17195.5</v>
      </c>
      <c r="DG152" s="255">
        <v>12896.625</v>
      </c>
      <c r="DH152" s="255">
        <v>17195.5</v>
      </c>
      <c r="DI152" s="255">
        <v>17195.5</v>
      </c>
      <c r="DJ152" s="255">
        <v>17195.5</v>
      </c>
      <c r="DK152" s="255">
        <v>17195.5</v>
      </c>
      <c r="DL152" s="255">
        <v>17195.5</v>
      </c>
      <c r="DM152" s="255">
        <v>17195.5</v>
      </c>
      <c r="DN152" s="255">
        <v>17195.5</v>
      </c>
      <c r="DO152" s="255">
        <v>12896.625</v>
      </c>
      <c r="DP152" s="255">
        <v>12896.625</v>
      </c>
      <c r="DQ152" s="255">
        <v>17195.5</v>
      </c>
      <c r="DR152" s="255">
        <v>17707.2</v>
      </c>
      <c r="DS152" s="255">
        <v>13280.4</v>
      </c>
      <c r="DT152" s="255">
        <v>17707.2</v>
      </c>
      <c r="DU152" s="255">
        <v>17707.2</v>
      </c>
      <c r="DV152" s="255">
        <v>17707.2</v>
      </c>
      <c r="DW152" s="255">
        <v>17707.2</v>
      </c>
      <c r="DX152" s="255">
        <v>17707.2</v>
      </c>
      <c r="DY152" s="255">
        <v>17707.2</v>
      </c>
      <c r="DZ152" s="255">
        <v>17707.2</v>
      </c>
      <c r="EA152" s="255">
        <v>13280.4</v>
      </c>
      <c r="EB152" s="255">
        <v>13280.4</v>
      </c>
      <c r="EC152" s="255">
        <v>17707.2</v>
      </c>
      <c r="ED152" s="255">
        <v>18234.3</v>
      </c>
      <c r="EE152" s="255">
        <v>13675.725</v>
      </c>
      <c r="EF152" s="255">
        <v>19797.240000000002</v>
      </c>
      <c r="EG152" s="255">
        <v>19797.240000000002</v>
      </c>
      <c r="EH152" s="255">
        <v>18234.3</v>
      </c>
      <c r="EI152" s="255">
        <v>18234.3</v>
      </c>
      <c r="EJ152" s="255">
        <v>18234.3</v>
      </c>
      <c r="EK152" s="255">
        <v>18234.3</v>
      </c>
      <c r="EL152" s="255">
        <v>0</v>
      </c>
      <c r="EM152" s="255">
        <v>0</v>
      </c>
      <c r="EN152" s="255">
        <v>0</v>
      </c>
      <c r="EO152" s="255">
        <v>0</v>
      </c>
      <c r="EP152" s="255">
        <v>0</v>
      </c>
      <c r="EQ152" s="255">
        <v>0</v>
      </c>
      <c r="ER152" s="255">
        <v>0</v>
      </c>
      <c r="ES152" s="255">
        <v>0</v>
      </c>
      <c r="ET152" s="255">
        <v>0</v>
      </c>
      <c r="EU152" s="255">
        <v>0</v>
      </c>
      <c r="EV152" s="255">
        <v>0</v>
      </c>
      <c r="EW152" s="255">
        <v>0</v>
      </c>
      <c r="EX152" s="255">
        <v>0</v>
      </c>
      <c r="EY152" s="255">
        <v>0</v>
      </c>
      <c r="EZ152" s="255">
        <v>0</v>
      </c>
      <c r="FA152" s="255">
        <v>0</v>
      </c>
      <c r="FB152" s="255">
        <v>0</v>
      </c>
      <c r="FC152" s="255">
        <v>0</v>
      </c>
      <c r="FD152" s="255">
        <v>0</v>
      </c>
      <c r="FE152" s="255">
        <v>0</v>
      </c>
      <c r="FF152" s="255">
        <v>0</v>
      </c>
      <c r="FG152" s="255">
        <v>0</v>
      </c>
      <c r="FH152" s="255">
        <v>0</v>
      </c>
      <c r="FI152" s="255">
        <v>0</v>
      </c>
      <c r="FJ152" s="255">
        <v>0</v>
      </c>
      <c r="FK152" s="255">
        <v>0</v>
      </c>
      <c r="FL152" s="255">
        <v>0</v>
      </c>
      <c r="FM152" s="255">
        <v>0</v>
      </c>
      <c r="FN152" s="255">
        <v>0</v>
      </c>
      <c r="FO152" s="255">
        <v>0</v>
      </c>
      <c r="FP152" s="255">
        <v>0</v>
      </c>
      <c r="FQ152" s="255">
        <v>0</v>
      </c>
      <c r="FR152" s="255">
        <v>0</v>
      </c>
      <c r="FS152" s="255">
        <v>0</v>
      </c>
      <c r="FT152" s="255">
        <v>0</v>
      </c>
      <c r="FU152" s="255">
        <v>0</v>
      </c>
      <c r="FV152" s="255">
        <v>0</v>
      </c>
      <c r="FW152" s="255">
        <v>0</v>
      </c>
      <c r="FX152" s="116"/>
    </row>
    <row r="153" spans="2:180" x14ac:dyDescent="0.2">
      <c r="B153" s="253" t="s">
        <v>214</v>
      </c>
      <c r="C153" s="253" t="s">
        <v>321</v>
      </c>
      <c r="D153" s="253" t="s">
        <v>258</v>
      </c>
      <c r="E153" s="253" t="s">
        <v>127</v>
      </c>
      <c r="F153" s="253">
        <v>0</v>
      </c>
      <c r="G153" s="253" t="s">
        <v>322</v>
      </c>
      <c r="H153" s="237">
        <v>245.65</v>
      </c>
      <c r="I153" s="126">
        <f t="shared" si="87"/>
        <v>610248.29999999993</v>
      </c>
      <c r="J153" s="116"/>
      <c r="K153" s="254">
        <v>0</v>
      </c>
      <c r="L153" s="254">
        <v>0</v>
      </c>
      <c r="M153" s="254">
        <v>0</v>
      </c>
      <c r="N153" s="254">
        <v>0</v>
      </c>
      <c r="O153" s="254">
        <v>0</v>
      </c>
      <c r="P153" s="254">
        <v>0</v>
      </c>
      <c r="Q153" s="254">
        <v>0</v>
      </c>
      <c r="R153" s="254">
        <v>0</v>
      </c>
      <c r="S153" s="254">
        <v>0</v>
      </c>
      <c r="T153" s="254">
        <v>0</v>
      </c>
      <c r="U153" s="254">
        <v>0</v>
      </c>
      <c r="V153" s="254">
        <v>0</v>
      </c>
      <c r="W153" s="254">
        <v>0</v>
      </c>
      <c r="X153" s="254">
        <v>0</v>
      </c>
      <c r="Y153" s="254">
        <v>0.2857142857142857</v>
      </c>
      <c r="Z153" s="254">
        <v>0.2857142857142857</v>
      </c>
      <c r="AA153" s="254">
        <v>0.26315789473684209</v>
      </c>
      <c r="AB153" s="254">
        <v>0.26315789473684209</v>
      </c>
      <c r="AC153" s="254">
        <v>0.2857142857142857</v>
      </c>
      <c r="AD153" s="254">
        <v>0.2857142857142857</v>
      </c>
      <c r="AE153" s="254">
        <v>0.2857142857142857</v>
      </c>
      <c r="AF153" s="254">
        <v>0.2857142857142857</v>
      </c>
      <c r="AG153" s="254">
        <v>0.2857142857142857</v>
      </c>
      <c r="AH153" s="254">
        <v>0.2857142857142857</v>
      </c>
      <c r="AI153" s="254">
        <v>0.2857142857142857</v>
      </c>
      <c r="AJ153" s="254">
        <v>0.2857142857142857</v>
      </c>
      <c r="AK153" s="254">
        <v>0.2857142857142857</v>
      </c>
      <c r="AL153" s="254">
        <v>0.2857142857142857</v>
      </c>
      <c r="AM153" s="254">
        <v>0.26315789473684209</v>
      </c>
      <c r="AN153" s="254">
        <v>0.26315789473684209</v>
      </c>
      <c r="AO153" s="254">
        <v>0.2857142857142857</v>
      </c>
      <c r="AP153" s="254">
        <v>0.2857142857142857</v>
      </c>
      <c r="AQ153" s="254">
        <v>0.2857142857142857</v>
      </c>
      <c r="AR153" s="254">
        <v>0.2857142857142857</v>
      </c>
      <c r="AS153" s="254">
        <v>0.2857142857142857</v>
      </c>
      <c r="AT153" s="254">
        <v>0.2857142857142857</v>
      </c>
      <c r="AU153" s="254">
        <v>0.2857142857142857</v>
      </c>
      <c r="AV153" s="254">
        <v>0.2857142857142857</v>
      </c>
      <c r="AW153" s="254">
        <v>0.2857142857142857</v>
      </c>
      <c r="AX153" s="254">
        <v>0.2857142857142857</v>
      </c>
      <c r="AY153" s="254">
        <v>0.26315789473684209</v>
      </c>
      <c r="AZ153" s="254">
        <v>0.26315789473684209</v>
      </c>
      <c r="BA153" s="254">
        <v>0.2857142857142857</v>
      </c>
      <c r="BB153" s="254">
        <v>0.2857142857142857</v>
      </c>
      <c r="BC153" s="254">
        <v>0.2857142857142857</v>
      </c>
      <c r="BD153" s="254">
        <v>0.2857142857142857</v>
      </c>
      <c r="BE153" s="254">
        <v>0</v>
      </c>
      <c r="BF153" s="254">
        <v>0</v>
      </c>
      <c r="BG153" s="254">
        <v>0</v>
      </c>
      <c r="BH153" s="254">
        <v>0</v>
      </c>
      <c r="BI153" s="254">
        <v>0</v>
      </c>
      <c r="BJ153" s="254">
        <v>0</v>
      </c>
      <c r="BK153" s="254">
        <v>0</v>
      </c>
      <c r="BL153" s="254">
        <v>0</v>
      </c>
      <c r="BM153" s="254">
        <v>0</v>
      </c>
      <c r="BN153" s="254">
        <v>0</v>
      </c>
      <c r="BO153" s="254">
        <v>0</v>
      </c>
      <c r="BP153" s="254">
        <v>0</v>
      </c>
      <c r="BQ153" s="254">
        <v>0</v>
      </c>
      <c r="BR153" s="254">
        <v>0</v>
      </c>
      <c r="BS153" s="254">
        <v>0</v>
      </c>
      <c r="BT153" s="254">
        <v>0</v>
      </c>
      <c r="BU153" s="254">
        <v>0</v>
      </c>
      <c r="BV153" s="254">
        <v>0</v>
      </c>
      <c r="BW153" s="254">
        <v>0</v>
      </c>
      <c r="BX153" s="254">
        <v>0</v>
      </c>
      <c r="BY153" s="254">
        <v>0</v>
      </c>
      <c r="BZ153" s="254">
        <v>0</v>
      </c>
      <c r="CA153" s="254">
        <v>0</v>
      </c>
      <c r="CB153" s="254">
        <v>0</v>
      </c>
      <c r="CC153" s="254">
        <v>0</v>
      </c>
      <c r="CD153" s="254">
        <v>0</v>
      </c>
      <c r="CE153" s="254">
        <v>0</v>
      </c>
      <c r="CF153" s="254">
        <v>0</v>
      </c>
      <c r="CG153" s="254">
        <v>0</v>
      </c>
      <c r="CH153" s="254">
        <v>0</v>
      </c>
      <c r="CI153" s="254">
        <v>0</v>
      </c>
      <c r="CJ153" s="254">
        <v>0</v>
      </c>
      <c r="CK153" s="254">
        <v>0</v>
      </c>
      <c r="CL153" s="254">
        <v>0</v>
      </c>
      <c r="CM153" s="254">
        <v>0</v>
      </c>
      <c r="CN153" s="254">
        <v>0</v>
      </c>
      <c r="CO153" s="254">
        <v>0</v>
      </c>
      <c r="CP153" s="254">
        <v>0</v>
      </c>
      <c r="CQ153" s="116"/>
      <c r="CR153" s="255">
        <v>0</v>
      </c>
      <c r="CS153" s="255">
        <v>0</v>
      </c>
      <c r="CT153" s="255">
        <v>0</v>
      </c>
      <c r="CU153" s="255">
        <v>0</v>
      </c>
      <c r="CV153" s="255">
        <v>0</v>
      </c>
      <c r="CW153" s="255">
        <v>0</v>
      </c>
      <c r="CX153" s="255">
        <v>0</v>
      </c>
      <c r="CY153" s="255">
        <v>0</v>
      </c>
      <c r="CZ153" s="255">
        <v>0</v>
      </c>
      <c r="DA153" s="255">
        <v>0</v>
      </c>
      <c r="DB153" s="255">
        <v>0</v>
      </c>
      <c r="DC153" s="255">
        <v>0</v>
      </c>
      <c r="DD153" s="255">
        <v>0</v>
      </c>
      <c r="DE153" s="255">
        <v>0</v>
      </c>
      <c r="DF153" s="255">
        <v>19652</v>
      </c>
      <c r="DG153" s="255">
        <v>14739</v>
      </c>
      <c r="DH153" s="255">
        <v>19652</v>
      </c>
      <c r="DI153" s="255">
        <v>19652</v>
      </c>
      <c r="DJ153" s="255">
        <v>19652</v>
      </c>
      <c r="DK153" s="255">
        <v>19652</v>
      </c>
      <c r="DL153" s="255">
        <v>19652</v>
      </c>
      <c r="DM153" s="255">
        <v>19652</v>
      </c>
      <c r="DN153" s="255">
        <v>19652</v>
      </c>
      <c r="DO153" s="255">
        <v>14739</v>
      </c>
      <c r="DP153" s="255">
        <v>14739</v>
      </c>
      <c r="DQ153" s="255">
        <v>19652</v>
      </c>
      <c r="DR153" s="255">
        <v>20236.400000000001</v>
      </c>
      <c r="DS153" s="255">
        <v>15177.300000000001</v>
      </c>
      <c r="DT153" s="255">
        <v>20236.400000000001</v>
      </c>
      <c r="DU153" s="255">
        <v>20236.400000000001</v>
      </c>
      <c r="DV153" s="255">
        <v>20236.400000000001</v>
      </c>
      <c r="DW153" s="255">
        <v>20236.400000000001</v>
      </c>
      <c r="DX153" s="255">
        <v>20236.400000000001</v>
      </c>
      <c r="DY153" s="255">
        <v>20236.400000000001</v>
      </c>
      <c r="DZ153" s="255">
        <v>20236.400000000001</v>
      </c>
      <c r="EA153" s="255">
        <v>15177.300000000001</v>
      </c>
      <c r="EB153" s="255">
        <v>15177.300000000001</v>
      </c>
      <c r="EC153" s="255">
        <v>20236.400000000001</v>
      </c>
      <c r="ED153" s="255">
        <v>20839.2</v>
      </c>
      <c r="EE153" s="255">
        <v>15629.400000000001</v>
      </c>
      <c r="EF153" s="255">
        <v>20839.2</v>
      </c>
      <c r="EG153" s="255">
        <v>20839.2</v>
      </c>
      <c r="EH153" s="255">
        <v>20839.2</v>
      </c>
      <c r="EI153" s="255">
        <v>20839.2</v>
      </c>
      <c r="EJ153" s="255">
        <v>20839.2</v>
      </c>
      <c r="EK153" s="255">
        <v>20839.2</v>
      </c>
      <c r="EL153" s="255">
        <v>0</v>
      </c>
      <c r="EM153" s="255">
        <v>0</v>
      </c>
      <c r="EN153" s="255">
        <v>0</v>
      </c>
      <c r="EO153" s="255">
        <v>0</v>
      </c>
      <c r="EP153" s="255">
        <v>0</v>
      </c>
      <c r="EQ153" s="255">
        <v>0</v>
      </c>
      <c r="ER153" s="255">
        <v>0</v>
      </c>
      <c r="ES153" s="255">
        <v>0</v>
      </c>
      <c r="ET153" s="255">
        <v>0</v>
      </c>
      <c r="EU153" s="255">
        <v>0</v>
      </c>
      <c r="EV153" s="255">
        <v>0</v>
      </c>
      <c r="EW153" s="255">
        <v>0</v>
      </c>
      <c r="EX153" s="255">
        <v>0</v>
      </c>
      <c r="EY153" s="255">
        <v>0</v>
      </c>
      <c r="EZ153" s="255">
        <v>0</v>
      </c>
      <c r="FA153" s="255">
        <v>0</v>
      </c>
      <c r="FB153" s="255">
        <v>0</v>
      </c>
      <c r="FC153" s="255">
        <v>0</v>
      </c>
      <c r="FD153" s="255">
        <v>0</v>
      </c>
      <c r="FE153" s="255">
        <v>0</v>
      </c>
      <c r="FF153" s="255">
        <v>0</v>
      </c>
      <c r="FG153" s="255">
        <v>0</v>
      </c>
      <c r="FH153" s="255">
        <v>0</v>
      </c>
      <c r="FI153" s="255">
        <v>0</v>
      </c>
      <c r="FJ153" s="255">
        <v>0</v>
      </c>
      <c r="FK153" s="255">
        <v>0</v>
      </c>
      <c r="FL153" s="255">
        <v>0</v>
      </c>
      <c r="FM153" s="255">
        <v>0</v>
      </c>
      <c r="FN153" s="255">
        <v>0</v>
      </c>
      <c r="FO153" s="255">
        <v>0</v>
      </c>
      <c r="FP153" s="255">
        <v>0</v>
      </c>
      <c r="FQ153" s="255">
        <v>0</v>
      </c>
      <c r="FR153" s="255">
        <v>0</v>
      </c>
      <c r="FS153" s="255">
        <v>0</v>
      </c>
      <c r="FT153" s="255">
        <v>0</v>
      </c>
      <c r="FU153" s="255">
        <v>0</v>
      </c>
      <c r="FV153" s="255">
        <v>0</v>
      </c>
      <c r="FW153" s="255">
        <v>0</v>
      </c>
      <c r="FX153" s="116"/>
    </row>
    <row r="154" spans="2:180" x14ac:dyDescent="0.2">
      <c r="B154" s="253" t="s">
        <v>214</v>
      </c>
      <c r="C154" s="253" t="s">
        <v>323</v>
      </c>
      <c r="D154" s="253" t="s">
        <v>258</v>
      </c>
      <c r="E154" s="253" t="s">
        <v>127</v>
      </c>
      <c r="F154" s="253" t="s">
        <v>259</v>
      </c>
      <c r="G154" s="253" t="s">
        <v>260</v>
      </c>
      <c r="H154" s="237">
        <v>214.83</v>
      </c>
      <c r="I154" s="126">
        <f t="shared" si="87"/>
        <v>924559.24999999965</v>
      </c>
      <c r="J154" s="116"/>
      <c r="K154" s="254">
        <v>0</v>
      </c>
      <c r="L154" s="254">
        <v>0</v>
      </c>
      <c r="M154" s="254">
        <v>0</v>
      </c>
      <c r="N154" s="254">
        <v>0</v>
      </c>
      <c r="O154" s="254">
        <v>0</v>
      </c>
      <c r="P154" s="254">
        <v>0</v>
      </c>
      <c r="Q154" s="254">
        <v>0</v>
      </c>
      <c r="R154" s="254">
        <v>0</v>
      </c>
      <c r="S154" s="254">
        <v>0</v>
      </c>
      <c r="T154" s="254">
        <v>0</v>
      </c>
      <c r="U154" s="254">
        <v>0</v>
      </c>
      <c r="V154" s="254">
        <v>0</v>
      </c>
      <c r="W154" s="254">
        <v>0</v>
      </c>
      <c r="X154" s="254">
        <v>0</v>
      </c>
      <c r="Y154" s="254">
        <v>0</v>
      </c>
      <c r="Z154" s="254">
        <v>0</v>
      </c>
      <c r="AA154" s="254">
        <v>0</v>
      </c>
      <c r="AB154" s="254">
        <v>0</v>
      </c>
      <c r="AC154" s="254">
        <v>1</v>
      </c>
      <c r="AD154" s="254">
        <v>0.75</v>
      </c>
      <c r="AE154" s="254">
        <v>0.9</v>
      </c>
      <c r="AF154" s="254">
        <v>0.9</v>
      </c>
      <c r="AG154" s="254">
        <v>0.85</v>
      </c>
      <c r="AH154" s="254">
        <v>0.8</v>
      </c>
      <c r="AI154" s="254">
        <v>1.5333333333333334</v>
      </c>
      <c r="AJ154" s="254">
        <v>0.8</v>
      </c>
      <c r="AK154" s="254">
        <v>0.8</v>
      </c>
      <c r="AL154" s="254">
        <v>1.2666666666666666</v>
      </c>
      <c r="AM154" s="254">
        <v>0.82894736842105265</v>
      </c>
      <c r="AN154" s="254">
        <v>0.78289473684210531</v>
      </c>
      <c r="AO154" s="254">
        <v>0.9</v>
      </c>
      <c r="AP154" s="254">
        <v>0.85</v>
      </c>
      <c r="AQ154" s="254">
        <v>0.9</v>
      </c>
      <c r="AR154" s="254">
        <v>0.9</v>
      </c>
      <c r="AS154" s="254">
        <v>0.85</v>
      </c>
      <c r="AT154" s="254">
        <v>1.0666666666666667</v>
      </c>
      <c r="AU154" s="254">
        <v>1.2666666666666666</v>
      </c>
      <c r="AV154" s="254">
        <v>0.8</v>
      </c>
      <c r="AW154" s="254">
        <v>0.95</v>
      </c>
      <c r="AX154" s="254">
        <v>1.0666666666666667</v>
      </c>
      <c r="AY154" s="254">
        <v>0.875</v>
      </c>
      <c r="AZ154" s="254">
        <v>0.875</v>
      </c>
      <c r="BA154" s="254">
        <v>0.8</v>
      </c>
      <c r="BB154" s="254">
        <v>0.9</v>
      </c>
      <c r="BC154" s="254">
        <v>0.85</v>
      </c>
      <c r="BD154" s="254">
        <v>0.85</v>
      </c>
      <c r="BE154" s="254">
        <v>5.2357142857142858</v>
      </c>
      <c r="BF154" s="254">
        <v>0</v>
      </c>
      <c r="BG154" s="254">
        <v>0</v>
      </c>
      <c r="BH154" s="254">
        <v>0</v>
      </c>
      <c r="BI154" s="254">
        <v>0</v>
      </c>
      <c r="BJ154" s="254">
        <v>0</v>
      </c>
      <c r="BK154" s="254">
        <v>0</v>
      </c>
      <c r="BL154" s="254">
        <v>0</v>
      </c>
      <c r="BM154" s="254">
        <v>0</v>
      </c>
      <c r="BN154" s="254">
        <v>0</v>
      </c>
      <c r="BO154" s="254">
        <v>0</v>
      </c>
      <c r="BP154" s="254">
        <v>0</v>
      </c>
      <c r="BQ154" s="254">
        <v>0</v>
      </c>
      <c r="BR154" s="254">
        <v>0</v>
      </c>
      <c r="BS154" s="254">
        <v>0</v>
      </c>
      <c r="BT154" s="254">
        <v>0</v>
      </c>
      <c r="BU154" s="254">
        <v>0</v>
      </c>
      <c r="BV154" s="254">
        <v>0</v>
      </c>
      <c r="BW154" s="254">
        <v>0</v>
      </c>
      <c r="BX154" s="254">
        <v>0</v>
      </c>
      <c r="BY154" s="254">
        <v>0</v>
      </c>
      <c r="BZ154" s="254">
        <v>0</v>
      </c>
      <c r="CA154" s="254">
        <v>0</v>
      </c>
      <c r="CB154" s="254">
        <v>0</v>
      </c>
      <c r="CC154" s="254">
        <v>0</v>
      </c>
      <c r="CD154" s="254">
        <v>0</v>
      </c>
      <c r="CE154" s="254">
        <v>0</v>
      </c>
      <c r="CF154" s="254">
        <v>0</v>
      </c>
      <c r="CG154" s="254">
        <v>0</v>
      </c>
      <c r="CH154" s="254">
        <v>0</v>
      </c>
      <c r="CI154" s="254">
        <v>0</v>
      </c>
      <c r="CJ154" s="254">
        <v>0</v>
      </c>
      <c r="CK154" s="254">
        <v>0</v>
      </c>
      <c r="CL154" s="254">
        <v>0</v>
      </c>
      <c r="CM154" s="254">
        <v>0</v>
      </c>
      <c r="CN154" s="254">
        <v>0</v>
      </c>
      <c r="CO154" s="254">
        <v>0</v>
      </c>
      <c r="CP154" s="254">
        <v>0</v>
      </c>
      <c r="CQ154" s="116"/>
      <c r="CR154" s="255">
        <v>0</v>
      </c>
      <c r="CS154" s="255">
        <v>0</v>
      </c>
      <c r="CT154" s="255">
        <v>0</v>
      </c>
      <c r="CU154" s="255">
        <v>0</v>
      </c>
      <c r="CV154" s="255">
        <v>0</v>
      </c>
      <c r="CW154" s="255">
        <v>0</v>
      </c>
      <c r="CX154" s="255">
        <v>0</v>
      </c>
      <c r="CY154" s="255">
        <v>0</v>
      </c>
      <c r="CZ154" s="255">
        <v>0</v>
      </c>
      <c r="DA154" s="255">
        <v>0</v>
      </c>
      <c r="DB154" s="255">
        <v>0</v>
      </c>
      <c r="DC154" s="255">
        <v>0</v>
      </c>
      <c r="DD154" s="255">
        <v>0</v>
      </c>
      <c r="DE154" s="255">
        <v>0</v>
      </c>
      <c r="DF154" s="255">
        <v>0</v>
      </c>
      <c r="DG154" s="255">
        <v>0</v>
      </c>
      <c r="DH154" s="255">
        <v>0</v>
      </c>
      <c r="DI154" s="255">
        <v>0</v>
      </c>
      <c r="DJ154" s="255">
        <v>30076.2</v>
      </c>
      <c r="DK154" s="255">
        <v>22557.15</v>
      </c>
      <c r="DL154" s="255">
        <v>27068.58</v>
      </c>
      <c r="DM154" s="255">
        <v>27068.58</v>
      </c>
      <c r="DN154" s="255">
        <v>25564.77</v>
      </c>
      <c r="DO154" s="255">
        <v>18045.72</v>
      </c>
      <c r="DP154" s="255">
        <v>34587.630000000005</v>
      </c>
      <c r="DQ154" s="255">
        <v>24060.960000000003</v>
      </c>
      <c r="DR154" s="255">
        <v>24776.639999999999</v>
      </c>
      <c r="DS154" s="255">
        <v>29422.26</v>
      </c>
      <c r="DT154" s="255">
        <v>27873.72</v>
      </c>
      <c r="DU154" s="255">
        <v>26325.18</v>
      </c>
      <c r="DV154" s="255">
        <v>27873.72</v>
      </c>
      <c r="DW154" s="255">
        <v>26325.18</v>
      </c>
      <c r="DX154" s="255">
        <v>27873.72</v>
      </c>
      <c r="DY154" s="255">
        <v>27873.72</v>
      </c>
      <c r="DZ154" s="255">
        <v>26325.18</v>
      </c>
      <c r="EA154" s="255">
        <v>24776.639999999999</v>
      </c>
      <c r="EB154" s="255">
        <v>29422.26</v>
      </c>
      <c r="EC154" s="255">
        <v>24776.639999999999</v>
      </c>
      <c r="ED154" s="255">
        <v>30302.720000000001</v>
      </c>
      <c r="EE154" s="255">
        <v>25518.080000000002</v>
      </c>
      <c r="EF154" s="255">
        <v>30302.720000000001</v>
      </c>
      <c r="EG154" s="255">
        <v>30302.720000000001</v>
      </c>
      <c r="EH154" s="255">
        <v>25518.080000000002</v>
      </c>
      <c r="EI154" s="255">
        <v>28707.84</v>
      </c>
      <c r="EJ154" s="255">
        <v>27112.959999999999</v>
      </c>
      <c r="EK154" s="255">
        <v>27112.959999999999</v>
      </c>
      <c r="EL154" s="255">
        <v>167006.72</v>
      </c>
      <c r="EM154" s="255">
        <v>0</v>
      </c>
      <c r="EN154" s="255">
        <v>0</v>
      </c>
      <c r="EO154" s="255">
        <v>0</v>
      </c>
      <c r="EP154" s="255">
        <v>0</v>
      </c>
      <c r="EQ154" s="255">
        <v>0</v>
      </c>
      <c r="ER154" s="255">
        <v>0</v>
      </c>
      <c r="ES154" s="255">
        <v>0</v>
      </c>
      <c r="ET154" s="255">
        <v>0</v>
      </c>
      <c r="EU154" s="255">
        <v>0</v>
      </c>
      <c r="EV154" s="255">
        <v>0</v>
      </c>
      <c r="EW154" s="255">
        <v>0</v>
      </c>
      <c r="EX154" s="255">
        <v>0</v>
      </c>
      <c r="EY154" s="255">
        <v>0</v>
      </c>
      <c r="EZ154" s="255">
        <v>0</v>
      </c>
      <c r="FA154" s="255">
        <v>0</v>
      </c>
      <c r="FB154" s="255">
        <v>0</v>
      </c>
      <c r="FC154" s="255">
        <v>0</v>
      </c>
      <c r="FD154" s="255">
        <v>0</v>
      </c>
      <c r="FE154" s="255">
        <v>0</v>
      </c>
      <c r="FF154" s="255">
        <v>0</v>
      </c>
      <c r="FG154" s="255">
        <v>0</v>
      </c>
      <c r="FH154" s="255">
        <v>0</v>
      </c>
      <c r="FI154" s="255">
        <v>0</v>
      </c>
      <c r="FJ154" s="255">
        <v>0</v>
      </c>
      <c r="FK154" s="255">
        <v>0</v>
      </c>
      <c r="FL154" s="255">
        <v>0</v>
      </c>
      <c r="FM154" s="255">
        <v>0</v>
      </c>
      <c r="FN154" s="255">
        <v>0</v>
      </c>
      <c r="FO154" s="255">
        <v>0</v>
      </c>
      <c r="FP154" s="255">
        <v>0</v>
      </c>
      <c r="FQ154" s="255">
        <v>0</v>
      </c>
      <c r="FR154" s="255">
        <v>0</v>
      </c>
      <c r="FS154" s="255">
        <v>0</v>
      </c>
      <c r="FT154" s="255">
        <v>0</v>
      </c>
      <c r="FU154" s="255">
        <v>0</v>
      </c>
      <c r="FV154" s="255">
        <v>0</v>
      </c>
      <c r="FW154" s="255">
        <v>0</v>
      </c>
      <c r="FX154" s="116"/>
    </row>
    <row r="155" spans="2:180" x14ac:dyDescent="0.2">
      <c r="B155" s="253" t="s">
        <v>214</v>
      </c>
      <c r="C155" s="253" t="s">
        <v>323</v>
      </c>
      <c r="D155" s="253" t="s">
        <v>258</v>
      </c>
      <c r="E155" s="253" t="s">
        <v>127</v>
      </c>
      <c r="F155" s="253">
        <v>0</v>
      </c>
      <c r="G155" s="253" t="s">
        <v>322</v>
      </c>
      <c r="H155" s="237">
        <v>214.83</v>
      </c>
      <c r="I155" s="126">
        <f t="shared" si="87"/>
        <v>1251186.1200000001</v>
      </c>
      <c r="J155" s="116"/>
      <c r="K155" s="254">
        <v>0</v>
      </c>
      <c r="L155" s="254">
        <v>0</v>
      </c>
      <c r="M155" s="254">
        <v>0</v>
      </c>
      <c r="N155" s="254">
        <v>0</v>
      </c>
      <c r="O155" s="254">
        <v>0</v>
      </c>
      <c r="P155" s="254">
        <v>0</v>
      </c>
      <c r="Q155" s="254">
        <v>0</v>
      </c>
      <c r="R155" s="254">
        <v>0</v>
      </c>
      <c r="S155" s="254">
        <v>0</v>
      </c>
      <c r="T155" s="254">
        <v>0</v>
      </c>
      <c r="U155" s="254">
        <v>0</v>
      </c>
      <c r="V155" s="254">
        <v>0</v>
      </c>
      <c r="W155" s="254">
        <v>0</v>
      </c>
      <c r="X155" s="254">
        <v>0</v>
      </c>
      <c r="Y155" s="254">
        <v>0</v>
      </c>
      <c r="Z155" s="254">
        <v>0</v>
      </c>
      <c r="AA155" s="254">
        <v>0</v>
      </c>
      <c r="AB155" s="254">
        <v>0</v>
      </c>
      <c r="AC155" s="254">
        <v>0</v>
      </c>
      <c r="AD155" s="254">
        <v>0.66428571428571426</v>
      </c>
      <c r="AE155" s="254">
        <v>0.72857142857142854</v>
      </c>
      <c r="AF155" s="254">
        <v>0.72857142857142854</v>
      </c>
      <c r="AG155" s="254">
        <v>0.70714285714285718</v>
      </c>
      <c r="AH155" s="254">
        <v>0.8</v>
      </c>
      <c r="AI155" s="254">
        <v>1.3428571428571427</v>
      </c>
      <c r="AJ155" s="254">
        <v>0.68571428571428572</v>
      </c>
      <c r="AK155" s="254">
        <v>0.68571428571428572</v>
      </c>
      <c r="AL155" s="254">
        <v>1</v>
      </c>
      <c r="AM155" s="254">
        <v>0.75</v>
      </c>
      <c r="AN155" s="254">
        <v>0.73026315789473684</v>
      </c>
      <c r="AO155" s="254">
        <v>0.72857142857142854</v>
      </c>
      <c r="AP155" s="254">
        <v>0.70714285714285718</v>
      </c>
      <c r="AQ155" s="254">
        <v>0.72857142857142854</v>
      </c>
      <c r="AR155" s="254">
        <v>0.72857142857142854</v>
      </c>
      <c r="AS155" s="254">
        <v>0.87857142857142856</v>
      </c>
      <c r="AT155" s="254">
        <v>0.68571428571428572</v>
      </c>
      <c r="AU155" s="254">
        <v>1.2285714285714286</v>
      </c>
      <c r="AV155" s="254">
        <v>0.68571428571428572</v>
      </c>
      <c r="AW155" s="254">
        <v>0.75</v>
      </c>
      <c r="AX155" s="254">
        <v>0.91428571428571426</v>
      </c>
      <c r="AY155" s="254">
        <v>0.84868421052631582</v>
      </c>
      <c r="AZ155" s="254">
        <v>0.84868421052631582</v>
      </c>
      <c r="BA155" s="254">
        <v>0.68571428571428572</v>
      </c>
      <c r="BB155" s="254">
        <v>0.72857142857142854</v>
      </c>
      <c r="BC155" s="254">
        <v>0.70714285714285718</v>
      </c>
      <c r="BD155" s="254">
        <v>0.70714285714285718</v>
      </c>
      <c r="BE155" s="254">
        <v>0</v>
      </c>
      <c r="BF155" s="254">
        <v>0</v>
      </c>
      <c r="BG155" s="254">
        <v>0</v>
      </c>
      <c r="BH155" s="254">
        <v>0</v>
      </c>
      <c r="BI155" s="254">
        <v>0</v>
      </c>
      <c r="BJ155" s="254">
        <v>0</v>
      </c>
      <c r="BK155" s="254">
        <v>0</v>
      </c>
      <c r="BL155" s="254">
        <v>0</v>
      </c>
      <c r="BM155" s="254">
        <v>0</v>
      </c>
      <c r="BN155" s="254">
        <v>0</v>
      </c>
      <c r="BO155" s="254">
        <v>0</v>
      </c>
      <c r="BP155" s="254">
        <v>0</v>
      </c>
      <c r="BQ155" s="254">
        <v>0</v>
      </c>
      <c r="BR155" s="254">
        <v>0</v>
      </c>
      <c r="BS155" s="254">
        <v>0</v>
      </c>
      <c r="BT155" s="254">
        <v>0</v>
      </c>
      <c r="BU155" s="254">
        <v>0</v>
      </c>
      <c r="BV155" s="254">
        <v>0</v>
      </c>
      <c r="BW155" s="254">
        <v>0</v>
      </c>
      <c r="BX155" s="254">
        <v>0</v>
      </c>
      <c r="BY155" s="254">
        <v>0</v>
      </c>
      <c r="BZ155" s="254">
        <v>0</v>
      </c>
      <c r="CA155" s="254">
        <v>0</v>
      </c>
      <c r="CB155" s="254">
        <v>0</v>
      </c>
      <c r="CC155" s="254">
        <v>0</v>
      </c>
      <c r="CD155" s="254">
        <v>0</v>
      </c>
      <c r="CE155" s="254">
        <v>0</v>
      </c>
      <c r="CF155" s="254">
        <v>0</v>
      </c>
      <c r="CG155" s="254">
        <v>0</v>
      </c>
      <c r="CH155" s="254">
        <v>0</v>
      </c>
      <c r="CI155" s="254">
        <v>0</v>
      </c>
      <c r="CJ155" s="254">
        <v>0</v>
      </c>
      <c r="CK155" s="254">
        <v>0</v>
      </c>
      <c r="CL155" s="254">
        <v>0</v>
      </c>
      <c r="CM155" s="254">
        <v>0</v>
      </c>
      <c r="CN155" s="254">
        <v>0</v>
      </c>
      <c r="CO155" s="254">
        <v>0</v>
      </c>
      <c r="CP155" s="254">
        <v>0</v>
      </c>
      <c r="CQ155" s="116"/>
      <c r="CR155" s="255">
        <v>0</v>
      </c>
      <c r="CS155" s="255">
        <v>0</v>
      </c>
      <c r="CT155" s="255">
        <v>0</v>
      </c>
      <c r="CU155" s="255">
        <v>0</v>
      </c>
      <c r="CV155" s="255">
        <v>0</v>
      </c>
      <c r="CW155" s="255">
        <v>0</v>
      </c>
      <c r="CX155" s="255">
        <v>0</v>
      </c>
      <c r="CY155" s="255">
        <v>0</v>
      </c>
      <c r="CZ155" s="255">
        <v>0</v>
      </c>
      <c r="DA155" s="255">
        <v>0</v>
      </c>
      <c r="DB155" s="255">
        <v>0</v>
      </c>
      <c r="DC155" s="255">
        <v>0</v>
      </c>
      <c r="DD155" s="255">
        <v>0</v>
      </c>
      <c r="DE155" s="255">
        <v>0</v>
      </c>
      <c r="DF155" s="255">
        <v>0</v>
      </c>
      <c r="DG155" s="255">
        <v>0</v>
      </c>
      <c r="DH155" s="255">
        <v>0</v>
      </c>
      <c r="DI155" s="255">
        <v>0</v>
      </c>
      <c r="DJ155" s="255">
        <v>0</v>
      </c>
      <c r="DK155" s="255">
        <v>39958.380000000005</v>
      </c>
      <c r="DL155" s="255">
        <v>43825.32</v>
      </c>
      <c r="DM155" s="255">
        <v>43825.32</v>
      </c>
      <c r="DN155" s="255">
        <v>42536.340000000004</v>
      </c>
      <c r="DO155" s="255">
        <v>36091.440000000002</v>
      </c>
      <c r="DP155" s="255">
        <v>60582.060000000005</v>
      </c>
      <c r="DQ155" s="255">
        <v>41247.360000000001</v>
      </c>
      <c r="DR155" s="255">
        <v>42475.199999999997</v>
      </c>
      <c r="DS155" s="255">
        <v>46457.25</v>
      </c>
      <c r="DT155" s="255">
        <v>50439.299999999996</v>
      </c>
      <c r="DU155" s="255">
        <v>49111.95</v>
      </c>
      <c r="DV155" s="255">
        <v>45129.9</v>
      </c>
      <c r="DW155" s="255">
        <v>43802.549999999996</v>
      </c>
      <c r="DX155" s="255">
        <v>45129.9</v>
      </c>
      <c r="DY155" s="255">
        <v>45129.9</v>
      </c>
      <c r="DZ155" s="255">
        <v>54421.35</v>
      </c>
      <c r="EA155" s="255">
        <v>31856.399999999998</v>
      </c>
      <c r="EB155" s="255">
        <v>57076.049999999996</v>
      </c>
      <c r="EC155" s="255">
        <v>42475.199999999997</v>
      </c>
      <c r="ED155" s="255">
        <v>47847.45</v>
      </c>
      <c r="EE155" s="255">
        <v>43746.239999999998</v>
      </c>
      <c r="EF155" s="255">
        <v>58784.01</v>
      </c>
      <c r="EG155" s="255">
        <v>58784.01</v>
      </c>
      <c r="EH155" s="255">
        <v>43746.239999999998</v>
      </c>
      <c r="EI155" s="255">
        <v>46480.38</v>
      </c>
      <c r="EJ155" s="255">
        <v>45113.31</v>
      </c>
      <c r="EK155" s="255">
        <v>45113.31</v>
      </c>
      <c r="EL155" s="255">
        <v>0</v>
      </c>
      <c r="EM155" s="255">
        <v>0</v>
      </c>
      <c r="EN155" s="255">
        <v>0</v>
      </c>
      <c r="EO155" s="255">
        <v>0</v>
      </c>
      <c r="EP155" s="255">
        <v>0</v>
      </c>
      <c r="EQ155" s="255">
        <v>0</v>
      </c>
      <c r="ER155" s="255">
        <v>0</v>
      </c>
      <c r="ES155" s="255">
        <v>0</v>
      </c>
      <c r="ET155" s="255">
        <v>0</v>
      </c>
      <c r="EU155" s="255">
        <v>0</v>
      </c>
      <c r="EV155" s="255">
        <v>0</v>
      </c>
      <c r="EW155" s="255">
        <v>0</v>
      </c>
      <c r="EX155" s="255">
        <v>0</v>
      </c>
      <c r="EY155" s="255">
        <v>0</v>
      </c>
      <c r="EZ155" s="255">
        <v>0</v>
      </c>
      <c r="FA155" s="255">
        <v>0</v>
      </c>
      <c r="FB155" s="255">
        <v>0</v>
      </c>
      <c r="FC155" s="255">
        <v>0</v>
      </c>
      <c r="FD155" s="255">
        <v>0</v>
      </c>
      <c r="FE155" s="255">
        <v>0</v>
      </c>
      <c r="FF155" s="255">
        <v>0</v>
      </c>
      <c r="FG155" s="255">
        <v>0</v>
      </c>
      <c r="FH155" s="255">
        <v>0</v>
      </c>
      <c r="FI155" s="255">
        <v>0</v>
      </c>
      <c r="FJ155" s="255">
        <v>0</v>
      </c>
      <c r="FK155" s="255">
        <v>0</v>
      </c>
      <c r="FL155" s="255">
        <v>0</v>
      </c>
      <c r="FM155" s="255">
        <v>0</v>
      </c>
      <c r="FN155" s="255">
        <v>0</v>
      </c>
      <c r="FO155" s="255">
        <v>0</v>
      </c>
      <c r="FP155" s="255">
        <v>0</v>
      </c>
      <c r="FQ155" s="255">
        <v>0</v>
      </c>
      <c r="FR155" s="255">
        <v>0</v>
      </c>
      <c r="FS155" s="255">
        <v>0</v>
      </c>
      <c r="FT155" s="255">
        <v>0</v>
      </c>
      <c r="FU155" s="255">
        <v>0</v>
      </c>
      <c r="FV155" s="255">
        <v>0</v>
      </c>
      <c r="FW155" s="255">
        <v>0</v>
      </c>
      <c r="FX155" s="116"/>
    </row>
    <row r="156" spans="2:180" x14ac:dyDescent="0.2">
      <c r="B156" s="253" t="s">
        <v>214</v>
      </c>
      <c r="C156" s="253" t="s">
        <v>324</v>
      </c>
      <c r="D156" s="253" t="s">
        <v>258</v>
      </c>
      <c r="E156" s="253" t="s">
        <v>127</v>
      </c>
      <c r="F156" s="253" t="s">
        <v>259</v>
      </c>
      <c r="G156" s="253" t="s">
        <v>260</v>
      </c>
      <c r="H156" s="237">
        <v>205.24</v>
      </c>
      <c r="I156" s="126">
        <f t="shared" si="87"/>
        <v>160613.05400000006</v>
      </c>
      <c r="J156" s="116"/>
      <c r="K156" s="254">
        <v>0</v>
      </c>
      <c r="L156" s="254">
        <v>0</v>
      </c>
      <c r="M156" s="254">
        <v>0</v>
      </c>
      <c r="N156" s="254">
        <v>0</v>
      </c>
      <c r="O156" s="254">
        <v>0</v>
      </c>
      <c r="P156" s="254">
        <v>0</v>
      </c>
      <c r="Q156" s="254">
        <v>0</v>
      </c>
      <c r="R156" s="254">
        <v>0</v>
      </c>
      <c r="S156" s="254">
        <v>0</v>
      </c>
      <c r="T156" s="254">
        <v>0</v>
      </c>
      <c r="U156" s="254">
        <v>0</v>
      </c>
      <c r="V156" s="254">
        <v>0</v>
      </c>
      <c r="W156" s="254">
        <v>0</v>
      </c>
      <c r="X156" s="254">
        <v>0</v>
      </c>
      <c r="Y156" s="254">
        <v>0.1</v>
      </c>
      <c r="Z156" s="254">
        <v>0.13333333333333333</v>
      </c>
      <c r="AA156" s="254">
        <v>0.15657894736842107</v>
      </c>
      <c r="AB156" s="254">
        <v>0.16578947368421051</v>
      </c>
      <c r="AC156" s="254">
        <v>0.19</v>
      </c>
      <c r="AD156" s="254">
        <v>0.15</v>
      </c>
      <c r="AE156" s="254">
        <v>0.18</v>
      </c>
      <c r="AF156" s="254">
        <v>0.18</v>
      </c>
      <c r="AG156" s="254">
        <v>0.17</v>
      </c>
      <c r="AH156" s="254">
        <v>0.16</v>
      </c>
      <c r="AI156" s="254">
        <v>0.3066666666666667</v>
      </c>
      <c r="AJ156" s="254">
        <v>0.16</v>
      </c>
      <c r="AK156" s="254">
        <v>0.16</v>
      </c>
      <c r="AL156" s="254">
        <v>0.25333333333333335</v>
      </c>
      <c r="AM156" s="254">
        <v>0.16578947368421051</v>
      </c>
      <c r="AN156" s="254">
        <v>0.15657894736842107</v>
      </c>
      <c r="AO156" s="254">
        <v>0.18</v>
      </c>
      <c r="AP156" s="254">
        <v>0.17</v>
      </c>
      <c r="AQ156" s="254">
        <v>0.18</v>
      </c>
      <c r="AR156" s="254">
        <v>0.18</v>
      </c>
      <c r="AS156" s="254">
        <v>0.17</v>
      </c>
      <c r="AT156" s="254">
        <v>0.21333333333333332</v>
      </c>
      <c r="AU156" s="254">
        <v>0.25333333333333335</v>
      </c>
      <c r="AV156" s="254">
        <v>0.16</v>
      </c>
      <c r="AW156" s="254">
        <v>0.19</v>
      </c>
      <c r="AX156" s="254">
        <v>0.21333333333333332</v>
      </c>
      <c r="AY156" s="254">
        <v>0.17500000000000002</v>
      </c>
      <c r="AZ156" s="254">
        <v>0.17500000000000002</v>
      </c>
      <c r="BA156" s="254">
        <v>0.16</v>
      </c>
      <c r="BB156" s="254">
        <v>0.18</v>
      </c>
      <c r="BC156" s="254">
        <v>0.17</v>
      </c>
      <c r="BD156" s="254">
        <v>0.18</v>
      </c>
      <c r="BE156" s="254">
        <v>0</v>
      </c>
      <c r="BF156" s="254">
        <v>0</v>
      </c>
      <c r="BG156" s="254">
        <v>0</v>
      </c>
      <c r="BH156" s="254">
        <v>0</v>
      </c>
      <c r="BI156" s="254">
        <v>0</v>
      </c>
      <c r="BJ156" s="254">
        <v>0</v>
      </c>
      <c r="BK156" s="254">
        <v>0</v>
      </c>
      <c r="BL156" s="254">
        <v>0</v>
      </c>
      <c r="BM156" s="254">
        <v>0</v>
      </c>
      <c r="BN156" s="254">
        <v>0</v>
      </c>
      <c r="BO156" s="254">
        <v>0</v>
      </c>
      <c r="BP156" s="254">
        <v>0</v>
      </c>
      <c r="BQ156" s="254">
        <v>0</v>
      </c>
      <c r="BR156" s="254">
        <v>0</v>
      </c>
      <c r="BS156" s="254">
        <v>0</v>
      </c>
      <c r="BT156" s="254">
        <v>0</v>
      </c>
      <c r="BU156" s="254">
        <v>0</v>
      </c>
      <c r="BV156" s="254">
        <v>0</v>
      </c>
      <c r="BW156" s="254">
        <v>0</v>
      </c>
      <c r="BX156" s="254">
        <v>0</v>
      </c>
      <c r="BY156" s="254">
        <v>0</v>
      </c>
      <c r="BZ156" s="254">
        <v>0</v>
      </c>
      <c r="CA156" s="254">
        <v>0</v>
      </c>
      <c r="CB156" s="254">
        <v>0</v>
      </c>
      <c r="CC156" s="254">
        <v>0</v>
      </c>
      <c r="CD156" s="254">
        <v>0</v>
      </c>
      <c r="CE156" s="254">
        <v>0</v>
      </c>
      <c r="CF156" s="254">
        <v>0</v>
      </c>
      <c r="CG156" s="254">
        <v>0</v>
      </c>
      <c r="CH156" s="254">
        <v>0</v>
      </c>
      <c r="CI156" s="254">
        <v>0</v>
      </c>
      <c r="CJ156" s="254">
        <v>0</v>
      </c>
      <c r="CK156" s="254">
        <v>0</v>
      </c>
      <c r="CL156" s="254">
        <v>0</v>
      </c>
      <c r="CM156" s="254">
        <v>0</v>
      </c>
      <c r="CN156" s="254">
        <v>0</v>
      </c>
      <c r="CO156" s="254">
        <v>0</v>
      </c>
      <c r="CP156" s="254">
        <v>0</v>
      </c>
      <c r="CQ156" s="116"/>
      <c r="CR156" s="255">
        <v>0</v>
      </c>
      <c r="CS156" s="255">
        <v>0</v>
      </c>
      <c r="CT156" s="255">
        <v>0</v>
      </c>
      <c r="CU156" s="255">
        <v>0</v>
      </c>
      <c r="CV156" s="255">
        <v>0</v>
      </c>
      <c r="CW156" s="255">
        <v>0</v>
      </c>
      <c r="CX156" s="255">
        <v>0</v>
      </c>
      <c r="CY156" s="255">
        <v>0</v>
      </c>
      <c r="CZ156" s="255">
        <v>0</v>
      </c>
      <c r="DA156" s="255">
        <v>0</v>
      </c>
      <c r="DB156" s="255">
        <v>0</v>
      </c>
      <c r="DC156" s="255">
        <v>0</v>
      </c>
      <c r="DD156" s="255">
        <v>0</v>
      </c>
      <c r="DE156" s="255">
        <v>0</v>
      </c>
      <c r="DF156" s="255">
        <v>2873.36</v>
      </c>
      <c r="DG156" s="255">
        <v>2873.36</v>
      </c>
      <c r="DH156" s="255">
        <v>4884.7120000000004</v>
      </c>
      <c r="DI156" s="255">
        <v>5172.0479999999998</v>
      </c>
      <c r="DJ156" s="255">
        <v>5459.3840000000009</v>
      </c>
      <c r="DK156" s="255">
        <v>4310.04</v>
      </c>
      <c r="DL156" s="255">
        <v>5172.0479999999998</v>
      </c>
      <c r="DM156" s="255">
        <v>5172.0479999999998</v>
      </c>
      <c r="DN156" s="255">
        <v>4884.7120000000004</v>
      </c>
      <c r="DO156" s="255">
        <v>3448.0320000000002</v>
      </c>
      <c r="DP156" s="255">
        <v>6608.728000000001</v>
      </c>
      <c r="DQ156" s="255">
        <v>4597.3760000000002</v>
      </c>
      <c r="DR156" s="255">
        <v>4735.5839999999998</v>
      </c>
      <c r="DS156" s="255">
        <v>5623.5060000000003</v>
      </c>
      <c r="DT156" s="255">
        <v>5327.5320000000002</v>
      </c>
      <c r="DU156" s="255">
        <v>5031.558</v>
      </c>
      <c r="DV156" s="255">
        <v>5327.5320000000002</v>
      </c>
      <c r="DW156" s="255">
        <v>5031.558</v>
      </c>
      <c r="DX156" s="255">
        <v>5327.5320000000002</v>
      </c>
      <c r="DY156" s="255">
        <v>5327.5320000000002</v>
      </c>
      <c r="DZ156" s="255">
        <v>5031.558</v>
      </c>
      <c r="EA156" s="255">
        <v>4735.5839999999998</v>
      </c>
      <c r="EB156" s="255">
        <v>5623.5060000000003</v>
      </c>
      <c r="EC156" s="255">
        <v>4735.5839999999998</v>
      </c>
      <c r="ED156" s="255">
        <v>5793.4800000000005</v>
      </c>
      <c r="EE156" s="255">
        <v>4878.72</v>
      </c>
      <c r="EF156" s="255">
        <v>5793.4800000000005</v>
      </c>
      <c r="EG156" s="255">
        <v>5793.4800000000005</v>
      </c>
      <c r="EH156" s="255">
        <v>4878.72</v>
      </c>
      <c r="EI156" s="255">
        <v>5488.56</v>
      </c>
      <c r="EJ156" s="255">
        <v>5183.6400000000003</v>
      </c>
      <c r="EK156" s="255">
        <v>5488.56</v>
      </c>
      <c r="EL156" s="255">
        <v>0</v>
      </c>
      <c r="EM156" s="255">
        <v>0</v>
      </c>
      <c r="EN156" s="255">
        <v>0</v>
      </c>
      <c r="EO156" s="255">
        <v>0</v>
      </c>
      <c r="EP156" s="255">
        <v>0</v>
      </c>
      <c r="EQ156" s="255">
        <v>0</v>
      </c>
      <c r="ER156" s="255">
        <v>0</v>
      </c>
      <c r="ES156" s="255">
        <v>0</v>
      </c>
      <c r="ET156" s="255">
        <v>0</v>
      </c>
      <c r="EU156" s="255">
        <v>0</v>
      </c>
      <c r="EV156" s="255">
        <v>0</v>
      </c>
      <c r="EW156" s="255">
        <v>0</v>
      </c>
      <c r="EX156" s="255">
        <v>0</v>
      </c>
      <c r="EY156" s="255">
        <v>0</v>
      </c>
      <c r="EZ156" s="255">
        <v>0</v>
      </c>
      <c r="FA156" s="255">
        <v>0</v>
      </c>
      <c r="FB156" s="255">
        <v>0</v>
      </c>
      <c r="FC156" s="255">
        <v>0</v>
      </c>
      <c r="FD156" s="255">
        <v>0</v>
      </c>
      <c r="FE156" s="255">
        <v>0</v>
      </c>
      <c r="FF156" s="255">
        <v>0</v>
      </c>
      <c r="FG156" s="255">
        <v>0</v>
      </c>
      <c r="FH156" s="255">
        <v>0</v>
      </c>
      <c r="FI156" s="255">
        <v>0</v>
      </c>
      <c r="FJ156" s="255">
        <v>0</v>
      </c>
      <c r="FK156" s="255">
        <v>0</v>
      </c>
      <c r="FL156" s="255">
        <v>0</v>
      </c>
      <c r="FM156" s="255">
        <v>0</v>
      </c>
      <c r="FN156" s="255">
        <v>0</v>
      </c>
      <c r="FO156" s="255">
        <v>0</v>
      </c>
      <c r="FP156" s="255">
        <v>0</v>
      </c>
      <c r="FQ156" s="255">
        <v>0</v>
      </c>
      <c r="FR156" s="255">
        <v>0</v>
      </c>
      <c r="FS156" s="255">
        <v>0</v>
      </c>
      <c r="FT156" s="255">
        <v>0</v>
      </c>
      <c r="FU156" s="255">
        <v>0</v>
      </c>
      <c r="FV156" s="255">
        <v>0</v>
      </c>
      <c r="FW156" s="255">
        <v>0</v>
      </c>
      <c r="FX156" s="116"/>
    </row>
    <row r="157" spans="2:180" x14ac:dyDescent="0.2">
      <c r="B157" s="253" t="s">
        <v>214</v>
      </c>
      <c r="C157" s="253" t="s">
        <v>324</v>
      </c>
      <c r="D157" s="253" t="s">
        <v>258</v>
      </c>
      <c r="E157" s="253" t="s">
        <v>127</v>
      </c>
      <c r="F157" s="253">
        <v>0</v>
      </c>
      <c r="G157" s="253" t="s">
        <v>322</v>
      </c>
      <c r="H157" s="237">
        <v>205.24</v>
      </c>
      <c r="I157" s="126">
        <f t="shared" si="87"/>
        <v>266490.53399999999</v>
      </c>
      <c r="J157" s="116"/>
      <c r="K157" s="254">
        <v>0</v>
      </c>
      <c r="L157" s="254">
        <v>0</v>
      </c>
      <c r="M157" s="254">
        <v>0</v>
      </c>
      <c r="N157" s="254">
        <v>0</v>
      </c>
      <c r="O157" s="254">
        <v>0</v>
      </c>
      <c r="P157" s="254">
        <v>0</v>
      </c>
      <c r="Q157" s="254">
        <v>0</v>
      </c>
      <c r="R157" s="254">
        <v>0</v>
      </c>
      <c r="S157" s="254">
        <v>0</v>
      </c>
      <c r="T157" s="254">
        <v>0</v>
      </c>
      <c r="U157" s="254">
        <v>0</v>
      </c>
      <c r="V157" s="254">
        <v>0</v>
      </c>
      <c r="W157" s="254">
        <v>0</v>
      </c>
      <c r="X157" s="254">
        <v>0</v>
      </c>
      <c r="Y157" s="254">
        <v>0</v>
      </c>
      <c r="Z157" s="254">
        <v>0</v>
      </c>
      <c r="AA157" s="254">
        <v>0.13026315789473686</v>
      </c>
      <c r="AB157" s="254">
        <v>0.13421052631578947</v>
      </c>
      <c r="AC157" s="254">
        <v>0.1842857142857143</v>
      </c>
      <c r="AD157" s="254">
        <v>0.13285714285714287</v>
      </c>
      <c r="AE157" s="254">
        <v>0.14571428571428571</v>
      </c>
      <c r="AF157" s="254">
        <v>0.14571428571428571</v>
      </c>
      <c r="AG157" s="254">
        <v>0.14142857142857143</v>
      </c>
      <c r="AH157" s="254">
        <v>0.16</v>
      </c>
      <c r="AI157" s="254">
        <v>0.26857142857142857</v>
      </c>
      <c r="AJ157" s="254">
        <v>0.13714285714285715</v>
      </c>
      <c r="AK157" s="254">
        <v>0.13714285714285715</v>
      </c>
      <c r="AL157" s="254">
        <v>0.2</v>
      </c>
      <c r="AM157" s="254">
        <v>0.15</v>
      </c>
      <c r="AN157" s="254">
        <v>0.14605263157894735</v>
      </c>
      <c r="AO157" s="254">
        <v>0.14571428571428571</v>
      </c>
      <c r="AP157" s="254">
        <v>0.14142857142857143</v>
      </c>
      <c r="AQ157" s="254">
        <v>0.14571428571428571</v>
      </c>
      <c r="AR157" s="254">
        <v>0.14571428571428571</v>
      </c>
      <c r="AS157" s="254">
        <v>0.17571428571428571</v>
      </c>
      <c r="AT157" s="254">
        <v>0.13714285714285715</v>
      </c>
      <c r="AU157" s="254">
        <v>0.24571428571428572</v>
      </c>
      <c r="AV157" s="254">
        <v>0.13714285714285715</v>
      </c>
      <c r="AW157" s="254">
        <v>0.15</v>
      </c>
      <c r="AX157" s="254">
        <v>0.18285714285714286</v>
      </c>
      <c r="AY157" s="254">
        <v>0.16973684210526316</v>
      </c>
      <c r="AZ157" s="254">
        <v>0.16973684210526316</v>
      </c>
      <c r="BA157" s="254">
        <v>0.13714285714285715</v>
      </c>
      <c r="BB157" s="254">
        <v>0.14571428571428571</v>
      </c>
      <c r="BC157" s="254">
        <v>0.14142857142857143</v>
      </c>
      <c r="BD157" s="254">
        <v>0.14571428571428571</v>
      </c>
      <c r="BE157" s="254">
        <v>0</v>
      </c>
      <c r="BF157" s="254">
        <v>0</v>
      </c>
      <c r="BG157" s="254">
        <v>0</v>
      </c>
      <c r="BH157" s="254">
        <v>0</v>
      </c>
      <c r="BI157" s="254">
        <v>0</v>
      </c>
      <c r="BJ157" s="254">
        <v>0</v>
      </c>
      <c r="BK157" s="254">
        <v>0</v>
      </c>
      <c r="BL157" s="254">
        <v>0</v>
      </c>
      <c r="BM157" s="254">
        <v>0</v>
      </c>
      <c r="BN157" s="254">
        <v>0</v>
      </c>
      <c r="BO157" s="254">
        <v>0</v>
      </c>
      <c r="BP157" s="254">
        <v>0</v>
      </c>
      <c r="BQ157" s="254">
        <v>0</v>
      </c>
      <c r="BR157" s="254">
        <v>0</v>
      </c>
      <c r="BS157" s="254">
        <v>0</v>
      </c>
      <c r="BT157" s="254">
        <v>0</v>
      </c>
      <c r="BU157" s="254">
        <v>0</v>
      </c>
      <c r="BV157" s="254">
        <v>0</v>
      </c>
      <c r="BW157" s="254">
        <v>0</v>
      </c>
      <c r="BX157" s="254">
        <v>0</v>
      </c>
      <c r="BY157" s="254">
        <v>0</v>
      </c>
      <c r="BZ157" s="254">
        <v>0</v>
      </c>
      <c r="CA157" s="254">
        <v>0</v>
      </c>
      <c r="CB157" s="254">
        <v>0</v>
      </c>
      <c r="CC157" s="254">
        <v>0</v>
      </c>
      <c r="CD157" s="254">
        <v>0</v>
      </c>
      <c r="CE157" s="254">
        <v>0</v>
      </c>
      <c r="CF157" s="254">
        <v>0</v>
      </c>
      <c r="CG157" s="254">
        <v>0</v>
      </c>
      <c r="CH157" s="254">
        <v>0</v>
      </c>
      <c r="CI157" s="254">
        <v>0</v>
      </c>
      <c r="CJ157" s="254">
        <v>0</v>
      </c>
      <c r="CK157" s="254">
        <v>0</v>
      </c>
      <c r="CL157" s="254">
        <v>0</v>
      </c>
      <c r="CM157" s="254">
        <v>0</v>
      </c>
      <c r="CN157" s="254">
        <v>0</v>
      </c>
      <c r="CO157" s="254">
        <v>0</v>
      </c>
      <c r="CP157" s="254">
        <v>0</v>
      </c>
      <c r="CQ157" s="116"/>
      <c r="CR157" s="255">
        <v>0</v>
      </c>
      <c r="CS157" s="255">
        <v>0</v>
      </c>
      <c r="CT157" s="255">
        <v>0</v>
      </c>
      <c r="CU157" s="255">
        <v>0</v>
      </c>
      <c r="CV157" s="255">
        <v>0</v>
      </c>
      <c r="CW157" s="255">
        <v>0</v>
      </c>
      <c r="CX157" s="255">
        <v>0</v>
      </c>
      <c r="CY157" s="255">
        <v>0</v>
      </c>
      <c r="CZ157" s="255">
        <v>0</v>
      </c>
      <c r="DA157" s="255">
        <v>0</v>
      </c>
      <c r="DB157" s="255">
        <v>0</v>
      </c>
      <c r="DC157" s="255">
        <v>0</v>
      </c>
      <c r="DD157" s="255">
        <v>0</v>
      </c>
      <c r="DE157" s="255">
        <v>0</v>
      </c>
      <c r="DF157" s="255">
        <v>0</v>
      </c>
      <c r="DG157" s="255">
        <v>0</v>
      </c>
      <c r="DH157" s="255">
        <v>8127.5040000000008</v>
      </c>
      <c r="DI157" s="255">
        <v>8373.7919999999995</v>
      </c>
      <c r="DJ157" s="255">
        <v>10590.384</v>
      </c>
      <c r="DK157" s="255">
        <v>7634.9280000000008</v>
      </c>
      <c r="DL157" s="255">
        <v>8373.7919999999995</v>
      </c>
      <c r="DM157" s="255">
        <v>8373.7919999999995</v>
      </c>
      <c r="DN157" s="255">
        <v>8127.5040000000008</v>
      </c>
      <c r="DO157" s="255">
        <v>6896.0640000000003</v>
      </c>
      <c r="DP157" s="255">
        <v>11575.536</v>
      </c>
      <c r="DQ157" s="255">
        <v>7881.2160000000003</v>
      </c>
      <c r="DR157" s="255">
        <v>8117.9519999999993</v>
      </c>
      <c r="DS157" s="255">
        <v>8879.01</v>
      </c>
      <c r="DT157" s="255">
        <v>9640.0680000000011</v>
      </c>
      <c r="DU157" s="255">
        <v>9386.3819999999996</v>
      </c>
      <c r="DV157" s="255">
        <v>8625.3239999999987</v>
      </c>
      <c r="DW157" s="255">
        <v>8371.6380000000008</v>
      </c>
      <c r="DX157" s="255">
        <v>8625.3239999999987</v>
      </c>
      <c r="DY157" s="255">
        <v>8625.3239999999987</v>
      </c>
      <c r="DZ157" s="255">
        <v>10401.126</v>
      </c>
      <c r="EA157" s="255">
        <v>6088.4639999999999</v>
      </c>
      <c r="EB157" s="255">
        <v>10908.498</v>
      </c>
      <c r="EC157" s="255">
        <v>8117.9519999999993</v>
      </c>
      <c r="ED157" s="255">
        <v>9147.6</v>
      </c>
      <c r="EE157" s="255">
        <v>8363.52</v>
      </c>
      <c r="EF157" s="255">
        <v>11238.480000000001</v>
      </c>
      <c r="EG157" s="255">
        <v>11238.480000000001</v>
      </c>
      <c r="EH157" s="255">
        <v>8363.52</v>
      </c>
      <c r="EI157" s="255">
        <v>8886.24</v>
      </c>
      <c r="EJ157" s="255">
        <v>8624.880000000001</v>
      </c>
      <c r="EK157" s="255">
        <v>8886.24</v>
      </c>
      <c r="EL157" s="255">
        <v>0</v>
      </c>
      <c r="EM157" s="255">
        <v>0</v>
      </c>
      <c r="EN157" s="255">
        <v>0</v>
      </c>
      <c r="EO157" s="255">
        <v>0</v>
      </c>
      <c r="EP157" s="255">
        <v>0</v>
      </c>
      <c r="EQ157" s="255">
        <v>0</v>
      </c>
      <c r="ER157" s="255">
        <v>0</v>
      </c>
      <c r="ES157" s="255">
        <v>0</v>
      </c>
      <c r="ET157" s="255">
        <v>0</v>
      </c>
      <c r="EU157" s="255">
        <v>0</v>
      </c>
      <c r="EV157" s="255">
        <v>0</v>
      </c>
      <c r="EW157" s="255">
        <v>0</v>
      </c>
      <c r="EX157" s="255">
        <v>0</v>
      </c>
      <c r="EY157" s="255">
        <v>0</v>
      </c>
      <c r="EZ157" s="255">
        <v>0</v>
      </c>
      <c r="FA157" s="255">
        <v>0</v>
      </c>
      <c r="FB157" s="255">
        <v>0</v>
      </c>
      <c r="FC157" s="255">
        <v>0</v>
      </c>
      <c r="FD157" s="255">
        <v>0</v>
      </c>
      <c r="FE157" s="255">
        <v>0</v>
      </c>
      <c r="FF157" s="255">
        <v>0</v>
      </c>
      <c r="FG157" s="255">
        <v>0</v>
      </c>
      <c r="FH157" s="255">
        <v>0</v>
      </c>
      <c r="FI157" s="255">
        <v>0</v>
      </c>
      <c r="FJ157" s="255">
        <v>0</v>
      </c>
      <c r="FK157" s="255">
        <v>0</v>
      </c>
      <c r="FL157" s="255">
        <v>0</v>
      </c>
      <c r="FM157" s="255">
        <v>0</v>
      </c>
      <c r="FN157" s="255">
        <v>0</v>
      </c>
      <c r="FO157" s="255">
        <v>0</v>
      </c>
      <c r="FP157" s="255">
        <v>0</v>
      </c>
      <c r="FQ157" s="255">
        <v>0</v>
      </c>
      <c r="FR157" s="255">
        <v>0</v>
      </c>
      <c r="FS157" s="255">
        <v>0</v>
      </c>
      <c r="FT157" s="255">
        <v>0</v>
      </c>
      <c r="FU157" s="255">
        <v>0</v>
      </c>
      <c r="FV157" s="255">
        <v>0</v>
      </c>
      <c r="FW157" s="255">
        <v>0</v>
      </c>
      <c r="FX157" s="116"/>
    </row>
    <row r="158" spans="2:180" x14ac:dyDescent="0.2">
      <c r="B158" s="253" t="s">
        <v>214</v>
      </c>
      <c r="C158" s="253" t="s">
        <v>324</v>
      </c>
      <c r="D158" s="253" t="s">
        <v>258</v>
      </c>
      <c r="E158" s="253" t="s">
        <v>127</v>
      </c>
      <c r="F158" s="253" t="s">
        <v>259</v>
      </c>
      <c r="G158" s="253" t="s">
        <v>260</v>
      </c>
      <c r="H158" s="237">
        <v>205.24</v>
      </c>
      <c r="I158" s="126">
        <f t="shared" si="87"/>
        <v>258110.5566666667</v>
      </c>
      <c r="J158" s="116"/>
      <c r="K158" s="254">
        <v>0</v>
      </c>
      <c r="L158" s="254">
        <v>0</v>
      </c>
      <c r="M158" s="254">
        <v>0</v>
      </c>
      <c r="N158" s="254">
        <v>0</v>
      </c>
      <c r="O158" s="254">
        <v>0</v>
      </c>
      <c r="P158" s="254">
        <v>0</v>
      </c>
      <c r="Q158" s="254">
        <v>0</v>
      </c>
      <c r="R158" s="254">
        <v>0</v>
      </c>
      <c r="S158" s="254">
        <v>0</v>
      </c>
      <c r="T158" s="254">
        <v>0</v>
      </c>
      <c r="U158" s="254">
        <v>0</v>
      </c>
      <c r="V158" s="254">
        <v>0</v>
      </c>
      <c r="W158" s="254">
        <v>0</v>
      </c>
      <c r="X158" s="254">
        <v>0</v>
      </c>
      <c r="Y158" s="254">
        <v>0</v>
      </c>
      <c r="Z158" s="254">
        <v>0</v>
      </c>
      <c r="AA158" s="254">
        <v>0.26096491228070173</v>
      </c>
      <c r="AB158" s="254">
        <v>0.27631578947368424</v>
      </c>
      <c r="AC158" s="254">
        <v>0.31666666666666671</v>
      </c>
      <c r="AD158" s="254">
        <v>0.25</v>
      </c>
      <c r="AE158" s="254">
        <v>0.3</v>
      </c>
      <c r="AF158" s="254">
        <v>0.3</v>
      </c>
      <c r="AG158" s="254">
        <v>0.28333333333333333</v>
      </c>
      <c r="AH158" s="254">
        <v>0.26666666666666666</v>
      </c>
      <c r="AI158" s="254">
        <v>0.51111111111111107</v>
      </c>
      <c r="AJ158" s="254">
        <v>0.26666666666666666</v>
      </c>
      <c r="AK158" s="254">
        <v>0.26666666666666666</v>
      </c>
      <c r="AL158" s="254">
        <v>0.42222222222222222</v>
      </c>
      <c r="AM158" s="254">
        <v>0.27631578947368424</v>
      </c>
      <c r="AN158" s="254">
        <v>0.26096491228070173</v>
      </c>
      <c r="AO158" s="254">
        <v>0.3</v>
      </c>
      <c r="AP158" s="254">
        <v>0.28333333333333333</v>
      </c>
      <c r="AQ158" s="254">
        <v>0.3</v>
      </c>
      <c r="AR158" s="254">
        <v>0.3</v>
      </c>
      <c r="AS158" s="254">
        <v>0.28333333333333333</v>
      </c>
      <c r="AT158" s="254">
        <v>0.35555555555555557</v>
      </c>
      <c r="AU158" s="254">
        <v>0.42222222222222222</v>
      </c>
      <c r="AV158" s="254">
        <v>0.26666666666666666</v>
      </c>
      <c r="AW158" s="254">
        <v>0.31666666666666671</v>
      </c>
      <c r="AX158" s="254">
        <v>0.35555555555555557</v>
      </c>
      <c r="AY158" s="254">
        <v>0.29166666666666669</v>
      </c>
      <c r="AZ158" s="254">
        <v>0.29166666666666669</v>
      </c>
      <c r="BA158" s="254">
        <v>0.26666666666666666</v>
      </c>
      <c r="BB158" s="254">
        <v>0.3</v>
      </c>
      <c r="BC158" s="254">
        <v>0.28333333333333333</v>
      </c>
      <c r="BD158" s="254">
        <v>0.3</v>
      </c>
      <c r="BE158" s="254">
        <v>0</v>
      </c>
      <c r="BF158" s="254">
        <v>0</v>
      </c>
      <c r="BG158" s="254">
        <v>0</v>
      </c>
      <c r="BH158" s="254">
        <v>0</v>
      </c>
      <c r="BI158" s="254">
        <v>0</v>
      </c>
      <c r="BJ158" s="254">
        <v>0</v>
      </c>
      <c r="BK158" s="254">
        <v>0</v>
      </c>
      <c r="BL158" s="254">
        <v>0</v>
      </c>
      <c r="BM158" s="254">
        <v>0</v>
      </c>
      <c r="BN158" s="254">
        <v>0</v>
      </c>
      <c r="BO158" s="254">
        <v>0</v>
      </c>
      <c r="BP158" s="254">
        <v>0</v>
      </c>
      <c r="BQ158" s="254">
        <v>0</v>
      </c>
      <c r="BR158" s="254">
        <v>0</v>
      </c>
      <c r="BS158" s="254">
        <v>0</v>
      </c>
      <c r="BT158" s="254">
        <v>0</v>
      </c>
      <c r="BU158" s="254">
        <v>0</v>
      </c>
      <c r="BV158" s="254">
        <v>0</v>
      </c>
      <c r="BW158" s="254">
        <v>0</v>
      </c>
      <c r="BX158" s="254">
        <v>0</v>
      </c>
      <c r="BY158" s="254">
        <v>0</v>
      </c>
      <c r="BZ158" s="254">
        <v>0</v>
      </c>
      <c r="CA158" s="254">
        <v>0</v>
      </c>
      <c r="CB158" s="254">
        <v>0</v>
      </c>
      <c r="CC158" s="254">
        <v>0</v>
      </c>
      <c r="CD158" s="254">
        <v>0</v>
      </c>
      <c r="CE158" s="254">
        <v>0</v>
      </c>
      <c r="CF158" s="254">
        <v>0</v>
      </c>
      <c r="CG158" s="254">
        <v>0</v>
      </c>
      <c r="CH158" s="254">
        <v>0</v>
      </c>
      <c r="CI158" s="254">
        <v>0</v>
      </c>
      <c r="CJ158" s="254">
        <v>0</v>
      </c>
      <c r="CK158" s="254">
        <v>0</v>
      </c>
      <c r="CL158" s="254">
        <v>0</v>
      </c>
      <c r="CM158" s="254">
        <v>0</v>
      </c>
      <c r="CN158" s="254">
        <v>0</v>
      </c>
      <c r="CO158" s="254">
        <v>0</v>
      </c>
      <c r="CP158" s="254">
        <v>0</v>
      </c>
      <c r="CQ158" s="116"/>
      <c r="CR158" s="255">
        <v>0</v>
      </c>
      <c r="CS158" s="255">
        <v>0</v>
      </c>
      <c r="CT158" s="255">
        <v>0</v>
      </c>
      <c r="CU158" s="255">
        <v>0</v>
      </c>
      <c r="CV158" s="255">
        <v>0</v>
      </c>
      <c r="CW158" s="255">
        <v>0</v>
      </c>
      <c r="CX158" s="255">
        <v>0</v>
      </c>
      <c r="CY158" s="255">
        <v>0</v>
      </c>
      <c r="CZ158" s="255">
        <v>0</v>
      </c>
      <c r="DA158" s="255">
        <v>0</v>
      </c>
      <c r="DB158" s="255">
        <v>0</v>
      </c>
      <c r="DC158" s="255">
        <v>0</v>
      </c>
      <c r="DD158" s="255">
        <v>0</v>
      </c>
      <c r="DE158" s="255">
        <v>0</v>
      </c>
      <c r="DF158" s="255">
        <v>0</v>
      </c>
      <c r="DG158" s="255">
        <v>0</v>
      </c>
      <c r="DH158" s="255">
        <v>8141.1866666666665</v>
      </c>
      <c r="DI158" s="255">
        <v>8620.08</v>
      </c>
      <c r="DJ158" s="255">
        <v>9098.9733333333334</v>
      </c>
      <c r="DK158" s="255">
        <v>7183.4000000000005</v>
      </c>
      <c r="DL158" s="255">
        <v>8620.08</v>
      </c>
      <c r="DM158" s="255">
        <v>8620.08</v>
      </c>
      <c r="DN158" s="255">
        <v>8141.1866666666665</v>
      </c>
      <c r="DO158" s="255">
        <v>5746.72</v>
      </c>
      <c r="DP158" s="255">
        <v>11014.546666666667</v>
      </c>
      <c r="DQ158" s="255">
        <v>7662.293333333334</v>
      </c>
      <c r="DR158" s="255">
        <v>7892.64</v>
      </c>
      <c r="DS158" s="255">
        <v>9372.51</v>
      </c>
      <c r="DT158" s="255">
        <v>8879.2199999999993</v>
      </c>
      <c r="DU158" s="255">
        <v>8385.9299999999985</v>
      </c>
      <c r="DV158" s="255">
        <v>8879.2199999999993</v>
      </c>
      <c r="DW158" s="255">
        <v>8385.9299999999985</v>
      </c>
      <c r="DX158" s="255">
        <v>8879.2199999999993</v>
      </c>
      <c r="DY158" s="255">
        <v>8879.2199999999993</v>
      </c>
      <c r="DZ158" s="255">
        <v>8385.9299999999985</v>
      </c>
      <c r="EA158" s="255">
        <v>7892.64</v>
      </c>
      <c r="EB158" s="255">
        <v>9372.51</v>
      </c>
      <c r="EC158" s="255">
        <v>7892.64</v>
      </c>
      <c r="ED158" s="255">
        <v>9655.8000000000011</v>
      </c>
      <c r="EE158" s="255">
        <v>8131.2000000000007</v>
      </c>
      <c r="EF158" s="255">
        <v>9655.8000000000011</v>
      </c>
      <c r="EG158" s="255">
        <v>9655.8000000000011</v>
      </c>
      <c r="EH158" s="255">
        <v>8131.2000000000007</v>
      </c>
      <c r="EI158" s="255">
        <v>9147.6</v>
      </c>
      <c r="EJ158" s="255">
        <v>8639.4</v>
      </c>
      <c r="EK158" s="255">
        <v>9147.6</v>
      </c>
      <c r="EL158" s="255">
        <v>0</v>
      </c>
      <c r="EM158" s="255">
        <v>0</v>
      </c>
      <c r="EN158" s="255">
        <v>0</v>
      </c>
      <c r="EO158" s="255">
        <v>0</v>
      </c>
      <c r="EP158" s="255">
        <v>0</v>
      </c>
      <c r="EQ158" s="255">
        <v>0</v>
      </c>
      <c r="ER158" s="255">
        <v>0</v>
      </c>
      <c r="ES158" s="255">
        <v>0</v>
      </c>
      <c r="ET158" s="255">
        <v>0</v>
      </c>
      <c r="EU158" s="255">
        <v>0</v>
      </c>
      <c r="EV158" s="255">
        <v>0</v>
      </c>
      <c r="EW158" s="255">
        <v>0</v>
      </c>
      <c r="EX158" s="255">
        <v>0</v>
      </c>
      <c r="EY158" s="255">
        <v>0</v>
      </c>
      <c r="EZ158" s="255">
        <v>0</v>
      </c>
      <c r="FA158" s="255">
        <v>0</v>
      </c>
      <c r="FB158" s="255">
        <v>0</v>
      </c>
      <c r="FC158" s="255">
        <v>0</v>
      </c>
      <c r="FD158" s="255">
        <v>0</v>
      </c>
      <c r="FE158" s="255">
        <v>0</v>
      </c>
      <c r="FF158" s="255">
        <v>0</v>
      </c>
      <c r="FG158" s="255">
        <v>0</v>
      </c>
      <c r="FH158" s="255">
        <v>0</v>
      </c>
      <c r="FI158" s="255">
        <v>0</v>
      </c>
      <c r="FJ158" s="255">
        <v>0</v>
      </c>
      <c r="FK158" s="255">
        <v>0</v>
      </c>
      <c r="FL158" s="255">
        <v>0</v>
      </c>
      <c r="FM158" s="255">
        <v>0</v>
      </c>
      <c r="FN158" s="255">
        <v>0</v>
      </c>
      <c r="FO158" s="255">
        <v>0</v>
      </c>
      <c r="FP158" s="255">
        <v>0</v>
      </c>
      <c r="FQ158" s="255">
        <v>0</v>
      </c>
      <c r="FR158" s="255">
        <v>0</v>
      </c>
      <c r="FS158" s="255">
        <v>0</v>
      </c>
      <c r="FT158" s="255">
        <v>0</v>
      </c>
      <c r="FU158" s="255">
        <v>0</v>
      </c>
      <c r="FV158" s="255">
        <v>0</v>
      </c>
      <c r="FW158" s="255">
        <v>0</v>
      </c>
      <c r="FX158" s="116"/>
    </row>
    <row r="159" spans="2:180" x14ac:dyDescent="0.2">
      <c r="B159" s="253" t="s">
        <v>214</v>
      </c>
      <c r="C159" s="253" t="s">
        <v>324</v>
      </c>
      <c r="D159" s="253" t="s">
        <v>258</v>
      </c>
      <c r="E159" s="253" t="s">
        <v>127</v>
      </c>
      <c r="F159" s="253">
        <v>0</v>
      </c>
      <c r="G159" s="253" t="s">
        <v>322</v>
      </c>
      <c r="H159" s="237">
        <v>205.24</v>
      </c>
      <c r="I159" s="126">
        <f t="shared" si="87"/>
        <v>444150.89000000013</v>
      </c>
      <c r="J159" s="116"/>
      <c r="K159" s="254">
        <v>0</v>
      </c>
      <c r="L159" s="254">
        <v>0</v>
      </c>
      <c r="M159" s="254">
        <v>0</v>
      </c>
      <c r="N159" s="254">
        <v>0</v>
      </c>
      <c r="O159" s="254">
        <v>0</v>
      </c>
      <c r="P159" s="254">
        <v>0</v>
      </c>
      <c r="Q159" s="254">
        <v>0</v>
      </c>
      <c r="R159" s="254">
        <v>0</v>
      </c>
      <c r="S159" s="254">
        <v>0</v>
      </c>
      <c r="T159" s="254">
        <v>0</v>
      </c>
      <c r="U159" s="254">
        <v>0</v>
      </c>
      <c r="V159" s="254">
        <v>0</v>
      </c>
      <c r="W159" s="254">
        <v>0</v>
      </c>
      <c r="X159" s="254">
        <v>0</v>
      </c>
      <c r="Y159" s="254">
        <v>0</v>
      </c>
      <c r="Z159" s="254">
        <v>0</v>
      </c>
      <c r="AA159" s="254">
        <v>0.21710526315789475</v>
      </c>
      <c r="AB159" s="254">
        <v>0.22368421052631579</v>
      </c>
      <c r="AC159" s="254">
        <v>0.30714285714285716</v>
      </c>
      <c r="AD159" s="254">
        <v>0.22142857142857142</v>
      </c>
      <c r="AE159" s="254">
        <v>0.24285714285714285</v>
      </c>
      <c r="AF159" s="254">
        <v>0.24285714285714285</v>
      </c>
      <c r="AG159" s="254">
        <v>0.23571428571428571</v>
      </c>
      <c r="AH159" s="254">
        <v>0.26666666666666666</v>
      </c>
      <c r="AI159" s="254">
        <v>0.44761904761904764</v>
      </c>
      <c r="AJ159" s="254">
        <v>0.22857142857142856</v>
      </c>
      <c r="AK159" s="254">
        <v>0.22857142857142856</v>
      </c>
      <c r="AL159" s="254">
        <v>0.33333333333333331</v>
      </c>
      <c r="AM159" s="254">
        <v>0.25</v>
      </c>
      <c r="AN159" s="254">
        <v>0.24342105263157895</v>
      </c>
      <c r="AO159" s="254">
        <v>0.24285714285714285</v>
      </c>
      <c r="AP159" s="254">
        <v>0.23571428571428571</v>
      </c>
      <c r="AQ159" s="254">
        <v>0.24285714285714285</v>
      </c>
      <c r="AR159" s="254">
        <v>0.24285714285714285</v>
      </c>
      <c r="AS159" s="254">
        <v>0.29285714285714287</v>
      </c>
      <c r="AT159" s="254">
        <v>0.22857142857142856</v>
      </c>
      <c r="AU159" s="254">
        <v>0.40952380952380951</v>
      </c>
      <c r="AV159" s="254">
        <v>0.22857142857142856</v>
      </c>
      <c r="AW159" s="254">
        <v>0.25</v>
      </c>
      <c r="AX159" s="254">
        <v>0.30476190476190479</v>
      </c>
      <c r="AY159" s="254">
        <v>0.28289473684210525</v>
      </c>
      <c r="AZ159" s="254">
        <v>0.28289473684210525</v>
      </c>
      <c r="BA159" s="254">
        <v>0.22857142857142856</v>
      </c>
      <c r="BB159" s="254">
        <v>0.24285714285714285</v>
      </c>
      <c r="BC159" s="254">
        <v>0.23571428571428571</v>
      </c>
      <c r="BD159" s="254">
        <v>0.24285714285714285</v>
      </c>
      <c r="BE159" s="254">
        <v>0</v>
      </c>
      <c r="BF159" s="254">
        <v>0</v>
      </c>
      <c r="BG159" s="254">
        <v>0</v>
      </c>
      <c r="BH159" s="254">
        <v>0</v>
      </c>
      <c r="BI159" s="254">
        <v>0</v>
      </c>
      <c r="BJ159" s="254">
        <v>0</v>
      </c>
      <c r="BK159" s="254">
        <v>0</v>
      </c>
      <c r="BL159" s="254">
        <v>0</v>
      </c>
      <c r="BM159" s="254">
        <v>0</v>
      </c>
      <c r="BN159" s="254">
        <v>0</v>
      </c>
      <c r="BO159" s="254">
        <v>0</v>
      </c>
      <c r="BP159" s="254">
        <v>0</v>
      </c>
      <c r="BQ159" s="254">
        <v>0</v>
      </c>
      <c r="BR159" s="254">
        <v>0</v>
      </c>
      <c r="BS159" s="254">
        <v>0</v>
      </c>
      <c r="BT159" s="254">
        <v>0</v>
      </c>
      <c r="BU159" s="254">
        <v>0</v>
      </c>
      <c r="BV159" s="254">
        <v>0</v>
      </c>
      <c r="BW159" s="254">
        <v>0</v>
      </c>
      <c r="BX159" s="254">
        <v>0</v>
      </c>
      <c r="BY159" s="254">
        <v>0</v>
      </c>
      <c r="BZ159" s="254">
        <v>0</v>
      </c>
      <c r="CA159" s="254">
        <v>0</v>
      </c>
      <c r="CB159" s="254">
        <v>0</v>
      </c>
      <c r="CC159" s="254">
        <v>0</v>
      </c>
      <c r="CD159" s="254">
        <v>0</v>
      </c>
      <c r="CE159" s="254">
        <v>0</v>
      </c>
      <c r="CF159" s="254">
        <v>0</v>
      </c>
      <c r="CG159" s="254">
        <v>0</v>
      </c>
      <c r="CH159" s="254">
        <v>0</v>
      </c>
      <c r="CI159" s="254">
        <v>0</v>
      </c>
      <c r="CJ159" s="254">
        <v>0</v>
      </c>
      <c r="CK159" s="254">
        <v>0</v>
      </c>
      <c r="CL159" s="254">
        <v>0</v>
      </c>
      <c r="CM159" s="254">
        <v>0</v>
      </c>
      <c r="CN159" s="254">
        <v>0</v>
      </c>
      <c r="CO159" s="254">
        <v>0</v>
      </c>
      <c r="CP159" s="254">
        <v>0</v>
      </c>
      <c r="CQ159" s="116"/>
      <c r="CR159" s="255">
        <v>0</v>
      </c>
      <c r="CS159" s="255">
        <v>0</v>
      </c>
      <c r="CT159" s="255">
        <v>0</v>
      </c>
      <c r="CU159" s="255">
        <v>0</v>
      </c>
      <c r="CV159" s="255">
        <v>0</v>
      </c>
      <c r="CW159" s="255">
        <v>0</v>
      </c>
      <c r="CX159" s="255">
        <v>0</v>
      </c>
      <c r="CY159" s="255">
        <v>0</v>
      </c>
      <c r="CZ159" s="255">
        <v>0</v>
      </c>
      <c r="DA159" s="255">
        <v>0</v>
      </c>
      <c r="DB159" s="255">
        <v>0</v>
      </c>
      <c r="DC159" s="255">
        <v>0</v>
      </c>
      <c r="DD159" s="255">
        <v>0</v>
      </c>
      <c r="DE159" s="255">
        <v>0</v>
      </c>
      <c r="DF159" s="255">
        <v>0</v>
      </c>
      <c r="DG159" s="255">
        <v>0</v>
      </c>
      <c r="DH159" s="255">
        <v>13545.84</v>
      </c>
      <c r="DI159" s="255">
        <v>13956.32</v>
      </c>
      <c r="DJ159" s="255">
        <v>17650.64</v>
      </c>
      <c r="DK159" s="255">
        <v>12724.880000000001</v>
      </c>
      <c r="DL159" s="255">
        <v>13956.32</v>
      </c>
      <c r="DM159" s="255">
        <v>13956.32</v>
      </c>
      <c r="DN159" s="255">
        <v>13545.84</v>
      </c>
      <c r="DO159" s="255">
        <v>11493.44</v>
      </c>
      <c r="DP159" s="255">
        <v>19292.560000000001</v>
      </c>
      <c r="DQ159" s="255">
        <v>13135.36</v>
      </c>
      <c r="DR159" s="255">
        <v>13529.92</v>
      </c>
      <c r="DS159" s="255">
        <v>14798.35</v>
      </c>
      <c r="DT159" s="255">
        <v>16066.78</v>
      </c>
      <c r="DU159" s="255">
        <v>15643.97</v>
      </c>
      <c r="DV159" s="255">
        <v>14375.54</v>
      </c>
      <c r="DW159" s="255">
        <v>13952.73</v>
      </c>
      <c r="DX159" s="255">
        <v>14375.54</v>
      </c>
      <c r="DY159" s="255">
        <v>14375.54</v>
      </c>
      <c r="DZ159" s="255">
        <v>17335.21</v>
      </c>
      <c r="EA159" s="255">
        <v>10147.44</v>
      </c>
      <c r="EB159" s="255">
        <v>18180.830000000002</v>
      </c>
      <c r="EC159" s="255">
        <v>13529.92</v>
      </c>
      <c r="ED159" s="255">
        <v>15246</v>
      </c>
      <c r="EE159" s="255">
        <v>13939.2</v>
      </c>
      <c r="EF159" s="255">
        <v>18730.8</v>
      </c>
      <c r="EG159" s="255">
        <v>18730.8</v>
      </c>
      <c r="EH159" s="255">
        <v>13939.2</v>
      </c>
      <c r="EI159" s="255">
        <v>14810.400000000001</v>
      </c>
      <c r="EJ159" s="255">
        <v>14374.800000000001</v>
      </c>
      <c r="EK159" s="255">
        <v>14810.400000000001</v>
      </c>
      <c r="EL159" s="255">
        <v>0</v>
      </c>
      <c r="EM159" s="255">
        <v>0</v>
      </c>
      <c r="EN159" s="255">
        <v>0</v>
      </c>
      <c r="EO159" s="255">
        <v>0</v>
      </c>
      <c r="EP159" s="255">
        <v>0</v>
      </c>
      <c r="EQ159" s="255">
        <v>0</v>
      </c>
      <c r="ER159" s="255">
        <v>0</v>
      </c>
      <c r="ES159" s="255">
        <v>0</v>
      </c>
      <c r="ET159" s="255">
        <v>0</v>
      </c>
      <c r="EU159" s="255">
        <v>0</v>
      </c>
      <c r="EV159" s="255">
        <v>0</v>
      </c>
      <c r="EW159" s="255">
        <v>0</v>
      </c>
      <c r="EX159" s="255">
        <v>0</v>
      </c>
      <c r="EY159" s="255">
        <v>0</v>
      </c>
      <c r="EZ159" s="255">
        <v>0</v>
      </c>
      <c r="FA159" s="255">
        <v>0</v>
      </c>
      <c r="FB159" s="255">
        <v>0</v>
      </c>
      <c r="FC159" s="255">
        <v>0</v>
      </c>
      <c r="FD159" s="255">
        <v>0</v>
      </c>
      <c r="FE159" s="255">
        <v>0</v>
      </c>
      <c r="FF159" s="255">
        <v>0</v>
      </c>
      <c r="FG159" s="255">
        <v>0</v>
      </c>
      <c r="FH159" s="255">
        <v>0</v>
      </c>
      <c r="FI159" s="255">
        <v>0</v>
      </c>
      <c r="FJ159" s="255">
        <v>0</v>
      </c>
      <c r="FK159" s="255">
        <v>0</v>
      </c>
      <c r="FL159" s="255">
        <v>0</v>
      </c>
      <c r="FM159" s="255">
        <v>0</v>
      </c>
      <c r="FN159" s="255">
        <v>0</v>
      </c>
      <c r="FO159" s="255">
        <v>0</v>
      </c>
      <c r="FP159" s="255">
        <v>0</v>
      </c>
      <c r="FQ159" s="255">
        <v>0</v>
      </c>
      <c r="FR159" s="255">
        <v>0</v>
      </c>
      <c r="FS159" s="255">
        <v>0</v>
      </c>
      <c r="FT159" s="255">
        <v>0</v>
      </c>
      <c r="FU159" s="255">
        <v>0</v>
      </c>
      <c r="FV159" s="255">
        <v>0</v>
      </c>
      <c r="FW159" s="255">
        <v>0</v>
      </c>
      <c r="FX159" s="116"/>
    </row>
    <row r="160" spans="2:180" x14ac:dyDescent="0.2">
      <c r="B160" s="253" t="s">
        <v>231</v>
      </c>
      <c r="C160" s="253" t="s">
        <v>301</v>
      </c>
      <c r="D160" s="253" t="s">
        <v>258</v>
      </c>
      <c r="E160" s="253" t="s">
        <v>127</v>
      </c>
      <c r="F160" s="253" t="s">
        <v>263</v>
      </c>
      <c r="G160" s="253" t="s">
        <v>260</v>
      </c>
      <c r="H160" s="237">
        <v>210.04</v>
      </c>
      <c r="I160" s="126">
        <f t="shared" si="87"/>
        <v>164376.84200000003</v>
      </c>
      <c r="J160" s="116"/>
      <c r="K160" s="254">
        <v>0</v>
      </c>
      <c r="L160" s="254">
        <v>0</v>
      </c>
      <c r="M160" s="254">
        <v>0</v>
      </c>
      <c r="N160" s="254">
        <v>0</v>
      </c>
      <c r="O160" s="254">
        <v>0</v>
      </c>
      <c r="P160" s="254">
        <v>0</v>
      </c>
      <c r="Q160" s="254">
        <v>0</v>
      </c>
      <c r="R160" s="254">
        <v>0</v>
      </c>
      <c r="S160" s="254">
        <v>0</v>
      </c>
      <c r="T160" s="254">
        <v>0</v>
      </c>
      <c r="U160" s="254">
        <v>0</v>
      </c>
      <c r="V160" s="254">
        <v>0</v>
      </c>
      <c r="W160" s="254">
        <v>0</v>
      </c>
      <c r="X160" s="254">
        <v>0</v>
      </c>
      <c r="Y160" s="254">
        <v>0.1</v>
      </c>
      <c r="Z160" s="254">
        <v>0.13333333333333333</v>
      </c>
      <c r="AA160" s="254">
        <v>0.15657894736842107</v>
      </c>
      <c r="AB160" s="254">
        <v>0.16578947368421051</v>
      </c>
      <c r="AC160" s="254">
        <v>0.19</v>
      </c>
      <c r="AD160" s="254">
        <v>0.15</v>
      </c>
      <c r="AE160" s="254">
        <v>0.18</v>
      </c>
      <c r="AF160" s="254">
        <v>0.18</v>
      </c>
      <c r="AG160" s="254">
        <v>0.17</v>
      </c>
      <c r="AH160" s="254">
        <v>0.16</v>
      </c>
      <c r="AI160" s="254">
        <v>0.3066666666666667</v>
      </c>
      <c r="AJ160" s="254">
        <v>0.16</v>
      </c>
      <c r="AK160" s="254">
        <v>0.16</v>
      </c>
      <c r="AL160" s="254">
        <v>0.25333333333333335</v>
      </c>
      <c r="AM160" s="254">
        <v>0.16578947368421051</v>
      </c>
      <c r="AN160" s="254">
        <v>0.15657894736842107</v>
      </c>
      <c r="AO160" s="254">
        <v>0.18</v>
      </c>
      <c r="AP160" s="254">
        <v>0.17</v>
      </c>
      <c r="AQ160" s="254">
        <v>0.18</v>
      </c>
      <c r="AR160" s="254">
        <v>0.18</v>
      </c>
      <c r="AS160" s="254">
        <v>0.17</v>
      </c>
      <c r="AT160" s="254">
        <v>0.21333333333333332</v>
      </c>
      <c r="AU160" s="254">
        <v>0.25333333333333335</v>
      </c>
      <c r="AV160" s="254">
        <v>0.16</v>
      </c>
      <c r="AW160" s="254">
        <v>0.19</v>
      </c>
      <c r="AX160" s="254">
        <v>0.21333333333333332</v>
      </c>
      <c r="AY160" s="254">
        <v>0.17500000000000002</v>
      </c>
      <c r="AZ160" s="254">
        <v>0.17500000000000002</v>
      </c>
      <c r="BA160" s="254">
        <v>0.16</v>
      </c>
      <c r="BB160" s="254">
        <v>0.18</v>
      </c>
      <c r="BC160" s="254">
        <v>0.17</v>
      </c>
      <c r="BD160" s="254">
        <v>0.18</v>
      </c>
      <c r="BE160" s="254">
        <v>0</v>
      </c>
      <c r="BF160" s="254">
        <v>0</v>
      </c>
      <c r="BG160" s="254">
        <v>0</v>
      </c>
      <c r="BH160" s="254">
        <v>0</v>
      </c>
      <c r="BI160" s="254">
        <v>0</v>
      </c>
      <c r="BJ160" s="254">
        <v>0</v>
      </c>
      <c r="BK160" s="254">
        <v>0</v>
      </c>
      <c r="BL160" s="254">
        <v>0</v>
      </c>
      <c r="BM160" s="254">
        <v>0</v>
      </c>
      <c r="BN160" s="254">
        <v>0</v>
      </c>
      <c r="BO160" s="254">
        <v>0</v>
      </c>
      <c r="BP160" s="254">
        <v>0</v>
      </c>
      <c r="BQ160" s="254">
        <v>0</v>
      </c>
      <c r="BR160" s="254">
        <v>0</v>
      </c>
      <c r="BS160" s="254">
        <v>0</v>
      </c>
      <c r="BT160" s="254">
        <v>0</v>
      </c>
      <c r="BU160" s="254">
        <v>0</v>
      </c>
      <c r="BV160" s="254">
        <v>0</v>
      </c>
      <c r="BW160" s="254">
        <v>0</v>
      </c>
      <c r="BX160" s="254">
        <v>0</v>
      </c>
      <c r="BY160" s="254">
        <v>0</v>
      </c>
      <c r="BZ160" s="254">
        <v>0</v>
      </c>
      <c r="CA160" s="254">
        <v>0</v>
      </c>
      <c r="CB160" s="254">
        <v>0</v>
      </c>
      <c r="CC160" s="254">
        <v>0</v>
      </c>
      <c r="CD160" s="254">
        <v>0</v>
      </c>
      <c r="CE160" s="254">
        <v>0</v>
      </c>
      <c r="CF160" s="254">
        <v>0</v>
      </c>
      <c r="CG160" s="254">
        <v>0</v>
      </c>
      <c r="CH160" s="254">
        <v>0</v>
      </c>
      <c r="CI160" s="254">
        <v>0</v>
      </c>
      <c r="CJ160" s="254">
        <v>0</v>
      </c>
      <c r="CK160" s="254">
        <v>0</v>
      </c>
      <c r="CL160" s="254">
        <v>0</v>
      </c>
      <c r="CM160" s="254">
        <v>0</v>
      </c>
      <c r="CN160" s="254">
        <v>0</v>
      </c>
      <c r="CO160" s="254">
        <v>0</v>
      </c>
      <c r="CP160" s="254">
        <v>0</v>
      </c>
      <c r="CQ160" s="116"/>
      <c r="CR160" s="255">
        <v>0</v>
      </c>
      <c r="CS160" s="255">
        <v>0</v>
      </c>
      <c r="CT160" s="255">
        <v>0</v>
      </c>
      <c r="CU160" s="255">
        <v>0</v>
      </c>
      <c r="CV160" s="255">
        <v>0</v>
      </c>
      <c r="CW160" s="255">
        <v>0</v>
      </c>
      <c r="CX160" s="255">
        <v>0</v>
      </c>
      <c r="CY160" s="255">
        <v>0</v>
      </c>
      <c r="CZ160" s="255">
        <v>0</v>
      </c>
      <c r="DA160" s="255">
        <v>0</v>
      </c>
      <c r="DB160" s="255">
        <v>0</v>
      </c>
      <c r="DC160" s="255">
        <v>0</v>
      </c>
      <c r="DD160" s="255">
        <v>0</v>
      </c>
      <c r="DE160" s="255">
        <v>0</v>
      </c>
      <c r="DF160" s="255">
        <v>2940.56</v>
      </c>
      <c r="DG160" s="255">
        <v>2940.56</v>
      </c>
      <c r="DH160" s="255">
        <v>4998.9520000000002</v>
      </c>
      <c r="DI160" s="255">
        <v>5293.0079999999998</v>
      </c>
      <c r="DJ160" s="255">
        <v>5587.0640000000003</v>
      </c>
      <c r="DK160" s="255">
        <v>4410.84</v>
      </c>
      <c r="DL160" s="255">
        <v>5293.0079999999998</v>
      </c>
      <c r="DM160" s="255">
        <v>5293.0079999999998</v>
      </c>
      <c r="DN160" s="255">
        <v>4998.9520000000002</v>
      </c>
      <c r="DO160" s="255">
        <v>3528.672</v>
      </c>
      <c r="DP160" s="255">
        <v>6763.2880000000005</v>
      </c>
      <c r="DQ160" s="255">
        <v>4704.8959999999997</v>
      </c>
      <c r="DR160" s="255">
        <v>4848.0320000000002</v>
      </c>
      <c r="DS160" s="255">
        <v>5757.0380000000005</v>
      </c>
      <c r="DT160" s="255">
        <v>5454.0360000000001</v>
      </c>
      <c r="DU160" s="255">
        <v>5151.0340000000006</v>
      </c>
      <c r="DV160" s="255">
        <v>5454.0360000000001</v>
      </c>
      <c r="DW160" s="255">
        <v>5151.0340000000006</v>
      </c>
      <c r="DX160" s="255">
        <v>5454.0360000000001</v>
      </c>
      <c r="DY160" s="255">
        <v>5454.0360000000001</v>
      </c>
      <c r="DZ160" s="255">
        <v>5151.0340000000006</v>
      </c>
      <c r="EA160" s="255">
        <v>4848.0320000000002</v>
      </c>
      <c r="EB160" s="255">
        <v>5757.0380000000005</v>
      </c>
      <c r="EC160" s="255">
        <v>4848.0320000000002</v>
      </c>
      <c r="ED160" s="255">
        <v>5927.0119999999997</v>
      </c>
      <c r="EE160" s="255">
        <v>4991.1679999999997</v>
      </c>
      <c r="EF160" s="255">
        <v>5927.0119999999997</v>
      </c>
      <c r="EG160" s="255">
        <v>5927.0119999999997</v>
      </c>
      <c r="EH160" s="255">
        <v>4991.1679999999997</v>
      </c>
      <c r="EI160" s="255">
        <v>5615.0639999999994</v>
      </c>
      <c r="EJ160" s="255">
        <v>5303.116</v>
      </c>
      <c r="EK160" s="255">
        <v>5615.0639999999994</v>
      </c>
      <c r="EL160" s="255">
        <v>0</v>
      </c>
      <c r="EM160" s="255">
        <v>0</v>
      </c>
      <c r="EN160" s="255">
        <v>0</v>
      </c>
      <c r="EO160" s="255">
        <v>0</v>
      </c>
      <c r="EP160" s="255">
        <v>0</v>
      </c>
      <c r="EQ160" s="255">
        <v>0</v>
      </c>
      <c r="ER160" s="255">
        <v>0</v>
      </c>
      <c r="ES160" s="255">
        <v>0</v>
      </c>
      <c r="ET160" s="255">
        <v>0</v>
      </c>
      <c r="EU160" s="255">
        <v>0</v>
      </c>
      <c r="EV160" s="255">
        <v>0</v>
      </c>
      <c r="EW160" s="255">
        <v>0</v>
      </c>
      <c r="EX160" s="255">
        <v>0</v>
      </c>
      <c r="EY160" s="255">
        <v>0</v>
      </c>
      <c r="EZ160" s="255">
        <v>0</v>
      </c>
      <c r="FA160" s="255">
        <v>0</v>
      </c>
      <c r="FB160" s="255">
        <v>0</v>
      </c>
      <c r="FC160" s="255">
        <v>0</v>
      </c>
      <c r="FD160" s="255">
        <v>0</v>
      </c>
      <c r="FE160" s="255">
        <v>0</v>
      </c>
      <c r="FF160" s="255">
        <v>0</v>
      </c>
      <c r="FG160" s="255">
        <v>0</v>
      </c>
      <c r="FH160" s="255">
        <v>0</v>
      </c>
      <c r="FI160" s="255">
        <v>0</v>
      </c>
      <c r="FJ160" s="255">
        <v>0</v>
      </c>
      <c r="FK160" s="255">
        <v>0</v>
      </c>
      <c r="FL160" s="255">
        <v>0</v>
      </c>
      <c r="FM160" s="255">
        <v>0</v>
      </c>
      <c r="FN160" s="255">
        <v>0</v>
      </c>
      <c r="FO160" s="255">
        <v>0</v>
      </c>
      <c r="FP160" s="255">
        <v>0</v>
      </c>
      <c r="FQ160" s="255">
        <v>0</v>
      </c>
      <c r="FR160" s="255">
        <v>0</v>
      </c>
      <c r="FS160" s="255">
        <v>0</v>
      </c>
      <c r="FT160" s="255">
        <v>0</v>
      </c>
      <c r="FU160" s="255">
        <v>0</v>
      </c>
      <c r="FV160" s="255">
        <v>0</v>
      </c>
      <c r="FW160" s="255">
        <v>0</v>
      </c>
      <c r="FX160" s="116"/>
    </row>
    <row r="161" spans="2:180" x14ac:dyDescent="0.2">
      <c r="B161" s="253" t="s">
        <v>231</v>
      </c>
      <c r="C161" s="253" t="s">
        <v>301</v>
      </c>
      <c r="D161" s="253" t="s">
        <v>258</v>
      </c>
      <c r="E161" s="253" t="s">
        <v>127</v>
      </c>
      <c r="F161" s="253">
        <v>0</v>
      </c>
      <c r="G161" s="253" t="s">
        <v>322</v>
      </c>
      <c r="H161" s="237">
        <v>210.04</v>
      </c>
      <c r="I161" s="126">
        <f t="shared" si="87"/>
        <v>272736.054</v>
      </c>
      <c r="J161" s="116"/>
      <c r="K161" s="254">
        <v>0</v>
      </c>
      <c r="L161" s="254">
        <v>0</v>
      </c>
      <c r="M161" s="254">
        <v>0</v>
      </c>
      <c r="N161" s="254">
        <v>0</v>
      </c>
      <c r="O161" s="254">
        <v>0</v>
      </c>
      <c r="P161" s="254">
        <v>0</v>
      </c>
      <c r="Q161" s="254">
        <v>0</v>
      </c>
      <c r="R161" s="254">
        <v>0</v>
      </c>
      <c r="S161" s="254">
        <v>0</v>
      </c>
      <c r="T161" s="254">
        <v>0</v>
      </c>
      <c r="U161" s="254">
        <v>0</v>
      </c>
      <c r="V161" s="254">
        <v>0</v>
      </c>
      <c r="W161" s="254">
        <v>0</v>
      </c>
      <c r="X161" s="254">
        <v>0</v>
      </c>
      <c r="Y161" s="254">
        <v>0</v>
      </c>
      <c r="Z161" s="254">
        <v>0</v>
      </c>
      <c r="AA161" s="254">
        <v>0.13026315789473686</v>
      </c>
      <c r="AB161" s="254">
        <v>0.13421052631578947</v>
      </c>
      <c r="AC161" s="254">
        <v>0.1842857142857143</v>
      </c>
      <c r="AD161" s="254">
        <v>0.13285714285714287</v>
      </c>
      <c r="AE161" s="254">
        <v>0.14571428571428571</v>
      </c>
      <c r="AF161" s="254">
        <v>0.14571428571428571</v>
      </c>
      <c r="AG161" s="254">
        <v>0.14142857142857143</v>
      </c>
      <c r="AH161" s="254">
        <v>0.16</v>
      </c>
      <c r="AI161" s="254">
        <v>0.26857142857142857</v>
      </c>
      <c r="AJ161" s="254">
        <v>0.13714285714285715</v>
      </c>
      <c r="AK161" s="254">
        <v>0.13714285714285715</v>
      </c>
      <c r="AL161" s="254">
        <v>0.2</v>
      </c>
      <c r="AM161" s="254">
        <v>0.15</v>
      </c>
      <c r="AN161" s="254">
        <v>0.14605263157894735</v>
      </c>
      <c r="AO161" s="254">
        <v>0.14571428571428571</v>
      </c>
      <c r="AP161" s="254">
        <v>0.14142857142857143</v>
      </c>
      <c r="AQ161" s="254">
        <v>0.14571428571428571</v>
      </c>
      <c r="AR161" s="254">
        <v>0.14571428571428571</v>
      </c>
      <c r="AS161" s="254">
        <v>0.17571428571428571</v>
      </c>
      <c r="AT161" s="254">
        <v>0.13714285714285715</v>
      </c>
      <c r="AU161" s="254">
        <v>0.24571428571428572</v>
      </c>
      <c r="AV161" s="254">
        <v>0.13714285714285715</v>
      </c>
      <c r="AW161" s="254">
        <v>0.15</v>
      </c>
      <c r="AX161" s="254">
        <v>0.18285714285714286</v>
      </c>
      <c r="AY161" s="254">
        <v>0.16973684210526316</v>
      </c>
      <c r="AZ161" s="254">
        <v>0.16973684210526316</v>
      </c>
      <c r="BA161" s="254">
        <v>0.13714285714285715</v>
      </c>
      <c r="BB161" s="254">
        <v>0.14571428571428571</v>
      </c>
      <c r="BC161" s="254">
        <v>0.14142857142857143</v>
      </c>
      <c r="BD161" s="254">
        <v>0.14571428571428571</v>
      </c>
      <c r="BE161" s="254">
        <v>0</v>
      </c>
      <c r="BF161" s="254">
        <v>0</v>
      </c>
      <c r="BG161" s="254">
        <v>0</v>
      </c>
      <c r="BH161" s="254">
        <v>0</v>
      </c>
      <c r="BI161" s="254">
        <v>0</v>
      </c>
      <c r="BJ161" s="254">
        <v>0</v>
      </c>
      <c r="BK161" s="254">
        <v>0</v>
      </c>
      <c r="BL161" s="254">
        <v>0</v>
      </c>
      <c r="BM161" s="254">
        <v>0</v>
      </c>
      <c r="BN161" s="254">
        <v>0</v>
      </c>
      <c r="BO161" s="254">
        <v>0</v>
      </c>
      <c r="BP161" s="254">
        <v>0</v>
      </c>
      <c r="BQ161" s="254">
        <v>0</v>
      </c>
      <c r="BR161" s="254">
        <v>0</v>
      </c>
      <c r="BS161" s="254">
        <v>0</v>
      </c>
      <c r="BT161" s="254">
        <v>0</v>
      </c>
      <c r="BU161" s="254">
        <v>0</v>
      </c>
      <c r="BV161" s="254">
        <v>0</v>
      </c>
      <c r="BW161" s="254">
        <v>0</v>
      </c>
      <c r="BX161" s="254">
        <v>0</v>
      </c>
      <c r="BY161" s="254">
        <v>0</v>
      </c>
      <c r="BZ161" s="254">
        <v>0</v>
      </c>
      <c r="CA161" s="254">
        <v>0</v>
      </c>
      <c r="CB161" s="254">
        <v>0</v>
      </c>
      <c r="CC161" s="254">
        <v>0</v>
      </c>
      <c r="CD161" s="254">
        <v>0</v>
      </c>
      <c r="CE161" s="254">
        <v>0</v>
      </c>
      <c r="CF161" s="254">
        <v>0</v>
      </c>
      <c r="CG161" s="254">
        <v>0</v>
      </c>
      <c r="CH161" s="254">
        <v>0</v>
      </c>
      <c r="CI161" s="254">
        <v>0</v>
      </c>
      <c r="CJ161" s="254">
        <v>0</v>
      </c>
      <c r="CK161" s="254">
        <v>0</v>
      </c>
      <c r="CL161" s="254">
        <v>0</v>
      </c>
      <c r="CM161" s="254">
        <v>0</v>
      </c>
      <c r="CN161" s="254">
        <v>0</v>
      </c>
      <c r="CO161" s="254">
        <v>0</v>
      </c>
      <c r="CP161" s="254">
        <v>0</v>
      </c>
      <c r="CQ161" s="116"/>
      <c r="CR161" s="255">
        <v>0</v>
      </c>
      <c r="CS161" s="255">
        <v>0</v>
      </c>
      <c r="CT161" s="255">
        <v>0</v>
      </c>
      <c r="CU161" s="255">
        <v>0</v>
      </c>
      <c r="CV161" s="255">
        <v>0</v>
      </c>
      <c r="CW161" s="255">
        <v>0</v>
      </c>
      <c r="CX161" s="255">
        <v>0</v>
      </c>
      <c r="CY161" s="255">
        <v>0</v>
      </c>
      <c r="CZ161" s="255">
        <v>0</v>
      </c>
      <c r="DA161" s="255">
        <v>0</v>
      </c>
      <c r="DB161" s="255">
        <v>0</v>
      </c>
      <c r="DC161" s="255">
        <v>0</v>
      </c>
      <c r="DD161" s="255">
        <v>0</v>
      </c>
      <c r="DE161" s="255">
        <v>0</v>
      </c>
      <c r="DF161" s="255">
        <v>0</v>
      </c>
      <c r="DG161" s="255">
        <v>0</v>
      </c>
      <c r="DH161" s="255">
        <v>8317.3860000000004</v>
      </c>
      <c r="DI161" s="255">
        <v>8569.4279999999999</v>
      </c>
      <c r="DJ161" s="255">
        <v>10837.806</v>
      </c>
      <c r="DK161" s="255">
        <v>7813.3020000000006</v>
      </c>
      <c r="DL161" s="255">
        <v>8569.4279999999999</v>
      </c>
      <c r="DM161" s="255">
        <v>8569.4279999999999</v>
      </c>
      <c r="DN161" s="255">
        <v>8317.3860000000004</v>
      </c>
      <c r="DO161" s="255">
        <v>7057.1760000000004</v>
      </c>
      <c r="DP161" s="255">
        <v>11845.974</v>
      </c>
      <c r="DQ161" s="255">
        <v>8065.3439999999991</v>
      </c>
      <c r="DR161" s="255">
        <v>8310.9120000000003</v>
      </c>
      <c r="DS161" s="255">
        <v>9090.06</v>
      </c>
      <c r="DT161" s="255">
        <v>9869.2080000000005</v>
      </c>
      <c r="DU161" s="255">
        <v>9609.4920000000002</v>
      </c>
      <c r="DV161" s="255">
        <v>8830.3439999999991</v>
      </c>
      <c r="DW161" s="255">
        <v>8570.6280000000006</v>
      </c>
      <c r="DX161" s="255">
        <v>8830.3439999999991</v>
      </c>
      <c r="DY161" s="255">
        <v>8830.3439999999991</v>
      </c>
      <c r="DZ161" s="255">
        <v>10648.356000000002</v>
      </c>
      <c r="EA161" s="255">
        <v>6233.1840000000002</v>
      </c>
      <c r="EB161" s="255">
        <v>11167.788</v>
      </c>
      <c r="EC161" s="255">
        <v>8310.9120000000003</v>
      </c>
      <c r="ED161" s="255">
        <v>9358.44</v>
      </c>
      <c r="EE161" s="255">
        <v>8556.2879999999986</v>
      </c>
      <c r="EF161" s="255">
        <v>11497.512000000001</v>
      </c>
      <c r="EG161" s="255">
        <v>11497.512000000001</v>
      </c>
      <c r="EH161" s="255">
        <v>8556.2879999999986</v>
      </c>
      <c r="EI161" s="255">
        <v>9091.0559999999987</v>
      </c>
      <c r="EJ161" s="255">
        <v>8823.6720000000005</v>
      </c>
      <c r="EK161" s="255">
        <v>9091.0559999999987</v>
      </c>
      <c r="EL161" s="255">
        <v>0</v>
      </c>
      <c r="EM161" s="255">
        <v>0</v>
      </c>
      <c r="EN161" s="255">
        <v>0</v>
      </c>
      <c r="EO161" s="255">
        <v>0</v>
      </c>
      <c r="EP161" s="255">
        <v>0</v>
      </c>
      <c r="EQ161" s="255">
        <v>0</v>
      </c>
      <c r="ER161" s="255">
        <v>0</v>
      </c>
      <c r="ES161" s="255">
        <v>0</v>
      </c>
      <c r="ET161" s="255">
        <v>0</v>
      </c>
      <c r="EU161" s="255">
        <v>0</v>
      </c>
      <c r="EV161" s="255">
        <v>0</v>
      </c>
      <c r="EW161" s="255">
        <v>0</v>
      </c>
      <c r="EX161" s="255">
        <v>0</v>
      </c>
      <c r="EY161" s="255">
        <v>0</v>
      </c>
      <c r="EZ161" s="255">
        <v>0</v>
      </c>
      <c r="FA161" s="255">
        <v>0</v>
      </c>
      <c r="FB161" s="255">
        <v>0</v>
      </c>
      <c r="FC161" s="255">
        <v>0</v>
      </c>
      <c r="FD161" s="255">
        <v>0</v>
      </c>
      <c r="FE161" s="255">
        <v>0</v>
      </c>
      <c r="FF161" s="255">
        <v>0</v>
      </c>
      <c r="FG161" s="255">
        <v>0</v>
      </c>
      <c r="FH161" s="255">
        <v>0</v>
      </c>
      <c r="FI161" s="255">
        <v>0</v>
      </c>
      <c r="FJ161" s="255">
        <v>0</v>
      </c>
      <c r="FK161" s="255">
        <v>0</v>
      </c>
      <c r="FL161" s="255">
        <v>0</v>
      </c>
      <c r="FM161" s="255">
        <v>0</v>
      </c>
      <c r="FN161" s="255">
        <v>0</v>
      </c>
      <c r="FO161" s="255">
        <v>0</v>
      </c>
      <c r="FP161" s="255">
        <v>0</v>
      </c>
      <c r="FQ161" s="255">
        <v>0</v>
      </c>
      <c r="FR161" s="255">
        <v>0</v>
      </c>
      <c r="FS161" s="255">
        <v>0</v>
      </c>
      <c r="FT161" s="255">
        <v>0</v>
      </c>
      <c r="FU161" s="255">
        <v>0</v>
      </c>
      <c r="FV161" s="255">
        <v>0</v>
      </c>
      <c r="FW161" s="255">
        <v>0</v>
      </c>
      <c r="FX161" s="116"/>
    </row>
    <row r="162" spans="2:180" x14ac:dyDescent="0.2">
      <c r="B162" s="253" t="s">
        <v>231</v>
      </c>
      <c r="C162" s="253" t="s">
        <v>301</v>
      </c>
      <c r="D162" s="253" t="s">
        <v>258</v>
      </c>
      <c r="E162" s="253" t="s">
        <v>127</v>
      </c>
      <c r="F162" s="253" t="s">
        <v>263</v>
      </c>
      <c r="G162" s="253" t="s">
        <v>260</v>
      </c>
      <c r="H162" s="237">
        <v>210.04</v>
      </c>
      <c r="I162" s="126">
        <f t="shared" si="87"/>
        <v>158495.72200000007</v>
      </c>
      <c r="J162" s="116"/>
      <c r="K162" s="254">
        <v>0</v>
      </c>
      <c r="L162" s="254">
        <v>0</v>
      </c>
      <c r="M162" s="254">
        <v>0</v>
      </c>
      <c r="N162" s="254">
        <v>0</v>
      </c>
      <c r="O162" s="254">
        <v>0</v>
      </c>
      <c r="P162" s="254">
        <v>0</v>
      </c>
      <c r="Q162" s="254">
        <v>0</v>
      </c>
      <c r="R162" s="254">
        <v>0</v>
      </c>
      <c r="S162" s="254">
        <v>0</v>
      </c>
      <c r="T162" s="254">
        <v>0</v>
      </c>
      <c r="U162" s="254">
        <v>0</v>
      </c>
      <c r="V162" s="254">
        <v>0</v>
      </c>
      <c r="W162" s="254">
        <v>0</v>
      </c>
      <c r="X162" s="254">
        <v>0</v>
      </c>
      <c r="Y162" s="254">
        <v>0</v>
      </c>
      <c r="Z162" s="254">
        <v>0</v>
      </c>
      <c r="AA162" s="254">
        <v>0.15657894736842107</v>
      </c>
      <c r="AB162" s="254">
        <v>0.16578947368421051</v>
      </c>
      <c r="AC162" s="254">
        <v>0.19</v>
      </c>
      <c r="AD162" s="254">
        <v>0.15</v>
      </c>
      <c r="AE162" s="254">
        <v>0.18</v>
      </c>
      <c r="AF162" s="254">
        <v>0.18</v>
      </c>
      <c r="AG162" s="254">
        <v>0.17</v>
      </c>
      <c r="AH162" s="254">
        <v>0.16</v>
      </c>
      <c r="AI162" s="254">
        <v>0.3066666666666667</v>
      </c>
      <c r="AJ162" s="254">
        <v>0.16</v>
      </c>
      <c r="AK162" s="254">
        <v>0.16</v>
      </c>
      <c r="AL162" s="254">
        <v>0.25333333333333335</v>
      </c>
      <c r="AM162" s="254">
        <v>0.16578947368421051</v>
      </c>
      <c r="AN162" s="254">
        <v>0.15657894736842107</v>
      </c>
      <c r="AO162" s="254">
        <v>0.18</v>
      </c>
      <c r="AP162" s="254">
        <v>0.17</v>
      </c>
      <c r="AQ162" s="254">
        <v>0.18</v>
      </c>
      <c r="AR162" s="254">
        <v>0.18</v>
      </c>
      <c r="AS162" s="254">
        <v>0.17</v>
      </c>
      <c r="AT162" s="254">
        <v>0.21333333333333332</v>
      </c>
      <c r="AU162" s="254">
        <v>0.25333333333333335</v>
      </c>
      <c r="AV162" s="254">
        <v>0.16</v>
      </c>
      <c r="AW162" s="254">
        <v>0.19</v>
      </c>
      <c r="AX162" s="254">
        <v>0.21333333333333332</v>
      </c>
      <c r="AY162" s="254">
        <v>0.17500000000000002</v>
      </c>
      <c r="AZ162" s="254">
        <v>0.17500000000000002</v>
      </c>
      <c r="BA162" s="254">
        <v>0.16</v>
      </c>
      <c r="BB162" s="254">
        <v>0.18</v>
      </c>
      <c r="BC162" s="254">
        <v>0.17</v>
      </c>
      <c r="BD162" s="254">
        <v>0.18</v>
      </c>
      <c r="BE162" s="254">
        <v>0</v>
      </c>
      <c r="BF162" s="254">
        <v>0</v>
      </c>
      <c r="BG162" s="254">
        <v>0</v>
      </c>
      <c r="BH162" s="254">
        <v>0</v>
      </c>
      <c r="BI162" s="254">
        <v>0</v>
      </c>
      <c r="BJ162" s="254">
        <v>0</v>
      </c>
      <c r="BK162" s="254">
        <v>0</v>
      </c>
      <c r="BL162" s="254">
        <v>0</v>
      </c>
      <c r="BM162" s="254">
        <v>0</v>
      </c>
      <c r="BN162" s="254">
        <v>0</v>
      </c>
      <c r="BO162" s="254">
        <v>0</v>
      </c>
      <c r="BP162" s="254">
        <v>0</v>
      </c>
      <c r="BQ162" s="254">
        <v>0</v>
      </c>
      <c r="BR162" s="254">
        <v>0</v>
      </c>
      <c r="BS162" s="254">
        <v>0</v>
      </c>
      <c r="BT162" s="254">
        <v>0</v>
      </c>
      <c r="BU162" s="254">
        <v>0</v>
      </c>
      <c r="BV162" s="254">
        <v>0</v>
      </c>
      <c r="BW162" s="254">
        <v>0</v>
      </c>
      <c r="BX162" s="254">
        <v>0</v>
      </c>
      <c r="BY162" s="254">
        <v>0</v>
      </c>
      <c r="BZ162" s="254">
        <v>0</v>
      </c>
      <c r="CA162" s="254">
        <v>0</v>
      </c>
      <c r="CB162" s="254">
        <v>0</v>
      </c>
      <c r="CC162" s="254">
        <v>0</v>
      </c>
      <c r="CD162" s="254">
        <v>0</v>
      </c>
      <c r="CE162" s="254">
        <v>0</v>
      </c>
      <c r="CF162" s="254">
        <v>0</v>
      </c>
      <c r="CG162" s="254">
        <v>0</v>
      </c>
      <c r="CH162" s="254">
        <v>0</v>
      </c>
      <c r="CI162" s="254">
        <v>0</v>
      </c>
      <c r="CJ162" s="254">
        <v>0</v>
      </c>
      <c r="CK162" s="254">
        <v>0</v>
      </c>
      <c r="CL162" s="254">
        <v>0</v>
      </c>
      <c r="CM162" s="254">
        <v>0</v>
      </c>
      <c r="CN162" s="254">
        <v>0</v>
      </c>
      <c r="CO162" s="254">
        <v>0</v>
      </c>
      <c r="CP162" s="254">
        <v>0</v>
      </c>
      <c r="CQ162" s="116"/>
      <c r="CR162" s="255">
        <v>0</v>
      </c>
      <c r="CS162" s="255">
        <v>0</v>
      </c>
      <c r="CT162" s="255">
        <v>0</v>
      </c>
      <c r="CU162" s="255">
        <v>0</v>
      </c>
      <c r="CV162" s="255">
        <v>0</v>
      </c>
      <c r="CW162" s="255">
        <v>0</v>
      </c>
      <c r="CX162" s="255">
        <v>0</v>
      </c>
      <c r="CY162" s="255">
        <v>0</v>
      </c>
      <c r="CZ162" s="255">
        <v>0</v>
      </c>
      <c r="DA162" s="255">
        <v>0</v>
      </c>
      <c r="DB162" s="255">
        <v>0</v>
      </c>
      <c r="DC162" s="255">
        <v>0</v>
      </c>
      <c r="DD162" s="255">
        <v>0</v>
      </c>
      <c r="DE162" s="255">
        <v>0</v>
      </c>
      <c r="DF162" s="255">
        <v>0</v>
      </c>
      <c r="DG162" s="255">
        <v>0</v>
      </c>
      <c r="DH162" s="255">
        <v>4998.9520000000002</v>
      </c>
      <c r="DI162" s="255">
        <v>5293.0079999999998</v>
      </c>
      <c r="DJ162" s="255">
        <v>5587.0640000000003</v>
      </c>
      <c r="DK162" s="255">
        <v>4410.84</v>
      </c>
      <c r="DL162" s="255">
        <v>5293.0079999999998</v>
      </c>
      <c r="DM162" s="255">
        <v>5293.0079999999998</v>
      </c>
      <c r="DN162" s="255">
        <v>4998.9520000000002</v>
      </c>
      <c r="DO162" s="255">
        <v>3528.672</v>
      </c>
      <c r="DP162" s="255">
        <v>6763.2880000000005</v>
      </c>
      <c r="DQ162" s="255">
        <v>4704.8959999999997</v>
      </c>
      <c r="DR162" s="255">
        <v>4848.0320000000002</v>
      </c>
      <c r="DS162" s="255">
        <v>5757.0380000000005</v>
      </c>
      <c r="DT162" s="255">
        <v>5454.0360000000001</v>
      </c>
      <c r="DU162" s="255">
        <v>5151.0340000000006</v>
      </c>
      <c r="DV162" s="255">
        <v>5454.0360000000001</v>
      </c>
      <c r="DW162" s="255">
        <v>5151.0340000000006</v>
      </c>
      <c r="DX162" s="255">
        <v>5454.0360000000001</v>
      </c>
      <c r="DY162" s="255">
        <v>5454.0360000000001</v>
      </c>
      <c r="DZ162" s="255">
        <v>5151.0340000000006</v>
      </c>
      <c r="EA162" s="255">
        <v>4848.0320000000002</v>
      </c>
      <c r="EB162" s="255">
        <v>5757.0380000000005</v>
      </c>
      <c r="EC162" s="255">
        <v>4848.0320000000002</v>
      </c>
      <c r="ED162" s="255">
        <v>5927.0119999999997</v>
      </c>
      <c r="EE162" s="255">
        <v>4991.1679999999997</v>
      </c>
      <c r="EF162" s="255">
        <v>5927.0119999999997</v>
      </c>
      <c r="EG162" s="255">
        <v>5927.0119999999997</v>
      </c>
      <c r="EH162" s="255">
        <v>4991.1679999999997</v>
      </c>
      <c r="EI162" s="255">
        <v>5615.0639999999994</v>
      </c>
      <c r="EJ162" s="255">
        <v>5303.116</v>
      </c>
      <c r="EK162" s="255">
        <v>5615.0639999999994</v>
      </c>
      <c r="EL162" s="255">
        <v>0</v>
      </c>
      <c r="EM162" s="255">
        <v>0</v>
      </c>
      <c r="EN162" s="255">
        <v>0</v>
      </c>
      <c r="EO162" s="255">
        <v>0</v>
      </c>
      <c r="EP162" s="255">
        <v>0</v>
      </c>
      <c r="EQ162" s="255">
        <v>0</v>
      </c>
      <c r="ER162" s="255">
        <v>0</v>
      </c>
      <c r="ES162" s="255">
        <v>0</v>
      </c>
      <c r="ET162" s="255">
        <v>0</v>
      </c>
      <c r="EU162" s="255">
        <v>0</v>
      </c>
      <c r="EV162" s="255">
        <v>0</v>
      </c>
      <c r="EW162" s="255">
        <v>0</v>
      </c>
      <c r="EX162" s="255">
        <v>0</v>
      </c>
      <c r="EY162" s="255">
        <v>0</v>
      </c>
      <c r="EZ162" s="255">
        <v>0</v>
      </c>
      <c r="FA162" s="255">
        <v>0</v>
      </c>
      <c r="FB162" s="255">
        <v>0</v>
      </c>
      <c r="FC162" s="255">
        <v>0</v>
      </c>
      <c r="FD162" s="255">
        <v>0</v>
      </c>
      <c r="FE162" s="255">
        <v>0</v>
      </c>
      <c r="FF162" s="255">
        <v>0</v>
      </c>
      <c r="FG162" s="255">
        <v>0</v>
      </c>
      <c r="FH162" s="255">
        <v>0</v>
      </c>
      <c r="FI162" s="255">
        <v>0</v>
      </c>
      <c r="FJ162" s="255">
        <v>0</v>
      </c>
      <c r="FK162" s="255">
        <v>0</v>
      </c>
      <c r="FL162" s="255">
        <v>0</v>
      </c>
      <c r="FM162" s="255">
        <v>0</v>
      </c>
      <c r="FN162" s="255">
        <v>0</v>
      </c>
      <c r="FO162" s="255">
        <v>0</v>
      </c>
      <c r="FP162" s="255">
        <v>0</v>
      </c>
      <c r="FQ162" s="255">
        <v>0</v>
      </c>
      <c r="FR162" s="255">
        <v>0</v>
      </c>
      <c r="FS162" s="255">
        <v>0</v>
      </c>
      <c r="FT162" s="255">
        <v>0</v>
      </c>
      <c r="FU162" s="255">
        <v>0</v>
      </c>
      <c r="FV162" s="255">
        <v>0</v>
      </c>
      <c r="FW162" s="255">
        <v>0</v>
      </c>
      <c r="FX162" s="116"/>
    </row>
    <row r="163" spans="2:180" x14ac:dyDescent="0.2">
      <c r="B163" s="253" t="s">
        <v>231</v>
      </c>
      <c r="C163" s="253" t="s">
        <v>301</v>
      </c>
      <c r="D163" s="253" t="s">
        <v>258</v>
      </c>
      <c r="E163" s="253" t="s">
        <v>127</v>
      </c>
      <c r="F163" s="253">
        <v>0</v>
      </c>
      <c r="G163" s="253" t="s">
        <v>322</v>
      </c>
      <c r="H163" s="237">
        <v>210.04</v>
      </c>
      <c r="I163" s="126">
        <f t="shared" si="87"/>
        <v>272736.054</v>
      </c>
      <c r="J163" s="116"/>
      <c r="K163" s="254">
        <v>0</v>
      </c>
      <c r="L163" s="254">
        <v>0</v>
      </c>
      <c r="M163" s="254">
        <v>0</v>
      </c>
      <c r="N163" s="254">
        <v>0</v>
      </c>
      <c r="O163" s="254">
        <v>0</v>
      </c>
      <c r="P163" s="254">
        <v>0</v>
      </c>
      <c r="Q163" s="254">
        <v>0</v>
      </c>
      <c r="R163" s="254">
        <v>0</v>
      </c>
      <c r="S163" s="254">
        <v>0</v>
      </c>
      <c r="T163" s="254">
        <v>0</v>
      </c>
      <c r="U163" s="254">
        <v>0</v>
      </c>
      <c r="V163" s="254">
        <v>0</v>
      </c>
      <c r="W163" s="254">
        <v>0</v>
      </c>
      <c r="X163" s="254">
        <v>0</v>
      </c>
      <c r="Y163" s="254">
        <v>0</v>
      </c>
      <c r="Z163" s="254">
        <v>0</v>
      </c>
      <c r="AA163" s="254">
        <v>0.13026315789473686</v>
      </c>
      <c r="AB163" s="254">
        <v>0.13421052631578947</v>
      </c>
      <c r="AC163" s="254">
        <v>0.1842857142857143</v>
      </c>
      <c r="AD163" s="254">
        <v>0.13285714285714287</v>
      </c>
      <c r="AE163" s="254">
        <v>0.14571428571428571</v>
      </c>
      <c r="AF163" s="254">
        <v>0.14571428571428571</v>
      </c>
      <c r="AG163" s="254">
        <v>0.14142857142857143</v>
      </c>
      <c r="AH163" s="254">
        <v>0.16</v>
      </c>
      <c r="AI163" s="254">
        <v>0.26857142857142857</v>
      </c>
      <c r="AJ163" s="254">
        <v>0.13714285714285715</v>
      </c>
      <c r="AK163" s="254">
        <v>0.13714285714285715</v>
      </c>
      <c r="AL163" s="254">
        <v>0.2</v>
      </c>
      <c r="AM163" s="254">
        <v>0.15</v>
      </c>
      <c r="AN163" s="254">
        <v>0.14605263157894735</v>
      </c>
      <c r="AO163" s="254">
        <v>0.14571428571428571</v>
      </c>
      <c r="AP163" s="254">
        <v>0.14142857142857143</v>
      </c>
      <c r="AQ163" s="254">
        <v>0.14571428571428571</v>
      </c>
      <c r="AR163" s="254">
        <v>0.14571428571428571</v>
      </c>
      <c r="AS163" s="254">
        <v>0.17571428571428571</v>
      </c>
      <c r="AT163" s="254">
        <v>0.13714285714285715</v>
      </c>
      <c r="AU163" s="254">
        <v>0.24571428571428572</v>
      </c>
      <c r="AV163" s="254">
        <v>0.13714285714285715</v>
      </c>
      <c r="AW163" s="254">
        <v>0.15</v>
      </c>
      <c r="AX163" s="254">
        <v>0.18285714285714286</v>
      </c>
      <c r="AY163" s="254">
        <v>0.16973684210526316</v>
      </c>
      <c r="AZ163" s="254">
        <v>0.16973684210526316</v>
      </c>
      <c r="BA163" s="254">
        <v>0.13714285714285715</v>
      </c>
      <c r="BB163" s="254">
        <v>0.14571428571428571</v>
      </c>
      <c r="BC163" s="254">
        <v>0.14142857142857143</v>
      </c>
      <c r="BD163" s="254">
        <v>0.14571428571428571</v>
      </c>
      <c r="BE163" s="254">
        <v>0</v>
      </c>
      <c r="BF163" s="254">
        <v>0</v>
      </c>
      <c r="BG163" s="254">
        <v>0</v>
      </c>
      <c r="BH163" s="254">
        <v>0</v>
      </c>
      <c r="BI163" s="254">
        <v>0</v>
      </c>
      <c r="BJ163" s="254">
        <v>0</v>
      </c>
      <c r="BK163" s="254">
        <v>0</v>
      </c>
      <c r="BL163" s="254">
        <v>0</v>
      </c>
      <c r="BM163" s="254">
        <v>0</v>
      </c>
      <c r="BN163" s="254">
        <v>0</v>
      </c>
      <c r="BO163" s="254">
        <v>0</v>
      </c>
      <c r="BP163" s="254">
        <v>0</v>
      </c>
      <c r="BQ163" s="254">
        <v>0</v>
      </c>
      <c r="BR163" s="254">
        <v>0</v>
      </c>
      <c r="BS163" s="254">
        <v>0</v>
      </c>
      <c r="BT163" s="254">
        <v>0</v>
      </c>
      <c r="BU163" s="254">
        <v>0</v>
      </c>
      <c r="BV163" s="254">
        <v>0</v>
      </c>
      <c r="BW163" s="254">
        <v>0</v>
      </c>
      <c r="BX163" s="254">
        <v>0</v>
      </c>
      <c r="BY163" s="254">
        <v>0</v>
      </c>
      <c r="BZ163" s="254">
        <v>0</v>
      </c>
      <c r="CA163" s="254">
        <v>0</v>
      </c>
      <c r="CB163" s="254">
        <v>0</v>
      </c>
      <c r="CC163" s="254">
        <v>0</v>
      </c>
      <c r="CD163" s="254">
        <v>0</v>
      </c>
      <c r="CE163" s="254">
        <v>0</v>
      </c>
      <c r="CF163" s="254">
        <v>0</v>
      </c>
      <c r="CG163" s="254">
        <v>0</v>
      </c>
      <c r="CH163" s="254">
        <v>0</v>
      </c>
      <c r="CI163" s="254">
        <v>0</v>
      </c>
      <c r="CJ163" s="254">
        <v>0</v>
      </c>
      <c r="CK163" s="254">
        <v>0</v>
      </c>
      <c r="CL163" s="254">
        <v>0</v>
      </c>
      <c r="CM163" s="254">
        <v>0</v>
      </c>
      <c r="CN163" s="254">
        <v>0</v>
      </c>
      <c r="CO163" s="254">
        <v>0</v>
      </c>
      <c r="CP163" s="254">
        <v>0</v>
      </c>
      <c r="CQ163" s="116"/>
      <c r="CR163" s="255">
        <v>0</v>
      </c>
      <c r="CS163" s="255">
        <v>0</v>
      </c>
      <c r="CT163" s="255">
        <v>0</v>
      </c>
      <c r="CU163" s="255">
        <v>0</v>
      </c>
      <c r="CV163" s="255">
        <v>0</v>
      </c>
      <c r="CW163" s="255">
        <v>0</v>
      </c>
      <c r="CX163" s="255">
        <v>0</v>
      </c>
      <c r="CY163" s="255">
        <v>0</v>
      </c>
      <c r="CZ163" s="255">
        <v>0</v>
      </c>
      <c r="DA163" s="255">
        <v>0</v>
      </c>
      <c r="DB163" s="255">
        <v>0</v>
      </c>
      <c r="DC163" s="255">
        <v>0</v>
      </c>
      <c r="DD163" s="255">
        <v>0</v>
      </c>
      <c r="DE163" s="255">
        <v>0</v>
      </c>
      <c r="DF163" s="255">
        <v>0</v>
      </c>
      <c r="DG163" s="255">
        <v>0</v>
      </c>
      <c r="DH163" s="255">
        <v>8317.3860000000004</v>
      </c>
      <c r="DI163" s="255">
        <v>8569.4279999999999</v>
      </c>
      <c r="DJ163" s="255">
        <v>10837.806</v>
      </c>
      <c r="DK163" s="255">
        <v>7813.3020000000006</v>
      </c>
      <c r="DL163" s="255">
        <v>8569.4279999999999</v>
      </c>
      <c r="DM163" s="255">
        <v>8569.4279999999999</v>
      </c>
      <c r="DN163" s="255">
        <v>8317.3860000000004</v>
      </c>
      <c r="DO163" s="255">
        <v>7057.1760000000004</v>
      </c>
      <c r="DP163" s="255">
        <v>11845.974</v>
      </c>
      <c r="DQ163" s="255">
        <v>8065.3439999999991</v>
      </c>
      <c r="DR163" s="255">
        <v>8310.9120000000003</v>
      </c>
      <c r="DS163" s="255">
        <v>9090.06</v>
      </c>
      <c r="DT163" s="255">
        <v>9869.2080000000005</v>
      </c>
      <c r="DU163" s="255">
        <v>9609.4920000000002</v>
      </c>
      <c r="DV163" s="255">
        <v>8830.3439999999991</v>
      </c>
      <c r="DW163" s="255">
        <v>8570.6280000000006</v>
      </c>
      <c r="DX163" s="255">
        <v>8830.3439999999991</v>
      </c>
      <c r="DY163" s="255">
        <v>8830.3439999999991</v>
      </c>
      <c r="DZ163" s="255">
        <v>10648.356000000002</v>
      </c>
      <c r="EA163" s="255">
        <v>6233.1840000000002</v>
      </c>
      <c r="EB163" s="255">
        <v>11167.788</v>
      </c>
      <c r="EC163" s="255">
        <v>8310.9120000000003</v>
      </c>
      <c r="ED163" s="255">
        <v>9358.44</v>
      </c>
      <c r="EE163" s="255">
        <v>8556.2879999999986</v>
      </c>
      <c r="EF163" s="255">
        <v>11497.512000000001</v>
      </c>
      <c r="EG163" s="255">
        <v>11497.512000000001</v>
      </c>
      <c r="EH163" s="255">
        <v>8556.2879999999986</v>
      </c>
      <c r="EI163" s="255">
        <v>9091.0559999999987</v>
      </c>
      <c r="EJ163" s="255">
        <v>8823.6720000000005</v>
      </c>
      <c r="EK163" s="255">
        <v>9091.0559999999987</v>
      </c>
      <c r="EL163" s="255">
        <v>0</v>
      </c>
      <c r="EM163" s="255">
        <v>0</v>
      </c>
      <c r="EN163" s="255">
        <v>0</v>
      </c>
      <c r="EO163" s="255">
        <v>0</v>
      </c>
      <c r="EP163" s="255">
        <v>0</v>
      </c>
      <c r="EQ163" s="255">
        <v>0</v>
      </c>
      <c r="ER163" s="255">
        <v>0</v>
      </c>
      <c r="ES163" s="255">
        <v>0</v>
      </c>
      <c r="ET163" s="255">
        <v>0</v>
      </c>
      <c r="EU163" s="255">
        <v>0</v>
      </c>
      <c r="EV163" s="255">
        <v>0</v>
      </c>
      <c r="EW163" s="255">
        <v>0</v>
      </c>
      <c r="EX163" s="255">
        <v>0</v>
      </c>
      <c r="EY163" s="255">
        <v>0</v>
      </c>
      <c r="EZ163" s="255">
        <v>0</v>
      </c>
      <c r="FA163" s="255">
        <v>0</v>
      </c>
      <c r="FB163" s="255">
        <v>0</v>
      </c>
      <c r="FC163" s="255">
        <v>0</v>
      </c>
      <c r="FD163" s="255">
        <v>0</v>
      </c>
      <c r="FE163" s="255">
        <v>0</v>
      </c>
      <c r="FF163" s="255">
        <v>0</v>
      </c>
      <c r="FG163" s="255">
        <v>0</v>
      </c>
      <c r="FH163" s="255">
        <v>0</v>
      </c>
      <c r="FI163" s="255">
        <v>0</v>
      </c>
      <c r="FJ163" s="255">
        <v>0</v>
      </c>
      <c r="FK163" s="255">
        <v>0</v>
      </c>
      <c r="FL163" s="255">
        <v>0</v>
      </c>
      <c r="FM163" s="255">
        <v>0</v>
      </c>
      <c r="FN163" s="255">
        <v>0</v>
      </c>
      <c r="FO163" s="255">
        <v>0</v>
      </c>
      <c r="FP163" s="255">
        <v>0</v>
      </c>
      <c r="FQ163" s="255">
        <v>0</v>
      </c>
      <c r="FR163" s="255">
        <v>0</v>
      </c>
      <c r="FS163" s="255">
        <v>0</v>
      </c>
      <c r="FT163" s="255">
        <v>0</v>
      </c>
      <c r="FU163" s="255">
        <v>0</v>
      </c>
      <c r="FV163" s="255">
        <v>0</v>
      </c>
      <c r="FW163" s="255">
        <v>0</v>
      </c>
      <c r="FX163" s="116"/>
    </row>
    <row r="164" spans="2:180" x14ac:dyDescent="0.2">
      <c r="B164" s="253" t="s">
        <v>216</v>
      </c>
      <c r="C164" s="253" t="s">
        <v>326</v>
      </c>
      <c r="D164" s="253" t="s">
        <v>258</v>
      </c>
      <c r="E164" s="253" t="s">
        <v>127</v>
      </c>
      <c r="F164" s="253" t="s">
        <v>259</v>
      </c>
      <c r="G164" s="253" t="s">
        <v>260</v>
      </c>
      <c r="H164" s="237">
        <v>210.04</v>
      </c>
      <c r="I164" s="126">
        <f t="shared" si="87"/>
        <v>100870.81999999999</v>
      </c>
      <c r="J164" s="116"/>
      <c r="K164" s="254">
        <v>0</v>
      </c>
      <c r="L164" s="254">
        <v>0</v>
      </c>
      <c r="M164" s="254">
        <v>0</v>
      </c>
      <c r="N164" s="254">
        <v>0</v>
      </c>
      <c r="O164" s="254">
        <v>0</v>
      </c>
      <c r="P164" s="254">
        <v>0</v>
      </c>
      <c r="Q164" s="254">
        <v>0</v>
      </c>
      <c r="R164" s="254">
        <v>0</v>
      </c>
      <c r="S164" s="254">
        <v>0</v>
      </c>
      <c r="T164" s="254">
        <v>0</v>
      </c>
      <c r="U164" s="254">
        <v>0</v>
      </c>
      <c r="V164" s="254">
        <v>0</v>
      </c>
      <c r="W164" s="254">
        <v>0</v>
      </c>
      <c r="X164" s="254">
        <v>0</v>
      </c>
      <c r="Y164" s="254">
        <v>0</v>
      </c>
      <c r="Z164" s="254">
        <v>0</v>
      </c>
      <c r="AA164" s="254">
        <v>0</v>
      </c>
      <c r="AB164" s="254">
        <v>0</v>
      </c>
      <c r="AC164" s="254">
        <v>0</v>
      </c>
      <c r="AD164" s="254">
        <v>0</v>
      </c>
      <c r="AE164" s="254">
        <v>0</v>
      </c>
      <c r="AF164" s="254">
        <v>0</v>
      </c>
      <c r="AG164" s="254">
        <v>0</v>
      </c>
      <c r="AH164" s="254">
        <v>0</v>
      </c>
      <c r="AI164" s="254">
        <v>0</v>
      </c>
      <c r="AJ164" s="254">
        <v>0.5</v>
      </c>
      <c r="AK164" s="254">
        <v>0.21428571428571427</v>
      </c>
      <c r="AL164" s="254">
        <v>0.33333333333333331</v>
      </c>
      <c r="AM164" s="254">
        <v>0.23026315789473684</v>
      </c>
      <c r="AN164" s="254">
        <v>0</v>
      </c>
      <c r="AO164" s="254">
        <v>0</v>
      </c>
      <c r="AP164" s="254">
        <v>0</v>
      </c>
      <c r="AQ164" s="254">
        <v>0</v>
      </c>
      <c r="AR164" s="254">
        <v>0</v>
      </c>
      <c r="AS164" s="254">
        <v>0</v>
      </c>
      <c r="AT164" s="254">
        <v>0</v>
      </c>
      <c r="AU164" s="254">
        <v>0</v>
      </c>
      <c r="AV164" s="254">
        <v>1.1000000000000001</v>
      </c>
      <c r="AW164" s="254">
        <v>0</v>
      </c>
      <c r="AX164" s="254">
        <v>0</v>
      </c>
      <c r="AY164" s="254">
        <v>0.46052631578947367</v>
      </c>
      <c r="AZ164" s="254">
        <v>0.46052631578947367</v>
      </c>
      <c r="BA164" s="254">
        <v>0</v>
      </c>
      <c r="BB164" s="254">
        <v>0</v>
      </c>
      <c r="BC164" s="254">
        <v>0</v>
      </c>
      <c r="BD164" s="254">
        <v>0</v>
      </c>
      <c r="BE164" s="254">
        <v>0</v>
      </c>
      <c r="BF164" s="254">
        <v>0</v>
      </c>
      <c r="BG164" s="254">
        <v>0</v>
      </c>
      <c r="BH164" s="254">
        <v>0</v>
      </c>
      <c r="BI164" s="254">
        <v>0</v>
      </c>
      <c r="BJ164" s="254">
        <v>0</v>
      </c>
      <c r="BK164" s="254">
        <v>0</v>
      </c>
      <c r="BL164" s="254">
        <v>0</v>
      </c>
      <c r="BM164" s="254">
        <v>0</v>
      </c>
      <c r="BN164" s="254">
        <v>0</v>
      </c>
      <c r="BO164" s="254">
        <v>0</v>
      </c>
      <c r="BP164" s="254">
        <v>0</v>
      </c>
      <c r="BQ164" s="254">
        <v>0</v>
      </c>
      <c r="BR164" s="254">
        <v>0</v>
      </c>
      <c r="BS164" s="254">
        <v>0</v>
      </c>
      <c r="BT164" s="254">
        <v>0</v>
      </c>
      <c r="BU164" s="254">
        <v>0</v>
      </c>
      <c r="BV164" s="254">
        <v>0</v>
      </c>
      <c r="BW164" s="254">
        <v>0</v>
      </c>
      <c r="BX164" s="254">
        <v>0</v>
      </c>
      <c r="BY164" s="254">
        <v>0</v>
      </c>
      <c r="BZ164" s="254">
        <v>0</v>
      </c>
      <c r="CA164" s="254">
        <v>0</v>
      </c>
      <c r="CB164" s="254">
        <v>0</v>
      </c>
      <c r="CC164" s="254">
        <v>0</v>
      </c>
      <c r="CD164" s="254">
        <v>0</v>
      </c>
      <c r="CE164" s="254">
        <v>0</v>
      </c>
      <c r="CF164" s="254">
        <v>0</v>
      </c>
      <c r="CG164" s="254">
        <v>0</v>
      </c>
      <c r="CH164" s="254">
        <v>0</v>
      </c>
      <c r="CI164" s="254">
        <v>0</v>
      </c>
      <c r="CJ164" s="254">
        <v>0</v>
      </c>
      <c r="CK164" s="254">
        <v>0</v>
      </c>
      <c r="CL164" s="254">
        <v>0</v>
      </c>
      <c r="CM164" s="254">
        <v>0</v>
      </c>
      <c r="CN164" s="254">
        <v>0</v>
      </c>
      <c r="CO164" s="254">
        <v>0</v>
      </c>
      <c r="CP164" s="254">
        <v>0</v>
      </c>
      <c r="CQ164" s="116"/>
      <c r="CR164" s="255">
        <v>0</v>
      </c>
      <c r="CS164" s="255">
        <v>0</v>
      </c>
      <c r="CT164" s="255">
        <v>0</v>
      </c>
      <c r="CU164" s="255">
        <v>0</v>
      </c>
      <c r="CV164" s="255">
        <v>0</v>
      </c>
      <c r="CW164" s="255">
        <v>0</v>
      </c>
      <c r="CX164" s="255">
        <v>0</v>
      </c>
      <c r="CY164" s="255">
        <v>0</v>
      </c>
      <c r="CZ164" s="255">
        <v>0</v>
      </c>
      <c r="DA164" s="255">
        <v>0</v>
      </c>
      <c r="DB164" s="255">
        <v>0</v>
      </c>
      <c r="DC164" s="255">
        <v>0</v>
      </c>
      <c r="DD164" s="255">
        <v>0</v>
      </c>
      <c r="DE164" s="255">
        <v>0</v>
      </c>
      <c r="DF164" s="255">
        <v>0</v>
      </c>
      <c r="DG164" s="255">
        <v>0</v>
      </c>
      <c r="DH164" s="255">
        <v>0</v>
      </c>
      <c r="DI164" s="255">
        <v>0</v>
      </c>
      <c r="DJ164" s="255">
        <v>0</v>
      </c>
      <c r="DK164" s="255">
        <v>0</v>
      </c>
      <c r="DL164" s="255">
        <v>0</v>
      </c>
      <c r="DM164" s="255">
        <v>0</v>
      </c>
      <c r="DN164" s="255">
        <v>0</v>
      </c>
      <c r="DO164" s="255">
        <v>0</v>
      </c>
      <c r="DP164" s="255">
        <v>0</v>
      </c>
      <c r="DQ164" s="255">
        <v>14702.8</v>
      </c>
      <c r="DR164" s="255">
        <v>6492.9000000000005</v>
      </c>
      <c r="DS164" s="255">
        <v>7575.05</v>
      </c>
      <c r="DT164" s="255">
        <v>7575.05</v>
      </c>
      <c r="DU164" s="255">
        <v>0</v>
      </c>
      <c r="DV164" s="255">
        <v>0</v>
      </c>
      <c r="DW164" s="255">
        <v>0</v>
      </c>
      <c r="DX164" s="255">
        <v>0</v>
      </c>
      <c r="DY164" s="255">
        <v>0</v>
      </c>
      <c r="DZ164" s="255">
        <v>0</v>
      </c>
      <c r="EA164" s="255">
        <v>0</v>
      </c>
      <c r="EB164" s="255">
        <v>0</v>
      </c>
      <c r="EC164" s="255">
        <v>33330.22</v>
      </c>
      <c r="ED164" s="255">
        <v>0</v>
      </c>
      <c r="EE164" s="255">
        <v>0</v>
      </c>
      <c r="EF164" s="255">
        <v>15597.4</v>
      </c>
      <c r="EG164" s="255">
        <v>15597.4</v>
      </c>
      <c r="EH164" s="255">
        <v>0</v>
      </c>
      <c r="EI164" s="255">
        <v>0</v>
      </c>
      <c r="EJ164" s="255">
        <v>0</v>
      </c>
      <c r="EK164" s="255">
        <v>0</v>
      </c>
      <c r="EL164" s="255">
        <v>0</v>
      </c>
      <c r="EM164" s="255">
        <v>0</v>
      </c>
      <c r="EN164" s="255">
        <v>0</v>
      </c>
      <c r="EO164" s="255">
        <v>0</v>
      </c>
      <c r="EP164" s="255">
        <v>0</v>
      </c>
      <c r="EQ164" s="255">
        <v>0</v>
      </c>
      <c r="ER164" s="255">
        <v>0</v>
      </c>
      <c r="ES164" s="255">
        <v>0</v>
      </c>
      <c r="ET164" s="255">
        <v>0</v>
      </c>
      <c r="EU164" s="255">
        <v>0</v>
      </c>
      <c r="EV164" s="255">
        <v>0</v>
      </c>
      <c r="EW164" s="255">
        <v>0</v>
      </c>
      <c r="EX164" s="255">
        <v>0</v>
      </c>
      <c r="EY164" s="255">
        <v>0</v>
      </c>
      <c r="EZ164" s="255">
        <v>0</v>
      </c>
      <c r="FA164" s="255">
        <v>0</v>
      </c>
      <c r="FB164" s="255">
        <v>0</v>
      </c>
      <c r="FC164" s="255">
        <v>0</v>
      </c>
      <c r="FD164" s="255">
        <v>0</v>
      </c>
      <c r="FE164" s="255">
        <v>0</v>
      </c>
      <c r="FF164" s="255">
        <v>0</v>
      </c>
      <c r="FG164" s="255">
        <v>0</v>
      </c>
      <c r="FH164" s="255">
        <v>0</v>
      </c>
      <c r="FI164" s="255">
        <v>0</v>
      </c>
      <c r="FJ164" s="255">
        <v>0</v>
      </c>
      <c r="FK164" s="255">
        <v>0</v>
      </c>
      <c r="FL164" s="255">
        <v>0</v>
      </c>
      <c r="FM164" s="255">
        <v>0</v>
      </c>
      <c r="FN164" s="255">
        <v>0</v>
      </c>
      <c r="FO164" s="255">
        <v>0</v>
      </c>
      <c r="FP164" s="255">
        <v>0</v>
      </c>
      <c r="FQ164" s="255">
        <v>0</v>
      </c>
      <c r="FR164" s="255">
        <v>0</v>
      </c>
      <c r="FS164" s="255">
        <v>0</v>
      </c>
      <c r="FT164" s="255">
        <v>0</v>
      </c>
      <c r="FU164" s="255">
        <v>0</v>
      </c>
      <c r="FV164" s="255">
        <v>0</v>
      </c>
      <c r="FW164" s="255">
        <v>0</v>
      </c>
      <c r="FX164" s="116"/>
    </row>
    <row r="165" spans="2:180" x14ac:dyDescent="0.2">
      <c r="B165" s="253" t="s">
        <v>216</v>
      </c>
      <c r="C165" s="253" t="s">
        <v>326</v>
      </c>
      <c r="D165" s="253" t="s">
        <v>258</v>
      </c>
      <c r="E165" s="253" t="s">
        <v>127</v>
      </c>
      <c r="F165" s="253">
        <v>0</v>
      </c>
      <c r="G165" s="253" t="s">
        <v>322</v>
      </c>
      <c r="H165" s="237">
        <v>210.04</v>
      </c>
      <c r="I165" s="126">
        <f t="shared" si="87"/>
        <v>73969.3</v>
      </c>
      <c r="J165" s="116"/>
      <c r="K165" s="254">
        <v>0</v>
      </c>
      <c r="L165" s="254">
        <v>0</v>
      </c>
      <c r="M165" s="254">
        <v>0</v>
      </c>
      <c r="N165" s="254">
        <v>0</v>
      </c>
      <c r="O165" s="254">
        <v>0</v>
      </c>
      <c r="P165" s="254">
        <v>0</v>
      </c>
      <c r="Q165" s="254">
        <v>0</v>
      </c>
      <c r="R165" s="254">
        <v>0</v>
      </c>
      <c r="S165" s="254">
        <v>0</v>
      </c>
      <c r="T165" s="254">
        <v>0</v>
      </c>
      <c r="U165" s="254">
        <v>0</v>
      </c>
      <c r="V165" s="254">
        <v>0</v>
      </c>
      <c r="W165" s="254">
        <v>0</v>
      </c>
      <c r="X165" s="254">
        <v>0</v>
      </c>
      <c r="Y165" s="254">
        <v>0</v>
      </c>
      <c r="Z165" s="254">
        <v>0</v>
      </c>
      <c r="AA165" s="254">
        <v>0</v>
      </c>
      <c r="AB165" s="254">
        <v>0</v>
      </c>
      <c r="AC165" s="254">
        <v>0</v>
      </c>
      <c r="AD165" s="254">
        <v>0</v>
      </c>
      <c r="AE165" s="254">
        <v>0</v>
      </c>
      <c r="AF165" s="254">
        <v>0</v>
      </c>
      <c r="AG165" s="254">
        <v>0</v>
      </c>
      <c r="AH165" s="254">
        <v>0</v>
      </c>
      <c r="AI165" s="254">
        <v>0</v>
      </c>
      <c r="AJ165" s="254">
        <v>0.21428571428571427</v>
      </c>
      <c r="AK165" s="254">
        <v>7.1428571428571425E-2</v>
      </c>
      <c r="AL165" s="254">
        <v>9.5238095238095233E-2</v>
      </c>
      <c r="AM165" s="254">
        <v>6.5789473684210523E-2</v>
      </c>
      <c r="AN165" s="254">
        <v>0</v>
      </c>
      <c r="AO165" s="254">
        <v>0</v>
      </c>
      <c r="AP165" s="254">
        <v>0</v>
      </c>
      <c r="AQ165" s="254">
        <v>0</v>
      </c>
      <c r="AR165" s="254">
        <v>0</v>
      </c>
      <c r="AS165" s="254">
        <v>0</v>
      </c>
      <c r="AT165" s="254">
        <v>0</v>
      </c>
      <c r="AU165" s="254">
        <v>0</v>
      </c>
      <c r="AV165" s="254">
        <v>0.35714285714285715</v>
      </c>
      <c r="AW165" s="254">
        <v>0</v>
      </c>
      <c r="AX165" s="254">
        <v>0</v>
      </c>
      <c r="AY165" s="254">
        <v>0.19736842105263158</v>
      </c>
      <c r="AZ165" s="254">
        <v>0.19736842105263158</v>
      </c>
      <c r="BA165" s="254">
        <v>0</v>
      </c>
      <c r="BB165" s="254">
        <v>0</v>
      </c>
      <c r="BC165" s="254">
        <v>0</v>
      </c>
      <c r="BD165" s="254">
        <v>0</v>
      </c>
      <c r="BE165" s="254">
        <v>0</v>
      </c>
      <c r="BF165" s="254">
        <v>0</v>
      </c>
      <c r="BG165" s="254">
        <v>0</v>
      </c>
      <c r="BH165" s="254">
        <v>0</v>
      </c>
      <c r="BI165" s="254">
        <v>0</v>
      </c>
      <c r="BJ165" s="254">
        <v>0</v>
      </c>
      <c r="BK165" s="254">
        <v>0</v>
      </c>
      <c r="BL165" s="254">
        <v>0</v>
      </c>
      <c r="BM165" s="254">
        <v>0</v>
      </c>
      <c r="BN165" s="254">
        <v>0</v>
      </c>
      <c r="BO165" s="254">
        <v>0</v>
      </c>
      <c r="BP165" s="254">
        <v>0</v>
      </c>
      <c r="BQ165" s="254">
        <v>0</v>
      </c>
      <c r="BR165" s="254">
        <v>0</v>
      </c>
      <c r="BS165" s="254">
        <v>0</v>
      </c>
      <c r="BT165" s="254">
        <v>0</v>
      </c>
      <c r="BU165" s="254">
        <v>0</v>
      </c>
      <c r="BV165" s="254">
        <v>0</v>
      </c>
      <c r="BW165" s="254">
        <v>0</v>
      </c>
      <c r="BX165" s="254">
        <v>0</v>
      </c>
      <c r="BY165" s="254">
        <v>0</v>
      </c>
      <c r="BZ165" s="254">
        <v>0</v>
      </c>
      <c r="CA165" s="254">
        <v>0</v>
      </c>
      <c r="CB165" s="254">
        <v>0</v>
      </c>
      <c r="CC165" s="254">
        <v>0</v>
      </c>
      <c r="CD165" s="254">
        <v>0</v>
      </c>
      <c r="CE165" s="254">
        <v>0</v>
      </c>
      <c r="CF165" s="254">
        <v>0</v>
      </c>
      <c r="CG165" s="254">
        <v>0</v>
      </c>
      <c r="CH165" s="254">
        <v>0</v>
      </c>
      <c r="CI165" s="254">
        <v>0</v>
      </c>
      <c r="CJ165" s="254">
        <v>0</v>
      </c>
      <c r="CK165" s="254">
        <v>0</v>
      </c>
      <c r="CL165" s="254">
        <v>0</v>
      </c>
      <c r="CM165" s="254">
        <v>0</v>
      </c>
      <c r="CN165" s="254">
        <v>0</v>
      </c>
      <c r="CO165" s="254">
        <v>0</v>
      </c>
      <c r="CP165" s="254">
        <v>0</v>
      </c>
      <c r="CQ165" s="116"/>
      <c r="CR165" s="255">
        <v>0</v>
      </c>
      <c r="CS165" s="255">
        <v>0</v>
      </c>
      <c r="CT165" s="255">
        <v>0</v>
      </c>
      <c r="CU165" s="255">
        <v>0</v>
      </c>
      <c r="CV165" s="255">
        <v>0</v>
      </c>
      <c r="CW165" s="255">
        <v>0</v>
      </c>
      <c r="CX165" s="255">
        <v>0</v>
      </c>
      <c r="CY165" s="255">
        <v>0</v>
      </c>
      <c r="CZ165" s="255">
        <v>0</v>
      </c>
      <c r="DA165" s="255">
        <v>0</v>
      </c>
      <c r="DB165" s="255">
        <v>0</v>
      </c>
      <c r="DC165" s="255">
        <v>0</v>
      </c>
      <c r="DD165" s="255">
        <v>0</v>
      </c>
      <c r="DE165" s="255">
        <v>0</v>
      </c>
      <c r="DF165" s="255">
        <v>0</v>
      </c>
      <c r="DG165" s="255">
        <v>0</v>
      </c>
      <c r="DH165" s="255">
        <v>0</v>
      </c>
      <c r="DI165" s="255">
        <v>0</v>
      </c>
      <c r="DJ165" s="255">
        <v>0</v>
      </c>
      <c r="DK165" s="255">
        <v>0</v>
      </c>
      <c r="DL165" s="255">
        <v>0</v>
      </c>
      <c r="DM165" s="255">
        <v>0</v>
      </c>
      <c r="DN165" s="255">
        <v>0</v>
      </c>
      <c r="DO165" s="255">
        <v>0</v>
      </c>
      <c r="DP165" s="255">
        <v>0</v>
      </c>
      <c r="DQ165" s="255">
        <v>12602.1</v>
      </c>
      <c r="DR165" s="255">
        <v>4328.6000000000004</v>
      </c>
      <c r="DS165" s="255">
        <v>4328.6000000000004</v>
      </c>
      <c r="DT165" s="255">
        <v>4328.6000000000004</v>
      </c>
      <c r="DU165" s="255">
        <v>0</v>
      </c>
      <c r="DV165" s="255">
        <v>0</v>
      </c>
      <c r="DW165" s="255">
        <v>0</v>
      </c>
      <c r="DX165" s="255">
        <v>0</v>
      </c>
      <c r="DY165" s="255">
        <v>0</v>
      </c>
      <c r="DZ165" s="255">
        <v>0</v>
      </c>
      <c r="EA165" s="255">
        <v>0</v>
      </c>
      <c r="EB165" s="255">
        <v>0</v>
      </c>
      <c r="EC165" s="255">
        <v>21643</v>
      </c>
      <c r="ED165" s="255">
        <v>0</v>
      </c>
      <c r="EE165" s="255">
        <v>0</v>
      </c>
      <c r="EF165" s="255">
        <v>13369.199999999999</v>
      </c>
      <c r="EG165" s="255">
        <v>13369.199999999999</v>
      </c>
      <c r="EH165" s="255">
        <v>0</v>
      </c>
      <c r="EI165" s="255">
        <v>0</v>
      </c>
      <c r="EJ165" s="255">
        <v>0</v>
      </c>
      <c r="EK165" s="255">
        <v>0</v>
      </c>
      <c r="EL165" s="255">
        <v>0</v>
      </c>
      <c r="EM165" s="255">
        <v>0</v>
      </c>
      <c r="EN165" s="255">
        <v>0</v>
      </c>
      <c r="EO165" s="255">
        <v>0</v>
      </c>
      <c r="EP165" s="255">
        <v>0</v>
      </c>
      <c r="EQ165" s="255">
        <v>0</v>
      </c>
      <c r="ER165" s="255">
        <v>0</v>
      </c>
      <c r="ES165" s="255">
        <v>0</v>
      </c>
      <c r="ET165" s="255">
        <v>0</v>
      </c>
      <c r="EU165" s="255">
        <v>0</v>
      </c>
      <c r="EV165" s="255">
        <v>0</v>
      </c>
      <c r="EW165" s="255">
        <v>0</v>
      </c>
      <c r="EX165" s="255">
        <v>0</v>
      </c>
      <c r="EY165" s="255">
        <v>0</v>
      </c>
      <c r="EZ165" s="255">
        <v>0</v>
      </c>
      <c r="FA165" s="255">
        <v>0</v>
      </c>
      <c r="FB165" s="255">
        <v>0</v>
      </c>
      <c r="FC165" s="255">
        <v>0</v>
      </c>
      <c r="FD165" s="255">
        <v>0</v>
      </c>
      <c r="FE165" s="255">
        <v>0</v>
      </c>
      <c r="FF165" s="255">
        <v>0</v>
      </c>
      <c r="FG165" s="255">
        <v>0</v>
      </c>
      <c r="FH165" s="255">
        <v>0</v>
      </c>
      <c r="FI165" s="255">
        <v>0</v>
      </c>
      <c r="FJ165" s="255">
        <v>0</v>
      </c>
      <c r="FK165" s="255">
        <v>0</v>
      </c>
      <c r="FL165" s="255">
        <v>0</v>
      </c>
      <c r="FM165" s="255">
        <v>0</v>
      </c>
      <c r="FN165" s="255">
        <v>0</v>
      </c>
      <c r="FO165" s="255">
        <v>0</v>
      </c>
      <c r="FP165" s="255">
        <v>0</v>
      </c>
      <c r="FQ165" s="255">
        <v>0</v>
      </c>
      <c r="FR165" s="255">
        <v>0</v>
      </c>
      <c r="FS165" s="255">
        <v>0</v>
      </c>
      <c r="FT165" s="255">
        <v>0</v>
      </c>
      <c r="FU165" s="255">
        <v>0</v>
      </c>
      <c r="FV165" s="255">
        <v>0</v>
      </c>
      <c r="FW165" s="255">
        <v>0</v>
      </c>
      <c r="FX165" s="116"/>
    </row>
    <row r="166" spans="2:180" x14ac:dyDescent="0.2">
      <c r="B166" s="253" t="s">
        <v>216</v>
      </c>
      <c r="C166" s="253" t="s">
        <v>327</v>
      </c>
      <c r="D166" s="253" t="s">
        <v>258</v>
      </c>
      <c r="E166" s="253" t="s">
        <v>127</v>
      </c>
      <c r="F166" s="253" t="s">
        <v>259</v>
      </c>
      <c r="G166" s="253" t="s">
        <v>260</v>
      </c>
      <c r="H166" s="237">
        <v>221.91</v>
      </c>
      <c r="I166" s="126">
        <f t="shared" si="87"/>
        <v>362091.24</v>
      </c>
      <c r="J166" s="116"/>
      <c r="K166" s="254">
        <v>0</v>
      </c>
      <c r="L166" s="254">
        <v>0</v>
      </c>
      <c r="M166" s="254">
        <v>0</v>
      </c>
      <c r="N166" s="254">
        <v>0</v>
      </c>
      <c r="O166" s="254">
        <v>0</v>
      </c>
      <c r="P166" s="254">
        <v>0</v>
      </c>
      <c r="Q166" s="254">
        <v>0</v>
      </c>
      <c r="R166" s="254">
        <v>0</v>
      </c>
      <c r="S166" s="254">
        <v>0</v>
      </c>
      <c r="T166" s="254">
        <v>0</v>
      </c>
      <c r="U166" s="254">
        <v>0</v>
      </c>
      <c r="V166" s="254">
        <v>0</v>
      </c>
      <c r="W166" s="254">
        <v>0</v>
      </c>
      <c r="X166" s="254">
        <v>0</v>
      </c>
      <c r="Y166" s="254">
        <v>0</v>
      </c>
      <c r="Z166" s="254">
        <v>0</v>
      </c>
      <c r="AA166" s="254">
        <v>0</v>
      </c>
      <c r="AB166" s="254">
        <v>0</v>
      </c>
      <c r="AC166" s="254">
        <v>0</v>
      </c>
      <c r="AD166" s="254">
        <v>0</v>
      </c>
      <c r="AE166" s="254">
        <v>0</v>
      </c>
      <c r="AF166" s="254">
        <v>0</v>
      </c>
      <c r="AG166" s="254">
        <v>0</v>
      </c>
      <c r="AH166" s="254">
        <v>0</v>
      </c>
      <c r="AI166" s="254">
        <v>0</v>
      </c>
      <c r="AJ166" s="254">
        <v>0.5</v>
      </c>
      <c r="AK166" s="254">
        <v>0.5</v>
      </c>
      <c r="AL166" s="254">
        <v>0.66666666666666663</v>
      </c>
      <c r="AM166" s="254">
        <v>0.46052631578947367</v>
      </c>
      <c r="AN166" s="254">
        <v>1.0592105263157894</v>
      </c>
      <c r="AO166" s="254">
        <v>1.05</v>
      </c>
      <c r="AP166" s="254">
        <v>1</v>
      </c>
      <c r="AQ166" s="254">
        <v>0</v>
      </c>
      <c r="AR166" s="254">
        <v>0</v>
      </c>
      <c r="AS166" s="254">
        <v>0</v>
      </c>
      <c r="AT166" s="254">
        <v>0</v>
      </c>
      <c r="AU166" s="254">
        <v>0</v>
      </c>
      <c r="AV166" s="254">
        <v>1.6</v>
      </c>
      <c r="AW166" s="254">
        <v>1.1000000000000001</v>
      </c>
      <c r="AX166" s="254">
        <v>1.4</v>
      </c>
      <c r="AY166" s="254">
        <v>1.013157894736842</v>
      </c>
      <c r="AZ166" s="254">
        <v>1.0592105263157894</v>
      </c>
      <c r="BA166" s="254">
        <v>0</v>
      </c>
      <c r="BB166" s="254">
        <v>0</v>
      </c>
      <c r="BC166" s="254">
        <v>0</v>
      </c>
      <c r="BD166" s="254">
        <v>0</v>
      </c>
      <c r="BE166" s="254">
        <v>0</v>
      </c>
      <c r="BF166" s="254">
        <v>0</v>
      </c>
      <c r="BG166" s="254">
        <v>0</v>
      </c>
      <c r="BH166" s="254">
        <v>0</v>
      </c>
      <c r="BI166" s="254">
        <v>0</v>
      </c>
      <c r="BJ166" s="254">
        <v>0</v>
      </c>
      <c r="BK166" s="254">
        <v>0</v>
      </c>
      <c r="BL166" s="254">
        <v>0</v>
      </c>
      <c r="BM166" s="254">
        <v>0</v>
      </c>
      <c r="BN166" s="254">
        <v>0</v>
      </c>
      <c r="BO166" s="254">
        <v>0</v>
      </c>
      <c r="BP166" s="254">
        <v>0</v>
      </c>
      <c r="BQ166" s="254">
        <v>0</v>
      </c>
      <c r="BR166" s="254">
        <v>0</v>
      </c>
      <c r="BS166" s="254">
        <v>0</v>
      </c>
      <c r="BT166" s="254">
        <v>0</v>
      </c>
      <c r="BU166" s="254">
        <v>0</v>
      </c>
      <c r="BV166" s="254">
        <v>0</v>
      </c>
      <c r="BW166" s="254">
        <v>0</v>
      </c>
      <c r="BX166" s="254">
        <v>0</v>
      </c>
      <c r="BY166" s="254">
        <v>0</v>
      </c>
      <c r="BZ166" s="254">
        <v>0</v>
      </c>
      <c r="CA166" s="254">
        <v>0</v>
      </c>
      <c r="CB166" s="254">
        <v>0</v>
      </c>
      <c r="CC166" s="254">
        <v>0</v>
      </c>
      <c r="CD166" s="254">
        <v>0</v>
      </c>
      <c r="CE166" s="254">
        <v>0</v>
      </c>
      <c r="CF166" s="254">
        <v>0</v>
      </c>
      <c r="CG166" s="254">
        <v>0</v>
      </c>
      <c r="CH166" s="254">
        <v>0</v>
      </c>
      <c r="CI166" s="254">
        <v>0</v>
      </c>
      <c r="CJ166" s="254">
        <v>0</v>
      </c>
      <c r="CK166" s="254">
        <v>0</v>
      </c>
      <c r="CL166" s="254">
        <v>0</v>
      </c>
      <c r="CM166" s="254">
        <v>0</v>
      </c>
      <c r="CN166" s="254">
        <v>0</v>
      </c>
      <c r="CO166" s="254">
        <v>0</v>
      </c>
      <c r="CP166" s="254">
        <v>0</v>
      </c>
      <c r="CQ166" s="116"/>
      <c r="CR166" s="255">
        <v>0</v>
      </c>
      <c r="CS166" s="255">
        <v>0</v>
      </c>
      <c r="CT166" s="255">
        <v>0</v>
      </c>
      <c r="CU166" s="255">
        <v>0</v>
      </c>
      <c r="CV166" s="255">
        <v>0</v>
      </c>
      <c r="CW166" s="255">
        <v>0</v>
      </c>
      <c r="CX166" s="255">
        <v>0</v>
      </c>
      <c r="CY166" s="255">
        <v>0</v>
      </c>
      <c r="CZ166" s="255">
        <v>0</v>
      </c>
      <c r="DA166" s="255">
        <v>0</v>
      </c>
      <c r="DB166" s="255">
        <v>0</v>
      </c>
      <c r="DC166" s="255">
        <v>0</v>
      </c>
      <c r="DD166" s="255">
        <v>0</v>
      </c>
      <c r="DE166" s="255">
        <v>0</v>
      </c>
      <c r="DF166" s="255">
        <v>0</v>
      </c>
      <c r="DG166" s="255">
        <v>0</v>
      </c>
      <c r="DH166" s="255">
        <v>0</v>
      </c>
      <c r="DI166" s="255">
        <v>0</v>
      </c>
      <c r="DJ166" s="255">
        <v>0</v>
      </c>
      <c r="DK166" s="255">
        <v>0</v>
      </c>
      <c r="DL166" s="255">
        <v>0</v>
      </c>
      <c r="DM166" s="255">
        <v>0</v>
      </c>
      <c r="DN166" s="255">
        <v>0</v>
      </c>
      <c r="DO166" s="255">
        <v>0</v>
      </c>
      <c r="DP166" s="255">
        <v>0</v>
      </c>
      <c r="DQ166" s="255">
        <v>15533.699999999999</v>
      </c>
      <c r="DR166" s="255">
        <v>15997.1</v>
      </c>
      <c r="DS166" s="255">
        <v>15997.1</v>
      </c>
      <c r="DT166" s="255">
        <v>15997.1</v>
      </c>
      <c r="DU166" s="255">
        <v>36793.33</v>
      </c>
      <c r="DV166" s="255">
        <v>33593.910000000003</v>
      </c>
      <c r="DW166" s="255">
        <v>31994.2</v>
      </c>
      <c r="DX166" s="255">
        <v>0</v>
      </c>
      <c r="DY166" s="255">
        <v>0</v>
      </c>
      <c r="DZ166" s="255">
        <v>0</v>
      </c>
      <c r="EA166" s="255">
        <v>0</v>
      </c>
      <c r="EB166" s="255">
        <v>0</v>
      </c>
      <c r="EC166" s="255">
        <v>51190.720000000001</v>
      </c>
      <c r="ED166" s="255">
        <v>36248.519999999997</v>
      </c>
      <c r="EE166" s="255">
        <v>34600.86</v>
      </c>
      <c r="EF166" s="255">
        <v>36248.519999999997</v>
      </c>
      <c r="EG166" s="255">
        <v>37896.18</v>
      </c>
      <c r="EH166" s="255">
        <v>0</v>
      </c>
      <c r="EI166" s="255">
        <v>0</v>
      </c>
      <c r="EJ166" s="255">
        <v>0</v>
      </c>
      <c r="EK166" s="255">
        <v>0</v>
      </c>
      <c r="EL166" s="255">
        <v>0</v>
      </c>
      <c r="EM166" s="255">
        <v>0</v>
      </c>
      <c r="EN166" s="255">
        <v>0</v>
      </c>
      <c r="EO166" s="255">
        <v>0</v>
      </c>
      <c r="EP166" s="255">
        <v>0</v>
      </c>
      <c r="EQ166" s="255">
        <v>0</v>
      </c>
      <c r="ER166" s="255">
        <v>0</v>
      </c>
      <c r="ES166" s="255">
        <v>0</v>
      </c>
      <c r="ET166" s="255">
        <v>0</v>
      </c>
      <c r="EU166" s="255">
        <v>0</v>
      </c>
      <c r="EV166" s="255">
        <v>0</v>
      </c>
      <c r="EW166" s="255">
        <v>0</v>
      </c>
      <c r="EX166" s="255">
        <v>0</v>
      </c>
      <c r="EY166" s="255">
        <v>0</v>
      </c>
      <c r="EZ166" s="255">
        <v>0</v>
      </c>
      <c r="FA166" s="255">
        <v>0</v>
      </c>
      <c r="FB166" s="255">
        <v>0</v>
      </c>
      <c r="FC166" s="255">
        <v>0</v>
      </c>
      <c r="FD166" s="255">
        <v>0</v>
      </c>
      <c r="FE166" s="255">
        <v>0</v>
      </c>
      <c r="FF166" s="255">
        <v>0</v>
      </c>
      <c r="FG166" s="255">
        <v>0</v>
      </c>
      <c r="FH166" s="255">
        <v>0</v>
      </c>
      <c r="FI166" s="255">
        <v>0</v>
      </c>
      <c r="FJ166" s="255">
        <v>0</v>
      </c>
      <c r="FK166" s="255">
        <v>0</v>
      </c>
      <c r="FL166" s="255">
        <v>0</v>
      </c>
      <c r="FM166" s="255">
        <v>0</v>
      </c>
      <c r="FN166" s="255">
        <v>0</v>
      </c>
      <c r="FO166" s="255">
        <v>0</v>
      </c>
      <c r="FP166" s="255">
        <v>0</v>
      </c>
      <c r="FQ166" s="255">
        <v>0</v>
      </c>
      <c r="FR166" s="255">
        <v>0</v>
      </c>
      <c r="FS166" s="255">
        <v>0</v>
      </c>
      <c r="FT166" s="255">
        <v>0</v>
      </c>
      <c r="FU166" s="255">
        <v>0</v>
      </c>
      <c r="FV166" s="255">
        <v>0</v>
      </c>
      <c r="FW166" s="255">
        <v>0</v>
      </c>
      <c r="FX166" s="116"/>
    </row>
    <row r="167" spans="2:180" x14ac:dyDescent="0.2">
      <c r="B167" s="253" t="s">
        <v>216</v>
      </c>
      <c r="C167" s="253" t="s">
        <v>327</v>
      </c>
      <c r="D167" s="253" t="s">
        <v>258</v>
      </c>
      <c r="E167" s="253" t="s">
        <v>127</v>
      </c>
      <c r="F167" s="253">
        <v>0</v>
      </c>
      <c r="G167" s="253" t="s">
        <v>322</v>
      </c>
      <c r="H167" s="237">
        <v>221.91</v>
      </c>
      <c r="I167" s="126">
        <f t="shared" si="87"/>
        <v>253723.8</v>
      </c>
      <c r="J167" s="116"/>
      <c r="K167" s="254">
        <v>0</v>
      </c>
      <c r="L167" s="254">
        <v>0</v>
      </c>
      <c r="M167" s="254">
        <v>0</v>
      </c>
      <c r="N167" s="254">
        <v>0</v>
      </c>
      <c r="O167" s="254">
        <v>0</v>
      </c>
      <c r="P167" s="254">
        <v>0</v>
      </c>
      <c r="Q167" s="254">
        <v>0</v>
      </c>
      <c r="R167" s="254">
        <v>0</v>
      </c>
      <c r="S167" s="254">
        <v>0</v>
      </c>
      <c r="T167" s="254">
        <v>0</v>
      </c>
      <c r="U167" s="254">
        <v>0</v>
      </c>
      <c r="V167" s="254">
        <v>0</v>
      </c>
      <c r="W167" s="254">
        <v>0</v>
      </c>
      <c r="X167" s="254">
        <v>0</v>
      </c>
      <c r="Y167" s="254">
        <v>0</v>
      </c>
      <c r="Z167" s="254">
        <v>0</v>
      </c>
      <c r="AA167" s="254">
        <v>0</v>
      </c>
      <c r="AB167" s="254">
        <v>0</v>
      </c>
      <c r="AC167" s="254">
        <v>0</v>
      </c>
      <c r="AD167" s="254">
        <v>0</v>
      </c>
      <c r="AE167" s="254">
        <v>0</v>
      </c>
      <c r="AF167" s="254">
        <v>0</v>
      </c>
      <c r="AG167" s="254">
        <v>0</v>
      </c>
      <c r="AH167" s="254">
        <v>0</v>
      </c>
      <c r="AI167" s="254">
        <v>0</v>
      </c>
      <c r="AJ167" s="254">
        <v>0.21428571428571427</v>
      </c>
      <c r="AK167" s="254">
        <v>0.21428571428571427</v>
      </c>
      <c r="AL167" s="254">
        <v>0.2857142857142857</v>
      </c>
      <c r="AM167" s="254">
        <v>0.19736842105263158</v>
      </c>
      <c r="AN167" s="254">
        <v>0.32894736842105265</v>
      </c>
      <c r="AO167" s="254">
        <v>0.35714285714285715</v>
      </c>
      <c r="AP167" s="254">
        <v>0.35714285714285715</v>
      </c>
      <c r="AQ167" s="254">
        <v>0</v>
      </c>
      <c r="AR167" s="254">
        <v>0</v>
      </c>
      <c r="AS167" s="254">
        <v>0</v>
      </c>
      <c r="AT167" s="254">
        <v>0</v>
      </c>
      <c r="AU167" s="254">
        <v>0</v>
      </c>
      <c r="AV167" s="254">
        <v>0.5714285714285714</v>
      </c>
      <c r="AW167" s="254">
        <v>0.35714285714285715</v>
      </c>
      <c r="AX167" s="254">
        <v>0.47619047619047616</v>
      </c>
      <c r="AY167" s="254">
        <v>0.32894736842105265</v>
      </c>
      <c r="AZ167" s="254">
        <v>0.32894736842105265</v>
      </c>
      <c r="BA167" s="254">
        <v>0</v>
      </c>
      <c r="BB167" s="254">
        <v>0</v>
      </c>
      <c r="BC167" s="254">
        <v>0</v>
      </c>
      <c r="BD167" s="254">
        <v>0</v>
      </c>
      <c r="BE167" s="254">
        <v>0</v>
      </c>
      <c r="BF167" s="254">
        <v>0</v>
      </c>
      <c r="BG167" s="254">
        <v>0</v>
      </c>
      <c r="BH167" s="254">
        <v>0</v>
      </c>
      <c r="BI167" s="254">
        <v>0</v>
      </c>
      <c r="BJ167" s="254">
        <v>0</v>
      </c>
      <c r="BK167" s="254">
        <v>0</v>
      </c>
      <c r="BL167" s="254">
        <v>0</v>
      </c>
      <c r="BM167" s="254">
        <v>0</v>
      </c>
      <c r="BN167" s="254">
        <v>0</v>
      </c>
      <c r="BO167" s="254">
        <v>0</v>
      </c>
      <c r="BP167" s="254">
        <v>0</v>
      </c>
      <c r="BQ167" s="254">
        <v>0</v>
      </c>
      <c r="BR167" s="254">
        <v>0</v>
      </c>
      <c r="BS167" s="254">
        <v>0</v>
      </c>
      <c r="BT167" s="254">
        <v>0</v>
      </c>
      <c r="BU167" s="254">
        <v>0</v>
      </c>
      <c r="BV167" s="254">
        <v>0</v>
      </c>
      <c r="BW167" s="254">
        <v>0</v>
      </c>
      <c r="BX167" s="254">
        <v>0</v>
      </c>
      <c r="BY167" s="254">
        <v>0</v>
      </c>
      <c r="BZ167" s="254">
        <v>0</v>
      </c>
      <c r="CA167" s="254">
        <v>0</v>
      </c>
      <c r="CB167" s="254">
        <v>0</v>
      </c>
      <c r="CC167" s="254">
        <v>0</v>
      </c>
      <c r="CD167" s="254">
        <v>0</v>
      </c>
      <c r="CE167" s="254">
        <v>0</v>
      </c>
      <c r="CF167" s="254">
        <v>0</v>
      </c>
      <c r="CG167" s="254">
        <v>0</v>
      </c>
      <c r="CH167" s="254">
        <v>0</v>
      </c>
      <c r="CI167" s="254">
        <v>0</v>
      </c>
      <c r="CJ167" s="254">
        <v>0</v>
      </c>
      <c r="CK167" s="254">
        <v>0</v>
      </c>
      <c r="CL167" s="254">
        <v>0</v>
      </c>
      <c r="CM167" s="254">
        <v>0</v>
      </c>
      <c r="CN167" s="254">
        <v>0</v>
      </c>
      <c r="CO167" s="254">
        <v>0</v>
      </c>
      <c r="CP167" s="254">
        <v>0</v>
      </c>
      <c r="CQ167" s="116"/>
      <c r="CR167" s="255">
        <v>0</v>
      </c>
      <c r="CS167" s="255">
        <v>0</v>
      </c>
      <c r="CT167" s="255">
        <v>0</v>
      </c>
      <c r="CU167" s="255">
        <v>0</v>
      </c>
      <c r="CV167" s="255">
        <v>0</v>
      </c>
      <c r="CW167" s="255">
        <v>0</v>
      </c>
      <c r="CX167" s="255">
        <v>0</v>
      </c>
      <c r="CY167" s="255">
        <v>0</v>
      </c>
      <c r="CZ167" s="255">
        <v>0</v>
      </c>
      <c r="DA167" s="255">
        <v>0</v>
      </c>
      <c r="DB167" s="255">
        <v>0</v>
      </c>
      <c r="DC167" s="255">
        <v>0</v>
      </c>
      <c r="DD167" s="255">
        <v>0</v>
      </c>
      <c r="DE167" s="255">
        <v>0</v>
      </c>
      <c r="DF167" s="255">
        <v>0</v>
      </c>
      <c r="DG167" s="255">
        <v>0</v>
      </c>
      <c r="DH167" s="255">
        <v>0</v>
      </c>
      <c r="DI167" s="255">
        <v>0</v>
      </c>
      <c r="DJ167" s="255">
        <v>0</v>
      </c>
      <c r="DK167" s="255">
        <v>0</v>
      </c>
      <c r="DL167" s="255">
        <v>0</v>
      </c>
      <c r="DM167" s="255">
        <v>0</v>
      </c>
      <c r="DN167" s="255">
        <v>0</v>
      </c>
      <c r="DO167" s="255">
        <v>0</v>
      </c>
      <c r="DP167" s="255">
        <v>0</v>
      </c>
      <c r="DQ167" s="255">
        <v>13314.6</v>
      </c>
      <c r="DR167" s="255">
        <v>13711.8</v>
      </c>
      <c r="DS167" s="255">
        <v>13711.8</v>
      </c>
      <c r="DT167" s="255">
        <v>13711.8</v>
      </c>
      <c r="DU167" s="255">
        <v>22853</v>
      </c>
      <c r="DV167" s="255">
        <v>22853</v>
      </c>
      <c r="DW167" s="255">
        <v>22853</v>
      </c>
      <c r="DX167" s="255">
        <v>0</v>
      </c>
      <c r="DY167" s="255">
        <v>0</v>
      </c>
      <c r="DZ167" s="255">
        <v>0</v>
      </c>
      <c r="EA167" s="255">
        <v>0</v>
      </c>
      <c r="EB167" s="255">
        <v>0</v>
      </c>
      <c r="EC167" s="255">
        <v>36564.800000000003</v>
      </c>
      <c r="ED167" s="255">
        <v>23537.5</v>
      </c>
      <c r="EE167" s="255">
        <v>23537.5</v>
      </c>
      <c r="EF167" s="255">
        <v>23537.5</v>
      </c>
      <c r="EG167" s="255">
        <v>23537.5</v>
      </c>
      <c r="EH167" s="255">
        <v>0</v>
      </c>
      <c r="EI167" s="255">
        <v>0</v>
      </c>
      <c r="EJ167" s="255">
        <v>0</v>
      </c>
      <c r="EK167" s="255">
        <v>0</v>
      </c>
      <c r="EL167" s="255">
        <v>0</v>
      </c>
      <c r="EM167" s="255">
        <v>0</v>
      </c>
      <c r="EN167" s="255">
        <v>0</v>
      </c>
      <c r="EO167" s="255">
        <v>0</v>
      </c>
      <c r="EP167" s="255">
        <v>0</v>
      </c>
      <c r="EQ167" s="255">
        <v>0</v>
      </c>
      <c r="ER167" s="255">
        <v>0</v>
      </c>
      <c r="ES167" s="255">
        <v>0</v>
      </c>
      <c r="ET167" s="255">
        <v>0</v>
      </c>
      <c r="EU167" s="255">
        <v>0</v>
      </c>
      <c r="EV167" s="255">
        <v>0</v>
      </c>
      <c r="EW167" s="255">
        <v>0</v>
      </c>
      <c r="EX167" s="255">
        <v>0</v>
      </c>
      <c r="EY167" s="255">
        <v>0</v>
      </c>
      <c r="EZ167" s="255">
        <v>0</v>
      </c>
      <c r="FA167" s="255">
        <v>0</v>
      </c>
      <c r="FB167" s="255">
        <v>0</v>
      </c>
      <c r="FC167" s="255">
        <v>0</v>
      </c>
      <c r="FD167" s="255">
        <v>0</v>
      </c>
      <c r="FE167" s="255">
        <v>0</v>
      </c>
      <c r="FF167" s="255">
        <v>0</v>
      </c>
      <c r="FG167" s="255">
        <v>0</v>
      </c>
      <c r="FH167" s="255">
        <v>0</v>
      </c>
      <c r="FI167" s="255">
        <v>0</v>
      </c>
      <c r="FJ167" s="255">
        <v>0</v>
      </c>
      <c r="FK167" s="255">
        <v>0</v>
      </c>
      <c r="FL167" s="255">
        <v>0</v>
      </c>
      <c r="FM167" s="255">
        <v>0</v>
      </c>
      <c r="FN167" s="255">
        <v>0</v>
      </c>
      <c r="FO167" s="255">
        <v>0</v>
      </c>
      <c r="FP167" s="255">
        <v>0</v>
      </c>
      <c r="FQ167" s="255">
        <v>0</v>
      </c>
      <c r="FR167" s="255">
        <v>0</v>
      </c>
      <c r="FS167" s="255">
        <v>0</v>
      </c>
      <c r="FT167" s="255">
        <v>0</v>
      </c>
      <c r="FU167" s="255">
        <v>0</v>
      </c>
      <c r="FV167" s="255">
        <v>0</v>
      </c>
      <c r="FW167" s="255">
        <v>0</v>
      </c>
      <c r="FX167" s="116"/>
    </row>
    <row r="168" spans="2:180" x14ac:dyDescent="0.2">
      <c r="B168" s="253" t="s">
        <v>216</v>
      </c>
      <c r="C168" s="253" t="s">
        <v>328</v>
      </c>
      <c r="D168" s="253" t="s">
        <v>258</v>
      </c>
      <c r="E168" s="253" t="s">
        <v>127</v>
      </c>
      <c r="F168" s="253" t="s">
        <v>259</v>
      </c>
      <c r="G168" s="253" t="s">
        <v>260</v>
      </c>
      <c r="H168" s="237">
        <v>202.73</v>
      </c>
      <c r="I168" s="126">
        <f t="shared" si="87"/>
        <v>70187.879999999976</v>
      </c>
      <c r="J168" s="116"/>
      <c r="K168" s="254">
        <v>0</v>
      </c>
      <c r="L168" s="254">
        <v>0</v>
      </c>
      <c r="M168" s="254">
        <v>0</v>
      </c>
      <c r="N168" s="254">
        <v>0</v>
      </c>
      <c r="O168" s="254">
        <v>0</v>
      </c>
      <c r="P168" s="254">
        <v>0</v>
      </c>
      <c r="Q168" s="254">
        <v>0</v>
      </c>
      <c r="R168" s="254">
        <v>0</v>
      </c>
      <c r="S168" s="254">
        <v>0</v>
      </c>
      <c r="T168" s="254">
        <v>0</v>
      </c>
      <c r="U168" s="254">
        <v>0</v>
      </c>
      <c r="V168" s="254">
        <v>0</v>
      </c>
      <c r="W168" s="254">
        <v>0</v>
      </c>
      <c r="X168" s="254">
        <v>0</v>
      </c>
      <c r="Y168" s="254">
        <v>0</v>
      </c>
      <c r="Z168" s="254">
        <v>0</v>
      </c>
      <c r="AA168" s="254">
        <v>0</v>
      </c>
      <c r="AB168" s="254">
        <v>0</v>
      </c>
      <c r="AC168" s="254">
        <v>0</v>
      </c>
      <c r="AD168" s="254">
        <v>0</v>
      </c>
      <c r="AE168" s="254">
        <v>0.1</v>
      </c>
      <c r="AF168" s="254">
        <v>0.1</v>
      </c>
      <c r="AG168" s="254">
        <v>0.1</v>
      </c>
      <c r="AH168" s="254">
        <v>0.13333333333333333</v>
      </c>
      <c r="AI168" s="254">
        <v>0.13333333333333333</v>
      </c>
      <c r="AJ168" s="254">
        <v>0.1</v>
      </c>
      <c r="AK168" s="254">
        <v>0.1</v>
      </c>
      <c r="AL168" s="254">
        <v>0.13333333333333333</v>
      </c>
      <c r="AM168" s="254">
        <v>9.2105263157894732E-2</v>
      </c>
      <c r="AN168" s="254">
        <v>9.2105263157894732E-2</v>
      </c>
      <c r="AO168" s="254">
        <v>0.1</v>
      </c>
      <c r="AP168" s="254">
        <v>0.1</v>
      </c>
      <c r="AQ168" s="254">
        <v>0.1</v>
      </c>
      <c r="AR168" s="254">
        <v>0.1</v>
      </c>
      <c r="AS168" s="254">
        <v>0.1</v>
      </c>
      <c r="AT168" s="254">
        <v>0.13333333333333333</v>
      </c>
      <c r="AU168" s="254">
        <v>0.13333333333333333</v>
      </c>
      <c r="AV168" s="254">
        <v>0.1</v>
      </c>
      <c r="AW168" s="254">
        <v>0.1</v>
      </c>
      <c r="AX168" s="254">
        <v>0.13333333333333333</v>
      </c>
      <c r="AY168" s="254">
        <v>9.2105263157894732E-2</v>
      </c>
      <c r="AZ168" s="254">
        <v>9.2105263157894732E-2</v>
      </c>
      <c r="BA168" s="254">
        <v>0.1</v>
      </c>
      <c r="BB168" s="254">
        <v>0.1</v>
      </c>
      <c r="BC168" s="254">
        <v>0</v>
      </c>
      <c r="BD168" s="254">
        <v>0</v>
      </c>
      <c r="BE168" s="254">
        <v>0</v>
      </c>
      <c r="BF168" s="254">
        <v>0</v>
      </c>
      <c r="BG168" s="254">
        <v>0</v>
      </c>
      <c r="BH168" s="254">
        <v>0</v>
      </c>
      <c r="BI168" s="254">
        <v>0</v>
      </c>
      <c r="BJ168" s="254">
        <v>0</v>
      </c>
      <c r="BK168" s="254">
        <v>0</v>
      </c>
      <c r="BL168" s="254">
        <v>0</v>
      </c>
      <c r="BM168" s="254">
        <v>0</v>
      </c>
      <c r="BN168" s="254">
        <v>0</v>
      </c>
      <c r="BO168" s="254">
        <v>0</v>
      </c>
      <c r="BP168" s="254">
        <v>0</v>
      </c>
      <c r="BQ168" s="254">
        <v>0</v>
      </c>
      <c r="BR168" s="254">
        <v>0</v>
      </c>
      <c r="BS168" s="254">
        <v>0</v>
      </c>
      <c r="BT168" s="254">
        <v>0</v>
      </c>
      <c r="BU168" s="254">
        <v>0</v>
      </c>
      <c r="BV168" s="254">
        <v>0</v>
      </c>
      <c r="BW168" s="254">
        <v>0</v>
      </c>
      <c r="BX168" s="254">
        <v>0</v>
      </c>
      <c r="BY168" s="254">
        <v>0</v>
      </c>
      <c r="BZ168" s="254">
        <v>0</v>
      </c>
      <c r="CA168" s="254">
        <v>0</v>
      </c>
      <c r="CB168" s="254">
        <v>0</v>
      </c>
      <c r="CC168" s="254">
        <v>0</v>
      </c>
      <c r="CD168" s="254">
        <v>0</v>
      </c>
      <c r="CE168" s="254">
        <v>0</v>
      </c>
      <c r="CF168" s="254">
        <v>0</v>
      </c>
      <c r="CG168" s="254">
        <v>0</v>
      </c>
      <c r="CH168" s="254">
        <v>0</v>
      </c>
      <c r="CI168" s="254">
        <v>0</v>
      </c>
      <c r="CJ168" s="254">
        <v>0</v>
      </c>
      <c r="CK168" s="254">
        <v>0</v>
      </c>
      <c r="CL168" s="254">
        <v>0</v>
      </c>
      <c r="CM168" s="254">
        <v>0</v>
      </c>
      <c r="CN168" s="254">
        <v>0</v>
      </c>
      <c r="CO168" s="254">
        <v>0</v>
      </c>
      <c r="CP168" s="254">
        <v>0</v>
      </c>
      <c r="CQ168" s="116"/>
      <c r="CR168" s="255">
        <v>0</v>
      </c>
      <c r="CS168" s="255">
        <v>0</v>
      </c>
      <c r="CT168" s="255">
        <v>0</v>
      </c>
      <c r="CU168" s="255">
        <v>0</v>
      </c>
      <c r="CV168" s="255">
        <v>0</v>
      </c>
      <c r="CW168" s="255">
        <v>0</v>
      </c>
      <c r="CX168" s="255">
        <v>0</v>
      </c>
      <c r="CY168" s="255">
        <v>0</v>
      </c>
      <c r="CZ168" s="255">
        <v>0</v>
      </c>
      <c r="DA168" s="255">
        <v>0</v>
      </c>
      <c r="DB168" s="255">
        <v>0</v>
      </c>
      <c r="DC168" s="255">
        <v>0</v>
      </c>
      <c r="DD168" s="255">
        <v>0</v>
      </c>
      <c r="DE168" s="255">
        <v>0</v>
      </c>
      <c r="DF168" s="255">
        <v>0</v>
      </c>
      <c r="DG168" s="255">
        <v>0</v>
      </c>
      <c r="DH168" s="255">
        <v>0</v>
      </c>
      <c r="DI168" s="255">
        <v>0</v>
      </c>
      <c r="DJ168" s="255">
        <v>0</v>
      </c>
      <c r="DK168" s="255">
        <v>0</v>
      </c>
      <c r="DL168" s="255">
        <v>2838.22</v>
      </c>
      <c r="DM168" s="255">
        <v>2838.22</v>
      </c>
      <c r="DN168" s="255">
        <v>2838.22</v>
      </c>
      <c r="DO168" s="255">
        <v>2838.22</v>
      </c>
      <c r="DP168" s="255">
        <v>2838.22</v>
      </c>
      <c r="DQ168" s="255">
        <v>2838.22</v>
      </c>
      <c r="DR168" s="255">
        <v>2924.46</v>
      </c>
      <c r="DS168" s="255">
        <v>2924.46</v>
      </c>
      <c r="DT168" s="255">
        <v>2924.46</v>
      </c>
      <c r="DU168" s="255">
        <v>2924.46</v>
      </c>
      <c r="DV168" s="255">
        <v>2924.46</v>
      </c>
      <c r="DW168" s="255">
        <v>2924.46</v>
      </c>
      <c r="DX168" s="255">
        <v>2924.46</v>
      </c>
      <c r="DY168" s="255">
        <v>2924.46</v>
      </c>
      <c r="DZ168" s="255">
        <v>2924.46</v>
      </c>
      <c r="EA168" s="255">
        <v>2924.46</v>
      </c>
      <c r="EB168" s="255">
        <v>2924.46</v>
      </c>
      <c r="EC168" s="255">
        <v>2924.46</v>
      </c>
      <c r="ED168" s="255">
        <v>3010.84</v>
      </c>
      <c r="EE168" s="255">
        <v>3010.84</v>
      </c>
      <c r="EF168" s="255">
        <v>3010.84</v>
      </c>
      <c r="EG168" s="255">
        <v>3010.84</v>
      </c>
      <c r="EH168" s="255">
        <v>3010.84</v>
      </c>
      <c r="EI168" s="255">
        <v>3010.84</v>
      </c>
      <c r="EJ168" s="255">
        <v>0</v>
      </c>
      <c r="EK168" s="255">
        <v>0</v>
      </c>
      <c r="EL168" s="255">
        <v>0</v>
      </c>
      <c r="EM168" s="255">
        <v>0</v>
      </c>
      <c r="EN168" s="255">
        <v>0</v>
      </c>
      <c r="EO168" s="255">
        <v>0</v>
      </c>
      <c r="EP168" s="255">
        <v>0</v>
      </c>
      <c r="EQ168" s="255">
        <v>0</v>
      </c>
      <c r="ER168" s="255">
        <v>0</v>
      </c>
      <c r="ES168" s="255">
        <v>0</v>
      </c>
      <c r="ET168" s="255">
        <v>0</v>
      </c>
      <c r="EU168" s="255">
        <v>0</v>
      </c>
      <c r="EV168" s="255">
        <v>0</v>
      </c>
      <c r="EW168" s="255">
        <v>0</v>
      </c>
      <c r="EX168" s="255">
        <v>0</v>
      </c>
      <c r="EY168" s="255">
        <v>0</v>
      </c>
      <c r="EZ168" s="255">
        <v>0</v>
      </c>
      <c r="FA168" s="255">
        <v>0</v>
      </c>
      <c r="FB168" s="255">
        <v>0</v>
      </c>
      <c r="FC168" s="255">
        <v>0</v>
      </c>
      <c r="FD168" s="255">
        <v>0</v>
      </c>
      <c r="FE168" s="255">
        <v>0</v>
      </c>
      <c r="FF168" s="255">
        <v>0</v>
      </c>
      <c r="FG168" s="255">
        <v>0</v>
      </c>
      <c r="FH168" s="255">
        <v>0</v>
      </c>
      <c r="FI168" s="255">
        <v>0</v>
      </c>
      <c r="FJ168" s="255">
        <v>0</v>
      </c>
      <c r="FK168" s="255">
        <v>0</v>
      </c>
      <c r="FL168" s="255">
        <v>0</v>
      </c>
      <c r="FM168" s="255">
        <v>0</v>
      </c>
      <c r="FN168" s="255">
        <v>0</v>
      </c>
      <c r="FO168" s="255">
        <v>0</v>
      </c>
      <c r="FP168" s="255">
        <v>0</v>
      </c>
      <c r="FQ168" s="255">
        <v>0</v>
      </c>
      <c r="FR168" s="255">
        <v>0</v>
      </c>
      <c r="FS168" s="255">
        <v>0</v>
      </c>
      <c r="FT168" s="255">
        <v>0</v>
      </c>
      <c r="FU168" s="255">
        <v>0</v>
      </c>
      <c r="FV168" s="255">
        <v>0</v>
      </c>
      <c r="FW168" s="255">
        <v>0</v>
      </c>
      <c r="FX168" s="116"/>
    </row>
    <row r="169" spans="2:180" x14ac:dyDescent="0.2">
      <c r="B169" s="253" t="s">
        <v>216</v>
      </c>
      <c r="C169" s="253" t="s">
        <v>271</v>
      </c>
      <c r="D169" s="253" t="s">
        <v>258</v>
      </c>
      <c r="E169" s="253" t="s">
        <v>127</v>
      </c>
      <c r="F169" s="253" t="s">
        <v>259</v>
      </c>
      <c r="G169" s="253" t="s">
        <v>260</v>
      </c>
      <c r="H169" s="237">
        <v>202.73</v>
      </c>
      <c r="I169" s="126">
        <f t="shared" si="87"/>
        <v>205356.62</v>
      </c>
      <c r="J169" s="116"/>
      <c r="K169" s="254">
        <v>0</v>
      </c>
      <c r="L169" s="254">
        <v>0</v>
      </c>
      <c r="M169" s="254">
        <v>0</v>
      </c>
      <c r="N169" s="254">
        <v>0</v>
      </c>
      <c r="O169" s="254">
        <v>0</v>
      </c>
      <c r="P169" s="254">
        <v>0</v>
      </c>
      <c r="Q169" s="254">
        <v>0</v>
      </c>
      <c r="R169" s="254">
        <v>0</v>
      </c>
      <c r="S169" s="254">
        <v>0</v>
      </c>
      <c r="T169" s="254">
        <v>0</v>
      </c>
      <c r="U169" s="254">
        <v>0</v>
      </c>
      <c r="V169" s="254">
        <v>0</v>
      </c>
      <c r="W169" s="254">
        <v>0</v>
      </c>
      <c r="X169" s="254">
        <v>0</v>
      </c>
      <c r="Y169" s="254">
        <v>0</v>
      </c>
      <c r="Z169" s="254">
        <v>0</v>
      </c>
      <c r="AA169" s="254">
        <v>0</v>
      </c>
      <c r="AB169" s="254">
        <v>0</v>
      </c>
      <c r="AC169" s="254">
        <v>0</v>
      </c>
      <c r="AD169" s="254">
        <v>0</v>
      </c>
      <c r="AE169" s="254">
        <v>0.5</v>
      </c>
      <c r="AF169" s="254">
        <v>0.5</v>
      </c>
      <c r="AG169" s="254">
        <v>0.5</v>
      </c>
      <c r="AH169" s="254">
        <v>0.66666666666666663</v>
      </c>
      <c r="AI169" s="254">
        <v>0</v>
      </c>
      <c r="AJ169" s="254">
        <v>0</v>
      </c>
      <c r="AK169" s="254">
        <v>0</v>
      </c>
      <c r="AL169" s="254">
        <v>0</v>
      </c>
      <c r="AM169" s="254">
        <v>0</v>
      </c>
      <c r="AN169" s="254">
        <v>0.23026315789473684</v>
      </c>
      <c r="AO169" s="254">
        <v>0.25</v>
      </c>
      <c r="AP169" s="254">
        <v>0.75</v>
      </c>
      <c r="AQ169" s="254">
        <v>0.5</v>
      </c>
      <c r="AR169" s="254">
        <v>0.5</v>
      </c>
      <c r="AS169" s="254">
        <v>0.5</v>
      </c>
      <c r="AT169" s="254">
        <v>0.66666666666666663</v>
      </c>
      <c r="AU169" s="254">
        <v>0.66666666666666663</v>
      </c>
      <c r="AV169" s="254">
        <v>0.25</v>
      </c>
      <c r="AW169" s="254">
        <v>0.25</v>
      </c>
      <c r="AX169" s="254">
        <v>0.33333333333333331</v>
      </c>
      <c r="AY169" s="254">
        <v>0.23026315789473684</v>
      </c>
      <c r="AZ169" s="254">
        <v>0.23026315789473684</v>
      </c>
      <c r="BA169" s="254">
        <v>0.05</v>
      </c>
      <c r="BB169" s="254">
        <v>0</v>
      </c>
      <c r="BC169" s="254">
        <v>0</v>
      </c>
      <c r="BD169" s="254">
        <v>0</v>
      </c>
      <c r="BE169" s="254">
        <v>0</v>
      </c>
      <c r="BF169" s="254">
        <v>0</v>
      </c>
      <c r="BG169" s="254">
        <v>0</v>
      </c>
      <c r="BH169" s="254">
        <v>0</v>
      </c>
      <c r="BI169" s="254">
        <v>0</v>
      </c>
      <c r="BJ169" s="254">
        <v>0</v>
      </c>
      <c r="BK169" s="254">
        <v>0</v>
      </c>
      <c r="BL169" s="254">
        <v>0</v>
      </c>
      <c r="BM169" s="254">
        <v>0</v>
      </c>
      <c r="BN169" s="254">
        <v>0</v>
      </c>
      <c r="BO169" s="254">
        <v>0</v>
      </c>
      <c r="BP169" s="254">
        <v>0</v>
      </c>
      <c r="BQ169" s="254">
        <v>0</v>
      </c>
      <c r="BR169" s="254">
        <v>0</v>
      </c>
      <c r="BS169" s="254">
        <v>0</v>
      </c>
      <c r="BT169" s="254">
        <v>0</v>
      </c>
      <c r="BU169" s="254">
        <v>0</v>
      </c>
      <c r="BV169" s="254">
        <v>0</v>
      </c>
      <c r="BW169" s="254">
        <v>0</v>
      </c>
      <c r="BX169" s="254">
        <v>0</v>
      </c>
      <c r="BY169" s="254">
        <v>0</v>
      </c>
      <c r="BZ169" s="254">
        <v>0</v>
      </c>
      <c r="CA169" s="254">
        <v>0</v>
      </c>
      <c r="CB169" s="254">
        <v>0</v>
      </c>
      <c r="CC169" s="254">
        <v>0</v>
      </c>
      <c r="CD169" s="254">
        <v>0</v>
      </c>
      <c r="CE169" s="254">
        <v>0</v>
      </c>
      <c r="CF169" s="254">
        <v>0</v>
      </c>
      <c r="CG169" s="254">
        <v>0</v>
      </c>
      <c r="CH169" s="254">
        <v>0</v>
      </c>
      <c r="CI169" s="254">
        <v>0</v>
      </c>
      <c r="CJ169" s="254">
        <v>0</v>
      </c>
      <c r="CK169" s="254">
        <v>0</v>
      </c>
      <c r="CL169" s="254">
        <v>0</v>
      </c>
      <c r="CM169" s="254">
        <v>0</v>
      </c>
      <c r="CN169" s="254">
        <v>0</v>
      </c>
      <c r="CO169" s="254">
        <v>0</v>
      </c>
      <c r="CP169" s="254">
        <v>0</v>
      </c>
      <c r="CQ169" s="116"/>
      <c r="CR169" s="255">
        <v>0</v>
      </c>
      <c r="CS169" s="255">
        <v>0</v>
      </c>
      <c r="CT169" s="255">
        <v>0</v>
      </c>
      <c r="CU169" s="255">
        <v>0</v>
      </c>
      <c r="CV169" s="255">
        <v>0</v>
      </c>
      <c r="CW169" s="255">
        <v>0</v>
      </c>
      <c r="CX169" s="255">
        <v>0</v>
      </c>
      <c r="CY169" s="255">
        <v>0</v>
      </c>
      <c r="CZ169" s="255">
        <v>0</v>
      </c>
      <c r="DA169" s="255">
        <v>0</v>
      </c>
      <c r="DB169" s="255">
        <v>0</v>
      </c>
      <c r="DC169" s="255">
        <v>0</v>
      </c>
      <c r="DD169" s="255">
        <v>0</v>
      </c>
      <c r="DE169" s="255">
        <v>0</v>
      </c>
      <c r="DF169" s="255">
        <v>0</v>
      </c>
      <c r="DG169" s="255">
        <v>0</v>
      </c>
      <c r="DH169" s="255">
        <v>0</v>
      </c>
      <c r="DI169" s="255">
        <v>0</v>
      </c>
      <c r="DJ169" s="255">
        <v>0</v>
      </c>
      <c r="DK169" s="255">
        <v>0</v>
      </c>
      <c r="DL169" s="255">
        <v>14191.099999999999</v>
      </c>
      <c r="DM169" s="255">
        <v>14191.099999999999</v>
      </c>
      <c r="DN169" s="255">
        <v>14191.099999999999</v>
      </c>
      <c r="DO169" s="255">
        <v>14191.099999999999</v>
      </c>
      <c r="DP169" s="255">
        <v>0</v>
      </c>
      <c r="DQ169" s="255">
        <v>0</v>
      </c>
      <c r="DR169" s="255">
        <v>0</v>
      </c>
      <c r="DS169" s="255">
        <v>0</v>
      </c>
      <c r="DT169" s="255">
        <v>0</v>
      </c>
      <c r="DU169" s="255">
        <v>7311.15</v>
      </c>
      <c r="DV169" s="255">
        <v>7311.15</v>
      </c>
      <c r="DW169" s="255">
        <v>21933.449999999997</v>
      </c>
      <c r="DX169" s="255">
        <v>14622.3</v>
      </c>
      <c r="DY169" s="255">
        <v>14622.3</v>
      </c>
      <c r="DZ169" s="255">
        <v>14622.3</v>
      </c>
      <c r="EA169" s="255">
        <v>14622.3</v>
      </c>
      <c r="EB169" s="255">
        <v>14622.3</v>
      </c>
      <c r="EC169" s="255">
        <v>7311.15</v>
      </c>
      <c r="ED169" s="255">
        <v>7527.1</v>
      </c>
      <c r="EE169" s="255">
        <v>7527.1</v>
      </c>
      <c r="EF169" s="255">
        <v>7527.1</v>
      </c>
      <c r="EG169" s="255">
        <v>7527.1</v>
      </c>
      <c r="EH169" s="255">
        <v>1505.42</v>
      </c>
      <c r="EI169" s="255">
        <v>0</v>
      </c>
      <c r="EJ169" s="255">
        <v>0</v>
      </c>
      <c r="EK169" s="255">
        <v>0</v>
      </c>
      <c r="EL169" s="255">
        <v>0</v>
      </c>
      <c r="EM169" s="255">
        <v>0</v>
      </c>
      <c r="EN169" s="255">
        <v>0</v>
      </c>
      <c r="EO169" s="255">
        <v>0</v>
      </c>
      <c r="EP169" s="255">
        <v>0</v>
      </c>
      <c r="EQ169" s="255">
        <v>0</v>
      </c>
      <c r="ER169" s="255">
        <v>0</v>
      </c>
      <c r="ES169" s="255">
        <v>0</v>
      </c>
      <c r="ET169" s="255">
        <v>0</v>
      </c>
      <c r="EU169" s="255">
        <v>0</v>
      </c>
      <c r="EV169" s="255">
        <v>0</v>
      </c>
      <c r="EW169" s="255">
        <v>0</v>
      </c>
      <c r="EX169" s="255">
        <v>0</v>
      </c>
      <c r="EY169" s="255">
        <v>0</v>
      </c>
      <c r="EZ169" s="255">
        <v>0</v>
      </c>
      <c r="FA169" s="255">
        <v>0</v>
      </c>
      <c r="FB169" s="255">
        <v>0</v>
      </c>
      <c r="FC169" s="255">
        <v>0</v>
      </c>
      <c r="FD169" s="255">
        <v>0</v>
      </c>
      <c r="FE169" s="255">
        <v>0</v>
      </c>
      <c r="FF169" s="255">
        <v>0</v>
      </c>
      <c r="FG169" s="255">
        <v>0</v>
      </c>
      <c r="FH169" s="255">
        <v>0</v>
      </c>
      <c r="FI169" s="255">
        <v>0</v>
      </c>
      <c r="FJ169" s="255">
        <v>0</v>
      </c>
      <c r="FK169" s="255">
        <v>0</v>
      </c>
      <c r="FL169" s="255">
        <v>0</v>
      </c>
      <c r="FM169" s="255">
        <v>0</v>
      </c>
      <c r="FN169" s="255">
        <v>0</v>
      </c>
      <c r="FO169" s="255">
        <v>0</v>
      </c>
      <c r="FP169" s="255">
        <v>0</v>
      </c>
      <c r="FQ169" s="255">
        <v>0</v>
      </c>
      <c r="FR169" s="255">
        <v>0</v>
      </c>
      <c r="FS169" s="255">
        <v>0</v>
      </c>
      <c r="FT169" s="255">
        <v>0</v>
      </c>
      <c r="FU169" s="255">
        <v>0</v>
      </c>
      <c r="FV169" s="255">
        <v>0</v>
      </c>
      <c r="FW169" s="255">
        <v>0</v>
      </c>
      <c r="FX169" s="116"/>
    </row>
    <row r="170" spans="2:180" x14ac:dyDescent="0.2">
      <c r="B170" s="253" t="s">
        <v>216</v>
      </c>
      <c r="C170" s="253" t="s">
        <v>329</v>
      </c>
      <c r="D170" s="253" t="s">
        <v>258</v>
      </c>
      <c r="E170" s="253" t="s">
        <v>127</v>
      </c>
      <c r="F170" s="253" t="s">
        <v>259</v>
      </c>
      <c r="G170" s="253" t="s">
        <v>260</v>
      </c>
      <c r="H170" s="237">
        <v>195.66</v>
      </c>
      <c r="I170" s="126">
        <f t="shared" si="87"/>
        <v>294841.61000000004</v>
      </c>
      <c r="J170" s="116"/>
      <c r="K170" s="254">
        <v>0</v>
      </c>
      <c r="L170" s="254">
        <v>0</v>
      </c>
      <c r="M170" s="254">
        <v>0</v>
      </c>
      <c r="N170" s="254">
        <v>0</v>
      </c>
      <c r="O170" s="254">
        <v>0</v>
      </c>
      <c r="P170" s="254">
        <v>0</v>
      </c>
      <c r="Q170" s="254">
        <v>0</v>
      </c>
      <c r="R170" s="254">
        <v>0</v>
      </c>
      <c r="S170" s="254">
        <v>0</v>
      </c>
      <c r="T170" s="254">
        <v>0</v>
      </c>
      <c r="U170" s="254">
        <v>0</v>
      </c>
      <c r="V170" s="254">
        <v>0</v>
      </c>
      <c r="W170" s="254">
        <v>0</v>
      </c>
      <c r="X170" s="254">
        <v>0</v>
      </c>
      <c r="Y170" s="254">
        <v>0</v>
      </c>
      <c r="Z170" s="254">
        <v>0</v>
      </c>
      <c r="AA170" s="254">
        <v>0</v>
      </c>
      <c r="AB170" s="254">
        <v>0</v>
      </c>
      <c r="AC170" s="254">
        <v>0</v>
      </c>
      <c r="AD170" s="254">
        <v>0</v>
      </c>
      <c r="AE170" s="254">
        <v>0</v>
      </c>
      <c r="AF170" s="254">
        <v>0</v>
      </c>
      <c r="AG170" s="254">
        <v>0</v>
      </c>
      <c r="AH170" s="254">
        <v>0</v>
      </c>
      <c r="AI170" s="254">
        <v>0</v>
      </c>
      <c r="AJ170" s="254">
        <v>1.1000000000000001</v>
      </c>
      <c r="AK170" s="254">
        <v>1.55</v>
      </c>
      <c r="AL170" s="254">
        <v>1.4666666666666666</v>
      </c>
      <c r="AM170" s="254">
        <v>0.96710526315789469</v>
      </c>
      <c r="AN170" s="254">
        <v>1.4276315789473684</v>
      </c>
      <c r="AO170" s="254">
        <v>1.5</v>
      </c>
      <c r="AP170" s="254">
        <v>0.5</v>
      </c>
      <c r="AQ170" s="254">
        <v>0</v>
      </c>
      <c r="AR170" s="254">
        <v>0</v>
      </c>
      <c r="AS170" s="254">
        <v>0</v>
      </c>
      <c r="AT170" s="254">
        <v>0</v>
      </c>
      <c r="AU170" s="254">
        <v>0</v>
      </c>
      <c r="AV170" s="254">
        <v>1.1000000000000001</v>
      </c>
      <c r="AW170" s="254">
        <v>0.5</v>
      </c>
      <c r="AX170" s="254">
        <v>0.66666666666666663</v>
      </c>
      <c r="AY170" s="254">
        <v>0</v>
      </c>
      <c r="AZ170" s="254">
        <v>0</v>
      </c>
      <c r="BA170" s="254">
        <v>0</v>
      </c>
      <c r="BB170" s="254">
        <v>0</v>
      </c>
      <c r="BC170" s="254">
        <v>0</v>
      </c>
      <c r="BD170" s="254">
        <v>0</v>
      </c>
      <c r="BE170" s="254">
        <v>0</v>
      </c>
      <c r="BF170" s="254">
        <v>0</v>
      </c>
      <c r="BG170" s="254">
        <v>0</v>
      </c>
      <c r="BH170" s="254">
        <v>0</v>
      </c>
      <c r="BI170" s="254">
        <v>0</v>
      </c>
      <c r="BJ170" s="254">
        <v>0</v>
      </c>
      <c r="BK170" s="254">
        <v>0</v>
      </c>
      <c r="BL170" s="254">
        <v>0</v>
      </c>
      <c r="BM170" s="254">
        <v>0</v>
      </c>
      <c r="BN170" s="254">
        <v>0</v>
      </c>
      <c r="BO170" s="254">
        <v>0</v>
      </c>
      <c r="BP170" s="254">
        <v>0</v>
      </c>
      <c r="BQ170" s="254">
        <v>0</v>
      </c>
      <c r="BR170" s="254">
        <v>0</v>
      </c>
      <c r="BS170" s="254">
        <v>0</v>
      </c>
      <c r="BT170" s="254">
        <v>0</v>
      </c>
      <c r="BU170" s="254">
        <v>0</v>
      </c>
      <c r="BV170" s="254">
        <v>0</v>
      </c>
      <c r="BW170" s="254">
        <v>0</v>
      </c>
      <c r="BX170" s="254">
        <v>0</v>
      </c>
      <c r="BY170" s="254">
        <v>0</v>
      </c>
      <c r="BZ170" s="254">
        <v>0</v>
      </c>
      <c r="CA170" s="254">
        <v>0</v>
      </c>
      <c r="CB170" s="254">
        <v>0</v>
      </c>
      <c r="CC170" s="254">
        <v>0</v>
      </c>
      <c r="CD170" s="254">
        <v>0</v>
      </c>
      <c r="CE170" s="254">
        <v>0</v>
      </c>
      <c r="CF170" s="254">
        <v>0</v>
      </c>
      <c r="CG170" s="254">
        <v>0</v>
      </c>
      <c r="CH170" s="254">
        <v>0</v>
      </c>
      <c r="CI170" s="254">
        <v>0</v>
      </c>
      <c r="CJ170" s="254">
        <v>0</v>
      </c>
      <c r="CK170" s="254">
        <v>0</v>
      </c>
      <c r="CL170" s="254">
        <v>0</v>
      </c>
      <c r="CM170" s="254">
        <v>0</v>
      </c>
      <c r="CN170" s="254">
        <v>0</v>
      </c>
      <c r="CO170" s="254">
        <v>0</v>
      </c>
      <c r="CP170" s="254">
        <v>0</v>
      </c>
      <c r="CQ170" s="116"/>
      <c r="CR170" s="255">
        <v>0</v>
      </c>
      <c r="CS170" s="255">
        <v>0</v>
      </c>
      <c r="CT170" s="255">
        <v>0</v>
      </c>
      <c r="CU170" s="255">
        <v>0</v>
      </c>
      <c r="CV170" s="255">
        <v>0</v>
      </c>
      <c r="CW170" s="255">
        <v>0</v>
      </c>
      <c r="CX170" s="255">
        <v>0</v>
      </c>
      <c r="CY170" s="255">
        <v>0</v>
      </c>
      <c r="CZ170" s="255">
        <v>0</v>
      </c>
      <c r="DA170" s="255">
        <v>0</v>
      </c>
      <c r="DB170" s="255">
        <v>0</v>
      </c>
      <c r="DC170" s="255">
        <v>0</v>
      </c>
      <c r="DD170" s="255">
        <v>0</v>
      </c>
      <c r="DE170" s="255">
        <v>0</v>
      </c>
      <c r="DF170" s="255">
        <v>0</v>
      </c>
      <c r="DG170" s="255">
        <v>0</v>
      </c>
      <c r="DH170" s="255">
        <v>0</v>
      </c>
      <c r="DI170" s="255">
        <v>0</v>
      </c>
      <c r="DJ170" s="255">
        <v>0</v>
      </c>
      <c r="DK170" s="255">
        <v>0</v>
      </c>
      <c r="DL170" s="255">
        <v>0</v>
      </c>
      <c r="DM170" s="255">
        <v>0</v>
      </c>
      <c r="DN170" s="255">
        <v>0</v>
      </c>
      <c r="DO170" s="255">
        <v>0</v>
      </c>
      <c r="DP170" s="255">
        <v>0</v>
      </c>
      <c r="DQ170" s="255">
        <v>30130.100000000002</v>
      </c>
      <c r="DR170" s="255">
        <v>43745.03</v>
      </c>
      <c r="DS170" s="255">
        <v>31044.86</v>
      </c>
      <c r="DT170" s="255">
        <v>29633.73</v>
      </c>
      <c r="DU170" s="255">
        <v>43745.03</v>
      </c>
      <c r="DV170" s="255">
        <v>42333.9</v>
      </c>
      <c r="DW170" s="255">
        <v>14111.300000000001</v>
      </c>
      <c r="DX170" s="255">
        <v>0</v>
      </c>
      <c r="DY170" s="255">
        <v>0</v>
      </c>
      <c r="DZ170" s="255">
        <v>0</v>
      </c>
      <c r="EA170" s="255">
        <v>0</v>
      </c>
      <c r="EB170" s="255">
        <v>0</v>
      </c>
      <c r="EC170" s="255">
        <v>31044.86</v>
      </c>
      <c r="ED170" s="255">
        <v>14526.400000000001</v>
      </c>
      <c r="EE170" s="255">
        <v>14526.400000000001</v>
      </c>
      <c r="EF170" s="255">
        <v>0</v>
      </c>
      <c r="EG170" s="255">
        <v>0</v>
      </c>
      <c r="EH170" s="255">
        <v>0</v>
      </c>
      <c r="EI170" s="255">
        <v>0</v>
      </c>
      <c r="EJ170" s="255">
        <v>0</v>
      </c>
      <c r="EK170" s="255">
        <v>0</v>
      </c>
      <c r="EL170" s="255">
        <v>0</v>
      </c>
      <c r="EM170" s="255">
        <v>0</v>
      </c>
      <c r="EN170" s="255">
        <v>0</v>
      </c>
      <c r="EO170" s="255">
        <v>0</v>
      </c>
      <c r="EP170" s="255">
        <v>0</v>
      </c>
      <c r="EQ170" s="255">
        <v>0</v>
      </c>
      <c r="ER170" s="255">
        <v>0</v>
      </c>
      <c r="ES170" s="255">
        <v>0</v>
      </c>
      <c r="ET170" s="255">
        <v>0</v>
      </c>
      <c r="EU170" s="255">
        <v>0</v>
      </c>
      <c r="EV170" s="255">
        <v>0</v>
      </c>
      <c r="EW170" s="255">
        <v>0</v>
      </c>
      <c r="EX170" s="255">
        <v>0</v>
      </c>
      <c r="EY170" s="255">
        <v>0</v>
      </c>
      <c r="EZ170" s="255">
        <v>0</v>
      </c>
      <c r="FA170" s="255">
        <v>0</v>
      </c>
      <c r="FB170" s="255">
        <v>0</v>
      </c>
      <c r="FC170" s="255">
        <v>0</v>
      </c>
      <c r="FD170" s="255">
        <v>0</v>
      </c>
      <c r="FE170" s="255">
        <v>0</v>
      </c>
      <c r="FF170" s="255">
        <v>0</v>
      </c>
      <c r="FG170" s="255">
        <v>0</v>
      </c>
      <c r="FH170" s="255">
        <v>0</v>
      </c>
      <c r="FI170" s="255">
        <v>0</v>
      </c>
      <c r="FJ170" s="255">
        <v>0</v>
      </c>
      <c r="FK170" s="255">
        <v>0</v>
      </c>
      <c r="FL170" s="255">
        <v>0</v>
      </c>
      <c r="FM170" s="255">
        <v>0</v>
      </c>
      <c r="FN170" s="255">
        <v>0</v>
      </c>
      <c r="FO170" s="255">
        <v>0</v>
      </c>
      <c r="FP170" s="255">
        <v>0</v>
      </c>
      <c r="FQ170" s="255">
        <v>0</v>
      </c>
      <c r="FR170" s="255">
        <v>0</v>
      </c>
      <c r="FS170" s="255">
        <v>0</v>
      </c>
      <c r="FT170" s="255">
        <v>0</v>
      </c>
      <c r="FU170" s="255">
        <v>0</v>
      </c>
      <c r="FV170" s="255">
        <v>0</v>
      </c>
      <c r="FW170" s="255">
        <v>0</v>
      </c>
      <c r="FX170" s="116"/>
    </row>
    <row r="171" spans="2:180" x14ac:dyDescent="0.2">
      <c r="B171" s="253" t="s">
        <v>216</v>
      </c>
      <c r="C171" s="253" t="s">
        <v>329</v>
      </c>
      <c r="D171" s="253" t="s">
        <v>258</v>
      </c>
      <c r="E171" s="253" t="s">
        <v>127</v>
      </c>
      <c r="F171" s="253">
        <v>0</v>
      </c>
      <c r="G171" s="253" t="s">
        <v>322</v>
      </c>
      <c r="H171" s="237">
        <v>195.66</v>
      </c>
      <c r="I171" s="126">
        <f t="shared" si="87"/>
        <v>173486.1</v>
      </c>
      <c r="J171" s="116"/>
      <c r="K171" s="254">
        <v>0</v>
      </c>
      <c r="L171" s="254">
        <v>0</v>
      </c>
      <c r="M171" s="254">
        <v>0</v>
      </c>
      <c r="N171" s="254">
        <v>0</v>
      </c>
      <c r="O171" s="254">
        <v>0</v>
      </c>
      <c r="P171" s="254">
        <v>0</v>
      </c>
      <c r="Q171" s="254">
        <v>0</v>
      </c>
      <c r="R171" s="254">
        <v>0</v>
      </c>
      <c r="S171" s="254">
        <v>0</v>
      </c>
      <c r="T171" s="254">
        <v>0</v>
      </c>
      <c r="U171" s="254">
        <v>0</v>
      </c>
      <c r="V171" s="254">
        <v>0</v>
      </c>
      <c r="W171" s="254">
        <v>0</v>
      </c>
      <c r="X171" s="254">
        <v>0</v>
      </c>
      <c r="Y171" s="254">
        <v>0</v>
      </c>
      <c r="Z171" s="254">
        <v>0</v>
      </c>
      <c r="AA171" s="254">
        <v>0</v>
      </c>
      <c r="AB171" s="254">
        <v>0</v>
      </c>
      <c r="AC171" s="254">
        <v>0</v>
      </c>
      <c r="AD171" s="254">
        <v>0</v>
      </c>
      <c r="AE171" s="254">
        <v>0</v>
      </c>
      <c r="AF171" s="254">
        <v>0</v>
      </c>
      <c r="AG171" s="254">
        <v>0</v>
      </c>
      <c r="AH171" s="254">
        <v>0</v>
      </c>
      <c r="AI171" s="254">
        <v>0</v>
      </c>
      <c r="AJ171" s="254">
        <v>0.35714285714285715</v>
      </c>
      <c r="AK171" s="254">
        <v>0.35714285714285715</v>
      </c>
      <c r="AL171" s="254">
        <v>0.47619047619047616</v>
      </c>
      <c r="AM171" s="254">
        <v>0.32894736842105265</v>
      </c>
      <c r="AN171" s="254">
        <v>0.39473684210526316</v>
      </c>
      <c r="AO171" s="254">
        <v>0.42857142857142855</v>
      </c>
      <c r="AP171" s="254">
        <v>0</v>
      </c>
      <c r="AQ171" s="254">
        <v>0</v>
      </c>
      <c r="AR171" s="254">
        <v>0</v>
      </c>
      <c r="AS171" s="254">
        <v>0</v>
      </c>
      <c r="AT171" s="254">
        <v>0</v>
      </c>
      <c r="AU171" s="254">
        <v>0</v>
      </c>
      <c r="AV171" s="254">
        <v>0.35714285714285715</v>
      </c>
      <c r="AW171" s="254">
        <v>0.21428571428571427</v>
      </c>
      <c r="AX171" s="254">
        <v>0.2857142857142857</v>
      </c>
      <c r="AY171" s="254">
        <v>0</v>
      </c>
      <c r="AZ171" s="254">
        <v>0</v>
      </c>
      <c r="BA171" s="254">
        <v>0</v>
      </c>
      <c r="BB171" s="254">
        <v>0</v>
      </c>
      <c r="BC171" s="254">
        <v>0</v>
      </c>
      <c r="BD171" s="254">
        <v>0</v>
      </c>
      <c r="BE171" s="254">
        <v>0</v>
      </c>
      <c r="BF171" s="254">
        <v>0</v>
      </c>
      <c r="BG171" s="254">
        <v>0</v>
      </c>
      <c r="BH171" s="254">
        <v>0</v>
      </c>
      <c r="BI171" s="254">
        <v>0</v>
      </c>
      <c r="BJ171" s="254">
        <v>0</v>
      </c>
      <c r="BK171" s="254">
        <v>0</v>
      </c>
      <c r="BL171" s="254">
        <v>0</v>
      </c>
      <c r="BM171" s="254">
        <v>0</v>
      </c>
      <c r="BN171" s="254">
        <v>0</v>
      </c>
      <c r="BO171" s="254">
        <v>0</v>
      </c>
      <c r="BP171" s="254">
        <v>0</v>
      </c>
      <c r="BQ171" s="254">
        <v>0</v>
      </c>
      <c r="BR171" s="254">
        <v>0</v>
      </c>
      <c r="BS171" s="254">
        <v>0</v>
      </c>
      <c r="BT171" s="254">
        <v>0</v>
      </c>
      <c r="BU171" s="254">
        <v>0</v>
      </c>
      <c r="BV171" s="254">
        <v>0</v>
      </c>
      <c r="BW171" s="254">
        <v>0</v>
      </c>
      <c r="BX171" s="254">
        <v>0</v>
      </c>
      <c r="BY171" s="254">
        <v>0</v>
      </c>
      <c r="BZ171" s="254">
        <v>0</v>
      </c>
      <c r="CA171" s="254">
        <v>0</v>
      </c>
      <c r="CB171" s="254">
        <v>0</v>
      </c>
      <c r="CC171" s="254">
        <v>0</v>
      </c>
      <c r="CD171" s="254">
        <v>0</v>
      </c>
      <c r="CE171" s="254">
        <v>0</v>
      </c>
      <c r="CF171" s="254">
        <v>0</v>
      </c>
      <c r="CG171" s="254">
        <v>0</v>
      </c>
      <c r="CH171" s="254">
        <v>0</v>
      </c>
      <c r="CI171" s="254">
        <v>0</v>
      </c>
      <c r="CJ171" s="254">
        <v>0</v>
      </c>
      <c r="CK171" s="254">
        <v>0</v>
      </c>
      <c r="CL171" s="254">
        <v>0</v>
      </c>
      <c r="CM171" s="254">
        <v>0</v>
      </c>
      <c r="CN171" s="254">
        <v>0</v>
      </c>
      <c r="CO171" s="254">
        <v>0</v>
      </c>
      <c r="CP171" s="254">
        <v>0</v>
      </c>
      <c r="CQ171" s="116"/>
      <c r="CR171" s="255">
        <v>0</v>
      </c>
      <c r="CS171" s="255">
        <v>0</v>
      </c>
      <c r="CT171" s="255">
        <v>0</v>
      </c>
      <c r="CU171" s="255">
        <v>0</v>
      </c>
      <c r="CV171" s="255">
        <v>0</v>
      </c>
      <c r="CW171" s="255">
        <v>0</v>
      </c>
      <c r="CX171" s="255">
        <v>0</v>
      </c>
      <c r="CY171" s="255">
        <v>0</v>
      </c>
      <c r="CZ171" s="255">
        <v>0</v>
      </c>
      <c r="DA171" s="255">
        <v>0</v>
      </c>
      <c r="DB171" s="255">
        <v>0</v>
      </c>
      <c r="DC171" s="255">
        <v>0</v>
      </c>
      <c r="DD171" s="255">
        <v>0</v>
      </c>
      <c r="DE171" s="255">
        <v>0</v>
      </c>
      <c r="DF171" s="255">
        <v>0</v>
      </c>
      <c r="DG171" s="255">
        <v>0</v>
      </c>
      <c r="DH171" s="255">
        <v>0</v>
      </c>
      <c r="DI171" s="255">
        <v>0</v>
      </c>
      <c r="DJ171" s="255">
        <v>0</v>
      </c>
      <c r="DK171" s="255">
        <v>0</v>
      </c>
      <c r="DL171" s="255">
        <v>0</v>
      </c>
      <c r="DM171" s="255">
        <v>0</v>
      </c>
      <c r="DN171" s="255">
        <v>0</v>
      </c>
      <c r="DO171" s="255">
        <v>0</v>
      </c>
      <c r="DP171" s="255">
        <v>0</v>
      </c>
      <c r="DQ171" s="255">
        <v>19565.5</v>
      </c>
      <c r="DR171" s="255">
        <v>20159</v>
      </c>
      <c r="DS171" s="255">
        <v>20159</v>
      </c>
      <c r="DT171" s="255">
        <v>20159</v>
      </c>
      <c r="DU171" s="255">
        <v>24190.799999999999</v>
      </c>
      <c r="DV171" s="255">
        <v>24190.799999999999</v>
      </c>
      <c r="DW171" s="255">
        <v>0</v>
      </c>
      <c r="DX171" s="255">
        <v>0</v>
      </c>
      <c r="DY171" s="255">
        <v>0</v>
      </c>
      <c r="DZ171" s="255">
        <v>0</v>
      </c>
      <c r="EA171" s="255">
        <v>0</v>
      </c>
      <c r="EB171" s="255">
        <v>0</v>
      </c>
      <c r="EC171" s="255">
        <v>20159</v>
      </c>
      <c r="ED171" s="255">
        <v>12451.5</v>
      </c>
      <c r="EE171" s="255">
        <v>12451.5</v>
      </c>
      <c r="EF171" s="255">
        <v>0</v>
      </c>
      <c r="EG171" s="255">
        <v>0</v>
      </c>
      <c r="EH171" s="255">
        <v>0</v>
      </c>
      <c r="EI171" s="255">
        <v>0</v>
      </c>
      <c r="EJ171" s="255">
        <v>0</v>
      </c>
      <c r="EK171" s="255">
        <v>0</v>
      </c>
      <c r="EL171" s="255">
        <v>0</v>
      </c>
      <c r="EM171" s="255">
        <v>0</v>
      </c>
      <c r="EN171" s="255">
        <v>0</v>
      </c>
      <c r="EO171" s="255">
        <v>0</v>
      </c>
      <c r="EP171" s="255">
        <v>0</v>
      </c>
      <c r="EQ171" s="255">
        <v>0</v>
      </c>
      <c r="ER171" s="255">
        <v>0</v>
      </c>
      <c r="ES171" s="255">
        <v>0</v>
      </c>
      <c r="ET171" s="255">
        <v>0</v>
      </c>
      <c r="EU171" s="255">
        <v>0</v>
      </c>
      <c r="EV171" s="255">
        <v>0</v>
      </c>
      <c r="EW171" s="255">
        <v>0</v>
      </c>
      <c r="EX171" s="255">
        <v>0</v>
      </c>
      <c r="EY171" s="255">
        <v>0</v>
      </c>
      <c r="EZ171" s="255">
        <v>0</v>
      </c>
      <c r="FA171" s="255">
        <v>0</v>
      </c>
      <c r="FB171" s="255">
        <v>0</v>
      </c>
      <c r="FC171" s="255">
        <v>0</v>
      </c>
      <c r="FD171" s="255">
        <v>0</v>
      </c>
      <c r="FE171" s="255">
        <v>0</v>
      </c>
      <c r="FF171" s="255">
        <v>0</v>
      </c>
      <c r="FG171" s="255">
        <v>0</v>
      </c>
      <c r="FH171" s="255">
        <v>0</v>
      </c>
      <c r="FI171" s="255">
        <v>0</v>
      </c>
      <c r="FJ171" s="255">
        <v>0</v>
      </c>
      <c r="FK171" s="255">
        <v>0</v>
      </c>
      <c r="FL171" s="255">
        <v>0</v>
      </c>
      <c r="FM171" s="255">
        <v>0</v>
      </c>
      <c r="FN171" s="255">
        <v>0</v>
      </c>
      <c r="FO171" s="255">
        <v>0</v>
      </c>
      <c r="FP171" s="255">
        <v>0</v>
      </c>
      <c r="FQ171" s="255">
        <v>0</v>
      </c>
      <c r="FR171" s="255">
        <v>0</v>
      </c>
      <c r="FS171" s="255">
        <v>0</v>
      </c>
      <c r="FT171" s="255">
        <v>0</v>
      </c>
      <c r="FU171" s="255">
        <v>0</v>
      </c>
      <c r="FV171" s="255">
        <v>0</v>
      </c>
      <c r="FW171" s="255">
        <v>0</v>
      </c>
      <c r="FX171" s="116"/>
    </row>
    <row r="172" spans="2:180" x14ac:dyDescent="0.2">
      <c r="B172" s="253" t="s">
        <v>216</v>
      </c>
      <c r="C172" s="253" t="s">
        <v>330</v>
      </c>
      <c r="D172" s="253" t="s">
        <v>258</v>
      </c>
      <c r="E172" s="253" t="s">
        <v>127</v>
      </c>
      <c r="F172" s="253" t="s">
        <v>259</v>
      </c>
      <c r="G172" s="253" t="s">
        <v>260</v>
      </c>
      <c r="H172" s="237">
        <v>157.53</v>
      </c>
      <c r="I172" s="126">
        <f t="shared" si="87"/>
        <v>1040611.4450000003</v>
      </c>
      <c r="J172" s="116"/>
      <c r="K172" s="254">
        <v>0</v>
      </c>
      <c r="L172" s="254">
        <v>0</v>
      </c>
      <c r="M172" s="254">
        <v>0</v>
      </c>
      <c r="N172" s="254">
        <v>0</v>
      </c>
      <c r="O172" s="254">
        <v>0</v>
      </c>
      <c r="P172" s="254">
        <v>0</v>
      </c>
      <c r="Q172" s="254">
        <v>0</v>
      </c>
      <c r="R172" s="254">
        <v>0</v>
      </c>
      <c r="S172" s="254">
        <v>0</v>
      </c>
      <c r="T172" s="254">
        <v>0</v>
      </c>
      <c r="U172" s="254">
        <v>0</v>
      </c>
      <c r="V172" s="254">
        <v>0</v>
      </c>
      <c r="W172" s="254">
        <v>0</v>
      </c>
      <c r="X172" s="254">
        <v>0</v>
      </c>
      <c r="Y172" s="254">
        <v>0</v>
      </c>
      <c r="Z172" s="254">
        <v>0</v>
      </c>
      <c r="AA172" s="254">
        <v>1.174342105263158</v>
      </c>
      <c r="AB172" s="254">
        <v>1.243421052631579</v>
      </c>
      <c r="AC172" s="254">
        <v>1.425</v>
      </c>
      <c r="AD172" s="254">
        <v>1.125</v>
      </c>
      <c r="AE172" s="254">
        <v>1.35</v>
      </c>
      <c r="AF172" s="254">
        <v>1.35</v>
      </c>
      <c r="AG172" s="254">
        <v>1.2749999999999999</v>
      </c>
      <c r="AH172" s="254">
        <v>1.2</v>
      </c>
      <c r="AI172" s="254">
        <v>2.2999999999999998</v>
      </c>
      <c r="AJ172" s="254">
        <v>1.2</v>
      </c>
      <c r="AK172" s="254">
        <v>1.2</v>
      </c>
      <c r="AL172" s="254">
        <v>1.9</v>
      </c>
      <c r="AM172" s="254">
        <v>1.243421052631579</v>
      </c>
      <c r="AN172" s="254">
        <v>1.174342105263158</v>
      </c>
      <c r="AO172" s="254">
        <v>1.35</v>
      </c>
      <c r="AP172" s="254">
        <v>1.2749999999999999</v>
      </c>
      <c r="AQ172" s="254">
        <v>1.35</v>
      </c>
      <c r="AR172" s="254">
        <v>1.35</v>
      </c>
      <c r="AS172" s="254">
        <v>1.2749999999999999</v>
      </c>
      <c r="AT172" s="254">
        <v>1.6</v>
      </c>
      <c r="AU172" s="254">
        <v>1.9</v>
      </c>
      <c r="AV172" s="254">
        <v>1.2</v>
      </c>
      <c r="AW172" s="254">
        <v>1.425</v>
      </c>
      <c r="AX172" s="254">
        <v>1.6</v>
      </c>
      <c r="AY172" s="254">
        <v>1.3125</v>
      </c>
      <c r="AZ172" s="254">
        <v>1.3125</v>
      </c>
      <c r="BA172" s="254">
        <v>1.2</v>
      </c>
      <c r="BB172" s="254">
        <v>1.35</v>
      </c>
      <c r="BC172" s="254">
        <v>1.2749999999999999</v>
      </c>
      <c r="BD172" s="254">
        <v>1.35</v>
      </c>
      <c r="BE172" s="254">
        <v>6.371428571428571</v>
      </c>
      <c r="BF172" s="254">
        <v>0</v>
      </c>
      <c r="BG172" s="254">
        <v>0</v>
      </c>
      <c r="BH172" s="254">
        <v>0</v>
      </c>
      <c r="BI172" s="254">
        <v>0</v>
      </c>
      <c r="BJ172" s="254">
        <v>0</v>
      </c>
      <c r="BK172" s="254">
        <v>0</v>
      </c>
      <c r="BL172" s="254">
        <v>0</v>
      </c>
      <c r="BM172" s="254">
        <v>0</v>
      </c>
      <c r="BN172" s="254">
        <v>0</v>
      </c>
      <c r="BO172" s="254">
        <v>0</v>
      </c>
      <c r="BP172" s="254">
        <v>0</v>
      </c>
      <c r="BQ172" s="254">
        <v>0</v>
      </c>
      <c r="BR172" s="254">
        <v>0</v>
      </c>
      <c r="BS172" s="254">
        <v>0</v>
      </c>
      <c r="BT172" s="254">
        <v>0</v>
      </c>
      <c r="BU172" s="254">
        <v>0</v>
      </c>
      <c r="BV172" s="254">
        <v>0</v>
      </c>
      <c r="BW172" s="254">
        <v>0</v>
      </c>
      <c r="BX172" s="254">
        <v>0</v>
      </c>
      <c r="BY172" s="254">
        <v>0</v>
      </c>
      <c r="BZ172" s="254">
        <v>0</v>
      </c>
      <c r="CA172" s="254">
        <v>0</v>
      </c>
      <c r="CB172" s="254">
        <v>0</v>
      </c>
      <c r="CC172" s="254">
        <v>0</v>
      </c>
      <c r="CD172" s="254">
        <v>0</v>
      </c>
      <c r="CE172" s="254">
        <v>0</v>
      </c>
      <c r="CF172" s="254">
        <v>0</v>
      </c>
      <c r="CG172" s="254">
        <v>0</v>
      </c>
      <c r="CH172" s="254">
        <v>0</v>
      </c>
      <c r="CI172" s="254">
        <v>0</v>
      </c>
      <c r="CJ172" s="254">
        <v>0</v>
      </c>
      <c r="CK172" s="254">
        <v>0</v>
      </c>
      <c r="CL172" s="254">
        <v>0</v>
      </c>
      <c r="CM172" s="254">
        <v>0</v>
      </c>
      <c r="CN172" s="254">
        <v>0</v>
      </c>
      <c r="CO172" s="254">
        <v>0</v>
      </c>
      <c r="CP172" s="254">
        <v>0</v>
      </c>
      <c r="CQ172" s="116"/>
      <c r="CR172" s="255">
        <v>0</v>
      </c>
      <c r="CS172" s="255">
        <v>0</v>
      </c>
      <c r="CT172" s="255">
        <v>0</v>
      </c>
      <c r="CU172" s="255">
        <v>0</v>
      </c>
      <c r="CV172" s="255">
        <v>0</v>
      </c>
      <c r="CW172" s="255">
        <v>0</v>
      </c>
      <c r="CX172" s="255">
        <v>0</v>
      </c>
      <c r="CY172" s="255">
        <v>0</v>
      </c>
      <c r="CZ172" s="255">
        <v>0</v>
      </c>
      <c r="DA172" s="255">
        <v>0</v>
      </c>
      <c r="DB172" s="255">
        <v>0</v>
      </c>
      <c r="DC172" s="255">
        <v>0</v>
      </c>
      <c r="DD172" s="255">
        <v>0</v>
      </c>
      <c r="DE172" s="255">
        <v>0</v>
      </c>
      <c r="DF172" s="255">
        <v>0</v>
      </c>
      <c r="DG172" s="255">
        <v>0</v>
      </c>
      <c r="DH172" s="255">
        <v>28119.105</v>
      </c>
      <c r="DI172" s="255">
        <v>29773.170000000002</v>
      </c>
      <c r="DJ172" s="255">
        <v>31427.235000000001</v>
      </c>
      <c r="DK172" s="255">
        <v>24810.974999999999</v>
      </c>
      <c r="DL172" s="255">
        <v>29773.170000000002</v>
      </c>
      <c r="DM172" s="255">
        <v>29773.170000000002</v>
      </c>
      <c r="DN172" s="255">
        <v>28119.105</v>
      </c>
      <c r="DO172" s="255">
        <v>19848.78</v>
      </c>
      <c r="DP172" s="255">
        <v>38043.495000000003</v>
      </c>
      <c r="DQ172" s="255">
        <v>26465.040000000001</v>
      </c>
      <c r="DR172" s="255">
        <v>27269.759999999998</v>
      </c>
      <c r="DS172" s="255">
        <v>32382.84</v>
      </c>
      <c r="DT172" s="255">
        <v>30678.48</v>
      </c>
      <c r="DU172" s="255">
        <v>28974.12</v>
      </c>
      <c r="DV172" s="255">
        <v>30678.48</v>
      </c>
      <c r="DW172" s="255">
        <v>28974.12</v>
      </c>
      <c r="DX172" s="255">
        <v>30678.48</v>
      </c>
      <c r="DY172" s="255">
        <v>30678.48</v>
      </c>
      <c r="DZ172" s="255">
        <v>28974.12</v>
      </c>
      <c r="EA172" s="255">
        <v>27269.759999999998</v>
      </c>
      <c r="EB172" s="255">
        <v>32382.84</v>
      </c>
      <c r="EC172" s="255">
        <v>27269.759999999998</v>
      </c>
      <c r="ED172" s="255">
        <v>33340.44</v>
      </c>
      <c r="EE172" s="255">
        <v>28076.16</v>
      </c>
      <c r="EF172" s="255">
        <v>33340.44</v>
      </c>
      <c r="EG172" s="255">
        <v>33340.44</v>
      </c>
      <c r="EH172" s="255">
        <v>28076.16</v>
      </c>
      <c r="EI172" s="255">
        <v>31585.68</v>
      </c>
      <c r="EJ172" s="255">
        <v>29830.920000000002</v>
      </c>
      <c r="EK172" s="255">
        <v>31585.68</v>
      </c>
      <c r="EL172" s="255">
        <v>149071.04000000001</v>
      </c>
      <c r="EM172" s="255">
        <v>0</v>
      </c>
      <c r="EN172" s="255">
        <v>0</v>
      </c>
      <c r="EO172" s="255">
        <v>0</v>
      </c>
      <c r="EP172" s="255">
        <v>0</v>
      </c>
      <c r="EQ172" s="255">
        <v>0</v>
      </c>
      <c r="ER172" s="255">
        <v>0</v>
      </c>
      <c r="ES172" s="255">
        <v>0</v>
      </c>
      <c r="ET172" s="255">
        <v>0</v>
      </c>
      <c r="EU172" s="255">
        <v>0</v>
      </c>
      <c r="EV172" s="255">
        <v>0</v>
      </c>
      <c r="EW172" s="255">
        <v>0</v>
      </c>
      <c r="EX172" s="255">
        <v>0</v>
      </c>
      <c r="EY172" s="255">
        <v>0</v>
      </c>
      <c r="EZ172" s="255">
        <v>0</v>
      </c>
      <c r="FA172" s="255">
        <v>0</v>
      </c>
      <c r="FB172" s="255">
        <v>0</v>
      </c>
      <c r="FC172" s="255">
        <v>0</v>
      </c>
      <c r="FD172" s="255">
        <v>0</v>
      </c>
      <c r="FE172" s="255">
        <v>0</v>
      </c>
      <c r="FF172" s="255">
        <v>0</v>
      </c>
      <c r="FG172" s="255">
        <v>0</v>
      </c>
      <c r="FH172" s="255">
        <v>0</v>
      </c>
      <c r="FI172" s="255">
        <v>0</v>
      </c>
      <c r="FJ172" s="255">
        <v>0</v>
      </c>
      <c r="FK172" s="255">
        <v>0</v>
      </c>
      <c r="FL172" s="255">
        <v>0</v>
      </c>
      <c r="FM172" s="255">
        <v>0</v>
      </c>
      <c r="FN172" s="255">
        <v>0</v>
      </c>
      <c r="FO172" s="255">
        <v>0</v>
      </c>
      <c r="FP172" s="255">
        <v>0</v>
      </c>
      <c r="FQ172" s="255">
        <v>0</v>
      </c>
      <c r="FR172" s="255">
        <v>0</v>
      </c>
      <c r="FS172" s="255">
        <v>0</v>
      </c>
      <c r="FT172" s="255">
        <v>0</v>
      </c>
      <c r="FU172" s="255">
        <v>0</v>
      </c>
      <c r="FV172" s="255">
        <v>0</v>
      </c>
      <c r="FW172" s="255">
        <v>0</v>
      </c>
      <c r="FX172" s="116"/>
    </row>
    <row r="173" spans="2:180" x14ac:dyDescent="0.2">
      <c r="B173" s="253" t="s">
        <v>216</v>
      </c>
      <c r="C173" s="253" t="s">
        <v>330</v>
      </c>
      <c r="D173" s="253" t="s">
        <v>258</v>
      </c>
      <c r="E173" s="253" t="s">
        <v>127</v>
      </c>
      <c r="F173" s="253">
        <v>0</v>
      </c>
      <c r="G173" s="253" t="s">
        <v>322</v>
      </c>
      <c r="H173" s="237">
        <v>157.53</v>
      </c>
      <c r="I173" s="126">
        <f t="shared" si="87"/>
        <v>1534126.9950000003</v>
      </c>
      <c r="J173" s="116"/>
      <c r="K173" s="254">
        <v>0</v>
      </c>
      <c r="L173" s="254">
        <v>0</v>
      </c>
      <c r="M173" s="254">
        <v>0</v>
      </c>
      <c r="N173" s="254">
        <v>0</v>
      </c>
      <c r="O173" s="254">
        <v>0</v>
      </c>
      <c r="P173" s="254">
        <v>0</v>
      </c>
      <c r="Q173" s="254">
        <v>0</v>
      </c>
      <c r="R173" s="254">
        <v>0</v>
      </c>
      <c r="S173" s="254">
        <v>0</v>
      </c>
      <c r="T173" s="254">
        <v>0</v>
      </c>
      <c r="U173" s="254">
        <v>0</v>
      </c>
      <c r="V173" s="254">
        <v>0</v>
      </c>
      <c r="W173" s="254">
        <v>0</v>
      </c>
      <c r="X173" s="254">
        <v>0</v>
      </c>
      <c r="Y173" s="254">
        <v>0</v>
      </c>
      <c r="Z173" s="254">
        <v>0</v>
      </c>
      <c r="AA173" s="254">
        <v>0.97697368421052633</v>
      </c>
      <c r="AB173" s="254">
        <v>1.006578947368421</v>
      </c>
      <c r="AC173" s="254">
        <v>1.3821428571428571</v>
      </c>
      <c r="AD173" s="254">
        <v>0.99642857142857144</v>
      </c>
      <c r="AE173" s="254">
        <v>1.0928571428571427</v>
      </c>
      <c r="AF173" s="254">
        <v>1.0928571428571427</v>
      </c>
      <c r="AG173" s="254">
        <v>1.0607142857142857</v>
      </c>
      <c r="AH173" s="254">
        <v>1.2</v>
      </c>
      <c r="AI173" s="254">
        <v>2.0142857142857142</v>
      </c>
      <c r="AJ173" s="254">
        <v>1.0285714285714285</v>
      </c>
      <c r="AK173" s="254">
        <v>1.0285714285714285</v>
      </c>
      <c r="AL173" s="254">
        <v>1.5</v>
      </c>
      <c r="AM173" s="254">
        <v>1.125</v>
      </c>
      <c r="AN173" s="254">
        <v>1.0953947368421053</v>
      </c>
      <c r="AO173" s="254">
        <v>1.0928571428571427</v>
      </c>
      <c r="AP173" s="254">
        <v>1.0607142857142857</v>
      </c>
      <c r="AQ173" s="254">
        <v>1.0928571428571427</v>
      </c>
      <c r="AR173" s="254">
        <v>1.0928571428571427</v>
      </c>
      <c r="AS173" s="254">
        <v>1.3178571428571428</v>
      </c>
      <c r="AT173" s="254">
        <v>1.0285714285714285</v>
      </c>
      <c r="AU173" s="254">
        <v>1.8428571428571427</v>
      </c>
      <c r="AV173" s="254">
        <v>1.0285714285714285</v>
      </c>
      <c r="AW173" s="254">
        <v>1.125</v>
      </c>
      <c r="AX173" s="254">
        <v>1.3714285714285714</v>
      </c>
      <c r="AY173" s="254">
        <v>1.2730263157894737</v>
      </c>
      <c r="AZ173" s="254">
        <v>1.2730263157894737</v>
      </c>
      <c r="BA173" s="254">
        <v>1.0285714285714285</v>
      </c>
      <c r="BB173" s="254">
        <v>1.0928571428571427</v>
      </c>
      <c r="BC173" s="254">
        <v>1.0607142857142857</v>
      </c>
      <c r="BD173" s="254">
        <v>1.0928571428571427</v>
      </c>
      <c r="BE173" s="254">
        <v>0</v>
      </c>
      <c r="BF173" s="254">
        <v>0</v>
      </c>
      <c r="BG173" s="254">
        <v>0</v>
      </c>
      <c r="BH173" s="254">
        <v>0</v>
      </c>
      <c r="BI173" s="254">
        <v>0</v>
      </c>
      <c r="BJ173" s="254">
        <v>0</v>
      </c>
      <c r="BK173" s="254">
        <v>0</v>
      </c>
      <c r="BL173" s="254">
        <v>0</v>
      </c>
      <c r="BM173" s="254">
        <v>0</v>
      </c>
      <c r="BN173" s="254">
        <v>0</v>
      </c>
      <c r="BO173" s="254">
        <v>0</v>
      </c>
      <c r="BP173" s="254">
        <v>0</v>
      </c>
      <c r="BQ173" s="254">
        <v>0</v>
      </c>
      <c r="BR173" s="254">
        <v>0</v>
      </c>
      <c r="BS173" s="254">
        <v>0</v>
      </c>
      <c r="BT173" s="254">
        <v>0</v>
      </c>
      <c r="BU173" s="254">
        <v>0</v>
      </c>
      <c r="BV173" s="254">
        <v>0</v>
      </c>
      <c r="BW173" s="254">
        <v>0</v>
      </c>
      <c r="BX173" s="254">
        <v>0</v>
      </c>
      <c r="BY173" s="254">
        <v>0</v>
      </c>
      <c r="BZ173" s="254">
        <v>0</v>
      </c>
      <c r="CA173" s="254">
        <v>0</v>
      </c>
      <c r="CB173" s="254">
        <v>0</v>
      </c>
      <c r="CC173" s="254">
        <v>0</v>
      </c>
      <c r="CD173" s="254">
        <v>0</v>
      </c>
      <c r="CE173" s="254">
        <v>0</v>
      </c>
      <c r="CF173" s="254">
        <v>0</v>
      </c>
      <c r="CG173" s="254">
        <v>0</v>
      </c>
      <c r="CH173" s="254">
        <v>0</v>
      </c>
      <c r="CI173" s="254">
        <v>0</v>
      </c>
      <c r="CJ173" s="254">
        <v>0</v>
      </c>
      <c r="CK173" s="254">
        <v>0</v>
      </c>
      <c r="CL173" s="254">
        <v>0</v>
      </c>
      <c r="CM173" s="254">
        <v>0</v>
      </c>
      <c r="CN173" s="254">
        <v>0</v>
      </c>
      <c r="CO173" s="254">
        <v>0</v>
      </c>
      <c r="CP173" s="254">
        <v>0</v>
      </c>
      <c r="CQ173" s="116"/>
      <c r="CR173" s="255">
        <v>0</v>
      </c>
      <c r="CS173" s="255">
        <v>0</v>
      </c>
      <c r="CT173" s="255">
        <v>0</v>
      </c>
      <c r="CU173" s="255">
        <v>0</v>
      </c>
      <c r="CV173" s="255">
        <v>0</v>
      </c>
      <c r="CW173" s="255">
        <v>0</v>
      </c>
      <c r="CX173" s="255">
        <v>0</v>
      </c>
      <c r="CY173" s="255">
        <v>0</v>
      </c>
      <c r="CZ173" s="255">
        <v>0</v>
      </c>
      <c r="DA173" s="255">
        <v>0</v>
      </c>
      <c r="DB173" s="255">
        <v>0</v>
      </c>
      <c r="DC173" s="255">
        <v>0</v>
      </c>
      <c r="DD173" s="255">
        <v>0</v>
      </c>
      <c r="DE173" s="255">
        <v>0</v>
      </c>
      <c r="DF173" s="255">
        <v>0</v>
      </c>
      <c r="DG173" s="255">
        <v>0</v>
      </c>
      <c r="DH173" s="255">
        <v>46784.925000000003</v>
      </c>
      <c r="DI173" s="255">
        <v>48202.65</v>
      </c>
      <c r="DJ173" s="255">
        <v>60962.175000000003</v>
      </c>
      <c r="DK173" s="255">
        <v>43949.474999999999</v>
      </c>
      <c r="DL173" s="255">
        <v>48202.65</v>
      </c>
      <c r="DM173" s="255">
        <v>48202.65</v>
      </c>
      <c r="DN173" s="255">
        <v>46784.925000000003</v>
      </c>
      <c r="DO173" s="255">
        <v>39696.300000000003</v>
      </c>
      <c r="DP173" s="255">
        <v>66633.074999999997</v>
      </c>
      <c r="DQ173" s="255">
        <v>45367.200000000004</v>
      </c>
      <c r="DR173" s="255">
        <v>46748.159999999996</v>
      </c>
      <c r="DS173" s="255">
        <v>51130.799999999996</v>
      </c>
      <c r="DT173" s="255">
        <v>55513.439999999995</v>
      </c>
      <c r="DU173" s="255">
        <v>54052.56</v>
      </c>
      <c r="DV173" s="255">
        <v>49669.919999999998</v>
      </c>
      <c r="DW173" s="255">
        <v>48209.04</v>
      </c>
      <c r="DX173" s="255">
        <v>49669.919999999998</v>
      </c>
      <c r="DY173" s="255">
        <v>49669.919999999998</v>
      </c>
      <c r="DZ173" s="255">
        <v>59896.079999999994</v>
      </c>
      <c r="EA173" s="255">
        <v>35061.119999999995</v>
      </c>
      <c r="EB173" s="255">
        <v>62817.84</v>
      </c>
      <c r="EC173" s="255">
        <v>46748.159999999996</v>
      </c>
      <c r="ED173" s="255">
        <v>52641.225000000006</v>
      </c>
      <c r="EE173" s="255">
        <v>48129.120000000003</v>
      </c>
      <c r="EF173" s="255">
        <v>64673.505000000005</v>
      </c>
      <c r="EG173" s="255">
        <v>64673.505000000005</v>
      </c>
      <c r="EH173" s="255">
        <v>48129.120000000003</v>
      </c>
      <c r="EI173" s="255">
        <v>51137.19</v>
      </c>
      <c r="EJ173" s="255">
        <v>49633.155000000006</v>
      </c>
      <c r="EK173" s="255">
        <v>51137.19</v>
      </c>
      <c r="EL173" s="255">
        <v>0</v>
      </c>
      <c r="EM173" s="255">
        <v>0</v>
      </c>
      <c r="EN173" s="255">
        <v>0</v>
      </c>
      <c r="EO173" s="255">
        <v>0</v>
      </c>
      <c r="EP173" s="255">
        <v>0</v>
      </c>
      <c r="EQ173" s="255">
        <v>0</v>
      </c>
      <c r="ER173" s="255">
        <v>0</v>
      </c>
      <c r="ES173" s="255">
        <v>0</v>
      </c>
      <c r="ET173" s="255">
        <v>0</v>
      </c>
      <c r="EU173" s="255">
        <v>0</v>
      </c>
      <c r="EV173" s="255">
        <v>0</v>
      </c>
      <c r="EW173" s="255">
        <v>0</v>
      </c>
      <c r="EX173" s="255">
        <v>0</v>
      </c>
      <c r="EY173" s="255">
        <v>0</v>
      </c>
      <c r="EZ173" s="255">
        <v>0</v>
      </c>
      <c r="FA173" s="255">
        <v>0</v>
      </c>
      <c r="FB173" s="255">
        <v>0</v>
      </c>
      <c r="FC173" s="255">
        <v>0</v>
      </c>
      <c r="FD173" s="255">
        <v>0</v>
      </c>
      <c r="FE173" s="255">
        <v>0</v>
      </c>
      <c r="FF173" s="255">
        <v>0</v>
      </c>
      <c r="FG173" s="255">
        <v>0</v>
      </c>
      <c r="FH173" s="255">
        <v>0</v>
      </c>
      <c r="FI173" s="255">
        <v>0</v>
      </c>
      <c r="FJ173" s="255">
        <v>0</v>
      </c>
      <c r="FK173" s="255">
        <v>0</v>
      </c>
      <c r="FL173" s="255">
        <v>0</v>
      </c>
      <c r="FM173" s="255">
        <v>0</v>
      </c>
      <c r="FN173" s="255">
        <v>0</v>
      </c>
      <c r="FO173" s="255">
        <v>0</v>
      </c>
      <c r="FP173" s="255">
        <v>0</v>
      </c>
      <c r="FQ173" s="255">
        <v>0</v>
      </c>
      <c r="FR173" s="255">
        <v>0</v>
      </c>
      <c r="FS173" s="255">
        <v>0</v>
      </c>
      <c r="FT173" s="255">
        <v>0</v>
      </c>
      <c r="FU173" s="255">
        <v>0</v>
      </c>
      <c r="FV173" s="255">
        <v>0</v>
      </c>
      <c r="FW173" s="255">
        <v>0</v>
      </c>
      <c r="FX173" s="116"/>
    </row>
    <row r="174" spans="2:180" x14ac:dyDescent="0.2">
      <c r="B174" s="253" t="s">
        <v>216</v>
      </c>
      <c r="C174" s="253" t="s">
        <v>270</v>
      </c>
      <c r="D174" s="253" t="s">
        <v>258</v>
      </c>
      <c r="E174" s="253" t="s">
        <v>127</v>
      </c>
      <c r="F174" s="253" t="s">
        <v>259</v>
      </c>
      <c r="G174" s="253" t="s">
        <v>260</v>
      </c>
      <c r="H174" s="237">
        <v>240.85</v>
      </c>
      <c r="I174" s="126">
        <f t="shared" si="87"/>
        <v>53697</v>
      </c>
      <c r="J174" s="116"/>
      <c r="K174" s="254">
        <v>0</v>
      </c>
      <c r="L174" s="254">
        <v>0</v>
      </c>
      <c r="M174" s="254">
        <v>0</v>
      </c>
      <c r="N174" s="254">
        <v>0</v>
      </c>
      <c r="O174" s="254">
        <v>0</v>
      </c>
      <c r="P174" s="254">
        <v>0</v>
      </c>
      <c r="Q174" s="254">
        <v>0</v>
      </c>
      <c r="R174" s="254">
        <v>0</v>
      </c>
      <c r="S174" s="254">
        <v>0</v>
      </c>
      <c r="T174" s="254">
        <v>0</v>
      </c>
      <c r="U174" s="254">
        <v>0</v>
      </c>
      <c r="V174" s="254">
        <v>0</v>
      </c>
      <c r="W174" s="254">
        <v>0</v>
      </c>
      <c r="X174" s="254">
        <v>0</v>
      </c>
      <c r="Y174" s="254">
        <v>0</v>
      </c>
      <c r="Z174" s="254">
        <v>0</v>
      </c>
      <c r="AA174" s="254">
        <v>0</v>
      </c>
      <c r="AB174" s="254">
        <v>0</v>
      </c>
      <c r="AC174" s="254">
        <v>0</v>
      </c>
      <c r="AD174" s="254">
        <v>0</v>
      </c>
      <c r="AE174" s="254">
        <v>0</v>
      </c>
      <c r="AF174" s="254">
        <v>0</v>
      </c>
      <c r="AG174" s="254">
        <v>0</v>
      </c>
      <c r="AH174" s="254">
        <v>0</v>
      </c>
      <c r="AI174" s="254">
        <v>0</v>
      </c>
      <c r="AJ174" s="254">
        <v>0</v>
      </c>
      <c r="AK174" s="254">
        <v>0</v>
      </c>
      <c r="AL174" s="254">
        <v>0</v>
      </c>
      <c r="AM174" s="254">
        <v>0</v>
      </c>
      <c r="AN174" s="254">
        <v>0</v>
      </c>
      <c r="AO174" s="254">
        <v>0</v>
      </c>
      <c r="AP174" s="254">
        <v>0</v>
      </c>
      <c r="AQ174" s="254">
        <v>0</v>
      </c>
      <c r="AR174" s="254">
        <v>0</v>
      </c>
      <c r="AS174" s="254">
        <v>0</v>
      </c>
      <c r="AT174" s="254">
        <v>0</v>
      </c>
      <c r="AU174" s="254">
        <v>0</v>
      </c>
      <c r="AV174" s="254">
        <v>0</v>
      </c>
      <c r="AW174" s="254">
        <v>0</v>
      </c>
      <c r="AX174" s="254">
        <v>0</v>
      </c>
      <c r="AY174" s="254">
        <v>0</v>
      </c>
      <c r="AZ174" s="254">
        <v>0.46052631578947367</v>
      </c>
      <c r="BA174" s="254">
        <v>0.5</v>
      </c>
      <c r="BB174" s="254">
        <v>0.5</v>
      </c>
      <c r="BC174" s="254">
        <v>0</v>
      </c>
      <c r="BD174" s="254">
        <v>0</v>
      </c>
      <c r="BE174" s="254">
        <v>0</v>
      </c>
      <c r="BF174" s="254">
        <v>0</v>
      </c>
      <c r="BG174" s="254">
        <v>0</v>
      </c>
      <c r="BH174" s="254">
        <v>0</v>
      </c>
      <c r="BI174" s="254">
        <v>0</v>
      </c>
      <c r="BJ174" s="254">
        <v>0</v>
      </c>
      <c r="BK174" s="254">
        <v>0</v>
      </c>
      <c r="BL174" s="254">
        <v>0</v>
      </c>
      <c r="BM174" s="254">
        <v>0</v>
      </c>
      <c r="BN174" s="254">
        <v>0</v>
      </c>
      <c r="BO174" s="254">
        <v>0</v>
      </c>
      <c r="BP174" s="254">
        <v>0</v>
      </c>
      <c r="BQ174" s="254">
        <v>0</v>
      </c>
      <c r="BR174" s="254">
        <v>0</v>
      </c>
      <c r="BS174" s="254">
        <v>0</v>
      </c>
      <c r="BT174" s="254">
        <v>0</v>
      </c>
      <c r="BU174" s="254">
        <v>0</v>
      </c>
      <c r="BV174" s="254">
        <v>0</v>
      </c>
      <c r="BW174" s="254">
        <v>0</v>
      </c>
      <c r="BX174" s="254">
        <v>0</v>
      </c>
      <c r="BY174" s="254">
        <v>0</v>
      </c>
      <c r="BZ174" s="254">
        <v>0</v>
      </c>
      <c r="CA174" s="254">
        <v>0</v>
      </c>
      <c r="CB174" s="254">
        <v>0</v>
      </c>
      <c r="CC174" s="254">
        <v>0</v>
      </c>
      <c r="CD174" s="254">
        <v>0</v>
      </c>
      <c r="CE174" s="254">
        <v>0</v>
      </c>
      <c r="CF174" s="254">
        <v>0</v>
      </c>
      <c r="CG174" s="254">
        <v>0</v>
      </c>
      <c r="CH174" s="254">
        <v>0</v>
      </c>
      <c r="CI174" s="254">
        <v>0</v>
      </c>
      <c r="CJ174" s="254">
        <v>0</v>
      </c>
      <c r="CK174" s="254">
        <v>0</v>
      </c>
      <c r="CL174" s="254">
        <v>0</v>
      </c>
      <c r="CM174" s="254">
        <v>0</v>
      </c>
      <c r="CN174" s="254">
        <v>0</v>
      </c>
      <c r="CO174" s="254">
        <v>0</v>
      </c>
      <c r="CP174" s="254">
        <v>0</v>
      </c>
      <c r="CQ174" s="116"/>
      <c r="CR174" s="255">
        <v>0</v>
      </c>
      <c r="CS174" s="255">
        <v>0</v>
      </c>
      <c r="CT174" s="255">
        <v>0</v>
      </c>
      <c r="CU174" s="255">
        <v>0</v>
      </c>
      <c r="CV174" s="255">
        <v>0</v>
      </c>
      <c r="CW174" s="255">
        <v>0</v>
      </c>
      <c r="CX174" s="255">
        <v>0</v>
      </c>
      <c r="CY174" s="255">
        <v>0</v>
      </c>
      <c r="CZ174" s="255">
        <v>0</v>
      </c>
      <c r="DA174" s="255">
        <v>0</v>
      </c>
      <c r="DB174" s="255">
        <v>0</v>
      </c>
      <c r="DC174" s="255">
        <v>0</v>
      </c>
      <c r="DD174" s="255">
        <v>0</v>
      </c>
      <c r="DE174" s="255">
        <v>0</v>
      </c>
      <c r="DF174" s="255">
        <v>0</v>
      </c>
      <c r="DG174" s="255">
        <v>0</v>
      </c>
      <c r="DH174" s="255">
        <v>0</v>
      </c>
      <c r="DI174" s="255">
        <v>0</v>
      </c>
      <c r="DJ174" s="255">
        <v>0</v>
      </c>
      <c r="DK174" s="255">
        <v>0</v>
      </c>
      <c r="DL174" s="255">
        <v>0</v>
      </c>
      <c r="DM174" s="255">
        <v>0</v>
      </c>
      <c r="DN174" s="255">
        <v>0</v>
      </c>
      <c r="DO174" s="255">
        <v>0</v>
      </c>
      <c r="DP174" s="255">
        <v>0</v>
      </c>
      <c r="DQ174" s="255">
        <v>0</v>
      </c>
      <c r="DR174" s="255">
        <v>0</v>
      </c>
      <c r="DS174" s="255">
        <v>0</v>
      </c>
      <c r="DT174" s="255">
        <v>0</v>
      </c>
      <c r="DU174" s="255">
        <v>0</v>
      </c>
      <c r="DV174" s="255">
        <v>0</v>
      </c>
      <c r="DW174" s="255">
        <v>0</v>
      </c>
      <c r="DX174" s="255">
        <v>0</v>
      </c>
      <c r="DY174" s="255">
        <v>0</v>
      </c>
      <c r="DZ174" s="255">
        <v>0</v>
      </c>
      <c r="EA174" s="255">
        <v>0</v>
      </c>
      <c r="EB174" s="255">
        <v>0</v>
      </c>
      <c r="EC174" s="255">
        <v>0</v>
      </c>
      <c r="ED174" s="255">
        <v>0</v>
      </c>
      <c r="EE174" s="255">
        <v>0</v>
      </c>
      <c r="EF174" s="255">
        <v>0</v>
      </c>
      <c r="EG174" s="255">
        <v>17899</v>
      </c>
      <c r="EH174" s="255">
        <v>17899</v>
      </c>
      <c r="EI174" s="255">
        <v>17899</v>
      </c>
      <c r="EJ174" s="255">
        <v>0</v>
      </c>
      <c r="EK174" s="255">
        <v>0</v>
      </c>
      <c r="EL174" s="255">
        <v>0</v>
      </c>
      <c r="EM174" s="255">
        <v>0</v>
      </c>
      <c r="EN174" s="255">
        <v>0</v>
      </c>
      <c r="EO174" s="255">
        <v>0</v>
      </c>
      <c r="EP174" s="255">
        <v>0</v>
      </c>
      <c r="EQ174" s="255">
        <v>0</v>
      </c>
      <c r="ER174" s="255">
        <v>0</v>
      </c>
      <c r="ES174" s="255">
        <v>0</v>
      </c>
      <c r="ET174" s="255">
        <v>0</v>
      </c>
      <c r="EU174" s="255">
        <v>0</v>
      </c>
      <c r="EV174" s="255">
        <v>0</v>
      </c>
      <c r="EW174" s="255">
        <v>0</v>
      </c>
      <c r="EX174" s="255">
        <v>0</v>
      </c>
      <c r="EY174" s="255">
        <v>0</v>
      </c>
      <c r="EZ174" s="255">
        <v>0</v>
      </c>
      <c r="FA174" s="255">
        <v>0</v>
      </c>
      <c r="FB174" s="255">
        <v>0</v>
      </c>
      <c r="FC174" s="255">
        <v>0</v>
      </c>
      <c r="FD174" s="255">
        <v>0</v>
      </c>
      <c r="FE174" s="255">
        <v>0</v>
      </c>
      <c r="FF174" s="255">
        <v>0</v>
      </c>
      <c r="FG174" s="255">
        <v>0</v>
      </c>
      <c r="FH174" s="255">
        <v>0</v>
      </c>
      <c r="FI174" s="255">
        <v>0</v>
      </c>
      <c r="FJ174" s="255">
        <v>0</v>
      </c>
      <c r="FK174" s="255">
        <v>0</v>
      </c>
      <c r="FL174" s="255">
        <v>0</v>
      </c>
      <c r="FM174" s="255">
        <v>0</v>
      </c>
      <c r="FN174" s="255">
        <v>0</v>
      </c>
      <c r="FO174" s="255">
        <v>0</v>
      </c>
      <c r="FP174" s="255">
        <v>0</v>
      </c>
      <c r="FQ174" s="255">
        <v>0</v>
      </c>
      <c r="FR174" s="255">
        <v>0</v>
      </c>
      <c r="FS174" s="255">
        <v>0</v>
      </c>
      <c r="FT174" s="255">
        <v>0</v>
      </c>
      <c r="FU174" s="255">
        <v>0</v>
      </c>
      <c r="FV174" s="255">
        <v>0</v>
      </c>
      <c r="FW174" s="255">
        <v>0</v>
      </c>
      <c r="FX174" s="116"/>
    </row>
    <row r="175" spans="2:180" x14ac:dyDescent="0.2">
      <c r="B175" s="253" t="s">
        <v>216</v>
      </c>
      <c r="C175" s="253" t="s">
        <v>270</v>
      </c>
      <c r="D175" s="253" t="s">
        <v>258</v>
      </c>
      <c r="E175" s="253" t="s">
        <v>127</v>
      </c>
      <c r="F175" s="253" t="s">
        <v>259</v>
      </c>
      <c r="G175" s="253" t="s">
        <v>260</v>
      </c>
      <c r="H175" s="237">
        <v>240.85</v>
      </c>
      <c r="I175" s="126">
        <f t="shared" si="87"/>
        <v>53697</v>
      </c>
      <c r="J175" s="116"/>
      <c r="K175" s="254">
        <v>0</v>
      </c>
      <c r="L175" s="254">
        <v>0</v>
      </c>
      <c r="M175" s="254">
        <v>0</v>
      </c>
      <c r="N175" s="254">
        <v>0</v>
      </c>
      <c r="O175" s="254">
        <v>0</v>
      </c>
      <c r="P175" s="254">
        <v>0</v>
      </c>
      <c r="Q175" s="254">
        <v>0</v>
      </c>
      <c r="R175" s="254">
        <v>0</v>
      </c>
      <c r="S175" s="254">
        <v>0</v>
      </c>
      <c r="T175" s="254">
        <v>0</v>
      </c>
      <c r="U175" s="254">
        <v>0</v>
      </c>
      <c r="V175" s="254">
        <v>0</v>
      </c>
      <c r="W175" s="254">
        <v>0</v>
      </c>
      <c r="X175" s="254">
        <v>0</v>
      </c>
      <c r="Y175" s="254">
        <v>0</v>
      </c>
      <c r="Z175" s="254">
        <v>0</v>
      </c>
      <c r="AA175" s="254">
        <v>0</v>
      </c>
      <c r="AB175" s="254">
        <v>0</v>
      </c>
      <c r="AC175" s="254">
        <v>0</v>
      </c>
      <c r="AD175" s="254">
        <v>0</v>
      </c>
      <c r="AE175" s="254">
        <v>0</v>
      </c>
      <c r="AF175" s="254">
        <v>0</v>
      </c>
      <c r="AG175" s="254">
        <v>0</v>
      </c>
      <c r="AH175" s="254">
        <v>0</v>
      </c>
      <c r="AI175" s="254">
        <v>0</v>
      </c>
      <c r="AJ175" s="254">
        <v>0</v>
      </c>
      <c r="AK175" s="254">
        <v>0</v>
      </c>
      <c r="AL175" s="254">
        <v>0</v>
      </c>
      <c r="AM175" s="254">
        <v>0</v>
      </c>
      <c r="AN175" s="254">
        <v>0</v>
      </c>
      <c r="AO175" s="254">
        <v>0</v>
      </c>
      <c r="AP175" s="254">
        <v>0</v>
      </c>
      <c r="AQ175" s="254">
        <v>0</v>
      </c>
      <c r="AR175" s="254">
        <v>0</v>
      </c>
      <c r="AS175" s="254">
        <v>0</v>
      </c>
      <c r="AT175" s="254">
        <v>0</v>
      </c>
      <c r="AU175" s="254">
        <v>0</v>
      </c>
      <c r="AV175" s="254">
        <v>0</v>
      </c>
      <c r="AW175" s="254">
        <v>0</v>
      </c>
      <c r="AX175" s="254">
        <v>0</v>
      </c>
      <c r="AY175" s="254">
        <v>0</v>
      </c>
      <c r="AZ175" s="254">
        <v>0.46052631578947367</v>
      </c>
      <c r="BA175" s="254">
        <v>0.5</v>
      </c>
      <c r="BB175" s="254">
        <v>0.5</v>
      </c>
      <c r="BC175" s="254">
        <v>0</v>
      </c>
      <c r="BD175" s="254">
        <v>0</v>
      </c>
      <c r="BE175" s="254">
        <v>0</v>
      </c>
      <c r="BF175" s="254">
        <v>0</v>
      </c>
      <c r="BG175" s="254">
        <v>0</v>
      </c>
      <c r="BH175" s="254">
        <v>0</v>
      </c>
      <c r="BI175" s="254">
        <v>0</v>
      </c>
      <c r="BJ175" s="254">
        <v>0</v>
      </c>
      <c r="BK175" s="254">
        <v>0</v>
      </c>
      <c r="BL175" s="254">
        <v>0</v>
      </c>
      <c r="BM175" s="254">
        <v>0</v>
      </c>
      <c r="BN175" s="254">
        <v>0</v>
      </c>
      <c r="BO175" s="254">
        <v>0</v>
      </c>
      <c r="BP175" s="254">
        <v>0</v>
      </c>
      <c r="BQ175" s="254">
        <v>0</v>
      </c>
      <c r="BR175" s="254">
        <v>0</v>
      </c>
      <c r="BS175" s="254">
        <v>0</v>
      </c>
      <c r="BT175" s="254">
        <v>0</v>
      </c>
      <c r="BU175" s="254">
        <v>0</v>
      </c>
      <c r="BV175" s="254">
        <v>0</v>
      </c>
      <c r="BW175" s="254">
        <v>0</v>
      </c>
      <c r="BX175" s="254">
        <v>0</v>
      </c>
      <c r="BY175" s="254">
        <v>0</v>
      </c>
      <c r="BZ175" s="254">
        <v>0</v>
      </c>
      <c r="CA175" s="254">
        <v>0</v>
      </c>
      <c r="CB175" s="254">
        <v>0</v>
      </c>
      <c r="CC175" s="254">
        <v>0</v>
      </c>
      <c r="CD175" s="254">
        <v>0</v>
      </c>
      <c r="CE175" s="254">
        <v>0</v>
      </c>
      <c r="CF175" s="254">
        <v>0</v>
      </c>
      <c r="CG175" s="254">
        <v>0</v>
      </c>
      <c r="CH175" s="254">
        <v>0</v>
      </c>
      <c r="CI175" s="254">
        <v>0</v>
      </c>
      <c r="CJ175" s="254">
        <v>0</v>
      </c>
      <c r="CK175" s="254">
        <v>0</v>
      </c>
      <c r="CL175" s="254">
        <v>0</v>
      </c>
      <c r="CM175" s="254">
        <v>0</v>
      </c>
      <c r="CN175" s="254">
        <v>0</v>
      </c>
      <c r="CO175" s="254">
        <v>0</v>
      </c>
      <c r="CP175" s="254">
        <v>0</v>
      </c>
      <c r="CQ175" s="116"/>
      <c r="CR175" s="255">
        <v>0</v>
      </c>
      <c r="CS175" s="255">
        <v>0</v>
      </c>
      <c r="CT175" s="255">
        <v>0</v>
      </c>
      <c r="CU175" s="255">
        <v>0</v>
      </c>
      <c r="CV175" s="255">
        <v>0</v>
      </c>
      <c r="CW175" s="255">
        <v>0</v>
      </c>
      <c r="CX175" s="255">
        <v>0</v>
      </c>
      <c r="CY175" s="255">
        <v>0</v>
      </c>
      <c r="CZ175" s="255">
        <v>0</v>
      </c>
      <c r="DA175" s="255">
        <v>0</v>
      </c>
      <c r="DB175" s="255">
        <v>0</v>
      </c>
      <c r="DC175" s="255">
        <v>0</v>
      </c>
      <c r="DD175" s="255">
        <v>0</v>
      </c>
      <c r="DE175" s="255">
        <v>0</v>
      </c>
      <c r="DF175" s="255">
        <v>0</v>
      </c>
      <c r="DG175" s="255">
        <v>0</v>
      </c>
      <c r="DH175" s="255">
        <v>0</v>
      </c>
      <c r="DI175" s="255">
        <v>0</v>
      </c>
      <c r="DJ175" s="255">
        <v>0</v>
      </c>
      <c r="DK175" s="255">
        <v>0</v>
      </c>
      <c r="DL175" s="255">
        <v>0</v>
      </c>
      <c r="DM175" s="255">
        <v>0</v>
      </c>
      <c r="DN175" s="255">
        <v>0</v>
      </c>
      <c r="DO175" s="255">
        <v>0</v>
      </c>
      <c r="DP175" s="255">
        <v>0</v>
      </c>
      <c r="DQ175" s="255">
        <v>0</v>
      </c>
      <c r="DR175" s="255">
        <v>0</v>
      </c>
      <c r="DS175" s="255">
        <v>0</v>
      </c>
      <c r="DT175" s="255">
        <v>0</v>
      </c>
      <c r="DU175" s="255">
        <v>0</v>
      </c>
      <c r="DV175" s="255">
        <v>0</v>
      </c>
      <c r="DW175" s="255">
        <v>0</v>
      </c>
      <c r="DX175" s="255">
        <v>0</v>
      </c>
      <c r="DY175" s="255">
        <v>0</v>
      </c>
      <c r="DZ175" s="255">
        <v>0</v>
      </c>
      <c r="EA175" s="255">
        <v>0</v>
      </c>
      <c r="EB175" s="255">
        <v>0</v>
      </c>
      <c r="EC175" s="255">
        <v>0</v>
      </c>
      <c r="ED175" s="255">
        <v>0</v>
      </c>
      <c r="EE175" s="255">
        <v>0</v>
      </c>
      <c r="EF175" s="255">
        <v>0</v>
      </c>
      <c r="EG175" s="255">
        <v>17899</v>
      </c>
      <c r="EH175" s="255">
        <v>17899</v>
      </c>
      <c r="EI175" s="255">
        <v>17899</v>
      </c>
      <c r="EJ175" s="255">
        <v>0</v>
      </c>
      <c r="EK175" s="255">
        <v>0</v>
      </c>
      <c r="EL175" s="255">
        <v>0</v>
      </c>
      <c r="EM175" s="255">
        <v>0</v>
      </c>
      <c r="EN175" s="255">
        <v>0</v>
      </c>
      <c r="EO175" s="255">
        <v>0</v>
      </c>
      <c r="EP175" s="255">
        <v>0</v>
      </c>
      <c r="EQ175" s="255">
        <v>0</v>
      </c>
      <c r="ER175" s="255">
        <v>0</v>
      </c>
      <c r="ES175" s="255">
        <v>0</v>
      </c>
      <c r="ET175" s="255">
        <v>0</v>
      </c>
      <c r="EU175" s="255">
        <v>0</v>
      </c>
      <c r="EV175" s="255">
        <v>0</v>
      </c>
      <c r="EW175" s="255">
        <v>0</v>
      </c>
      <c r="EX175" s="255">
        <v>0</v>
      </c>
      <c r="EY175" s="255">
        <v>0</v>
      </c>
      <c r="EZ175" s="255">
        <v>0</v>
      </c>
      <c r="FA175" s="255">
        <v>0</v>
      </c>
      <c r="FB175" s="255">
        <v>0</v>
      </c>
      <c r="FC175" s="255">
        <v>0</v>
      </c>
      <c r="FD175" s="255">
        <v>0</v>
      </c>
      <c r="FE175" s="255">
        <v>0</v>
      </c>
      <c r="FF175" s="255">
        <v>0</v>
      </c>
      <c r="FG175" s="255">
        <v>0</v>
      </c>
      <c r="FH175" s="255">
        <v>0</v>
      </c>
      <c r="FI175" s="255">
        <v>0</v>
      </c>
      <c r="FJ175" s="255">
        <v>0</v>
      </c>
      <c r="FK175" s="255">
        <v>0</v>
      </c>
      <c r="FL175" s="255">
        <v>0</v>
      </c>
      <c r="FM175" s="255">
        <v>0</v>
      </c>
      <c r="FN175" s="255">
        <v>0</v>
      </c>
      <c r="FO175" s="255">
        <v>0</v>
      </c>
      <c r="FP175" s="255">
        <v>0</v>
      </c>
      <c r="FQ175" s="255">
        <v>0</v>
      </c>
      <c r="FR175" s="255">
        <v>0</v>
      </c>
      <c r="FS175" s="255">
        <v>0</v>
      </c>
      <c r="FT175" s="255">
        <v>0</v>
      </c>
      <c r="FU175" s="255">
        <v>0</v>
      </c>
      <c r="FV175" s="255">
        <v>0</v>
      </c>
      <c r="FW175" s="255">
        <v>0</v>
      </c>
      <c r="FX175" s="116"/>
    </row>
    <row r="176" spans="2:180" x14ac:dyDescent="0.2">
      <c r="B176" s="253" t="s">
        <v>216</v>
      </c>
      <c r="C176" s="253" t="s">
        <v>331</v>
      </c>
      <c r="D176" s="253" t="s">
        <v>258</v>
      </c>
      <c r="E176" s="253" t="s">
        <v>127</v>
      </c>
      <c r="F176" s="253" t="s">
        <v>259</v>
      </c>
      <c r="G176" s="253" t="s">
        <v>260</v>
      </c>
      <c r="H176" s="237">
        <v>233.78</v>
      </c>
      <c r="I176" s="126">
        <f t="shared" si="87"/>
        <v>119569.79999999999</v>
      </c>
      <c r="J176" s="116"/>
      <c r="K176" s="254">
        <v>0</v>
      </c>
      <c r="L176" s="254">
        <v>0</v>
      </c>
      <c r="M176" s="254">
        <v>0</v>
      </c>
      <c r="N176" s="254">
        <v>0</v>
      </c>
      <c r="O176" s="254">
        <v>0</v>
      </c>
      <c r="P176" s="254">
        <v>0</v>
      </c>
      <c r="Q176" s="254">
        <v>0</v>
      </c>
      <c r="R176" s="254">
        <v>0</v>
      </c>
      <c r="S176" s="254">
        <v>0</v>
      </c>
      <c r="T176" s="254">
        <v>0</v>
      </c>
      <c r="U176" s="254">
        <v>0</v>
      </c>
      <c r="V176" s="254">
        <v>0</v>
      </c>
      <c r="W176" s="254">
        <v>0</v>
      </c>
      <c r="X176" s="254">
        <v>0</v>
      </c>
      <c r="Y176" s="254">
        <v>0</v>
      </c>
      <c r="Z176" s="254">
        <v>0</v>
      </c>
      <c r="AA176" s="254">
        <v>0</v>
      </c>
      <c r="AB176" s="254">
        <v>0</v>
      </c>
      <c r="AC176" s="254">
        <v>0.5</v>
      </c>
      <c r="AD176" s="254">
        <v>0</v>
      </c>
      <c r="AE176" s="254">
        <v>0</v>
      </c>
      <c r="AF176" s="254">
        <v>0</v>
      </c>
      <c r="AG176" s="254">
        <v>0</v>
      </c>
      <c r="AH176" s="254">
        <v>0</v>
      </c>
      <c r="AI176" s="254">
        <v>0</v>
      </c>
      <c r="AJ176" s="254">
        <v>0</v>
      </c>
      <c r="AK176" s="254">
        <v>0</v>
      </c>
      <c r="AL176" s="254">
        <v>0</v>
      </c>
      <c r="AM176" s="254">
        <v>0</v>
      </c>
      <c r="AN176" s="254">
        <v>0</v>
      </c>
      <c r="AO176" s="254">
        <v>0.5</v>
      </c>
      <c r="AP176" s="254">
        <v>0.5</v>
      </c>
      <c r="AQ176" s="254">
        <v>0</v>
      </c>
      <c r="AR176" s="254">
        <v>0</v>
      </c>
      <c r="AS176" s="254">
        <v>0</v>
      </c>
      <c r="AT176" s="254">
        <v>0</v>
      </c>
      <c r="AU176" s="254">
        <v>0</v>
      </c>
      <c r="AV176" s="254">
        <v>0</v>
      </c>
      <c r="AW176" s="254">
        <v>0</v>
      </c>
      <c r="AX176" s="254">
        <v>0.66666666666666663</v>
      </c>
      <c r="AY176" s="254">
        <v>0.46052631578947367</v>
      </c>
      <c r="AZ176" s="254">
        <v>0.46052631578947367</v>
      </c>
      <c r="BA176" s="254">
        <v>0.5</v>
      </c>
      <c r="BB176" s="254">
        <v>0</v>
      </c>
      <c r="BC176" s="254">
        <v>0</v>
      </c>
      <c r="BD176" s="254">
        <v>0</v>
      </c>
      <c r="BE176" s="254">
        <v>0</v>
      </c>
      <c r="BF176" s="254">
        <v>0</v>
      </c>
      <c r="BG176" s="254">
        <v>0</v>
      </c>
      <c r="BH176" s="254">
        <v>0</v>
      </c>
      <c r="BI176" s="254">
        <v>0</v>
      </c>
      <c r="BJ176" s="254">
        <v>0</v>
      </c>
      <c r="BK176" s="254">
        <v>0</v>
      </c>
      <c r="BL176" s="254">
        <v>0</v>
      </c>
      <c r="BM176" s="254">
        <v>0</v>
      </c>
      <c r="BN176" s="254">
        <v>0</v>
      </c>
      <c r="BO176" s="254">
        <v>0</v>
      </c>
      <c r="BP176" s="254">
        <v>0</v>
      </c>
      <c r="BQ176" s="254">
        <v>0</v>
      </c>
      <c r="BR176" s="254">
        <v>0</v>
      </c>
      <c r="BS176" s="254">
        <v>0</v>
      </c>
      <c r="BT176" s="254">
        <v>0</v>
      </c>
      <c r="BU176" s="254">
        <v>0</v>
      </c>
      <c r="BV176" s="254">
        <v>0</v>
      </c>
      <c r="BW176" s="254">
        <v>0</v>
      </c>
      <c r="BX176" s="254">
        <v>0</v>
      </c>
      <c r="BY176" s="254">
        <v>0</v>
      </c>
      <c r="BZ176" s="254">
        <v>0</v>
      </c>
      <c r="CA176" s="254">
        <v>0</v>
      </c>
      <c r="CB176" s="254">
        <v>0</v>
      </c>
      <c r="CC176" s="254">
        <v>0</v>
      </c>
      <c r="CD176" s="254">
        <v>0</v>
      </c>
      <c r="CE176" s="254">
        <v>0</v>
      </c>
      <c r="CF176" s="254">
        <v>0</v>
      </c>
      <c r="CG176" s="254">
        <v>0</v>
      </c>
      <c r="CH176" s="254">
        <v>0</v>
      </c>
      <c r="CI176" s="254">
        <v>0</v>
      </c>
      <c r="CJ176" s="254">
        <v>0</v>
      </c>
      <c r="CK176" s="254">
        <v>0</v>
      </c>
      <c r="CL176" s="254">
        <v>0</v>
      </c>
      <c r="CM176" s="254">
        <v>0</v>
      </c>
      <c r="CN176" s="254">
        <v>0</v>
      </c>
      <c r="CO176" s="254">
        <v>0</v>
      </c>
      <c r="CP176" s="254">
        <v>0</v>
      </c>
      <c r="CQ176" s="116"/>
      <c r="CR176" s="255">
        <v>0</v>
      </c>
      <c r="CS176" s="255">
        <v>0</v>
      </c>
      <c r="CT176" s="255">
        <v>0</v>
      </c>
      <c r="CU176" s="255">
        <v>0</v>
      </c>
      <c r="CV176" s="255">
        <v>0</v>
      </c>
      <c r="CW176" s="255">
        <v>0</v>
      </c>
      <c r="CX176" s="255">
        <v>0</v>
      </c>
      <c r="CY176" s="255">
        <v>0</v>
      </c>
      <c r="CZ176" s="255">
        <v>0</v>
      </c>
      <c r="DA176" s="255">
        <v>0</v>
      </c>
      <c r="DB176" s="255">
        <v>0</v>
      </c>
      <c r="DC176" s="255">
        <v>0</v>
      </c>
      <c r="DD176" s="255">
        <v>0</v>
      </c>
      <c r="DE176" s="255">
        <v>0</v>
      </c>
      <c r="DF176" s="255">
        <v>0</v>
      </c>
      <c r="DG176" s="255">
        <v>0</v>
      </c>
      <c r="DH176" s="255">
        <v>0</v>
      </c>
      <c r="DI176" s="255">
        <v>0</v>
      </c>
      <c r="DJ176" s="255">
        <v>16364.6</v>
      </c>
      <c r="DK176" s="255">
        <v>0</v>
      </c>
      <c r="DL176" s="255">
        <v>0</v>
      </c>
      <c r="DM176" s="255">
        <v>0</v>
      </c>
      <c r="DN176" s="255">
        <v>0</v>
      </c>
      <c r="DO176" s="255">
        <v>0</v>
      </c>
      <c r="DP176" s="255">
        <v>0</v>
      </c>
      <c r="DQ176" s="255">
        <v>0</v>
      </c>
      <c r="DR176" s="255">
        <v>0</v>
      </c>
      <c r="DS176" s="255">
        <v>0</v>
      </c>
      <c r="DT176" s="255">
        <v>0</v>
      </c>
      <c r="DU176" s="255">
        <v>0</v>
      </c>
      <c r="DV176" s="255">
        <v>16860.2</v>
      </c>
      <c r="DW176" s="255">
        <v>16860.2</v>
      </c>
      <c r="DX176" s="255">
        <v>0</v>
      </c>
      <c r="DY176" s="255">
        <v>0</v>
      </c>
      <c r="DZ176" s="255">
        <v>0</v>
      </c>
      <c r="EA176" s="255">
        <v>0</v>
      </c>
      <c r="EB176" s="255">
        <v>0</v>
      </c>
      <c r="EC176" s="255">
        <v>0</v>
      </c>
      <c r="ED176" s="255">
        <v>0</v>
      </c>
      <c r="EE176" s="255">
        <v>17371.2</v>
      </c>
      <c r="EF176" s="255">
        <v>17371.2</v>
      </c>
      <c r="EG176" s="255">
        <v>17371.2</v>
      </c>
      <c r="EH176" s="255">
        <v>17371.2</v>
      </c>
      <c r="EI176" s="255">
        <v>0</v>
      </c>
      <c r="EJ176" s="255">
        <v>0</v>
      </c>
      <c r="EK176" s="255">
        <v>0</v>
      </c>
      <c r="EL176" s="255">
        <v>0</v>
      </c>
      <c r="EM176" s="255">
        <v>0</v>
      </c>
      <c r="EN176" s="255">
        <v>0</v>
      </c>
      <c r="EO176" s="255">
        <v>0</v>
      </c>
      <c r="EP176" s="255">
        <v>0</v>
      </c>
      <c r="EQ176" s="255">
        <v>0</v>
      </c>
      <c r="ER176" s="255">
        <v>0</v>
      </c>
      <c r="ES176" s="255">
        <v>0</v>
      </c>
      <c r="ET176" s="255">
        <v>0</v>
      </c>
      <c r="EU176" s="255">
        <v>0</v>
      </c>
      <c r="EV176" s="255">
        <v>0</v>
      </c>
      <c r="EW176" s="255">
        <v>0</v>
      </c>
      <c r="EX176" s="255">
        <v>0</v>
      </c>
      <c r="EY176" s="255">
        <v>0</v>
      </c>
      <c r="EZ176" s="255">
        <v>0</v>
      </c>
      <c r="FA176" s="255">
        <v>0</v>
      </c>
      <c r="FB176" s="255">
        <v>0</v>
      </c>
      <c r="FC176" s="255">
        <v>0</v>
      </c>
      <c r="FD176" s="255">
        <v>0</v>
      </c>
      <c r="FE176" s="255">
        <v>0</v>
      </c>
      <c r="FF176" s="255">
        <v>0</v>
      </c>
      <c r="FG176" s="255">
        <v>0</v>
      </c>
      <c r="FH176" s="255">
        <v>0</v>
      </c>
      <c r="FI176" s="255">
        <v>0</v>
      </c>
      <c r="FJ176" s="255">
        <v>0</v>
      </c>
      <c r="FK176" s="255">
        <v>0</v>
      </c>
      <c r="FL176" s="255">
        <v>0</v>
      </c>
      <c r="FM176" s="255">
        <v>0</v>
      </c>
      <c r="FN176" s="255">
        <v>0</v>
      </c>
      <c r="FO176" s="255">
        <v>0</v>
      </c>
      <c r="FP176" s="255">
        <v>0</v>
      </c>
      <c r="FQ176" s="255">
        <v>0</v>
      </c>
      <c r="FR176" s="255">
        <v>0</v>
      </c>
      <c r="FS176" s="255">
        <v>0</v>
      </c>
      <c r="FT176" s="255">
        <v>0</v>
      </c>
      <c r="FU176" s="255">
        <v>0</v>
      </c>
      <c r="FV176" s="255">
        <v>0</v>
      </c>
      <c r="FW176" s="255">
        <v>0</v>
      </c>
      <c r="FX176" s="116"/>
    </row>
    <row r="177" spans="2:180" x14ac:dyDescent="0.2">
      <c r="B177" s="253" t="s">
        <v>216</v>
      </c>
      <c r="C177" s="253" t="s">
        <v>332</v>
      </c>
      <c r="D177" s="253" t="s">
        <v>258</v>
      </c>
      <c r="E177" s="253" t="s">
        <v>127</v>
      </c>
      <c r="F177" s="253" t="s">
        <v>259</v>
      </c>
      <c r="G177" s="253" t="s">
        <v>260</v>
      </c>
      <c r="H177" s="237">
        <v>188.58</v>
      </c>
      <c r="I177" s="126">
        <f t="shared" si="87"/>
        <v>92603.700000000012</v>
      </c>
      <c r="J177" s="116"/>
      <c r="K177" s="254">
        <v>0</v>
      </c>
      <c r="L177" s="254">
        <v>0</v>
      </c>
      <c r="M177" s="254">
        <v>0</v>
      </c>
      <c r="N177" s="254">
        <v>0</v>
      </c>
      <c r="O177" s="254">
        <v>0</v>
      </c>
      <c r="P177" s="254">
        <v>0</v>
      </c>
      <c r="Q177" s="254">
        <v>0</v>
      </c>
      <c r="R177" s="254">
        <v>0</v>
      </c>
      <c r="S177" s="254">
        <v>0</v>
      </c>
      <c r="T177" s="254">
        <v>0</v>
      </c>
      <c r="U177" s="254">
        <v>0</v>
      </c>
      <c r="V177" s="254">
        <v>0</v>
      </c>
      <c r="W177" s="254">
        <v>0</v>
      </c>
      <c r="X177" s="254">
        <v>0</v>
      </c>
      <c r="Y177" s="254">
        <v>0</v>
      </c>
      <c r="Z177" s="254">
        <v>0</v>
      </c>
      <c r="AA177" s="254">
        <v>0</v>
      </c>
      <c r="AB177" s="254">
        <v>0</v>
      </c>
      <c r="AC177" s="254">
        <v>0</v>
      </c>
      <c r="AD177" s="254">
        <v>0</v>
      </c>
      <c r="AE177" s="254">
        <v>0</v>
      </c>
      <c r="AF177" s="254">
        <v>0</v>
      </c>
      <c r="AG177" s="254">
        <v>1.05</v>
      </c>
      <c r="AH177" s="254">
        <v>1.4666666666666666</v>
      </c>
      <c r="AI177" s="254">
        <v>1.4666666666666666</v>
      </c>
      <c r="AJ177" s="254">
        <v>0</v>
      </c>
      <c r="AK177" s="254">
        <v>0</v>
      </c>
      <c r="AL177" s="254">
        <v>0</v>
      </c>
      <c r="AM177" s="254">
        <v>0</v>
      </c>
      <c r="AN177" s="254">
        <v>0.23026315789473684</v>
      </c>
      <c r="AO177" s="254">
        <v>0</v>
      </c>
      <c r="AP177" s="254">
        <v>0</v>
      </c>
      <c r="AQ177" s="254">
        <v>0</v>
      </c>
      <c r="AR177" s="254">
        <v>0</v>
      </c>
      <c r="AS177" s="254">
        <v>0</v>
      </c>
      <c r="AT177" s="254">
        <v>0</v>
      </c>
      <c r="AU177" s="254">
        <v>0</v>
      </c>
      <c r="AV177" s="254">
        <v>0</v>
      </c>
      <c r="AW177" s="254">
        <v>0</v>
      </c>
      <c r="AX177" s="254">
        <v>0</v>
      </c>
      <c r="AY177" s="254">
        <v>0</v>
      </c>
      <c r="AZ177" s="254">
        <v>0</v>
      </c>
      <c r="BA177" s="254">
        <v>0</v>
      </c>
      <c r="BB177" s="254">
        <v>0</v>
      </c>
      <c r="BC177" s="254">
        <v>0</v>
      </c>
      <c r="BD177" s="254">
        <v>0</v>
      </c>
      <c r="BE177" s="254">
        <v>0</v>
      </c>
      <c r="BF177" s="254">
        <v>0</v>
      </c>
      <c r="BG177" s="254">
        <v>0</v>
      </c>
      <c r="BH177" s="254">
        <v>0</v>
      </c>
      <c r="BI177" s="254">
        <v>0</v>
      </c>
      <c r="BJ177" s="254">
        <v>0</v>
      </c>
      <c r="BK177" s="254">
        <v>0</v>
      </c>
      <c r="BL177" s="254">
        <v>0</v>
      </c>
      <c r="BM177" s="254">
        <v>0</v>
      </c>
      <c r="BN177" s="254">
        <v>0</v>
      </c>
      <c r="BO177" s="254">
        <v>0</v>
      </c>
      <c r="BP177" s="254">
        <v>0</v>
      </c>
      <c r="BQ177" s="254">
        <v>0</v>
      </c>
      <c r="BR177" s="254">
        <v>0</v>
      </c>
      <c r="BS177" s="254">
        <v>0</v>
      </c>
      <c r="BT177" s="254">
        <v>0</v>
      </c>
      <c r="BU177" s="254">
        <v>0</v>
      </c>
      <c r="BV177" s="254">
        <v>0</v>
      </c>
      <c r="BW177" s="254">
        <v>0</v>
      </c>
      <c r="BX177" s="254">
        <v>0</v>
      </c>
      <c r="BY177" s="254">
        <v>0</v>
      </c>
      <c r="BZ177" s="254">
        <v>0</v>
      </c>
      <c r="CA177" s="254">
        <v>0</v>
      </c>
      <c r="CB177" s="254">
        <v>0</v>
      </c>
      <c r="CC177" s="254">
        <v>0</v>
      </c>
      <c r="CD177" s="254">
        <v>0</v>
      </c>
      <c r="CE177" s="254">
        <v>0</v>
      </c>
      <c r="CF177" s="254">
        <v>0</v>
      </c>
      <c r="CG177" s="254">
        <v>0</v>
      </c>
      <c r="CH177" s="254">
        <v>0</v>
      </c>
      <c r="CI177" s="254">
        <v>0</v>
      </c>
      <c r="CJ177" s="254">
        <v>0</v>
      </c>
      <c r="CK177" s="254">
        <v>0</v>
      </c>
      <c r="CL177" s="254">
        <v>0</v>
      </c>
      <c r="CM177" s="254">
        <v>0</v>
      </c>
      <c r="CN177" s="254">
        <v>0</v>
      </c>
      <c r="CO177" s="254">
        <v>0</v>
      </c>
      <c r="CP177" s="254">
        <v>0</v>
      </c>
      <c r="CQ177" s="116"/>
      <c r="CR177" s="255">
        <v>0</v>
      </c>
      <c r="CS177" s="255">
        <v>0</v>
      </c>
      <c r="CT177" s="255">
        <v>0</v>
      </c>
      <c r="CU177" s="255">
        <v>0</v>
      </c>
      <c r="CV177" s="255">
        <v>0</v>
      </c>
      <c r="CW177" s="255">
        <v>0</v>
      </c>
      <c r="CX177" s="255">
        <v>0</v>
      </c>
      <c r="CY177" s="255">
        <v>0</v>
      </c>
      <c r="CZ177" s="255">
        <v>0</v>
      </c>
      <c r="DA177" s="255">
        <v>0</v>
      </c>
      <c r="DB177" s="255">
        <v>0</v>
      </c>
      <c r="DC177" s="255">
        <v>0</v>
      </c>
      <c r="DD177" s="255">
        <v>0</v>
      </c>
      <c r="DE177" s="255">
        <v>0</v>
      </c>
      <c r="DF177" s="255">
        <v>0</v>
      </c>
      <c r="DG177" s="255">
        <v>0</v>
      </c>
      <c r="DH177" s="255">
        <v>0</v>
      </c>
      <c r="DI177" s="255">
        <v>0</v>
      </c>
      <c r="DJ177" s="255">
        <v>0</v>
      </c>
      <c r="DK177" s="255">
        <v>0</v>
      </c>
      <c r="DL177" s="255">
        <v>0</v>
      </c>
      <c r="DM177" s="255">
        <v>0</v>
      </c>
      <c r="DN177" s="255">
        <v>27721.260000000002</v>
      </c>
      <c r="DO177" s="255">
        <v>29041.320000000003</v>
      </c>
      <c r="DP177" s="255">
        <v>29041.320000000003</v>
      </c>
      <c r="DQ177" s="255">
        <v>0</v>
      </c>
      <c r="DR177" s="255">
        <v>0</v>
      </c>
      <c r="DS177" s="255">
        <v>0</v>
      </c>
      <c r="DT177" s="255">
        <v>0</v>
      </c>
      <c r="DU177" s="255">
        <v>6799.8</v>
      </c>
      <c r="DV177" s="255">
        <v>0</v>
      </c>
      <c r="DW177" s="255">
        <v>0</v>
      </c>
      <c r="DX177" s="255">
        <v>0</v>
      </c>
      <c r="DY177" s="255">
        <v>0</v>
      </c>
      <c r="DZ177" s="255">
        <v>0</v>
      </c>
      <c r="EA177" s="255">
        <v>0</v>
      </c>
      <c r="EB177" s="255">
        <v>0</v>
      </c>
      <c r="EC177" s="255">
        <v>0</v>
      </c>
      <c r="ED177" s="255">
        <v>0</v>
      </c>
      <c r="EE177" s="255">
        <v>0</v>
      </c>
      <c r="EF177" s="255">
        <v>0</v>
      </c>
      <c r="EG177" s="255">
        <v>0</v>
      </c>
      <c r="EH177" s="255">
        <v>0</v>
      </c>
      <c r="EI177" s="255">
        <v>0</v>
      </c>
      <c r="EJ177" s="255">
        <v>0</v>
      </c>
      <c r="EK177" s="255">
        <v>0</v>
      </c>
      <c r="EL177" s="255">
        <v>0</v>
      </c>
      <c r="EM177" s="255">
        <v>0</v>
      </c>
      <c r="EN177" s="255">
        <v>0</v>
      </c>
      <c r="EO177" s="255">
        <v>0</v>
      </c>
      <c r="EP177" s="255">
        <v>0</v>
      </c>
      <c r="EQ177" s="255">
        <v>0</v>
      </c>
      <c r="ER177" s="255">
        <v>0</v>
      </c>
      <c r="ES177" s="255">
        <v>0</v>
      </c>
      <c r="ET177" s="255">
        <v>0</v>
      </c>
      <c r="EU177" s="255">
        <v>0</v>
      </c>
      <c r="EV177" s="255">
        <v>0</v>
      </c>
      <c r="EW177" s="255">
        <v>0</v>
      </c>
      <c r="EX177" s="255">
        <v>0</v>
      </c>
      <c r="EY177" s="255">
        <v>0</v>
      </c>
      <c r="EZ177" s="255">
        <v>0</v>
      </c>
      <c r="FA177" s="255">
        <v>0</v>
      </c>
      <c r="FB177" s="255">
        <v>0</v>
      </c>
      <c r="FC177" s="255">
        <v>0</v>
      </c>
      <c r="FD177" s="255">
        <v>0</v>
      </c>
      <c r="FE177" s="255">
        <v>0</v>
      </c>
      <c r="FF177" s="255">
        <v>0</v>
      </c>
      <c r="FG177" s="255">
        <v>0</v>
      </c>
      <c r="FH177" s="255">
        <v>0</v>
      </c>
      <c r="FI177" s="255">
        <v>0</v>
      </c>
      <c r="FJ177" s="255">
        <v>0</v>
      </c>
      <c r="FK177" s="255">
        <v>0</v>
      </c>
      <c r="FL177" s="255">
        <v>0</v>
      </c>
      <c r="FM177" s="255">
        <v>0</v>
      </c>
      <c r="FN177" s="255">
        <v>0</v>
      </c>
      <c r="FO177" s="255">
        <v>0</v>
      </c>
      <c r="FP177" s="255">
        <v>0</v>
      </c>
      <c r="FQ177" s="255">
        <v>0</v>
      </c>
      <c r="FR177" s="255">
        <v>0</v>
      </c>
      <c r="FS177" s="255">
        <v>0</v>
      </c>
      <c r="FT177" s="255">
        <v>0</v>
      </c>
      <c r="FU177" s="255">
        <v>0</v>
      </c>
      <c r="FV177" s="255">
        <v>0</v>
      </c>
      <c r="FW177" s="255">
        <v>0</v>
      </c>
      <c r="FX177" s="116"/>
    </row>
    <row r="178" spans="2:180" x14ac:dyDescent="0.2">
      <c r="B178" s="253" t="s">
        <v>216</v>
      </c>
      <c r="C178" s="253" t="s">
        <v>332</v>
      </c>
      <c r="D178" s="253" t="s">
        <v>258</v>
      </c>
      <c r="E178" s="253" t="s">
        <v>127</v>
      </c>
      <c r="F178" s="253">
        <v>0</v>
      </c>
      <c r="G178" s="253" t="s">
        <v>322</v>
      </c>
      <c r="H178" s="237">
        <v>188.58</v>
      </c>
      <c r="I178" s="126">
        <f t="shared" si="87"/>
        <v>53029.4</v>
      </c>
      <c r="J178" s="116"/>
      <c r="K178" s="254">
        <v>0</v>
      </c>
      <c r="L178" s="254">
        <v>0</v>
      </c>
      <c r="M178" s="254">
        <v>0</v>
      </c>
      <c r="N178" s="254">
        <v>0</v>
      </c>
      <c r="O178" s="254">
        <v>0</v>
      </c>
      <c r="P178" s="254">
        <v>0</v>
      </c>
      <c r="Q178" s="254">
        <v>0</v>
      </c>
      <c r="R178" s="254">
        <v>0</v>
      </c>
      <c r="S178" s="254">
        <v>0</v>
      </c>
      <c r="T178" s="254">
        <v>0</v>
      </c>
      <c r="U178" s="254">
        <v>0</v>
      </c>
      <c r="V178" s="254">
        <v>0</v>
      </c>
      <c r="W178" s="254">
        <v>0</v>
      </c>
      <c r="X178" s="254">
        <v>0</v>
      </c>
      <c r="Y178" s="254">
        <v>0</v>
      </c>
      <c r="Z178" s="254">
        <v>0</v>
      </c>
      <c r="AA178" s="254">
        <v>0</v>
      </c>
      <c r="AB178" s="254">
        <v>0</v>
      </c>
      <c r="AC178" s="254">
        <v>0</v>
      </c>
      <c r="AD178" s="254">
        <v>0</v>
      </c>
      <c r="AE178" s="254">
        <v>0</v>
      </c>
      <c r="AF178" s="254">
        <v>0</v>
      </c>
      <c r="AG178" s="254">
        <v>0.2857142857142857</v>
      </c>
      <c r="AH178" s="254">
        <v>0.38095238095238093</v>
      </c>
      <c r="AI178" s="254">
        <v>0.38095238095238093</v>
      </c>
      <c r="AJ178" s="254">
        <v>0</v>
      </c>
      <c r="AK178" s="254">
        <v>0</v>
      </c>
      <c r="AL178" s="254">
        <v>0</v>
      </c>
      <c r="AM178" s="254">
        <v>0</v>
      </c>
      <c r="AN178" s="254">
        <v>0.13157894736842105</v>
      </c>
      <c r="AO178" s="254">
        <v>0</v>
      </c>
      <c r="AP178" s="254">
        <v>0</v>
      </c>
      <c r="AQ178" s="254">
        <v>0</v>
      </c>
      <c r="AR178" s="254">
        <v>0</v>
      </c>
      <c r="AS178" s="254">
        <v>0</v>
      </c>
      <c r="AT178" s="254">
        <v>0</v>
      </c>
      <c r="AU178" s="254">
        <v>0</v>
      </c>
      <c r="AV178" s="254">
        <v>0</v>
      </c>
      <c r="AW178" s="254">
        <v>0</v>
      </c>
      <c r="AX178" s="254">
        <v>0</v>
      </c>
      <c r="AY178" s="254">
        <v>0</v>
      </c>
      <c r="AZ178" s="254">
        <v>0</v>
      </c>
      <c r="BA178" s="254">
        <v>0</v>
      </c>
      <c r="BB178" s="254">
        <v>0</v>
      </c>
      <c r="BC178" s="254">
        <v>0</v>
      </c>
      <c r="BD178" s="254">
        <v>0</v>
      </c>
      <c r="BE178" s="254">
        <v>0</v>
      </c>
      <c r="BF178" s="254">
        <v>0</v>
      </c>
      <c r="BG178" s="254">
        <v>0</v>
      </c>
      <c r="BH178" s="254">
        <v>0</v>
      </c>
      <c r="BI178" s="254">
        <v>0</v>
      </c>
      <c r="BJ178" s="254">
        <v>0</v>
      </c>
      <c r="BK178" s="254">
        <v>0</v>
      </c>
      <c r="BL178" s="254">
        <v>0</v>
      </c>
      <c r="BM178" s="254">
        <v>0</v>
      </c>
      <c r="BN178" s="254">
        <v>0</v>
      </c>
      <c r="BO178" s="254">
        <v>0</v>
      </c>
      <c r="BP178" s="254">
        <v>0</v>
      </c>
      <c r="BQ178" s="254">
        <v>0</v>
      </c>
      <c r="BR178" s="254">
        <v>0</v>
      </c>
      <c r="BS178" s="254">
        <v>0</v>
      </c>
      <c r="BT178" s="254">
        <v>0</v>
      </c>
      <c r="BU178" s="254">
        <v>0</v>
      </c>
      <c r="BV178" s="254">
        <v>0</v>
      </c>
      <c r="BW178" s="254">
        <v>0</v>
      </c>
      <c r="BX178" s="254">
        <v>0</v>
      </c>
      <c r="BY178" s="254">
        <v>0</v>
      </c>
      <c r="BZ178" s="254">
        <v>0</v>
      </c>
      <c r="CA178" s="254">
        <v>0</v>
      </c>
      <c r="CB178" s="254">
        <v>0</v>
      </c>
      <c r="CC178" s="254">
        <v>0</v>
      </c>
      <c r="CD178" s="254">
        <v>0</v>
      </c>
      <c r="CE178" s="254">
        <v>0</v>
      </c>
      <c r="CF178" s="254">
        <v>0</v>
      </c>
      <c r="CG178" s="254">
        <v>0</v>
      </c>
      <c r="CH178" s="254">
        <v>0</v>
      </c>
      <c r="CI178" s="254">
        <v>0</v>
      </c>
      <c r="CJ178" s="254">
        <v>0</v>
      </c>
      <c r="CK178" s="254">
        <v>0</v>
      </c>
      <c r="CL178" s="254">
        <v>0</v>
      </c>
      <c r="CM178" s="254">
        <v>0</v>
      </c>
      <c r="CN178" s="254">
        <v>0</v>
      </c>
      <c r="CO178" s="254">
        <v>0</v>
      </c>
      <c r="CP178" s="254">
        <v>0</v>
      </c>
      <c r="CQ178" s="116"/>
      <c r="CR178" s="255">
        <v>0</v>
      </c>
      <c r="CS178" s="255">
        <v>0</v>
      </c>
      <c r="CT178" s="255">
        <v>0</v>
      </c>
      <c r="CU178" s="255">
        <v>0</v>
      </c>
      <c r="CV178" s="255">
        <v>0</v>
      </c>
      <c r="CW178" s="255">
        <v>0</v>
      </c>
      <c r="CX178" s="255">
        <v>0</v>
      </c>
      <c r="CY178" s="255">
        <v>0</v>
      </c>
      <c r="CZ178" s="255">
        <v>0</v>
      </c>
      <c r="DA178" s="255">
        <v>0</v>
      </c>
      <c r="DB178" s="255">
        <v>0</v>
      </c>
      <c r="DC178" s="255">
        <v>0</v>
      </c>
      <c r="DD178" s="255">
        <v>0</v>
      </c>
      <c r="DE178" s="255">
        <v>0</v>
      </c>
      <c r="DF178" s="255">
        <v>0</v>
      </c>
      <c r="DG178" s="255">
        <v>0</v>
      </c>
      <c r="DH178" s="255">
        <v>0</v>
      </c>
      <c r="DI178" s="255">
        <v>0</v>
      </c>
      <c r="DJ178" s="255">
        <v>0</v>
      </c>
      <c r="DK178" s="255">
        <v>0</v>
      </c>
      <c r="DL178" s="255">
        <v>0</v>
      </c>
      <c r="DM178" s="255">
        <v>0</v>
      </c>
      <c r="DN178" s="255">
        <v>15086</v>
      </c>
      <c r="DO178" s="255">
        <v>15086</v>
      </c>
      <c r="DP178" s="255">
        <v>15086</v>
      </c>
      <c r="DQ178" s="255">
        <v>0</v>
      </c>
      <c r="DR178" s="255">
        <v>0</v>
      </c>
      <c r="DS178" s="255">
        <v>0</v>
      </c>
      <c r="DT178" s="255">
        <v>0</v>
      </c>
      <c r="DU178" s="255">
        <v>7771.4</v>
      </c>
      <c r="DV178" s="255">
        <v>0</v>
      </c>
      <c r="DW178" s="255">
        <v>0</v>
      </c>
      <c r="DX178" s="255">
        <v>0</v>
      </c>
      <c r="DY178" s="255">
        <v>0</v>
      </c>
      <c r="DZ178" s="255">
        <v>0</v>
      </c>
      <c r="EA178" s="255">
        <v>0</v>
      </c>
      <c r="EB178" s="255">
        <v>0</v>
      </c>
      <c r="EC178" s="255">
        <v>0</v>
      </c>
      <c r="ED178" s="255">
        <v>0</v>
      </c>
      <c r="EE178" s="255">
        <v>0</v>
      </c>
      <c r="EF178" s="255">
        <v>0</v>
      </c>
      <c r="EG178" s="255">
        <v>0</v>
      </c>
      <c r="EH178" s="255">
        <v>0</v>
      </c>
      <c r="EI178" s="255">
        <v>0</v>
      </c>
      <c r="EJ178" s="255">
        <v>0</v>
      </c>
      <c r="EK178" s="255">
        <v>0</v>
      </c>
      <c r="EL178" s="255">
        <v>0</v>
      </c>
      <c r="EM178" s="255">
        <v>0</v>
      </c>
      <c r="EN178" s="255">
        <v>0</v>
      </c>
      <c r="EO178" s="255">
        <v>0</v>
      </c>
      <c r="EP178" s="255">
        <v>0</v>
      </c>
      <c r="EQ178" s="255">
        <v>0</v>
      </c>
      <c r="ER178" s="255">
        <v>0</v>
      </c>
      <c r="ES178" s="255">
        <v>0</v>
      </c>
      <c r="ET178" s="255">
        <v>0</v>
      </c>
      <c r="EU178" s="255">
        <v>0</v>
      </c>
      <c r="EV178" s="255">
        <v>0</v>
      </c>
      <c r="EW178" s="255">
        <v>0</v>
      </c>
      <c r="EX178" s="255">
        <v>0</v>
      </c>
      <c r="EY178" s="255">
        <v>0</v>
      </c>
      <c r="EZ178" s="255">
        <v>0</v>
      </c>
      <c r="FA178" s="255">
        <v>0</v>
      </c>
      <c r="FB178" s="255">
        <v>0</v>
      </c>
      <c r="FC178" s="255">
        <v>0</v>
      </c>
      <c r="FD178" s="255">
        <v>0</v>
      </c>
      <c r="FE178" s="255">
        <v>0</v>
      </c>
      <c r="FF178" s="255">
        <v>0</v>
      </c>
      <c r="FG178" s="255">
        <v>0</v>
      </c>
      <c r="FH178" s="255">
        <v>0</v>
      </c>
      <c r="FI178" s="255">
        <v>0</v>
      </c>
      <c r="FJ178" s="255">
        <v>0</v>
      </c>
      <c r="FK178" s="255">
        <v>0</v>
      </c>
      <c r="FL178" s="255">
        <v>0</v>
      </c>
      <c r="FM178" s="255">
        <v>0</v>
      </c>
      <c r="FN178" s="255">
        <v>0</v>
      </c>
      <c r="FO178" s="255">
        <v>0</v>
      </c>
      <c r="FP178" s="255">
        <v>0</v>
      </c>
      <c r="FQ178" s="255">
        <v>0</v>
      </c>
      <c r="FR178" s="255">
        <v>0</v>
      </c>
      <c r="FS178" s="255">
        <v>0</v>
      </c>
      <c r="FT178" s="255">
        <v>0</v>
      </c>
      <c r="FU178" s="255">
        <v>0</v>
      </c>
      <c r="FV178" s="255">
        <v>0</v>
      </c>
      <c r="FW178" s="255">
        <v>0</v>
      </c>
      <c r="FX178" s="116"/>
    </row>
    <row r="179" spans="2:180" x14ac:dyDescent="0.2">
      <c r="B179" s="253" t="s">
        <v>230</v>
      </c>
      <c r="C179" s="253" t="s">
        <v>333</v>
      </c>
      <c r="D179" s="253" t="s">
        <v>85</v>
      </c>
      <c r="E179" s="253" t="s">
        <v>127</v>
      </c>
      <c r="F179" s="253">
        <v>0</v>
      </c>
      <c r="G179" s="253" t="s">
        <v>268</v>
      </c>
      <c r="H179" s="237">
        <v>0</v>
      </c>
      <c r="I179" s="126">
        <f t="shared" si="87"/>
        <v>15000</v>
      </c>
      <c r="J179" s="116"/>
      <c r="K179" s="254">
        <v>0</v>
      </c>
      <c r="L179" s="254">
        <v>0</v>
      </c>
      <c r="M179" s="254">
        <v>0</v>
      </c>
      <c r="N179" s="254">
        <v>0</v>
      </c>
      <c r="O179" s="254">
        <v>0</v>
      </c>
      <c r="P179" s="254">
        <v>0</v>
      </c>
      <c r="Q179" s="254">
        <v>0</v>
      </c>
      <c r="R179" s="254">
        <v>0</v>
      </c>
      <c r="S179" s="254">
        <v>0</v>
      </c>
      <c r="T179" s="254">
        <v>0</v>
      </c>
      <c r="U179" s="254">
        <v>0</v>
      </c>
      <c r="V179" s="254">
        <v>0</v>
      </c>
      <c r="W179" s="254">
        <v>0</v>
      </c>
      <c r="X179" s="254">
        <v>0</v>
      </c>
      <c r="Y179" s="254">
        <v>0</v>
      </c>
      <c r="Z179" s="254">
        <v>0</v>
      </c>
      <c r="AA179" s="254">
        <v>0</v>
      </c>
      <c r="AB179" s="254">
        <v>0</v>
      </c>
      <c r="AC179" s="254">
        <v>0</v>
      </c>
      <c r="AD179" s="254">
        <v>0</v>
      </c>
      <c r="AE179" s="254">
        <v>0</v>
      </c>
      <c r="AF179" s="254">
        <v>0</v>
      </c>
      <c r="AG179" s="254">
        <v>0</v>
      </c>
      <c r="AH179" s="254">
        <v>0</v>
      </c>
      <c r="AI179" s="254">
        <v>0</v>
      </c>
      <c r="AJ179" s="254">
        <v>0</v>
      </c>
      <c r="AK179" s="254">
        <v>0</v>
      </c>
      <c r="AL179" s="254">
        <v>0</v>
      </c>
      <c r="AM179" s="254">
        <v>0</v>
      </c>
      <c r="AN179" s="254">
        <v>1</v>
      </c>
      <c r="AO179" s="254">
        <v>0</v>
      </c>
      <c r="AP179" s="254">
        <v>0</v>
      </c>
      <c r="AQ179" s="254">
        <v>0</v>
      </c>
      <c r="AR179" s="254">
        <v>0</v>
      </c>
      <c r="AS179" s="254">
        <v>0</v>
      </c>
      <c r="AT179" s="254">
        <v>0</v>
      </c>
      <c r="AU179" s="254">
        <v>0</v>
      </c>
      <c r="AV179" s="254">
        <v>0</v>
      </c>
      <c r="AW179" s="254">
        <v>0</v>
      </c>
      <c r="AX179" s="254">
        <v>0</v>
      </c>
      <c r="AY179" s="254">
        <v>0</v>
      </c>
      <c r="AZ179" s="254">
        <v>0</v>
      </c>
      <c r="BA179" s="254">
        <v>0</v>
      </c>
      <c r="BB179" s="254">
        <v>0</v>
      </c>
      <c r="BC179" s="254">
        <v>0</v>
      </c>
      <c r="BD179" s="254">
        <v>0</v>
      </c>
      <c r="BE179" s="254">
        <v>0</v>
      </c>
      <c r="BF179" s="254">
        <v>0</v>
      </c>
      <c r="BG179" s="254">
        <v>0</v>
      </c>
      <c r="BH179" s="254">
        <v>0</v>
      </c>
      <c r="BI179" s="254">
        <v>0</v>
      </c>
      <c r="BJ179" s="254">
        <v>0</v>
      </c>
      <c r="BK179" s="254">
        <v>0</v>
      </c>
      <c r="BL179" s="254">
        <v>0</v>
      </c>
      <c r="BM179" s="254">
        <v>0</v>
      </c>
      <c r="BN179" s="254">
        <v>0</v>
      </c>
      <c r="BO179" s="254">
        <v>0</v>
      </c>
      <c r="BP179" s="254">
        <v>0</v>
      </c>
      <c r="BQ179" s="254">
        <v>0</v>
      </c>
      <c r="BR179" s="254">
        <v>0</v>
      </c>
      <c r="BS179" s="254">
        <v>0</v>
      </c>
      <c r="BT179" s="254">
        <v>0</v>
      </c>
      <c r="BU179" s="254">
        <v>0</v>
      </c>
      <c r="BV179" s="254">
        <v>0</v>
      </c>
      <c r="BW179" s="254">
        <v>0</v>
      </c>
      <c r="BX179" s="254">
        <v>0</v>
      </c>
      <c r="BY179" s="254">
        <v>0</v>
      </c>
      <c r="BZ179" s="254">
        <v>0</v>
      </c>
      <c r="CA179" s="254">
        <v>0</v>
      </c>
      <c r="CB179" s="254">
        <v>0</v>
      </c>
      <c r="CC179" s="254">
        <v>0</v>
      </c>
      <c r="CD179" s="254">
        <v>0</v>
      </c>
      <c r="CE179" s="254">
        <v>0</v>
      </c>
      <c r="CF179" s="254">
        <v>0</v>
      </c>
      <c r="CG179" s="254">
        <v>0</v>
      </c>
      <c r="CH179" s="254">
        <v>0</v>
      </c>
      <c r="CI179" s="254">
        <v>0</v>
      </c>
      <c r="CJ179" s="254">
        <v>0</v>
      </c>
      <c r="CK179" s="254">
        <v>0</v>
      </c>
      <c r="CL179" s="254">
        <v>0</v>
      </c>
      <c r="CM179" s="254">
        <v>0</v>
      </c>
      <c r="CN179" s="254">
        <v>0</v>
      </c>
      <c r="CO179" s="254">
        <v>0</v>
      </c>
      <c r="CP179" s="254">
        <v>0</v>
      </c>
      <c r="CQ179" s="116"/>
      <c r="CR179" s="255">
        <v>0</v>
      </c>
      <c r="CS179" s="255">
        <v>0</v>
      </c>
      <c r="CT179" s="255">
        <v>0</v>
      </c>
      <c r="CU179" s="255">
        <v>0</v>
      </c>
      <c r="CV179" s="255">
        <v>0</v>
      </c>
      <c r="CW179" s="255">
        <v>0</v>
      </c>
      <c r="CX179" s="255">
        <v>0</v>
      </c>
      <c r="CY179" s="255">
        <v>0</v>
      </c>
      <c r="CZ179" s="255">
        <v>0</v>
      </c>
      <c r="DA179" s="255">
        <v>0</v>
      </c>
      <c r="DB179" s="255">
        <v>0</v>
      </c>
      <c r="DC179" s="255">
        <v>0</v>
      </c>
      <c r="DD179" s="255">
        <v>0</v>
      </c>
      <c r="DE179" s="255">
        <v>0</v>
      </c>
      <c r="DF179" s="255">
        <v>0</v>
      </c>
      <c r="DG179" s="255">
        <v>0</v>
      </c>
      <c r="DH179" s="255">
        <v>0</v>
      </c>
      <c r="DI179" s="255">
        <v>0</v>
      </c>
      <c r="DJ179" s="255">
        <v>0</v>
      </c>
      <c r="DK179" s="255">
        <v>0</v>
      </c>
      <c r="DL179" s="255">
        <v>0</v>
      </c>
      <c r="DM179" s="255">
        <v>0</v>
      </c>
      <c r="DN179" s="255">
        <v>0</v>
      </c>
      <c r="DO179" s="255">
        <v>0</v>
      </c>
      <c r="DP179" s="255">
        <v>0</v>
      </c>
      <c r="DQ179" s="255">
        <v>0</v>
      </c>
      <c r="DR179" s="255">
        <v>0</v>
      </c>
      <c r="DS179" s="255">
        <v>0</v>
      </c>
      <c r="DT179" s="255">
        <v>0</v>
      </c>
      <c r="DU179" s="255">
        <v>15000</v>
      </c>
      <c r="DV179" s="255">
        <v>0</v>
      </c>
      <c r="DW179" s="255">
        <v>0</v>
      </c>
      <c r="DX179" s="255">
        <v>0</v>
      </c>
      <c r="DY179" s="255">
        <v>0</v>
      </c>
      <c r="DZ179" s="255">
        <v>0</v>
      </c>
      <c r="EA179" s="255">
        <v>0</v>
      </c>
      <c r="EB179" s="255">
        <v>0</v>
      </c>
      <c r="EC179" s="255">
        <v>0</v>
      </c>
      <c r="ED179" s="255">
        <v>0</v>
      </c>
      <c r="EE179" s="255">
        <v>0</v>
      </c>
      <c r="EF179" s="255">
        <v>0</v>
      </c>
      <c r="EG179" s="255">
        <v>0</v>
      </c>
      <c r="EH179" s="255">
        <v>0</v>
      </c>
      <c r="EI179" s="255">
        <v>0</v>
      </c>
      <c r="EJ179" s="255">
        <v>0</v>
      </c>
      <c r="EK179" s="255">
        <v>0</v>
      </c>
      <c r="EL179" s="255">
        <v>0</v>
      </c>
      <c r="EM179" s="255">
        <v>0</v>
      </c>
      <c r="EN179" s="255">
        <v>0</v>
      </c>
      <c r="EO179" s="255">
        <v>0</v>
      </c>
      <c r="EP179" s="255">
        <v>0</v>
      </c>
      <c r="EQ179" s="255">
        <v>0</v>
      </c>
      <c r="ER179" s="255">
        <v>0</v>
      </c>
      <c r="ES179" s="255">
        <v>0</v>
      </c>
      <c r="ET179" s="255">
        <v>0</v>
      </c>
      <c r="EU179" s="255">
        <v>0</v>
      </c>
      <c r="EV179" s="255">
        <v>0</v>
      </c>
      <c r="EW179" s="255">
        <v>0</v>
      </c>
      <c r="EX179" s="255">
        <v>0</v>
      </c>
      <c r="EY179" s="255">
        <v>0</v>
      </c>
      <c r="EZ179" s="255">
        <v>0</v>
      </c>
      <c r="FA179" s="255">
        <v>0</v>
      </c>
      <c r="FB179" s="255">
        <v>0</v>
      </c>
      <c r="FC179" s="255">
        <v>0</v>
      </c>
      <c r="FD179" s="255">
        <v>0</v>
      </c>
      <c r="FE179" s="255">
        <v>0</v>
      </c>
      <c r="FF179" s="255">
        <v>0</v>
      </c>
      <c r="FG179" s="255">
        <v>0</v>
      </c>
      <c r="FH179" s="255">
        <v>0</v>
      </c>
      <c r="FI179" s="255">
        <v>0</v>
      </c>
      <c r="FJ179" s="255">
        <v>0</v>
      </c>
      <c r="FK179" s="255">
        <v>0</v>
      </c>
      <c r="FL179" s="255">
        <v>0</v>
      </c>
      <c r="FM179" s="255">
        <v>0</v>
      </c>
      <c r="FN179" s="255">
        <v>0</v>
      </c>
      <c r="FO179" s="255">
        <v>0</v>
      </c>
      <c r="FP179" s="255">
        <v>0</v>
      </c>
      <c r="FQ179" s="255">
        <v>0</v>
      </c>
      <c r="FR179" s="255">
        <v>0</v>
      </c>
      <c r="FS179" s="255">
        <v>0</v>
      </c>
      <c r="FT179" s="255">
        <v>0</v>
      </c>
      <c r="FU179" s="255">
        <v>0</v>
      </c>
      <c r="FV179" s="255">
        <v>0</v>
      </c>
      <c r="FW179" s="255">
        <v>0</v>
      </c>
      <c r="FX179" s="116"/>
    </row>
    <row r="180" spans="2:180" x14ac:dyDescent="0.2">
      <c r="B180" s="253" t="s">
        <v>216</v>
      </c>
      <c r="C180" s="253" t="s">
        <v>272</v>
      </c>
      <c r="D180" s="253" t="s">
        <v>258</v>
      </c>
      <c r="E180" s="253" t="s">
        <v>127</v>
      </c>
      <c r="F180" s="253" t="s">
        <v>259</v>
      </c>
      <c r="G180" s="253" t="s">
        <v>260</v>
      </c>
      <c r="H180" s="237">
        <v>254.01</v>
      </c>
      <c r="I180" s="126">
        <f t="shared" si="87"/>
        <v>203409.35999999993</v>
      </c>
      <c r="J180" s="116"/>
      <c r="K180" s="254">
        <v>0</v>
      </c>
      <c r="L180" s="254">
        <v>0</v>
      </c>
      <c r="M180" s="254">
        <v>0</v>
      </c>
      <c r="N180" s="254">
        <v>0</v>
      </c>
      <c r="O180" s="254">
        <v>0</v>
      </c>
      <c r="P180" s="254">
        <v>0</v>
      </c>
      <c r="Q180" s="254">
        <v>0</v>
      </c>
      <c r="R180" s="254">
        <v>0</v>
      </c>
      <c r="S180" s="254">
        <v>0</v>
      </c>
      <c r="T180" s="254">
        <v>0</v>
      </c>
      <c r="U180" s="254">
        <v>0</v>
      </c>
      <c r="V180" s="254">
        <v>0</v>
      </c>
      <c r="W180" s="254">
        <v>0</v>
      </c>
      <c r="X180" s="254">
        <v>0</v>
      </c>
      <c r="Y180" s="254">
        <v>0.2</v>
      </c>
      <c r="Z180" s="254">
        <v>0.2</v>
      </c>
      <c r="AA180" s="254">
        <v>0.18421052631578946</v>
      </c>
      <c r="AB180" s="254">
        <v>0.18421052631578946</v>
      </c>
      <c r="AC180" s="254">
        <v>0.2</v>
      </c>
      <c r="AD180" s="254">
        <v>0.2</v>
      </c>
      <c r="AE180" s="254">
        <v>0.2</v>
      </c>
      <c r="AF180" s="254">
        <v>0.2</v>
      </c>
      <c r="AG180" s="254">
        <v>0.2</v>
      </c>
      <c r="AH180" s="254">
        <v>0.2</v>
      </c>
      <c r="AI180" s="254">
        <v>0.2</v>
      </c>
      <c r="AJ180" s="254">
        <v>0.2</v>
      </c>
      <c r="AK180" s="254">
        <v>0.2</v>
      </c>
      <c r="AL180" s="254">
        <v>0.2</v>
      </c>
      <c r="AM180" s="254">
        <v>0.18421052631578946</v>
      </c>
      <c r="AN180" s="254">
        <v>0.18421052631578946</v>
      </c>
      <c r="AO180" s="254">
        <v>0.2</v>
      </c>
      <c r="AP180" s="254">
        <v>0.2</v>
      </c>
      <c r="AQ180" s="254">
        <v>0.2</v>
      </c>
      <c r="AR180" s="254">
        <v>0.2</v>
      </c>
      <c r="AS180" s="254">
        <v>0.2</v>
      </c>
      <c r="AT180" s="254">
        <v>0.2</v>
      </c>
      <c r="AU180" s="254">
        <v>0.2</v>
      </c>
      <c r="AV180" s="254">
        <v>0.2</v>
      </c>
      <c r="AW180" s="254">
        <v>0.2</v>
      </c>
      <c r="AX180" s="254">
        <v>0.2</v>
      </c>
      <c r="AY180" s="254">
        <v>0.18421052631578946</v>
      </c>
      <c r="AZ180" s="254">
        <v>0.18421052631578946</v>
      </c>
      <c r="BA180" s="254">
        <v>0.2</v>
      </c>
      <c r="BB180" s="254">
        <v>0.2</v>
      </c>
      <c r="BC180" s="254">
        <v>0</v>
      </c>
      <c r="BD180" s="254">
        <v>0</v>
      </c>
      <c r="BE180" s="254">
        <v>0</v>
      </c>
      <c r="BF180" s="254">
        <v>0</v>
      </c>
      <c r="BG180" s="254">
        <v>0</v>
      </c>
      <c r="BH180" s="254">
        <v>0</v>
      </c>
      <c r="BI180" s="254">
        <v>0</v>
      </c>
      <c r="BJ180" s="254">
        <v>0</v>
      </c>
      <c r="BK180" s="254">
        <v>0</v>
      </c>
      <c r="BL180" s="254">
        <v>0</v>
      </c>
      <c r="BM180" s="254">
        <v>0</v>
      </c>
      <c r="BN180" s="254">
        <v>0</v>
      </c>
      <c r="BO180" s="254">
        <v>0</v>
      </c>
      <c r="BP180" s="254">
        <v>0</v>
      </c>
      <c r="BQ180" s="254">
        <v>0</v>
      </c>
      <c r="BR180" s="254">
        <v>0</v>
      </c>
      <c r="BS180" s="254">
        <v>0</v>
      </c>
      <c r="BT180" s="254">
        <v>0</v>
      </c>
      <c r="BU180" s="254">
        <v>0</v>
      </c>
      <c r="BV180" s="254">
        <v>0</v>
      </c>
      <c r="BW180" s="254">
        <v>0</v>
      </c>
      <c r="BX180" s="254">
        <v>0</v>
      </c>
      <c r="BY180" s="254">
        <v>0</v>
      </c>
      <c r="BZ180" s="254">
        <v>0</v>
      </c>
      <c r="CA180" s="254">
        <v>0</v>
      </c>
      <c r="CB180" s="254">
        <v>0</v>
      </c>
      <c r="CC180" s="254">
        <v>0</v>
      </c>
      <c r="CD180" s="254">
        <v>0</v>
      </c>
      <c r="CE180" s="254">
        <v>0</v>
      </c>
      <c r="CF180" s="254">
        <v>0</v>
      </c>
      <c r="CG180" s="254">
        <v>0</v>
      </c>
      <c r="CH180" s="254">
        <v>0</v>
      </c>
      <c r="CI180" s="254">
        <v>0</v>
      </c>
      <c r="CJ180" s="254">
        <v>0</v>
      </c>
      <c r="CK180" s="254">
        <v>0</v>
      </c>
      <c r="CL180" s="254">
        <v>0</v>
      </c>
      <c r="CM180" s="254">
        <v>0</v>
      </c>
      <c r="CN180" s="254">
        <v>0</v>
      </c>
      <c r="CO180" s="254">
        <v>0</v>
      </c>
      <c r="CP180" s="254">
        <v>0</v>
      </c>
      <c r="CQ180" s="116"/>
      <c r="CR180" s="255">
        <v>0</v>
      </c>
      <c r="CS180" s="255">
        <v>0</v>
      </c>
      <c r="CT180" s="255">
        <v>0</v>
      </c>
      <c r="CU180" s="255">
        <v>0</v>
      </c>
      <c r="CV180" s="255">
        <v>0</v>
      </c>
      <c r="CW180" s="255">
        <v>0</v>
      </c>
      <c r="CX180" s="255">
        <v>0</v>
      </c>
      <c r="CY180" s="255">
        <v>0</v>
      </c>
      <c r="CZ180" s="255">
        <v>0</v>
      </c>
      <c r="DA180" s="255">
        <v>0</v>
      </c>
      <c r="DB180" s="255">
        <v>0</v>
      </c>
      <c r="DC180" s="255">
        <v>0</v>
      </c>
      <c r="DD180" s="255">
        <v>0</v>
      </c>
      <c r="DE180" s="255">
        <v>0</v>
      </c>
      <c r="DF180" s="255">
        <v>6905.6399999999994</v>
      </c>
      <c r="DG180" s="255">
        <v>5179.2299999999996</v>
      </c>
      <c r="DH180" s="255">
        <v>6905.6399999999994</v>
      </c>
      <c r="DI180" s="255">
        <v>6905.6399999999994</v>
      </c>
      <c r="DJ180" s="255">
        <v>7112.28</v>
      </c>
      <c r="DK180" s="255">
        <v>7112.28</v>
      </c>
      <c r="DL180" s="255">
        <v>7112.28</v>
      </c>
      <c r="DM180" s="255">
        <v>7112.28</v>
      </c>
      <c r="DN180" s="255">
        <v>7112.28</v>
      </c>
      <c r="DO180" s="255">
        <v>5334.21</v>
      </c>
      <c r="DP180" s="255">
        <v>5334.21</v>
      </c>
      <c r="DQ180" s="255">
        <v>7112.28</v>
      </c>
      <c r="DR180" s="255">
        <v>7112.28</v>
      </c>
      <c r="DS180" s="255">
        <v>5334.21</v>
      </c>
      <c r="DT180" s="255">
        <v>7112.28</v>
      </c>
      <c r="DU180" s="255">
        <v>7112.28</v>
      </c>
      <c r="DV180" s="255">
        <v>7325.3600000000006</v>
      </c>
      <c r="DW180" s="255">
        <v>7325.3600000000006</v>
      </c>
      <c r="DX180" s="255">
        <v>7325.3600000000006</v>
      </c>
      <c r="DY180" s="255">
        <v>7325.3600000000006</v>
      </c>
      <c r="DZ180" s="255">
        <v>7325.3600000000006</v>
      </c>
      <c r="EA180" s="255">
        <v>5494.02</v>
      </c>
      <c r="EB180" s="255">
        <v>5494.02</v>
      </c>
      <c r="EC180" s="255">
        <v>7325.3600000000006</v>
      </c>
      <c r="ED180" s="255">
        <v>7325.3600000000006</v>
      </c>
      <c r="EE180" s="255">
        <v>5494.02</v>
      </c>
      <c r="EF180" s="255">
        <v>7325.3600000000006</v>
      </c>
      <c r="EG180" s="255">
        <v>7325.3600000000006</v>
      </c>
      <c r="EH180" s="255">
        <v>7544.8799999999992</v>
      </c>
      <c r="EI180" s="255">
        <v>7544.8799999999992</v>
      </c>
      <c r="EJ180" s="255">
        <v>0</v>
      </c>
      <c r="EK180" s="255">
        <v>0</v>
      </c>
      <c r="EL180" s="255">
        <v>0</v>
      </c>
      <c r="EM180" s="255">
        <v>0</v>
      </c>
      <c r="EN180" s="255">
        <v>0</v>
      </c>
      <c r="EO180" s="255">
        <v>0</v>
      </c>
      <c r="EP180" s="255">
        <v>0</v>
      </c>
      <c r="EQ180" s="255">
        <v>0</v>
      </c>
      <c r="ER180" s="255">
        <v>0</v>
      </c>
      <c r="ES180" s="255">
        <v>0</v>
      </c>
      <c r="ET180" s="255">
        <v>0</v>
      </c>
      <c r="EU180" s="255">
        <v>0</v>
      </c>
      <c r="EV180" s="255">
        <v>0</v>
      </c>
      <c r="EW180" s="255">
        <v>0</v>
      </c>
      <c r="EX180" s="255">
        <v>0</v>
      </c>
      <c r="EY180" s="255">
        <v>0</v>
      </c>
      <c r="EZ180" s="255">
        <v>0</v>
      </c>
      <c r="FA180" s="255">
        <v>0</v>
      </c>
      <c r="FB180" s="255">
        <v>0</v>
      </c>
      <c r="FC180" s="255">
        <v>0</v>
      </c>
      <c r="FD180" s="255">
        <v>0</v>
      </c>
      <c r="FE180" s="255">
        <v>0</v>
      </c>
      <c r="FF180" s="255">
        <v>0</v>
      </c>
      <c r="FG180" s="255">
        <v>0</v>
      </c>
      <c r="FH180" s="255">
        <v>0</v>
      </c>
      <c r="FI180" s="255">
        <v>0</v>
      </c>
      <c r="FJ180" s="255">
        <v>0</v>
      </c>
      <c r="FK180" s="255">
        <v>0</v>
      </c>
      <c r="FL180" s="255">
        <v>0</v>
      </c>
      <c r="FM180" s="255">
        <v>0</v>
      </c>
      <c r="FN180" s="255">
        <v>0</v>
      </c>
      <c r="FO180" s="255">
        <v>0</v>
      </c>
      <c r="FP180" s="255">
        <v>0</v>
      </c>
      <c r="FQ180" s="255">
        <v>0</v>
      </c>
      <c r="FR180" s="255">
        <v>0</v>
      </c>
      <c r="FS180" s="255">
        <v>0</v>
      </c>
      <c r="FT180" s="255">
        <v>0</v>
      </c>
      <c r="FU180" s="255">
        <v>0</v>
      </c>
      <c r="FV180" s="255">
        <v>0</v>
      </c>
      <c r="FW180" s="255">
        <v>0</v>
      </c>
      <c r="FX180" s="116"/>
    </row>
    <row r="181" spans="2:180" x14ac:dyDescent="0.2">
      <c r="B181" s="253" t="s">
        <v>216</v>
      </c>
      <c r="C181" s="253" t="s">
        <v>272</v>
      </c>
      <c r="D181" s="253" t="s">
        <v>258</v>
      </c>
      <c r="E181" s="253" t="s">
        <v>127</v>
      </c>
      <c r="F181" s="253" t="s">
        <v>259</v>
      </c>
      <c r="G181" s="253" t="s">
        <v>260</v>
      </c>
      <c r="H181" s="237">
        <v>254.01</v>
      </c>
      <c r="I181" s="126">
        <f t="shared" si="87"/>
        <v>104612.34000000003</v>
      </c>
      <c r="J181" s="116"/>
      <c r="K181" s="254">
        <v>0</v>
      </c>
      <c r="L181" s="254">
        <v>0</v>
      </c>
      <c r="M181" s="254">
        <v>0</v>
      </c>
      <c r="N181" s="254">
        <v>0</v>
      </c>
      <c r="O181" s="254">
        <v>0</v>
      </c>
      <c r="P181" s="254">
        <v>0</v>
      </c>
      <c r="Q181" s="254">
        <v>0</v>
      </c>
      <c r="R181" s="254">
        <v>0</v>
      </c>
      <c r="S181" s="254">
        <v>0</v>
      </c>
      <c r="T181" s="254">
        <v>0</v>
      </c>
      <c r="U181" s="254">
        <v>0</v>
      </c>
      <c r="V181" s="254">
        <v>0</v>
      </c>
      <c r="W181" s="254">
        <v>0</v>
      </c>
      <c r="X181" s="254">
        <v>0</v>
      </c>
      <c r="Y181" s="254">
        <v>0</v>
      </c>
      <c r="Z181" s="254">
        <v>0</v>
      </c>
      <c r="AA181" s="254">
        <v>0</v>
      </c>
      <c r="AB181" s="254">
        <v>0</v>
      </c>
      <c r="AC181" s="254">
        <v>0</v>
      </c>
      <c r="AD181" s="254">
        <v>0</v>
      </c>
      <c r="AE181" s="254">
        <v>0</v>
      </c>
      <c r="AF181" s="254">
        <v>0</v>
      </c>
      <c r="AG181" s="254">
        <v>0</v>
      </c>
      <c r="AH181" s="254">
        <v>0</v>
      </c>
      <c r="AI181" s="254">
        <v>0</v>
      </c>
      <c r="AJ181" s="254">
        <v>0</v>
      </c>
      <c r="AK181" s="254">
        <v>0</v>
      </c>
      <c r="AL181" s="254">
        <v>0</v>
      </c>
      <c r="AM181" s="254">
        <v>0</v>
      </c>
      <c r="AN181" s="254">
        <v>0.18421052631578946</v>
      </c>
      <c r="AO181" s="254">
        <v>0.2</v>
      </c>
      <c r="AP181" s="254">
        <v>0.2</v>
      </c>
      <c r="AQ181" s="254">
        <v>0.2</v>
      </c>
      <c r="AR181" s="254">
        <v>0.2</v>
      </c>
      <c r="AS181" s="254">
        <v>0.2</v>
      </c>
      <c r="AT181" s="254">
        <v>0.2</v>
      </c>
      <c r="AU181" s="254">
        <v>0.2</v>
      </c>
      <c r="AV181" s="254">
        <v>0.2</v>
      </c>
      <c r="AW181" s="254">
        <v>0.2</v>
      </c>
      <c r="AX181" s="254">
        <v>0.2</v>
      </c>
      <c r="AY181" s="254">
        <v>0.18421052631578946</v>
      </c>
      <c r="AZ181" s="254">
        <v>0.18421052631578946</v>
      </c>
      <c r="BA181" s="254">
        <v>0.2</v>
      </c>
      <c r="BB181" s="254">
        <v>0.2</v>
      </c>
      <c r="BC181" s="254">
        <v>0</v>
      </c>
      <c r="BD181" s="254">
        <v>0</v>
      </c>
      <c r="BE181" s="254">
        <v>0</v>
      </c>
      <c r="BF181" s="254">
        <v>0</v>
      </c>
      <c r="BG181" s="254">
        <v>0</v>
      </c>
      <c r="BH181" s="254">
        <v>0</v>
      </c>
      <c r="BI181" s="254">
        <v>0</v>
      </c>
      <c r="BJ181" s="254">
        <v>0</v>
      </c>
      <c r="BK181" s="254">
        <v>0</v>
      </c>
      <c r="BL181" s="254">
        <v>0</v>
      </c>
      <c r="BM181" s="254">
        <v>0</v>
      </c>
      <c r="BN181" s="254">
        <v>0</v>
      </c>
      <c r="BO181" s="254">
        <v>0</v>
      </c>
      <c r="BP181" s="254">
        <v>0</v>
      </c>
      <c r="BQ181" s="254">
        <v>0</v>
      </c>
      <c r="BR181" s="254">
        <v>0</v>
      </c>
      <c r="BS181" s="254">
        <v>0</v>
      </c>
      <c r="BT181" s="254">
        <v>0</v>
      </c>
      <c r="BU181" s="254">
        <v>0</v>
      </c>
      <c r="BV181" s="254">
        <v>0</v>
      </c>
      <c r="BW181" s="254">
        <v>0</v>
      </c>
      <c r="BX181" s="254">
        <v>0</v>
      </c>
      <c r="BY181" s="254">
        <v>0</v>
      </c>
      <c r="BZ181" s="254">
        <v>0</v>
      </c>
      <c r="CA181" s="254">
        <v>0</v>
      </c>
      <c r="CB181" s="254">
        <v>0</v>
      </c>
      <c r="CC181" s="254">
        <v>0</v>
      </c>
      <c r="CD181" s="254">
        <v>0</v>
      </c>
      <c r="CE181" s="254">
        <v>0</v>
      </c>
      <c r="CF181" s="254">
        <v>0</v>
      </c>
      <c r="CG181" s="254">
        <v>0</v>
      </c>
      <c r="CH181" s="254">
        <v>0</v>
      </c>
      <c r="CI181" s="254">
        <v>0</v>
      </c>
      <c r="CJ181" s="254">
        <v>0</v>
      </c>
      <c r="CK181" s="254">
        <v>0</v>
      </c>
      <c r="CL181" s="254">
        <v>0</v>
      </c>
      <c r="CM181" s="254">
        <v>0</v>
      </c>
      <c r="CN181" s="254">
        <v>0</v>
      </c>
      <c r="CO181" s="254">
        <v>0</v>
      </c>
      <c r="CP181" s="254">
        <v>0</v>
      </c>
      <c r="CQ181" s="116"/>
      <c r="CR181" s="255">
        <v>0</v>
      </c>
      <c r="CS181" s="255">
        <v>0</v>
      </c>
      <c r="CT181" s="255">
        <v>0</v>
      </c>
      <c r="CU181" s="255">
        <v>0</v>
      </c>
      <c r="CV181" s="255">
        <v>0</v>
      </c>
      <c r="CW181" s="255">
        <v>0</v>
      </c>
      <c r="CX181" s="255">
        <v>0</v>
      </c>
      <c r="CY181" s="255">
        <v>0</v>
      </c>
      <c r="CZ181" s="255">
        <v>0</v>
      </c>
      <c r="DA181" s="255">
        <v>0</v>
      </c>
      <c r="DB181" s="255">
        <v>0</v>
      </c>
      <c r="DC181" s="255">
        <v>0</v>
      </c>
      <c r="DD181" s="255">
        <v>0</v>
      </c>
      <c r="DE181" s="255">
        <v>0</v>
      </c>
      <c r="DF181" s="255">
        <v>0</v>
      </c>
      <c r="DG181" s="255">
        <v>0</v>
      </c>
      <c r="DH181" s="255">
        <v>0</v>
      </c>
      <c r="DI181" s="255">
        <v>0</v>
      </c>
      <c r="DJ181" s="255">
        <v>0</v>
      </c>
      <c r="DK181" s="255">
        <v>0</v>
      </c>
      <c r="DL181" s="255">
        <v>0</v>
      </c>
      <c r="DM181" s="255">
        <v>0</v>
      </c>
      <c r="DN181" s="255">
        <v>0</v>
      </c>
      <c r="DO181" s="255">
        <v>0</v>
      </c>
      <c r="DP181" s="255">
        <v>0</v>
      </c>
      <c r="DQ181" s="255">
        <v>0</v>
      </c>
      <c r="DR181" s="255">
        <v>0</v>
      </c>
      <c r="DS181" s="255">
        <v>0</v>
      </c>
      <c r="DT181" s="255">
        <v>0</v>
      </c>
      <c r="DU181" s="255">
        <v>7112.28</v>
      </c>
      <c r="DV181" s="255">
        <v>7325.3600000000006</v>
      </c>
      <c r="DW181" s="255">
        <v>7325.3600000000006</v>
      </c>
      <c r="DX181" s="255">
        <v>7325.3600000000006</v>
      </c>
      <c r="DY181" s="255">
        <v>7325.3600000000006</v>
      </c>
      <c r="DZ181" s="255">
        <v>7325.3600000000006</v>
      </c>
      <c r="EA181" s="255">
        <v>5494.02</v>
      </c>
      <c r="EB181" s="255">
        <v>5494.02</v>
      </c>
      <c r="EC181" s="255">
        <v>7325.3600000000006</v>
      </c>
      <c r="ED181" s="255">
        <v>7325.3600000000006</v>
      </c>
      <c r="EE181" s="255">
        <v>5494.02</v>
      </c>
      <c r="EF181" s="255">
        <v>7325.3600000000006</v>
      </c>
      <c r="EG181" s="255">
        <v>7325.3600000000006</v>
      </c>
      <c r="EH181" s="255">
        <v>7544.8799999999992</v>
      </c>
      <c r="EI181" s="255">
        <v>7544.8799999999992</v>
      </c>
      <c r="EJ181" s="255">
        <v>0</v>
      </c>
      <c r="EK181" s="255">
        <v>0</v>
      </c>
      <c r="EL181" s="255">
        <v>0</v>
      </c>
      <c r="EM181" s="255">
        <v>0</v>
      </c>
      <c r="EN181" s="255">
        <v>0</v>
      </c>
      <c r="EO181" s="255">
        <v>0</v>
      </c>
      <c r="EP181" s="255">
        <v>0</v>
      </c>
      <c r="EQ181" s="255">
        <v>0</v>
      </c>
      <c r="ER181" s="255">
        <v>0</v>
      </c>
      <c r="ES181" s="255">
        <v>0</v>
      </c>
      <c r="ET181" s="255">
        <v>0</v>
      </c>
      <c r="EU181" s="255">
        <v>0</v>
      </c>
      <c r="EV181" s="255">
        <v>0</v>
      </c>
      <c r="EW181" s="255">
        <v>0</v>
      </c>
      <c r="EX181" s="255">
        <v>0</v>
      </c>
      <c r="EY181" s="255">
        <v>0</v>
      </c>
      <c r="EZ181" s="255">
        <v>0</v>
      </c>
      <c r="FA181" s="255">
        <v>0</v>
      </c>
      <c r="FB181" s="255">
        <v>0</v>
      </c>
      <c r="FC181" s="255">
        <v>0</v>
      </c>
      <c r="FD181" s="255">
        <v>0</v>
      </c>
      <c r="FE181" s="255">
        <v>0</v>
      </c>
      <c r="FF181" s="255">
        <v>0</v>
      </c>
      <c r="FG181" s="255">
        <v>0</v>
      </c>
      <c r="FH181" s="255">
        <v>0</v>
      </c>
      <c r="FI181" s="255">
        <v>0</v>
      </c>
      <c r="FJ181" s="255">
        <v>0</v>
      </c>
      <c r="FK181" s="255">
        <v>0</v>
      </c>
      <c r="FL181" s="255">
        <v>0</v>
      </c>
      <c r="FM181" s="255">
        <v>0</v>
      </c>
      <c r="FN181" s="255">
        <v>0</v>
      </c>
      <c r="FO181" s="255">
        <v>0</v>
      </c>
      <c r="FP181" s="255">
        <v>0</v>
      </c>
      <c r="FQ181" s="255">
        <v>0</v>
      </c>
      <c r="FR181" s="255">
        <v>0</v>
      </c>
      <c r="FS181" s="255">
        <v>0</v>
      </c>
      <c r="FT181" s="255">
        <v>0</v>
      </c>
      <c r="FU181" s="255">
        <v>0</v>
      </c>
      <c r="FV181" s="255">
        <v>0</v>
      </c>
      <c r="FW181" s="255">
        <v>0</v>
      </c>
      <c r="FX181" s="116"/>
    </row>
    <row r="182" spans="2:180" x14ac:dyDescent="0.2">
      <c r="B182" s="253" t="s">
        <v>205</v>
      </c>
      <c r="C182" s="253" t="s">
        <v>272</v>
      </c>
      <c r="D182" s="253" t="s">
        <v>258</v>
      </c>
      <c r="E182" s="253" t="s">
        <v>127</v>
      </c>
      <c r="F182" s="253" t="s">
        <v>259</v>
      </c>
      <c r="G182" s="253" t="s">
        <v>260</v>
      </c>
      <c r="H182" s="237">
        <v>254.01</v>
      </c>
      <c r="I182" s="126">
        <f t="shared" si="87"/>
        <v>572895.66</v>
      </c>
      <c r="J182" s="116"/>
      <c r="K182" s="254">
        <v>0</v>
      </c>
      <c r="L182" s="254">
        <v>0</v>
      </c>
      <c r="M182" s="254">
        <v>0</v>
      </c>
      <c r="N182" s="254">
        <v>0</v>
      </c>
      <c r="O182" s="254">
        <v>0</v>
      </c>
      <c r="P182" s="254">
        <v>0</v>
      </c>
      <c r="Q182" s="254">
        <v>0</v>
      </c>
      <c r="R182" s="254">
        <v>0</v>
      </c>
      <c r="S182" s="254">
        <v>0</v>
      </c>
      <c r="T182" s="254">
        <v>0</v>
      </c>
      <c r="U182" s="254">
        <v>0</v>
      </c>
      <c r="V182" s="254">
        <v>0</v>
      </c>
      <c r="W182" s="254">
        <v>0</v>
      </c>
      <c r="X182" s="254">
        <v>0</v>
      </c>
      <c r="Y182" s="254">
        <v>0</v>
      </c>
      <c r="Z182" s="254">
        <v>0.5</v>
      </c>
      <c r="AA182" s="254">
        <v>0.46052631578947367</v>
      </c>
      <c r="AB182" s="254">
        <v>0.46052631578947367</v>
      </c>
      <c r="AC182" s="254">
        <v>0.5</v>
      </c>
      <c r="AD182" s="254">
        <v>0.5</v>
      </c>
      <c r="AE182" s="254">
        <v>0.5</v>
      </c>
      <c r="AF182" s="254">
        <v>0.5</v>
      </c>
      <c r="AG182" s="254">
        <v>0.5</v>
      </c>
      <c r="AH182" s="254">
        <v>0.5</v>
      </c>
      <c r="AI182" s="254">
        <v>0.5</v>
      </c>
      <c r="AJ182" s="254">
        <v>0.5</v>
      </c>
      <c r="AK182" s="254">
        <v>0.5</v>
      </c>
      <c r="AL182" s="254">
        <v>0.5</v>
      </c>
      <c r="AM182" s="254">
        <v>0.5</v>
      </c>
      <c r="AN182" s="254">
        <v>0.5</v>
      </c>
      <c r="AO182" s="254">
        <v>0.5</v>
      </c>
      <c r="AP182" s="254">
        <v>0.5</v>
      </c>
      <c r="AQ182" s="254">
        <v>0.5</v>
      </c>
      <c r="AR182" s="254">
        <v>0.5</v>
      </c>
      <c r="AS182" s="254">
        <v>0.5</v>
      </c>
      <c r="AT182" s="254">
        <v>0.5</v>
      </c>
      <c r="AU182" s="254">
        <v>0.5</v>
      </c>
      <c r="AV182" s="254">
        <v>0.5</v>
      </c>
      <c r="AW182" s="254">
        <v>0.5</v>
      </c>
      <c r="AX182" s="254">
        <v>0.5</v>
      </c>
      <c r="AY182" s="254">
        <v>0.5</v>
      </c>
      <c r="AZ182" s="254">
        <v>0.5</v>
      </c>
      <c r="BA182" s="254">
        <v>0.5</v>
      </c>
      <c r="BB182" s="254">
        <v>0.5</v>
      </c>
      <c r="BC182" s="254">
        <v>0.5</v>
      </c>
      <c r="BD182" s="254">
        <v>0.5</v>
      </c>
      <c r="BE182" s="254">
        <v>0.5</v>
      </c>
      <c r="BF182" s="254">
        <v>0.66666666666666663</v>
      </c>
      <c r="BG182" s="254">
        <v>0</v>
      </c>
      <c r="BH182" s="254">
        <v>0</v>
      </c>
      <c r="BI182" s="254">
        <v>0</v>
      </c>
      <c r="BJ182" s="254">
        <v>0</v>
      </c>
      <c r="BK182" s="254">
        <v>0</v>
      </c>
      <c r="BL182" s="254">
        <v>0</v>
      </c>
      <c r="BM182" s="254">
        <v>0</v>
      </c>
      <c r="BN182" s="254">
        <v>0</v>
      </c>
      <c r="BO182" s="254">
        <v>0</v>
      </c>
      <c r="BP182" s="254">
        <v>0</v>
      </c>
      <c r="BQ182" s="254">
        <v>0</v>
      </c>
      <c r="BR182" s="254">
        <v>0</v>
      </c>
      <c r="BS182" s="254">
        <v>0</v>
      </c>
      <c r="BT182" s="254">
        <v>0</v>
      </c>
      <c r="BU182" s="254">
        <v>0</v>
      </c>
      <c r="BV182" s="254">
        <v>0</v>
      </c>
      <c r="BW182" s="254">
        <v>0</v>
      </c>
      <c r="BX182" s="254">
        <v>0</v>
      </c>
      <c r="BY182" s="254">
        <v>0</v>
      </c>
      <c r="BZ182" s="254">
        <v>0</v>
      </c>
      <c r="CA182" s="254">
        <v>0</v>
      </c>
      <c r="CB182" s="254">
        <v>0</v>
      </c>
      <c r="CC182" s="254">
        <v>0</v>
      </c>
      <c r="CD182" s="254">
        <v>0</v>
      </c>
      <c r="CE182" s="254">
        <v>0</v>
      </c>
      <c r="CF182" s="254">
        <v>0</v>
      </c>
      <c r="CG182" s="254">
        <v>0</v>
      </c>
      <c r="CH182" s="254">
        <v>0</v>
      </c>
      <c r="CI182" s="254">
        <v>0</v>
      </c>
      <c r="CJ182" s="254">
        <v>0</v>
      </c>
      <c r="CK182" s="254">
        <v>0</v>
      </c>
      <c r="CL182" s="254">
        <v>0</v>
      </c>
      <c r="CM182" s="254">
        <v>0</v>
      </c>
      <c r="CN182" s="254">
        <v>0</v>
      </c>
      <c r="CO182" s="254">
        <v>0</v>
      </c>
      <c r="CP182" s="254">
        <v>0</v>
      </c>
      <c r="CQ182" s="116"/>
      <c r="CR182" s="255">
        <v>0</v>
      </c>
      <c r="CS182" s="255">
        <v>0</v>
      </c>
      <c r="CT182" s="255">
        <v>0</v>
      </c>
      <c r="CU182" s="255">
        <v>0</v>
      </c>
      <c r="CV182" s="255">
        <v>0</v>
      </c>
      <c r="CW182" s="255">
        <v>0</v>
      </c>
      <c r="CX182" s="255">
        <v>0</v>
      </c>
      <c r="CY182" s="255">
        <v>0</v>
      </c>
      <c r="CZ182" s="255">
        <v>0</v>
      </c>
      <c r="DA182" s="255">
        <v>0</v>
      </c>
      <c r="DB182" s="255">
        <v>0</v>
      </c>
      <c r="DC182" s="255">
        <v>0</v>
      </c>
      <c r="DD182" s="255">
        <v>0</v>
      </c>
      <c r="DE182" s="255">
        <v>0</v>
      </c>
      <c r="DF182" s="255">
        <v>0</v>
      </c>
      <c r="DG182" s="255">
        <v>12948.074999999999</v>
      </c>
      <c r="DH182" s="255">
        <v>17264.099999999999</v>
      </c>
      <c r="DI182" s="255">
        <v>17264.099999999999</v>
      </c>
      <c r="DJ182" s="255">
        <v>17780.7</v>
      </c>
      <c r="DK182" s="255">
        <v>17780.7</v>
      </c>
      <c r="DL182" s="255">
        <v>17780.7</v>
      </c>
      <c r="DM182" s="255">
        <v>17780.7</v>
      </c>
      <c r="DN182" s="255">
        <v>17780.7</v>
      </c>
      <c r="DO182" s="255">
        <v>13335.525</v>
      </c>
      <c r="DP182" s="255">
        <v>13335.525</v>
      </c>
      <c r="DQ182" s="255">
        <v>17780.7</v>
      </c>
      <c r="DR182" s="255">
        <v>17780.7</v>
      </c>
      <c r="DS182" s="255">
        <v>13335.525</v>
      </c>
      <c r="DT182" s="255">
        <v>19304.759999999998</v>
      </c>
      <c r="DU182" s="255">
        <v>19304.759999999998</v>
      </c>
      <c r="DV182" s="255">
        <v>18313.400000000001</v>
      </c>
      <c r="DW182" s="255">
        <v>18313.400000000001</v>
      </c>
      <c r="DX182" s="255">
        <v>18313.400000000001</v>
      </c>
      <c r="DY182" s="255">
        <v>18313.400000000001</v>
      </c>
      <c r="DZ182" s="255">
        <v>18313.400000000001</v>
      </c>
      <c r="EA182" s="255">
        <v>13735.050000000001</v>
      </c>
      <c r="EB182" s="255">
        <v>13735.050000000001</v>
      </c>
      <c r="EC182" s="255">
        <v>18313.400000000001</v>
      </c>
      <c r="ED182" s="255">
        <v>18313.400000000001</v>
      </c>
      <c r="EE182" s="255">
        <v>13735.050000000001</v>
      </c>
      <c r="EF182" s="255">
        <v>19883.12</v>
      </c>
      <c r="EG182" s="255">
        <v>19883.12</v>
      </c>
      <c r="EH182" s="255">
        <v>18862.199999999997</v>
      </c>
      <c r="EI182" s="255">
        <v>18862.199999999997</v>
      </c>
      <c r="EJ182" s="255">
        <v>18862.199999999997</v>
      </c>
      <c r="EK182" s="255">
        <v>18862.199999999997</v>
      </c>
      <c r="EL182" s="255">
        <v>18862.199999999997</v>
      </c>
      <c r="EM182" s="255">
        <v>18862.199999999997</v>
      </c>
      <c r="EN182" s="255">
        <v>0</v>
      </c>
      <c r="EO182" s="255">
        <v>0</v>
      </c>
      <c r="EP182" s="255">
        <v>0</v>
      </c>
      <c r="EQ182" s="255">
        <v>0</v>
      </c>
      <c r="ER182" s="255">
        <v>0</v>
      </c>
      <c r="ES182" s="255">
        <v>0</v>
      </c>
      <c r="ET182" s="255">
        <v>0</v>
      </c>
      <c r="EU182" s="255">
        <v>0</v>
      </c>
      <c r="EV182" s="255">
        <v>0</v>
      </c>
      <c r="EW182" s="255">
        <v>0</v>
      </c>
      <c r="EX182" s="255">
        <v>0</v>
      </c>
      <c r="EY182" s="255">
        <v>0</v>
      </c>
      <c r="EZ182" s="255">
        <v>0</v>
      </c>
      <c r="FA182" s="255">
        <v>0</v>
      </c>
      <c r="FB182" s="255">
        <v>0</v>
      </c>
      <c r="FC182" s="255">
        <v>0</v>
      </c>
      <c r="FD182" s="255">
        <v>0</v>
      </c>
      <c r="FE182" s="255">
        <v>0</v>
      </c>
      <c r="FF182" s="255">
        <v>0</v>
      </c>
      <c r="FG182" s="255">
        <v>0</v>
      </c>
      <c r="FH182" s="255">
        <v>0</v>
      </c>
      <c r="FI182" s="255">
        <v>0</v>
      </c>
      <c r="FJ182" s="255">
        <v>0</v>
      </c>
      <c r="FK182" s="255">
        <v>0</v>
      </c>
      <c r="FL182" s="255">
        <v>0</v>
      </c>
      <c r="FM182" s="255">
        <v>0</v>
      </c>
      <c r="FN182" s="255">
        <v>0</v>
      </c>
      <c r="FO182" s="255">
        <v>0</v>
      </c>
      <c r="FP182" s="255">
        <v>0</v>
      </c>
      <c r="FQ182" s="255">
        <v>0</v>
      </c>
      <c r="FR182" s="255">
        <v>0</v>
      </c>
      <c r="FS182" s="255">
        <v>0</v>
      </c>
      <c r="FT182" s="255">
        <v>0</v>
      </c>
      <c r="FU182" s="255">
        <v>0</v>
      </c>
      <c r="FV182" s="255">
        <v>0</v>
      </c>
      <c r="FW182" s="255">
        <v>0</v>
      </c>
      <c r="FX182" s="116"/>
    </row>
    <row r="183" spans="2:180" x14ac:dyDescent="0.2">
      <c r="B183" s="253" t="s">
        <v>205</v>
      </c>
      <c r="C183" s="253" t="s">
        <v>320</v>
      </c>
      <c r="D183" s="253" t="s">
        <v>258</v>
      </c>
      <c r="E183" s="253" t="s">
        <v>127</v>
      </c>
      <c r="F183" s="253" t="s">
        <v>263</v>
      </c>
      <c r="G183" s="253" t="s">
        <v>260</v>
      </c>
      <c r="H183" s="237">
        <v>202.73</v>
      </c>
      <c r="I183" s="126">
        <f t="shared" si="87"/>
        <v>946945.8</v>
      </c>
      <c r="J183" s="116"/>
      <c r="K183" s="254">
        <v>0</v>
      </c>
      <c r="L183" s="254">
        <v>0</v>
      </c>
      <c r="M183" s="254">
        <v>0</v>
      </c>
      <c r="N183" s="254">
        <v>0</v>
      </c>
      <c r="O183" s="254">
        <v>0</v>
      </c>
      <c r="P183" s="254">
        <v>0</v>
      </c>
      <c r="Q183" s="254">
        <v>0</v>
      </c>
      <c r="R183" s="254">
        <v>0</v>
      </c>
      <c r="S183" s="254">
        <v>0</v>
      </c>
      <c r="T183" s="254">
        <v>0</v>
      </c>
      <c r="U183" s="254">
        <v>0</v>
      </c>
      <c r="V183" s="254">
        <v>0</v>
      </c>
      <c r="W183" s="254">
        <v>0</v>
      </c>
      <c r="X183" s="254">
        <v>0</v>
      </c>
      <c r="Y183" s="254">
        <v>1</v>
      </c>
      <c r="Z183" s="254">
        <v>1</v>
      </c>
      <c r="AA183" s="254">
        <v>0.92105263157894735</v>
      </c>
      <c r="AB183" s="254">
        <v>0.92105263157894735</v>
      </c>
      <c r="AC183" s="254">
        <v>1</v>
      </c>
      <c r="AD183" s="254">
        <v>1</v>
      </c>
      <c r="AE183" s="254">
        <v>1</v>
      </c>
      <c r="AF183" s="254">
        <v>1</v>
      </c>
      <c r="AG183" s="254">
        <v>1</v>
      </c>
      <c r="AH183" s="254">
        <v>1</v>
      </c>
      <c r="AI183" s="254">
        <v>1</v>
      </c>
      <c r="AJ183" s="254">
        <v>1</v>
      </c>
      <c r="AK183" s="254">
        <v>1</v>
      </c>
      <c r="AL183" s="254">
        <v>1</v>
      </c>
      <c r="AM183" s="254">
        <v>0.96052631578947367</v>
      </c>
      <c r="AN183" s="254">
        <v>0.96052631578947367</v>
      </c>
      <c r="AO183" s="254">
        <v>1</v>
      </c>
      <c r="AP183" s="254">
        <v>1</v>
      </c>
      <c r="AQ183" s="254">
        <v>1</v>
      </c>
      <c r="AR183" s="254">
        <v>1</v>
      </c>
      <c r="AS183" s="254">
        <v>1</v>
      </c>
      <c r="AT183" s="254">
        <v>1</v>
      </c>
      <c r="AU183" s="254">
        <v>1</v>
      </c>
      <c r="AV183" s="254">
        <v>1</v>
      </c>
      <c r="AW183" s="254">
        <v>1</v>
      </c>
      <c r="AX183" s="254">
        <v>1</v>
      </c>
      <c r="AY183" s="254">
        <v>0.96052631578947367</v>
      </c>
      <c r="AZ183" s="254">
        <v>0.96052631578947367</v>
      </c>
      <c r="BA183" s="254">
        <v>1</v>
      </c>
      <c r="BB183" s="254">
        <v>1</v>
      </c>
      <c r="BC183" s="254">
        <v>1</v>
      </c>
      <c r="BD183" s="254">
        <v>1</v>
      </c>
      <c r="BE183" s="254">
        <v>1</v>
      </c>
      <c r="BF183" s="254">
        <v>1.3333333333333333</v>
      </c>
      <c r="BG183" s="254">
        <v>0</v>
      </c>
      <c r="BH183" s="254">
        <v>0</v>
      </c>
      <c r="BI183" s="254">
        <v>0</v>
      </c>
      <c r="BJ183" s="254">
        <v>0</v>
      </c>
      <c r="BK183" s="254">
        <v>0</v>
      </c>
      <c r="BL183" s="254">
        <v>0</v>
      </c>
      <c r="BM183" s="254">
        <v>0</v>
      </c>
      <c r="BN183" s="254">
        <v>0</v>
      </c>
      <c r="BO183" s="254">
        <v>0</v>
      </c>
      <c r="BP183" s="254">
        <v>0</v>
      </c>
      <c r="BQ183" s="254">
        <v>0</v>
      </c>
      <c r="BR183" s="254">
        <v>0</v>
      </c>
      <c r="BS183" s="254">
        <v>0</v>
      </c>
      <c r="BT183" s="254">
        <v>0</v>
      </c>
      <c r="BU183" s="254">
        <v>0</v>
      </c>
      <c r="BV183" s="254">
        <v>0</v>
      </c>
      <c r="BW183" s="254">
        <v>0</v>
      </c>
      <c r="BX183" s="254">
        <v>0</v>
      </c>
      <c r="BY183" s="254">
        <v>0</v>
      </c>
      <c r="BZ183" s="254">
        <v>0</v>
      </c>
      <c r="CA183" s="254">
        <v>0</v>
      </c>
      <c r="CB183" s="254">
        <v>0</v>
      </c>
      <c r="CC183" s="254">
        <v>0</v>
      </c>
      <c r="CD183" s="254">
        <v>0</v>
      </c>
      <c r="CE183" s="254">
        <v>0</v>
      </c>
      <c r="CF183" s="254">
        <v>0</v>
      </c>
      <c r="CG183" s="254">
        <v>0</v>
      </c>
      <c r="CH183" s="254">
        <v>0</v>
      </c>
      <c r="CI183" s="254">
        <v>0</v>
      </c>
      <c r="CJ183" s="254">
        <v>0</v>
      </c>
      <c r="CK183" s="254">
        <v>0</v>
      </c>
      <c r="CL183" s="254">
        <v>0</v>
      </c>
      <c r="CM183" s="254">
        <v>0</v>
      </c>
      <c r="CN183" s="254">
        <v>0</v>
      </c>
      <c r="CO183" s="254">
        <v>0</v>
      </c>
      <c r="CP183" s="254">
        <v>0</v>
      </c>
      <c r="CQ183" s="116"/>
      <c r="CR183" s="255">
        <v>0</v>
      </c>
      <c r="CS183" s="255">
        <v>0</v>
      </c>
      <c r="CT183" s="255">
        <v>0</v>
      </c>
      <c r="CU183" s="255">
        <v>0</v>
      </c>
      <c r="CV183" s="255">
        <v>0</v>
      </c>
      <c r="CW183" s="255">
        <v>0</v>
      </c>
      <c r="CX183" s="255">
        <v>0</v>
      </c>
      <c r="CY183" s="255">
        <v>0</v>
      </c>
      <c r="CZ183" s="255">
        <v>0</v>
      </c>
      <c r="DA183" s="255">
        <v>0</v>
      </c>
      <c r="DB183" s="255">
        <v>0</v>
      </c>
      <c r="DC183" s="255">
        <v>0</v>
      </c>
      <c r="DD183" s="255">
        <v>0</v>
      </c>
      <c r="DE183" s="255">
        <v>0</v>
      </c>
      <c r="DF183" s="255">
        <v>28382.199999999997</v>
      </c>
      <c r="DG183" s="255">
        <v>21286.649999999998</v>
      </c>
      <c r="DH183" s="255">
        <v>28382.199999999997</v>
      </c>
      <c r="DI183" s="255">
        <v>28382.199999999997</v>
      </c>
      <c r="DJ183" s="255">
        <v>28382.199999999997</v>
      </c>
      <c r="DK183" s="255">
        <v>28382.199999999997</v>
      </c>
      <c r="DL183" s="255">
        <v>28382.199999999997</v>
      </c>
      <c r="DM183" s="255">
        <v>28382.199999999997</v>
      </c>
      <c r="DN183" s="255">
        <v>28382.199999999997</v>
      </c>
      <c r="DO183" s="255">
        <v>21286.649999999998</v>
      </c>
      <c r="DP183" s="255">
        <v>21286.649999999998</v>
      </c>
      <c r="DQ183" s="255">
        <v>28382.199999999997</v>
      </c>
      <c r="DR183" s="255">
        <v>29244.6</v>
      </c>
      <c r="DS183" s="255">
        <v>21933.449999999997</v>
      </c>
      <c r="DT183" s="255">
        <v>30497.94</v>
      </c>
      <c r="DU183" s="255">
        <v>30497.94</v>
      </c>
      <c r="DV183" s="255">
        <v>29244.6</v>
      </c>
      <c r="DW183" s="255">
        <v>29244.6</v>
      </c>
      <c r="DX183" s="255">
        <v>29244.6</v>
      </c>
      <c r="DY183" s="255">
        <v>29244.6</v>
      </c>
      <c r="DZ183" s="255">
        <v>29244.6</v>
      </c>
      <c r="EA183" s="255">
        <v>21933.449999999997</v>
      </c>
      <c r="EB183" s="255">
        <v>21933.449999999997</v>
      </c>
      <c r="EC183" s="255">
        <v>29244.6</v>
      </c>
      <c r="ED183" s="255">
        <v>30108.400000000001</v>
      </c>
      <c r="EE183" s="255">
        <v>22581.3</v>
      </c>
      <c r="EF183" s="255">
        <v>31398.760000000002</v>
      </c>
      <c r="EG183" s="255">
        <v>31398.760000000002</v>
      </c>
      <c r="EH183" s="255">
        <v>30108.400000000001</v>
      </c>
      <c r="EI183" s="255">
        <v>30108.400000000001</v>
      </c>
      <c r="EJ183" s="255">
        <v>30108.400000000001</v>
      </c>
      <c r="EK183" s="255">
        <v>30108.400000000001</v>
      </c>
      <c r="EL183" s="255">
        <v>30108.400000000001</v>
      </c>
      <c r="EM183" s="255">
        <v>30108.400000000001</v>
      </c>
      <c r="EN183" s="255">
        <v>0</v>
      </c>
      <c r="EO183" s="255">
        <v>0</v>
      </c>
      <c r="EP183" s="255">
        <v>0</v>
      </c>
      <c r="EQ183" s="255">
        <v>0</v>
      </c>
      <c r="ER183" s="255">
        <v>0</v>
      </c>
      <c r="ES183" s="255">
        <v>0</v>
      </c>
      <c r="ET183" s="255">
        <v>0</v>
      </c>
      <c r="EU183" s="255">
        <v>0</v>
      </c>
      <c r="EV183" s="255">
        <v>0</v>
      </c>
      <c r="EW183" s="255">
        <v>0</v>
      </c>
      <c r="EX183" s="255">
        <v>0</v>
      </c>
      <c r="EY183" s="255">
        <v>0</v>
      </c>
      <c r="EZ183" s="255">
        <v>0</v>
      </c>
      <c r="FA183" s="255">
        <v>0</v>
      </c>
      <c r="FB183" s="255">
        <v>0</v>
      </c>
      <c r="FC183" s="255">
        <v>0</v>
      </c>
      <c r="FD183" s="255">
        <v>0</v>
      </c>
      <c r="FE183" s="255">
        <v>0</v>
      </c>
      <c r="FF183" s="255">
        <v>0</v>
      </c>
      <c r="FG183" s="255">
        <v>0</v>
      </c>
      <c r="FH183" s="255">
        <v>0</v>
      </c>
      <c r="FI183" s="255">
        <v>0</v>
      </c>
      <c r="FJ183" s="255">
        <v>0</v>
      </c>
      <c r="FK183" s="255">
        <v>0</v>
      </c>
      <c r="FL183" s="255">
        <v>0</v>
      </c>
      <c r="FM183" s="255">
        <v>0</v>
      </c>
      <c r="FN183" s="255">
        <v>0</v>
      </c>
      <c r="FO183" s="255">
        <v>0</v>
      </c>
      <c r="FP183" s="255">
        <v>0</v>
      </c>
      <c r="FQ183" s="255">
        <v>0</v>
      </c>
      <c r="FR183" s="255">
        <v>0</v>
      </c>
      <c r="FS183" s="255">
        <v>0</v>
      </c>
      <c r="FT183" s="255">
        <v>0</v>
      </c>
      <c r="FU183" s="255">
        <v>0</v>
      </c>
      <c r="FV183" s="255">
        <v>0</v>
      </c>
      <c r="FW183" s="255">
        <v>0</v>
      </c>
      <c r="FX183" s="116"/>
    </row>
    <row r="184" spans="2:180" x14ac:dyDescent="0.2">
      <c r="B184" s="253" t="s">
        <v>233</v>
      </c>
      <c r="C184" s="253" t="s">
        <v>265</v>
      </c>
      <c r="D184" s="253" t="s">
        <v>258</v>
      </c>
      <c r="E184" s="253" t="s">
        <v>127</v>
      </c>
      <c r="F184" s="253" t="s">
        <v>263</v>
      </c>
      <c r="G184" s="253" t="s">
        <v>260</v>
      </c>
      <c r="H184" s="237">
        <v>333.23</v>
      </c>
      <c r="I184" s="126">
        <f t="shared" si="87"/>
        <v>774361.35000000009</v>
      </c>
      <c r="J184" s="116"/>
      <c r="K184" s="254">
        <v>0</v>
      </c>
      <c r="L184" s="254">
        <v>0</v>
      </c>
      <c r="M184" s="254">
        <v>0</v>
      </c>
      <c r="N184" s="254">
        <v>0</v>
      </c>
      <c r="O184" s="254">
        <v>0</v>
      </c>
      <c r="P184" s="254">
        <v>0</v>
      </c>
      <c r="Q184" s="254">
        <v>0</v>
      </c>
      <c r="R184" s="254">
        <v>0</v>
      </c>
      <c r="S184" s="254">
        <v>0</v>
      </c>
      <c r="T184" s="254">
        <v>0</v>
      </c>
      <c r="U184" s="254">
        <v>0</v>
      </c>
      <c r="V184" s="254">
        <v>0</v>
      </c>
      <c r="W184" s="254">
        <v>0</v>
      </c>
      <c r="X184" s="254">
        <v>0</v>
      </c>
      <c r="Y184" s="254">
        <v>0.5</v>
      </c>
      <c r="Z184" s="254">
        <v>0.5</v>
      </c>
      <c r="AA184" s="254">
        <v>0.46052631578947367</v>
      </c>
      <c r="AB184" s="254">
        <v>0.46052631578947367</v>
      </c>
      <c r="AC184" s="254">
        <v>0.5</v>
      </c>
      <c r="AD184" s="254">
        <v>0.5</v>
      </c>
      <c r="AE184" s="254">
        <v>0.5</v>
      </c>
      <c r="AF184" s="254">
        <v>0.5</v>
      </c>
      <c r="AG184" s="254">
        <v>0.5</v>
      </c>
      <c r="AH184" s="254">
        <v>0.5</v>
      </c>
      <c r="AI184" s="254">
        <v>0.5</v>
      </c>
      <c r="AJ184" s="254">
        <v>0.5</v>
      </c>
      <c r="AK184" s="254">
        <v>0.5</v>
      </c>
      <c r="AL184" s="254">
        <v>0.5</v>
      </c>
      <c r="AM184" s="254">
        <v>0.5</v>
      </c>
      <c r="AN184" s="254">
        <v>0.5</v>
      </c>
      <c r="AO184" s="254">
        <v>0.5</v>
      </c>
      <c r="AP184" s="254">
        <v>0.5</v>
      </c>
      <c r="AQ184" s="254">
        <v>0.5</v>
      </c>
      <c r="AR184" s="254">
        <v>0.5</v>
      </c>
      <c r="AS184" s="254">
        <v>0.5</v>
      </c>
      <c r="AT184" s="254">
        <v>0.5</v>
      </c>
      <c r="AU184" s="254">
        <v>0.5</v>
      </c>
      <c r="AV184" s="254">
        <v>0.5</v>
      </c>
      <c r="AW184" s="254">
        <v>0.5</v>
      </c>
      <c r="AX184" s="254">
        <v>0.5</v>
      </c>
      <c r="AY184" s="254">
        <v>0.5</v>
      </c>
      <c r="AZ184" s="254">
        <v>0.5</v>
      </c>
      <c r="BA184" s="254">
        <v>0.5</v>
      </c>
      <c r="BB184" s="254">
        <v>0.5</v>
      </c>
      <c r="BC184" s="254">
        <v>0.5</v>
      </c>
      <c r="BD184" s="254">
        <v>0.5</v>
      </c>
      <c r="BE184" s="254">
        <v>0.5</v>
      </c>
      <c r="BF184" s="254">
        <v>0.66666666666666663</v>
      </c>
      <c r="BG184" s="254">
        <v>0</v>
      </c>
      <c r="BH184" s="254">
        <v>0</v>
      </c>
      <c r="BI184" s="254">
        <v>0</v>
      </c>
      <c r="BJ184" s="254">
        <v>0</v>
      </c>
      <c r="BK184" s="254">
        <v>0</v>
      </c>
      <c r="BL184" s="254">
        <v>0</v>
      </c>
      <c r="BM184" s="254">
        <v>0</v>
      </c>
      <c r="BN184" s="254">
        <v>0</v>
      </c>
      <c r="BO184" s="254">
        <v>0</v>
      </c>
      <c r="BP184" s="254">
        <v>0</v>
      </c>
      <c r="BQ184" s="254">
        <v>0</v>
      </c>
      <c r="BR184" s="254">
        <v>0</v>
      </c>
      <c r="BS184" s="254">
        <v>0</v>
      </c>
      <c r="BT184" s="254">
        <v>0</v>
      </c>
      <c r="BU184" s="254">
        <v>0</v>
      </c>
      <c r="BV184" s="254">
        <v>0</v>
      </c>
      <c r="BW184" s="254">
        <v>0</v>
      </c>
      <c r="BX184" s="254">
        <v>0</v>
      </c>
      <c r="BY184" s="254">
        <v>0</v>
      </c>
      <c r="BZ184" s="254">
        <v>0</v>
      </c>
      <c r="CA184" s="254">
        <v>0</v>
      </c>
      <c r="CB184" s="254">
        <v>0</v>
      </c>
      <c r="CC184" s="254">
        <v>0</v>
      </c>
      <c r="CD184" s="254">
        <v>0</v>
      </c>
      <c r="CE184" s="254">
        <v>0</v>
      </c>
      <c r="CF184" s="254">
        <v>0</v>
      </c>
      <c r="CG184" s="254">
        <v>0</v>
      </c>
      <c r="CH184" s="254">
        <v>0</v>
      </c>
      <c r="CI184" s="254">
        <v>0</v>
      </c>
      <c r="CJ184" s="254">
        <v>0</v>
      </c>
      <c r="CK184" s="254">
        <v>0</v>
      </c>
      <c r="CL184" s="254">
        <v>0</v>
      </c>
      <c r="CM184" s="254">
        <v>0</v>
      </c>
      <c r="CN184" s="254">
        <v>0</v>
      </c>
      <c r="CO184" s="254">
        <v>0</v>
      </c>
      <c r="CP184" s="254">
        <v>0</v>
      </c>
      <c r="CQ184" s="116"/>
      <c r="CR184" s="255">
        <v>0</v>
      </c>
      <c r="CS184" s="255">
        <v>0</v>
      </c>
      <c r="CT184" s="255">
        <v>0</v>
      </c>
      <c r="CU184" s="255">
        <v>0</v>
      </c>
      <c r="CV184" s="255">
        <v>0</v>
      </c>
      <c r="CW184" s="255">
        <v>0</v>
      </c>
      <c r="CX184" s="255">
        <v>0</v>
      </c>
      <c r="CY184" s="255">
        <v>0</v>
      </c>
      <c r="CZ184" s="255">
        <v>0</v>
      </c>
      <c r="DA184" s="255">
        <v>0</v>
      </c>
      <c r="DB184" s="255">
        <v>0</v>
      </c>
      <c r="DC184" s="255">
        <v>0</v>
      </c>
      <c r="DD184" s="255">
        <v>0</v>
      </c>
      <c r="DE184" s="255">
        <v>0</v>
      </c>
      <c r="DF184" s="255">
        <v>22652.7</v>
      </c>
      <c r="DG184" s="255">
        <v>16989.525000000001</v>
      </c>
      <c r="DH184" s="255">
        <v>22652.7</v>
      </c>
      <c r="DI184" s="255">
        <v>22652.7</v>
      </c>
      <c r="DJ184" s="255">
        <v>23326.799999999999</v>
      </c>
      <c r="DK184" s="255">
        <v>23326.799999999999</v>
      </c>
      <c r="DL184" s="255">
        <v>23326.799999999999</v>
      </c>
      <c r="DM184" s="255">
        <v>23326.799999999999</v>
      </c>
      <c r="DN184" s="255">
        <v>23326.799999999999</v>
      </c>
      <c r="DO184" s="255">
        <v>17495.100000000002</v>
      </c>
      <c r="DP184" s="255">
        <v>17495.100000000002</v>
      </c>
      <c r="DQ184" s="255">
        <v>23326.799999999999</v>
      </c>
      <c r="DR184" s="255">
        <v>23326.799999999999</v>
      </c>
      <c r="DS184" s="255">
        <v>17495.100000000002</v>
      </c>
      <c r="DT184" s="255">
        <v>25326.240000000002</v>
      </c>
      <c r="DU184" s="255">
        <v>25326.240000000002</v>
      </c>
      <c r="DV184" s="255">
        <v>24031.7</v>
      </c>
      <c r="DW184" s="255">
        <v>24031.7</v>
      </c>
      <c r="DX184" s="255">
        <v>24031.7</v>
      </c>
      <c r="DY184" s="255">
        <v>24031.7</v>
      </c>
      <c r="DZ184" s="255">
        <v>24031.7</v>
      </c>
      <c r="EA184" s="255">
        <v>18023.775000000001</v>
      </c>
      <c r="EB184" s="255">
        <v>18023.775000000001</v>
      </c>
      <c r="EC184" s="255">
        <v>24031.7</v>
      </c>
      <c r="ED184" s="255">
        <v>24031.7</v>
      </c>
      <c r="EE184" s="255">
        <v>18023.775000000001</v>
      </c>
      <c r="EF184" s="255">
        <v>26091.56</v>
      </c>
      <c r="EG184" s="255">
        <v>26091.56</v>
      </c>
      <c r="EH184" s="255">
        <v>24752</v>
      </c>
      <c r="EI184" s="255">
        <v>24752</v>
      </c>
      <c r="EJ184" s="255">
        <v>24752</v>
      </c>
      <c r="EK184" s="255">
        <v>24752</v>
      </c>
      <c r="EL184" s="255">
        <v>24752</v>
      </c>
      <c r="EM184" s="255">
        <v>24752</v>
      </c>
      <c r="EN184" s="255">
        <v>0</v>
      </c>
      <c r="EO184" s="255">
        <v>0</v>
      </c>
      <c r="EP184" s="255">
        <v>0</v>
      </c>
      <c r="EQ184" s="255">
        <v>0</v>
      </c>
      <c r="ER184" s="255">
        <v>0</v>
      </c>
      <c r="ES184" s="255">
        <v>0</v>
      </c>
      <c r="ET184" s="255">
        <v>0</v>
      </c>
      <c r="EU184" s="255">
        <v>0</v>
      </c>
      <c r="EV184" s="255">
        <v>0</v>
      </c>
      <c r="EW184" s="255">
        <v>0</v>
      </c>
      <c r="EX184" s="255">
        <v>0</v>
      </c>
      <c r="EY184" s="255">
        <v>0</v>
      </c>
      <c r="EZ184" s="255">
        <v>0</v>
      </c>
      <c r="FA184" s="255">
        <v>0</v>
      </c>
      <c r="FB184" s="255">
        <v>0</v>
      </c>
      <c r="FC184" s="255">
        <v>0</v>
      </c>
      <c r="FD184" s="255">
        <v>0</v>
      </c>
      <c r="FE184" s="255">
        <v>0</v>
      </c>
      <c r="FF184" s="255">
        <v>0</v>
      </c>
      <c r="FG184" s="255">
        <v>0</v>
      </c>
      <c r="FH184" s="255">
        <v>0</v>
      </c>
      <c r="FI184" s="255">
        <v>0</v>
      </c>
      <c r="FJ184" s="255">
        <v>0</v>
      </c>
      <c r="FK184" s="255">
        <v>0</v>
      </c>
      <c r="FL184" s="255">
        <v>0</v>
      </c>
      <c r="FM184" s="255">
        <v>0</v>
      </c>
      <c r="FN184" s="255">
        <v>0</v>
      </c>
      <c r="FO184" s="255">
        <v>0</v>
      </c>
      <c r="FP184" s="255">
        <v>0</v>
      </c>
      <c r="FQ184" s="255">
        <v>0</v>
      </c>
      <c r="FR184" s="255">
        <v>0</v>
      </c>
      <c r="FS184" s="255">
        <v>0</v>
      </c>
      <c r="FT184" s="255">
        <v>0</v>
      </c>
      <c r="FU184" s="255">
        <v>0</v>
      </c>
      <c r="FV184" s="255">
        <v>0</v>
      </c>
      <c r="FW184" s="255">
        <v>0</v>
      </c>
      <c r="FX184" s="116"/>
    </row>
    <row r="185" spans="2:180" x14ac:dyDescent="0.2">
      <c r="B185" s="253" t="s">
        <v>233</v>
      </c>
      <c r="C185" s="253" t="s">
        <v>278</v>
      </c>
      <c r="D185" s="253" t="s">
        <v>258</v>
      </c>
      <c r="E185" s="253" t="s">
        <v>127</v>
      </c>
      <c r="F185" s="253" t="s">
        <v>263</v>
      </c>
      <c r="G185" s="253" t="s">
        <v>260</v>
      </c>
      <c r="H185" s="237">
        <v>202.73</v>
      </c>
      <c r="I185" s="126">
        <f t="shared" si="87"/>
        <v>476016.60000000003</v>
      </c>
      <c r="J185" s="116"/>
      <c r="K185" s="254">
        <v>0</v>
      </c>
      <c r="L185" s="254">
        <v>0</v>
      </c>
      <c r="M185" s="254">
        <v>0</v>
      </c>
      <c r="N185" s="254">
        <v>0</v>
      </c>
      <c r="O185" s="254">
        <v>0</v>
      </c>
      <c r="P185" s="254">
        <v>0</v>
      </c>
      <c r="Q185" s="254">
        <v>0</v>
      </c>
      <c r="R185" s="254">
        <v>0</v>
      </c>
      <c r="S185" s="254">
        <v>0</v>
      </c>
      <c r="T185" s="254">
        <v>0</v>
      </c>
      <c r="U185" s="254">
        <v>0</v>
      </c>
      <c r="V185" s="254">
        <v>0</v>
      </c>
      <c r="W185" s="254">
        <v>0</v>
      </c>
      <c r="X185" s="254">
        <v>0</v>
      </c>
      <c r="Y185" s="254">
        <v>0.5</v>
      </c>
      <c r="Z185" s="254">
        <v>0.5</v>
      </c>
      <c r="AA185" s="254">
        <v>0.46052631578947367</v>
      </c>
      <c r="AB185" s="254">
        <v>0.46052631578947367</v>
      </c>
      <c r="AC185" s="254">
        <v>0.5</v>
      </c>
      <c r="AD185" s="254">
        <v>0.5</v>
      </c>
      <c r="AE185" s="254">
        <v>0.5</v>
      </c>
      <c r="AF185" s="254">
        <v>0.5</v>
      </c>
      <c r="AG185" s="254">
        <v>0.5</v>
      </c>
      <c r="AH185" s="254">
        <v>0.5</v>
      </c>
      <c r="AI185" s="254">
        <v>0.5</v>
      </c>
      <c r="AJ185" s="254">
        <v>0.5</v>
      </c>
      <c r="AK185" s="254">
        <v>0.5</v>
      </c>
      <c r="AL185" s="254">
        <v>0.5</v>
      </c>
      <c r="AM185" s="254">
        <v>0.5</v>
      </c>
      <c r="AN185" s="254">
        <v>0.5</v>
      </c>
      <c r="AO185" s="254">
        <v>0.5</v>
      </c>
      <c r="AP185" s="254">
        <v>0.5</v>
      </c>
      <c r="AQ185" s="254">
        <v>0.5</v>
      </c>
      <c r="AR185" s="254">
        <v>0.5</v>
      </c>
      <c r="AS185" s="254">
        <v>0.5</v>
      </c>
      <c r="AT185" s="254">
        <v>0.5</v>
      </c>
      <c r="AU185" s="254">
        <v>0.5</v>
      </c>
      <c r="AV185" s="254">
        <v>0.5</v>
      </c>
      <c r="AW185" s="254">
        <v>0.5</v>
      </c>
      <c r="AX185" s="254">
        <v>0.5</v>
      </c>
      <c r="AY185" s="254">
        <v>0.5</v>
      </c>
      <c r="AZ185" s="254">
        <v>0.5</v>
      </c>
      <c r="BA185" s="254">
        <v>0.5</v>
      </c>
      <c r="BB185" s="254">
        <v>0.5</v>
      </c>
      <c r="BC185" s="254">
        <v>0.5</v>
      </c>
      <c r="BD185" s="254">
        <v>0.5</v>
      </c>
      <c r="BE185" s="254">
        <v>0.5</v>
      </c>
      <c r="BF185" s="254">
        <v>0.66666666666666663</v>
      </c>
      <c r="BG185" s="254">
        <v>0</v>
      </c>
      <c r="BH185" s="254">
        <v>0</v>
      </c>
      <c r="BI185" s="254">
        <v>0</v>
      </c>
      <c r="BJ185" s="254">
        <v>0</v>
      </c>
      <c r="BK185" s="254">
        <v>0</v>
      </c>
      <c r="BL185" s="254">
        <v>0</v>
      </c>
      <c r="BM185" s="254">
        <v>0</v>
      </c>
      <c r="BN185" s="254">
        <v>0</v>
      </c>
      <c r="BO185" s="254">
        <v>0</v>
      </c>
      <c r="BP185" s="254">
        <v>0</v>
      </c>
      <c r="BQ185" s="254">
        <v>0</v>
      </c>
      <c r="BR185" s="254">
        <v>0</v>
      </c>
      <c r="BS185" s="254">
        <v>0</v>
      </c>
      <c r="BT185" s="254">
        <v>0</v>
      </c>
      <c r="BU185" s="254">
        <v>0</v>
      </c>
      <c r="BV185" s="254">
        <v>0</v>
      </c>
      <c r="BW185" s="254">
        <v>0</v>
      </c>
      <c r="BX185" s="254">
        <v>0</v>
      </c>
      <c r="BY185" s="254">
        <v>0</v>
      </c>
      <c r="BZ185" s="254">
        <v>0</v>
      </c>
      <c r="CA185" s="254">
        <v>0</v>
      </c>
      <c r="CB185" s="254">
        <v>0</v>
      </c>
      <c r="CC185" s="254">
        <v>0</v>
      </c>
      <c r="CD185" s="254">
        <v>0</v>
      </c>
      <c r="CE185" s="254">
        <v>0</v>
      </c>
      <c r="CF185" s="254">
        <v>0</v>
      </c>
      <c r="CG185" s="254">
        <v>0</v>
      </c>
      <c r="CH185" s="254">
        <v>0</v>
      </c>
      <c r="CI185" s="254">
        <v>0</v>
      </c>
      <c r="CJ185" s="254">
        <v>0</v>
      </c>
      <c r="CK185" s="254">
        <v>0</v>
      </c>
      <c r="CL185" s="254">
        <v>0</v>
      </c>
      <c r="CM185" s="254">
        <v>0</v>
      </c>
      <c r="CN185" s="254">
        <v>0</v>
      </c>
      <c r="CO185" s="254">
        <v>0</v>
      </c>
      <c r="CP185" s="254">
        <v>0</v>
      </c>
      <c r="CQ185" s="116"/>
      <c r="CR185" s="255">
        <v>0</v>
      </c>
      <c r="CS185" s="255">
        <v>0</v>
      </c>
      <c r="CT185" s="255">
        <v>0</v>
      </c>
      <c r="CU185" s="255">
        <v>0</v>
      </c>
      <c r="CV185" s="255">
        <v>0</v>
      </c>
      <c r="CW185" s="255">
        <v>0</v>
      </c>
      <c r="CX185" s="255">
        <v>0</v>
      </c>
      <c r="CY185" s="255">
        <v>0</v>
      </c>
      <c r="CZ185" s="255">
        <v>0</v>
      </c>
      <c r="DA185" s="255">
        <v>0</v>
      </c>
      <c r="DB185" s="255">
        <v>0</v>
      </c>
      <c r="DC185" s="255">
        <v>0</v>
      </c>
      <c r="DD185" s="255">
        <v>0</v>
      </c>
      <c r="DE185" s="255">
        <v>0</v>
      </c>
      <c r="DF185" s="255">
        <v>14191.099999999999</v>
      </c>
      <c r="DG185" s="255">
        <v>10643.324999999999</v>
      </c>
      <c r="DH185" s="255">
        <v>14191.099999999999</v>
      </c>
      <c r="DI185" s="255">
        <v>14191.099999999999</v>
      </c>
      <c r="DJ185" s="255">
        <v>14191.099999999999</v>
      </c>
      <c r="DK185" s="255">
        <v>14191.099999999999</v>
      </c>
      <c r="DL185" s="255">
        <v>14191.099999999999</v>
      </c>
      <c r="DM185" s="255">
        <v>14191.099999999999</v>
      </c>
      <c r="DN185" s="255">
        <v>14191.099999999999</v>
      </c>
      <c r="DO185" s="255">
        <v>10643.324999999999</v>
      </c>
      <c r="DP185" s="255">
        <v>10643.324999999999</v>
      </c>
      <c r="DQ185" s="255">
        <v>14191.099999999999</v>
      </c>
      <c r="DR185" s="255">
        <v>14622.3</v>
      </c>
      <c r="DS185" s="255">
        <v>10966.724999999999</v>
      </c>
      <c r="DT185" s="255">
        <v>15875.64</v>
      </c>
      <c r="DU185" s="255">
        <v>15875.64</v>
      </c>
      <c r="DV185" s="255">
        <v>14622.3</v>
      </c>
      <c r="DW185" s="255">
        <v>14622.3</v>
      </c>
      <c r="DX185" s="255">
        <v>14622.3</v>
      </c>
      <c r="DY185" s="255">
        <v>14622.3</v>
      </c>
      <c r="DZ185" s="255">
        <v>14622.3</v>
      </c>
      <c r="EA185" s="255">
        <v>10966.724999999999</v>
      </c>
      <c r="EB185" s="255">
        <v>10966.724999999999</v>
      </c>
      <c r="EC185" s="255">
        <v>14622.3</v>
      </c>
      <c r="ED185" s="255">
        <v>15054.2</v>
      </c>
      <c r="EE185" s="255">
        <v>11290.65</v>
      </c>
      <c r="EF185" s="255">
        <v>16344.56</v>
      </c>
      <c r="EG185" s="255">
        <v>16344.56</v>
      </c>
      <c r="EH185" s="255">
        <v>15054.2</v>
      </c>
      <c r="EI185" s="255">
        <v>15054.2</v>
      </c>
      <c r="EJ185" s="255">
        <v>15054.2</v>
      </c>
      <c r="EK185" s="255">
        <v>15054.2</v>
      </c>
      <c r="EL185" s="255">
        <v>15054.2</v>
      </c>
      <c r="EM185" s="255">
        <v>15054.2</v>
      </c>
      <c r="EN185" s="255">
        <v>0</v>
      </c>
      <c r="EO185" s="255">
        <v>0</v>
      </c>
      <c r="EP185" s="255">
        <v>0</v>
      </c>
      <c r="EQ185" s="255">
        <v>0</v>
      </c>
      <c r="ER185" s="255">
        <v>0</v>
      </c>
      <c r="ES185" s="255">
        <v>0</v>
      </c>
      <c r="ET185" s="255">
        <v>0</v>
      </c>
      <c r="EU185" s="255">
        <v>0</v>
      </c>
      <c r="EV185" s="255">
        <v>0</v>
      </c>
      <c r="EW185" s="255">
        <v>0</v>
      </c>
      <c r="EX185" s="255">
        <v>0</v>
      </c>
      <c r="EY185" s="255">
        <v>0</v>
      </c>
      <c r="EZ185" s="255">
        <v>0</v>
      </c>
      <c r="FA185" s="255">
        <v>0</v>
      </c>
      <c r="FB185" s="255">
        <v>0</v>
      </c>
      <c r="FC185" s="255">
        <v>0</v>
      </c>
      <c r="FD185" s="255">
        <v>0</v>
      </c>
      <c r="FE185" s="255">
        <v>0</v>
      </c>
      <c r="FF185" s="255">
        <v>0</v>
      </c>
      <c r="FG185" s="255">
        <v>0</v>
      </c>
      <c r="FH185" s="255">
        <v>0</v>
      </c>
      <c r="FI185" s="255">
        <v>0</v>
      </c>
      <c r="FJ185" s="255">
        <v>0</v>
      </c>
      <c r="FK185" s="255">
        <v>0</v>
      </c>
      <c r="FL185" s="255">
        <v>0</v>
      </c>
      <c r="FM185" s="255">
        <v>0</v>
      </c>
      <c r="FN185" s="255">
        <v>0</v>
      </c>
      <c r="FO185" s="255">
        <v>0</v>
      </c>
      <c r="FP185" s="255">
        <v>0</v>
      </c>
      <c r="FQ185" s="255">
        <v>0</v>
      </c>
      <c r="FR185" s="255">
        <v>0</v>
      </c>
      <c r="FS185" s="255">
        <v>0</v>
      </c>
      <c r="FT185" s="255">
        <v>0</v>
      </c>
      <c r="FU185" s="255">
        <v>0</v>
      </c>
      <c r="FV185" s="255">
        <v>0</v>
      </c>
      <c r="FW185" s="255">
        <v>0</v>
      </c>
      <c r="FX185" s="116"/>
    </row>
    <row r="186" spans="2:180" x14ac:dyDescent="0.2">
      <c r="B186" s="253" t="s">
        <v>214</v>
      </c>
      <c r="C186" s="253" t="s">
        <v>321</v>
      </c>
      <c r="D186" s="253" t="s">
        <v>258</v>
      </c>
      <c r="E186" s="253" t="s">
        <v>127</v>
      </c>
      <c r="F186" s="253" t="s">
        <v>259</v>
      </c>
      <c r="G186" s="253" t="s">
        <v>260</v>
      </c>
      <c r="H186" s="237">
        <v>245.65</v>
      </c>
      <c r="I186" s="126">
        <f t="shared" si="87"/>
        <v>533971.20000000007</v>
      </c>
      <c r="J186" s="116"/>
      <c r="K186" s="254">
        <v>0</v>
      </c>
      <c r="L186" s="254">
        <v>0</v>
      </c>
      <c r="M186" s="254">
        <v>0</v>
      </c>
      <c r="N186" s="254">
        <v>0</v>
      </c>
      <c r="O186" s="254">
        <v>0</v>
      </c>
      <c r="P186" s="254">
        <v>0</v>
      </c>
      <c r="Q186" s="254">
        <v>0</v>
      </c>
      <c r="R186" s="254">
        <v>0</v>
      </c>
      <c r="S186" s="254">
        <v>0</v>
      </c>
      <c r="T186" s="254">
        <v>0</v>
      </c>
      <c r="U186" s="254">
        <v>0</v>
      </c>
      <c r="V186" s="254">
        <v>0</v>
      </c>
      <c r="W186" s="254">
        <v>0</v>
      </c>
      <c r="X186" s="254">
        <v>0</v>
      </c>
      <c r="Y186" s="254">
        <v>0.5</v>
      </c>
      <c r="Z186" s="254">
        <v>0.5</v>
      </c>
      <c r="AA186" s="254">
        <v>0.46052631578947367</v>
      </c>
      <c r="AB186" s="254">
        <v>0.46052631578947367</v>
      </c>
      <c r="AC186" s="254">
        <v>0.5</v>
      </c>
      <c r="AD186" s="254">
        <v>0.5</v>
      </c>
      <c r="AE186" s="254">
        <v>0.5</v>
      </c>
      <c r="AF186" s="254">
        <v>0.5</v>
      </c>
      <c r="AG186" s="254">
        <v>0.5</v>
      </c>
      <c r="AH186" s="254">
        <v>0.5</v>
      </c>
      <c r="AI186" s="254">
        <v>0.5</v>
      </c>
      <c r="AJ186" s="254">
        <v>0.5</v>
      </c>
      <c r="AK186" s="254">
        <v>0.5</v>
      </c>
      <c r="AL186" s="254">
        <v>0.5</v>
      </c>
      <c r="AM186" s="254">
        <v>0.46052631578947367</v>
      </c>
      <c r="AN186" s="254">
        <v>0.46052631578947367</v>
      </c>
      <c r="AO186" s="254">
        <v>0.5</v>
      </c>
      <c r="AP186" s="254">
        <v>0.5</v>
      </c>
      <c r="AQ186" s="254">
        <v>0.5</v>
      </c>
      <c r="AR186" s="254">
        <v>0.5</v>
      </c>
      <c r="AS186" s="254">
        <v>0.5</v>
      </c>
      <c r="AT186" s="254">
        <v>0.5</v>
      </c>
      <c r="AU186" s="254">
        <v>0.5</v>
      </c>
      <c r="AV186" s="254">
        <v>0.5</v>
      </c>
      <c r="AW186" s="254">
        <v>0.5</v>
      </c>
      <c r="AX186" s="254">
        <v>0.5</v>
      </c>
      <c r="AY186" s="254">
        <v>0.46052631578947367</v>
      </c>
      <c r="AZ186" s="254">
        <v>0.46052631578947367</v>
      </c>
      <c r="BA186" s="254">
        <v>0.5</v>
      </c>
      <c r="BB186" s="254">
        <v>0.5</v>
      </c>
      <c r="BC186" s="254">
        <v>0.5</v>
      </c>
      <c r="BD186" s="254">
        <v>0.5</v>
      </c>
      <c r="BE186" s="254">
        <v>0</v>
      </c>
      <c r="BF186" s="254">
        <v>0</v>
      </c>
      <c r="BG186" s="254">
        <v>0</v>
      </c>
      <c r="BH186" s="254">
        <v>0</v>
      </c>
      <c r="BI186" s="254">
        <v>0</v>
      </c>
      <c r="BJ186" s="254">
        <v>0</v>
      </c>
      <c r="BK186" s="254">
        <v>0</v>
      </c>
      <c r="BL186" s="254">
        <v>0</v>
      </c>
      <c r="BM186" s="254">
        <v>0</v>
      </c>
      <c r="BN186" s="254">
        <v>0</v>
      </c>
      <c r="BO186" s="254">
        <v>0</v>
      </c>
      <c r="BP186" s="254">
        <v>0</v>
      </c>
      <c r="BQ186" s="254">
        <v>0</v>
      </c>
      <c r="BR186" s="254">
        <v>0</v>
      </c>
      <c r="BS186" s="254">
        <v>0</v>
      </c>
      <c r="BT186" s="254">
        <v>0</v>
      </c>
      <c r="BU186" s="254">
        <v>0</v>
      </c>
      <c r="BV186" s="254">
        <v>0</v>
      </c>
      <c r="BW186" s="254">
        <v>0</v>
      </c>
      <c r="BX186" s="254">
        <v>0</v>
      </c>
      <c r="BY186" s="254">
        <v>0</v>
      </c>
      <c r="BZ186" s="254">
        <v>0</v>
      </c>
      <c r="CA186" s="254">
        <v>0</v>
      </c>
      <c r="CB186" s="254">
        <v>0</v>
      </c>
      <c r="CC186" s="254">
        <v>0</v>
      </c>
      <c r="CD186" s="254">
        <v>0</v>
      </c>
      <c r="CE186" s="254">
        <v>0</v>
      </c>
      <c r="CF186" s="254">
        <v>0</v>
      </c>
      <c r="CG186" s="254">
        <v>0</v>
      </c>
      <c r="CH186" s="254">
        <v>0</v>
      </c>
      <c r="CI186" s="254">
        <v>0</v>
      </c>
      <c r="CJ186" s="254">
        <v>0</v>
      </c>
      <c r="CK186" s="254">
        <v>0</v>
      </c>
      <c r="CL186" s="254">
        <v>0</v>
      </c>
      <c r="CM186" s="254">
        <v>0</v>
      </c>
      <c r="CN186" s="254">
        <v>0</v>
      </c>
      <c r="CO186" s="254">
        <v>0</v>
      </c>
      <c r="CP186" s="254">
        <v>0</v>
      </c>
      <c r="CQ186" s="116"/>
      <c r="CR186" s="255">
        <v>0</v>
      </c>
      <c r="CS186" s="255">
        <v>0</v>
      </c>
      <c r="CT186" s="255">
        <v>0</v>
      </c>
      <c r="CU186" s="255">
        <v>0</v>
      </c>
      <c r="CV186" s="255">
        <v>0</v>
      </c>
      <c r="CW186" s="255">
        <v>0</v>
      </c>
      <c r="CX186" s="255">
        <v>0</v>
      </c>
      <c r="CY186" s="255">
        <v>0</v>
      </c>
      <c r="CZ186" s="255">
        <v>0</v>
      </c>
      <c r="DA186" s="255">
        <v>0</v>
      </c>
      <c r="DB186" s="255">
        <v>0</v>
      </c>
      <c r="DC186" s="255">
        <v>0</v>
      </c>
      <c r="DD186" s="255">
        <v>0</v>
      </c>
      <c r="DE186" s="255">
        <v>0</v>
      </c>
      <c r="DF186" s="255">
        <v>17195.5</v>
      </c>
      <c r="DG186" s="255">
        <v>12896.625</v>
      </c>
      <c r="DH186" s="255">
        <v>17195.5</v>
      </c>
      <c r="DI186" s="255">
        <v>17195.5</v>
      </c>
      <c r="DJ186" s="255">
        <v>17195.5</v>
      </c>
      <c r="DK186" s="255">
        <v>17195.5</v>
      </c>
      <c r="DL186" s="255">
        <v>17195.5</v>
      </c>
      <c r="DM186" s="255">
        <v>17195.5</v>
      </c>
      <c r="DN186" s="255">
        <v>17195.5</v>
      </c>
      <c r="DO186" s="255">
        <v>12896.625</v>
      </c>
      <c r="DP186" s="255">
        <v>12896.625</v>
      </c>
      <c r="DQ186" s="255">
        <v>17195.5</v>
      </c>
      <c r="DR186" s="255">
        <v>17707.2</v>
      </c>
      <c r="DS186" s="255">
        <v>13280.4</v>
      </c>
      <c r="DT186" s="255">
        <v>17707.2</v>
      </c>
      <c r="DU186" s="255">
        <v>17707.2</v>
      </c>
      <c r="DV186" s="255">
        <v>17707.2</v>
      </c>
      <c r="DW186" s="255">
        <v>17707.2</v>
      </c>
      <c r="DX186" s="255">
        <v>17707.2</v>
      </c>
      <c r="DY186" s="255">
        <v>17707.2</v>
      </c>
      <c r="DZ186" s="255">
        <v>17707.2</v>
      </c>
      <c r="EA186" s="255">
        <v>13280.4</v>
      </c>
      <c r="EB186" s="255">
        <v>13280.4</v>
      </c>
      <c r="EC186" s="255">
        <v>17707.2</v>
      </c>
      <c r="ED186" s="255">
        <v>18234.3</v>
      </c>
      <c r="EE186" s="255">
        <v>13675.725</v>
      </c>
      <c r="EF186" s="255">
        <v>18234.3</v>
      </c>
      <c r="EG186" s="255">
        <v>18234.3</v>
      </c>
      <c r="EH186" s="255">
        <v>18234.3</v>
      </c>
      <c r="EI186" s="255">
        <v>18234.3</v>
      </c>
      <c r="EJ186" s="255">
        <v>18234.3</v>
      </c>
      <c r="EK186" s="255">
        <v>18234.3</v>
      </c>
      <c r="EL186" s="255">
        <v>0</v>
      </c>
      <c r="EM186" s="255">
        <v>0</v>
      </c>
      <c r="EN186" s="255">
        <v>0</v>
      </c>
      <c r="EO186" s="255">
        <v>0</v>
      </c>
      <c r="EP186" s="255">
        <v>0</v>
      </c>
      <c r="EQ186" s="255">
        <v>0</v>
      </c>
      <c r="ER186" s="255">
        <v>0</v>
      </c>
      <c r="ES186" s="255">
        <v>0</v>
      </c>
      <c r="ET186" s="255">
        <v>0</v>
      </c>
      <c r="EU186" s="255">
        <v>0</v>
      </c>
      <c r="EV186" s="255">
        <v>0</v>
      </c>
      <c r="EW186" s="255">
        <v>0</v>
      </c>
      <c r="EX186" s="255">
        <v>0</v>
      </c>
      <c r="EY186" s="255">
        <v>0</v>
      </c>
      <c r="EZ186" s="255">
        <v>0</v>
      </c>
      <c r="FA186" s="255">
        <v>0</v>
      </c>
      <c r="FB186" s="255">
        <v>0</v>
      </c>
      <c r="FC186" s="255">
        <v>0</v>
      </c>
      <c r="FD186" s="255">
        <v>0</v>
      </c>
      <c r="FE186" s="255">
        <v>0</v>
      </c>
      <c r="FF186" s="255">
        <v>0</v>
      </c>
      <c r="FG186" s="255">
        <v>0</v>
      </c>
      <c r="FH186" s="255">
        <v>0</v>
      </c>
      <c r="FI186" s="255">
        <v>0</v>
      </c>
      <c r="FJ186" s="255">
        <v>0</v>
      </c>
      <c r="FK186" s="255">
        <v>0</v>
      </c>
      <c r="FL186" s="255">
        <v>0</v>
      </c>
      <c r="FM186" s="255">
        <v>0</v>
      </c>
      <c r="FN186" s="255">
        <v>0</v>
      </c>
      <c r="FO186" s="255">
        <v>0</v>
      </c>
      <c r="FP186" s="255">
        <v>0</v>
      </c>
      <c r="FQ186" s="255">
        <v>0</v>
      </c>
      <c r="FR186" s="255">
        <v>0</v>
      </c>
      <c r="FS186" s="255">
        <v>0</v>
      </c>
      <c r="FT186" s="255">
        <v>0</v>
      </c>
      <c r="FU186" s="255">
        <v>0</v>
      </c>
      <c r="FV186" s="255">
        <v>0</v>
      </c>
      <c r="FW186" s="255">
        <v>0</v>
      </c>
      <c r="FX186" s="116"/>
    </row>
    <row r="187" spans="2:180" x14ac:dyDescent="0.2">
      <c r="B187" s="253" t="s">
        <v>214</v>
      </c>
      <c r="C187" s="253" t="s">
        <v>321</v>
      </c>
      <c r="D187" s="253" t="s">
        <v>258</v>
      </c>
      <c r="E187" s="253" t="s">
        <v>127</v>
      </c>
      <c r="F187" s="253">
        <v>0</v>
      </c>
      <c r="G187" s="253" t="s">
        <v>322</v>
      </c>
      <c r="H187" s="237">
        <v>245.65</v>
      </c>
      <c r="I187" s="126">
        <f t="shared" si="87"/>
        <v>610248.29999999993</v>
      </c>
      <c r="J187" s="116"/>
      <c r="K187" s="254">
        <v>0</v>
      </c>
      <c r="L187" s="254">
        <v>0</v>
      </c>
      <c r="M187" s="254">
        <v>0</v>
      </c>
      <c r="N187" s="254">
        <v>0</v>
      </c>
      <c r="O187" s="254">
        <v>0</v>
      </c>
      <c r="P187" s="254">
        <v>0</v>
      </c>
      <c r="Q187" s="254">
        <v>0</v>
      </c>
      <c r="R187" s="254">
        <v>0</v>
      </c>
      <c r="S187" s="254">
        <v>0</v>
      </c>
      <c r="T187" s="254">
        <v>0</v>
      </c>
      <c r="U187" s="254">
        <v>0</v>
      </c>
      <c r="V187" s="254">
        <v>0</v>
      </c>
      <c r="W187" s="254">
        <v>0</v>
      </c>
      <c r="X187" s="254">
        <v>0</v>
      </c>
      <c r="Y187" s="254">
        <v>0.2857142857142857</v>
      </c>
      <c r="Z187" s="254">
        <v>0.2857142857142857</v>
      </c>
      <c r="AA187" s="254">
        <v>0.26315789473684209</v>
      </c>
      <c r="AB187" s="254">
        <v>0.26315789473684209</v>
      </c>
      <c r="AC187" s="254">
        <v>0.2857142857142857</v>
      </c>
      <c r="AD187" s="254">
        <v>0.2857142857142857</v>
      </c>
      <c r="AE187" s="254">
        <v>0.2857142857142857</v>
      </c>
      <c r="AF187" s="254">
        <v>0.2857142857142857</v>
      </c>
      <c r="AG187" s="254">
        <v>0.2857142857142857</v>
      </c>
      <c r="AH187" s="254">
        <v>0.2857142857142857</v>
      </c>
      <c r="AI187" s="254">
        <v>0.2857142857142857</v>
      </c>
      <c r="AJ187" s="254">
        <v>0.2857142857142857</v>
      </c>
      <c r="AK187" s="254">
        <v>0.2857142857142857</v>
      </c>
      <c r="AL187" s="254">
        <v>0.2857142857142857</v>
      </c>
      <c r="AM187" s="254">
        <v>0.26315789473684209</v>
      </c>
      <c r="AN187" s="254">
        <v>0.26315789473684209</v>
      </c>
      <c r="AO187" s="254">
        <v>0.2857142857142857</v>
      </c>
      <c r="AP187" s="254">
        <v>0.2857142857142857</v>
      </c>
      <c r="AQ187" s="254">
        <v>0.2857142857142857</v>
      </c>
      <c r="AR187" s="254">
        <v>0.2857142857142857</v>
      </c>
      <c r="AS187" s="254">
        <v>0.2857142857142857</v>
      </c>
      <c r="AT187" s="254">
        <v>0.2857142857142857</v>
      </c>
      <c r="AU187" s="254">
        <v>0.2857142857142857</v>
      </c>
      <c r="AV187" s="254">
        <v>0.2857142857142857</v>
      </c>
      <c r="AW187" s="254">
        <v>0.2857142857142857</v>
      </c>
      <c r="AX187" s="254">
        <v>0.2857142857142857</v>
      </c>
      <c r="AY187" s="254">
        <v>0.26315789473684209</v>
      </c>
      <c r="AZ187" s="254">
        <v>0.26315789473684209</v>
      </c>
      <c r="BA187" s="254">
        <v>0.2857142857142857</v>
      </c>
      <c r="BB187" s="254">
        <v>0.2857142857142857</v>
      </c>
      <c r="BC187" s="254">
        <v>0.2857142857142857</v>
      </c>
      <c r="BD187" s="254">
        <v>0.2857142857142857</v>
      </c>
      <c r="BE187" s="254">
        <v>0</v>
      </c>
      <c r="BF187" s="254">
        <v>0</v>
      </c>
      <c r="BG187" s="254">
        <v>0</v>
      </c>
      <c r="BH187" s="254">
        <v>0</v>
      </c>
      <c r="BI187" s="254">
        <v>0</v>
      </c>
      <c r="BJ187" s="254">
        <v>0</v>
      </c>
      <c r="BK187" s="254">
        <v>0</v>
      </c>
      <c r="BL187" s="254">
        <v>0</v>
      </c>
      <c r="BM187" s="254">
        <v>0</v>
      </c>
      <c r="BN187" s="254">
        <v>0</v>
      </c>
      <c r="BO187" s="254">
        <v>0</v>
      </c>
      <c r="BP187" s="254">
        <v>0</v>
      </c>
      <c r="BQ187" s="254">
        <v>0</v>
      </c>
      <c r="BR187" s="254">
        <v>0</v>
      </c>
      <c r="BS187" s="254">
        <v>0</v>
      </c>
      <c r="BT187" s="254">
        <v>0</v>
      </c>
      <c r="BU187" s="254">
        <v>0</v>
      </c>
      <c r="BV187" s="254">
        <v>0</v>
      </c>
      <c r="BW187" s="254">
        <v>0</v>
      </c>
      <c r="BX187" s="254">
        <v>0</v>
      </c>
      <c r="BY187" s="254">
        <v>0</v>
      </c>
      <c r="BZ187" s="254">
        <v>0</v>
      </c>
      <c r="CA187" s="254">
        <v>0</v>
      </c>
      <c r="CB187" s="254">
        <v>0</v>
      </c>
      <c r="CC187" s="254">
        <v>0</v>
      </c>
      <c r="CD187" s="254">
        <v>0</v>
      </c>
      <c r="CE187" s="254">
        <v>0</v>
      </c>
      <c r="CF187" s="254">
        <v>0</v>
      </c>
      <c r="CG187" s="254">
        <v>0</v>
      </c>
      <c r="CH187" s="254">
        <v>0</v>
      </c>
      <c r="CI187" s="254">
        <v>0</v>
      </c>
      <c r="CJ187" s="254">
        <v>0</v>
      </c>
      <c r="CK187" s="254">
        <v>0</v>
      </c>
      <c r="CL187" s="254">
        <v>0</v>
      </c>
      <c r="CM187" s="254">
        <v>0</v>
      </c>
      <c r="CN187" s="254">
        <v>0</v>
      </c>
      <c r="CO187" s="254">
        <v>0</v>
      </c>
      <c r="CP187" s="254">
        <v>0</v>
      </c>
      <c r="CQ187" s="116"/>
      <c r="CR187" s="255">
        <v>0</v>
      </c>
      <c r="CS187" s="255">
        <v>0</v>
      </c>
      <c r="CT187" s="255">
        <v>0</v>
      </c>
      <c r="CU187" s="255">
        <v>0</v>
      </c>
      <c r="CV187" s="255">
        <v>0</v>
      </c>
      <c r="CW187" s="255">
        <v>0</v>
      </c>
      <c r="CX187" s="255">
        <v>0</v>
      </c>
      <c r="CY187" s="255">
        <v>0</v>
      </c>
      <c r="CZ187" s="255">
        <v>0</v>
      </c>
      <c r="DA187" s="255">
        <v>0</v>
      </c>
      <c r="DB187" s="255">
        <v>0</v>
      </c>
      <c r="DC187" s="255">
        <v>0</v>
      </c>
      <c r="DD187" s="255">
        <v>0</v>
      </c>
      <c r="DE187" s="255">
        <v>0</v>
      </c>
      <c r="DF187" s="255">
        <v>19652</v>
      </c>
      <c r="DG187" s="255">
        <v>14739</v>
      </c>
      <c r="DH187" s="255">
        <v>19652</v>
      </c>
      <c r="DI187" s="255">
        <v>19652</v>
      </c>
      <c r="DJ187" s="255">
        <v>19652</v>
      </c>
      <c r="DK187" s="255">
        <v>19652</v>
      </c>
      <c r="DL187" s="255">
        <v>19652</v>
      </c>
      <c r="DM187" s="255">
        <v>19652</v>
      </c>
      <c r="DN187" s="255">
        <v>19652</v>
      </c>
      <c r="DO187" s="255">
        <v>14739</v>
      </c>
      <c r="DP187" s="255">
        <v>14739</v>
      </c>
      <c r="DQ187" s="255">
        <v>19652</v>
      </c>
      <c r="DR187" s="255">
        <v>20236.400000000001</v>
      </c>
      <c r="DS187" s="255">
        <v>15177.300000000001</v>
      </c>
      <c r="DT187" s="255">
        <v>20236.400000000001</v>
      </c>
      <c r="DU187" s="255">
        <v>20236.400000000001</v>
      </c>
      <c r="DV187" s="255">
        <v>20236.400000000001</v>
      </c>
      <c r="DW187" s="255">
        <v>20236.400000000001</v>
      </c>
      <c r="DX187" s="255">
        <v>20236.400000000001</v>
      </c>
      <c r="DY187" s="255">
        <v>20236.400000000001</v>
      </c>
      <c r="DZ187" s="255">
        <v>20236.400000000001</v>
      </c>
      <c r="EA187" s="255">
        <v>15177.300000000001</v>
      </c>
      <c r="EB187" s="255">
        <v>15177.300000000001</v>
      </c>
      <c r="EC187" s="255">
        <v>20236.400000000001</v>
      </c>
      <c r="ED187" s="255">
        <v>20839.2</v>
      </c>
      <c r="EE187" s="255">
        <v>15629.400000000001</v>
      </c>
      <c r="EF187" s="255">
        <v>20839.2</v>
      </c>
      <c r="EG187" s="255">
        <v>20839.2</v>
      </c>
      <c r="EH187" s="255">
        <v>20839.2</v>
      </c>
      <c r="EI187" s="255">
        <v>20839.2</v>
      </c>
      <c r="EJ187" s="255">
        <v>20839.2</v>
      </c>
      <c r="EK187" s="255">
        <v>20839.2</v>
      </c>
      <c r="EL187" s="255">
        <v>0</v>
      </c>
      <c r="EM187" s="255">
        <v>0</v>
      </c>
      <c r="EN187" s="255">
        <v>0</v>
      </c>
      <c r="EO187" s="255">
        <v>0</v>
      </c>
      <c r="EP187" s="255">
        <v>0</v>
      </c>
      <c r="EQ187" s="255">
        <v>0</v>
      </c>
      <c r="ER187" s="255">
        <v>0</v>
      </c>
      <c r="ES187" s="255">
        <v>0</v>
      </c>
      <c r="ET187" s="255">
        <v>0</v>
      </c>
      <c r="EU187" s="255">
        <v>0</v>
      </c>
      <c r="EV187" s="255">
        <v>0</v>
      </c>
      <c r="EW187" s="255">
        <v>0</v>
      </c>
      <c r="EX187" s="255">
        <v>0</v>
      </c>
      <c r="EY187" s="255">
        <v>0</v>
      </c>
      <c r="EZ187" s="255">
        <v>0</v>
      </c>
      <c r="FA187" s="255">
        <v>0</v>
      </c>
      <c r="FB187" s="255">
        <v>0</v>
      </c>
      <c r="FC187" s="255">
        <v>0</v>
      </c>
      <c r="FD187" s="255">
        <v>0</v>
      </c>
      <c r="FE187" s="255">
        <v>0</v>
      </c>
      <c r="FF187" s="255">
        <v>0</v>
      </c>
      <c r="FG187" s="255">
        <v>0</v>
      </c>
      <c r="FH187" s="255">
        <v>0</v>
      </c>
      <c r="FI187" s="255">
        <v>0</v>
      </c>
      <c r="FJ187" s="255">
        <v>0</v>
      </c>
      <c r="FK187" s="255">
        <v>0</v>
      </c>
      <c r="FL187" s="255">
        <v>0</v>
      </c>
      <c r="FM187" s="255">
        <v>0</v>
      </c>
      <c r="FN187" s="255">
        <v>0</v>
      </c>
      <c r="FO187" s="255">
        <v>0</v>
      </c>
      <c r="FP187" s="255">
        <v>0</v>
      </c>
      <c r="FQ187" s="255">
        <v>0</v>
      </c>
      <c r="FR187" s="255">
        <v>0</v>
      </c>
      <c r="FS187" s="255">
        <v>0</v>
      </c>
      <c r="FT187" s="255">
        <v>0</v>
      </c>
      <c r="FU187" s="255">
        <v>0</v>
      </c>
      <c r="FV187" s="255">
        <v>0</v>
      </c>
      <c r="FW187" s="255">
        <v>0</v>
      </c>
      <c r="FX187" s="116"/>
    </row>
    <row r="188" spans="2:180" x14ac:dyDescent="0.2">
      <c r="B188" s="253" t="s">
        <v>214</v>
      </c>
      <c r="C188" s="253" t="s">
        <v>323</v>
      </c>
      <c r="D188" s="253" t="s">
        <v>258</v>
      </c>
      <c r="E188" s="253" t="s">
        <v>127</v>
      </c>
      <c r="F188" s="253" t="s">
        <v>259</v>
      </c>
      <c r="G188" s="253" t="s">
        <v>260</v>
      </c>
      <c r="H188" s="237">
        <v>214.83</v>
      </c>
      <c r="I188" s="126">
        <f t="shared" si="87"/>
        <v>1006448.5099999999</v>
      </c>
      <c r="J188" s="116"/>
      <c r="K188" s="254">
        <v>0</v>
      </c>
      <c r="L188" s="254">
        <v>0</v>
      </c>
      <c r="M188" s="254">
        <v>0</v>
      </c>
      <c r="N188" s="254">
        <v>0</v>
      </c>
      <c r="O188" s="254">
        <v>0</v>
      </c>
      <c r="P188" s="254">
        <v>0</v>
      </c>
      <c r="Q188" s="254">
        <v>0</v>
      </c>
      <c r="R188" s="254">
        <v>0</v>
      </c>
      <c r="S188" s="254">
        <v>0</v>
      </c>
      <c r="T188" s="254">
        <v>0</v>
      </c>
      <c r="U188" s="254">
        <v>0</v>
      </c>
      <c r="V188" s="254">
        <v>0</v>
      </c>
      <c r="W188" s="254">
        <v>0</v>
      </c>
      <c r="X188" s="254">
        <v>0</v>
      </c>
      <c r="Y188" s="254">
        <v>0.25</v>
      </c>
      <c r="Z188" s="254">
        <v>1</v>
      </c>
      <c r="AA188" s="254">
        <v>0.78289473684210531</v>
      </c>
      <c r="AB188" s="254">
        <v>0.82894736842105265</v>
      </c>
      <c r="AC188" s="254">
        <v>0.95</v>
      </c>
      <c r="AD188" s="254">
        <v>0.75</v>
      </c>
      <c r="AE188" s="254">
        <v>0.9</v>
      </c>
      <c r="AF188" s="254">
        <v>0.9</v>
      </c>
      <c r="AG188" s="254">
        <v>0.85</v>
      </c>
      <c r="AH188" s="254">
        <v>0.8</v>
      </c>
      <c r="AI188" s="254">
        <v>1.5333333333333334</v>
      </c>
      <c r="AJ188" s="254">
        <v>0.8</v>
      </c>
      <c r="AK188" s="254">
        <v>0.8</v>
      </c>
      <c r="AL188" s="254">
        <v>1.2666666666666666</v>
      </c>
      <c r="AM188" s="254">
        <v>0.82894736842105265</v>
      </c>
      <c r="AN188" s="254">
        <v>0.78289473684210531</v>
      </c>
      <c r="AO188" s="254">
        <v>0.9</v>
      </c>
      <c r="AP188" s="254">
        <v>0.85</v>
      </c>
      <c r="AQ188" s="254">
        <v>0.9</v>
      </c>
      <c r="AR188" s="254">
        <v>0.9</v>
      </c>
      <c r="AS188" s="254">
        <v>0.85</v>
      </c>
      <c r="AT188" s="254">
        <v>1.0666666666666667</v>
      </c>
      <c r="AU188" s="254">
        <v>1.2666666666666666</v>
      </c>
      <c r="AV188" s="254">
        <v>0.8</v>
      </c>
      <c r="AW188" s="254">
        <v>0.95</v>
      </c>
      <c r="AX188" s="254">
        <v>1.0666666666666667</v>
      </c>
      <c r="AY188" s="254">
        <v>0.875</v>
      </c>
      <c r="AZ188" s="254">
        <v>0.875</v>
      </c>
      <c r="BA188" s="254">
        <v>0.8</v>
      </c>
      <c r="BB188" s="254">
        <v>0.9</v>
      </c>
      <c r="BC188" s="254">
        <v>0.85</v>
      </c>
      <c r="BD188" s="254">
        <v>0.9</v>
      </c>
      <c r="BE188" s="254">
        <v>5.2071428571428573</v>
      </c>
      <c r="BF188" s="254">
        <v>0</v>
      </c>
      <c r="BG188" s="254">
        <v>0</v>
      </c>
      <c r="BH188" s="254">
        <v>0</v>
      </c>
      <c r="BI188" s="254">
        <v>0</v>
      </c>
      <c r="BJ188" s="254">
        <v>0</v>
      </c>
      <c r="BK188" s="254">
        <v>0</v>
      </c>
      <c r="BL188" s="254">
        <v>0</v>
      </c>
      <c r="BM188" s="254">
        <v>0</v>
      </c>
      <c r="BN188" s="254">
        <v>0</v>
      </c>
      <c r="BO188" s="254">
        <v>0</v>
      </c>
      <c r="BP188" s="254">
        <v>0</v>
      </c>
      <c r="BQ188" s="254">
        <v>0</v>
      </c>
      <c r="BR188" s="254">
        <v>0</v>
      </c>
      <c r="BS188" s="254">
        <v>0</v>
      </c>
      <c r="BT188" s="254">
        <v>0</v>
      </c>
      <c r="BU188" s="254">
        <v>0</v>
      </c>
      <c r="BV188" s="254">
        <v>0</v>
      </c>
      <c r="BW188" s="254">
        <v>0</v>
      </c>
      <c r="BX188" s="254">
        <v>0</v>
      </c>
      <c r="BY188" s="254">
        <v>0</v>
      </c>
      <c r="BZ188" s="254">
        <v>0</v>
      </c>
      <c r="CA188" s="254">
        <v>0</v>
      </c>
      <c r="CB188" s="254">
        <v>0</v>
      </c>
      <c r="CC188" s="254">
        <v>0</v>
      </c>
      <c r="CD188" s="254">
        <v>0</v>
      </c>
      <c r="CE188" s="254">
        <v>0</v>
      </c>
      <c r="CF188" s="254">
        <v>0</v>
      </c>
      <c r="CG188" s="254">
        <v>0</v>
      </c>
      <c r="CH188" s="254">
        <v>0</v>
      </c>
      <c r="CI188" s="254">
        <v>0</v>
      </c>
      <c r="CJ188" s="254">
        <v>0</v>
      </c>
      <c r="CK188" s="254">
        <v>0</v>
      </c>
      <c r="CL188" s="254">
        <v>0</v>
      </c>
      <c r="CM188" s="254">
        <v>0</v>
      </c>
      <c r="CN188" s="254">
        <v>0</v>
      </c>
      <c r="CO188" s="254">
        <v>0</v>
      </c>
      <c r="CP188" s="254">
        <v>0</v>
      </c>
      <c r="CQ188" s="116"/>
      <c r="CR188" s="255">
        <v>0</v>
      </c>
      <c r="CS188" s="255">
        <v>0</v>
      </c>
      <c r="CT188" s="255">
        <v>0</v>
      </c>
      <c r="CU188" s="255">
        <v>0</v>
      </c>
      <c r="CV188" s="255">
        <v>0</v>
      </c>
      <c r="CW188" s="255">
        <v>0</v>
      </c>
      <c r="CX188" s="255">
        <v>0</v>
      </c>
      <c r="CY188" s="255">
        <v>0</v>
      </c>
      <c r="CZ188" s="255">
        <v>0</v>
      </c>
      <c r="DA188" s="255">
        <v>0</v>
      </c>
      <c r="DB188" s="255">
        <v>0</v>
      </c>
      <c r="DC188" s="255">
        <v>0</v>
      </c>
      <c r="DD188" s="255">
        <v>0</v>
      </c>
      <c r="DE188" s="255">
        <v>0</v>
      </c>
      <c r="DF188" s="255">
        <v>7519.05</v>
      </c>
      <c r="DG188" s="255">
        <v>22557.15</v>
      </c>
      <c r="DH188" s="255">
        <v>25564.77</v>
      </c>
      <c r="DI188" s="255">
        <v>27068.58</v>
      </c>
      <c r="DJ188" s="255">
        <v>28572.390000000003</v>
      </c>
      <c r="DK188" s="255">
        <v>22557.15</v>
      </c>
      <c r="DL188" s="255">
        <v>27068.58</v>
      </c>
      <c r="DM188" s="255">
        <v>27068.58</v>
      </c>
      <c r="DN188" s="255">
        <v>25564.77</v>
      </c>
      <c r="DO188" s="255">
        <v>18045.72</v>
      </c>
      <c r="DP188" s="255">
        <v>34587.630000000005</v>
      </c>
      <c r="DQ188" s="255">
        <v>24060.960000000003</v>
      </c>
      <c r="DR188" s="255">
        <v>24776.639999999999</v>
      </c>
      <c r="DS188" s="255">
        <v>29422.26</v>
      </c>
      <c r="DT188" s="255">
        <v>27873.72</v>
      </c>
      <c r="DU188" s="255">
        <v>26325.18</v>
      </c>
      <c r="DV188" s="255">
        <v>27873.72</v>
      </c>
      <c r="DW188" s="255">
        <v>26325.18</v>
      </c>
      <c r="DX188" s="255">
        <v>27873.72</v>
      </c>
      <c r="DY188" s="255">
        <v>27873.72</v>
      </c>
      <c r="DZ188" s="255">
        <v>26325.18</v>
      </c>
      <c r="EA188" s="255">
        <v>24776.639999999999</v>
      </c>
      <c r="EB188" s="255">
        <v>29422.26</v>
      </c>
      <c r="EC188" s="255">
        <v>24776.639999999999</v>
      </c>
      <c r="ED188" s="255">
        <v>30302.720000000001</v>
      </c>
      <c r="EE188" s="255">
        <v>25518.080000000002</v>
      </c>
      <c r="EF188" s="255">
        <v>30302.720000000001</v>
      </c>
      <c r="EG188" s="255">
        <v>30302.720000000001</v>
      </c>
      <c r="EH188" s="255">
        <v>25518.080000000002</v>
      </c>
      <c r="EI188" s="255">
        <v>28707.84</v>
      </c>
      <c r="EJ188" s="255">
        <v>27112.959999999999</v>
      </c>
      <c r="EK188" s="255">
        <v>28707.84</v>
      </c>
      <c r="EL188" s="255">
        <v>166095.36000000002</v>
      </c>
      <c r="EM188" s="255">
        <v>0</v>
      </c>
      <c r="EN188" s="255">
        <v>0</v>
      </c>
      <c r="EO188" s="255">
        <v>0</v>
      </c>
      <c r="EP188" s="255">
        <v>0</v>
      </c>
      <c r="EQ188" s="255">
        <v>0</v>
      </c>
      <c r="ER188" s="255">
        <v>0</v>
      </c>
      <c r="ES188" s="255">
        <v>0</v>
      </c>
      <c r="ET188" s="255">
        <v>0</v>
      </c>
      <c r="EU188" s="255">
        <v>0</v>
      </c>
      <c r="EV188" s="255">
        <v>0</v>
      </c>
      <c r="EW188" s="255">
        <v>0</v>
      </c>
      <c r="EX188" s="255">
        <v>0</v>
      </c>
      <c r="EY188" s="255">
        <v>0</v>
      </c>
      <c r="EZ188" s="255">
        <v>0</v>
      </c>
      <c r="FA188" s="255">
        <v>0</v>
      </c>
      <c r="FB188" s="255">
        <v>0</v>
      </c>
      <c r="FC188" s="255">
        <v>0</v>
      </c>
      <c r="FD188" s="255">
        <v>0</v>
      </c>
      <c r="FE188" s="255">
        <v>0</v>
      </c>
      <c r="FF188" s="255">
        <v>0</v>
      </c>
      <c r="FG188" s="255">
        <v>0</v>
      </c>
      <c r="FH188" s="255">
        <v>0</v>
      </c>
      <c r="FI188" s="255">
        <v>0</v>
      </c>
      <c r="FJ188" s="255">
        <v>0</v>
      </c>
      <c r="FK188" s="255">
        <v>0</v>
      </c>
      <c r="FL188" s="255">
        <v>0</v>
      </c>
      <c r="FM188" s="255">
        <v>0</v>
      </c>
      <c r="FN188" s="255">
        <v>0</v>
      </c>
      <c r="FO188" s="255">
        <v>0</v>
      </c>
      <c r="FP188" s="255">
        <v>0</v>
      </c>
      <c r="FQ188" s="255">
        <v>0</v>
      </c>
      <c r="FR188" s="255">
        <v>0</v>
      </c>
      <c r="FS188" s="255">
        <v>0</v>
      </c>
      <c r="FT188" s="255">
        <v>0</v>
      </c>
      <c r="FU188" s="255">
        <v>0</v>
      </c>
      <c r="FV188" s="255">
        <v>0</v>
      </c>
      <c r="FW188" s="255">
        <v>0</v>
      </c>
      <c r="FX188" s="116"/>
    </row>
    <row r="189" spans="2:180" x14ac:dyDescent="0.2">
      <c r="B189" s="253" t="s">
        <v>214</v>
      </c>
      <c r="C189" s="253" t="s">
        <v>323</v>
      </c>
      <c r="D189" s="253" t="s">
        <v>258</v>
      </c>
      <c r="E189" s="253" t="s">
        <v>127</v>
      </c>
      <c r="F189" s="253">
        <v>0</v>
      </c>
      <c r="G189" s="253" t="s">
        <v>322</v>
      </c>
      <c r="H189" s="237">
        <v>214.83</v>
      </c>
      <c r="I189" s="126">
        <f t="shared" si="87"/>
        <v>1398637.59</v>
      </c>
      <c r="J189" s="116"/>
      <c r="K189" s="254">
        <v>0</v>
      </c>
      <c r="L189" s="254">
        <v>0</v>
      </c>
      <c r="M189" s="254">
        <v>0</v>
      </c>
      <c r="N189" s="254">
        <v>0</v>
      </c>
      <c r="O189" s="254">
        <v>0</v>
      </c>
      <c r="P189" s="254">
        <v>0</v>
      </c>
      <c r="Q189" s="254">
        <v>0</v>
      </c>
      <c r="R189" s="254">
        <v>0</v>
      </c>
      <c r="S189" s="254">
        <v>0</v>
      </c>
      <c r="T189" s="254">
        <v>0</v>
      </c>
      <c r="U189" s="254">
        <v>0</v>
      </c>
      <c r="V189" s="254">
        <v>0</v>
      </c>
      <c r="W189" s="254">
        <v>0</v>
      </c>
      <c r="X189" s="254">
        <v>0</v>
      </c>
      <c r="Y189" s="254">
        <v>7.1428571428571425E-2</v>
      </c>
      <c r="Z189" s="254">
        <v>0</v>
      </c>
      <c r="AA189" s="254">
        <v>0.65131578947368418</v>
      </c>
      <c r="AB189" s="254">
        <v>0.67105263157894735</v>
      </c>
      <c r="AC189" s="254">
        <v>0.92142857142857137</v>
      </c>
      <c r="AD189" s="254">
        <v>0.66428571428571426</v>
      </c>
      <c r="AE189" s="254">
        <v>0.72857142857142854</v>
      </c>
      <c r="AF189" s="254">
        <v>0.72857142857142854</v>
      </c>
      <c r="AG189" s="254">
        <v>0.70714285714285718</v>
      </c>
      <c r="AH189" s="254">
        <v>0.8</v>
      </c>
      <c r="AI189" s="254">
        <v>1.3428571428571427</v>
      </c>
      <c r="AJ189" s="254">
        <v>0.68571428571428572</v>
      </c>
      <c r="AK189" s="254">
        <v>0.68571428571428572</v>
      </c>
      <c r="AL189" s="254">
        <v>1</v>
      </c>
      <c r="AM189" s="254">
        <v>0.75</v>
      </c>
      <c r="AN189" s="254">
        <v>0.73026315789473684</v>
      </c>
      <c r="AO189" s="254">
        <v>0.72857142857142854</v>
      </c>
      <c r="AP189" s="254">
        <v>0.70714285714285718</v>
      </c>
      <c r="AQ189" s="254">
        <v>0.72857142857142854</v>
      </c>
      <c r="AR189" s="254">
        <v>0.72857142857142854</v>
      </c>
      <c r="AS189" s="254">
        <v>0.87857142857142856</v>
      </c>
      <c r="AT189" s="254">
        <v>0.68571428571428572</v>
      </c>
      <c r="AU189" s="254">
        <v>1.2285714285714286</v>
      </c>
      <c r="AV189" s="254">
        <v>0.68571428571428572</v>
      </c>
      <c r="AW189" s="254">
        <v>0.75</v>
      </c>
      <c r="AX189" s="254">
        <v>0.91428571428571426</v>
      </c>
      <c r="AY189" s="254">
        <v>0.84868421052631582</v>
      </c>
      <c r="AZ189" s="254">
        <v>0.84868421052631582</v>
      </c>
      <c r="BA189" s="254">
        <v>0.68571428571428572</v>
      </c>
      <c r="BB189" s="254">
        <v>0.72857142857142854</v>
      </c>
      <c r="BC189" s="254">
        <v>0.70714285714285718</v>
      </c>
      <c r="BD189" s="254">
        <v>0.72857142857142854</v>
      </c>
      <c r="BE189" s="254">
        <v>0</v>
      </c>
      <c r="BF189" s="254">
        <v>0</v>
      </c>
      <c r="BG189" s="254">
        <v>0</v>
      </c>
      <c r="BH189" s="254">
        <v>0</v>
      </c>
      <c r="BI189" s="254">
        <v>0</v>
      </c>
      <c r="BJ189" s="254">
        <v>0</v>
      </c>
      <c r="BK189" s="254">
        <v>0</v>
      </c>
      <c r="BL189" s="254">
        <v>0</v>
      </c>
      <c r="BM189" s="254">
        <v>0</v>
      </c>
      <c r="BN189" s="254">
        <v>0</v>
      </c>
      <c r="BO189" s="254">
        <v>0</v>
      </c>
      <c r="BP189" s="254">
        <v>0</v>
      </c>
      <c r="BQ189" s="254">
        <v>0</v>
      </c>
      <c r="BR189" s="254">
        <v>0</v>
      </c>
      <c r="BS189" s="254">
        <v>0</v>
      </c>
      <c r="BT189" s="254">
        <v>0</v>
      </c>
      <c r="BU189" s="254">
        <v>0</v>
      </c>
      <c r="BV189" s="254">
        <v>0</v>
      </c>
      <c r="BW189" s="254">
        <v>0</v>
      </c>
      <c r="BX189" s="254">
        <v>0</v>
      </c>
      <c r="BY189" s="254">
        <v>0</v>
      </c>
      <c r="BZ189" s="254">
        <v>0</v>
      </c>
      <c r="CA189" s="254">
        <v>0</v>
      </c>
      <c r="CB189" s="254">
        <v>0</v>
      </c>
      <c r="CC189" s="254">
        <v>0</v>
      </c>
      <c r="CD189" s="254">
        <v>0</v>
      </c>
      <c r="CE189" s="254">
        <v>0</v>
      </c>
      <c r="CF189" s="254">
        <v>0</v>
      </c>
      <c r="CG189" s="254">
        <v>0</v>
      </c>
      <c r="CH189" s="254">
        <v>0</v>
      </c>
      <c r="CI189" s="254">
        <v>0</v>
      </c>
      <c r="CJ189" s="254">
        <v>0</v>
      </c>
      <c r="CK189" s="254">
        <v>0</v>
      </c>
      <c r="CL189" s="254">
        <v>0</v>
      </c>
      <c r="CM189" s="254">
        <v>0</v>
      </c>
      <c r="CN189" s="254">
        <v>0</v>
      </c>
      <c r="CO189" s="254">
        <v>0</v>
      </c>
      <c r="CP189" s="254">
        <v>0</v>
      </c>
      <c r="CQ189" s="116"/>
      <c r="CR189" s="255">
        <v>0</v>
      </c>
      <c r="CS189" s="255">
        <v>0</v>
      </c>
      <c r="CT189" s="255">
        <v>0</v>
      </c>
      <c r="CU189" s="255">
        <v>0</v>
      </c>
      <c r="CV189" s="255">
        <v>0</v>
      </c>
      <c r="CW189" s="255">
        <v>0</v>
      </c>
      <c r="CX189" s="255">
        <v>0</v>
      </c>
      <c r="CY189" s="255">
        <v>0</v>
      </c>
      <c r="CZ189" s="255">
        <v>0</v>
      </c>
      <c r="DA189" s="255">
        <v>0</v>
      </c>
      <c r="DB189" s="255">
        <v>0</v>
      </c>
      <c r="DC189" s="255">
        <v>0</v>
      </c>
      <c r="DD189" s="255">
        <v>0</v>
      </c>
      <c r="DE189" s="255">
        <v>0</v>
      </c>
      <c r="DF189" s="255">
        <v>4296.6000000000004</v>
      </c>
      <c r="DG189" s="255">
        <v>0</v>
      </c>
      <c r="DH189" s="255">
        <v>42536.340000000004</v>
      </c>
      <c r="DI189" s="255">
        <v>43825.32</v>
      </c>
      <c r="DJ189" s="255">
        <v>55426.140000000007</v>
      </c>
      <c r="DK189" s="255">
        <v>39958.380000000005</v>
      </c>
      <c r="DL189" s="255">
        <v>43825.32</v>
      </c>
      <c r="DM189" s="255">
        <v>43825.32</v>
      </c>
      <c r="DN189" s="255">
        <v>42536.340000000004</v>
      </c>
      <c r="DO189" s="255">
        <v>36091.440000000002</v>
      </c>
      <c r="DP189" s="255">
        <v>60582.060000000005</v>
      </c>
      <c r="DQ189" s="255">
        <v>41247.360000000001</v>
      </c>
      <c r="DR189" s="255">
        <v>42475.199999999997</v>
      </c>
      <c r="DS189" s="255">
        <v>46457.25</v>
      </c>
      <c r="DT189" s="255">
        <v>50439.299999999996</v>
      </c>
      <c r="DU189" s="255">
        <v>49111.95</v>
      </c>
      <c r="DV189" s="255">
        <v>45129.9</v>
      </c>
      <c r="DW189" s="255">
        <v>43802.549999999996</v>
      </c>
      <c r="DX189" s="255">
        <v>45129.9</v>
      </c>
      <c r="DY189" s="255">
        <v>45129.9</v>
      </c>
      <c r="DZ189" s="255">
        <v>54421.35</v>
      </c>
      <c r="EA189" s="255">
        <v>31856.399999999998</v>
      </c>
      <c r="EB189" s="255">
        <v>57076.049999999996</v>
      </c>
      <c r="EC189" s="255">
        <v>42475.199999999997</v>
      </c>
      <c r="ED189" s="255">
        <v>47847.45</v>
      </c>
      <c r="EE189" s="255">
        <v>43746.239999999998</v>
      </c>
      <c r="EF189" s="255">
        <v>58784.01</v>
      </c>
      <c r="EG189" s="255">
        <v>58784.01</v>
      </c>
      <c r="EH189" s="255">
        <v>43746.239999999998</v>
      </c>
      <c r="EI189" s="255">
        <v>46480.38</v>
      </c>
      <c r="EJ189" s="255">
        <v>45113.31</v>
      </c>
      <c r="EK189" s="255">
        <v>46480.38</v>
      </c>
      <c r="EL189" s="255">
        <v>0</v>
      </c>
      <c r="EM189" s="255">
        <v>0</v>
      </c>
      <c r="EN189" s="255">
        <v>0</v>
      </c>
      <c r="EO189" s="255">
        <v>0</v>
      </c>
      <c r="EP189" s="255">
        <v>0</v>
      </c>
      <c r="EQ189" s="255">
        <v>0</v>
      </c>
      <c r="ER189" s="255">
        <v>0</v>
      </c>
      <c r="ES189" s="255">
        <v>0</v>
      </c>
      <c r="ET189" s="255">
        <v>0</v>
      </c>
      <c r="EU189" s="255">
        <v>0</v>
      </c>
      <c r="EV189" s="255">
        <v>0</v>
      </c>
      <c r="EW189" s="255">
        <v>0</v>
      </c>
      <c r="EX189" s="255">
        <v>0</v>
      </c>
      <c r="EY189" s="255">
        <v>0</v>
      </c>
      <c r="EZ189" s="255">
        <v>0</v>
      </c>
      <c r="FA189" s="255">
        <v>0</v>
      </c>
      <c r="FB189" s="255">
        <v>0</v>
      </c>
      <c r="FC189" s="255">
        <v>0</v>
      </c>
      <c r="FD189" s="255">
        <v>0</v>
      </c>
      <c r="FE189" s="255">
        <v>0</v>
      </c>
      <c r="FF189" s="255">
        <v>0</v>
      </c>
      <c r="FG189" s="255">
        <v>0</v>
      </c>
      <c r="FH189" s="255">
        <v>0</v>
      </c>
      <c r="FI189" s="255">
        <v>0</v>
      </c>
      <c r="FJ189" s="255">
        <v>0</v>
      </c>
      <c r="FK189" s="255">
        <v>0</v>
      </c>
      <c r="FL189" s="255">
        <v>0</v>
      </c>
      <c r="FM189" s="255">
        <v>0</v>
      </c>
      <c r="FN189" s="255">
        <v>0</v>
      </c>
      <c r="FO189" s="255">
        <v>0</v>
      </c>
      <c r="FP189" s="255">
        <v>0</v>
      </c>
      <c r="FQ189" s="255">
        <v>0</v>
      </c>
      <c r="FR189" s="255">
        <v>0</v>
      </c>
      <c r="FS189" s="255">
        <v>0</v>
      </c>
      <c r="FT189" s="255">
        <v>0</v>
      </c>
      <c r="FU189" s="255">
        <v>0</v>
      </c>
      <c r="FV189" s="255">
        <v>0</v>
      </c>
      <c r="FW189" s="255">
        <v>0</v>
      </c>
      <c r="FX189" s="116"/>
    </row>
    <row r="190" spans="2:180" x14ac:dyDescent="0.2">
      <c r="B190" s="253" t="s">
        <v>214</v>
      </c>
      <c r="C190" s="253" t="s">
        <v>324</v>
      </c>
      <c r="D190" s="253" t="s">
        <v>258</v>
      </c>
      <c r="E190" s="253" t="s">
        <v>127</v>
      </c>
      <c r="F190" s="253" t="s">
        <v>259</v>
      </c>
      <c r="G190" s="253" t="s">
        <v>260</v>
      </c>
      <c r="H190" s="237">
        <v>205.24</v>
      </c>
      <c r="I190" s="126">
        <f t="shared" si="87"/>
        <v>160613.05400000006</v>
      </c>
      <c r="J190" s="116"/>
      <c r="K190" s="254">
        <v>0</v>
      </c>
      <c r="L190" s="254">
        <v>0</v>
      </c>
      <c r="M190" s="254">
        <v>0</v>
      </c>
      <c r="N190" s="254">
        <v>0</v>
      </c>
      <c r="O190" s="254">
        <v>0</v>
      </c>
      <c r="P190" s="254">
        <v>0</v>
      </c>
      <c r="Q190" s="254">
        <v>0</v>
      </c>
      <c r="R190" s="254">
        <v>0</v>
      </c>
      <c r="S190" s="254">
        <v>0</v>
      </c>
      <c r="T190" s="254">
        <v>0</v>
      </c>
      <c r="U190" s="254">
        <v>0</v>
      </c>
      <c r="V190" s="254">
        <v>0</v>
      </c>
      <c r="W190" s="254">
        <v>0</v>
      </c>
      <c r="X190" s="254">
        <v>0</v>
      </c>
      <c r="Y190" s="254">
        <v>0.1</v>
      </c>
      <c r="Z190" s="254">
        <v>0.13333333333333333</v>
      </c>
      <c r="AA190" s="254">
        <v>0.15657894736842107</v>
      </c>
      <c r="AB190" s="254">
        <v>0.16578947368421051</v>
      </c>
      <c r="AC190" s="254">
        <v>0.19</v>
      </c>
      <c r="AD190" s="254">
        <v>0.15</v>
      </c>
      <c r="AE190" s="254">
        <v>0.18</v>
      </c>
      <c r="AF190" s="254">
        <v>0.18</v>
      </c>
      <c r="AG190" s="254">
        <v>0.17</v>
      </c>
      <c r="AH190" s="254">
        <v>0.16</v>
      </c>
      <c r="AI190" s="254">
        <v>0.3066666666666667</v>
      </c>
      <c r="AJ190" s="254">
        <v>0.16</v>
      </c>
      <c r="AK190" s="254">
        <v>0.16</v>
      </c>
      <c r="AL190" s="254">
        <v>0.25333333333333335</v>
      </c>
      <c r="AM190" s="254">
        <v>0.16578947368421051</v>
      </c>
      <c r="AN190" s="254">
        <v>0.15657894736842107</v>
      </c>
      <c r="AO190" s="254">
        <v>0.18</v>
      </c>
      <c r="AP190" s="254">
        <v>0.17</v>
      </c>
      <c r="AQ190" s="254">
        <v>0.18</v>
      </c>
      <c r="AR190" s="254">
        <v>0.18</v>
      </c>
      <c r="AS190" s="254">
        <v>0.17</v>
      </c>
      <c r="AT190" s="254">
        <v>0.21333333333333332</v>
      </c>
      <c r="AU190" s="254">
        <v>0.25333333333333335</v>
      </c>
      <c r="AV190" s="254">
        <v>0.16</v>
      </c>
      <c r="AW190" s="254">
        <v>0.19</v>
      </c>
      <c r="AX190" s="254">
        <v>0.21333333333333332</v>
      </c>
      <c r="AY190" s="254">
        <v>0.17500000000000002</v>
      </c>
      <c r="AZ190" s="254">
        <v>0.17500000000000002</v>
      </c>
      <c r="BA190" s="254">
        <v>0.16</v>
      </c>
      <c r="BB190" s="254">
        <v>0.18</v>
      </c>
      <c r="BC190" s="254">
        <v>0.17</v>
      </c>
      <c r="BD190" s="254">
        <v>0.18</v>
      </c>
      <c r="BE190" s="254">
        <v>0</v>
      </c>
      <c r="BF190" s="254">
        <v>0</v>
      </c>
      <c r="BG190" s="254">
        <v>0</v>
      </c>
      <c r="BH190" s="254">
        <v>0</v>
      </c>
      <c r="BI190" s="254">
        <v>0</v>
      </c>
      <c r="BJ190" s="254">
        <v>0</v>
      </c>
      <c r="BK190" s="254">
        <v>0</v>
      </c>
      <c r="BL190" s="254">
        <v>0</v>
      </c>
      <c r="BM190" s="254">
        <v>0</v>
      </c>
      <c r="BN190" s="254">
        <v>0</v>
      </c>
      <c r="BO190" s="254">
        <v>0</v>
      </c>
      <c r="BP190" s="254">
        <v>0</v>
      </c>
      <c r="BQ190" s="254">
        <v>0</v>
      </c>
      <c r="BR190" s="254">
        <v>0</v>
      </c>
      <c r="BS190" s="254">
        <v>0</v>
      </c>
      <c r="BT190" s="254">
        <v>0</v>
      </c>
      <c r="BU190" s="254">
        <v>0</v>
      </c>
      <c r="BV190" s="254">
        <v>0</v>
      </c>
      <c r="BW190" s="254">
        <v>0</v>
      </c>
      <c r="BX190" s="254">
        <v>0</v>
      </c>
      <c r="BY190" s="254">
        <v>0</v>
      </c>
      <c r="BZ190" s="254">
        <v>0</v>
      </c>
      <c r="CA190" s="254">
        <v>0</v>
      </c>
      <c r="CB190" s="254">
        <v>0</v>
      </c>
      <c r="CC190" s="254">
        <v>0</v>
      </c>
      <c r="CD190" s="254">
        <v>0</v>
      </c>
      <c r="CE190" s="254">
        <v>0</v>
      </c>
      <c r="CF190" s="254">
        <v>0</v>
      </c>
      <c r="CG190" s="254">
        <v>0</v>
      </c>
      <c r="CH190" s="254">
        <v>0</v>
      </c>
      <c r="CI190" s="254">
        <v>0</v>
      </c>
      <c r="CJ190" s="254">
        <v>0</v>
      </c>
      <c r="CK190" s="254">
        <v>0</v>
      </c>
      <c r="CL190" s="254">
        <v>0</v>
      </c>
      <c r="CM190" s="254">
        <v>0</v>
      </c>
      <c r="CN190" s="254">
        <v>0</v>
      </c>
      <c r="CO190" s="254">
        <v>0</v>
      </c>
      <c r="CP190" s="254">
        <v>0</v>
      </c>
      <c r="CQ190" s="116"/>
      <c r="CR190" s="255">
        <v>0</v>
      </c>
      <c r="CS190" s="255">
        <v>0</v>
      </c>
      <c r="CT190" s="255">
        <v>0</v>
      </c>
      <c r="CU190" s="255">
        <v>0</v>
      </c>
      <c r="CV190" s="255">
        <v>0</v>
      </c>
      <c r="CW190" s="255">
        <v>0</v>
      </c>
      <c r="CX190" s="255">
        <v>0</v>
      </c>
      <c r="CY190" s="255">
        <v>0</v>
      </c>
      <c r="CZ190" s="255">
        <v>0</v>
      </c>
      <c r="DA190" s="255">
        <v>0</v>
      </c>
      <c r="DB190" s="255">
        <v>0</v>
      </c>
      <c r="DC190" s="255">
        <v>0</v>
      </c>
      <c r="DD190" s="255">
        <v>0</v>
      </c>
      <c r="DE190" s="255">
        <v>0</v>
      </c>
      <c r="DF190" s="255">
        <v>2873.36</v>
      </c>
      <c r="DG190" s="255">
        <v>2873.36</v>
      </c>
      <c r="DH190" s="255">
        <v>4884.7120000000004</v>
      </c>
      <c r="DI190" s="255">
        <v>5172.0479999999998</v>
      </c>
      <c r="DJ190" s="255">
        <v>5459.3840000000009</v>
      </c>
      <c r="DK190" s="255">
        <v>4310.04</v>
      </c>
      <c r="DL190" s="255">
        <v>5172.0479999999998</v>
      </c>
      <c r="DM190" s="255">
        <v>5172.0479999999998</v>
      </c>
      <c r="DN190" s="255">
        <v>4884.7120000000004</v>
      </c>
      <c r="DO190" s="255">
        <v>3448.0320000000002</v>
      </c>
      <c r="DP190" s="255">
        <v>6608.728000000001</v>
      </c>
      <c r="DQ190" s="255">
        <v>4597.3760000000002</v>
      </c>
      <c r="DR190" s="255">
        <v>4735.5839999999998</v>
      </c>
      <c r="DS190" s="255">
        <v>5623.5060000000003</v>
      </c>
      <c r="DT190" s="255">
        <v>5327.5320000000002</v>
      </c>
      <c r="DU190" s="255">
        <v>5031.558</v>
      </c>
      <c r="DV190" s="255">
        <v>5327.5320000000002</v>
      </c>
      <c r="DW190" s="255">
        <v>5031.558</v>
      </c>
      <c r="DX190" s="255">
        <v>5327.5320000000002</v>
      </c>
      <c r="DY190" s="255">
        <v>5327.5320000000002</v>
      </c>
      <c r="DZ190" s="255">
        <v>5031.558</v>
      </c>
      <c r="EA190" s="255">
        <v>4735.5839999999998</v>
      </c>
      <c r="EB190" s="255">
        <v>5623.5060000000003</v>
      </c>
      <c r="EC190" s="255">
        <v>4735.5839999999998</v>
      </c>
      <c r="ED190" s="255">
        <v>5793.4800000000005</v>
      </c>
      <c r="EE190" s="255">
        <v>4878.72</v>
      </c>
      <c r="EF190" s="255">
        <v>5793.4800000000005</v>
      </c>
      <c r="EG190" s="255">
        <v>5793.4800000000005</v>
      </c>
      <c r="EH190" s="255">
        <v>4878.72</v>
      </c>
      <c r="EI190" s="255">
        <v>5488.56</v>
      </c>
      <c r="EJ190" s="255">
        <v>5183.6400000000003</v>
      </c>
      <c r="EK190" s="255">
        <v>5488.56</v>
      </c>
      <c r="EL190" s="255">
        <v>0</v>
      </c>
      <c r="EM190" s="255">
        <v>0</v>
      </c>
      <c r="EN190" s="255">
        <v>0</v>
      </c>
      <c r="EO190" s="255">
        <v>0</v>
      </c>
      <c r="EP190" s="255">
        <v>0</v>
      </c>
      <c r="EQ190" s="255">
        <v>0</v>
      </c>
      <c r="ER190" s="255">
        <v>0</v>
      </c>
      <c r="ES190" s="255">
        <v>0</v>
      </c>
      <c r="ET190" s="255">
        <v>0</v>
      </c>
      <c r="EU190" s="255">
        <v>0</v>
      </c>
      <c r="EV190" s="255">
        <v>0</v>
      </c>
      <c r="EW190" s="255">
        <v>0</v>
      </c>
      <c r="EX190" s="255">
        <v>0</v>
      </c>
      <c r="EY190" s="255">
        <v>0</v>
      </c>
      <c r="EZ190" s="255">
        <v>0</v>
      </c>
      <c r="FA190" s="255">
        <v>0</v>
      </c>
      <c r="FB190" s="255">
        <v>0</v>
      </c>
      <c r="FC190" s="255">
        <v>0</v>
      </c>
      <c r="FD190" s="255">
        <v>0</v>
      </c>
      <c r="FE190" s="255">
        <v>0</v>
      </c>
      <c r="FF190" s="255">
        <v>0</v>
      </c>
      <c r="FG190" s="255">
        <v>0</v>
      </c>
      <c r="FH190" s="255">
        <v>0</v>
      </c>
      <c r="FI190" s="255">
        <v>0</v>
      </c>
      <c r="FJ190" s="255">
        <v>0</v>
      </c>
      <c r="FK190" s="255">
        <v>0</v>
      </c>
      <c r="FL190" s="255">
        <v>0</v>
      </c>
      <c r="FM190" s="255">
        <v>0</v>
      </c>
      <c r="FN190" s="255">
        <v>0</v>
      </c>
      <c r="FO190" s="255">
        <v>0</v>
      </c>
      <c r="FP190" s="255">
        <v>0</v>
      </c>
      <c r="FQ190" s="255">
        <v>0</v>
      </c>
      <c r="FR190" s="255">
        <v>0</v>
      </c>
      <c r="FS190" s="255">
        <v>0</v>
      </c>
      <c r="FT190" s="255">
        <v>0</v>
      </c>
      <c r="FU190" s="255">
        <v>0</v>
      </c>
      <c r="FV190" s="255">
        <v>0</v>
      </c>
      <c r="FW190" s="255">
        <v>0</v>
      </c>
      <c r="FX190" s="116"/>
    </row>
    <row r="191" spans="2:180" x14ac:dyDescent="0.2">
      <c r="B191" s="253" t="s">
        <v>214</v>
      </c>
      <c r="C191" s="253" t="s">
        <v>324</v>
      </c>
      <c r="D191" s="253" t="s">
        <v>258</v>
      </c>
      <c r="E191" s="253" t="s">
        <v>127</v>
      </c>
      <c r="F191" s="253">
        <v>0</v>
      </c>
      <c r="G191" s="253" t="s">
        <v>322</v>
      </c>
      <c r="H191" s="237">
        <v>205.24</v>
      </c>
      <c r="I191" s="126">
        <f t="shared" si="87"/>
        <v>266490.53399999999</v>
      </c>
      <c r="J191" s="116"/>
      <c r="K191" s="254">
        <v>0</v>
      </c>
      <c r="L191" s="254">
        <v>0</v>
      </c>
      <c r="M191" s="254">
        <v>0</v>
      </c>
      <c r="N191" s="254">
        <v>0</v>
      </c>
      <c r="O191" s="254">
        <v>0</v>
      </c>
      <c r="P191" s="254">
        <v>0</v>
      </c>
      <c r="Q191" s="254">
        <v>0</v>
      </c>
      <c r="R191" s="254">
        <v>0</v>
      </c>
      <c r="S191" s="254">
        <v>0</v>
      </c>
      <c r="T191" s="254">
        <v>0</v>
      </c>
      <c r="U191" s="254">
        <v>0</v>
      </c>
      <c r="V191" s="254">
        <v>0</v>
      </c>
      <c r="W191" s="254">
        <v>0</v>
      </c>
      <c r="X191" s="254">
        <v>0</v>
      </c>
      <c r="Y191" s="254">
        <v>0</v>
      </c>
      <c r="Z191" s="254">
        <v>0</v>
      </c>
      <c r="AA191" s="254">
        <v>0.13026315789473686</v>
      </c>
      <c r="AB191" s="254">
        <v>0.13421052631578947</v>
      </c>
      <c r="AC191" s="254">
        <v>0.1842857142857143</v>
      </c>
      <c r="AD191" s="254">
        <v>0.13285714285714287</v>
      </c>
      <c r="AE191" s="254">
        <v>0.14571428571428571</v>
      </c>
      <c r="AF191" s="254">
        <v>0.14571428571428571</v>
      </c>
      <c r="AG191" s="254">
        <v>0.14142857142857143</v>
      </c>
      <c r="AH191" s="254">
        <v>0.16</v>
      </c>
      <c r="AI191" s="254">
        <v>0.26857142857142857</v>
      </c>
      <c r="AJ191" s="254">
        <v>0.13714285714285715</v>
      </c>
      <c r="AK191" s="254">
        <v>0.13714285714285715</v>
      </c>
      <c r="AL191" s="254">
        <v>0.2</v>
      </c>
      <c r="AM191" s="254">
        <v>0.15</v>
      </c>
      <c r="AN191" s="254">
        <v>0.14605263157894735</v>
      </c>
      <c r="AO191" s="254">
        <v>0.14571428571428571</v>
      </c>
      <c r="AP191" s="254">
        <v>0.14142857142857143</v>
      </c>
      <c r="AQ191" s="254">
        <v>0.14571428571428571</v>
      </c>
      <c r="AR191" s="254">
        <v>0.14571428571428571</v>
      </c>
      <c r="AS191" s="254">
        <v>0.17571428571428571</v>
      </c>
      <c r="AT191" s="254">
        <v>0.13714285714285715</v>
      </c>
      <c r="AU191" s="254">
        <v>0.24571428571428572</v>
      </c>
      <c r="AV191" s="254">
        <v>0.13714285714285715</v>
      </c>
      <c r="AW191" s="254">
        <v>0.15</v>
      </c>
      <c r="AX191" s="254">
        <v>0.18285714285714286</v>
      </c>
      <c r="AY191" s="254">
        <v>0.16973684210526316</v>
      </c>
      <c r="AZ191" s="254">
        <v>0.16973684210526316</v>
      </c>
      <c r="BA191" s="254">
        <v>0.13714285714285715</v>
      </c>
      <c r="BB191" s="254">
        <v>0.14571428571428571</v>
      </c>
      <c r="BC191" s="254">
        <v>0.14142857142857143</v>
      </c>
      <c r="BD191" s="254">
        <v>0.14571428571428571</v>
      </c>
      <c r="BE191" s="254">
        <v>0</v>
      </c>
      <c r="BF191" s="254">
        <v>0</v>
      </c>
      <c r="BG191" s="254">
        <v>0</v>
      </c>
      <c r="BH191" s="254">
        <v>0</v>
      </c>
      <c r="BI191" s="254">
        <v>0</v>
      </c>
      <c r="BJ191" s="254">
        <v>0</v>
      </c>
      <c r="BK191" s="254">
        <v>0</v>
      </c>
      <c r="BL191" s="254">
        <v>0</v>
      </c>
      <c r="BM191" s="254">
        <v>0</v>
      </c>
      <c r="BN191" s="254">
        <v>0</v>
      </c>
      <c r="BO191" s="254">
        <v>0</v>
      </c>
      <c r="BP191" s="254">
        <v>0</v>
      </c>
      <c r="BQ191" s="254">
        <v>0</v>
      </c>
      <c r="BR191" s="254">
        <v>0</v>
      </c>
      <c r="BS191" s="254">
        <v>0</v>
      </c>
      <c r="BT191" s="254">
        <v>0</v>
      </c>
      <c r="BU191" s="254">
        <v>0</v>
      </c>
      <c r="BV191" s="254">
        <v>0</v>
      </c>
      <c r="BW191" s="254">
        <v>0</v>
      </c>
      <c r="BX191" s="254">
        <v>0</v>
      </c>
      <c r="BY191" s="254">
        <v>0</v>
      </c>
      <c r="BZ191" s="254">
        <v>0</v>
      </c>
      <c r="CA191" s="254">
        <v>0</v>
      </c>
      <c r="CB191" s="254">
        <v>0</v>
      </c>
      <c r="CC191" s="254">
        <v>0</v>
      </c>
      <c r="CD191" s="254">
        <v>0</v>
      </c>
      <c r="CE191" s="254">
        <v>0</v>
      </c>
      <c r="CF191" s="254">
        <v>0</v>
      </c>
      <c r="CG191" s="254">
        <v>0</v>
      </c>
      <c r="CH191" s="254">
        <v>0</v>
      </c>
      <c r="CI191" s="254">
        <v>0</v>
      </c>
      <c r="CJ191" s="254">
        <v>0</v>
      </c>
      <c r="CK191" s="254">
        <v>0</v>
      </c>
      <c r="CL191" s="254">
        <v>0</v>
      </c>
      <c r="CM191" s="254">
        <v>0</v>
      </c>
      <c r="CN191" s="254">
        <v>0</v>
      </c>
      <c r="CO191" s="254">
        <v>0</v>
      </c>
      <c r="CP191" s="254">
        <v>0</v>
      </c>
      <c r="CQ191" s="116"/>
      <c r="CR191" s="255">
        <v>0</v>
      </c>
      <c r="CS191" s="255">
        <v>0</v>
      </c>
      <c r="CT191" s="255">
        <v>0</v>
      </c>
      <c r="CU191" s="255">
        <v>0</v>
      </c>
      <c r="CV191" s="255">
        <v>0</v>
      </c>
      <c r="CW191" s="255">
        <v>0</v>
      </c>
      <c r="CX191" s="255">
        <v>0</v>
      </c>
      <c r="CY191" s="255">
        <v>0</v>
      </c>
      <c r="CZ191" s="255">
        <v>0</v>
      </c>
      <c r="DA191" s="255">
        <v>0</v>
      </c>
      <c r="DB191" s="255">
        <v>0</v>
      </c>
      <c r="DC191" s="255">
        <v>0</v>
      </c>
      <c r="DD191" s="255">
        <v>0</v>
      </c>
      <c r="DE191" s="255">
        <v>0</v>
      </c>
      <c r="DF191" s="255">
        <v>0</v>
      </c>
      <c r="DG191" s="255">
        <v>0</v>
      </c>
      <c r="DH191" s="255">
        <v>8127.5040000000008</v>
      </c>
      <c r="DI191" s="255">
        <v>8373.7919999999995</v>
      </c>
      <c r="DJ191" s="255">
        <v>10590.384</v>
      </c>
      <c r="DK191" s="255">
        <v>7634.9280000000008</v>
      </c>
      <c r="DL191" s="255">
        <v>8373.7919999999995</v>
      </c>
      <c r="DM191" s="255">
        <v>8373.7919999999995</v>
      </c>
      <c r="DN191" s="255">
        <v>8127.5040000000008</v>
      </c>
      <c r="DO191" s="255">
        <v>6896.0640000000003</v>
      </c>
      <c r="DP191" s="255">
        <v>11575.536</v>
      </c>
      <c r="DQ191" s="255">
        <v>7881.2160000000003</v>
      </c>
      <c r="DR191" s="255">
        <v>8117.9519999999993</v>
      </c>
      <c r="DS191" s="255">
        <v>8879.01</v>
      </c>
      <c r="DT191" s="255">
        <v>9640.0680000000011</v>
      </c>
      <c r="DU191" s="255">
        <v>9386.3819999999996</v>
      </c>
      <c r="DV191" s="255">
        <v>8625.3239999999987</v>
      </c>
      <c r="DW191" s="255">
        <v>8371.6380000000008</v>
      </c>
      <c r="DX191" s="255">
        <v>8625.3239999999987</v>
      </c>
      <c r="DY191" s="255">
        <v>8625.3239999999987</v>
      </c>
      <c r="DZ191" s="255">
        <v>10401.126</v>
      </c>
      <c r="EA191" s="255">
        <v>6088.4639999999999</v>
      </c>
      <c r="EB191" s="255">
        <v>10908.498</v>
      </c>
      <c r="EC191" s="255">
        <v>8117.9519999999993</v>
      </c>
      <c r="ED191" s="255">
        <v>9147.6</v>
      </c>
      <c r="EE191" s="255">
        <v>8363.52</v>
      </c>
      <c r="EF191" s="255">
        <v>11238.480000000001</v>
      </c>
      <c r="EG191" s="255">
        <v>11238.480000000001</v>
      </c>
      <c r="EH191" s="255">
        <v>8363.52</v>
      </c>
      <c r="EI191" s="255">
        <v>8886.24</v>
      </c>
      <c r="EJ191" s="255">
        <v>8624.880000000001</v>
      </c>
      <c r="EK191" s="255">
        <v>8886.24</v>
      </c>
      <c r="EL191" s="255">
        <v>0</v>
      </c>
      <c r="EM191" s="255">
        <v>0</v>
      </c>
      <c r="EN191" s="255">
        <v>0</v>
      </c>
      <c r="EO191" s="255">
        <v>0</v>
      </c>
      <c r="EP191" s="255">
        <v>0</v>
      </c>
      <c r="EQ191" s="255">
        <v>0</v>
      </c>
      <c r="ER191" s="255">
        <v>0</v>
      </c>
      <c r="ES191" s="255">
        <v>0</v>
      </c>
      <c r="ET191" s="255">
        <v>0</v>
      </c>
      <c r="EU191" s="255">
        <v>0</v>
      </c>
      <c r="EV191" s="255">
        <v>0</v>
      </c>
      <c r="EW191" s="255">
        <v>0</v>
      </c>
      <c r="EX191" s="255">
        <v>0</v>
      </c>
      <c r="EY191" s="255">
        <v>0</v>
      </c>
      <c r="EZ191" s="255">
        <v>0</v>
      </c>
      <c r="FA191" s="255">
        <v>0</v>
      </c>
      <c r="FB191" s="255">
        <v>0</v>
      </c>
      <c r="FC191" s="255">
        <v>0</v>
      </c>
      <c r="FD191" s="255">
        <v>0</v>
      </c>
      <c r="FE191" s="255">
        <v>0</v>
      </c>
      <c r="FF191" s="255">
        <v>0</v>
      </c>
      <c r="FG191" s="255">
        <v>0</v>
      </c>
      <c r="FH191" s="255">
        <v>0</v>
      </c>
      <c r="FI191" s="255">
        <v>0</v>
      </c>
      <c r="FJ191" s="255">
        <v>0</v>
      </c>
      <c r="FK191" s="255">
        <v>0</v>
      </c>
      <c r="FL191" s="255">
        <v>0</v>
      </c>
      <c r="FM191" s="255">
        <v>0</v>
      </c>
      <c r="FN191" s="255">
        <v>0</v>
      </c>
      <c r="FO191" s="255">
        <v>0</v>
      </c>
      <c r="FP191" s="255">
        <v>0</v>
      </c>
      <c r="FQ191" s="255">
        <v>0</v>
      </c>
      <c r="FR191" s="255">
        <v>0</v>
      </c>
      <c r="FS191" s="255">
        <v>0</v>
      </c>
      <c r="FT191" s="255">
        <v>0</v>
      </c>
      <c r="FU191" s="255">
        <v>0</v>
      </c>
      <c r="FV191" s="255">
        <v>0</v>
      </c>
      <c r="FW191" s="255">
        <v>0</v>
      </c>
      <c r="FX191" s="116"/>
    </row>
    <row r="192" spans="2:180" x14ac:dyDescent="0.2">
      <c r="B192" s="253" t="s">
        <v>214</v>
      </c>
      <c r="C192" s="253" t="s">
        <v>324</v>
      </c>
      <c r="D192" s="253" t="s">
        <v>258</v>
      </c>
      <c r="E192" s="253" t="s">
        <v>127</v>
      </c>
      <c r="F192" s="253" t="s">
        <v>259</v>
      </c>
      <c r="G192" s="253" t="s">
        <v>260</v>
      </c>
      <c r="H192" s="237">
        <v>205.24</v>
      </c>
      <c r="I192" s="126">
        <f t="shared" si="87"/>
        <v>258110.5566666667</v>
      </c>
      <c r="J192" s="116"/>
      <c r="K192" s="254">
        <v>0</v>
      </c>
      <c r="L192" s="254">
        <v>0</v>
      </c>
      <c r="M192" s="254">
        <v>0</v>
      </c>
      <c r="N192" s="254">
        <v>0</v>
      </c>
      <c r="O192" s="254">
        <v>0</v>
      </c>
      <c r="P192" s="254">
        <v>0</v>
      </c>
      <c r="Q192" s="254">
        <v>0</v>
      </c>
      <c r="R192" s="254">
        <v>0</v>
      </c>
      <c r="S192" s="254">
        <v>0</v>
      </c>
      <c r="T192" s="254">
        <v>0</v>
      </c>
      <c r="U192" s="254">
        <v>0</v>
      </c>
      <c r="V192" s="254">
        <v>0</v>
      </c>
      <c r="W192" s="254">
        <v>0</v>
      </c>
      <c r="X192" s="254">
        <v>0</v>
      </c>
      <c r="Y192" s="254">
        <v>0</v>
      </c>
      <c r="Z192" s="254">
        <v>0</v>
      </c>
      <c r="AA192" s="254">
        <v>0.26096491228070173</v>
      </c>
      <c r="AB192" s="254">
        <v>0.27631578947368424</v>
      </c>
      <c r="AC192" s="254">
        <v>0.31666666666666671</v>
      </c>
      <c r="AD192" s="254">
        <v>0.25</v>
      </c>
      <c r="AE192" s="254">
        <v>0.3</v>
      </c>
      <c r="AF192" s="254">
        <v>0.3</v>
      </c>
      <c r="AG192" s="254">
        <v>0.28333333333333333</v>
      </c>
      <c r="AH192" s="254">
        <v>0.26666666666666666</v>
      </c>
      <c r="AI192" s="254">
        <v>0.51111111111111107</v>
      </c>
      <c r="AJ192" s="254">
        <v>0.26666666666666666</v>
      </c>
      <c r="AK192" s="254">
        <v>0.26666666666666666</v>
      </c>
      <c r="AL192" s="254">
        <v>0.42222222222222222</v>
      </c>
      <c r="AM192" s="254">
        <v>0.27631578947368424</v>
      </c>
      <c r="AN192" s="254">
        <v>0.26096491228070173</v>
      </c>
      <c r="AO192" s="254">
        <v>0.3</v>
      </c>
      <c r="AP192" s="254">
        <v>0.28333333333333333</v>
      </c>
      <c r="AQ192" s="254">
        <v>0.3</v>
      </c>
      <c r="AR192" s="254">
        <v>0.3</v>
      </c>
      <c r="AS192" s="254">
        <v>0.28333333333333333</v>
      </c>
      <c r="AT192" s="254">
        <v>0.35555555555555557</v>
      </c>
      <c r="AU192" s="254">
        <v>0.42222222222222222</v>
      </c>
      <c r="AV192" s="254">
        <v>0.26666666666666666</v>
      </c>
      <c r="AW192" s="254">
        <v>0.31666666666666671</v>
      </c>
      <c r="AX192" s="254">
        <v>0.35555555555555557</v>
      </c>
      <c r="AY192" s="254">
        <v>0.29166666666666669</v>
      </c>
      <c r="AZ192" s="254">
        <v>0.29166666666666669</v>
      </c>
      <c r="BA192" s="254">
        <v>0.26666666666666666</v>
      </c>
      <c r="BB192" s="254">
        <v>0.3</v>
      </c>
      <c r="BC192" s="254">
        <v>0.28333333333333333</v>
      </c>
      <c r="BD192" s="254">
        <v>0.3</v>
      </c>
      <c r="BE192" s="254">
        <v>0</v>
      </c>
      <c r="BF192" s="254">
        <v>0</v>
      </c>
      <c r="BG192" s="254">
        <v>0</v>
      </c>
      <c r="BH192" s="254">
        <v>0</v>
      </c>
      <c r="BI192" s="254">
        <v>0</v>
      </c>
      <c r="BJ192" s="254">
        <v>0</v>
      </c>
      <c r="BK192" s="254">
        <v>0</v>
      </c>
      <c r="BL192" s="254">
        <v>0</v>
      </c>
      <c r="BM192" s="254">
        <v>0</v>
      </c>
      <c r="BN192" s="254">
        <v>0</v>
      </c>
      <c r="BO192" s="254">
        <v>0</v>
      </c>
      <c r="BP192" s="254">
        <v>0</v>
      </c>
      <c r="BQ192" s="254">
        <v>0</v>
      </c>
      <c r="BR192" s="254">
        <v>0</v>
      </c>
      <c r="BS192" s="254">
        <v>0</v>
      </c>
      <c r="BT192" s="254">
        <v>0</v>
      </c>
      <c r="BU192" s="254">
        <v>0</v>
      </c>
      <c r="BV192" s="254">
        <v>0</v>
      </c>
      <c r="BW192" s="254">
        <v>0</v>
      </c>
      <c r="BX192" s="254">
        <v>0</v>
      </c>
      <c r="BY192" s="254">
        <v>0</v>
      </c>
      <c r="BZ192" s="254">
        <v>0</v>
      </c>
      <c r="CA192" s="254">
        <v>0</v>
      </c>
      <c r="CB192" s="254">
        <v>0</v>
      </c>
      <c r="CC192" s="254">
        <v>0</v>
      </c>
      <c r="CD192" s="254">
        <v>0</v>
      </c>
      <c r="CE192" s="254">
        <v>0</v>
      </c>
      <c r="CF192" s="254">
        <v>0</v>
      </c>
      <c r="CG192" s="254">
        <v>0</v>
      </c>
      <c r="CH192" s="254">
        <v>0</v>
      </c>
      <c r="CI192" s="254">
        <v>0</v>
      </c>
      <c r="CJ192" s="254">
        <v>0</v>
      </c>
      <c r="CK192" s="254">
        <v>0</v>
      </c>
      <c r="CL192" s="254">
        <v>0</v>
      </c>
      <c r="CM192" s="254">
        <v>0</v>
      </c>
      <c r="CN192" s="254">
        <v>0</v>
      </c>
      <c r="CO192" s="254">
        <v>0</v>
      </c>
      <c r="CP192" s="254">
        <v>0</v>
      </c>
      <c r="CQ192" s="116"/>
      <c r="CR192" s="255">
        <v>0</v>
      </c>
      <c r="CS192" s="255">
        <v>0</v>
      </c>
      <c r="CT192" s="255">
        <v>0</v>
      </c>
      <c r="CU192" s="255">
        <v>0</v>
      </c>
      <c r="CV192" s="255">
        <v>0</v>
      </c>
      <c r="CW192" s="255">
        <v>0</v>
      </c>
      <c r="CX192" s="255">
        <v>0</v>
      </c>
      <c r="CY192" s="255">
        <v>0</v>
      </c>
      <c r="CZ192" s="255">
        <v>0</v>
      </c>
      <c r="DA192" s="255">
        <v>0</v>
      </c>
      <c r="DB192" s="255">
        <v>0</v>
      </c>
      <c r="DC192" s="255">
        <v>0</v>
      </c>
      <c r="DD192" s="255">
        <v>0</v>
      </c>
      <c r="DE192" s="255">
        <v>0</v>
      </c>
      <c r="DF192" s="255">
        <v>0</v>
      </c>
      <c r="DG192" s="255">
        <v>0</v>
      </c>
      <c r="DH192" s="255">
        <v>8141.1866666666665</v>
      </c>
      <c r="DI192" s="255">
        <v>8620.08</v>
      </c>
      <c r="DJ192" s="255">
        <v>9098.9733333333334</v>
      </c>
      <c r="DK192" s="255">
        <v>7183.4000000000005</v>
      </c>
      <c r="DL192" s="255">
        <v>8620.08</v>
      </c>
      <c r="DM192" s="255">
        <v>8620.08</v>
      </c>
      <c r="DN192" s="255">
        <v>8141.1866666666665</v>
      </c>
      <c r="DO192" s="255">
        <v>5746.72</v>
      </c>
      <c r="DP192" s="255">
        <v>11014.546666666667</v>
      </c>
      <c r="DQ192" s="255">
        <v>7662.293333333334</v>
      </c>
      <c r="DR192" s="255">
        <v>7892.64</v>
      </c>
      <c r="DS192" s="255">
        <v>9372.51</v>
      </c>
      <c r="DT192" s="255">
        <v>8879.2199999999993</v>
      </c>
      <c r="DU192" s="255">
        <v>8385.9299999999985</v>
      </c>
      <c r="DV192" s="255">
        <v>8879.2199999999993</v>
      </c>
      <c r="DW192" s="255">
        <v>8385.9299999999985</v>
      </c>
      <c r="DX192" s="255">
        <v>8879.2199999999993</v>
      </c>
      <c r="DY192" s="255">
        <v>8879.2199999999993</v>
      </c>
      <c r="DZ192" s="255">
        <v>8385.9299999999985</v>
      </c>
      <c r="EA192" s="255">
        <v>7892.64</v>
      </c>
      <c r="EB192" s="255">
        <v>9372.51</v>
      </c>
      <c r="EC192" s="255">
        <v>7892.64</v>
      </c>
      <c r="ED192" s="255">
        <v>9655.8000000000011</v>
      </c>
      <c r="EE192" s="255">
        <v>8131.2000000000007</v>
      </c>
      <c r="EF192" s="255">
        <v>9655.8000000000011</v>
      </c>
      <c r="EG192" s="255">
        <v>9655.8000000000011</v>
      </c>
      <c r="EH192" s="255">
        <v>8131.2000000000007</v>
      </c>
      <c r="EI192" s="255">
        <v>9147.6</v>
      </c>
      <c r="EJ192" s="255">
        <v>8639.4</v>
      </c>
      <c r="EK192" s="255">
        <v>9147.6</v>
      </c>
      <c r="EL192" s="255">
        <v>0</v>
      </c>
      <c r="EM192" s="255">
        <v>0</v>
      </c>
      <c r="EN192" s="255">
        <v>0</v>
      </c>
      <c r="EO192" s="255">
        <v>0</v>
      </c>
      <c r="EP192" s="255">
        <v>0</v>
      </c>
      <c r="EQ192" s="255">
        <v>0</v>
      </c>
      <c r="ER192" s="255">
        <v>0</v>
      </c>
      <c r="ES192" s="255">
        <v>0</v>
      </c>
      <c r="ET192" s="255">
        <v>0</v>
      </c>
      <c r="EU192" s="255">
        <v>0</v>
      </c>
      <c r="EV192" s="255">
        <v>0</v>
      </c>
      <c r="EW192" s="255">
        <v>0</v>
      </c>
      <c r="EX192" s="255">
        <v>0</v>
      </c>
      <c r="EY192" s="255">
        <v>0</v>
      </c>
      <c r="EZ192" s="255">
        <v>0</v>
      </c>
      <c r="FA192" s="255">
        <v>0</v>
      </c>
      <c r="FB192" s="255">
        <v>0</v>
      </c>
      <c r="FC192" s="255">
        <v>0</v>
      </c>
      <c r="FD192" s="255">
        <v>0</v>
      </c>
      <c r="FE192" s="255">
        <v>0</v>
      </c>
      <c r="FF192" s="255">
        <v>0</v>
      </c>
      <c r="FG192" s="255">
        <v>0</v>
      </c>
      <c r="FH192" s="255">
        <v>0</v>
      </c>
      <c r="FI192" s="255">
        <v>0</v>
      </c>
      <c r="FJ192" s="255">
        <v>0</v>
      </c>
      <c r="FK192" s="255">
        <v>0</v>
      </c>
      <c r="FL192" s="255">
        <v>0</v>
      </c>
      <c r="FM192" s="255">
        <v>0</v>
      </c>
      <c r="FN192" s="255">
        <v>0</v>
      </c>
      <c r="FO192" s="255">
        <v>0</v>
      </c>
      <c r="FP192" s="255">
        <v>0</v>
      </c>
      <c r="FQ192" s="255">
        <v>0</v>
      </c>
      <c r="FR192" s="255">
        <v>0</v>
      </c>
      <c r="FS192" s="255">
        <v>0</v>
      </c>
      <c r="FT192" s="255">
        <v>0</v>
      </c>
      <c r="FU192" s="255">
        <v>0</v>
      </c>
      <c r="FV192" s="255">
        <v>0</v>
      </c>
      <c r="FW192" s="255">
        <v>0</v>
      </c>
      <c r="FX192" s="116"/>
    </row>
    <row r="193" spans="2:180" x14ac:dyDescent="0.2">
      <c r="B193" s="253" t="s">
        <v>214</v>
      </c>
      <c r="C193" s="253" t="s">
        <v>324</v>
      </c>
      <c r="D193" s="253" t="s">
        <v>258</v>
      </c>
      <c r="E193" s="253" t="s">
        <v>127</v>
      </c>
      <c r="F193" s="253">
        <v>0</v>
      </c>
      <c r="G193" s="253" t="s">
        <v>322</v>
      </c>
      <c r="H193" s="237">
        <v>205.24</v>
      </c>
      <c r="I193" s="126">
        <f t="shared" si="87"/>
        <v>444150.89000000013</v>
      </c>
      <c r="J193" s="116"/>
      <c r="K193" s="254">
        <v>0</v>
      </c>
      <c r="L193" s="254">
        <v>0</v>
      </c>
      <c r="M193" s="254">
        <v>0</v>
      </c>
      <c r="N193" s="254">
        <v>0</v>
      </c>
      <c r="O193" s="254">
        <v>0</v>
      </c>
      <c r="P193" s="254">
        <v>0</v>
      </c>
      <c r="Q193" s="254">
        <v>0</v>
      </c>
      <c r="R193" s="254">
        <v>0</v>
      </c>
      <c r="S193" s="254">
        <v>0</v>
      </c>
      <c r="T193" s="254">
        <v>0</v>
      </c>
      <c r="U193" s="254">
        <v>0</v>
      </c>
      <c r="V193" s="254">
        <v>0</v>
      </c>
      <c r="W193" s="254">
        <v>0</v>
      </c>
      <c r="X193" s="254">
        <v>0</v>
      </c>
      <c r="Y193" s="254">
        <v>0</v>
      </c>
      <c r="Z193" s="254">
        <v>0</v>
      </c>
      <c r="AA193" s="254">
        <v>0.21710526315789475</v>
      </c>
      <c r="AB193" s="254">
        <v>0.22368421052631579</v>
      </c>
      <c r="AC193" s="254">
        <v>0.30714285714285716</v>
      </c>
      <c r="AD193" s="254">
        <v>0.22142857142857142</v>
      </c>
      <c r="AE193" s="254">
        <v>0.24285714285714285</v>
      </c>
      <c r="AF193" s="254">
        <v>0.24285714285714285</v>
      </c>
      <c r="AG193" s="254">
        <v>0.23571428571428571</v>
      </c>
      <c r="AH193" s="254">
        <v>0.26666666666666666</v>
      </c>
      <c r="AI193" s="254">
        <v>0.44761904761904764</v>
      </c>
      <c r="AJ193" s="254">
        <v>0.22857142857142856</v>
      </c>
      <c r="AK193" s="254">
        <v>0.22857142857142856</v>
      </c>
      <c r="AL193" s="254">
        <v>0.33333333333333331</v>
      </c>
      <c r="AM193" s="254">
        <v>0.25</v>
      </c>
      <c r="AN193" s="254">
        <v>0.24342105263157895</v>
      </c>
      <c r="AO193" s="254">
        <v>0.24285714285714285</v>
      </c>
      <c r="AP193" s="254">
        <v>0.23571428571428571</v>
      </c>
      <c r="AQ193" s="254">
        <v>0.24285714285714285</v>
      </c>
      <c r="AR193" s="254">
        <v>0.24285714285714285</v>
      </c>
      <c r="AS193" s="254">
        <v>0.29285714285714287</v>
      </c>
      <c r="AT193" s="254">
        <v>0.22857142857142856</v>
      </c>
      <c r="AU193" s="254">
        <v>0.40952380952380951</v>
      </c>
      <c r="AV193" s="254">
        <v>0.22857142857142856</v>
      </c>
      <c r="AW193" s="254">
        <v>0.25</v>
      </c>
      <c r="AX193" s="254">
        <v>0.30476190476190479</v>
      </c>
      <c r="AY193" s="254">
        <v>0.28289473684210525</v>
      </c>
      <c r="AZ193" s="254">
        <v>0.28289473684210525</v>
      </c>
      <c r="BA193" s="254">
        <v>0.22857142857142856</v>
      </c>
      <c r="BB193" s="254">
        <v>0.24285714285714285</v>
      </c>
      <c r="BC193" s="254">
        <v>0.23571428571428571</v>
      </c>
      <c r="BD193" s="254">
        <v>0.24285714285714285</v>
      </c>
      <c r="BE193" s="254">
        <v>0</v>
      </c>
      <c r="BF193" s="254">
        <v>0</v>
      </c>
      <c r="BG193" s="254">
        <v>0</v>
      </c>
      <c r="BH193" s="254">
        <v>0</v>
      </c>
      <c r="BI193" s="254">
        <v>0</v>
      </c>
      <c r="BJ193" s="254">
        <v>0</v>
      </c>
      <c r="BK193" s="254">
        <v>0</v>
      </c>
      <c r="BL193" s="254">
        <v>0</v>
      </c>
      <c r="BM193" s="254">
        <v>0</v>
      </c>
      <c r="BN193" s="254">
        <v>0</v>
      </c>
      <c r="BO193" s="254">
        <v>0</v>
      </c>
      <c r="BP193" s="254">
        <v>0</v>
      </c>
      <c r="BQ193" s="254">
        <v>0</v>
      </c>
      <c r="BR193" s="254">
        <v>0</v>
      </c>
      <c r="BS193" s="254">
        <v>0</v>
      </c>
      <c r="BT193" s="254">
        <v>0</v>
      </c>
      <c r="BU193" s="254">
        <v>0</v>
      </c>
      <c r="BV193" s="254">
        <v>0</v>
      </c>
      <c r="BW193" s="254">
        <v>0</v>
      </c>
      <c r="BX193" s="254">
        <v>0</v>
      </c>
      <c r="BY193" s="254">
        <v>0</v>
      </c>
      <c r="BZ193" s="254">
        <v>0</v>
      </c>
      <c r="CA193" s="254">
        <v>0</v>
      </c>
      <c r="CB193" s="254">
        <v>0</v>
      </c>
      <c r="CC193" s="254">
        <v>0</v>
      </c>
      <c r="CD193" s="254">
        <v>0</v>
      </c>
      <c r="CE193" s="254">
        <v>0</v>
      </c>
      <c r="CF193" s="254">
        <v>0</v>
      </c>
      <c r="CG193" s="254">
        <v>0</v>
      </c>
      <c r="CH193" s="254">
        <v>0</v>
      </c>
      <c r="CI193" s="254">
        <v>0</v>
      </c>
      <c r="CJ193" s="254">
        <v>0</v>
      </c>
      <c r="CK193" s="254">
        <v>0</v>
      </c>
      <c r="CL193" s="254">
        <v>0</v>
      </c>
      <c r="CM193" s="254">
        <v>0</v>
      </c>
      <c r="CN193" s="254">
        <v>0</v>
      </c>
      <c r="CO193" s="254">
        <v>0</v>
      </c>
      <c r="CP193" s="254">
        <v>0</v>
      </c>
      <c r="CQ193" s="116"/>
      <c r="CR193" s="255">
        <v>0</v>
      </c>
      <c r="CS193" s="255">
        <v>0</v>
      </c>
      <c r="CT193" s="255">
        <v>0</v>
      </c>
      <c r="CU193" s="255">
        <v>0</v>
      </c>
      <c r="CV193" s="255">
        <v>0</v>
      </c>
      <c r="CW193" s="255">
        <v>0</v>
      </c>
      <c r="CX193" s="255">
        <v>0</v>
      </c>
      <c r="CY193" s="255">
        <v>0</v>
      </c>
      <c r="CZ193" s="255">
        <v>0</v>
      </c>
      <c r="DA193" s="255">
        <v>0</v>
      </c>
      <c r="DB193" s="255">
        <v>0</v>
      </c>
      <c r="DC193" s="255">
        <v>0</v>
      </c>
      <c r="DD193" s="255">
        <v>0</v>
      </c>
      <c r="DE193" s="255">
        <v>0</v>
      </c>
      <c r="DF193" s="255">
        <v>0</v>
      </c>
      <c r="DG193" s="255">
        <v>0</v>
      </c>
      <c r="DH193" s="255">
        <v>13545.84</v>
      </c>
      <c r="DI193" s="255">
        <v>13956.32</v>
      </c>
      <c r="DJ193" s="255">
        <v>17650.64</v>
      </c>
      <c r="DK193" s="255">
        <v>12724.880000000001</v>
      </c>
      <c r="DL193" s="255">
        <v>13956.32</v>
      </c>
      <c r="DM193" s="255">
        <v>13956.32</v>
      </c>
      <c r="DN193" s="255">
        <v>13545.84</v>
      </c>
      <c r="DO193" s="255">
        <v>11493.44</v>
      </c>
      <c r="DP193" s="255">
        <v>19292.560000000001</v>
      </c>
      <c r="DQ193" s="255">
        <v>13135.36</v>
      </c>
      <c r="DR193" s="255">
        <v>13529.92</v>
      </c>
      <c r="DS193" s="255">
        <v>14798.35</v>
      </c>
      <c r="DT193" s="255">
        <v>16066.78</v>
      </c>
      <c r="DU193" s="255">
        <v>15643.97</v>
      </c>
      <c r="DV193" s="255">
        <v>14375.54</v>
      </c>
      <c r="DW193" s="255">
        <v>13952.73</v>
      </c>
      <c r="DX193" s="255">
        <v>14375.54</v>
      </c>
      <c r="DY193" s="255">
        <v>14375.54</v>
      </c>
      <c r="DZ193" s="255">
        <v>17335.21</v>
      </c>
      <c r="EA193" s="255">
        <v>10147.44</v>
      </c>
      <c r="EB193" s="255">
        <v>18180.830000000002</v>
      </c>
      <c r="EC193" s="255">
        <v>13529.92</v>
      </c>
      <c r="ED193" s="255">
        <v>15246</v>
      </c>
      <c r="EE193" s="255">
        <v>13939.2</v>
      </c>
      <c r="EF193" s="255">
        <v>18730.8</v>
      </c>
      <c r="EG193" s="255">
        <v>18730.8</v>
      </c>
      <c r="EH193" s="255">
        <v>13939.2</v>
      </c>
      <c r="EI193" s="255">
        <v>14810.400000000001</v>
      </c>
      <c r="EJ193" s="255">
        <v>14374.800000000001</v>
      </c>
      <c r="EK193" s="255">
        <v>14810.400000000001</v>
      </c>
      <c r="EL193" s="255">
        <v>0</v>
      </c>
      <c r="EM193" s="255">
        <v>0</v>
      </c>
      <c r="EN193" s="255">
        <v>0</v>
      </c>
      <c r="EO193" s="255">
        <v>0</v>
      </c>
      <c r="EP193" s="255">
        <v>0</v>
      </c>
      <c r="EQ193" s="255">
        <v>0</v>
      </c>
      <c r="ER193" s="255">
        <v>0</v>
      </c>
      <c r="ES193" s="255">
        <v>0</v>
      </c>
      <c r="ET193" s="255">
        <v>0</v>
      </c>
      <c r="EU193" s="255">
        <v>0</v>
      </c>
      <c r="EV193" s="255">
        <v>0</v>
      </c>
      <c r="EW193" s="255">
        <v>0</v>
      </c>
      <c r="EX193" s="255">
        <v>0</v>
      </c>
      <c r="EY193" s="255">
        <v>0</v>
      </c>
      <c r="EZ193" s="255">
        <v>0</v>
      </c>
      <c r="FA193" s="255">
        <v>0</v>
      </c>
      <c r="FB193" s="255">
        <v>0</v>
      </c>
      <c r="FC193" s="255">
        <v>0</v>
      </c>
      <c r="FD193" s="255">
        <v>0</v>
      </c>
      <c r="FE193" s="255">
        <v>0</v>
      </c>
      <c r="FF193" s="255">
        <v>0</v>
      </c>
      <c r="FG193" s="255">
        <v>0</v>
      </c>
      <c r="FH193" s="255">
        <v>0</v>
      </c>
      <c r="FI193" s="255">
        <v>0</v>
      </c>
      <c r="FJ193" s="255">
        <v>0</v>
      </c>
      <c r="FK193" s="255">
        <v>0</v>
      </c>
      <c r="FL193" s="255">
        <v>0</v>
      </c>
      <c r="FM193" s="255">
        <v>0</v>
      </c>
      <c r="FN193" s="255">
        <v>0</v>
      </c>
      <c r="FO193" s="255">
        <v>0</v>
      </c>
      <c r="FP193" s="255">
        <v>0</v>
      </c>
      <c r="FQ193" s="255">
        <v>0</v>
      </c>
      <c r="FR193" s="255">
        <v>0</v>
      </c>
      <c r="FS193" s="255">
        <v>0</v>
      </c>
      <c r="FT193" s="255">
        <v>0</v>
      </c>
      <c r="FU193" s="255">
        <v>0</v>
      </c>
      <c r="FV193" s="255">
        <v>0</v>
      </c>
      <c r="FW193" s="255">
        <v>0</v>
      </c>
      <c r="FX193" s="116"/>
    </row>
    <row r="194" spans="2:180" x14ac:dyDescent="0.2">
      <c r="B194" s="253" t="s">
        <v>231</v>
      </c>
      <c r="C194" s="253" t="s">
        <v>301</v>
      </c>
      <c r="D194" s="253" t="s">
        <v>258</v>
      </c>
      <c r="E194" s="253" t="s">
        <v>127</v>
      </c>
      <c r="F194" s="253" t="s">
        <v>259</v>
      </c>
      <c r="G194" s="253" t="s">
        <v>260</v>
      </c>
      <c r="H194" s="237">
        <v>210.04</v>
      </c>
      <c r="I194" s="126">
        <f t="shared" si="87"/>
        <v>164376.84200000003</v>
      </c>
      <c r="J194" s="116"/>
      <c r="K194" s="254">
        <v>0</v>
      </c>
      <c r="L194" s="254">
        <v>0</v>
      </c>
      <c r="M194" s="254">
        <v>0</v>
      </c>
      <c r="N194" s="254">
        <v>0</v>
      </c>
      <c r="O194" s="254">
        <v>0</v>
      </c>
      <c r="P194" s="254">
        <v>0</v>
      </c>
      <c r="Q194" s="254">
        <v>0</v>
      </c>
      <c r="R194" s="254">
        <v>0</v>
      </c>
      <c r="S194" s="254">
        <v>0</v>
      </c>
      <c r="T194" s="254">
        <v>0</v>
      </c>
      <c r="U194" s="254">
        <v>0</v>
      </c>
      <c r="V194" s="254">
        <v>0</v>
      </c>
      <c r="W194" s="254">
        <v>0</v>
      </c>
      <c r="X194" s="254">
        <v>0</v>
      </c>
      <c r="Y194" s="254">
        <v>0.1</v>
      </c>
      <c r="Z194" s="254">
        <v>0.13333333333333333</v>
      </c>
      <c r="AA194" s="254">
        <v>0.15657894736842107</v>
      </c>
      <c r="AB194" s="254">
        <v>0.16578947368421051</v>
      </c>
      <c r="AC194" s="254">
        <v>0.19</v>
      </c>
      <c r="AD194" s="254">
        <v>0.15</v>
      </c>
      <c r="AE194" s="254">
        <v>0.18</v>
      </c>
      <c r="AF194" s="254">
        <v>0.18</v>
      </c>
      <c r="AG194" s="254">
        <v>0.17</v>
      </c>
      <c r="AH194" s="254">
        <v>0.16</v>
      </c>
      <c r="AI194" s="254">
        <v>0.3066666666666667</v>
      </c>
      <c r="AJ194" s="254">
        <v>0.16</v>
      </c>
      <c r="AK194" s="254">
        <v>0.16</v>
      </c>
      <c r="AL194" s="254">
        <v>0.25333333333333335</v>
      </c>
      <c r="AM194" s="254">
        <v>0.16578947368421051</v>
      </c>
      <c r="AN194" s="254">
        <v>0.15657894736842107</v>
      </c>
      <c r="AO194" s="254">
        <v>0.18</v>
      </c>
      <c r="AP194" s="254">
        <v>0.17</v>
      </c>
      <c r="AQ194" s="254">
        <v>0.18</v>
      </c>
      <c r="AR194" s="254">
        <v>0.18</v>
      </c>
      <c r="AS194" s="254">
        <v>0.17</v>
      </c>
      <c r="AT194" s="254">
        <v>0.21333333333333332</v>
      </c>
      <c r="AU194" s="254">
        <v>0.25333333333333335</v>
      </c>
      <c r="AV194" s="254">
        <v>0.16</v>
      </c>
      <c r="AW194" s="254">
        <v>0.19</v>
      </c>
      <c r="AX194" s="254">
        <v>0.21333333333333332</v>
      </c>
      <c r="AY194" s="254">
        <v>0.17500000000000002</v>
      </c>
      <c r="AZ194" s="254">
        <v>0.17500000000000002</v>
      </c>
      <c r="BA194" s="254">
        <v>0.16</v>
      </c>
      <c r="BB194" s="254">
        <v>0.18</v>
      </c>
      <c r="BC194" s="254">
        <v>0.17</v>
      </c>
      <c r="BD194" s="254">
        <v>0.18</v>
      </c>
      <c r="BE194" s="254">
        <v>0</v>
      </c>
      <c r="BF194" s="254">
        <v>0</v>
      </c>
      <c r="BG194" s="254">
        <v>0</v>
      </c>
      <c r="BH194" s="254">
        <v>0</v>
      </c>
      <c r="BI194" s="254">
        <v>0</v>
      </c>
      <c r="BJ194" s="254">
        <v>0</v>
      </c>
      <c r="BK194" s="254">
        <v>0</v>
      </c>
      <c r="BL194" s="254">
        <v>0</v>
      </c>
      <c r="BM194" s="254">
        <v>0</v>
      </c>
      <c r="BN194" s="254">
        <v>0</v>
      </c>
      <c r="BO194" s="254">
        <v>0</v>
      </c>
      <c r="BP194" s="254">
        <v>0</v>
      </c>
      <c r="BQ194" s="254">
        <v>0</v>
      </c>
      <c r="BR194" s="254">
        <v>0</v>
      </c>
      <c r="BS194" s="254">
        <v>0</v>
      </c>
      <c r="BT194" s="254">
        <v>0</v>
      </c>
      <c r="BU194" s="254">
        <v>0</v>
      </c>
      <c r="BV194" s="254">
        <v>0</v>
      </c>
      <c r="BW194" s="254">
        <v>0</v>
      </c>
      <c r="BX194" s="254">
        <v>0</v>
      </c>
      <c r="BY194" s="254">
        <v>0</v>
      </c>
      <c r="BZ194" s="254">
        <v>0</v>
      </c>
      <c r="CA194" s="254">
        <v>0</v>
      </c>
      <c r="CB194" s="254">
        <v>0</v>
      </c>
      <c r="CC194" s="254">
        <v>0</v>
      </c>
      <c r="CD194" s="254">
        <v>0</v>
      </c>
      <c r="CE194" s="254">
        <v>0</v>
      </c>
      <c r="CF194" s="254">
        <v>0</v>
      </c>
      <c r="CG194" s="254">
        <v>0</v>
      </c>
      <c r="CH194" s="254">
        <v>0</v>
      </c>
      <c r="CI194" s="254">
        <v>0</v>
      </c>
      <c r="CJ194" s="254">
        <v>0</v>
      </c>
      <c r="CK194" s="254">
        <v>0</v>
      </c>
      <c r="CL194" s="254">
        <v>0</v>
      </c>
      <c r="CM194" s="254">
        <v>0</v>
      </c>
      <c r="CN194" s="254">
        <v>0</v>
      </c>
      <c r="CO194" s="254">
        <v>0</v>
      </c>
      <c r="CP194" s="254">
        <v>0</v>
      </c>
      <c r="CQ194" s="116"/>
      <c r="CR194" s="255">
        <v>0</v>
      </c>
      <c r="CS194" s="255">
        <v>0</v>
      </c>
      <c r="CT194" s="255">
        <v>0</v>
      </c>
      <c r="CU194" s="255">
        <v>0</v>
      </c>
      <c r="CV194" s="255">
        <v>0</v>
      </c>
      <c r="CW194" s="255">
        <v>0</v>
      </c>
      <c r="CX194" s="255">
        <v>0</v>
      </c>
      <c r="CY194" s="255">
        <v>0</v>
      </c>
      <c r="CZ194" s="255">
        <v>0</v>
      </c>
      <c r="DA194" s="255">
        <v>0</v>
      </c>
      <c r="DB194" s="255">
        <v>0</v>
      </c>
      <c r="DC194" s="255">
        <v>0</v>
      </c>
      <c r="DD194" s="255">
        <v>0</v>
      </c>
      <c r="DE194" s="255">
        <v>0</v>
      </c>
      <c r="DF194" s="255">
        <v>2940.56</v>
      </c>
      <c r="DG194" s="255">
        <v>2940.56</v>
      </c>
      <c r="DH194" s="255">
        <v>4998.9520000000002</v>
      </c>
      <c r="DI194" s="255">
        <v>5293.0079999999998</v>
      </c>
      <c r="DJ194" s="255">
        <v>5587.0640000000003</v>
      </c>
      <c r="DK194" s="255">
        <v>4410.84</v>
      </c>
      <c r="DL194" s="255">
        <v>5293.0079999999998</v>
      </c>
      <c r="DM194" s="255">
        <v>5293.0079999999998</v>
      </c>
      <c r="DN194" s="255">
        <v>4998.9520000000002</v>
      </c>
      <c r="DO194" s="255">
        <v>3528.672</v>
      </c>
      <c r="DP194" s="255">
        <v>6763.2880000000005</v>
      </c>
      <c r="DQ194" s="255">
        <v>4704.8959999999997</v>
      </c>
      <c r="DR194" s="255">
        <v>4848.0320000000002</v>
      </c>
      <c r="DS194" s="255">
        <v>5757.0380000000005</v>
      </c>
      <c r="DT194" s="255">
        <v>5454.0360000000001</v>
      </c>
      <c r="DU194" s="255">
        <v>5151.0340000000006</v>
      </c>
      <c r="DV194" s="255">
        <v>5454.0360000000001</v>
      </c>
      <c r="DW194" s="255">
        <v>5151.0340000000006</v>
      </c>
      <c r="DX194" s="255">
        <v>5454.0360000000001</v>
      </c>
      <c r="DY194" s="255">
        <v>5454.0360000000001</v>
      </c>
      <c r="DZ194" s="255">
        <v>5151.0340000000006</v>
      </c>
      <c r="EA194" s="255">
        <v>4848.0320000000002</v>
      </c>
      <c r="EB194" s="255">
        <v>5757.0380000000005</v>
      </c>
      <c r="EC194" s="255">
        <v>4848.0320000000002</v>
      </c>
      <c r="ED194" s="255">
        <v>5927.0119999999997</v>
      </c>
      <c r="EE194" s="255">
        <v>4991.1679999999997</v>
      </c>
      <c r="EF194" s="255">
        <v>5927.0119999999997</v>
      </c>
      <c r="EG194" s="255">
        <v>5927.0119999999997</v>
      </c>
      <c r="EH194" s="255">
        <v>4991.1679999999997</v>
      </c>
      <c r="EI194" s="255">
        <v>5615.0639999999994</v>
      </c>
      <c r="EJ194" s="255">
        <v>5303.116</v>
      </c>
      <c r="EK194" s="255">
        <v>5615.0639999999994</v>
      </c>
      <c r="EL194" s="255">
        <v>0</v>
      </c>
      <c r="EM194" s="255">
        <v>0</v>
      </c>
      <c r="EN194" s="255">
        <v>0</v>
      </c>
      <c r="EO194" s="255">
        <v>0</v>
      </c>
      <c r="EP194" s="255">
        <v>0</v>
      </c>
      <c r="EQ194" s="255">
        <v>0</v>
      </c>
      <c r="ER194" s="255">
        <v>0</v>
      </c>
      <c r="ES194" s="255">
        <v>0</v>
      </c>
      <c r="ET194" s="255">
        <v>0</v>
      </c>
      <c r="EU194" s="255">
        <v>0</v>
      </c>
      <c r="EV194" s="255">
        <v>0</v>
      </c>
      <c r="EW194" s="255">
        <v>0</v>
      </c>
      <c r="EX194" s="255">
        <v>0</v>
      </c>
      <c r="EY194" s="255">
        <v>0</v>
      </c>
      <c r="EZ194" s="255">
        <v>0</v>
      </c>
      <c r="FA194" s="255">
        <v>0</v>
      </c>
      <c r="FB194" s="255">
        <v>0</v>
      </c>
      <c r="FC194" s="255">
        <v>0</v>
      </c>
      <c r="FD194" s="255">
        <v>0</v>
      </c>
      <c r="FE194" s="255">
        <v>0</v>
      </c>
      <c r="FF194" s="255">
        <v>0</v>
      </c>
      <c r="FG194" s="255">
        <v>0</v>
      </c>
      <c r="FH194" s="255">
        <v>0</v>
      </c>
      <c r="FI194" s="255">
        <v>0</v>
      </c>
      <c r="FJ194" s="255">
        <v>0</v>
      </c>
      <c r="FK194" s="255">
        <v>0</v>
      </c>
      <c r="FL194" s="255">
        <v>0</v>
      </c>
      <c r="FM194" s="255">
        <v>0</v>
      </c>
      <c r="FN194" s="255">
        <v>0</v>
      </c>
      <c r="FO194" s="255">
        <v>0</v>
      </c>
      <c r="FP194" s="255">
        <v>0</v>
      </c>
      <c r="FQ194" s="255">
        <v>0</v>
      </c>
      <c r="FR194" s="255">
        <v>0</v>
      </c>
      <c r="FS194" s="255">
        <v>0</v>
      </c>
      <c r="FT194" s="255">
        <v>0</v>
      </c>
      <c r="FU194" s="255">
        <v>0</v>
      </c>
      <c r="FV194" s="255">
        <v>0</v>
      </c>
      <c r="FW194" s="255">
        <v>0</v>
      </c>
      <c r="FX194" s="116"/>
    </row>
    <row r="195" spans="2:180" x14ac:dyDescent="0.2">
      <c r="B195" s="253" t="s">
        <v>231</v>
      </c>
      <c r="C195" s="253" t="s">
        <v>301</v>
      </c>
      <c r="D195" s="253" t="s">
        <v>258</v>
      </c>
      <c r="E195" s="253" t="s">
        <v>127</v>
      </c>
      <c r="F195" s="253">
        <v>0</v>
      </c>
      <c r="G195" s="253" t="s">
        <v>322</v>
      </c>
      <c r="H195" s="237">
        <v>210.04</v>
      </c>
      <c r="I195" s="126">
        <f t="shared" si="87"/>
        <v>272736.054</v>
      </c>
      <c r="J195" s="116"/>
      <c r="K195" s="254">
        <v>0</v>
      </c>
      <c r="L195" s="254">
        <v>0</v>
      </c>
      <c r="M195" s="254">
        <v>0</v>
      </c>
      <c r="N195" s="254">
        <v>0</v>
      </c>
      <c r="O195" s="254">
        <v>0</v>
      </c>
      <c r="P195" s="254">
        <v>0</v>
      </c>
      <c r="Q195" s="254">
        <v>0</v>
      </c>
      <c r="R195" s="254">
        <v>0</v>
      </c>
      <c r="S195" s="254">
        <v>0</v>
      </c>
      <c r="T195" s="254">
        <v>0</v>
      </c>
      <c r="U195" s="254">
        <v>0</v>
      </c>
      <c r="V195" s="254">
        <v>0</v>
      </c>
      <c r="W195" s="254">
        <v>0</v>
      </c>
      <c r="X195" s="254">
        <v>0</v>
      </c>
      <c r="Y195" s="254">
        <v>0</v>
      </c>
      <c r="Z195" s="254">
        <v>0</v>
      </c>
      <c r="AA195" s="254">
        <v>0.13026315789473686</v>
      </c>
      <c r="AB195" s="254">
        <v>0.13421052631578947</v>
      </c>
      <c r="AC195" s="254">
        <v>0.1842857142857143</v>
      </c>
      <c r="AD195" s="254">
        <v>0.13285714285714287</v>
      </c>
      <c r="AE195" s="254">
        <v>0.14571428571428571</v>
      </c>
      <c r="AF195" s="254">
        <v>0.14571428571428571</v>
      </c>
      <c r="AG195" s="254">
        <v>0.14142857142857143</v>
      </c>
      <c r="AH195" s="254">
        <v>0.16</v>
      </c>
      <c r="AI195" s="254">
        <v>0.26857142857142857</v>
      </c>
      <c r="AJ195" s="254">
        <v>0.13714285714285715</v>
      </c>
      <c r="AK195" s="254">
        <v>0.13714285714285715</v>
      </c>
      <c r="AL195" s="254">
        <v>0.2</v>
      </c>
      <c r="AM195" s="254">
        <v>0.15</v>
      </c>
      <c r="AN195" s="254">
        <v>0.14605263157894735</v>
      </c>
      <c r="AO195" s="254">
        <v>0.14571428571428571</v>
      </c>
      <c r="AP195" s="254">
        <v>0.14142857142857143</v>
      </c>
      <c r="AQ195" s="254">
        <v>0.14571428571428571</v>
      </c>
      <c r="AR195" s="254">
        <v>0.14571428571428571</v>
      </c>
      <c r="AS195" s="254">
        <v>0.17571428571428571</v>
      </c>
      <c r="AT195" s="254">
        <v>0.13714285714285715</v>
      </c>
      <c r="AU195" s="254">
        <v>0.24571428571428572</v>
      </c>
      <c r="AV195" s="254">
        <v>0.13714285714285715</v>
      </c>
      <c r="AW195" s="254">
        <v>0.15</v>
      </c>
      <c r="AX195" s="254">
        <v>0.18285714285714286</v>
      </c>
      <c r="AY195" s="254">
        <v>0.16973684210526316</v>
      </c>
      <c r="AZ195" s="254">
        <v>0.16973684210526316</v>
      </c>
      <c r="BA195" s="254">
        <v>0.13714285714285715</v>
      </c>
      <c r="BB195" s="254">
        <v>0.14571428571428571</v>
      </c>
      <c r="BC195" s="254">
        <v>0.14142857142857143</v>
      </c>
      <c r="BD195" s="254">
        <v>0.14571428571428571</v>
      </c>
      <c r="BE195" s="254">
        <v>0</v>
      </c>
      <c r="BF195" s="254">
        <v>0</v>
      </c>
      <c r="BG195" s="254">
        <v>0</v>
      </c>
      <c r="BH195" s="254">
        <v>0</v>
      </c>
      <c r="BI195" s="254">
        <v>0</v>
      </c>
      <c r="BJ195" s="254">
        <v>0</v>
      </c>
      <c r="BK195" s="254">
        <v>0</v>
      </c>
      <c r="BL195" s="254">
        <v>0</v>
      </c>
      <c r="BM195" s="254">
        <v>0</v>
      </c>
      <c r="BN195" s="254">
        <v>0</v>
      </c>
      <c r="BO195" s="254">
        <v>0</v>
      </c>
      <c r="BP195" s="254">
        <v>0</v>
      </c>
      <c r="BQ195" s="254">
        <v>0</v>
      </c>
      <c r="BR195" s="254">
        <v>0</v>
      </c>
      <c r="BS195" s="254">
        <v>0</v>
      </c>
      <c r="BT195" s="254">
        <v>0</v>
      </c>
      <c r="BU195" s="254">
        <v>0</v>
      </c>
      <c r="BV195" s="254">
        <v>0</v>
      </c>
      <c r="BW195" s="254">
        <v>0</v>
      </c>
      <c r="BX195" s="254">
        <v>0</v>
      </c>
      <c r="BY195" s="254">
        <v>0</v>
      </c>
      <c r="BZ195" s="254">
        <v>0</v>
      </c>
      <c r="CA195" s="254">
        <v>0</v>
      </c>
      <c r="CB195" s="254">
        <v>0</v>
      </c>
      <c r="CC195" s="254">
        <v>0</v>
      </c>
      <c r="CD195" s="254">
        <v>0</v>
      </c>
      <c r="CE195" s="254">
        <v>0</v>
      </c>
      <c r="CF195" s="254">
        <v>0</v>
      </c>
      <c r="CG195" s="254">
        <v>0</v>
      </c>
      <c r="CH195" s="254">
        <v>0</v>
      </c>
      <c r="CI195" s="254">
        <v>0</v>
      </c>
      <c r="CJ195" s="254">
        <v>0</v>
      </c>
      <c r="CK195" s="254">
        <v>0</v>
      </c>
      <c r="CL195" s="254">
        <v>0</v>
      </c>
      <c r="CM195" s="254">
        <v>0</v>
      </c>
      <c r="CN195" s="254">
        <v>0</v>
      </c>
      <c r="CO195" s="254">
        <v>0</v>
      </c>
      <c r="CP195" s="254">
        <v>0</v>
      </c>
      <c r="CQ195" s="116"/>
      <c r="CR195" s="255">
        <v>0</v>
      </c>
      <c r="CS195" s="255">
        <v>0</v>
      </c>
      <c r="CT195" s="255">
        <v>0</v>
      </c>
      <c r="CU195" s="255">
        <v>0</v>
      </c>
      <c r="CV195" s="255">
        <v>0</v>
      </c>
      <c r="CW195" s="255">
        <v>0</v>
      </c>
      <c r="CX195" s="255">
        <v>0</v>
      </c>
      <c r="CY195" s="255">
        <v>0</v>
      </c>
      <c r="CZ195" s="255">
        <v>0</v>
      </c>
      <c r="DA195" s="255">
        <v>0</v>
      </c>
      <c r="DB195" s="255">
        <v>0</v>
      </c>
      <c r="DC195" s="255">
        <v>0</v>
      </c>
      <c r="DD195" s="255">
        <v>0</v>
      </c>
      <c r="DE195" s="255">
        <v>0</v>
      </c>
      <c r="DF195" s="255">
        <v>0</v>
      </c>
      <c r="DG195" s="255">
        <v>0</v>
      </c>
      <c r="DH195" s="255">
        <v>8317.3860000000004</v>
      </c>
      <c r="DI195" s="255">
        <v>8569.4279999999999</v>
      </c>
      <c r="DJ195" s="255">
        <v>10837.806</v>
      </c>
      <c r="DK195" s="255">
        <v>7813.3020000000006</v>
      </c>
      <c r="DL195" s="255">
        <v>8569.4279999999999</v>
      </c>
      <c r="DM195" s="255">
        <v>8569.4279999999999</v>
      </c>
      <c r="DN195" s="255">
        <v>8317.3860000000004</v>
      </c>
      <c r="DO195" s="255">
        <v>7057.1760000000004</v>
      </c>
      <c r="DP195" s="255">
        <v>11845.974</v>
      </c>
      <c r="DQ195" s="255">
        <v>8065.3439999999991</v>
      </c>
      <c r="DR195" s="255">
        <v>8310.9120000000003</v>
      </c>
      <c r="DS195" s="255">
        <v>9090.06</v>
      </c>
      <c r="DT195" s="255">
        <v>9869.2080000000005</v>
      </c>
      <c r="DU195" s="255">
        <v>9609.4920000000002</v>
      </c>
      <c r="DV195" s="255">
        <v>8830.3439999999991</v>
      </c>
      <c r="DW195" s="255">
        <v>8570.6280000000006</v>
      </c>
      <c r="DX195" s="255">
        <v>8830.3439999999991</v>
      </c>
      <c r="DY195" s="255">
        <v>8830.3439999999991</v>
      </c>
      <c r="DZ195" s="255">
        <v>10648.356000000002</v>
      </c>
      <c r="EA195" s="255">
        <v>6233.1840000000002</v>
      </c>
      <c r="EB195" s="255">
        <v>11167.788</v>
      </c>
      <c r="EC195" s="255">
        <v>8310.9120000000003</v>
      </c>
      <c r="ED195" s="255">
        <v>9358.44</v>
      </c>
      <c r="EE195" s="255">
        <v>8556.2879999999986</v>
      </c>
      <c r="EF195" s="255">
        <v>11497.512000000001</v>
      </c>
      <c r="EG195" s="255">
        <v>11497.512000000001</v>
      </c>
      <c r="EH195" s="255">
        <v>8556.2879999999986</v>
      </c>
      <c r="EI195" s="255">
        <v>9091.0559999999987</v>
      </c>
      <c r="EJ195" s="255">
        <v>8823.6720000000005</v>
      </c>
      <c r="EK195" s="255">
        <v>9091.0559999999987</v>
      </c>
      <c r="EL195" s="255">
        <v>0</v>
      </c>
      <c r="EM195" s="255">
        <v>0</v>
      </c>
      <c r="EN195" s="255">
        <v>0</v>
      </c>
      <c r="EO195" s="255">
        <v>0</v>
      </c>
      <c r="EP195" s="255">
        <v>0</v>
      </c>
      <c r="EQ195" s="255">
        <v>0</v>
      </c>
      <c r="ER195" s="255">
        <v>0</v>
      </c>
      <c r="ES195" s="255">
        <v>0</v>
      </c>
      <c r="ET195" s="255">
        <v>0</v>
      </c>
      <c r="EU195" s="255">
        <v>0</v>
      </c>
      <c r="EV195" s="255">
        <v>0</v>
      </c>
      <c r="EW195" s="255">
        <v>0</v>
      </c>
      <c r="EX195" s="255">
        <v>0</v>
      </c>
      <c r="EY195" s="255">
        <v>0</v>
      </c>
      <c r="EZ195" s="255">
        <v>0</v>
      </c>
      <c r="FA195" s="255">
        <v>0</v>
      </c>
      <c r="FB195" s="255">
        <v>0</v>
      </c>
      <c r="FC195" s="255">
        <v>0</v>
      </c>
      <c r="FD195" s="255">
        <v>0</v>
      </c>
      <c r="FE195" s="255">
        <v>0</v>
      </c>
      <c r="FF195" s="255">
        <v>0</v>
      </c>
      <c r="FG195" s="255">
        <v>0</v>
      </c>
      <c r="FH195" s="255">
        <v>0</v>
      </c>
      <c r="FI195" s="255">
        <v>0</v>
      </c>
      <c r="FJ195" s="255">
        <v>0</v>
      </c>
      <c r="FK195" s="255">
        <v>0</v>
      </c>
      <c r="FL195" s="255">
        <v>0</v>
      </c>
      <c r="FM195" s="255">
        <v>0</v>
      </c>
      <c r="FN195" s="255">
        <v>0</v>
      </c>
      <c r="FO195" s="255">
        <v>0</v>
      </c>
      <c r="FP195" s="255">
        <v>0</v>
      </c>
      <c r="FQ195" s="255">
        <v>0</v>
      </c>
      <c r="FR195" s="255">
        <v>0</v>
      </c>
      <c r="FS195" s="255">
        <v>0</v>
      </c>
      <c r="FT195" s="255">
        <v>0</v>
      </c>
      <c r="FU195" s="255">
        <v>0</v>
      </c>
      <c r="FV195" s="255">
        <v>0</v>
      </c>
      <c r="FW195" s="255">
        <v>0</v>
      </c>
      <c r="FX195" s="116"/>
    </row>
    <row r="196" spans="2:180" x14ac:dyDescent="0.2">
      <c r="B196" s="253" t="s">
        <v>231</v>
      </c>
      <c r="C196" s="253" t="s">
        <v>301</v>
      </c>
      <c r="D196" s="253" t="s">
        <v>258</v>
      </c>
      <c r="E196" s="253" t="s">
        <v>127</v>
      </c>
      <c r="F196" s="253" t="s">
        <v>263</v>
      </c>
      <c r="G196" s="253" t="s">
        <v>260</v>
      </c>
      <c r="H196" s="237">
        <v>210.04</v>
      </c>
      <c r="I196" s="126">
        <f t="shared" si="87"/>
        <v>158495.72200000007</v>
      </c>
      <c r="J196" s="116"/>
      <c r="K196" s="254">
        <v>0</v>
      </c>
      <c r="L196" s="254">
        <v>0</v>
      </c>
      <c r="M196" s="254">
        <v>0</v>
      </c>
      <c r="N196" s="254">
        <v>0</v>
      </c>
      <c r="O196" s="254">
        <v>0</v>
      </c>
      <c r="P196" s="254">
        <v>0</v>
      </c>
      <c r="Q196" s="254">
        <v>0</v>
      </c>
      <c r="R196" s="254">
        <v>0</v>
      </c>
      <c r="S196" s="254">
        <v>0</v>
      </c>
      <c r="T196" s="254">
        <v>0</v>
      </c>
      <c r="U196" s="254">
        <v>0</v>
      </c>
      <c r="V196" s="254">
        <v>0</v>
      </c>
      <c r="W196" s="254">
        <v>0</v>
      </c>
      <c r="X196" s="254">
        <v>0</v>
      </c>
      <c r="Y196" s="254">
        <v>0</v>
      </c>
      <c r="Z196" s="254">
        <v>0</v>
      </c>
      <c r="AA196" s="254">
        <v>0.15657894736842107</v>
      </c>
      <c r="AB196" s="254">
        <v>0.16578947368421051</v>
      </c>
      <c r="AC196" s="254">
        <v>0.19</v>
      </c>
      <c r="AD196" s="254">
        <v>0.15</v>
      </c>
      <c r="AE196" s="254">
        <v>0.18</v>
      </c>
      <c r="AF196" s="254">
        <v>0.18</v>
      </c>
      <c r="AG196" s="254">
        <v>0.17</v>
      </c>
      <c r="AH196" s="254">
        <v>0.16</v>
      </c>
      <c r="AI196" s="254">
        <v>0.3066666666666667</v>
      </c>
      <c r="AJ196" s="254">
        <v>0.16</v>
      </c>
      <c r="AK196" s="254">
        <v>0.16</v>
      </c>
      <c r="AL196" s="254">
        <v>0.25333333333333335</v>
      </c>
      <c r="AM196" s="254">
        <v>0.16578947368421051</v>
      </c>
      <c r="AN196" s="254">
        <v>0.15657894736842107</v>
      </c>
      <c r="AO196" s="254">
        <v>0.18</v>
      </c>
      <c r="AP196" s="254">
        <v>0.17</v>
      </c>
      <c r="AQ196" s="254">
        <v>0.18</v>
      </c>
      <c r="AR196" s="254">
        <v>0.18</v>
      </c>
      <c r="AS196" s="254">
        <v>0.17</v>
      </c>
      <c r="AT196" s="254">
        <v>0.21333333333333332</v>
      </c>
      <c r="AU196" s="254">
        <v>0.25333333333333335</v>
      </c>
      <c r="AV196" s="254">
        <v>0.16</v>
      </c>
      <c r="AW196" s="254">
        <v>0.19</v>
      </c>
      <c r="AX196" s="254">
        <v>0.21333333333333332</v>
      </c>
      <c r="AY196" s="254">
        <v>0.17500000000000002</v>
      </c>
      <c r="AZ196" s="254">
        <v>0.17500000000000002</v>
      </c>
      <c r="BA196" s="254">
        <v>0.16</v>
      </c>
      <c r="BB196" s="254">
        <v>0.18</v>
      </c>
      <c r="BC196" s="254">
        <v>0.17</v>
      </c>
      <c r="BD196" s="254">
        <v>0.18</v>
      </c>
      <c r="BE196" s="254">
        <v>0</v>
      </c>
      <c r="BF196" s="254">
        <v>0</v>
      </c>
      <c r="BG196" s="254">
        <v>0</v>
      </c>
      <c r="BH196" s="254">
        <v>0</v>
      </c>
      <c r="BI196" s="254">
        <v>0</v>
      </c>
      <c r="BJ196" s="254">
        <v>0</v>
      </c>
      <c r="BK196" s="254">
        <v>0</v>
      </c>
      <c r="BL196" s="254">
        <v>0</v>
      </c>
      <c r="BM196" s="254">
        <v>0</v>
      </c>
      <c r="BN196" s="254">
        <v>0</v>
      </c>
      <c r="BO196" s="254">
        <v>0</v>
      </c>
      <c r="BP196" s="254">
        <v>0</v>
      </c>
      <c r="BQ196" s="254">
        <v>0</v>
      </c>
      <c r="BR196" s="254">
        <v>0</v>
      </c>
      <c r="BS196" s="254">
        <v>0</v>
      </c>
      <c r="BT196" s="254">
        <v>0</v>
      </c>
      <c r="BU196" s="254">
        <v>0</v>
      </c>
      <c r="BV196" s="254">
        <v>0</v>
      </c>
      <c r="BW196" s="254">
        <v>0</v>
      </c>
      <c r="BX196" s="254">
        <v>0</v>
      </c>
      <c r="BY196" s="254">
        <v>0</v>
      </c>
      <c r="BZ196" s="254">
        <v>0</v>
      </c>
      <c r="CA196" s="254">
        <v>0</v>
      </c>
      <c r="CB196" s="254">
        <v>0</v>
      </c>
      <c r="CC196" s="254">
        <v>0</v>
      </c>
      <c r="CD196" s="254">
        <v>0</v>
      </c>
      <c r="CE196" s="254">
        <v>0</v>
      </c>
      <c r="CF196" s="254">
        <v>0</v>
      </c>
      <c r="CG196" s="254">
        <v>0</v>
      </c>
      <c r="CH196" s="254">
        <v>0</v>
      </c>
      <c r="CI196" s="254">
        <v>0</v>
      </c>
      <c r="CJ196" s="254">
        <v>0</v>
      </c>
      <c r="CK196" s="254">
        <v>0</v>
      </c>
      <c r="CL196" s="254">
        <v>0</v>
      </c>
      <c r="CM196" s="254">
        <v>0</v>
      </c>
      <c r="CN196" s="254">
        <v>0</v>
      </c>
      <c r="CO196" s="254">
        <v>0</v>
      </c>
      <c r="CP196" s="254">
        <v>0</v>
      </c>
      <c r="CQ196" s="116"/>
      <c r="CR196" s="255">
        <v>0</v>
      </c>
      <c r="CS196" s="255">
        <v>0</v>
      </c>
      <c r="CT196" s="255">
        <v>0</v>
      </c>
      <c r="CU196" s="255">
        <v>0</v>
      </c>
      <c r="CV196" s="255">
        <v>0</v>
      </c>
      <c r="CW196" s="255">
        <v>0</v>
      </c>
      <c r="CX196" s="255">
        <v>0</v>
      </c>
      <c r="CY196" s="255">
        <v>0</v>
      </c>
      <c r="CZ196" s="255">
        <v>0</v>
      </c>
      <c r="DA196" s="255">
        <v>0</v>
      </c>
      <c r="DB196" s="255">
        <v>0</v>
      </c>
      <c r="DC196" s="255">
        <v>0</v>
      </c>
      <c r="DD196" s="255">
        <v>0</v>
      </c>
      <c r="DE196" s="255">
        <v>0</v>
      </c>
      <c r="DF196" s="255">
        <v>0</v>
      </c>
      <c r="DG196" s="255">
        <v>0</v>
      </c>
      <c r="DH196" s="255">
        <v>4998.9520000000002</v>
      </c>
      <c r="DI196" s="255">
        <v>5293.0079999999998</v>
      </c>
      <c r="DJ196" s="255">
        <v>5587.0640000000003</v>
      </c>
      <c r="DK196" s="255">
        <v>4410.84</v>
      </c>
      <c r="DL196" s="255">
        <v>5293.0079999999998</v>
      </c>
      <c r="DM196" s="255">
        <v>5293.0079999999998</v>
      </c>
      <c r="DN196" s="255">
        <v>4998.9520000000002</v>
      </c>
      <c r="DO196" s="255">
        <v>3528.672</v>
      </c>
      <c r="DP196" s="255">
        <v>6763.2880000000005</v>
      </c>
      <c r="DQ196" s="255">
        <v>4704.8959999999997</v>
      </c>
      <c r="DR196" s="255">
        <v>4848.0320000000002</v>
      </c>
      <c r="DS196" s="255">
        <v>5757.0380000000005</v>
      </c>
      <c r="DT196" s="255">
        <v>5454.0360000000001</v>
      </c>
      <c r="DU196" s="255">
        <v>5151.0340000000006</v>
      </c>
      <c r="DV196" s="255">
        <v>5454.0360000000001</v>
      </c>
      <c r="DW196" s="255">
        <v>5151.0340000000006</v>
      </c>
      <c r="DX196" s="255">
        <v>5454.0360000000001</v>
      </c>
      <c r="DY196" s="255">
        <v>5454.0360000000001</v>
      </c>
      <c r="DZ196" s="255">
        <v>5151.0340000000006</v>
      </c>
      <c r="EA196" s="255">
        <v>4848.0320000000002</v>
      </c>
      <c r="EB196" s="255">
        <v>5757.0380000000005</v>
      </c>
      <c r="EC196" s="255">
        <v>4848.0320000000002</v>
      </c>
      <c r="ED196" s="255">
        <v>5927.0119999999997</v>
      </c>
      <c r="EE196" s="255">
        <v>4991.1679999999997</v>
      </c>
      <c r="EF196" s="255">
        <v>5927.0119999999997</v>
      </c>
      <c r="EG196" s="255">
        <v>5927.0119999999997</v>
      </c>
      <c r="EH196" s="255">
        <v>4991.1679999999997</v>
      </c>
      <c r="EI196" s="255">
        <v>5615.0639999999994</v>
      </c>
      <c r="EJ196" s="255">
        <v>5303.116</v>
      </c>
      <c r="EK196" s="255">
        <v>5615.0639999999994</v>
      </c>
      <c r="EL196" s="255">
        <v>0</v>
      </c>
      <c r="EM196" s="255">
        <v>0</v>
      </c>
      <c r="EN196" s="255">
        <v>0</v>
      </c>
      <c r="EO196" s="255">
        <v>0</v>
      </c>
      <c r="EP196" s="255">
        <v>0</v>
      </c>
      <c r="EQ196" s="255">
        <v>0</v>
      </c>
      <c r="ER196" s="255">
        <v>0</v>
      </c>
      <c r="ES196" s="255">
        <v>0</v>
      </c>
      <c r="ET196" s="255">
        <v>0</v>
      </c>
      <c r="EU196" s="255">
        <v>0</v>
      </c>
      <c r="EV196" s="255">
        <v>0</v>
      </c>
      <c r="EW196" s="255">
        <v>0</v>
      </c>
      <c r="EX196" s="255">
        <v>0</v>
      </c>
      <c r="EY196" s="255">
        <v>0</v>
      </c>
      <c r="EZ196" s="255">
        <v>0</v>
      </c>
      <c r="FA196" s="255">
        <v>0</v>
      </c>
      <c r="FB196" s="255">
        <v>0</v>
      </c>
      <c r="FC196" s="255">
        <v>0</v>
      </c>
      <c r="FD196" s="255">
        <v>0</v>
      </c>
      <c r="FE196" s="255">
        <v>0</v>
      </c>
      <c r="FF196" s="255">
        <v>0</v>
      </c>
      <c r="FG196" s="255">
        <v>0</v>
      </c>
      <c r="FH196" s="255">
        <v>0</v>
      </c>
      <c r="FI196" s="255">
        <v>0</v>
      </c>
      <c r="FJ196" s="255">
        <v>0</v>
      </c>
      <c r="FK196" s="255">
        <v>0</v>
      </c>
      <c r="FL196" s="255">
        <v>0</v>
      </c>
      <c r="FM196" s="255">
        <v>0</v>
      </c>
      <c r="FN196" s="255">
        <v>0</v>
      </c>
      <c r="FO196" s="255">
        <v>0</v>
      </c>
      <c r="FP196" s="255">
        <v>0</v>
      </c>
      <c r="FQ196" s="255">
        <v>0</v>
      </c>
      <c r="FR196" s="255">
        <v>0</v>
      </c>
      <c r="FS196" s="255">
        <v>0</v>
      </c>
      <c r="FT196" s="255">
        <v>0</v>
      </c>
      <c r="FU196" s="255">
        <v>0</v>
      </c>
      <c r="FV196" s="255">
        <v>0</v>
      </c>
      <c r="FW196" s="255">
        <v>0</v>
      </c>
      <c r="FX196" s="116"/>
    </row>
    <row r="197" spans="2:180" x14ac:dyDescent="0.2">
      <c r="B197" s="253" t="s">
        <v>231</v>
      </c>
      <c r="C197" s="253" t="s">
        <v>301</v>
      </c>
      <c r="D197" s="253" t="s">
        <v>258</v>
      </c>
      <c r="E197" s="253" t="s">
        <v>127</v>
      </c>
      <c r="F197" s="253">
        <v>0</v>
      </c>
      <c r="G197" s="253" t="s">
        <v>322</v>
      </c>
      <c r="H197" s="237">
        <v>210.04</v>
      </c>
      <c r="I197" s="126">
        <f t="shared" si="87"/>
        <v>272736.054</v>
      </c>
      <c r="J197" s="116"/>
      <c r="K197" s="254">
        <v>0</v>
      </c>
      <c r="L197" s="254">
        <v>0</v>
      </c>
      <c r="M197" s="254">
        <v>0</v>
      </c>
      <c r="N197" s="254">
        <v>0</v>
      </c>
      <c r="O197" s="254">
        <v>0</v>
      </c>
      <c r="P197" s="254">
        <v>0</v>
      </c>
      <c r="Q197" s="254">
        <v>0</v>
      </c>
      <c r="R197" s="254">
        <v>0</v>
      </c>
      <c r="S197" s="254">
        <v>0</v>
      </c>
      <c r="T197" s="254">
        <v>0</v>
      </c>
      <c r="U197" s="254">
        <v>0</v>
      </c>
      <c r="V197" s="254">
        <v>0</v>
      </c>
      <c r="W197" s="254">
        <v>0</v>
      </c>
      <c r="X197" s="254">
        <v>0</v>
      </c>
      <c r="Y197" s="254">
        <v>0</v>
      </c>
      <c r="Z197" s="254">
        <v>0</v>
      </c>
      <c r="AA197" s="254">
        <v>0.13026315789473686</v>
      </c>
      <c r="AB197" s="254">
        <v>0.13421052631578947</v>
      </c>
      <c r="AC197" s="254">
        <v>0.1842857142857143</v>
      </c>
      <c r="AD197" s="254">
        <v>0.13285714285714287</v>
      </c>
      <c r="AE197" s="254">
        <v>0.14571428571428571</v>
      </c>
      <c r="AF197" s="254">
        <v>0.14571428571428571</v>
      </c>
      <c r="AG197" s="254">
        <v>0.14142857142857143</v>
      </c>
      <c r="AH197" s="254">
        <v>0.16</v>
      </c>
      <c r="AI197" s="254">
        <v>0.26857142857142857</v>
      </c>
      <c r="AJ197" s="254">
        <v>0.13714285714285715</v>
      </c>
      <c r="AK197" s="254">
        <v>0.13714285714285715</v>
      </c>
      <c r="AL197" s="254">
        <v>0.2</v>
      </c>
      <c r="AM197" s="254">
        <v>0.15</v>
      </c>
      <c r="AN197" s="254">
        <v>0.14605263157894735</v>
      </c>
      <c r="AO197" s="254">
        <v>0.14571428571428571</v>
      </c>
      <c r="AP197" s="254">
        <v>0.14142857142857143</v>
      </c>
      <c r="AQ197" s="254">
        <v>0.14571428571428571</v>
      </c>
      <c r="AR197" s="254">
        <v>0.14571428571428571</v>
      </c>
      <c r="AS197" s="254">
        <v>0.17571428571428571</v>
      </c>
      <c r="AT197" s="254">
        <v>0.13714285714285715</v>
      </c>
      <c r="AU197" s="254">
        <v>0.24571428571428572</v>
      </c>
      <c r="AV197" s="254">
        <v>0.13714285714285715</v>
      </c>
      <c r="AW197" s="254">
        <v>0.15</v>
      </c>
      <c r="AX197" s="254">
        <v>0.18285714285714286</v>
      </c>
      <c r="AY197" s="254">
        <v>0.16973684210526316</v>
      </c>
      <c r="AZ197" s="254">
        <v>0.16973684210526316</v>
      </c>
      <c r="BA197" s="254">
        <v>0.13714285714285715</v>
      </c>
      <c r="BB197" s="254">
        <v>0.14571428571428571</v>
      </c>
      <c r="BC197" s="254">
        <v>0.14142857142857143</v>
      </c>
      <c r="BD197" s="254">
        <v>0.14571428571428571</v>
      </c>
      <c r="BE197" s="254">
        <v>0</v>
      </c>
      <c r="BF197" s="254">
        <v>0</v>
      </c>
      <c r="BG197" s="254">
        <v>0</v>
      </c>
      <c r="BH197" s="254">
        <v>0</v>
      </c>
      <c r="BI197" s="254">
        <v>0</v>
      </c>
      <c r="BJ197" s="254">
        <v>0</v>
      </c>
      <c r="BK197" s="254">
        <v>0</v>
      </c>
      <c r="BL197" s="254">
        <v>0</v>
      </c>
      <c r="BM197" s="254">
        <v>0</v>
      </c>
      <c r="BN197" s="254">
        <v>0</v>
      </c>
      <c r="BO197" s="254">
        <v>0</v>
      </c>
      <c r="BP197" s="254">
        <v>0</v>
      </c>
      <c r="BQ197" s="254">
        <v>0</v>
      </c>
      <c r="BR197" s="254">
        <v>0</v>
      </c>
      <c r="BS197" s="254">
        <v>0</v>
      </c>
      <c r="BT197" s="254">
        <v>0</v>
      </c>
      <c r="BU197" s="254">
        <v>0</v>
      </c>
      <c r="BV197" s="254">
        <v>0</v>
      </c>
      <c r="BW197" s="254">
        <v>0</v>
      </c>
      <c r="BX197" s="254">
        <v>0</v>
      </c>
      <c r="BY197" s="254">
        <v>0</v>
      </c>
      <c r="BZ197" s="254">
        <v>0</v>
      </c>
      <c r="CA197" s="254">
        <v>0</v>
      </c>
      <c r="CB197" s="254">
        <v>0</v>
      </c>
      <c r="CC197" s="254">
        <v>0</v>
      </c>
      <c r="CD197" s="254">
        <v>0</v>
      </c>
      <c r="CE197" s="254">
        <v>0</v>
      </c>
      <c r="CF197" s="254">
        <v>0</v>
      </c>
      <c r="CG197" s="254">
        <v>0</v>
      </c>
      <c r="CH197" s="254">
        <v>0</v>
      </c>
      <c r="CI197" s="254">
        <v>0</v>
      </c>
      <c r="CJ197" s="254">
        <v>0</v>
      </c>
      <c r="CK197" s="254">
        <v>0</v>
      </c>
      <c r="CL197" s="254">
        <v>0</v>
      </c>
      <c r="CM197" s="254">
        <v>0</v>
      </c>
      <c r="CN197" s="254">
        <v>0</v>
      </c>
      <c r="CO197" s="254">
        <v>0</v>
      </c>
      <c r="CP197" s="254">
        <v>0</v>
      </c>
      <c r="CQ197" s="116"/>
      <c r="CR197" s="255">
        <v>0</v>
      </c>
      <c r="CS197" s="255">
        <v>0</v>
      </c>
      <c r="CT197" s="255">
        <v>0</v>
      </c>
      <c r="CU197" s="255">
        <v>0</v>
      </c>
      <c r="CV197" s="255">
        <v>0</v>
      </c>
      <c r="CW197" s="255">
        <v>0</v>
      </c>
      <c r="CX197" s="255">
        <v>0</v>
      </c>
      <c r="CY197" s="255">
        <v>0</v>
      </c>
      <c r="CZ197" s="255">
        <v>0</v>
      </c>
      <c r="DA197" s="255">
        <v>0</v>
      </c>
      <c r="DB197" s="255">
        <v>0</v>
      </c>
      <c r="DC197" s="255">
        <v>0</v>
      </c>
      <c r="DD197" s="255">
        <v>0</v>
      </c>
      <c r="DE197" s="255">
        <v>0</v>
      </c>
      <c r="DF197" s="255">
        <v>0</v>
      </c>
      <c r="DG197" s="255">
        <v>0</v>
      </c>
      <c r="DH197" s="255">
        <v>8317.3860000000004</v>
      </c>
      <c r="DI197" s="255">
        <v>8569.4279999999999</v>
      </c>
      <c r="DJ197" s="255">
        <v>10837.806</v>
      </c>
      <c r="DK197" s="255">
        <v>7813.3020000000006</v>
      </c>
      <c r="DL197" s="255">
        <v>8569.4279999999999</v>
      </c>
      <c r="DM197" s="255">
        <v>8569.4279999999999</v>
      </c>
      <c r="DN197" s="255">
        <v>8317.3860000000004</v>
      </c>
      <c r="DO197" s="255">
        <v>7057.1760000000004</v>
      </c>
      <c r="DP197" s="255">
        <v>11845.974</v>
      </c>
      <c r="DQ197" s="255">
        <v>8065.3439999999991</v>
      </c>
      <c r="DR197" s="255">
        <v>8310.9120000000003</v>
      </c>
      <c r="DS197" s="255">
        <v>9090.06</v>
      </c>
      <c r="DT197" s="255">
        <v>9869.2080000000005</v>
      </c>
      <c r="DU197" s="255">
        <v>9609.4920000000002</v>
      </c>
      <c r="DV197" s="255">
        <v>8830.3439999999991</v>
      </c>
      <c r="DW197" s="255">
        <v>8570.6280000000006</v>
      </c>
      <c r="DX197" s="255">
        <v>8830.3439999999991</v>
      </c>
      <c r="DY197" s="255">
        <v>8830.3439999999991</v>
      </c>
      <c r="DZ197" s="255">
        <v>10648.356000000002</v>
      </c>
      <c r="EA197" s="255">
        <v>6233.1840000000002</v>
      </c>
      <c r="EB197" s="255">
        <v>11167.788</v>
      </c>
      <c r="EC197" s="255">
        <v>8310.9120000000003</v>
      </c>
      <c r="ED197" s="255">
        <v>9358.44</v>
      </c>
      <c r="EE197" s="255">
        <v>8556.2879999999986</v>
      </c>
      <c r="EF197" s="255">
        <v>11497.512000000001</v>
      </c>
      <c r="EG197" s="255">
        <v>11497.512000000001</v>
      </c>
      <c r="EH197" s="255">
        <v>8556.2879999999986</v>
      </c>
      <c r="EI197" s="255">
        <v>9091.0559999999987</v>
      </c>
      <c r="EJ197" s="255">
        <v>8823.6720000000005</v>
      </c>
      <c r="EK197" s="255">
        <v>9091.0559999999987</v>
      </c>
      <c r="EL197" s="255">
        <v>0</v>
      </c>
      <c r="EM197" s="255">
        <v>0</v>
      </c>
      <c r="EN197" s="255">
        <v>0</v>
      </c>
      <c r="EO197" s="255">
        <v>0</v>
      </c>
      <c r="EP197" s="255">
        <v>0</v>
      </c>
      <c r="EQ197" s="255">
        <v>0</v>
      </c>
      <c r="ER197" s="255">
        <v>0</v>
      </c>
      <c r="ES197" s="255">
        <v>0</v>
      </c>
      <c r="ET197" s="255">
        <v>0</v>
      </c>
      <c r="EU197" s="255">
        <v>0</v>
      </c>
      <c r="EV197" s="255">
        <v>0</v>
      </c>
      <c r="EW197" s="255">
        <v>0</v>
      </c>
      <c r="EX197" s="255">
        <v>0</v>
      </c>
      <c r="EY197" s="255">
        <v>0</v>
      </c>
      <c r="EZ197" s="255">
        <v>0</v>
      </c>
      <c r="FA197" s="255">
        <v>0</v>
      </c>
      <c r="FB197" s="255">
        <v>0</v>
      </c>
      <c r="FC197" s="255">
        <v>0</v>
      </c>
      <c r="FD197" s="255">
        <v>0</v>
      </c>
      <c r="FE197" s="255">
        <v>0</v>
      </c>
      <c r="FF197" s="255">
        <v>0</v>
      </c>
      <c r="FG197" s="255">
        <v>0</v>
      </c>
      <c r="FH197" s="255">
        <v>0</v>
      </c>
      <c r="FI197" s="255">
        <v>0</v>
      </c>
      <c r="FJ197" s="255">
        <v>0</v>
      </c>
      <c r="FK197" s="255">
        <v>0</v>
      </c>
      <c r="FL197" s="255">
        <v>0</v>
      </c>
      <c r="FM197" s="255">
        <v>0</v>
      </c>
      <c r="FN197" s="255">
        <v>0</v>
      </c>
      <c r="FO197" s="255">
        <v>0</v>
      </c>
      <c r="FP197" s="255">
        <v>0</v>
      </c>
      <c r="FQ197" s="255">
        <v>0</v>
      </c>
      <c r="FR197" s="255">
        <v>0</v>
      </c>
      <c r="FS197" s="255">
        <v>0</v>
      </c>
      <c r="FT197" s="255">
        <v>0</v>
      </c>
      <c r="FU197" s="255">
        <v>0</v>
      </c>
      <c r="FV197" s="255">
        <v>0</v>
      </c>
      <c r="FW197" s="255">
        <v>0</v>
      </c>
      <c r="FX197" s="116"/>
    </row>
    <row r="198" spans="2:180" x14ac:dyDescent="0.2">
      <c r="B198" s="253" t="s">
        <v>216</v>
      </c>
      <c r="C198" s="253" t="s">
        <v>326</v>
      </c>
      <c r="D198" s="253" t="s">
        <v>258</v>
      </c>
      <c r="E198" s="253" t="s">
        <v>127</v>
      </c>
      <c r="F198" s="253" t="s">
        <v>259</v>
      </c>
      <c r="G198" s="253" t="s">
        <v>260</v>
      </c>
      <c r="H198" s="237">
        <v>210.04</v>
      </c>
      <c r="I198" s="126">
        <f t="shared" si="87"/>
        <v>85684.62000000001</v>
      </c>
      <c r="J198" s="116"/>
      <c r="K198" s="254">
        <v>0</v>
      </c>
      <c r="L198" s="254">
        <v>0</v>
      </c>
      <c r="M198" s="254">
        <v>0</v>
      </c>
      <c r="N198" s="254">
        <v>0</v>
      </c>
      <c r="O198" s="254">
        <v>0</v>
      </c>
      <c r="P198" s="254">
        <v>0</v>
      </c>
      <c r="Q198" s="254">
        <v>0</v>
      </c>
      <c r="R198" s="254">
        <v>0</v>
      </c>
      <c r="S198" s="254">
        <v>0</v>
      </c>
      <c r="T198" s="254">
        <v>0</v>
      </c>
      <c r="U198" s="254">
        <v>0</v>
      </c>
      <c r="V198" s="254">
        <v>0</v>
      </c>
      <c r="W198" s="254">
        <v>0</v>
      </c>
      <c r="X198" s="254">
        <v>0</v>
      </c>
      <c r="Y198" s="254">
        <v>0</v>
      </c>
      <c r="Z198" s="254">
        <v>0</v>
      </c>
      <c r="AA198" s="254">
        <v>0</v>
      </c>
      <c r="AB198" s="254">
        <v>0</v>
      </c>
      <c r="AC198" s="254">
        <v>0</v>
      </c>
      <c r="AD198" s="254">
        <v>0</v>
      </c>
      <c r="AE198" s="254">
        <v>0</v>
      </c>
      <c r="AF198" s="254">
        <v>0.5</v>
      </c>
      <c r="AG198" s="254">
        <v>0.25</v>
      </c>
      <c r="AH198" s="254">
        <v>0</v>
      </c>
      <c r="AI198" s="254">
        <v>0</v>
      </c>
      <c r="AJ198" s="254">
        <v>0</v>
      </c>
      <c r="AK198" s="254">
        <v>0</v>
      </c>
      <c r="AL198" s="254">
        <v>0</v>
      </c>
      <c r="AM198" s="254">
        <v>0</v>
      </c>
      <c r="AN198" s="254">
        <v>0</v>
      </c>
      <c r="AO198" s="254">
        <v>0</v>
      </c>
      <c r="AP198" s="254">
        <v>0</v>
      </c>
      <c r="AQ198" s="254">
        <v>0</v>
      </c>
      <c r="AR198" s="254">
        <v>1.1000000000000001</v>
      </c>
      <c r="AS198" s="254">
        <v>0</v>
      </c>
      <c r="AT198" s="254">
        <v>0</v>
      </c>
      <c r="AU198" s="254">
        <v>0.66666666666666663</v>
      </c>
      <c r="AV198" s="254">
        <v>0.5</v>
      </c>
      <c r="AW198" s="254">
        <v>0</v>
      </c>
      <c r="AX198" s="254">
        <v>0</v>
      </c>
      <c r="AY198" s="254">
        <v>0</v>
      </c>
      <c r="AZ198" s="254">
        <v>0</v>
      </c>
      <c r="BA198" s="254">
        <v>0</v>
      </c>
      <c r="BB198" s="254">
        <v>0</v>
      </c>
      <c r="BC198" s="254">
        <v>0</v>
      </c>
      <c r="BD198" s="254">
        <v>0</v>
      </c>
      <c r="BE198" s="254">
        <v>0</v>
      </c>
      <c r="BF198" s="254">
        <v>0</v>
      </c>
      <c r="BG198" s="254">
        <v>0</v>
      </c>
      <c r="BH198" s="254">
        <v>0</v>
      </c>
      <c r="BI198" s="254">
        <v>0</v>
      </c>
      <c r="BJ198" s="254">
        <v>0</v>
      </c>
      <c r="BK198" s="254">
        <v>0</v>
      </c>
      <c r="BL198" s="254">
        <v>0</v>
      </c>
      <c r="BM198" s="254">
        <v>0</v>
      </c>
      <c r="BN198" s="254">
        <v>0</v>
      </c>
      <c r="BO198" s="254">
        <v>0</v>
      </c>
      <c r="BP198" s="254">
        <v>0</v>
      </c>
      <c r="BQ198" s="254">
        <v>0</v>
      </c>
      <c r="BR198" s="254">
        <v>0</v>
      </c>
      <c r="BS198" s="254">
        <v>0</v>
      </c>
      <c r="BT198" s="254">
        <v>0</v>
      </c>
      <c r="BU198" s="254">
        <v>0</v>
      </c>
      <c r="BV198" s="254">
        <v>0</v>
      </c>
      <c r="BW198" s="254">
        <v>0</v>
      </c>
      <c r="BX198" s="254">
        <v>0</v>
      </c>
      <c r="BY198" s="254">
        <v>0</v>
      </c>
      <c r="BZ198" s="254">
        <v>0</v>
      </c>
      <c r="CA198" s="254">
        <v>0</v>
      </c>
      <c r="CB198" s="254">
        <v>0</v>
      </c>
      <c r="CC198" s="254">
        <v>0</v>
      </c>
      <c r="CD198" s="254">
        <v>0</v>
      </c>
      <c r="CE198" s="254">
        <v>0</v>
      </c>
      <c r="CF198" s="254">
        <v>0</v>
      </c>
      <c r="CG198" s="254">
        <v>0</v>
      </c>
      <c r="CH198" s="254">
        <v>0</v>
      </c>
      <c r="CI198" s="254">
        <v>0</v>
      </c>
      <c r="CJ198" s="254">
        <v>0</v>
      </c>
      <c r="CK198" s="254">
        <v>0</v>
      </c>
      <c r="CL198" s="254">
        <v>0</v>
      </c>
      <c r="CM198" s="254">
        <v>0</v>
      </c>
      <c r="CN198" s="254">
        <v>0</v>
      </c>
      <c r="CO198" s="254">
        <v>0</v>
      </c>
      <c r="CP198" s="254">
        <v>0</v>
      </c>
      <c r="CQ198" s="116"/>
      <c r="CR198" s="255">
        <v>0</v>
      </c>
      <c r="CS198" s="255">
        <v>0</v>
      </c>
      <c r="CT198" s="255">
        <v>0</v>
      </c>
      <c r="CU198" s="255">
        <v>0</v>
      </c>
      <c r="CV198" s="255">
        <v>0</v>
      </c>
      <c r="CW198" s="255">
        <v>0</v>
      </c>
      <c r="CX198" s="255">
        <v>0</v>
      </c>
      <c r="CY198" s="255">
        <v>0</v>
      </c>
      <c r="CZ198" s="255">
        <v>0</v>
      </c>
      <c r="DA198" s="255">
        <v>0</v>
      </c>
      <c r="DB198" s="255">
        <v>0</v>
      </c>
      <c r="DC198" s="255">
        <v>0</v>
      </c>
      <c r="DD198" s="255">
        <v>0</v>
      </c>
      <c r="DE198" s="255">
        <v>0</v>
      </c>
      <c r="DF198" s="255">
        <v>0</v>
      </c>
      <c r="DG198" s="255">
        <v>0</v>
      </c>
      <c r="DH198" s="255">
        <v>0</v>
      </c>
      <c r="DI198" s="255">
        <v>0</v>
      </c>
      <c r="DJ198" s="255">
        <v>0</v>
      </c>
      <c r="DK198" s="255">
        <v>0</v>
      </c>
      <c r="DL198" s="255">
        <v>0</v>
      </c>
      <c r="DM198" s="255">
        <v>14702.8</v>
      </c>
      <c r="DN198" s="255">
        <v>7351.4</v>
      </c>
      <c r="DO198" s="255">
        <v>0</v>
      </c>
      <c r="DP198" s="255">
        <v>0</v>
      </c>
      <c r="DQ198" s="255">
        <v>0</v>
      </c>
      <c r="DR198" s="255">
        <v>0</v>
      </c>
      <c r="DS198" s="255">
        <v>0</v>
      </c>
      <c r="DT198" s="255">
        <v>0</v>
      </c>
      <c r="DU198" s="255">
        <v>0</v>
      </c>
      <c r="DV198" s="255">
        <v>0</v>
      </c>
      <c r="DW198" s="255">
        <v>0</v>
      </c>
      <c r="DX198" s="255">
        <v>0</v>
      </c>
      <c r="DY198" s="255">
        <v>33330.22</v>
      </c>
      <c r="DZ198" s="255">
        <v>0</v>
      </c>
      <c r="EA198" s="255">
        <v>0</v>
      </c>
      <c r="EB198" s="255">
        <v>15150.1</v>
      </c>
      <c r="EC198" s="255">
        <v>15150.1</v>
      </c>
      <c r="ED198" s="255">
        <v>0</v>
      </c>
      <c r="EE198" s="255">
        <v>0</v>
      </c>
      <c r="EF198" s="255">
        <v>0</v>
      </c>
      <c r="EG198" s="255">
        <v>0</v>
      </c>
      <c r="EH198" s="255">
        <v>0</v>
      </c>
      <c r="EI198" s="255">
        <v>0</v>
      </c>
      <c r="EJ198" s="255">
        <v>0</v>
      </c>
      <c r="EK198" s="255">
        <v>0</v>
      </c>
      <c r="EL198" s="255">
        <v>0</v>
      </c>
      <c r="EM198" s="255">
        <v>0</v>
      </c>
      <c r="EN198" s="255">
        <v>0</v>
      </c>
      <c r="EO198" s="255">
        <v>0</v>
      </c>
      <c r="EP198" s="255">
        <v>0</v>
      </c>
      <c r="EQ198" s="255">
        <v>0</v>
      </c>
      <c r="ER198" s="255">
        <v>0</v>
      </c>
      <c r="ES198" s="255">
        <v>0</v>
      </c>
      <c r="ET198" s="255">
        <v>0</v>
      </c>
      <c r="EU198" s="255">
        <v>0</v>
      </c>
      <c r="EV198" s="255">
        <v>0</v>
      </c>
      <c r="EW198" s="255">
        <v>0</v>
      </c>
      <c r="EX198" s="255">
        <v>0</v>
      </c>
      <c r="EY198" s="255">
        <v>0</v>
      </c>
      <c r="EZ198" s="255">
        <v>0</v>
      </c>
      <c r="FA198" s="255">
        <v>0</v>
      </c>
      <c r="FB198" s="255">
        <v>0</v>
      </c>
      <c r="FC198" s="255">
        <v>0</v>
      </c>
      <c r="FD198" s="255">
        <v>0</v>
      </c>
      <c r="FE198" s="255">
        <v>0</v>
      </c>
      <c r="FF198" s="255">
        <v>0</v>
      </c>
      <c r="FG198" s="255">
        <v>0</v>
      </c>
      <c r="FH198" s="255">
        <v>0</v>
      </c>
      <c r="FI198" s="255">
        <v>0</v>
      </c>
      <c r="FJ198" s="255">
        <v>0</v>
      </c>
      <c r="FK198" s="255">
        <v>0</v>
      </c>
      <c r="FL198" s="255">
        <v>0</v>
      </c>
      <c r="FM198" s="255">
        <v>0</v>
      </c>
      <c r="FN198" s="255">
        <v>0</v>
      </c>
      <c r="FO198" s="255">
        <v>0</v>
      </c>
      <c r="FP198" s="255">
        <v>0</v>
      </c>
      <c r="FQ198" s="255">
        <v>0</v>
      </c>
      <c r="FR198" s="255">
        <v>0</v>
      </c>
      <c r="FS198" s="255">
        <v>0</v>
      </c>
      <c r="FT198" s="255">
        <v>0</v>
      </c>
      <c r="FU198" s="255">
        <v>0</v>
      </c>
      <c r="FV198" s="255">
        <v>0</v>
      </c>
      <c r="FW198" s="255">
        <v>0</v>
      </c>
      <c r="FX198" s="116"/>
    </row>
    <row r="199" spans="2:180" x14ac:dyDescent="0.2">
      <c r="B199" s="253" t="s">
        <v>216</v>
      </c>
      <c r="C199" s="253" t="s">
        <v>326</v>
      </c>
      <c r="D199" s="253" t="s">
        <v>258</v>
      </c>
      <c r="E199" s="253" t="s">
        <v>127</v>
      </c>
      <c r="F199" s="253">
        <v>0</v>
      </c>
      <c r="G199" s="253" t="s">
        <v>322</v>
      </c>
      <c r="H199" s="237">
        <v>210.04</v>
      </c>
      <c r="I199" s="126">
        <f t="shared" ref="I199:I262" si="88">SUM(CR199:FW199)</f>
        <v>64417.400000000009</v>
      </c>
      <c r="J199" s="116"/>
      <c r="K199" s="254">
        <v>0</v>
      </c>
      <c r="L199" s="254">
        <v>0</v>
      </c>
      <c r="M199" s="254">
        <v>0</v>
      </c>
      <c r="N199" s="254">
        <v>0</v>
      </c>
      <c r="O199" s="254">
        <v>0</v>
      </c>
      <c r="P199" s="254">
        <v>0</v>
      </c>
      <c r="Q199" s="254">
        <v>0</v>
      </c>
      <c r="R199" s="254">
        <v>0</v>
      </c>
      <c r="S199" s="254">
        <v>0</v>
      </c>
      <c r="T199" s="254">
        <v>0</v>
      </c>
      <c r="U199" s="254">
        <v>0</v>
      </c>
      <c r="V199" s="254">
        <v>0</v>
      </c>
      <c r="W199" s="254">
        <v>0</v>
      </c>
      <c r="X199" s="254">
        <v>0</v>
      </c>
      <c r="Y199" s="254">
        <v>0</v>
      </c>
      <c r="Z199" s="254">
        <v>0</v>
      </c>
      <c r="AA199" s="254">
        <v>0</v>
      </c>
      <c r="AB199" s="254">
        <v>0</v>
      </c>
      <c r="AC199" s="254">
        <v>0</v>
      </c>
      <c r="AD199" s="254">
        <v>0</v>
      </c>
      <c r="AE199" s="254">
        <v>0</v>
      </c>
      <c r="AF199" s="254">
        <v>0.21428571428571427</v>
      </c>
      <c r="AG199" s="254">
        <v>7.1428571428571425E-2</v>
      </c>
      <c r="AH199" s="254">
        <v>0</v>
      </c>
      <c r="AI199" s="254">
        <v>0</v>
      </c>
      <c r="AJ199" s="254">
        <v>0</v>
      </c>
      <c r="AK199" s="254">
        <v>0</v>
      </c>
      <c r="AL199" s="254">
        <v>0</v>
      </c>
      <c r="AM199" s="254">
        <v>0</v>
      </c>
      <c r="AN199" s="254">
        <v>0</v>
      </c>
      <c r="AO199" s="254">
        <v>0</v>
      </c>
      <c r="AP199" s="254">
        <v>0</v>
      </c>
      <c r="AQ199" s="254">
        <v>0</v>
      </c>
      <c r="AR199" s="254">
        <v>0.35714285714285715</v>
      </c>
      <c r="AS199" s="254">
        <v>0</v>
      </c>
      <c r="AT199" s="254">
        <v>0</v>
      </c>
      <c r="AU199" s="254">
        <v>0.2857142857142857</v>
      </c>
      <c r="AV199" s="254">
        <v>0.21428571428571427</v>
      </c>
      <c r="AW199" s="254">
        <v>0</v>
      </c>
      <c r="AX199" s="254">
        <v>0</v>
      </c>
      <c r="AY199" s="254">
        <v>0</v>
      </c>
      <c r="AZ199" s="254">
        <v>0</v>
      </c>
      <c r="BA199" s="254">
        <v>0</v>
      </c>
      <c r="BB199" s="254">
        <v>0</v>
      </c>
      <c r="BC199" s="254">
        <v>0</v>
      </c>
      <c r="BD199" s="254">
        <v>0</v>
      </c>
      <c r="BE199" s="254">
        <v>0</v>
      </c>
      <c r="BF199" s="254">
        <v>0</v>
      </c>
      <c r="BG199" s="254">
        <v>0</v>
      </c>
      <c r="BH199" s="254">
        <v>0</v>
      </c>
      <c r="BI199" s="254">
        <v>0</v>
      </c>
      <c r="BJ199" s="254">
        <v>0</v>
      </c>
      <c r="BK199" s="254">
        <v>0</v>
      </c>
      <c r="BL199" s="254">
        <v>0</v>
      </c>
      <c r="BM199" s="254">
        <v>0</v>
      </c>
      <c r="BN199" s="254">
        <v>0</v>
      </c>
      <c r="BO199" s="254">
        <v>0</v>
      </c>
      <c r="BP199" s="254">
        <v>0</v>
      </c>
      <c r="BQ199" s="254">
        <v>0</v>
      </c>
      <c r="BR199" s="254">
        <v>0</v>
      </c>
      <c r="BS199" s="254">
        <v>0</v>
      </c>
      <c r="BT199" s="254">
        <v>0</v>
      </c>
      <c r="BU199" s="254">
        <v>0</v>
      </c>
      <c r="BV199" s="254">
        <v>0</v>
      </c>
      <c r="BW199" s="254">
        <v>0</v>
      </c>
      <c r="BX199" s="254">
        <v>0</v>
      </c>
      <c r="BY199" s="254">
        <v>0</v>
      </c>
      <c r="BZ199" s="254">
        <v>0</v>
      </c>
      <c r="CA199" s="254">
        <v>0</v>
      </c>
      <c r="CB199" s="254">
        <v>0</v>
      </c>
      <c r="CC199" s="254">
        <v>0</v>
      </c>
      <c r="CD199" s="254">
        <v>0</v>
      </c>
      <c r="CE199" s="254">
        <v>0</v>
      </c>
      <c r="CF199" s="254">
        <v>0</v>
      </c>
      <c r="CG199" s="254">
        <v>0</v>
      </c>
      <c r="CH199" s="254">
        <v>0</v>
      </c>
      <c r="CI199" s="254">
        <v>0</v>
      </c>
      <c r="CJ199" s="254">
        <v>0</v>
      </c>
      <c r="CK199" s="254">
        <v>0</v>
      </c>
      <c r="CL199" s="254">
        <v>0</v>
      </c>
      <c r="CM199" s="254">
        <v>0</v>
      </c>
      <c r="CN199" s="254">
        <v>0</v>
      </c>
      <c r="CO199" s="254">
        <v>0</v>
      </c>
      <c r="CP199" s="254">
        <v>0</v>
      </c>
      <c r="CQ199" s="116"/>
      <c r="CR199" s="255">
        <v>0</v>
      </c>
      <c r="CS199" s="255">
        <v>0</v>
      </c>
      <c r="CT199" s="255">
        <v>0</v>
      </c>
      <c r="CU199" s="255">
        <v>0</v>
      </c>
      <c r="CV199" s="255">
        <v>0</v>
      </c>
      <c r="CW199" s="255">
        <v>0</v>
      </c>
      <c r="CX199" s="255">
        <v>0</v>
      </c>
      <c r="CY199" s="255">
        <v>0</v>
      </c>
      <c r="CZ199" s="255">
        <v>0</v>
      </c>
      <c r="DA199" s="255">
        <v>0</v>
      </c>
      <c r="DB199" s="255">
        <v>0</v>
      </c>
      <c r="DC199" s="255">
        <v>0</v>
      </c>
      <c r="DD199" s="255">
        <v>0</v>
      </c>
      <c r="DE199" s="255">
        <v>0</v>
      </c>
      <c r="DF199" s="255">
        <v>0</v>
      </c>
      <c r="DG199" s="255">
        <v>0</v>
      </c>
      <c r="DH199" s="255">
        <v>0</v>
      </c>
      <c r="DI199" s="255">
        <v>0</v>
      </c>
      <c r="DJ199" s="255">
        <v>0</v>
      </c>
      <c r="DK199" s="255">
        <v>0</v>
      </c>
      <c r="DL199" s="255">
        <v>0</v>
      </c>
      <c r="DM199" s="255">
        <v>12602.1</v>
      </c>
      <c r="DN199" s="255">
        <v>4200.7</v>
      </c>
      <c r="DO199" s="255">
        <v>0</v>
      </c>
      <c r="DP199" s="255">
        <v>0</v>
      </c>
      <c r="DQ199" s="255">
        <v>0</v>
      </c>
      <c r="DR199" s="255">
        <v>0</v>
      </c>
      <c r="DS199" s="255">
        <v>0</v>
      </c>
      <c r="DT199" s="255">
        <v>0</v>
      </c>
      <c r="DU199" s="255">
        <v>0</v>
      </c>
      <c r="DV199" s="255">
        <v>0</v>
      </c>
      <c r="DW199" s="255">
        <v>0</v>
      </c>
      <c r="DX199" s="255">
        <v>0</v>
      </c>
      <c r="DY199" s="255">
        <v>21643</v>
      </c>
      <c r="DZ199" s="255">
        <v>0</v>
      </c>
      <c r="EA199" s="255">
        <v>0</v>
      </c>
      <c r="EB199" s="255">
        <v>12985.800000000001</v>
      </c>
      <c r="EC199" s="255">
        <v>12985.800000000001</v>
      </c>
      <c r="ED199" s="255">
        <v>0</v>
      </c>
      <c r="EE199" s="255">
        <v>0</v>
      </c>
      <c r="EF199" s="255">
        <v>0</v>
      </c>
      <c r="EG199" s="255">
        <v>0</v>
      </c>
      <c r="EH199" s="255">
        <v>0</v>
      </c>
      <c r="EI199" s="255">
        <v>0</v>
      </c>
      <c r="EJ199" s="255">
        <v>0</v>
      </c>
      <c r="EK199" s="255">
        <v>0</v>
      </c>
      <c r="EL199" s="255">
        <v>0</v>
      </c>
      <c r="EM199" s="255">
        <v>0</v>
      </c>
      <c r="EN199" s="255">
        <v>0</v>
      </c>
      <c r="EO199" s="255">
        <v>0</v>
      </c>
      <c r="EP199" s="255">
        <v>0</v>
      </c>
      <c r="EQ199" s="255">
        <v>0</v>
      </c>
      <c r="ER199" s="255">
        <v>0</v>
      </c>
      <c r="ES199" s="255">
        <v>0</v>
      </c>
      <c r="ET199" s="255">
        <v>0</v>
      </c>
      <c r="EU199" s="255">
        <v>0</v>
      </c>
      <c r="EV199" s="255">
        <v>0</v>
      </c>
      <c r="EW199" s="255">
        <v>0</v>
      </c>
      <c r="EX199" s="255">
        <v>0</v>
      </c>
      <c r="EY199" s="255">
        <v>0</v>
      </c>
      <c r="EZ199" s="255">
        <v>0</v>
      </c>
      <c r="FA199" s="255">
        <v>0</v>
      </c>
      <c r="FB199" s="255">
        <v>0</v>
      </c>
      <c r="FC199" s="255">
        <v>0</v>
      </c>
      <c r="FD199" s="255">
        <v>0</v>
      </c>
      <c r="FE199" s="255">
        <v>0</v>
      </c>
      <c r="FF199" s="255">
        <v>0</v>
      </c>
      <c r="FG199" s="255">
        <v>0</v>
      </c>
      <c r="FH199" s="255">
        <v>0</v>
      </c>
      <c r="FI199" s="255">
        <v>0</v>
      </c>
      <c r="FJ199" s="255">
        <v>0</v>
      </c>
      <c r="FK199" s="255">
        <v>0</v>
      </c>
      <c r="FL199" s="255">
        <v>0</v>
      </c>
      <c r="FM199" s="255">
        <v>0</v>
      </c>
      <c r="FN199" s="255">
        <v>0</v>
      </c>
      <c r="FO199" s="255">
        <v>0</v>
      </c>
      <c r="FP199" s="255">
        <v>0</v>
      </c>
      <c r="FQ199" s="255">
        <v>0</v>
      </c>
      <c r="FR199" s="255">
        <v>0</v>
      </c>
      <c r="FS199" s="255">
        <v>0</v>
      </c>
      <c r="FT199" s="255">
        <v>0</v>
      </c>
      <c r="FU199" s="255">
        <v>0</v>
      </c>
      <c r="FV199" s="255">
        <v>0</v>
      </c>
      <c r="FW199" s="255">
        <v>0</v>
      </c>
      <c r="FX199" s="116"/>
    </row>
    <row r="200" spans="2:180" x14ac:dyDescent="0.2">
      <c r="B200" s="253" t="s">
        <v>216</v>
      </c>
      <c r="C200" s="253" t="s">
        <v>327</v>
      </c>
      <c r="D200" s="253" t="s">
        <v>258</v>
      </c>
      <c r="E200" s="253" t="s">
        <v>127</v>
      </c>
      <c r="F200" s="253" t="s">
        <v>259</v>
      </c>
      <c r="G200" s="253" t="s">
        <v>260</v>
      </c>
      <c r="H200" s="237">
        <v>221.91</v>
      </c>
      <c r="I200" s="126">
        <f t="shared" si="88"/>
        <v>322448.28000000003</v>
      </c>
      <c r="J200" s="116"/>
      <c r="K200" s="254">
        <v>0</v>
      </c>
      <c r="L200" s="254">
        <v>0</v>
      </c>
      <c r="M200" s="254">
        <v>0</v>
      </c>
      <c r="N200" s="254">
        <v>0</v>
      </c>
      <c r="O200" s="254">
        <v>0</v>
      </c>
      <c r="P200" s="254">
        <v>0</v>
      </c>
      <c r="Q200" s="254">
        <v>0</v>
      </c>
      <c r="R200" s="254">
        <v>0</v>
      </c>
      <c r="S200" s="254">
        <v>0</v>
      </c>
      <c r="T200" s="254">
        <v>0</v>
      </c>
      <c r="U200" s="254">
        <v>0</v>
      </c>
      <c r="V200" s="254">
        <v>0</v>
      </c>
      <c r="W200" s="254">
        <v>0</v>
      </c>
      <c r="X200" s="254">
        <v>0</v>
      </c>
      <c r="Y200" s="254">
        <v>0</v>
      </c>
      <c r="Z200" s="254">
        <v>0</v>
      </c>
      <c r="AA200" s="254">
        <v>0</v>
      </c>
      <c r="AB200" s="254">
        <v>0</v>
      </c>
      <c r="AC200" s="254">
        <v>0</v>
      </c>
      <c r="AD200" s="254">
        <v>0</v>
      </c>
      <c r="AE200" s="254">
        <v>0</v>
      </c>
      <c r="AF200" s="254">
        <v>0.5</v>
      </c>
      <c r="AG200" s="254">
        <v>0.5</v>
      </c>
      <c r="AH200" s="254">
        <v>1.5333333333333334</v>
      </c>
      <c r="AI200" s="254">
        <v>1.4</v>
      </c>
      <c r="AJ200" s="254">
        <v>1</v>
      </c>
      <c r="AK200" s="254">
        <v>0</v>
      </c>
      <c r="AL200" s="254">
        <v>0</v>
      </c>
      <c r="AM200" s="254">
        <v>0</v>
      </c>
      <c r="AN200" s="254">
        <v>0</v>
      </c>
      <c r="AO200" s="254">
        <v>0</v>
      </c>
      <c r="AP200" s="254">
        <v>0</v>
      </c>
      <c r="AQ200" s="254">
        <v>0</v>
      </c>
      <c r="AR200" s="254">
        <v>1.6</v>
      </c>
      <c r="AS200" s="254">
        <v>1.1000000000000001</v>
      </c>
      <c r="AT200" s="254">
        <v>1.4</v>
      </c>
      <c r="AU200" s="254">
        <v>1.4666666666666666</v>
      </c>
      <c r="AV200" s="254">
        <v>1.1499999999999999</v>
      </c>
      <c r="AW200" s="254">
        <v>0</v>
      </c>
      <c r="AX200" s="254">
        <v>0</v>
      </c>
      <c r="AY200" s="254">
        <v>0</v>
      </c>
      <c r="AZ200" s="254">
        <v>0</v>
      </c>
      <c r="BA200" s="254">
        <v>0</v>
      </c>
      <c r="BB200" s="254">
        <v>0</v>
      </c>
      <c r="BC200" s="254">
        <v>0</v>
      </c>
      <c r="BD200" s="254">
        <v>0</v>
      </c>
      <c r="BE200" s="254">
        <v>0</v>
      </c>
      <c r="BF200" s="254">
        <v>0</v>
      </c>
      <c r="BG200" s="254">
        <v>0</v>
      </c>
      <c r="BH200" s="254">
        <v>0</v>
      </c>
      <c r="BI200" s="254">
        <v>0</v>
      </c>
      <c r="BJ200" s="254">
        <v>0</v>
      </c>
      <c r="BK200" s="254">
        <v>0</v>
      </c>
      <c r="BL200" s="254">
        <v>0</v>
      </c>
      <c r="BM200" s="254">
        <v>0</v>
      </c>
      <c r="BN200" s="254">
        <v>0</v>
      </c>
      <c r="BO200" s="254">
        <v>0</v>
      </c>
      <c r="BP200" s="254">
        <v>0</v>
      </c>
      <c r="BQ200" s="254">
        <v>0</v>
      </c>
      <c r="BR200" s="254">
        <v>0</v>
      </c>
      <c r="BS200" s="254">
        <v>0</v>
      </c>
      <c r="BT200" s="254">
        <v>0</v>
      </c>
      <c r="BU200" s="254">
        <v>0</v>
      </c>
      <c r="BV200" s="254">
        <v>0</v>
      </c>
      <c r="BW200" s="254">
        <v>0</v>
      </c>
      <c r="BX200" s="254">
        <v>0</v>
      </c>
      <c r="BY200" s="254">
        <v>0</v>
      </c>
      <c r="BZ200" s="254">
        <v>0</v>
      </c>
      <c r="CA200" s="254">
        <v>0</v>
      </c>
      <c r="CB200" s="254">
        <v>0</v>
      </c>
      <c r="CC200" s="254">
        <v>0</v>
      </c>
      <c r="CD200" s="254">
        <v>0</v>
      </c>
      <c r="CE200" s="254">
        <v>0</v>
      </c>
      <c r="CF200" s="254">
        <v>0</v>
      </c>
      <c r="CG200" s="254">
        <v>0</v>
      </c>
      <c r="CH200" s="254">
        <v>0</v>
      </c>
      <c r="CI200" s="254">
        <v>0</v>
      </c>
      <c r="CJ200" s="254">
        <v>0</v>
      </c>
      <c r="CK200" s="254">
        <v>0</v>
      </c>
      <c r="CL200" s="254">
        <v>0</v>
      </c>
      <c r="CM200" s="254">
        <v>0</v>
      </c>
      <c r="CN200" s="254">
        <v>0</v>
      </c>
      <c r="CO200" s="254">
        <v>0</v>
      </c>
      <c r="CP200" s="254">
        <v>0</v>
      </c>
      <c r="CQ200" s="116"/>
      <c r="CR200" s="255">
        <v>0</v>
      </c>
      <c r="CS200" s="255">
        <v>0</v>
      </c>
      <c r="CT200" s="255">
        <v>0</v>
      </c>
      <c r="CU200" s="255">
        <v>0</v>
      </c>
      <c r="CV200" s="255">
        <v>0</v>
      </c>
      <c r="CW200" s="255">
        <v>0</v>
      </c>
      <c r="CX200" s="255">
        <v>0</v>
      </c>
      <c r="CY200" s="255">
        <v>0</v>
      </c>
      <c r="CZ200" s="255">
        <v>0</v>
      </c>
      <c r="DA200" s="255">
        <v>0</v>
      </c>
      <c r="DB200" s="255">
        <v>0</v>
      </c>
      <c r="DC200" s="255">
        <v>0</v>
      </c>
      <c r="DD200" s="255">
        <v>0</v>
      </c>
      <c r="DE200" s="255">
        <v>0</v>
      </c>
      <c r="DF200" s="255">
        <v>0</v>
      </c>
      <c r="DG200" s="255">
        <v>0</v>
      </c>
      <c r="DH200" s="255">
        <v>0</v>
      </c>
      <c r="DI200" s="255">
        <v>0</v>
      </c>
      <c r="DJ200" s="255">
        <v>0</v>
      </c>
      <c r="DK200" s="255">
        <v>0</v>
      </c>
      <c r="DL200" s="255">
        <v>0</v>
      </c>
      <c r="DM200" s="255">
        <v>15533.699999999999</v>
      </c>
      <c r="DN200" s="255">
        <v>15533.699999999999</v>
      </c>
      <c r="DO200" s="255">
        <v>35727.51</v>
      </c>
      <c r="DP200" s="255">
        <v>32620.77</v>
      </c>
      <c r="DQ200" s="255">
        <v>31067.399999999998</v>
      </c>
      <c r="DR200" s="255">
        <v>0</v>
      </c>
      <c r="DS200" s="255">
        <v>0</v>
      </c>
      <c r="DT200" s="255">
        <v>0</v>
      </c>
      <c r="DU200" s="255">
        <v>0</v>
      </c>
      <c r="DV200" s="255">
        <v>0</v>
      </c>
      <c r="DW200" s="255">
        <v>0</v>
      </c>
      <c r="DX200" s="255">
        <v>0</v>
      </c>
      <c r="DY200" s="255">
        <v>51190.720000000001</v>
      </c>
      <c r="DZ200" s="255">
        <v>35193.620000000003</v>
      </c>
      <c r="EA200" s="255">
        <v>33593.910000000003</v>
      </c>
      <c r="EB200" s="255">
        <v>35193.620000000003</v>
      </c>
      <c r="EC200" s="255">
        <v>36793.33</v>
      </c>
      <c r="ED200" s="255">
        <v>0</v>
      </c>
      <c r="EE200" s="255">
        <v>0</v>
      </c>
      <c r="EF200" s="255">
        <v>0</v>
      </c>
      <c r="EG200" s="255">
        <v>0</v>
      </c>
      <c r="EH200" s="255">
        <v>0</v>
      </c>
      <c r="EI200" s="255">
        <v>0</v>
      </c>
      <c r="EJ200" s="255">
        <v>0</v>
      </c>
      <c r="EK200" s="255">
        <v>0</v>
      </c>
      <c r="EL200" s="255">
        <v>0</v>
      </c>
      <c r="EM200" s="255">
        <v>0</v>
      </c>
      <c r="EN200" s="255">
        <v>0</v>
      </c>
      <c r="EO200" s="255">
        <v>0</v>
      </c>
      <c r="EP200" s="255">
        <v>0</v>
      </c>
      <c r="EQ200" s="255">
        <v>0</v>
      </c>
      <c r="ER200" s="255">
        <v>0</v>
      </c>
      <c r="ES200" s="255">
        <v>0</v>
      </c>
      <c r="ET200" s="255">
        <v>0</v>
      </c>
      <c r="EU200" s="255">
        <v>0</v>
      </c>
      <c r="EV200" s="255">
        <v>0</v>
      </c>
      <c r="EW200" s="255">
        <v>0</v>
      </c>
      <c r="EX200" s="255">
        <v>0</v>
      </c>
      <c r="EY200" s="255">
        <v>0</v>
      </c>
      <c r="EZ200" s="255">
        <v>0</v>
      </c>
      <c r="FA200" s="255">
        <v>0</v>
      </c>
      <c r="FB200" s="255">
        <v>0</v>
      </c>
      <c r="FC200" s="255">
        <v>0</v>
      </c>
      <c r="FD200" s="255">
        <v>0</v>
      </c>
      <c r="FE200" s="255">
        <v>0</v>
      </c>
      <c r="FF200" s="255">
        <v>0</v>
      </c>
      <c r="FG200" s="255">
        <v>0</v>
      </c>
      <c r="FH200" s="255">
        <v>0</v>
      </c>
      <c r="FI200" s="255">
        <v>0</v>
      </c>
      <c r="FJ200" s="255">
        <v>0</v>
      </c>
      <c r="FK200" s="255">
        <v>0</v>
      </c>
      <c r="FL200" s="255">
        <v>0</v>
      </c>
      <c r="FM200" s="255">
        <v>0</v>
      </c>
      <c r="FN200" s="255">
        <v>0</v>
      </c>
      <c r="FO200" s="255">
        <v>0</v>
      </c>
      <c r="FP200" s="255">
        <v>0</v>
      </c>
      <c r="FQ200" s="255">
        <v>0</v>
      </c>
      <c r="FR200" s="255">
        <v>0</v>
      </c>
      <c r="FS200" s="255">
        <v>0</v>
      </c>
      <c r="FT200" s="255">
        <v>0</v>
      </c>
      <c r="FU200" s="255">
        <v>0</v>
      </c>
      <c r="FV200" s="255">
        <v>0</v>
      </c>
      <c r="FW200" s="255">
        <v>0</v>
      </c>
      <c r="FX200" s="116"/>
    </row>
    <row r="201" spans="2:180" x14ac:dyDescent="0.2">
      <c r="B201" s="253" t="s">
        <v>216</v>
      </c>
      <c r="C201" s="253" t="s">
        <v>327</v>
      </c>
      <c r="D201" s="253" t="s">
        <v>258</v>
      </c>
      <c r="E201" s="253" t="s">
        <v>127</v>
      </c>
      <c r="F201" s="253">
        <v>0</v>
      </c>
      <c r="G201" s="253" t="s">
        <v>322</v>
      </c>
      <c r="H201" s="237">
        <v>221.91</v>
      </c>
      <c r="I201" s="126">
        <f t="shared" si="88"/>
        <v>221179</v>
      </c>
      <c r="J201" s="116"/>
      <c r="K201" s="254">
        <v>0</v>
      </c>
      <c r="L201" s="254">
        <v>0</v>
      </c>
      <c r="M201" s="254">
        <v>0</v>
      </c>
      <c r="N201" s="254">
        <v>0</v>
      </c>
      <c r="O201" s="254">
        <v>0</v>
      </c>
      <c r="P201" s="254">
        <v>0</v>
      </c>
      <c r="Q201" s="254">
        <v>0</v>
      </c>
      <c r="R201" s="254">
        <v>0</v>
      </c>
      <c r="S201" s="254">
        <v>0</v>
      </c>
      <c r="T201" s="254">
        <v>0</v>
      </c>
      <c r="U201" s="254">
        <v>0</v>
      </c>
      <c r="V201" s="254">
        <v>0</v>
      </c>
      <c r="W201" s="254">
        <v>0</v>
      </c>
      <c r="X201" s="254">
        <v>0</v>
      </c>
      <c r="Y201" s="254">
        <v>0</v>
      </c>
      <c r="Z201" s="254">
        <v>0</v>
      </c>
      <c r="AA201" s="254">
        <v>0</v>
      </c>
      <c r="AB201" s="254">
        <v>0</v>
      </c>
      <c r="AC201" s="254">
        <v>0</v>
      </c>
      <c r="AD201" s="254">
        <v>0</v>
      </c>
      <c r="AE201" s="254">
        <v>0</v>
      </c>
      <c r="AF201" s="254">
        <v>0.21428571428571427</v>
      </c>
      <c r="AG201" s="254">
        <v>0.21428571428571427</v>
      </c>
      <c r="AH201" s="254">
        <v>0.47619047619047616</v>
      </c>
      <c r="AI201" s="254">
        <v>0.47619047619047616</v>
      </c>
      <c r="AJ201" s="254">
        <v>0.35714285714285715</v>
      </c>
      <c r="AK201" s="254">
        <v>0</v>
      </c>
      <c r="AL201" s="254">
        <v>0</v>
      </c>
      <c r="AM201" s="254">
        <v>0</v>
      </c>
      <c r="AN201" s="254">
        <v>0</v>
      </c>
      <c r="AO201" s="254">
        <v>0</v>
      </c>
      <c r="AP201" s="254">
        <v>0</v>
      </c>
      <c r="AQ201" s="254">
        <v>0</v>
      </c>
      <c r="AR201" s="254">
        <v>0.5714285714285714</v>
      </c>
      <c r="AS201" s="254">
        <v>0.35714285714285715</v>
      </c>
      <c r="AT201" s="254">
        <v>0.47619047619047616</v>
      </c>
      <c r="AU201" s="254">
        <v>0.47619047619047616</v>
      </c>
      <c r="AV201" s="254">
        <v>0.35714285714285715</v>
      </c>
      <c r="AW201" s="254">
        <v>0</v>
      </c>
      <c r="AX201" s="254">
        <v>0</v>
      </c>
      <c r="AY201" s="254">
        <v>0</v>
      </c>
      <c r="AZ201" s="254">
        <v>0</v>
      </c>
      <c r="BA201" s="254">
        <v>0</v>
      </c>
      <c r="BB201" s="254">
        <v>0</v>
      </c>
      <c r="BC201" s="254">
        <v>0</v>
      </c>
      <c r="BD201" s="254">
        <v>0</v>
      </c>
      <c r="BE201" s="254">
        <v>0</v>
      </c>
      <c r="BF201" s="254">
        <v>0</v>
      </c>
      <c r="BG201" s="254">
        <v>0</v>
      </c>
      <c r="BH201" s="254">
        <v>0</v>
      </c>
      <c r="BI201" s="254">
        <v>0</v>
      </c>
      <c r="BJ201" s="254">
        <v>0</v>
      </c>
      <c r="BK201" s="254">
        <v>0</v>
      </c>
      <c r="BL201" s="254">
        <v>0</v>
      </c>
      <c r="BM201" s="254">
        <v>0</v>
      </c>
      <c r="BN201" s="254">
        <v>0</v>
      </c>
      <c r="BO201" s="254">
        <v>0</v>
      </c>
      <c r="BP201" s="254">
        <v>0</v>
      </c>
      <c r="BQ201" s="254">
        <v>0</v>
      </c>
      <c r="BR201" s="254">
        <v>0</v>
      </c>
      <c r="BS201" s="254">
        <v>0</v>
      </c>
      <c r="BT201" s="254">
        <v>0</v>
      </c>
      <c r="BU201" s="254">
        <v>0</v>
      </c>
      <c r="BV201" s="254">
        <v>0</v>
      </c>
      <c r="BW201" s="254">
        <v>0</v>
      </c>
      <c r="BX201" s="254">
        <v>0</v>
      </c>
      <c r="BY201" s="254">
        <v>0</v>
      </c>
      <c r="BZ201" s="254">
        <v>0</v>
      </c>
      <c r="CA201" s="254">
        <v>0</v>
      </c>
      <c r="CB201" s="254">
        <v>0</v>
      </c>
      <c r="CC201" s="254">
        <v>0</v>
      </c>
      <c r="CD201" s="254">
        <v>0</v>
      </c>
      <c r="CE201" s="254">
        <v>0</v>
      </c>
      <c r="CF201" s="254">
        <v>0</v>
      </c>
      <c r="CG201" s="254">
        <v>0</v>
      </c>
      <c r="CH201" s="254">
        <v>0</v>
      </c>
      <c r="CI201" s="254">
        <v>0</v>
      </c>
      <c r="CJ201" s="254">
        <v>0</v>
      </c>
      <c r="CK201" s="254">
        <v>0</v>
      </c>
      <c r="CL201" s="254">
        <v>0</v>
      </c>
      <c r="CM201" s="254">
        <v>0</v>
      </c>
      <c r="CN201" s="254">
        <v>0</v>
      </c>
      <c r="CO201" s="254">
        <v>0</v>
      </c>
      <c r="CP201" s="254">
        <v>0</v>
      </c>
      <c r="CQ201" s="116"/>
      <c r="CR201" s="255">
        <v>0</v>
      </c>
      <c r="CS201" s="255">
        <v>0</v>
      </c>
      <c r="CT201" s="255">
        <v>0</v>
      </c>
      <c r="CU201" s="255">
        <v>0</v>
      </c>
      <c r="CV201" s="255">
        <v>0</v>
      </c>
      <c r="CW201" s="255">
        <v>0</v>
      </c>
      <c r="CX201" s="255">
        <v>0</v>
      </c>
      <c r="CY201" s="255">
        <v>0</v>
      </c>
      <c r="CZ201" s="255">
        <v>0</v>
      </c>
      <c r="DA201" s="255">
        <v>0</v>
      </c>
      <c r="DB201" s="255">
        <v>0</v>
      </c>
      <c r="DC201" s="255">
        <v>0</v>
      </c>
      <c r="DD201" s="255">
        <v>0</v>
      </c>
      <c r="DE201" s="255">
        <v>0</v>
      </c>
      <c r="DF201" s="255">
        <v>0</v>
      </c>
      <c r="DG201" s="255">
        <v>0</v>
      </c>
      <c r="DH201" s="255">
        <v>0</v>
      </c>
      <c r="DI201" s="255">
        <v>0</v>
      </c>
      <c r="DJ201" s="255">
        <v>0</v>
      </c>
      <c r="DK201" s="255">
        <v>0</v>
      </c>
      <c r="DL201" s="255">
        <v>0</v>
      </c>
      <c r="DM201" s="255">
        <v>13314.6</v>
      </c>
      <c r="DN201" s="255">
        <v>13314.6</v>
      </c>
      <c r="DO201" s="255">
        <v>22191</v>
      </c>
      <c r="DP201" s="255">
        <v>22191</v>
      </c>
      <c r="DQ201" s="255">
        <v>22191</v>
      </c>
      <c r="DR201" s="255">
        <v>0</v>
      </c>
      <c r="DS201" s="255">
        <v>0</v>
      </c>
      <c r="DT201" s="255">
        <v>0</v>
      </c>
      <c r="DU201" s="255">
        <v>0</v>
      </c>
      <c r="DV201" s="255">
        <v>0</v>
      </c>
      <c r="DW201" s="255">
        <v>0</v>
      </c>
      <c r="DX201" s="255">
        <v>0</v>
      </c>
      <c r="DY201" s="255">
        <v>36564.800000000003</v>
      </c>
      <c r="DZ201" s="255">
        <v>22853</v>
      </c>
      <c r="EA201" s="255">
        <v>22853</v>
      </c>
      <c r="EB201" s="255">
        <v>22853</v>
      </c>
      <c r="EC201" s="255">
        <v>22853</v>
      </c>
      <c r="ED201" s="255">
        <v>0</v>
      </c>
      <c r="EE201" s="255">
        <v>0</v>
      </c>
      <c r="EF201" s="255">
        <v>0</v>
      </c>
      <c r="EG201" s="255">
        <v>0</v>
      </c>
      <c r="EH201" s="255">
        <v>0</v>
      </c>
      <c r="EI201" s="255">
        <v>0</v>
      </c>
      <c r="EJ201" s="255">
        <v>0</v>
      </c>
      <c r="EK201" s="255">
        <v>0</v>
      </c>
      <c r="EL201" s="255">
        <v>0</v>
      </c>
      <c r="EM201" s="255">
        <v>0</v>
      </c>
      <c r="EN201" s="255">
        <v>0</v>
      </c>
      <c r="EO201" s="255">
        <v>0</v>
      </c>
      <c r="EP201" s="255">
        <v>0</v>
      </c>
      <c r="EQ201" s="255">
        <v>0</v>
      </c>
      <c r="ER201" s="255">
        <v>0</v>
      </c>
      <c r="ES201" s="255">
        <v>0</v>
      </c>
      <c r="ET201" s="255">
        <v>0</v>
      </c>
      <c r="EU201" s="255">
        <v>0</v>
      </c>
      <c r="EV201" s="255">
        <v>0</v>
      </c>
      <c r="EW201" s="255">
        <v>0</v>
      </c>
      <c r="EX201" s="255">
        <v>0</v>
      </c>
      <c r="EY201" s="255">
        <v>0</v>
      </c>
      <c r="EZ201" s="255">
        <v>0</v>
      </c>
      <c r="FA201" s="255">
        <v>0</v>
      </c>
      <c r="FB201" s="255">
        <v>0</v>
      </c>
      <c r="FC201" s="255">
        <v>0</v>
      </c>
      <c r="FD201" s="255">
        <v>0</v>
      </c>
      <c r="FE201" s="255">
        <v>0</v>
      </c>
      <c r="FF201" s="255">
        <v>0</v>
      </c>
      <c r="FG201" s="255">
        <v>0</v>
      </c>
      <c r="FH201" s="255">
        <v>0</v>
      </c>
      <c r="FI201" s="255">
        <v>0</v>
      </c>
      <c r="FJ201" s="255">
        <v>0</v>
      </c>
      <c r="FK201" s="255">
        <v>0</v>
      </c>
      <c r="FL201" s="255">
        <v>0</v>
      </c>
      <c r="FM201" s="255">
        <v>0</v>
      </c>
      <c r="FN201" s="255">
        <v>0</v>
      </c>
      <c r="FO201" s="255">
        <v>0</v>
      </c>
      <c r="FP201" s="255">
        <v>0</v>
      </c>
      <c r="FQ201" s="255">
        <v>0</v>
      </c>
      <c r="FR201" s="255">
        <v>0</v>
      </c>
      <c r="FS201" s="255">
        <v>0</v>
      </c>
      <c r="FT201" s="255">
        <v>0</v>
      </c>
      <c r="FU201" s="255">
        <v>0</v>
      </c>
      <c r="FV201" s="255">
        <v>0</v>
      </c>
      <c r="FW201" s="255">
        <v>0</v>
      </c>
      <c r="FX201" s="116"/>
    </row>
    <row r="202" spans="2:180" x14ac:dyDescent="0.2">
      <c r="B202" s="253" t="s">
        <v>216</v>
      </c>
      <c r="C202" s="253" t="s">
        <v>328</v>
      </c>
      <c r="D202" s="253" t="s">
        <v>258</v>
      </c>
      <c r="E202" s="253" t="s">
        <v>127</v>
      </c>
      <c r="F202" s="253" t="s">
        <v>259</v>
      </c>
      <c r="G202" s="253" t="s">
        <v>260</v>
      </c>
      <c r="H202" s="237">
        <v>202.73</v>
      </c>
      <c r="I202" s="126">
        <f t="shared" si="88"/>
        <v>72853.479999999981</v>
      </c>
      <c r="J202" s="116"/>
      <c r="K202" s="254">
        <v>0</v>
      </c>
      <c r="L202" s="254">
        <v>0</v>
      </c>
      <c r="M202" s="254">
        <v>0</v>
      </c>
      <c r="N202" s="254">
        <v>0</v>
      </c>
      <c r="O202" s="254">
        <v>0</v>
      </c>
      <c r="P202" s="254">
        <v>0</v>
      </c>
      <c r="Q202" s="254">
        <v>0</v>
      </c>
      <c r="R202" s="254">
        <v>0</v>
      </c>
      <c r="S202" s="254">
        <v>0</v>
      </c>
      <c r="T202" s="254">
        <v>0</v>
      </c>
      <c r="U202" s="254">
        <v>0</v>
      </c>
      <c r="V202" s="254">
        <v>0</v>
      </c>
      <c r="W202" s="254">
        <v>0</v>
      </c>
      <c r="X202" s="254">
        <v>0</v>
      </c>
      <c r="Y202" s="254">
        <v>0</v>
      </c>
      <c r="Z202" s="254">
        <v>0</v>
      </c>
      <c r="AA202" s="254">
        <v>0</v>
      </c>
      <c r="AB202" s="254">
        <v>0</v>
      </c>
      <c r="AC202" s="254">
        <v>0.1</v>
      </c>
      <c r="AD202" s="254">
        <v>0.1</v>
      </c>
      <c r="AE202" s="254">
        <v>0.1</v>
      </c>
      <c r="AF202" s="254">
        <v>0.1</v>
      </c>
      <c r="AG202" s="254">
        <v>0.1</v>
      </c>
      <c r="AH202" s="254">
        <v>0.13333333333333333</v>
      </c>
      <c r="AI202" s="254">
        <v>0.13333333333333333</v>
      </c>
      <c r="AJ202" s="254">
        <v>0.1</v>
      </c>
      <c r="AK202" s="254">
        <v>0.1</v>
      </c>
      <c r="AL202" s="254">
        <v>0.13333333333333333</v>
      </c>
      <c r="AM202" s="254">
        <v>9.2105263157894732E-2</v>
      </c>
      <c r="AN202" s="254">
        <v>9.2105263157894732E-2</v>
      </c>
      <c r="AO202" s="254">
        <v>0.1</v>
      </c>
      <c r="AP202" s="254">
        <v>0.1</v>
      </c>
      <c r="AQ202" s="254">
        <v>0.1</v>
      </c>
      <c r="AR202" s="254">
        <v>0.1</v>
      </c>
      <c r="AS202" s="254">
        <v>0.1</v>
      </c>
      <c r="AT202" s="254">
        <v>0.13333333333333333</v>
      </c>
      <c r="AU202" s="254">
        <v>0.13333333333333333</v>
      </c>
      <c r="AV202" s="254">
        <v>0.1</v>
      </c>
      <c r="AW202" s="254">
        <v>0.1</v>
      </c>
      <c r="AX202" s="254">
        <v>0.13333333333333333</v>
      </c>
      <c r="AY202" s="254">
        <v>9.2105263157894732E-2</v>
      </c>
      <c r="AZ202" s="254">
        <v>9.2105263157894732E-2</v>
      </c>
      <c r="BA202" s="254">
        <v>0.1</v>
      </c>
      <c r="BB202" s="254">
        <v>0</v>
      </c>
      <c r="BC202" s="254">
        <v>0</v>
      </c>
      <c r="BD202" s="254">
        <v>0</v>
      </c>
      <c r="BE202" s="254">
        <v>0</v>
      </c>
      <c r="BF202" s="254">
        <v>0</v>
      </c>
      <c r="BG202" s="254">
        <v>0</v>
      </c>
      <c r="BH202" s="254">
        <v>0</v>
      </c>
      <c r="BI202" s="254">
        <v>0</v>
      </c>
      <c r="BJ202" s="254">
        <v>0</v>
      </c>
      <c r="BK202" s="254">
        <v>0</v>
      </c>
      <c r="BL202" s="254">
        <v>0</v>
      </c>
      <c r="BM202" s="254">
        <v>0</v>
      </c>
      <c r="BN202" s="254">
        <v>0</v>
      </c>
      <c r="BO202" s="254">
        <v>0</v>
      </c>
      <c r="BP202" s="254">
        <v>0</v>
      </c>
      <c r="BQ202" s="254">
        <v>0</v>
      </c>
      <c r="BR202" s="254">
        <v>0</v>
      </c>
      <c r="BS202" s="254">
        <v>0</v>
      </c>
      <c r="BT202" s="254">
        <v>0</v>
      </c>
      <c r="BU202" s="254">
        <v>0</v>
      </c>
      <c r="BV202" s="254">
        <v>0</v>
      </c>
      <c r="BW202" s="254">
        <v>0</v>
      </c>
      <c r="BX202" s="254">
        <v>0</v>
      </c>
      <c r="BY202" s="254">
        <v>0</v>
      </c>
      <c r="BZ202" s="254">
        <v>0</v>
      </c>
      <c r="CA202" s="254">
        <v>0</v>
      </c>
      <c r="CB202" s="254">
        <v>0</v>
      </c>
      <c r="CC202" s="254">
        <v>0</v>
      </c>
      <c r="CD202" s="254">
        <v>0</v>
      </c>
      <c r="CE202" s="254">
        <v>0</v>
      </c>
      <c r="CF202" s="254">
        <v>0</v>
      </c>
      <c r="CG202" s="254">
        <v>0</v>
      </c>
      <c r="CH202" s="254">
        <v>0</v>
      </c>
      <c r="CI202" s="254">
        <v>0</v>
      </c>
      <c r="CJ202" s="254">
        <v>0</v>
      </c>
      <c r="CK202" s="254">
        <v>0</v>
      </c>
      <c r="CL202" s="254">
        <v>0</v>
      </c>
      <c r="CM202" s="254">
        <v>0</v>
      </c>
      <c r="CN202" s="254">
        <v>0</v>
      </c>
      <c r="CO202" s="254">
        <v>0</v>
      </c>
      <c r="CP202" s="254">
        <v>0</v>
      </c>
      <c r="CQ202" s="116"/>
      <c r="CR202" s="255">
        <v>0</v>
      </c>
      <c r="CS202" s="255">
        <v>0</v>
      </c>
      <c r="CT202" s="255">
        <v>0</v>
      </c>
      <c r="CU202" s="255">
        <v>0</v>
      </c>
      <c r="CV202" s="255">
        <v>0</v>
      </c>
      <c r="CW202" s="255">
        <v>0</v>
      </c>
      <c r="CX202" s="255">
        <v>0</v>
      </c>
      <c r="CY202" s="255">
        <v>0</v>
      </c>
      <c r="CZ202" s="255">
        <v>0</v>
      </c>
      <c r="DA202" s="255">
        <v>0</v>
      </c>
      <c r="DB202" s="255">
        <v>0</v>
      </c>
      <c r="DC202" s="255">
        <v>0</v>
      </c>
      <c r="DD202" s="255">
        <v>0</v>
      </c>
      <c r="DE202" s="255">
        <v>0</v>
      </c>
      <c r="DF202" s="255">
        <v>0</v>
      </c>
      <c r="DG202" s="255">
        <v>0</v>
      </c>
      <c r="DH202" s="255">
        <v>0</v>
      </c>
      <c r="DI202" s="255">
        <v>0</v>
      </c>
      <c r="DJ202" s="255">
        <v>2838.22</v>
      </c>
      <c r="DK202" s="255">
        <v>2838.22</v>
      </c>
      <c r="DL202" s="255">
        <v>2838.22</v>
      </c>
      <c r="DM202" s="255">
        <v>2838.22</v>
      </c>
      <c r="DN202" s="255">
        <v>2838.22</v>
      </c>
      <c r="DO202" s="255">
        <v>2838.22</v>
      </c>
      <c r="DP202" s="255">
        <v>2838.22</v>
      </c>
      <c r="DQ202" s="255">
        <v>2838.22</v>
      </c>
      <c r="DR202" s="255">
        <v>2924.46</v>
      </c>
      <c r="DS202" s="255">
        <v>2924.46</v>
      </c>
      <c r="DT202" s="255">
        <v>2924.46</v>
      </c>
      <c r="DU202" s="255">
        <v>2924.46</v>
      </c>
      <c r="DV202" s="255">
        <v>2924.46</v>
      </c>
      <c r="DW202" s="255">
        <v>2924.46</v>
      </c>
      <c r="DX202" s="255">
        <v>2924.46</v>
      </c>
      <c r="DY202" s="255">
        <v>2924.46</v>
      </c>
      <c r="DZ202" s="255">
        <v>2924.46</v>
      </c>
      <c r="EA202" s="255">
        <v>2924.46</v>
      </c>
      <c r="EB202" s="255">
        <v>2924.46</v>
      </c>
      <c r="EC202" s="255">
        <v>2924.46</v>
      </c>
      <c r="ED202" s="255">
        <v>3010.84</v>
      </c>
      <c r="EE202" s="255">
        <v>3010.84</v>
      </c>
      <c r="EF202" s="255">
        <v>3010.84</v>
      </c>
      <c r="EG202" s="255">
        <v>3010.84</v>
      </c>
      <c r="EH202" s="255">
        <v>3010.84</v>
      </c>
      <c r="EI202" s="255">
        <v>0</v>
      </c>
      <c r="EJ202" s="255">
        <v>0</v>
      </c>
      <c r="EK202" s="255">
        <v>0</v>
      </c>
      <c r="EL202" s="255">
        <v>0</v>
      </c>
      <c r="EM202" s="255">
        <v>0</v>
      </c>
      <c r="EN202" s="255">
        <v>0</v>
      </c>
      <c r="EO202" s="255">
        <v>0</v>
      </c>
      <c r="EP202" s="255">
        <v>0</v>
      </c>
      <c r="EQ202" s="255">
        <v>0</v>
      </c>
      <c r="ER202" s="255">
        <v>0</v>
      </c>
      <c r="ES202" s="255">
        <v>0</v>
      </c>
      <c r="ET202" s="255">
        <v>0</v>
      </c>
      <c r="EU202" s="255">
        <v>0</v>
      </c>
      <c r="EV202" s="255">
        <v>0</v>
      </c>
      <c r="EW202" s="255">
        <v>0</v>
      </c>
      <c r="EX202" s="255">
        <v>0</v>
      </c>
      <c r="EY202" s="255">
        <v>0</v>
      </c>
      <c r="EZ202" s="255">
        <v>0</v>
      </c>
      <c r="FA202" s="255">
        <v>0</v>
      </c>
      <c r="FB202" s="255">
        <v>0</v>
      </c>
      <c r="FC202" s="255">
        <v>0</v>
      </c>
      <c r="FD202" s="255">
        <v>0</v>
      </c>
      <c r="FE202" s="255">
        <v>0</v>
      </c>
      <c r="FF202" s="255">
        <v>0</v>
      </c>
      <c r="FG202" s="255">
        <v>0</v>
      </c>
      <c r="FH202" s="255">
        <v>0</v>
      </c>
      <c r="FI202" s="255">
        <v>0</v>
      </c>
      <c r="FJ202" s="255">
        <v>0</v>
      </c>
      <c r="FK202" s="255">
        <v>0</v>
      </c>
      <c r="FL202" s="255">
        <v>0</v>
      </c>
      <c r="FM202" s="255">
        <v>0</v>
      </c>
      <c r="FN202" s="255">
        <v>0</v>
      </c>
      <c r="FO202" s="255">
        <v>0</v>
      </c>
      <c r="FP202" s="255">
        <v>0</v>
      </c>
      <c r="FQ202" s="255">
        <v>0</v>
      </c>
      <c r="FR202" s="255">
        <v>0</v>
      </c>
      <c r="FS202" s="255">
        <v>0</v>
      </c>
      <c r="FT202" s="255">
        <v>0</v>
      </c>
      <c r="FU202" s="255">
        <v>0</v>
      </c>
      <c r="FV202" s="255">
        <v>0</v>
      </c>
      <c r="FW202" s="255">
        <v>0</v>
      </c>
      <c r="FX202" s="116"/>
    </row>
    <row r="203" spans="2:180" x14ac:dyDescent="0.2">
      <c r="B203" s="253" t="s">
        <v>216</v>
      </c>
      <c r="C203" s="253" t="s">
        <v>271</v>
      </c>
      <c r="D203" s="253" t="s">
        <v>258</v>
      </c>
      <c r="E203" s="253" t="s">
        <v>127</v>
      </c>
      <c r="F203" s="253" t="s">
        <v>259</v>
      </c>
      <c r="G203" s="253" t="s">
        <v>260</v>
      </c>
      <c r="H203" s="237">
        <v>202.73</v>
      </c>
      <c r="I203" s="126">
        <f t="shared" si="88"/>
        <v>202340.59999999995</v>
      </c>
      <c r="J203" s="116"/>
      <c r="K203" s="254">
        <v>0</v>
      </c>
      <c r="L203" s="254">
        <v>0</v>
      </c>
      <c r="M203" s="254">
        <v>0</v>
      </c>
      <c r="N203" s="254">
        <v>0</v>
      </c>
      <c r="O203" s="254">
        <v>0</v>
      </c>
      <c r="P203" s="254">
        <v>0</v>
      </c>
      <c r="Q203" s="254">
        <v>0</v>
      </c>
      <c r="R203" s="254">
        <v>0</v>
      </c>
      <c r="S203" s="254">
        <v>0</v>
      </c>
      <c r="T203" s="254">
        <v>0</v>
      </c>
      <c r="U203" s="254">
        <v>0</v>
      </c>
      <c r="V203" s="254">
        <v>0</v>
      </c>
      <c r="W203" s="254">
        <v>0</v>
      </c>
      <c r="X203" s="254">
        <v>0</v>
      </c>
      <c r="Y203" s="254">
        <v>0</v>
      </c>
      <c r="Z203" s="254">
        <v>0</v>
      </c>
      <c r="AA203" s="254">
        <v>0</v>
      </c>
      <c r="AB203" s="254">
        <v>0</v>
      </c>
      <c r="AC203" s="254">
        <v>0.5</v>
      </c>
      <c r="AD203" s="254">
        <v>0.5</v>
      </c>
      <c r="AE203" s="254">
        <v>0.5</v>
      </c>
      <c r="AF203" s="254">
        <v>0.5</v>
      </c>
      <c r="AG203" s="254">
        <v>0</v>
      </c>
      <c r="AH203" s="254">
        <v>0.33333333333333331</v>
      </c>
      <c r="AI203" s="254">
        <v>0.33333333333333331</v>
      </c>
      <c r="AJ203" s="254">
        <v>0.25</v>
      </c>
      <c r="AK203" s="254">
        <v>0</v>
      </c>
      <c r="AL203" s="254">
        <v>0.66666666666666663</v>
      </c>
      <c r="AM203" s="254">
        <v>0.46052631578947367</v>
      </c>
      <c r="AN203" s="254">
        <v>0.46052631578947367</v>
      </c>
      <c r="AO203" s="254">
        <v>0.5</v>
      </c>
      <c r="AP203" s="254">
        <v>0.5</v>
      </c>
      <c r="AQ203" s="254">
        <v>0.5</v>
      </c>
      <c r="AR203" s="254">
        <v>0.25</v>
      </c>
      <c r="AS203" s="254">
        <v>0.25</v>
      </c>
      <c r="AT203" s="254">
        <v>0.33333333333333331</v>
      </c>
      <c r="AU203" s="254">
        <v>0.33333333333333331</v>
      </c>
      <c r="AV203" s="254">
        <v>0.25</v>
      </c>
      <c r="AW203" s="254">
        <v>0</v>
      </c>
      <c r="AX203" s="254">
        <v>0</v>
      </c>
      <c r="AY203" s="254">
        <v>0</v>
      </c>
      <c r="AZ203" s="254">
        <v>0</v>
      </c>
      <c r="BA203" s="254">
        <v>0</v>
      </c>
      <c r="BB203" s="254">
        <v>0</v>
      </c>
      <c r="BC203" s="254">
        <v>0</v>
      </c>
      <c r="BD203" s="254">
        <v>0</v>
      </c>
      <c r="BE203" s="254">
        <v>0</v>
      </c>
      <c r="BF203" s="254">
        <v>0</v>
      </c>
      <c r="BG203" s="254">
        <v>0</v>
      </c>
      <c r="BH203" s="254">
        <v>0</v>
      </c>
      <c r="BI203" s="254">
        <v>0</v>
      </c>
      <c r="BJ203" s="254">
        <v>0</v>
      </c>
      <c r="BK203" s="254">
        <v>0</v>
      </c>
      <c r="BL203" s="254">
        <v>0</v>
      </c>
      <c r="BM203" s="254">
        <v>0</v>
      </c>
      <c r="BN203" s="254">
        <v>0</v>
      </c>
      <c r="BO203" s="254">
        <v>0</v>
      </c>
      <c r="BP203" s="254">
        <v>0</v>
      </c>
      <c r="BQ203" s="254">
        <v>0</v>
      </c>
      <c r="BR203" s="254">
        <v>0</v>
      </c>
      <c r="BS203" s="254">
        <v>0</v>
      </c>
      <c r="BT203" s="254">
        <v>0</v>
      </c>
      <c r="BU203" s="254">
        <v>0</v>
      </c>
      <c r="BV203" s="254">
        <v>0</v>
      </c>
      <c r="BW203" s="254">
        <v>0</v>
      </c>
      <c r="BX203" s="254">
        <v>0</v>
      </c>
      <c r="BY203" s="254">
        <v>0</v>
      </c>
      <c r="BZ203" s="254">
        <v>0</v>
      </c>
      <c r="CA203" s="254">
        <v>0</v>
      </c>
      <c r="CB203" s="254">
        <v>0</v>
      </c>
      <c r="CC203" s="254">
        <v>0</v>
      </c>
      <c r="CD203" s="254">
        <v>0</v>
      </c>
      <c r="CE203" s="254">
        <v>0</v>
      </c>
      <c r="CF203" s="254">
        <v>0</v>
      </c>
      <c r="CG203" s="254">
        <v>0</v>
      </c>
      <c r="CH203" s="254">
        <v>0</v>
      </c>
      <c r="CI203" s="254">
        <v>0</v>
      </c>
      <c r="CJ203" s="254">
        <v>0</v>
      </c>
      <c r="CK203" s="254">
        <v>0</v>
      </c>
      <c r="CL203" s="254">
        <v>0</v>
      </c>
      <c r="CM203" s="254">
        <v>0</v>
      </c>
      <c r="CN203" s="254">
        <v>0</v>
      </c>
      <c r="CO203" s="254">
        <v>0</v>
      </c>
      <c r="CP203" s="254">
        <v>0</v>
      </c>
      <c r="CQ203" s="116"/>
      <c r="CR203" s="255">
        <v>0</v>
      </c>
      <c r="CS203" s="255">
        <v>0</v>
      </c>
      <c r="CT203" s="255">
        <v>0</v>
      </c>
      <c r="CU203" s="255">
        <v>0</v>
      </c>
      <c r="CV203" s="255">
        <v>0</v>
      </c>
      <c r="CW203" s="255">
        <v>0</v>
      </c>
      <c r="CX203" s="255">
        <v>0</v>
      </c>
      <c r="CY203" s="255">
        <v>0</v>
      </c>
      <c r="CZ203" s="255">
        <v>0</v>
      </c>
      <c r="DA203" s="255">
        <v>0</v>
      </c>
      <c r="DB203" s="255">
        <v>0</v>
      </c>
      <c r="DC203" s="255">
        <v>0</v>
      </c>
      <c r="DD203" s="255">
        <v>0</v>
      </c>
      <c r="DE203" s="255">
        <v>0</v>
      </c>
      <c r="DF203" s="255">
        <v>0</v>
      </c>
      <c r="DG203" s="255">
        <v>0</v>
      </c>
      <c r="DH203" s="255">
        <v>0</v>
      </c>
      <c r="DI203" s="255">
        <v>0</v>
      </c>
      <c r="DJ203" s="255">
        <v>14191.099999999999</v>
      </c>
      <c r="DK203" s="255">
        <v>14191.099999999999</v>
      </c>
      <c r="DL203" s="255">
        <v>14191.099999999999</v>
      </c>
      <c r="DM203" s="255">
        <v>14191.099999999999</v>
      </c>
      <c r="DN203" s="255">
        <v>0</v>
      </c>
      <c r="DO203" s="255">
        <v>7095.5499999999993</v>
      </c>
      <c r="DP203" s="255">
        <v>7095.5499999999993</v>
      </c>
      <c r="DQ203" s="255">
        <v>7095.5499999999993</v>
      </c>
      <c r="DR203" s="255">
        <v>0</v>
      </c>
      <c r="DS203" s="255">
        <v>14622.3</v>
      </c>
      <c r="DT203" s="255">
        <v>14622.3</v>
      </c>
      <c r="DU203" s="255">
        <v>14622.3</v>
      </c>
      <c r="DV203" s="255">
        <v>14622.3</v>
      </c>
      <c r="DW203" s="255">
        <v>14622.3</v>
      </c>
      <c r="DX203" s="255">
        <v>14622.3</v>
      </c>
      <c r="DY203" s="255">
        <v>7311.15</v>
      </c>
      <c r="DZ203" s="255">
        <v>7311.15</v>
      </c>
      <c r="EA203" s="255">
        <v>7311.15</v>
      </c>
      <c r="EB203" s="255">
        <v>7311.15</v>
      </c>
      <c r="EC203" s="255">
        <v>7311.15</v>
      </c>
      <c r="ED203" s="255">
        <v>0</v>
      </c>
      <c r="EE203" s="255">
        <v>0</v>
      </c>
      <c r="EF203" s="255">
        <v>0</v>
      </c>
      <c r="EG203" s="255">
        <v>0</v>
      </c>
      <c r="EH203" s="255">
        <v>0</v>
      </c>
      <c r="EI203" s="255">
        <v>0</v>
      </c>
      <c r="EJ203" s="255">
        <v>0</v>
      </c>
      <c r="EK203" s="255">
        <v>0</v>
      </c>
      <c r="EL203" s="255">
        <v>0</v>
      </c>
      <c r="EM203" s="255">
        <v>0</v>
      </c>
      <c r="EN203" s="255">
        <v>0</v>
      </c>
      <c r="EO203" s="255">
        <v>0</v>
      </c>
      <c r="EP203" s="255">
        <v>0</v>
      </c>
      <c r="EQ203" s="255">
        <v>0</v>
      </c>
      <c r="ER203" s="255">
        <v>0</v>
      </c>
      <c r="ES203" s="255">
        <v>0</v>
      </c>
      <c r="ET203" s="255">
        <v>0</v>
      </c>
      <c r="EU203" s="255">
        <v>0</v>
      </c>
      <c r="EV203" s="255">
        <v>0</v>
      </c>
      <c r="EW203" s="255">
        <v>0</v>
      </c>
      <c r="EX203" s="255">
        <v>0</v>
      </c>
      <c r="EY203" s="255">
        <v>0</v>
      </c>
      <c r="EZ203" s="255">
        <v>0</v>
      </c>
      <c r="FA203" s="255">
        <v>0</v>
      </c>
      <c r="FB203" s="255">
        <v>0</v>
      </c>
      <c r="FC203" s="255">
        <v>0</v>
      </c>
      <c r="FD203" s="255">
        <v>0</v>
      </c>
      <c r="FE203" s="255">
        <v>0</v>
      </c>
      <c r="FF203" s="255">
        <v>0</v>
      </c>
      <c r="FG203" s="255">
        <v>0</v>
      </c>
      <c r="FH203" s="255">
        <v>0</v>
      </c>
      <c r="FI203" s="255">
        <v>0</v>
      </c>
      <c r="FJ203" s="255">
        <v>0</v>
      </c>
      <c r="FK203" s="255">
        <v>0</v>
      </c>
      <c r="FL203" s="255">
        <v>0</v>
      </c>
      <c r="FM203" s="255">
        <v>0</v>
      </c>
      <c r="FN203" s="255">
        <v>0</v>
      </c>
      <c r="FO203" s="255">
        <v>0</v>
      </c>
      <c r="FP203" s="255">
        <v>0</v>
      </c>
      <c r="FQ203" s="255">
        <v>0</v>
      </c>
      <c r="FR203" s="255">
        <v>0</v>
      </c>
      <c r="FS203" s="255">
        <v>0</v>
      </c>
      <c r="FT203" s="255">
        <v>0</v>
      </c>
      <c r="FU203" s="255">
        <v>0</v>
      </c>
      <c r="FV203" s="255">
        <v>0</v>
      </c>
      <c r="FW203" s="255">
        <v>0</v>
      </c>
      <c r="FX203" s="116"/>
    </row>
    <row r="204" spans="2:180" x14ac:dyDescent="0.2">
      <c r="B204" s="253" t="s">
        <v>216</v>
      </c>
      <c r="C204" s="253" t="s">
        <v>329</v>
      </c>
      <c r="D204" s="253" t="s">
        <v>258</v>
      </c>
      <c r="E204" s="253" t="s">
        <v>127</v>
      </c>
      <c r="F204" s="253" t="s">
        <v>259</v>
      </c>
      <c r="G204" s="253" t="s">
        <v>260</v>
      </c>
      <c r="H204" s="237">
        <v>195.66</v>
      </c>
      <c r="I204" s="126">
        <f t="shared" si="88"/>
        <v>216765.70999999996</v>
      </c>
      <c r="J204" s="116"/>
      <c r="K204" s="254">
        <v>0</v>
      </c>
      <c r="L204" s="254">
        <v>0</v>
      </c>
      <c r="M204" s="254">
        <v>0</v>
      </c>
      <c r="N204" s="254">
        <v>0</v>
      </c>
      <c r="O204" s="254">
        <v>0</v>
      </c>
      <c r="P204" s="254">
        <v>0</v>
      </c>
      <c r="Q204" s="254">
        <v>0</v>
      </c>
      <c r="R204" s="254">
        <v>0</v>
      </c>
      <c r="S204" s="254">
        <v>0</v>
      </c>
      <c r="T204" s="254">
        <v>0</v>
      </c>
      <c r="U204" s="254">
        <v>0</v>
      </c>
      <c r="V204" s="254">
        <v>0</v>
      </c>
      <c r="W204" s="254">
        <v>0</v>
      </c>
      <c r="X204" s="254">
        <v>0</v>
      </c>
      <c r="Y204" s="254">
        <v>0.05</v>
      </c>
      <c r="Z204" s="254">
        <v>0</v>
      </c>
      <c r="AA204" s="254">
        <v>0</v>
      </c>
      <c r="AB204" s="254">
        <v>0</v>
      </c>
      <c r="AC204" s="254">
        <v>0</v>
      </c>
      <c r="AD204" s="254">
        <v>0</v>
      </c>
      <c r="AE204" s="254">
        <v>0</v>
      </c>
      <c r="AF204" s="254">
        <v>1.1000000000000001</v>
      </c>
      <c r="AG204" s="254">
        <v>1.55</v>
      </c>
      <c r="AH204" s="254">
        <v>0</v>
      </c>
      <c r="AI204" s="254">
        <v>2.0666666666666669</v>
      </c>
      <c r="AJ204" s="254">
        <v>1.5</v>
      </c>
      <c r="AK204" s="254">
        <v>0</v>
      </c>
      <c r="AL204" s="254">
        <v>0</v>
      </c>
      <c r="AM204" s="254">
        <v>0</v>
      </c>
      <c r="AN204" s="254">
        <v>0</v>
      </c>
      <c r="AO204" s="254">
        <v>0</v>
      </c>
      <c r="AP204" s="254">
        <v>0</v>
      </c>
      <c r="AQ204" s="254">
        <v>0</v>
      </c>
      <c r="AR204" s="254">
        <v>1.1000000000000001</v>
      </c>
      <c r="AS204" s="254">
        <v>0.5</v>
      </c>
      <c r="AT204" s="254">
        <v>0.66666666666666663</v>
      </c>
      <c r="AU204" s="254">
        <v>0</v>
      </c>
      <c r="AV204" s="254">
        <v>0</v>
      </c>
      <c r="AW204" s="254">
        <v>0</v>
      </c>
      <c r="AX204" s="254">
        <v>0</v>
      </c>
      <c r="AY204" s="254">
        <v>0</v>
      </c>
      <c r="AZ204" s="254">
        <v>0</v>
      </c>
      <c r="BA204" s="254">
        <v>0</v>
      </c>
      <c r="BB204" s="254">
        <v>0</v>
      </c>
      <c r="BC204" s="254">
        <v>0</v>
      </c>
      <c r="BD204" s="254">
        <v>0</v>
      </c>
      <c r="BE204" s="254">
        <v>0</v>
      </c>
      <c r="BF204" s="254">
        <v>0</v>
      </c>
      <c r="BG204" s="254">
        <v>0</v>
      </c>
      <c r="BH204" s="254">
        <v>0</v>
      </c>
      <c r="BI204" s="254">
        <v>0</v>
      </c>
      <c r="BJ204" s="254">
        <v>0</v>
      </c>
      <c r="BK204" s="254">
        <v>0</v>
      </c>
      <c r="BL204" s="254">
        <v>0</v>
      </c>
      <c r="BM204" s="254">
        <v>0</v>
      </c>
      <c r="BN204" s="254">
        <v>0</v>
      </c>
      <c r="BO204" s="254">
        <v>0</v>
      </c>
      <c r="BP204" s="254">
        <v>0</v>
      </c>
      <c r="BQ204" s="254">
        <v>0</v>
      </c>
      <c r="BR204" s="254">
        <v>0</v>
      </c>
      <c r="BS204" s="254">
        <v>0</v>
      </c>
      <c r="BT204" s="254">
        <v>0</v>
      </c>
      <c r="BU204" s="254">
        <v>0</v>
      </c>
      <c r="BV204" s="254">
        <v>0</v>
      </c>
      <c r="BW204" s="254">
        <v>0</v>
      </c>
      <c r="BX204" s="254">
        <v>0</v>
      </c>
      <c r="BY204" s="254">
        <v>0</v>
      </c>
      <c r="BZ204" s="254">
        <v>0</v>
      </c>
      <c r="CA204" s="254">
        <v>0</v>
      </c>
      <c r="CB204" s="254">
        <v>0</v>
      </c>
      <c r="CC204" s="254">
        <v>0</v>
      </c>
      <c r="CD204" s="254">
        <v>0</v>
      </c>
      <c r="CE204" s="254">
        <v>0</v>
      </c>
      <c r="CF204" s="254">
        <v>0</v>
      </c>
      <c r="CG204" s="254">
        <v>0</v>
      </c>
      <c r="CH204" s="254">
        <v>0</v>
      </c>
      <c r="CI204" s="254">
        <v>0</v>
      </c>
      <c r="CJ204" s="254">
        <v>0</v>
      </c>
      <c r="CK204" s="254">
        <v>0</v>
      </c>
      <c r="CL204" s="254">
        <v>0</v>
      </c>
      <c r="CM204" s="254">
        <v>0</v>
      </c>
      <c r="CN204" s="254">
        <v>0</v>
      </c>
      <c r="CO204" s="254">
        <v>0</v>
      </c>
      <c r="CP204" s="254">
        <v>0</v>
      </c>
      <c r="CQ204" s="116"/>
      <c r="CR204" s="255">
        <v>0</v>
      </c>
      <c r="CS204" s="255">
        <v>0</v>
      </c>
      <c r="CT204" s="255">
        <v>0</v>
      </c>
      <c r="CU204" s="255">
        <v>0</v>
      </c>
      <c r="CV204" s="255">
        <v>0</v>
      </c>
      <c r="CW204" s="255">
        <v>0</v>
      </c>
      <c r="CX204" s="255">
        <v>0</v>
      </c>
      <c r="CY204" s="255">
        <v>0</v>
      </c>
      <c r="CZ204" s="255">
        <v>0</v>
      </c>
      <c r="DA204" s="255">
        <v>0</v>
      </c>
      <c r="DB204" s="255">
        <v>0</v>
      </c>
      <c r="DC204" s="255">
        <v>0</v>
      </c>
      <c r="DD204" s="255">
        <v>0</v>
      </c>
      <c r="DE204" s="255">
        <v>0</v>
      </c>
      <c r="DF204" s="255">
        <v>1369.55</v>
      </c>
      <c r="DG204" s="255">
        <v>0</v>
      </c>
      <c r="DH204" s="255">
        <v>0</v>
      </c>
      <c r="DI204" s="255">
        <v>0</v>
      </c>
      <c r="DJ204" s="255">
        <v>0</v>
      </c>
      <c r="DK204" s="255">
        <v>0</v>
      </c>
      <c r="DL204" s="255">
        <v>0</v>
      </c>
      <c r="DM204" s="255">
        <v>30130.100000000002</v>
      </c>
      <c r="DN204" s="255">
        <v>42456.05</v>
      </c>
      <c r="DO204" s="255">
        <v>0</v>
      </c>
      <c r="DP204" s="255">
        <v>42456.05</v>
      </c>
      <c r="DQ204" s="255">
        <v>41086.5</v>
      </c>
      <c r="DR204" s="255">
        <v>0</v>
      </c>
      <c r="DS204" s="255">
        <v>0</v>
      </c>
      <c r="DT204" s="255">
        <v>0</v>
      </c>
      <c r="DU204" s="255">
        <v>0</v>
      </c>
      <c r="DV204" s="255">
        <v>0</v>
      </c>
      <c r="DW204" s="255">
        <v>0</v>
      </c>
      <c r="DX204" s="255">
        <v>0</v>
      </c>
      <c r="DY204" s="255">
        <v>31044.86</v>
      </c>
      <c r="DZ204" s="255">
        <v>14111.300000000001</v>
      </c>
      <c r="EA204" s="255">
        <v>14111.300000000001</v>
      </c>
      <c r="EB204" s="255">
        <v>0</v>
      </c>
      <c r="EC204" s="255">
        <v>0</v>
      </c>
      <c r="ED204" s="255">
        <v>0</v>
      </c>
      <c r="EE204" s="255">
        <v>0</v>
      </c>
      <c r="EF204" s="255">
        <v>0</v>
      </c>
      <c r="EG204" s="255">
        <v>0</v>
      </c>
      <c r="EH204" s="255">
        <v>0</v>
      </c>
      <c r="EI204" s="255">
        <v>0</v>
      </c>
      <c r="EJ204" s="255">
        <v>0</v>
      </c>
      <c r="EK204" s="255">
        <v>0</v>
      </c>
      <c r="EL204" s="255">
        <v>0</v>
      </c>
      <c r="EM204" s="255">
        <v>0</v>
      </c>
      <c r="EN204" s="255">
        <v>0</v>
      </c>
      <c r="EO204" s="255">
        <v>0</v>
      </c>
      <c r="EP204" s="255">
        <v>0</v>
      </c>
      <c r="EQ204" s="255">
        <v>0</v>
      </c>
      <c r="ER204" s="255">
        <v>0</v>
      </c>
      <c r="ES204" s="255">
        <v>0</v>
      </c>
      <c r="ET204" s="255">
        <v>0</v>
      </c>
      <c r="EU204" s="255">
        <v>0</v>
      </c>
      <c r="EV204" s="255">
        <v>0</v>
      </c>
      <c r="EW204" s="255">
        <v>0</v>
      </c>
      <c r="EX204" s="255">
        <v>0</v>
      </c>
      <c r="EY204" s="255">
        <v>0</v>
      </c>
      <c r="EZ204" s="255">
        <v>0</v>
      </c>
      <c r="FA204" s="255">
        <v>0</v>
      </c>
      <c r="FB204" s="255">
        <v>0</v>
      </c>
      <c r="FC204" s="255">
        <v>0</v>
      </c>
      <c r="FD204" s="255">
        <v>0</v>
      </c>
      <c r="FE204" s="255">
        <v>0</v>
      </c>
      <c r="FF204" s="255">
        <v>0</v>
      </c>
      <c r="FG204" s="255">
        <v>0</v>
      </c>
      <c r="FH204" s="255">
        <v>0</v>
      </c>
      <c r="FI204" s="255">
        <v>0</v>
      </c>
      <c r="FJ204" s="255">
        <v>0</v>
      </c>
      <c r="FK204" s="255">
        <v>0</v>
      </c>
      <c r="FL204" s="255">
        <v>0</v>
      </c>
      <c r="FM204" s="255">
        <v>0</v>
      </c>
      <c r="FN204" s="255">
        <v>0</v>
      </c>
      <c r="FO204" s="255">
        <v>0</v>
      </c>
      <c r="FP204" s="255">
        <v>0</v>
      </c>
      <c r="FQ204" s="255">
        <v>0</v>
      </c>
      <c r="FR204" s="255">
        <v>0</v>
      </c>
      <c r="FS204" s="255">
        <v>0</v>
      </c>
      <c r="FT204" s="255">
        <v>0</v>
      </c>
      <c r="FU204" s="255">
        <v>0</v>
      </c>
      <c r="FV204" s="255">
        <v>0</v>
      </c>
      <c r="FW204" s="255">
        <v>0</v>
      </c>
      <c r="FX204" s="116"/>
    </row>
    <row r="205" spans="2:180" x14ac:dyDescent="0.2">
      <c r="B205" s="253" t="s">
        <v>216</v>
      </c>
      <c r="C205" s="253" t="s">
        <v>329</v>
      </c>
      <c r="D205" s="253" t="s">
        <v>258</v>
      </c>
      <c r="E205" s="253" t="s">
        <v>127</v>
      </c>
      <c r="F205" s="253">
        <v>0</v>
      </c>
      <c r="G205" s="253" t="s">
        <v>322</v>
      </c>
      <c r="H205" s="237">
        <v>195.66</v>
      </c>
      <c r="I205" s="126">
        <f t="shared" si="88"/>
        <v>130437.99999999999</v>
      </c>
      <c r="J205" s="116"/>
      <c r="K205" s="254">
        <v>0</v>
      </c>
      <c r="L205" s="254">
        <v>0</v>
      </c>
      <c r="M205" s="254">
        <v>0</v>
      </c>
      <c r="N205" s="254">
        <v>0</v>
      </c>
      <c r="O205" s="254">
        <v>0</v>
      </c>
      <c r="P205" s="254">
        <v>0</v>
      </c>
      <c r="Q205" s="254">
        <v>0</v>
      </c>
      <c r="R205" s="254">
        <v>0</v>
      </c>
      <c r="S205" s="254">
        <v>0</v>
      </c>
      <c r="T205" s="254">
        <v>0</v>
      </c>
      <c r="U205" s="254">
        <v>0</v>
      </c>
      <c r="V205" s="254">
        <v>0</v>
      </c>
      <c r="W205" s="254">
        <v>0</v>
      </c>
      <c r="X205" s="254">
        <v>0</v>
      </c>
      <c r="Y205" s="254">
        <v>0</v>
      </c>
      <c r="Z205" s="254">
        <v>0</v>
      </c>
      <c r="AA205" s="254">
        <v>0</v>
      </c>
      <c r="AB205" s="254">
        <v>0</v>
      </c>
      <c r="AC205" s="254">
        <v>0</v>
      </c>
      <c r="AD205" s="254">
        <v>0</v>
      </c>
      <c r="AE205" s="254">
        <v>0</v>
      </c>
      <c r="AF205" s="254">
        <v>0.35714285714285715</v>
      </c>
      <c r="AG205" s="254">
        <v>0.35714285714285715</v>
      </c>
      <c r="AH205" s="254">
        <v>0</v>
      </c>
      <c r="AI205" s="254">
        <v>0.5714285714285714</v>
      </c>
      <c r="AJ205" s="254">
        <v>0.42857142857142855</v>
      </c>
      <c r="AK205" s="254">
        <v>0</v>
      </c>
      <c r="AL205" s="254">
        <v>0</v>
      </c>
      <c r="AM205" s="254">
        <v>0</v>
      </c>
      <c r="AN205" s="254">
        <v>0</v>
      </c>
      <c r="AO205" s="254">
        <v>0</v>
      </c>
      <c r="AP205" s="254">
        <v>0</v>
      </c>
      <c r="AQ205" s="254">
        <v>0</v>
      </c>
      <c r="AR205" s="254">
        <v>0.35714285714285715</v>
      </c>
      <c r="AS205" s="254">
        <v>0.21428571428571427</v>
      </c>
      <c r="AT205" s="254">
        <v>0.2857142857142857</v>
      </c>
      <c r="AU205" s="254">
        <v>0</v>
      </c>
      <c r="AV205" s="254">
        <v>0</v>
      </c>
      <c r="AW205" s="254">
        <v>0</v>
      </c>
      <c r="AX205" s="254">
        <v>0</v>
      </c>
      <c r="AY205" s="254">
        <v>0</v>
      </c>
      <c r="AZ205" s="254">
        <v>0</v>
      </c>
      <c r="BA205" s="254">
        <v>0</v>
      </c>
      <c r="BB205" s="254">
        <v>0</v>
      </c>
      <c r="BC205" s="254">
        <v>0</v>
      </c>
      <c r="BD205" s="254">
        <v>0</v>
      </c>
      <c r="BE205" s="254">
        <v>0</v>
      </c>
      <c r="BF205" s="254">
        <v>0</v>
      </c>
      <c r="BG205" s="254">
        <v>0</v>
      </c>
      <c r="BH205" s="254">
        <v>0</v>
      </c>
      <c r="BI205" s="254">
        <v>0</v>
      </c>
      <c r="BJ205" s="254">
        <v>0</v>
      </c>
      <c r="BK205" s="254">
        <v>0</v>
      </c>
      <c r="BL205" s="254">
        <v>0</v>
      </c>
      <c r="BM205" s="254">
        <v>0</v>
      </c>
      <c r="BN205" s="254">
        <v>0</v>
      </c>
      <c r="BO205" s="254">
        <v>0</v>
      </c>
      <c r="BP205" s="254">
        <v>0</v>
      </c>
      <c r="BQ205" s="254">
        <v>0</v>
      </c>
      <c r="BR205" s="254">
        <v>0</v>
      </c>
      <c r="BS205" s="254">
        <v>0</v>
      </c>
      <c r="BT205" s="254">
        <v>0</v>
      </c>
      <c r="BU205" s="254">
        <v>0</v>
      </c>
      <c r="BV205" s="254">
        <v>0</v>
      </c>
      <c r="BW205" s="254">
        <v>0</v>
      </c>
      <c r="BX205" s="254">
        <v>0</v>
      </c>
      <c r="BY205" s="254">
        <v>0</v>
      </c>
      <c r="BZ205" s="254">
        <v>0</v>
      </c>
      <c r="CA205" s="254">
        <v>0</v>
      </c>
      <c r="CB205" s="254">
        <v>0</v>
      </c>
      <c r="CC205" s="254">
        <v>0</v>
      </c>
      <c r="CD205" s="254">
        <v>0</v>
      </c>
      <c r="CE205" s="254">
        <v>0</v>
      </c>
      <c r="CF205" s="254">
        <v>0</v>
      </c>
      <c r="CG205" s="254">
        <v>0</v>
      </c>
      <c r="CH205" s="254">
        <v>0</v>
      </c>
      <c r="CI205" s="254">
        <v>0</v>
      </c>
      <c r="CJ205" s="254">
        <v>0</v>
      </c>
      <c r="CK205" s="254">
        <v>0</v>
      </c>
      <c r="CL205" s="254">
        <v>0</v>
      </c>
      <c r="CM205" s="254">
        <v>0</v>
      </c>
      <c r="CN205" s="254">
        <v>0</v>
      </c>
      <c r="CO205" s="254">
        <v>0</v>
      </c>
      <c r="CP205" s="254">
        <v>0</v>
      </c>
      <c r="CQ205" s="116"/>
      <c r="CR205" s="255">
        <v>0</v>
      </c>
      <c r="CS205" s="255">
        <v>0</v>
      </c>
      <c r="CT205" s="255">
        <v>0</v>
      </c>
      <c r="CU205" s="255">
        <v>0</v>
      </c>
      <c r="CV205" s="255">
        <v>0</v>
      </c>
      <c r="CW205" s="255">
        <v>0</v>
      </c>
      <c r="CX205" s="255">
        <v>0</v>
      </c>
      <c r="CY205" s="255">
        <v>0</v>
      </c>
      <c r="CZ205" s="255">
        <v>0</v>
      </c>
      <c r="DA205" s="255">
        <v>0</v>
      </c>
      <c r="DB205" s="255">
        <v>0</v>
      </c>
      <c r="DC205" s="255">
        <v>0</v>
      </c>
      <c r="DD205" s="255">
        <v>0</v>
      </c>
      <c r="DE205" s="255">
        <v>0</v>
      </c>
      <c r="DF205" s="255">
        <v>0</v>
      </c>
      <c r="DG205" s="255">
        <v>0</v>
      </c>
      <c r="DH205" s="255">
        <v>0</v>
      </c>
      <c r="DI205" s="255">
        <v>0</v>
      </c>
      <c r="DJ205" s="255">
        <v>0</v>
      </c>
      <c r="DK205" s="255">
        <v>0</v>
      </c>
      <c r="DL205" s="255">
        <v>0</v>
      </c>
      <c r="DM205" s="255">
        <v>19565.5</v>
      </c>
      <c r="DN205" s="255">
        <v>19565.5</v>
      </c>
      <c r="DO205" s="255">
        <v>0</v>
      </c>
      <c r="DP205" s="255">
        <v>23478.6</v>
      </c>
      <c r="DQ205" s="255">
        <v>23478.6</v>
      </c>
      <c r="DR205" s="255">
        <v>0</v>
      </c>
      <c r="DS205" s="255">
        <v>0</v>
      </c>
      <c r="DT205" s="255">
        <v>0</v>
      </c>
      <c r="DU205" s="255">
        <v>0</v>
      </c>
      <c r="DV205" s="255">
        <v>0</v>
      </c>
      <c r="DW205" s="255">
        <v>0</v>
      </c>
      <c r="DX205" s="255">
        <v>0</v>
      </c>
      <c r="DY205" s="255">
        <v>20159</v>
      </c>
      <c r="DZ205" s="255">
        <v>12095.4</v>
      </c>
      <c r="EA205" s="255">
        <v>12095.4</v>
      </c>
      <c r="EB205" s="255">
        <v>0</v>
      </c>
      <c r="EC205" s="255">
        <v>0</v>
      </c>
      <c r="ED205" s="255">
        <v>0</v>
      </c>
      <c r="EE205" s="255">
        <v>0</v>
      </c>
      <c r="EF205" s="255">
        <v>0</v>
      </c>
      <c r="EG205" s="255">
        <v>0</v>
      </c>
      <c r="EH205" s="255">
        <v>0</v>
      </c>
      <c r="EI205" s="255">
        <v>0</v>
      </c>
      <c r="EJ205" s="255">
        <v>0</v>
      </c>
      <c r="EK205" s="255">
        <v>0</v>
      </c>
      <c r="EL205" s="255">
        <v>0</v>
      </c>
      <c r="EM205" s="255">
        <v>0</v>
      </c>
      <c r="EN205" s="255">
        <v>0</v>
      </c>
      <c r="EO205" s="255">
        <v>0</v>
      </c>
      <c r="EP205" s="255">
        <v>0</v>
      </c>
      <c r="EQ205" s="255">
        <v>0</v>
      </c>
      <c r="ER205" s="255">
        <v>0</v>
      </c>
      <c r="ES205" s="255">
        <v>0</v>
      </c>
      <c r="ET205" s="255">
        <v>0</v>
      </c>
      <c r="EU205" s="255">
        <v>0</v>
      </c>
      <c r="EV205" s="255">
        <v>0</v>
      </c>
      <c r="EW205" s="255">
        <v>0</v>
      </c>
      <c r="EX205" s="255">
        <v>0</v>
      </c>
      <c r="EY205" s="255">
        <v>0</v>
      </c>
      <c r="EZ205" s="255">
        <v>0</v>
      </c>
      <c r="FA205" s="255">
        <v>0</v>
      </c>
      <c r="FB205" s="255">
        <v>0</v>
      </c>
      <c r="FC205" s="255">
        <v>0</v>
      </c>
      <c r="FD205" s="255">
        <v>0</v>
      </c>
      <c r="FE205" s="255">
        <v>0</v>
      </c>
      <c r="FF205" s="255">
        <v>0</v>
      </c>
      <c r="FG205" s="255">
        <v>0</v>
      </c>
      <c r="FH205" s="255">
        <v>0</v>
      </c>
      <c r="FI205" s="255">
        <v>0</v>
      </c>
      <c r="FJ205" s="255">
        <v>0</v>
      </c>
      <c r="FK205" s="255">
        <v>0</v>
      </c>
      <c r="FL205" s="255">
        <v>0</v>
      </c>
      <c r="FM205" s="255">
        <v>0</v>
      </c>
      <c r="FN205" s="255">
        <v>0</v>
      </c>
      <c r="FO205" s="255">
        <v>0</v>
      </c>
      <c r="FP205" s="255">
        <v>0</v>
      </c>
      <c r="FQ205" s="255">
        <v>0</v>
      </c>
      <c r="FR205" s="255">
        <v>0</v>
      </c>
      <c r="FS205" s="255">
        <v>0</v>
      </c>
      <c r="FT205" s="255">
        <v>0</v>
      </c>
      <c r="FU205" s="255">
        <v>0</v>
      </c>
      <c r="FV205" s="255">
        <v>0</v>
      </c>
      <c r="FW205" s="255">
        <v>0</v>
      </c>
      <c r="FX205" s="116"/>
    </row>
    <row r="206" spans="2:180" x14ac:dyDescent="0.2">
      <c r="B206" s="253" t="s">
        <v>216</v>
      </c>
      <c r="C206" s="253" t="s">
        <v>330</v>
      </c>
      <c r="D206" s="253" t="s">
        <v>258</v>
      </c>
      <c r="E206" s="253" t="s">
        <v>127</v>
      </c>
      <c r="F206" s="253" t="s">
        <v>259</v>
      </c>
      <c r="G206" s="253" t="s">
        <v>260</v>
      </c>
      <c r="H206" s="237">
        <v>157.53</v>
      </c>
      <c r="I206" s="126">
        <f t="shared" si="88"/>
        <v>1017671.6500000001</v>
      </c>
      <c r="J206" s="116"/>
      <c r="K206" s="254">
        <v>0</v>
      </c>
      <c r="L206" s="254">
        <v>0</v>
      </c>
      <c r="M206" s="254">
        <v>0</v>
      </c>
      <c r="N206" s="254">
        <v>0</v>
      </c>
      <c r="O206" s="254">
        <v>0</v>
      </c>
      <c r="P206" s="254">
        <v>0</v>
      </c>
      <c r="Q206" s="254">
        <v>0</v>
      </c>
      <c r="R206" s="254">
        <v>0</v>
      </c>
      <c r="S206" s="254">
        <v>0</v>
      </c>
      <c r="T206" s="254">
        <v>0</v>
      </c>
      <c r="U206" s="254">
        <v>0</v>
      </c>
      <c r="V206" s="254">
        <v>0</v>
      </c>
      <c r="W206" s="254">
        <v>0</v>
      </c>
      <c r="X206" s="254">
        <v>0</v>
      </c>
      <c r="Y206" s="254">
        <v>0.25</v>
      </c>
      <c r="Z206" s="254">
        <v>0</v>
      </c>
      <c r="AA206" s="254">
        <v>0</v>
      </c>
      <c r="AB206" s="254">
        <v>1.243421052631579</v>
      </c>
      <c r="AC206" s="254">
        <v>1.425</v>
      </c>
      <c r="AD206" s="254">
        <v>1.125</v>
      </c>
      <c r="AE206" s="254">
        <v>1.35</v>
      </c>
      <c r="AF206" s="254">
        <v>1.35</v>
      </c>
      <c r="AG206" s="254">
        <v>1.2749999999999999</v>
      </c>
      <c r="AH206" s="254">
        <v>1.2</v>
      </c>
      <c r="AI206" s="254">
        <v>2.2999999999999998</v>
      </c>
      <c r="AJ206" s="254">
        <v>1.2</v>
      </c>
      <c r="AK206" s="254">
        <v>1.2</v>
      </c>
      <c r="AL206" s="254">
        <v>1.9</v>
      </c>
      <c r="AM206" s="254">
        <v>1.243421052631579</v>
      </c>
      <c r="AN206" s="254">
        <v>1.174342105263158</v>
      </c>
      <c r="AO206" s="254">
        <v>1.35</v>
      </c>
      <c r="AP206" s="254">
        <v>1.2749999999999999</v>
      </c>
      <c r="AQ206" s="254">
        <v>1.35</v>
      </c>
      <c r="AR206" s="254">
        <v>1.35</v>
      </c>
      <c r="AS206" s="254">
        <v>1.2749999999999999</v>
      </c>
      <c r="AT206" s="254">
        <v>1.6</v>
      </c>
      <c r="AU206" s="254">
        <v>1.9</v>
      </c>
      <c r="AV206" s="254">
        <v>1.2</v>
      </c>
      <c r="AW206" s="254">
        <v>1.425</v>
      </c>
      <c r="AX206" s="254">
        <v>1.6</v>
      </c>
      <c r="AY206" s="254">
        <v>1.3125</v>
      </c>
      <c r="AZ206" s="254">
        <v>1.3125</v>
      </c>
      <c r="BA206" s="254">
        <v>1.2</v>
      </c>
      <c r="BB206" s="254">
        <v>1.35</v>
      </c>
      <c r="BC206" s="254">
        <v>1.2749999999999999</v>
      </c>
      <c r="BD206" s="254">
        <v>1.35</v>
      </c>
      <c r="BE206" s="254">
        <v>6.3571428571428568</v>
      </c>
      <c r="BF206" s="254">
        <v>0</v>
      </c>
      <c r="BG206" s="254">
        <v>0</v>
      </c>
      <c r="BH206" s="254">
        <v>0</v>
      </c>
      <c r="BI206" s="254">
        <v>0</v>
      </c>
      <c r="BJ206" s="254">
        <v>0</v>
      </c>
      <c r="BK206" s="254">
        <v>0</v>
      </c>
      <c r="BL206" s="254">
        <v>0</v>
      </c>
      <c r="BM206" s="254">
        <v>0</v>
      </c>
      <c r="BN206" s="254">
        <v>0</v>
      </c>
      <c r="BO206" s="254">
        <v>0</v>
      </c>
      <c r="BP206" s="254">
        <v>0</v>
      </c>
      <c r="BQ206" s="254">
        <v>0</v>
      </c>
      <c r="BR206" s="254">
        <v>0</v>
      </c>
      <c r="BS206" s="254">
        <v>0</v>
      </c>
      <c r="BT206" s="254">
        <v>0</v>
      </c>
      <c r="BU206" s="254">
        <v>0</v>
      </c>
      <c r="BV206" s="254">
        <v>0</v>
      </c>
      <c r="BW206" s="254">
        <v>0</v>
      </c>
      <c r="BX206" s="254">
        <v>0</v>
      </c>
      <c r="BY206" s="254">
        <v>0</v>
      </c>
      <c r="BZ206" s="254">
        <v>0</v>
      </c>
      <c r="CA206" s="254">
        <v>0</v>
      </c>
      <c r="CB206" s="254">
        <v>0</v>
      </c>
      <c r="CC206" s="254">
        <v>0</v>
      </c>
      <c r="CD206" s="254">
        <v>0</v>
      </c>
      <c r="CE206" s="254">
        <v>0</v>
      </c>
      <c r="CF206" s="254">
        <v>0</v>
      </c>
      <c r="CG206" s="254">
        <v>0</v>
      </c>
      <c r="CH206" s="254">
        <v>0</v>
      </c>
      <c r="CI206" s="254">
        <v>0</v>
      </c>
      <c r="CJ206" s="254">
        <v>0</v>
      </c>
      <c r="CK206" s="254">
        <v>0</v>
      </c>
      <c r="CL206" s="254">
        <v>0</v>
      </c>
      <c r="CM206" s="254">
        <v>0</v>
      </c>
      <c r="CN206" s="254">
        <v>0</v>
      </c>
      <c r="CO206" s="254">
        <v>0</v>
      </c>
      <c r="CP206" s="254">
        <v>0</v>
      </c>
      <c r="CQ206" s="116"/>
      <c r="CR206" s="255">
        <v>0</v>
      </c>
      <c r="CS206" s="255">
        <v>0</v>
      </c>
      <c r="CT206" s="255">
        <v>0</v>
      </c>
      <c r="CU206" s="255">
        <v>0</v>
      </c>
      <c r="CV206" s="255">
        <v>0</v>
      </c>
      <c r="CW206" s="255">
        <v>0</v>
      </c>
      <c r="CX206" s="255">
        <v>0</v>
      </c>
      <c r="CY206" s="255">
        <v>0</v>
      </c>
      <c r="CZ206" s="255">
        <v>0</v>
      </c>
      <c r="DA206" s="255">
        <v>0</v>
      </c>
      <c r="DB206" s="255">
        <v>0</v>
      </c>
      <c r="DC206" s="255">
        <v>0</v>
      </c>
      <c r="DD206" s="255">
        <v>0</v>
      </c>
      <c r="DE206" s="255">
        <v>0</v>
      </c>
      <c r="DF206" s="255">
        <v>5513.55</v>
      </c>
      <c r="DG206" s="255">
        <v>0</v>
      </c>
      <c r="DH206" s="255">
        <v>0</v>
      </c>
      <c r="DI206" s="255">
        <v>29773.170000000002</v>
      </c>
      <c r="DJ206" s="255">
        <v>31427.235000000001</v>
      </c>
      <c r="DK206" s="255">
        <v>24810.974999999999</v>
      </c>
      <c r="DL206" s="255">
        <v>29773.170000000002</v>
      </c>
      <c r="DM206" s="255">
        <v>29773.170000000002</v>
      </c>
      <c r="DN206" s="255">
        <v>28119.105</v>
      </c>
      <c r="DO206" s="255">
        <v>19848.78</v>
      </c>
      <c r="DP206" s="255">
        <v>38043.495000000003</v>
      </c>
      <c r="DQ206" s="255">
        <v>26465.040000000001</v>
      </c>
      <c r="DR206" s="255">
        <v>27269.759999999998</v>
      </c>
      <c r="DS206" s="255">
        <v>32382.84</v>
      </c>
      <c r="DT206" s="255">
        <v>30678.48</v>
      </c>
      <c r="DU206" s="255">
        <v>28974.12</v>
      </c>
      <c r="DV206" s="255">
        <v>30678.48</v>
      </c>
      <c r="DW206" s="255">
        <v>28974.12</v>
      </c>
      <c r="DX206" s="255">
        <v>30678.48</v>
      </c>
      <c r="DY206" s="255">
        <v>30678.48</v>
      </c>
      <c r="DZ206" s="255">
        <v>28974.12</v>
      </c>
      <c r="EA206" s="255">
        <v>27269.759999999998</v>
      </c>
      <c r="EB206" s="255">
        <v>32382.84</v>
      </c>
      <c r="EC206" s="255">
        <v>27269.759999999998</v>
      </c>
      <c r="ED206" s="255">
        <v>33340.44</v>
      </c>
      <c r="EE206" s="255">
        <v>28076.16</v>
      </c>
      <c r="EF206" s="255">
        <v>33340.44</v>
      </c>
      <c r="EG206" s="255">
        <v>33340.44</v>
      </c>
      <c r="EH206" s="255">
        <v>28076.16</v>
      </c>
      <c r="EI206" s="255">
        <v>31585.68</v>
      </c>
      <c r="EJ206" s="255">
        <v>29830.920000000002</v>
      </c>
      <c r="EK206" s="255">
        <v>31585.68</v>
      </c>
      <c r="EL206" s="255">
        <v>148736.80000000002</v>
      </c>
      <c r="EM206" s="255">
        <v>0</v>
      </c>
      <c r="EN206" s="255">
        <v>0</v>
      </c>
      <c r="EO206" s="255">
        <v>0</v>
      </c>
      <c r="EP206" s="255">
        <v>0</v>
      </c>
      <c r="EQ206" s="255">
        <v>0</v>
      </c>
      <c r="ER206" s="255">
        <v>0</v>
      </c>
      <c r="ES206" s="255">
        <v>0</v>
      </c>
      <c r="ET206" s="255">
        <v>0</v>
      </c>
      <c r="EU206" s="255">
        <v>0</v>
      </c>
      <c r="EV206" s="255">
        <v>0</v>
      </c>
      <c r="EW206" s="255">
        <v>0</v>
      </c>
      <c r="EX206" s="255">
        <v>0</v>
      </c>
      <c r="EY206" s="255">
        <v>0</v>
      </c>
      <c r="EZ206" s="255">
        <v>0</v>
      </c>
      <c r="FA206" s="255">
        <v>0</v>
      </c>
      <c r="FB206" s="255">
        <v>0</v>
      </c>
      <c r="FC206" s="255">
        <v>0</v>
      </c>
      <c r="FD206" s="255">
        <v>0</v>
      </c>
      <c r="FE206" s="255">
        <v>0</v>
      </c>
      <c r="FF206" s="255">
        <v>0</v>
      </c>
      <c r="FG206" s="255">
        <v>0</v>
      </c>
      <c r="FH206" s="255">
        <v>0</v>
      </c>
      <c r="FI206" s="255">
        <v>0</v>
      </c>
      <c r="FJ206" s="255">
        <v>0</v>
      </c>
      <c r="FK206" s="255">
        <v>0</v>
      </c>
      <c r="FL206" s="255">
        <v>0</v>
      </c>
      <c r="FM206" s="255">
        <v>0</v>
      </c>
      <c r="FN206" s="255">
        <v>0</v>
      </c>
      <c r="FO206" s="255">
        <v>0</v>
      </c>
      <c r="FP206" s="255">
        <v>0</v>
      </c>
      <c r="FQ206" s="255">
        <v>0</v>
      </c>
      <c r="FR206" s="255">
        <v>0</v>
      </c>
      <c r="FS206" s="255">
        <v>0</v>
      </c>
      <c r="FT206" s="255">
        <v>0</v>
      </c>
      <c r="FU206" s="255">
        <v>0</v>
      </c>
      <c r="FV206" s="255">
        <v>0</v>
      </c>
      <c r="FW206" s="255">
        <v>0</v>
      </c>
      <c r="FX206" s="116"/>
    </row>
    <row r="207" spans="2:180" x14ac:dyDescent="0.2">
      <c r="B207" s="253" t="s">
        <v>216</v>
      </c>
      <c r="C207" s="253" t="s">
        <v>330</v>
      </c>
      <c r="D207" s="253" t="s">
        <v>258</v>
      </c>
      <c r="E207" s="253" t="s">
        <v>127</v>
      </c>
      <c r="F207" s="253">
        <v>0</v>
      </c>
      <c r="G207" s="253" t="s">
        <v>322</v>
      </c>
      <c r="H207" s="237">
        <v>157.53</v>
      </c>
      <c r="I207" s="126">
        <f t="shared" si="88"/>
        <v>1490492.57</v>
      </c>
      <c r="J207" s="116"/>
      <c r="K207" s="254">
        <v>0</v>
      </c>
      <c r="L207" s="254">
        <v>0</v>
      </c>
      <c r="M207" s="254">
        <v>0</v>
      </c>
      <c r="N207" s="254">
        <v>0</v>
      </c>
      <c r="O207" s="254">
        <v>0</v>
      </c>
      <c r="P207" s="254">
        <v>0</v>
      </c>
      <c r="Q207" s="254">
        <v>0</v>
      </c>
      <c r="R207" s="254">
        <v>0</v>
      </c>
      <c r="S207" s="254">
        <v>0</v>
      </c>
      <c r="T207" s="254">
        <v>0</v>
      </c>
      <c r="U207" s="254">
        <v>0</v>
      </c>
      <c r="V207" s="254">
        <v>0</v>
      </c>
      <c r="W207" s="254">
        <v>0</v>
      </c>
      <c r="X207" s="254">
        <v>0</v>
      </c>
      <c r="Y207" s="254">
        <v>7.1428571428571425E-2</v>
      </c>
      <c r="Z207" s="254">
        <v>0</v>
      </c>
      <c r="AA207" s="254">
        <v>0</v>
      </c>
      <c r="AB207" s="254">
        <v>1.006578947368421</v>
      </c>
      <c r="AC207" s="254">
        <v>1.3821428571428571</v>
      </c>
      <c r="AD207" s="254">
        <v>0.99642857142857144</v>
      </c>
      <c r="AE207" s="254">
        <v>1.0928571428571427</v>
      </c>
      <c r="AF207" s="254">
        <v>1.0928571428571427</v>
      </c>
      <c r="AG207" s="254">
        <v>1.0607142857142857</v>
      </c>
      <c r="AH207" s="254">
        <v>1.2</v>
      </c>
      <c r="AI207" s="254">
        <v>2.0142857142857142</v>
      </c>
      <c r="AJ207" s="254">
        <v>1.0285714285714285</v>
      </c>
      <c r="AK207" s="254">
        <v>1.0285714285714285</v>
      </c>
      <c r="AL207" s="254">
        <v>1.5</v>
      </c>
      <c r="AM207" s="254">
        <v>1.125</v>
      </c>
      <c r="AN207" s="254">
        <v>1.0953947368421053</v>
      </c>
      <c r="AO207" s="254">
        <v>1.0928571428571427</v>
      </c>
      <c r="AP207" s="254">
        <v>1.0607142857142857</v>
      </c>
      <c r="AQ207" s="254">
        <v>1.0928571428571427</v>
      </c>
      <c r="AR207" s="254">
        <v>1.0928571428571427</v>
      </c>
      <c r="AS207" s="254">
        <v>1.3178571428571428</v>
      </c>
      <c r="AT207" s="254">
        <v>1.0285714285714285</v>
      </c>
      <c r="AU207" s="254">
        <v>1.8428571428571427</v>
      </c>
      <c r="AV207" s="254">
        <v>1.0285714285714285</v>
      </c>
      <c r="AW207" s="254">
        <v>1.125</v>
      </c>
      <c r="AX207" s="254">
        <v>1.3714285714285714</v>
      </c>
      <c r="AY207" s="254">
        <v>1.2730263157894737</v>
      </c>
      <c r="AZ207" s="254">
        <v>1.2730263157894737</v>
      </c>
      <c r="BA207" s="254">
        <v>1.0285714285714285</v>
      </c>
      <c r="BB207" s="254">
        <v>1.0928571428571427</v>
      </c>
      <c r="BC207" s="254">
        <v>1.0607142857142857</v>
      </c>
      <c r="BD207" s="254">
        <v>1.0928571428571427</v>
      </c>
      <c r="BE207" s="254">
        <v>0</v>
      </c>
      <c r="BF207" s="254">
        <v>0</v>
      </c>
      <c r="BG207" s="254">
        <v>0</v>
      </c>
      <c r="BH207" s="254">
        <v>0</v>
      </c>
      <c r="BI207" s="254">
        <v>0</v>
      </c>
      <c r="BJ207" s="254">
        <v>0</v>
      </c>
      <c r="BK207" s="254">
        <v>0</v>
      </c>
      <c r="BL207" s="254">
        <v>0</v>
      </c>
      <c r="BM207" s="254">
        <v>0</v>
      </c>
      <c r="BN207" s="254">
        <v>0</v>
      </c>
      <c r="BO207" s="254">
        <v>0</v>
      </c>
      <c r="BP207" s="254">
        <v>0</v>
      </c>
      <c r="BQ207" s="254">
        <v>0</v>
      </c>
      <c r="BR207" s="254">
        <v>0</v>
      </c>
      <c r="BS207" s="254">
        <v>0</v>
      </c>
      <c r="BT207" s="254">
        <v>0</v>
      </c>
      <c r="BU207" s="254">
        <v>0</v>
      </c>
      <c r="BV207" s="254">
        <v>0</v>
      </c>
      <c r="BW207" s="254">
        <v>0</v>
      </c>
      <c r="BX207" s="254">
        <v>0</v>
      </c>
      <c r="BY207" s="254">
        <v>0</v>
      </c>
      <c r="BZ207" s="254">
        <v>0</v>
      </c>
      <c r="CA207" s="254">
        <v>0</v>
      </c>
      <c r="CB207" s="254">
        <v>0</v>
      </c>
      <c r="CC207" s="254">
        <v>0</v>
      </c>
      <c r="CD207" s="254">
        <v>0</v>
      </c>
      <c r="CE207" s="254">
        <v>0</v>
      </c>
      <c r="CF207" s="254">
        <v>0</v>
      </c>
      <c r="CG207" s="254">
        <v>0</v>
      </c>
      <c r="CH207" s="254">
        <v>0</v>
      </c>
      <c r="CI207" s="254">
        <v>0</v>
      </c>
      <c r="CJ207" s="254">
        <v>0</v>
      </c>
      <c r="CK207" s="254">
        <v>0</v>
      </c>
      <c r="CL207" s="254">
        <v>0</v>
      </c>
      <c r="CM207" s="254">
        <v>0</v>
      </c>
      <c r="CN207" s="254">
        <v>0</v>
      </c>
      <c r="CO207" s="254">
        <v>0</v>
      </c>
      <c r="CP207" s="254">
        <v>0</v>
      </c>
      <c r="CQ207" s="116"/>
      <c r="CR207" s="255">
        <v>0</v>
      </c>
      <c r="CS207" s="255">
        <v>0</v>
      </c>
      <c r="CT207" s="255">
        <v>0</v>
      </c>
      <c r="CU207" s="255">
        <v>0</v>
      </c>
      <c r="CV207" s="255">
        <v>0</v>
      </c>
      <c r="CW207" s="255">
        <v>0</v>
      </c>
      <c r="CX207" s="255">
        <v>0</v>
      </c>
      <c r="CY207" s="255">
        <v>0</v>
      </c>
      <c r="CZ207" s="255">
        <v>0</v>
      </c>
      <c r="DA207" s="255">
        <v>0</v>
      </c>
      <c r="DB207" s="255">
        <v>0</v>
      </c>
      <c r="DC207" s="255">
        <v>0</v>
      </c>
      <c r="DD207" s="255">
        <v>0</v>
      </c>
      <c r="DE207" s="255">
        <v>0</v>
      </c>
      <c r="DF207" s="255">
        <v>3150.5</v>
      </c>
      <c r="DG207" s="255">
        <v>0</v>
      </c>
      <c r="DH207" s="255">
        <v>0</v>
      </c>
      <c r="DI207" s="255">
        <v>48202.65</v>
      </c>
      <c r="DJ207" s="255">
        <v>60962.175000000003</v>
      </c>
      <c r="DK207" s="255">
        <v>43949.474999999999</v>
      </c>
      <c r="DL207" s="255">
        <v>48202.65</v>
      </c>
      <c r="DM207" s="255">
        <v>48202.65</v>
      </c>
      <c r="DN207" s="255">
        <v>46784.925000000003</v>
      </c>
      <c r="DO207" s="255">
        <v>39696.300000000003</v>
      </c>
      <c r="DP207" s="255">
        <v>66633.074999999997</v>
      </c>
      <c r="DQ207" s="255">
        <v>45367.200000000004</v>
      </c>
      <c r="DR207" s="255">
        <v>46748.159999999996</v>
      </c>
      <c r="DS207" s="255">
        <v>51130.799999999996</v>
      </c>
      <c r="DT207" s="255">
        <v>55513.439999999995</v>
      </c>
      <c r="DU207" s="255">
        <v>54052.56</v>
      </c>
      <c r="DV207" s="255">
        <v>49669.919999999998</v>
      </c>
      <c r="DW207" s="255">
        <v>48209.04</v>
      </c>
      <c r="DX207" s="255">
        <v>49669.919999999998</v>
      </c>
      <c r="DY207" s="255">
        <v>49669.919999999998</v>
      </c>
      <c r="DZ207" s="255">
        <v>59896.079999999994</v>
      </c>
      <c r="EA207" s="255">
        <v>35061.119999999995</v>
      </c>
      <c r="EB207" s="255">
        <v>62817.84</v>
      </c>
      <c r="EC207" s="255">
        <v>46748.159999999996</v>
      </c>
      <c r="ED207" s="255">
        <v>52641.225000000006</v>
      </c>
      <c r="EE207" s="255">
        <v>48129.120000000003</v>
      </c>
      <c r="EF207" s="255">
        <v>64673.505000000005</v>
      </c>
      <c r="EG207" s="255">
        <v>64673.505000000005</v>
      </c>
      <c r="EH207" s="255">
        <v>48129.120000000003</v>
      </c>
      <c r="EI207" s="255">
        <v>51137.19</v>
      </c>
      <c r="EJ207" s="255">
        <v>49633.155000000006</v>
      </c>
      <c r="EK207" s="255">
        <v>51137.19</v>
      </c>
      <c r="EL207" s="255">
        <v>0</v>
      </c>
      <c r="EM207" s="255">
        <v>0</v>
      </c>
      <c r="EN207" s="255">
        <v>0</v>
      </c>
      <c r="EO207" s="255">
        <v>0</v>
      </c>
      <c r="EP207" s="255">
        <v>0</v>
      </c>
      <c r="EQ207" s="255">
        <v>0</v>
      </c>
      <c r="ER207" s="255">
        <v>0</v>
      </c>
      <c r="ES207" s="255">
        <v>0</v>
      </c>
      <c r="ET207" s="255">
        <v>0</v>
      </c>
      <c r="EU207" s="255">
        <v>0</v>
      </c>
      <c r="EV207" s="255">
        <v>0</v>
      </c>
      <c r="EW207" s="255">
        <v>0</v>
      </c>
      <c r="EX207" s="255">
        <v>0</v>
      </c>
      <c r="EY207" s="255">
        <v>0</v>
      </c>
      <c r="EZ207" s="255">
        <v>0</v>
      </c>
      <c r="FA207" s="255">
        <v>0</v>
      </c>
      <c r="FB207" s="255">
        <v>0</v>
      </c>
      <c r="FC207" s="255">
        <v>0</v>
      </c>
      <c r="FD207" s="255">
        <v>0</v>
      </c>
      <c r="FE207" s="255">
        <v>0</v>
      </c>
      <c r="FF207" s="255">
        <v>0</v>
      </c>
      <c r="FG207" s="255">
        <v>0</v>
      </c>
      <c r="FH207" s="255">
        <v>0</v>
      </c>
      <c r="FI207" s="255">
        <v>0</v>
      </c>
      <c r="FJ207" s="255">
        <v>0</v>
      </c>
      <c r="FK207" s="255">
        <v>0</v>
      </c>
      <c r="FL207" s="255">
        <v>0</v>
      </c>
      <c r="FM207" s="255">
        <v>0</v>
      </c>
      <c r="FN207" s="255">
        <v>0</v>
      </c>
      <c r="FO207" s="255">
        <v>0</v>
      </c>
      <c r="FP207" s="255">
        <v>0</v>
      </c>
      <c r="FQ207" s="255">
        <v>0</v>
      </c>
      <c r="FR207" s="255">
        <v>0</v>
      </c>
      <c r="FS207" s="255">
        <v>0</v>
      </c>
      <c r="FT207" s="255">
        <v>0</v>
      </c>
      <c r="FU207" s="255">
        <v>0</v>
      </c>
      <c r="FV207" s="255">
        <v>0</v>
      </c>
      <c r="FW207" s="255">
        <v>0</v>
      </c>
      <c r="FX207" s="116"/>
    </row>
    <row r="208" spans="2:180" x14ac:dyDescent="0.2">
      <c r="B208" s="253" t="s">
        <v>216</v>
      </c>
      <c r="C208" s="253" t="s">
        <v>270</v>
      </c>
      <c r="D208" s="253" t="s">
        <v>258</v>
      </c>
      <c r="E208" s="253" t="s">
        <v>127</v>
      </c>
      <c r="F208" s="253" t="s">
        <v>259</v>
      </c>
      <c r="G208" s="253" t="s">
        <v>260</v>
      </c>
      <c r="H208" s="237">
        <v>240.85</v>
      </c>
      <c r="I208" s="126">
        <f t="shared" si="88"/>
        <v>53697</v>
      </c>
      <c r="J208" s="116"/>
      <c r="K208" s="254">
        <v>0</v>
      </c>
      <c r="L208" s="254">
        <v>0</v>
      </c>
      <c r="M208" s="254">
        <v>0</v>
      </c>
      <c r="N208" s="254">
        <v>0</v>
      </c>
      <c r="O208" s="254">
        <v>0</v>
      </c>
      <c r="P208" s="254">
        <v>0</v>
      </c>
      <c r="Q208" s="254">
        <v>0</v>
      </c>
      <c r="R208" s="254">
        <v>0</v>
      </c>
      <c r="S208" s="254">
        <v>0</v>
      </c>
      <c r="T208" s="254">
        <v>0</v>
      </c>
      <c r="U208" s="254">
        <v>0</v>
      </c>
      <c r="V208" s="254">
        <v>0</v>
      </c>
      <c r="W208" s="254">
        <v>0</v>
      </c>
      <c r="X208" s="254">
        <v>0</v>
      </c>
      <c r="Y208" s="254">
        <v>0</v>
      </c>
      <c r="Z208" s="254">
        <v>0</v>
      </c>
      <c r="AA208" s="254">
        <v>0</v>
      </c>
      <c r="AB208" s="254">
        <v>0</v>
      </c>
      <c r="AC208" s="254">
        <v>0</v>
      </c>
      <c r="AD208" s="254">
        <v>0</v>
      </c>
      <c r="AE208" s="254">
        <v>0</v>
      </c>
      <c r="AF208" s="254">
        <v>0</v>
      </c>
      <c r="AG208" s="254">
        <v>0</v>
      </c>
      <c r="AH208" s="254">
        <v>0</v>
      </c>
      <c r="AI208" s="254">
        <v>0</v>
      </c>
      <c r="AJ208" s="254">
        <v>0</v>
      </c>
      <c r="AK208" s="254">
        <v>0</v>
      </c>
      <c r="AL208" s="254">
        <v>0</v>
      </c>
      <c r="AM208" s="254">
        <v>0</v>
      </c>
      <c r="AN208" s="254">
        <v>0</v>
      </c>
      <c r="AO208" s="254">
        <v>0</v>
      </c>
      <c r="AP208" s="254">
        <v>0</v>
      </c>
      <c r="AQ208" s="254">
        <v>0</v>
      </c>
      <c r="AR208" s="254">
        <v>0</v>
      </c>
      <c r="AS208" s="254">
        <v>0</v>
      </c>
      <c r="AT208" s="254">
        <v>0</v>
      </c>
      <c r="AU208" s="254">
        <v>0</v>
      </c>
      <c r="AV208" s="254">
        <v>0</v>
      </c>
      <c r="AW208" s="254">
        <v>0</v>
      </c>
      <c r="AX208" s="254">
        <v>0</v>
      </c>
      <c r="AY208" s="254">
        <v>0.46052631578947367</v>
      </c>
      <c r="AZ208" s="254">
        <v>0.46052631578947367</v>
      </c>
      <c r="BA208" s="254">
        <v>0.5</v>
      </c>
      <c r="BB208" s="254">
        <v>0</v>
      </c>
      <c r="BC208" s="254">
        <v>0</v>
      </c>
      <c r="BD208" s="254">
        <v>0</v>
      </c>
      <c r="BE208" s="254">
        <v>0</v>
      </c>
      <c r="BF208" s="254">
        <v>0</v>
      </c>
      <c r="BG208" s="254">
        <v>0</v>
      </c>
      <c r="BH208" s="254">
        <v>0</v>
      </c>
      <c r="BI208" s="254">
        <v>0</v>
      </c>
      <c r="BJ208" s="254">
        <v>0</v>
      </c>
      <c r="BK208" s="254">
        <v>0</v>
      </c>
      <c r="BL208" s="254">
        <v>0</v>
      </c>
      <c r="BM208" s="254">
        <v>0</v>
      </c>
      <c r="BN208" s="254">
        <v>0</v>
      </c>
      <c r="BO208" s="254">
        <v>0</v>
      </c>
      <c r="BP208" s="254">
        <v>0</v>
      </c>
      <c r="BQ208" s="254">
        <v>0</v>
      </c>
      <c r="BR208" s="254">
        <v>0</v>
      </c>
      <c r="BS208" s="254">
        <v>0</v>
      </c>
      <c r="BT208" s="254">
        <v>0</v>
      </c>
      <c r="BU208" s="254">
        <v>0</v>
      </c>
      <c r="BV208" s="254">
        <v>0</v>
      </c>
      <c r="BW208" s="254">
        <v>0</v>
      </c>
      <c r="BX208" s="254">
        <v>0</v>
      </c>
      <c r="BY208" s="254">
        <v>0</v>
      </c>
      <c r="BZ208" s="254">
        <v>0</v>
      </c>
      <c r="CA208" s="254">
        <v>0</v>
      </c>
      <c r="CB208" s="254">
        <v>0</v>
      </c>
      <c r="CC208" s="254">
        <v>0</v>
      </c>
      <c r="CD208" s="254">
        <v>0</v>
      </c>
      <c r="CE208" s="254">
        <v>0</v>
      </c>
      <c r="CF208" s="254">
        <v>0</v>
      </c>
      <c r="CG208" s="254">
        <v>0</v>
      </c>
      <c r="CH208" s="254">
        <v>0</v>
      </c>
      <c r="CI208" s="254">
        <v>0</v>
      </c>
      <c r="CJ208" s="254">
        <v>0</v>
      </c>
      <c r="CK208" s="254">
        <v>0</v>
      </c>
      <c r="CL208" s="254">
        <v>0</v>
      </c>
      <c r="CM208" s="254">
        <v>0</v>
      </c>
      <c r="CN208" s="254">
        <v>0</v>
      </c>
      <c r="CO208" s="254">
        <v>0</v>
      </c>
      <c r="CP208" s="254">
        <v>0</v>
      </c>
      <c r="CQ208" s="116"/>
      <c r="CR208" s="255">
        <v>0</v>
      </c>
      <c r="CS208" s="255">
        <v>0</v>
      </c>
      <c r="CT208" s="255">
        <v>0</v>
      </c>
      <c r="CU208" s="255">
        <v>0</v>
      </c>
      <c r="CV208" s="255">
        <v>0</v>
      </c>
      <c r="CW208" s="255">
        <v>0</v>
      </c>
      <c r="CX208" s="255">
        <v>0</v>
      </c>
      <c r="CY208" s="255">
        <v>0</v>
      </c>
      <c r="CZ208" s="255">
        <v>0</v>
      </c>
      <c r="DA208" s="255">
        <v>0</v>
      </c>
      <c r="DB208" s="255">
        <v>0</v>
      </c>
      <c r="DC208" s="255">
        <v>0</v>
      </c>
      <c r="DD208" s="255">
        <v>0</v>
      </c>
      <c r="DE208" s="255">
        <v>0</v>
      </c>
      <c r="DF208" s="255">
        <v>0</v>
      </c>
      <c r="DG208" s="255">
        <v>0</v>
      </c>
      <c r="DH208" s="255">
        <v>0</v>
      </c>
      <c r="DI208" s="255">
        <v>0</v>
      </c>
      <c r="DJ208" s="255">
        <v>0</v>
      </c>
      <c r="DK208" s="255">
        <v>0</v>
      </c>
      <c r="DL208" s="255">
        <v>0</v>
      </c>
      <c r="DM208" s="255">
        <v>0</v>
      </c>
      <c r="DN208" s="255">
        <v>0</v>
      </c>
      <c r="DO208" s="255">
        <v>0</v>
      </c>
      <c r="DP208" s="255">
        <v>0</v>
      </c>
      <c r="DQ208" s="255">
        <v>0</v>
      </c>
      <c r="DR208" s="255">
        <v>0</v>
      </c>
      <c r="DS208" s="255">
        <v>0</v>
      </c>
      <c r="DT208" s="255">
        <v>0</v>
      </c>
      <c r="DU208" s="255">
        <v>0</v>
      </c>
      <c r="DV208" s="255">
        <v>0</v>
      </c>
      <c r="DW208" s="255">
        <v>0</v>
      </c>
      <c r="DX208" s="255">
        <v>0</v>
      </c>
      <c r="DY208" s="255">
        <v>0</v>
      </c>
      <c r="DZ208" s="255">
        <v>0</v>
      </c>
      <c r="EA208" s="255">
        <v>0</v>
      </c>
      <c r="EB208" s="255">
        <v>0</v>
      </c>
      <c r="EC208" s="255">
        <v>0</v>
      </c>
      <c r="ED208" s="255">
        <v>0</v>
      </c>
      <c r="EE208" s="255">
        <v>0</v>
      </c>
      <c r="EF208" s="255">
        <v>17899</v>
      </c>
      <c r="EG208" s="255">
        <v>17899</v>
      </c>
      <c r="EH208" s="255">
        <v>17899</v>
      </c>
      <c r="EI208" s="255">
        <v>0</v>
      </c>
      <c r="EJ208" s="255">
        <v>0</v>
      </c>
      <c r="EK208" s="255">
        <v>0</v>
      </c>
      <c r="EL208" s="255">
        <v>0</v>
      </c>
      <c r="EM208" s="255">
        <v>0</v>
      </c>
      <c r="EN208" s="255">
        <v>0</v>
      </c>
      <c r="EO208" s="255">
        <v>0</v>
      </c>
      <c r="EP208" s="255">
        <v>0</v>
      </c>
      <c r="EQ208" s="255">
        <v>0</v>
      </c>
      <c r="ER208" s="255">
        <v>0</v>
      </c>
      <c r="ES208" s="255">
        <v>0</v>
      </c>
      <c r="ET208" s="255">
        <v>0</v>
      </c>
      <c r="EU208" s="255">
        <v>0</v>
      </c>
      <c r="EV208" s="255">
        <v>0</v>
      </c>
      <c r="EW208" s="255">
        <v>0</v>
      </c>
      <c r="EX208" s="255">
        <v>0</v>
      </c>
      <c r="EY208" s="255">
        <v>0</v>
      </c>
      <c r="EZ208" s="255">
        <v>0</v>
      </c>
      <c r="FA208" s="255">
        <v>0</v>
      </c>
      <c r="FB208" s="255">
        <v>0</v>
      </c>
      <c r="FC208" s="255">
        <v>0</v>
      </c>
      <c r="FD208" s="255">
        <v>0</v>
      </c>
      <c r="FE208" s="255">
        <v>0</v>
      </c>
      <c r="FF208" s="255">
        <v>0</v>
      </c>
      <c r="FG208" s="255">
        <v>0</v>
      </c>
      <c r="FH208" s="255">
        <v>0</v>
      </c>
      <c r="FI208" s="255">
        <v>0</v>
      </c>
      <c r="FJ208" s="255">
        <v>0</v>
      </c>
      <c r="FK208" s="255">
        <v>0</v>
      </c>
      <c r="FL208" s="255">
        <v>0</v>
      </c>
      <c r="FM208" s="255">
        <v>0</v>
      </c>
      <c r="FN208" s="255">
        <v>0</v>
      </c>
      <c r="FO208" s="255">
        <v>0</v>
      </c>
      <c r="FP208" s="255">
        <v>0</v>
      </c>
      <c r="FQ208" s="255">
        <v>0</v>
      </c>
      <c r="FR208" s="255">
        <v>0</v>
      </c>
      <c r="FS208" s="255">
        <v>0</v>
      </c>
      <c r="FT208" s="255">
        <v>0</v>
      </c>
      <c r="FU208" s="255">
        <v>0</v>
      </c>
      <c r="FV208" s="255">
        <v>0</v>
      </c>
      <c r="FW208" s="255">
        <v>0</v>
      </c>
      <c r="FX208" s="116"/>
    </row>
    <row r="209" spans="2:180" x14ac:dyDescent="0.2">
      <c r="B209" s="253" t="s">
        <v>216</v>
      </c>
      <c r="C209" s="253" t="s">
        <v>331</v>
      </c>
      <c r="D209" s="253" t="s">
        <v>258</v>
      </c>
      <c r="E209" s="253" t="s">
        <v>127</v>
      </c>
      <c r="F209" s="253" t="s">
        <v>259</v>
      </c>
      <c r="G209" s="253" t="s">
        <v>260</v>
      </c>
      <c r="H209" s="237">
        <v>233.78</v>
      </c>
      <c r="I209" s="126">
        <f t="shared" si="88"/>
        <v>120065.4</v>
      </c>
      <c r="J209" s="116"/>
      <c r="K209" s="254">
        <v>0</v>
      </c>
      <c r="L209" s="254">
        <v>0</v>
      </c>
      <c r="M209" s="254">
        <v>0</v>
      </c>
      <c r="N209" s="254">
        <v>0</v>
      </c>
      <c r="O209" s="254">
        <v>0</v>
      </c>
      <c r="P209" s="254">
        <v>0</v>
      </c>
      <c r="Q209" s="254">
        <v>0</v>
      </c>
      <c r="R209" s="254">
        <v>0</v>
      </c>
      <c r="S209" s="254">
        <v>0</v>
      </c>
      <c r="T209" s="254">
        <v>0</v>
      </c>
      <c r="U209" s="254">
        <v>0</v>
      </c>
      <c r="V209" s="254">
        <v>0</v>
      </c>
      <c r="W209" s="254">
        <v>0</v>
      </c>
      <c r="X209" s="254">
        <v>0</v>
      </c>
      <c r="Y209" s="254">
        <v>0</v>
      </c>
      <c r="Z209" s="254">
        <v>0</v>
      </c>
      <c r="AA209" s="254">
        <v>0</v>
      </c>
      <c r="AB209" s="254">
        <v>0</v>
      </c>
      <c r="AC209" s="254">
        <v>0</v>
      </c>
      <c r="AD209" s="254">
        <v>0</v>
      </c>
      <c r="AE209" s="254">
        <v>0</v>
      </c>
      <c r="AF209" s="254">
        <v>0</v>
      </c>
      <c r="AG209" s="254">
        <v>0</v>
      </c>
      <c r="AH209" s="254">
        <v>0</v>
      </c>
      <c r="AI209" s="254">
        <v>0</v>
      </c>
      <c r="AJ209" s="254">
        <v>0</v>
      </c>
      <c r="AK209" s="254">
        <v>0</v>
      </c>
      <c r="AL209" s="254">
        <v>0</v>
      </c>
      <c r="AM209" s="254">
        <v>0</v>
      </c>
      <c r="AN209" s="254">
        <v>0</v>
      </c>
      <c r="AO209" s="254">
        <v>0</v>
      </c>
      <c r="AP209" s="254">
        <v>0</v>
      </c>
      <c r="AQ209" s="254">
        <v>0.5</v>
      </c>
      <c r="AR209" s="254">
        <v>0.5</v>
      </c>
      <c r="AS209" s="254">
        <v>0.5</v>
      </c>
      <c r="AT209" s="254">
        <v>0</v>
      </c>
      <c r="AU209" s="254">
        <v>0</v>
      </c>
      <c r="AV209" s="254">
        <v>0</v>
      </c>
      <c r="AW209" s="254">
        <v>0</v>
      </c>
      <c r="AX209" s="254">
        <v>0.66666666666666663</v>
      </c>
      <c r="AY209" s="254">
        <v>0.46052631578947367</v>
      </c>
      <c r="AZ209" s="254">
        <v>0.46052631578947367</v>
      </c>
      <c r="BA209" s="254">
        <v>0.5</v>
      </c>
      <c r="BB209" s="254">
        <v>0</v>
      </c>
      <c r="BC209" s="254">
        <v>0</v>
      </c>
      <c r="BD209" s="254">
        <v>0</v>
      </c>
      <c r="BE209" s="254">
        <v>0</v>
      </c>
      <c r="BF209" s="254">
        <v>0</v>
      </c>
      <c r="BG209" s="254">
        <v>0</v>
      </c>
      <c r="BH209" s="254">
        <v>0</v>
      </c>
      <c r="BI209" s="254">
        <v>0</v>
      </c>
      <c r="BJ209" s="254">
        <v>0</v>
      </c>
      <c r="BK209" s="254">
        <v>0</v>
      </c>
      <c r="BL209" s="254">
        <v>0</v>
      </c>
      <c r="BM209" s="254">
        <v>0</v>
      </c>
      <c r="BN209" s="254">
        <v>0</v>
      </c>
      <c r="BO209" s="254">
        <v>0</v>
      </c>
      <c r="BP209" s="254">
        <v>0</v>
      </c>
      <c r="BQ209" s="254">
        <v>0</v>
      </c>
      <c r="BR209" s="254">
        <v>0</v>
      </c>
      <c r="BS209" s="254">
        <v>0</v>
      </c>
      <c r="BT209" s="254">
        <v>0</v>
      </c>
      <c r="BU209" s="254">
        <v>0</v>
      </c>
      <c r="BV209" s="254">
        <v>0</v>
      </c>
      <c r="BW209" s="254">
        <v>0</v>
      </c>
      <c r="BX209" s="254">
        <v>0</v>
      </c>
      <c r="BY209" s="254">
        <v>0</v>
      </c>
      <c r="BZ209" s="254">
        <v>0</v>
      </c>
      <c r="CA209" s="254">
        <v>0</v>
      </c>
      <c r="CB209" s="254">
        <v>0</v>
      </c>
      <c r="CC209" s="254">
        <v>0</v>
      </c>
      <c r="CD209" s="254">
        <v>0</v>
      </c>
      <c r="CE209" s="254">
        <v>0</v>
      </c>
      <c r="CF209" s="254">
        <v>0</v>
      </c>
      <c r="CG209" s="254">
        <v>0</v>
      </c>
      <c r="CH209" s="254">
        <v>0</v>
      </c>
      <c r="CI209" s="254">
        <v>0</v>
      </c>
      <c r="CJ209" s="254">
        <v>0</v>
      </c>
      <c r="CK209" s="254">
        <v>0</v>
      </c>
      <c r="CL209" s="254">
        <v>0</v>
      </c>
      <c r="CM209" s="254">
        <v>0</v>
      </c>
      <c r="CN209" s="254">
        <v>0</v>
      </c>
      <c r="CO209" s="254">
        <v>0</v>
      </c>
      <c r="CP209" s="254">
        <v>0</v>
      </c>
      <c r="CQ209" s="116"/>
      <c r="CR209" s="255">
        <v>0</v>
      </c>
      <c r="CS209" s="255">
        <v>0</v>
      </c>
      <c r="CT209" s="255">
        <v>0</v>
      </c>
      <c r="CU209" s="255">
        <v>0</v>
      </c>
      <c r="CV209" s="255">
        <v>0</v>
      </c>
      <c r="CW209" s="255">
        <v>0</v>
      </c>
      <c r="CX209" s="255">
        <v>0</v>
      </c>
      <c r="CY209" s="255">
        <v>0</v>
      </c>
      <c r="CZ209" s="255">
        <v>0</v>
      </c>
      <c r="DA209" s="255">
        <v>0</v>
      </c>
      <c r="DB209" s="255">
        <v>0</v>
      </c>
      <c r="DC209" s="255">
        <v>0</v>
      </c>
      <c r="DD209" s="255">
        <v>0</v>
      </c>
      <c r="DE209" s="255">
        <v>0</v>
      </c>
      <c r="DF209" s="255">
        <v>0</v>
      </c>
      <c r="DG209" s="255">
        <v>0</v>
      </c>
      <c r="DH209" s="255">
        <v>0</v>
      </c>
      <c r="DI209" s="255">
        <v>0</v>
      </c>
      <c r="DJ209" s="255">
        <v>0</v>
      </c>
      <c r="DK209" s="255">
        <v>0</v>
      </c>
      <c r="DL209" s="255">
        <v>0</v>
      </c>
      <c r="DM209" s="255">
        <v>0</v>
      </c>
      <c r="DN209" s="255">
        <v>0</v>
      </c>
      <c r="DO209" s="255">
        <v>0</v>
      </c>
      <c r="DP209" s="255">
        <v>0</v>
      </c>
      <c r="DQ209" s="255">
        <v>0</v>
      </c>
      <c r="DR209" s="255">
        <v>0</v>
      </c>
      <c r="DS209" s="255">
        <v>0</v>
      </c>
      <c r="DT209" s="255">
        <v>0</v>
      </c>
      <c r="DU209" s="255">
        <v>0</v>
      </c>
      <c r="DV209" s="255">
        <v>0</v>
      </c>
      <c r="DW209" s="255">
        <v>0</v>
      </c>
      <c r="DX209" s="255">
        <v>16860.2</v>
      </c>
      <c r="DY209" s="255">
        <v>16860.2</v>
      </c>
      <c r="DZ209" s="255">
        <v>16860.2</v>
      </c>
      <c r="EA209" s="255">
        <v>0</v>
      </c>
      <c r="EB209" s="255">
        <v>0</v>
      </c>
      <c r="EC209" s="255">
        <v>0</v>
      </c>
      <c r="ED209" s="255">
        <v>0</v>
      </c>
      <c r="EE209" s="255">
        <v>17371.2</v>
      </c>
      <c r="EF209" s="255">
        <v>17371.2</v>
      </c>
      <c r="EG209" s="255">
        <v>17371.2</v>
      </c>
      <c r="EH209" s="255">
        <v>17371.2</v>
      </c>
      <c r="EI209" s="255">
        <v>0</v>
      </c>
      <c r="EJ209" s="255">
        <v>0</v>
      </c>
      <c r="EK209" s="255">
        <v>0</v>
      </c>
      <c r="EL209" s="255">
        <v>0</v>
      </c>
      <c r="EM209" s="255">
        <v>0</v>
      </c>
      <c r="EN209" s="255">
        <v>0</v>
      </c>
      <c r="EO209" s="255">
        <v>0</v>
      </c>
      <c r="EP209" s="255">
        <v>0</v>
      </c>
      <c r="EQ209" s="255">
        <v>0</v>
      </c>
      <c r="ER209" s="255">
        <v>0</v>
      </c>
      <c r="ES209" s="255">
        <v>0</v>
      </c>
      <c r="ET209" s="255">
        <v>0</v>
      </c>
      <c r="EU209" s="255">
        <v>0</v>
      </c>
      <c r="EV209" s="255">
        <v>0</v>
      </c>
      <c r="EW209" s="255">
        <v>0</v>
      </c>
      <c r="EX209" s="255">
        <v>0</v>
      </c>
      <c r="EY209" s="255">
        <v>0</v>
      </c>
      <c r="EZ209" s="255">
        <v>0</v>
      </c>
      <c r="FA209" s="255">
        <v>0</v>
      </c>
      <c r="FB209" s="255">
        <v>0</v>
      </c>
      <c r="FC209" s="255">
        <v>0</v>
      </c>
      <c r="FD209" s="255">
        <v>0</v>
      </c>
      <c r="FE209" s="255">
        <v>0</v>
      </c>
      <c r="FF209" s="255">
        <v>0</v>
      </c>
      <c r="FG209" s="255">
        <v>0</v>
      </c>
      <c r="FH209" s="255">
        <v>0</v>
      </c>
      <c r="FI209" s="255">
        <v>0</v>
      </c>
      <c r="FJ209" s="255">
        <v>0</v>
      </c>
      <c r="FK209" s="255">
        <v>0</v>
      </c>
      <c r="FL209" s="255">
        <v>0</v>
      </c>
      <c r="FM209" s="255">
        <v>0</v>
      </c>
      <c r="FN209" s="255">
        <v>0</v>
      </c>
      <c r="FO209" s="255">
        <v>0</v>
      </c>
      <c r="FP209" s="255">
        <v>0</v>
      </c>
      <c r="FQ209" s="255">
        <v>0</v>
      </c>
      <c r="FR209" s="255">
        <v>0</v>
      </c>
      <c r="FS209" s="255">
        <v>0</v>
      </c>
      <c r="FT209" s="255">
        <v>0</v>
      </c>
      <c r="FU209" s="255">
        <v>0</v>
      </c>
      <c r="FV209" s="255">
        <v>0</v>
      </c>
      <c r="FW209" s="255">
        <v>0</v>
      </c>
      <c r="FX209" s="116"/>
    </row>
    <row r="210" spans="2:180" x14ac:dyDescent="0.2">
      <c r="B210" s="253" t="s">
        <v>216</v>
      </c>
      <c r="C210" s="253" t="s">
        <v>332</v>
      </c>
      <c r="D210" s="253" t="s">
        <v>258</v>
      </c>
      <c r="E210" s="253" t="s">
        <v>127</v>
      </c>
      <c r="F210" s="253" t="s">
        <v>259</v>
      </c>
      <c r="G210" s="253" t="s">
        <v>260</v>
      </c>
      <c r="H210" s="237">
        <v>188.58</v>
      </c>
      <c r="I210" s="126">
        <f t="shared" si="88"/>
        <v>85803.900000000009</v>
      </c>
      <c r="J210" s="116"/>
      <c r="K210" s="254">
        <v>0</v>
      </c>
      <c r="L210" s="254">
        <v>0</v>
      </c>
      <c r="M210" s="254">
        <v>0</v>
      </c>
      <c r="N210" s="254">
        <v>0</v>
      </c>
      <c r="O210" s="254">
        <v>0</v>
      </c>
      <c r="P210" s="254">
        <v>0</v>
      </c>
      <c r="Q210" s="254">
        <v>0</v>
      </c>
      <c r="R210" s="254">
        <v>0</v>
      </c>
      <c r="S210" s="254">
        <v>0</v>
      </c>
      <c r="T210" s="254">
        <v>0</v>
      </c>
      <c r="U210" s="254">
        <v>0</v>
      </c>
      <c r="V210" s="254">
        <v>0</v>
      </c>
      <c r="W210" s="254">
        <v>0</v>
      </c>
      <c r="X210" s="254">
        <v>0</v>
      </c>
      <c r="Y210" s="254">
        <v>0</v>
      </c>
      <c r="Z210" s="254">
        <v>0</v>
      </c>
      <c r="AA210" s="254">
        <v>0</v>
      </c>
      <c r="AB210" s="254">
        <v>0</v>
      </c>
      <c r="AC210" s="254">
        <v>0</v>
      </c>
      <c r="AD210" s="254">
        <v>1.05</v>
      </c>
      <c r="AE210" s="254">
        <v>1.1000000000000001</v>
      </c>
      <c r="AF210" s="254">
        <v>1.1000000000000001</v>
      </c>
      <c r="AG210" s="254">
        <v>0</v>
      </c>
      <c r="AH210" s="254">
        <v>0</v>
      </c>
      <c r="AI210" s="254">
        <v>0</v>
      </c>
      <c r="AJ210" s="254">
        <v>0</v>
      </c>
      <c r="AK210" s="254">
        <v>0</v>
      </c>
      <c r="AL210" s="254">
        <v>0</v>
      </c>
      <c r="AM210" s="254">
        <v>0</v>
      </c>
      <c r="AN210" s="254">
        <v>0</v>
      </c>
      <c r="AO210" s="254">
        <v>0</v>
      </c>
      <c r="AP210" s="254">
        <v>0</v>
      </c>
      <c r="AQ210" s="254">
        <v>0</v>
      </c>
      <c r="AR210" s="254">
        <v>0</v>
      </c>
      <c r="AS210" s="254">
        <v>0</v>
      </c>
      <c r="AT210" s="254">
        <v>0</v>
      </c>
      <c r="AU210" s="254">
        <v>0</v>
      </c>
      <c r="AV210" s="254">
        <v>0</v>
      </c>
      <c r="AW210" s="254">
        <v>0</v>
      </c>
      <c r="AX210" s="254">
        <v>0</v>
      </c>
      <c r="AY210" s="254">
        <v>0</v>
      </c>
      <c r="AZ210" s="254">
        <v>0</v>
      </c>
      <c r="BA210" s="254">
        <v>0</v>
      </c>
      <c r="BB210" s="254">
        <v>0</v>
      </c>
      <c r="BC210" s="254">
        <v>0</v>
      </c>
      <c r="BD210" s="254">
        <v>0</v>
      </c>
      <c r="BE210" s="254">
        <v>0</v>
      </c>
      <c r="BF210" s="254">
        <v>0</v>
      </c>
      <c r="BG210" s="254">
        <v>0</v>
      </c>
      <c r="BH210" s="254">
        <v>0</v>
      </c>
      <c r="BI210" s="254">
        <v>0</v>
      </c>
      <c r="BJ210" s="254">
        <v>0</v>
      </c>
      <c r="BK210" s="254">
        <v>0</v>
      </c>
      <c r="BL210" s="254">
        <v>0</v>
      </c>
      <c r="BM210" s="254">
        <v>0</v>
      </c>
      <c r="BN210" s="254">
        <v>0</v>
      </c>
      <c r="BO210" s="254">
        <v>0</v>
      </c>
      <c r="BP210" s="254">
        <v>0</v>
      </c>
      <c r="BQ210" s="254">
        <v>0</v>
      </c>
      <c r="BR210" s="254">
        <v>0</v>
      </c>
      <c r="BS210" s="254">
        <v>0</v>
      </c>
      <c r="BT210" s="254">
        <v>0</v>
      </c>
      <c r="BU210" s="254">
        <v>0</v>
      </c>
      <c r="BV210" s="254">
        <v>0</v>
      </c>
      <c r="BW210" s="254">
        <v>0</v>
      </c>
      <c r="BX210" s="254">
        <v>0</v>
      </c>
      <c r="BY210" s="254">
        <v>0</v>
      </c>
      <c r="BZ210" s="254">
        <v>0</v>
      </c>
      <c r="CA210" s="254">
        <v>0</v>
      </c>
      <c r="CB210" s="254">
        <v>0</v>
      </c>
      <c r="CC210" s="254">
        <v>0</v>
      </c>
      <c r="CD210" s="254">
        <v>0</v>
      </c>
      <c r="CE210" s="254">
        <v>0</v>
      </c>
      <c r="CF210" s="254">
        <v>0</v>
      </c>
      <c r="CG210" s="254">
        <v>0</v>
      </c>
      <c r="CH210" s="254">
        <v>0</v>
      </c>
      <c r="CI210" s="254">
        <v>0</v>
      </c>
      <c r="CJ210" s="254">
        <v>0</v>
      </c>
      <c r="CK210" s="254">
        <v>0</v>
      </c>
      <c r="CL210" s="254">
        <v>0</v>
      </c>
      <c r="CM210" s="254">
        <v>0</v>
      </c>
      <c r="CN210" s="254">
        <v>0</v>
      </c>
      <c r="CO210" s="254">
        <v>0</v>
      </c>
      <c r="CP210" s="254">
        <v>0</v>
      </c>
      <c r="CQ210" s="116"/>
      <c r="CR210" s="255">
        <v>0</v>
      </c>
      <c r="CS210" s="255">
        <v>0</v>
      </c>
      <c r="CT210" s="255">
        <v>0</v>
      </c>
      <c r="CU210" s="255">
        <v>0</v>
      </c>
      <c r="CV210" s="255">
        <v>0</v>
      </c>
      <c r="CW210" s="255">
        <v>0</v>
      </c>
      <c r="CX210" s="255">
        <v>0</v>
      </c>
      <c r="CY210" s="255">
        <v>0</v>
      </c>
      <c r="CZ210" s="255">
        <v>0</v>
      </c>
      <c r="DA210" s="255">
        <v>0</v>
      </c>
      <c r="DB210" s="255">
        <v>0</v>
      </c>
      <c r="DC210" s="255">
        <v>0</v>
      </c>
      <c r="DD210" s="255">
        <v>0</v>
      </c>
      <c r="DE210" s="255">
        <v>0</v>
      </c>
      <c r="DF210" s="255">
        <v>0</v>
      </c>
      <c r="DG210" s="255">
        <v>0</v>
      </c>
      <c r="DH210" s="255">
        <v>0</v>
      </c>
      <c r="DI210" s="255">
        <v>0</v>
      </c>
      <c r="DJ210" s="255">
        <v>0</v>
      </c>
      <c r="DK210" s="255">
        <v>27721.260000000002</v>
      </c>
      <c r="DL210" s="255">
        <v>29041.320000000003</v>
      </c>
      <c r="DM210" s="255">
        <v>29041.320000000003</v>
      </c>
      <c r="DN210" s="255">
        <v>0</v>
      </c>
      <c r="DO210" s="255">
        <v>0</v>
      </c>
      <c r="DP210" s="255">
        <v>0</v>
      </c>
      <c r="DQ210" s="255">
        <v>0</v>
      </c>
      <c r="DR210" s="255">
        <v>0</v>
      </c>
      <c r="DS210" s="255">
        <v>0</v>
      </c>
      <c r="DT210" s="255">
        <v>0</v>
      </c>
      <c r="DU210" s="255">
        <v>0</v>
      </c>
      <c r="DV210" s="255">
        <v>0</v>
      </c>
      <c r="DW210" s="255">
        <v>0</v>
      </c>
      <c r="DX210" s="255">
        <v>0</v>
      </c>
      <c r="DY210" s="255">
        <v>0</v>
      </c>
      <c r="DZ210" s="255">
        <v>0</v>
      </c>
      <c r="EA210" s="255">
        <v>0</v>
      </c>
      <c r="EB210" s="255">
        <v>0</v>
      </c>
      <c r="EC210" s="255">
        <v>0</v>
      </c>
      <c r="ED210" s="255">
        <v>0</v>
      </c>
      <c r="EE210" s="255">
        <v>0</v>
      </c>
      <c r="EF210" s="255">
        <v>0</v>
      </c>
      <c r="EG210" s="255">
        <v>0</v>
      </c>
      <c r="EH210" s="255">
        <v>0</v>
      </c>
      <c r="EI210" s="255">
        <v>0</v>
      </c>
      <c r="EJ210" s="255">
        <v>0</v>
      </c>
      <c r="EK210" s="255">
        <v>0</v>
      </c>
      <c r="EL210" s="255">
        <v>0</v>
      </c>
      <c r="EM210" s="255">
        <v>0</v>
      </c>
      <c r="EN210" s="255">
        <v>0</v>
      </c>
      <c r="EO210" s="255">
        <v>0</v>
      </c>
      <c r="EP210" s="255">
        <v>0</v>
      </c>
      <c r="EQ210" s="255">
        <v>0</v>
      </c>
      <c r="ER210" s="255">
        <v>0</v>
      </c>
      <c r="ES210" s="255">
        <v>0</v>
      </c>
      <c r="ET210" s="255">
        <v>0</v>
      </c>
      <c r="EU210" s="255">
        <v>0</v>
      </c>
      <c r="EV210" s="255">
        <v>0</v>
      </c>
      <c r="EW210" s="255">
        <v>0</v>
      </c>
      <c r="EX210" s="255">
        <v>0</v>
      </c>
      <c r="EY210" s="255">
        <v>0</v>
      </c>
      <c r="EZ210" s="255">
        <v>0</v>
      </c>
      <c r="FA210" s="255">
        <v>0</v>
      </c>
      <c r="FB210" s="255">
        <v>0</v>
      </c>
      <c r="FC210" s="255">
        <v>0</v>
      </c>
      <c r="FD210" s="255">
        <v>0</v>
      </c>
      <c r="FE210" s="255">
        <v>0</v>
      </c>
      <c r="FF210" s="255">
        <v>0</v>
      </c>
      <c r="FG210" s="255">
        <v>0</v>
      </c>
      <c r="FH210" s="255">
        <v>0</v>
      </c>
      <c r="FI210" s="255">
        <v>0</v>
      </c>
      <c r="FJ210" s="255">
        <v>0</v>
      </c>
      <c r="FK210" s="255">
        <v>0</v>
      </c>
      <c r="FL210" s="255">
        <v>0</v>
      </c>
      <c r="FM210" s="255">
        <v>0</v>
      </c>
      <c r="FN210" s="255">
        <v>0</v>
      </c>
      <c r="FO210" s="255">
        <v>0</v>
      </c>
      <c r="FP210" s="255">
        <v>0</v>
      </c>
      <c r="FQ210" s="255">
        <v>0</v>
      </c>
      <c r="FR210" s="255">
        <v>0</v>
      </c>
      <c r="FS210" s="255">
        <v>0</v>
      </c>
      <c r="FT210" s="255">
        <v>0</v>
      </c>
      <c r="FU210" s="255">
        <v>0</v>
      </c>
      <c r="FV210" s="255">
        <v>0</v>
      </c>
      <c r="FW210" s="255">
        <v>0</v>
      </c>
      <c r="FX210" s="116"/>
    </row>
    <row r="211" spans="2:180" x14ac:dyDescent="0.2">
      <c r="B211" s="253" t="s">
        <v>216</v>
      </c>
      <c r="C211" s="253" t="s">
        <v>332</v>
      </c>
      <c r="D211" s="253" t="s">
        <v>258</v>
      </c>
      <c r="E211" s="253" t="s">
        <v>127</v>
      </c>
      <c r="F211" s="253">
        <v>0</v>
      </c>
      <c r="G211" s="253" t="s">
        <v>322</v>
      </c>
      <c r="H211" s="237">
        <v>188.58</v>
      </c>
      <c r="I211" s="126">
        <f t="shared" si="88"/>
        <v>45258</v>
      </c>
      <c r="J211" s="116"/>
      <c r="K211" s="254">
        <v>0</v>
      </c>
      <c r="L211" s="254">
        <v>0</v>
      </c>
      <c r="M211" s="254">
        <v>0</v>
      </c>
      <c r="N211" s="254">
        <v>0</v>
      </c>
      <c r="O211" s="254">
        <v>0</v>
      </c>
      <c r="P211" s="254">
        <v>0</v>
      </c>
      <c r="Q211" s="254">
        <v>0</v>
      </c>
      <c r="R211" s="254">
        <v>0</v>
      </c>
      <c r="S211" s="254">
        <v>0</v>
      </c>
      <c r="T211" s="254">
        <v>0</v>
      </c>
      <c r="U211" s="254">
        <v>0</v>
      </c>
      <c r="V211" s="254">
        <v>0</v>
      </c>
      <c r="W211" s="254">
        <v>0</v>
      </c>
      <c r="X211" s="254">
        <v>0</v>
      </c>
      <c r="Y211" s="254">
        <v>0</v>
      </c>
      <c r="Z211" s="254">
        <v>0</v>
      </c>
      <c r="AA211" s="254">
        <v>0</v>
      </c>
      <c r="AB211" s="254">
        <v>0</v>
      </c>
      <c r="AC211" s="254">
        <v>0</v>
      </c>
      <c r="AD211" s="254">
        <v>0.2857142857142857</v>
      </c>
      <c r="AE211" s="254">
        <v>0.2857142857142857</v>
      </c>
      <c r="AF211" s="254">
        <v>0.2857142857142857</v>
      </c>
      <c r="AG211" s="254">
        <v>0</v>
      </c>
      <c r="AH211" s="254">
        <v>0</v>
      </c>
      <c r="AI211" s="254">
        <v>0</v>
      </c>
      <c r="AJ211" s="254">
        <v>0</v>
      </c>
      <c r="AK211" s="254">
        <v>0</v>
      </c>
      <c r="AL211" s="254">
        <v>0</v>
      </c>
      <c r="AM211" s="254">
        <v>0</v>
      </c>
      <c r="AN211" s="254">
        <v>0</v>
      </c>
      <c r="AO211" s="254">
        <v>0</v>
      </c>
      <c r="AP211" s="254">
        <v>0</v>
      </c>
      <c r="AQ211" s="254">
        <v>0</v>
      </c>
      <c r="AR211" s="254">
        <v>0</v>
      </c>
      <c r="AS211" s="254">
        <v>0</v>
      </c>
      <c r="AT211" s="254">
        <v>0</v>
      </c>
      <c r="AU211" s="254">
        <v>0</v>
      </c>
      <c r="AV211" s="254">
        <v>0</v>
      </c>
      <c r="AW211" s="254">
        <v>0</v>
      </c>
      <c r="AX211" s="254">
        <v>0</v>
      </c>
      <c r="AY211" s="254">
        <v>0</v>
      </c>
      <c r="AZ211" s="254">
        <v>0</v>
      </c>
      <c r="BA211" s="254">
        <v>0</v>
      </c>
      <c r="BB211" s="254">
        <v>0</v>
      </c>
      <c r="BC211" s="254">
        <v>0</v>
      </c>
      <c r="BD211" s="254">
        <v>0</v>
      </c>
      <c r="BE211" s="254">
        <v>0</v>
      </c>
      <c r="BF211" s="254">
        <v>0</v>
      </c>
      <c r="BG211" s="254">
        <v>0</v>
      </c>
      <c r="BH211" s="254">
        <v>0</v>
      </c>
      <c r="BI211" s="254">
        <v>0</v>
      </c>
      <c r="BJ211" s="254">
        <v>0</v>
      </c>
      <c r="BK211" s="254">
        <v>0</v>
      </c>
      <c r="BL211" s="254">
        <v>0</v>
      </c>
      <c r="BM211" s="254">
        <v>0</v>
      </c>
      <c r="BN211" s="254">
        <v>0</v>
      </c>
      <c r="BO211" s="254">
        <v>0</v>
      </c>
      <c r="BP211" s="254">
        <v>0</v>
      </c>
      <c r="BQ211" s="254">
        <v>0</v>
      </c>
      <c r="BR211" s="254">
        <v>0</v>
      </c>
      <c r="BS211" s="254">
        <v>0</v>
      </c>
      <c r="BT211" s="254">
        <v>0</v>
      </c>
      <c r="BU211" s="254">
        <v>0</v>
      </c>
      <c r="BV211" s="254">
        <v>0</v>
      </c>
      <c r="BW211" s="254">
        <v>0</v>
      </c>
      <c r="BX211" s="254">
        <v>0</v>
      </c>
      <c r="BY211" s="254">
        <v>0</v>
      </c>
      <c r="BZ211" s="254">
        <v>0</v>
      </c>
      <c r="CA211" s="254">
        <v>0</v>
      </c>
      <c r="CB211" s="254">
        <v>0</v>
      </c>
      <c r="CC211" s="254">
        <v>0</v>
      </c>
      <c r="CD211" s="254">
        <v>0</v>
      </c>
      <c r="CE211" s="254">
        <v>0</v>
      </c>
      <c r="CF211" s="254">
        <v>0</v>
      </c>
      <c r="CG211" s="254">
        <v>0</v>
      </c>
      <c r="CH211" s="254">
        <v>0</v>
      </c>
      <c r="CI211" s="254">
        <v>0</v>
      </c>
      <c r="CJ211" s="254">
        <v>0</v>
      </c>
      <c r="CK211" s="254">
        <v>0</v>
      </c>
      <c r="CL211" s="254">
        <v>0</v>
      </c>
      <c r="CM211" s="254">
        <v>0</v>
      </c>
      <c r="CN211" s="254">
        <v>0</v>
      </c>
      <c r="CO211" s="254">
        <v>0</v>
      </c>
      <c r="CP211" s="254">
        <v>0</v>
      </c>
      <c r="CQ211" s="116"/>
      <c r="CR211" s="255">
        <v>0</v>
      </c>
      <c r="CS211" s="255">
        <v>0</v>
      </c>
      <c r="CT211" s="255">
        <v>0</v>
      </c>
      <c r="CU211" s="255">
        <v>0</v>
      </c>
      <c r="CV211" s="255">
        <v>0</v>
      </c>
      <c r="CW211" s="255">
        <v>0</v>
      </c>
      <c r="CX211" s="255">
        <v>0</v>
      </c>
      <c r="CY211" s="255">
        <v>0</v>
      </c>
      <c r="CZ211" s="255">
        <v>0</v>
      </c>
      <c r="DA211" s="255">
        <v>0</v>
      </c>
      <c r="DB211" s="255">
        <v>0</v>
      </c>
      <c r="DC211" s="255">
        <v>0</v>
      </c>
      <c r="DD211" s="255">
        <v>0</v>
      </c>
      <c r="DE211" s="255">
        <v>0</v>
      </c>
      <c r="DF211" s="255">
        <v>0</v>
      </c>
      <c r="DG211" s="255">
        <v>0</v>
      </c>
      <c r="DH211" s="255">
        <v>0</v>
      </c>
      <c r="DI211" s="255">
        <v>0</v>
      </c>
      <c r="DJ211" s="255">
        <v>0</v>
      </c>
      <c r="DK211" s="255">
        <v>15086</v>
      </c>
      <c r="DL211" s="255">
        <v>15086</v>
      </c>
      <c r="DM211" s="255">
        <v>15086</v>
      </c>
      <c r="DN211" s="255">
        <v>0</v>
      </c>
      <c r="DO211" s="255">
        <v>0</v>
      </c>
      <c r="DP211" s="255">
        <v>0</v>
      </c>
      <c r="DQ211" s="255">
        <v>0</v>
      </c>
      <c r="DR211" s="255">
        <v>0</v>
      </c>
      <c r="DS211" s="255">
        <v>0</v>
      </c>
      <c r="DT211" s="255">
        <v>0</v>
      </c>
      <c r="DU211" s="255">
        <v>0</v>
      </c>
      <c r="DV211" s="255">
        <v>0</v>
      </c>
      <c r="DW211" s="255">
        <v>0</v>
      </c>
      <c r="DX211" s="255">
        <v>0</v>
      </c>
      <c r="DY211" s="255">
        <v>0</v>
      </c>
      <c r="DZ211" s="255">
        <v>0</v>
      </c>
      <c r="EA211" s="255">
        <v>0</v>
      </c>
      <c r="EB211" s="255">
        <v>0</v>
      </c>
      <c r="EC211" s="255">
        <v>0</v>
      </c>
      <c r="ED211" s="255">
        <v>0</v>
      </c>
      <c r="EE211" s="255">
        <v>0</v>
      </c>
      <c r="EF211" s="255">
        <v>0</v>
      </c>
      <c r="EG211" s="255">
        <v>0</v>
      </c>
      <c r="EH211" s="255">
        <v>0</v>
      </c>
      <c r="EI211" s="255">
        <v>0</v>
      </c>
      <c r="EJ211" s="255">
        <v>0</v>
      </c>
      <c r="EK211" s="255">
        <v>0</v>
      </c>
      <c r="EL211" s="255">
        <v>0</v>
      </c>
      <c r="EM211" s="255">
        <v>0</v>
      </c>
      <c r="EN211" s="255">
        <v>0</v>
      </c>
      <c r="EO211" s="255">
        <v>0</v>
      </c>
      <c r="EP211" s="255">
        <v>0</v>
      </c>
      <c r="EQ211" s="255">
        <v>0</v>
      </c>
      <c r="ER211" s="255">
        <v>0</v>
      </c>
      <c r="ES211" s="255">
        <v>0</v>
      </c>
      <c r="ET211" s="255">
        <v>0</v>
      </c>
      <c r="EU211" s="255">
        <v>0</v>
      </c>
      <c r="EV211" s="255">
        <v>0</v>
      </c>
      <c r="EW211" s="255">
        <v>0</v>
      </c>
      <c r="EX211" s="255">
        <v>0</v>
      </c>
      <c r="EY211" s="255">
        <v>0</v>
      </c>
      <c r="EZ211" s="255">
        <v>0</v>
      </c>
      <c r="FA211" s="255">
        <v>0</v>
      </c>
      <c r="FB211" s="255">
        <v>0</v>
      </c>
      <c r="FC211" s="255">
        <v>0</v>
      </c>
      <c r="FD211" s="255">
        <v>0</v>
      </c>
      <c r="FE211" s="255">
        <v>0</v>
      </c>
      <c r="FF211" s="255">
        <v>0</v>
      </c>
      <c r="FG211" s="255">
        <v>0</v>
      </c>
      <c r="FH211" s="255">
        <v>0</v>
      </c>
      <c r="FI211" s="255">
        <v>0</v>
      </c>
      <c r="FJ211" s="255">
        <v>0</v>
      </c>
      <c r="FK211" s="255">
        <v>0</v>
      </c>
      <c r="FL211" s="255">
        <v>0</v>
      </c>
      <c r="FM211" s="255">
        <v>0</v>
      </c>
      <c r="FN211" s="255">
        <v>0</v>
      </c>
      <c r="FO211" s="255">
        <v>0</v>
      </c>
      <c r="FP211" s="255">
        <v>0</v>
      </c>
      <c r="FQ211" s="255">
        <v>0</v>
      </c>
      <c r="FR211" s="255">
        <v>0</v>
      </c>
      <c r="FS211" s="255">
        <v>0</v>
      </c>
      <c r="FT211" s="255">
        <v>0</v>
      </c>
      <c r="FU211" s="255">
        <v>0</v>
      </c>
      <c r="FV211" s="255">
        <v>0</v>
      </c>
      <c r="FW211" s="255">
        <v>0</v>
      </c>
      <c r="FX211" s="116"/>
    </row>
    <row r="212" spans="2:180" x14ac:dyDescent="0.2">
      <c r="B212" s="253" t="s">
        <v>216</v>
      </c>
      <c r="C212" s="253" t="s">
        <v>272</v>
      </c>
      <c r="D212" s="253" t="s">
        <v>258</v>
      </c>
      <c r="E212" s="253" t="s">
        <v>127</v>
      </c>
      <c r="F212" s="253" t="s">
        <v>259</v>
      </c>
      <c r="G212" s="253" t="s">
        <v>260</v>
      </c>
      <c r="H212" s="237">
        <v>254.01</v>
      </c>
      <c r="I212" s="126">
        <f t="shared" si="88"/>
        <v>218499.11999999994</v>
      </c>
      <c r="J212" s="116"/>
      <c r="K212" s="254">
        <v>0</v>
      </c>
      <c r="L212" s="254">
        <v>0</v>
      </c>
      <c r="M212" s="254">
        <v>0</v>
      </c>
      <c r="N212" s="254">
        <v>0</v>
      </c>
      <c r="O212" s="254">
        <v>0</v>
      </c>
      <c r="P212" s="254">
        <v>0</v>
      </c>
      <c r="Q212" s="254">
        <v>0</v>
      </c>
      <c r="R212" s="254">
        <v>0</v>
      </c>
      <c r="S212" s="254">
        <v>0</v>
      </c>
      <c r="T212" s="254">
        <v>0</v>
      </c>
      <c r="U212" s="254">
        <v>0</v>
      </c>
      <c r="V212" s="254">
        <v>0</v>
      </c>
      <c r="W212" s="254">
        <v>0</v>
      </c>
      <c r="X212" s="254">
        <v>0</v>
      </c>
      <c r="Y212" s="254">
        <v>0.2</v>
      </c>
      <c r="Z212" s="254">
        <v>0.2</v>
      </c>
      <c r="AA212" s="254">
        <v>0.18421052631578946</v>
      </c>
      <c r="AB212" s="254">
        <v>0.18421052631578946</v>
      </c>
      <c r="AC212" s="254">
        <v>0.2</v>
      </c>
      <c r="AD212" s="254">
        <v>0.2</v>
      </c>
      <c r="AE212" s="254">
        <v>0.2</v>
      </c>
      <c r="AF212" s="254">
        <v>0.2</v>
      </c>
      <c r="AG212" s="254">
        <v>0.2</v>
      </c>
      <c r="AH212" s="254">
        <v>0.2</v>
      </c>
      <c r="AI212" s="254">
        <v>0.2</v>
      </c>
      <c r="AJ212" s="254">
        <v>0.2</v>
      </c>
      <c r="AK212" s="254">
        <v>0.2</v>
      </c>
      <c r="AL212" s="254">
        <v>0.2</v>
      </c>
      <c r="AM212" s="254">
        <v>0.18421052631578946</v>
      </c>
      <c r="AN212" s="254">
        <v>0.18421052631578946</v>
      </c>
      <c r="AO212" s="254">
        <v>0.2</v>
      </c>
      <c r="AP212" s="254">
        <v>0.2</v>
      </c>
      <c r="AQ212" s="254">
        <v>0.2</v>
      </c>
      <c r="AR212" s="254">
        <v>0.2</v>
      </c>
      <c r="AS212" s="254">
        <v>0.2</v>
      </c>
      <c r="AT212" s="254">
        <v>0.2</v>
      </c>
      <c r="AU212" s="254">
        <v>0.2</v>
      </c>
      <c r="AV212" s="254">
        <v>0.2</v>
      </c>
      <c r="AW212" s="254">
        <v>0.2</v>
      </c>
      <c r="AX212" s="254">
        <v>0.2</v>
      </c>
      <c r="AY212" s="254">
        <v>0.18421052631578946</v>
      </c>
      <c r="AZ212" s="254">
        <v>0.18421052631578946</v>
      </c>
      <c r="BA212" s="254">
        <v>0.2</v>
      </c>
      <c r="BB212" s="254">
        <v>0.2</v>
      </c>
      <c r="BC212" s="254">
        <v>0.2</v>
      </c>
      <c r="BD212" s="254">
        <v>0.2</v>
      </c>
      <c r="BE212" s="254">
        <v>0</v>
      </c>
      <c r="BF212" s="254">
        <v>0</v>
      </c>
      <c r="BG212" s="254">
        <v>0</v>
      </c>
      <c r="BH212" s="254">
        <v>0</v>
      </c>
      <c r="BI212" s="254">
        <v>0</v>
      </c>
      <c r="BJ212" s="254">
        <v>0</v>
      </c>
      <c r="BK212" s="254">
        <v>0</v>
      </c>
      <c r="BL212" s="254">
        <v>0</v>
      </c>
      <c r="BM212" s="254">
        <v>0</v>
      </c>
      <c r="BN212" s="254">
        <v>0</v>
      </c>
      <c r="BO212" s="254">
        <v>0</v>
      </c>
      <c r="BP212" s="254">
        <v>0</v>
      </c>
      <c r="BQ212" s="254">
        <v>0</v>
      </c>
      <c r="BR212" s="254">
        <v>0</v>
      </c>
      <c r="BS212" s="254">
        <v>0</v>
      </c>
      <c r="BT212" s="254">
        <v>0</v>
      </c>
      <c r="BU212" s="254">
        <v>0</v>
      </c>
      <c r="BV212" s="254">
        <v>0</v>
      </c>
      <c r="BW212" s="254">
        <v>0</v>
      </c>
      <c r="BX212" s="254">
        <v>0</v>
      </c>
      <c r="BY212" s="254">
        <v>0</v>
      </c>
      <c r="BZ212" s="254">
        <v>0</v>
      </c>
      <c r="CA212" s="254">
        <v>0</v>
      </c>
      <c r="CB212" s="254">
        <v>0</v>
      </c>
      <c r="CC212" s="254">
        <v>0</v>
      </c>
      <c r="CD212" s="254">
        <v>0</v>
      </c>
      <c r="CE212" s="254">
        <v>0</v>
      </c>
      <c r="CF212" s="254">
        <v>0</v>
      </c>
      <c r="CG212" s="254">
        <v>0</v>
      </c>
      <c r="CH212" s="254">
        <v>0</v>
      </c>
      <c r="CI212" s="254">
        <v>0</v>
      </c>
      <c r="CJ212" s="254">
        <v>0</v>
      </c>
      <c r="CK212" s="254">
        <v>0</v>
      </c>
      <c r="CL212" s="254">
        <v>0</v>
      </c>
      <c r="CM212" s="254">
        <v>0</v>
      </c>
      <c r="CN212" s="254">
        <v>0</v>
      </c>
      <c r="CO212" s="254">
        <v>0</v>
      </c>
      <c r="CP212" s="254">
        <v>0</v>
      </c>
      <c r="CQ212" s="116"/>
      <c r="CR212" s="255">
        <v>0</v>
      </c>
      <c r="CS212" s="255">
        <v>0</v>
      </c>
      <c r="CT212" s="255">
        <v>0</v>
      </c>
      <c r="CU212" s="255">
        <v>0</v>
      </c>
      <c r="CV212" s="255">
        <v>0</v>
      </c>
      <c r="CW212" s="255">
        <v>0</v>
      </c>
      <c r="CX212" s="255">
        <v>0</v>
      </c>
      <c r="CY212" s="255">
        <v>0</v>
      </c>
      <c r="CZ212" s="255">
        <v>0</v>
      </c>
      <c r="DA212" s="255">
        <v>0</v>
      </c>
      <c r="DB212" s="255">
        <v>0</v>
      </c>
      <c r="DC212" s="255">
        <v>0</v>
      </c>
      <c r="DD212" s="255">
        <v>0</v>
      </c>
      <c r="DE212" s="255">
        <v>0</v>
      </c>
      <c r="DF212" s="255">
        <v>6905.6399999999994</v>
      </c>
      <c r="DG212" s="255">
        <v>5179.2299999999996</v>
      </c>
      <c r="DH212" s="255">
        <v>6905.6399999999994</v>
      </c>
      <c r="DI212" s="255">
        <v>6905.6399999999994</v>
      </c>
      <c r="DJ212" s="255">
        <v>7112.28</v>
      </c>
      <c r="DK212" s="255">
        <v>7112.28</v>
      </c>
      <c r="DL212" s="255">
        <v>7112.28</v>
      </c>
      <c r="DM212" s="255">
        <v>7112.28</v>
      </c>
      <c r="DN212" s="255">
        <v>7112.28</v>
      </c>
      <c r="DO212" s="255">
        <v>5334.21</v>
      </c>
      <c r="DP212" s="255">
        <v>5334.21</v>
      </c>
      <c r="DQ212" s="255">
        <v>7112.28</v>
      </c>
      <c r="DR212" s="255">
        <v>7112.28</v>
      </c>
      <c r="DS212" s="255">
        <v>5334.21</v>
      </c>
      <c r="DT212" s="255">
        <v>7112.28</v>
      </c>
      <c r="DU212" s="255">
        <v>7112.28</v>
      </c>
      <c r="DV212" s="255">
        <v>7325.3600000000006</v>
      </c>
      <c r="DW212" s="255">
        <v>7325.3600000000006</v>
      </c>
      <c r="DX212" s="255">
        <v>7325.3600000000006</v>
      </c>
      <c r="DY212" s="255">
        <v>7325.3600000000006</v>
      </c>
      <c r="DZ212" s="255">
        <v>7325.3600000000006</v>
      </c>
      <c r="EA212" s="255">
        <v>5494.02</v>
      </c>
      <c r="EB212" s="255">
        <v>5494.02</v>
      </c>
      <c r="EC212" s="255">
        <v>7325.3600000000006</v>
      </c>
      <c r="ED212" s="255">
        <v>7325.3600000000006</v>
      </c>
      <c r="EE212" s="255">
        <v>5494.02</v>
      </c>
      <c r="EF212" s="255">
        <v>7325.3600000000006</v>
      </c>
      <c r="EG212" s="255">
        <v>7325.3600000000006</v>
      </c>
      <c r="EH212" s="255">
        <v>7544.8799999999992</v>
      </c>
      <c r="EI212" s="255">
        <v>7544.8799999999992</v>
      </c>
      <c r="EJ212" s="255">
        <v>7544.8799999999992</v>
      </c>
      <c r="EK212" s="255">
        <v>7544.8799999999992</v>
      </c>
      <c r="EL212" s="255">
        <v>0</v>
      </c>
      <c r="EM212" s="255">
        <v>0</v>
      </c>
      <c r="EN212" s="255">
        <v>0</v>
      </c>
      <c r="EO212" s="255">
        <v>0</v>
      </c>
      <c r="EP212" s="255">
        <v>0</v>
      </c>
      <c r="EQ212" s="255">
        <v>0</v>
      </c>
      <c r="ER212" s="255">
        <v>0</v>
      </c>
      <c r="ES212" s="255">
        <v>0</v>
      </c>
      <c r="ET212" s="255">
        <v>0</v>
      </c>
      <c r="EU212" s="255">
        <v>0</v>
      </c>
      <c r="EV212" s="255">
        <v>0</v>
      </c>
      <c r="EW212" s="255">
        <v>0</v>
      </c>
      <c r="EX212" s="255">
        <v>0</v>
      </c>
      <c r="EY212" s="255">
        <v>0</v>
      </c>
      <c r="EZ212" s="255">
        <v>0</v>
      </c>
      <c r="FA212" s="255">
        <v>0</v>
      </c>
      <c r="FB212" s="255">
        <v>0</v>
      </c>
      <c r="FC212" s="255">
        <v>0</v>
      </c>
      <c r="FD212" s="255">
        <v>0</v>
      </c>
      <c r="FE212" s="255">
        <v>0</v>
      </c>
      <c r="FF212" s="255">
        <v>0</v>
      </c>
      <c r="FG212" s="255">
        <v>0</v>
      </c>
      <c r="FH212" s="255">
        <v>0</v>
      </c>
      <c r="FI212" s="255">
        <v>0</v>
      </c>
      <c r="FJ212" s="255">
        <v>0</v>
      </c>
      <c r="FK212" s="255">
        <v>0</v>
      </c>
      <c r="FL212" s="255">
        <v>0</v>
      </c>
      <c r="FM212" s="255">
        <v>0</v>
      </c>
      <c r="FN212" s="255">
        <v>0</v>
      </c>
      <c r="FO212" s="255">
        <v>0</v>
      </c>
      <c r="FP212" s="255">
        <v>0</v>
      </c>
      <c r="FQ212" s="255">
        <v>0</v>
      </c>
      <c r="FR212" s="255">
        <v>0</v>
      </c>
      <c r="FS212" s="255">
        <v>0</v>
      </c>
      <c r="FT212" s="255">
        <v>0</v>
      </c>
      <c r="FU212" s="255">
        <v>0</v>
      </c>
      <c r="FV212" s="255">
        <v>0</v>
      </c>
      <c r="FW212" s="255">
        <v>0</v>
      </c>
      <c r="FX212" s="116"/>
    </row>
    <row r="213" spans="2:180" x14ac:dyDescent="0.2">
      <c r="B213" s="253" t="s">
        <v>216</v>
      </c>
      <c r="C213" s="253" t="s">
        <v>272</v>
      </c>
      <c r="D213" s="253" t="s">
        <v>258</v>
      </c>
      <c r="E213" s="253" t="s">
        <v>127</v>
      </c>
      <c r="F213" s="253" t="s">
        <v>259</v>
      </c>
      <c r="G213" s="253" t="s">
        <v>260</v>
      </c>
      <c r="H213" s="237">
        <v>254.01</v>
      </c>
      <c r="I213" s="126">
        <f t="shared" si="88"/>
        <v>119702.10000000003</v>
      </c>
      <c r="J213" s="116"/>
      <c r="K213" s="254">
        <v>0</v>
      </c>
      <c r="L213" s="254">
        <v>0</v>
      </c>
      <c r="M213" s="254">
        <v>0</v>
      </c>
      <c r="N213" s="254">
        <v>0</v>
      </c>
      <c r="O213" s="254">
        <v>0</v>
      </c>
      <c r="P213" s="254">
        <v>0</v>
      </c>
      <c r="Q213" s="254">
        <v>0</v>
      </c>
      <c r="R213" s="254">
        <v>0</v>
      </c>
      <c r="S213" s="254">
        <v>0</v>
      </c>
      <c r="T213" s="254">
        <v>0</v>
      </c>
      <c r="U213" s="254">
        <v>0</v>
      </c>
      <c r="V213" s="254">
        <v>0</v>
      </c>
      <c r="W213" s="254">
        <v>0</v>
      </c>
      <c r="X213" s="254">
        <v>0</v>
      </c>
      <c r="Y213" s="254">
        <v>0</v>
      </c>
      <c r="Z213" s="254">
        <v>0</v>
      </c>
      <c r="AA213" s="254">
        <v>0</v>
      </c>
      <c r="AB213" s="254">
        <v>0</v>
      </c>
      <c r="AC213" s="254">
        <v>0</v>
      </c>
      <c r="AD213" s="254">
        <v>0</v>
      </c>
      <c r="AE213" s="254">
        <v>0</v>
      </c>
      <c r="AF213" s="254">
        <v>0</v>
      </c>
      <c r="AG213" s="254">
        <v>0</v>
      </c>
      <c r="AH213" s="254">
        <v>0</v>
      </c>
      <c r="AI213" s="254">
        <v>0</v>
      </c>
      <c r="AJ213" s="254">
        <v>0</v>
      </c>
      <c r="AK213" s="254">
        <v>0</v>
      </c>
      <c r="AL213" s="254">
        <v>0</v>
      </c>
      <c r="AM213" s="254">
        <v>0</v>
      </c>
      <c r="AN213" s="254">
        <v>0.18421052631578946</v>
      </c>
      <c r="AO213" s="254">
        <v>0.2</v>
      </c>
      <c r="AP213" s="254">
        <v>0.2</v>
      </c>
      <c r="AQ213" s="254">
        <v>0.2</v>
      </c>
      <c r="AR213" s="254">
        <v>0.2</v>
      </c>
      <c r="AS213" s="254">
        <v>0.2</v>
      </c>
      <c r="AT213" s="254">
        <v>0.2</v>
      </c>
      <c r="AU213" s="254">
        <v>0.2</v>
      </c>
      <c r="AV213" s="254">
        <v>0.2</v>
      </c>
      <c r="AW213" s="254">
        <v>0.2</v>
      </c>
      <c r="AX213" s="254">
        <v>0.2</v>
      </c>
      <c r="AY213" s="254">
        <v>0.18421052631578946</v>
      </c>
      <c r="AZ213" s="254">
        <v>0.18421052631578946</v>
      </c>
      <c r="BA213" s="254">
        <v>0.2</v>
      </c>
      <c r="BB213" s="254">
        <v>0.2</v>
      </c>
      <c r="BC213" s="254">
        <v>0.2</v>
      </c>
      <c r="BD213" s="254">
        <v>0.2</v>
      </c>
      <c r="BE213" s="254">
        <v>0</v>
      </c>
      <c r="BF213" s="254">
        <v>0</v>
      </c>
      <c r="BG213" s="254">
        <v>0</v>
      </c>
      <c r="BH213" s="254">
        <v>0</v>
      </c>
      <c r="BI213" s="254">
        <v>0</v>
      </c>
      <c r="BJ213" s="254">
        <v>0</v>
      </c>
      <c r="BK213" s="254">
        <v>0</v>
      </c>
      <c r="BL213" s="254">
        <v>0</v>
      </c>
      <c r="BM213" s="254">
        <v>0</v>
      </c>
      <c r="BN213" s="254">
        <v>0</v>
      </c>
      <c r="BO213" s="254">
        <v>0</v>
      </c>
      <c r="BP213" s="254">
        <v>0</v>
      </c>
      <c r="BQ213" s="254">
        <v>0</v>
      </c>
      <c r="BR213" s="254">
        <v>0</v>
      </c>
      <c r="BS213" s="254">
        <v>0</v>
      </c>
      <c r="BT213" s="254">
        <v>0</v>
      </c>
      <c r="BU213" s="254">
        <v>0</v>
      </c>
      <c r="BV213" s="254">
        <v>0</v>
      </c>
      <c r="BW213" s="254">
        <v>0</v>
      </c>
      <c r="BX213" s="254">
        <v>0</v>
      </c>
      <c r="BY213" s="254">
        <v>0</v>
      </c>
      <c r="BZ213" s="254">
        <v>0</v>
      </c>
      <c r="CA213" s="254">
        <v>0</v>
      </c>
      <c r="CB213" s="254">
        <v>0</v>
      </c>
      <c r="CC213" s="254">
        <v>0</v>
      </c>
      <c r="CD213" s="254">
        <v>0</v>
      </c>
      <c r="CE213" s="254">
        <v>0</v>
      </c>
      <c r="CF213" s="254">
        <v>0</v>
      </c>
      <c r="CG213" s="254">
        <v>0</v>
      </c>
      <c r="CH213" s="254">
        <v>0</v>
      </c>
      <c r="CI213" s="254">
        <v>0</v>
      </c>
      <c r="CJ213" s="254">
        <v>0</v>
      </c>
      <c r="CK213" s="254">
        <v>0</v>
      </c>
      <c r="CL213" s="254">
        <v>0</v>
      </c>
      <c r="CM213" s="254">
        <v>0</v>
      </c>
      <c r="CN213" s="254">
        <v>0</v>
      </c>
      <c r="CO213" s="254">
        <v>0</v>
      </c>
      <c r="CP213" s="254">
        <v>0</v>
      </c>
      <c r="CQ213" s="116"/>
      <c r="CR213" s="255">
        <v>0</v>
      </c>
      <c r="CS213" s="255">
        <v>0</v>
      </c>
      <c r="CT213" s="255">
        <v>0</v>
      </c>
      <c r="CU213" s="255">
        <v>0</v>
      </c>
      <c r="CV213" s="255">
        <v>0</v>
      </c>
      <c r="CW213" s="255">
        <v>0</v>
      </c>
      <c r="CX213" s="255">
        <v>0</v>
      </c>
      <c r="CY213" s="255">
        <v>0</v>
      </c>
      <c r="CZ213" s="255">
        <v>0</v>
      </c>
      <c r="DA213" s="255">
        <v>0</v>
      </c>
      <c r="DB213" s="255">
        <v>0</v>
      </c>
      <c r="DC213" s="255">
        <v>0</v>
      </c>
      <c r="DD213" s="255">
        <v>0</v>
      </c>
      <c r="DE213" s="255">
        <v>0</v>
      </c>
      <c r="DF213" s="255">
        <v>0</v>
      </c>
      <c r="DG213" s="255">
        <v>0</v>
      </c>
      <c r="DH213" s="255">
        <v>0</v>
      </c>
      <c r="DI213" s="255">
        <v>0</v>
      </c>
      <c r="DJ213" s="255">
        <v>0</v>
      </c>
      <c r="DK213" s="255">
        <v>0</v>
      </c>
      <c r="DL213" s="255">
        <v>0</v>
      </c>
      <c r="DM213" s="255">
        <v>0</v>
      </c>
      <c r="DN213" s="255">
        <v>0</v>
      </c>
      <c r="DO213" s="255">
        <v>0</v>
      </c>
      <c r="DP213" s="255">
        <v>0</v>
      </c>
      <c r="DQ213" s="255">
        <v>0</v>
      </c>
      <c r="DR213" s="255">
        <v>0</v>
      </c>
      <c r="DS213" s="255">
        <v>0</v>
      </c>
      <c r="DT213" s="255">
        <v>0</v>
      </c>
      <c r="DU213" s="255">
        <v>7112.28</v>
      </c>
      <c r="DV213" s="255">
        <v>7325.3600000000006</v>
      </c>
      <c r="DW213" s="255">
        <v>7325.3600000000006</v>
      </c>
      <c r="DX213" s="255">
        <v>7325.3600000000006</v>
      </c>
      <c r="DY213" s="255">
        <v>7325.3600000000006</v>
      </c>
      <c r="DZ213" s="255">
        <v>7325.3600000000006</v>
      </c>
      <c r="EA213" s="255">
        <v>5494.02</v>
      </c>
      <c r="EB213" s="255">
        <v>5494.02</v>
      </c>
      <c r="EC213" s="255">
        <v>7325.3600000000006</v>
      </c>
      <c r="ED213" s="255">
        <v>7325.3600000000006</v>
      </c>
      <c r="EE213" s="255">
        <v>5494.02</v>
      </c>
      <c r="EF213" s="255">
        <v>7325.3600000000006</v>
      </c>
      <c r="EG213" s="255">
        <v>7325.3600000000006</v>
      </c>
      <c r="EH213" s="255">
        <v>7544.8799999999992</v>
      </c>
      <c r="EI213" s="255">
        <v>7544.8799999999992</v>
      </c>
      <c r="EJ213" s="255">
        <v>7544.8799999999992</v>
      </c>
      <c r="EK213" s="255">
        <v>7544.8799999999992</v>
      </c>
      <c r="EL213" s="255">
        <v>0</v>
      </c>
      <c r="EM213" s="255">
        <v>0</v>
      </c>
      <c r="EN213" s="255">
        <v>0</v>
      </c>
      <c r="EO213" s="255">
        <v>0</v>
      </c>
      <c r="EP213" s="255">
        <v>0</v>
      </c>
      <c r="EQ213" s="255">
        <v>0</v>
      </c>
      <c r="ER213" s="255">
        <v>0</v>
      </c>
      <c r="ES213" s="255">
        <v>0</v>
      </c>
      <c r="ET213" s="255">
        <v>0</v>
      </c>
      <c r="EU213" s="255">
        <v>0</v>
      </c>
      <c r="EV213" s="255">
        <v>0</v>
      </c>
      <c r="EW213" s="255">
        <v>0</v>
      </c>
      <c r="EX213" s="255">
        <v>0</v>
      </c>
      <c r="EY213" s="255">
        <v>0</v>
      </c>
      <c r="EZ213" s="255">
        <v>0</v>
      </c>
      <c r="FA213" s="255">
        <v>0</v>
      </c>
      <c r="FB213" s="255">
        <v>0</v>
      </c>
      <c r="FC213" s="255">
        <v>0</v>
      </c>
      <c r="FD213" s="255">
        <v>0</v>
      </c>
      <c r="FE213" s="255">
        <v>0</v>
      </c>
      <c r="FF213" s="255">
        <v>0</v>
      </c>
      <c r="FG213" s="255">
        <v>0</v>
      </c>
      <c r="FH213" s="255">
        <v>0</v>
      </c>
      <c r="FI213" s="255">
        <v>0</v>
      </c>
      <c r="FJ213" s="255">
        <v>0</v>
      </c>
      <c r="FK213" s="255">
        <v>0</v>
      </c>
      <c r="FL213" s="255">
        <v>0</v>
      </c>
      <c r="FM213" s="255">
        <v>0</v>
      </c>
      <c r="FN213" s="255">
        <v>0</v>
      </c>
      <c r="FO213" s="255">
        <v>0</v>
      </c>
      <c r="FP213" s="255">
        <v>0</v>
      </c>
      <c r="FQ213" s="255">
        <v>0</v>
      </c>
      <c r="FR213" s="255">
        <v>0</v>
      </c>
      <c r="FS213" s="255">
        <v>0</v>
      </c>
      <c r="FT213" s="255">
        <v>0</v>
      </c>
      <c r="FU213" s="255">
        <v>0</v>
      </c>
      <c r="FV213" s="255">
        <v>0</v>
      </c>
      <c r="FW213" s="255">
        <v>0</v>
      </c>
      <c r="FX213" s="116"/>
    </row>
    <row r="214" spans="2:180" x14ac:dyDescent="0.2">
      <c r="B214" s="253" t="s">
        <v>216</v>
      </c>
      <c r="C214" s="253" t="s">
        <v>334</v>
      </c>
      <c r="D214" s="253" t="s">
        <v>258</v>
      </c>
      <c r="E214" s="253" t="s">
        <v>127</v>
      </c>
      <c r="F214" s="253" t="s">
        <v>259</v>
      </c>
      <c r="G214" s="253" t="s">
        <v>260</v>
      </c>
      <c r="H214" s="237">
        <v>138.35</v>
      </c>
      <c r="I214" s="126">
        <f t="shared" si="88"/>
        <v>4842.25</v>
      </c>
      <c r="J214" s="116"/>
      <c r="K214" s="254">
        <v>0</v>
      </c>
      <c r="L214" s="254">
        <v>0</v>
      </c>
      <c r="M214" s="254">
        <v>0</v>
      </c>
      <c r="N214" s="254">
        <v>0</v>
      </c>
      <c r="O214" s="254">
        <v>0</v>
      </c>
      <c r="P214" s="254">
        <v>0</v>
      </c>
      <c r="Q214" s="254">
        <v>0</v>
      </c>
      <c r="R214" s="254">
        <v>0</v>
      </c>
      <c r="S214" s="254">
        <v>0</v>
      </c>
      <c r="T214" s="254">
        <v>0</v>
      </c>
      <c r="U214" s="254">
        <v>0</v>
      </c>
      <c r="V214" s="254">
        <v>0</v>
      </c>
      <c r="W214" s="254">
        <v>0</v>
      </c>
      <c r="X214" s="254">
        <v>0</v>
      </c>
      <c r="Y214" s="254">
        <v>0.25</v>
      </c>
      <c r="Z214" s="254">
        <v>0</v>
      </c>
      <c r="AA214" s="254">
        <v>0</v>
      </c>
      <c r="AB214" s="254">
        <v>0</v>
      </c>
      <c r="AC214" s="254">
        <v>0</v>
      </c>
      <c r="AD214" s="254">
        <v>0</v>
      </c>
      <c r="AE214" s="254">
        <v>0</v>
      </c>
      <c r="AF214" s="254">
        <v>0</v>
      </c>
      <c r="AG214" s="254">
        <v>0</v>
      </c>
      <c r="AH214" s="254">
        <v>0</v>
      </c>
      <c r="AI214" s="254">
        <v>0</v>
      </c>
      <c r="AJ214" s="254">
        <v>0</v>
      </c>
      <c r="AK214" s="254">
        <v>0</v>
      </c>
      <c r="AL214" s="254">
        <v>0</v>
      </c>
      <c r="AM214" s="254">
        <v>0</v>
      </c>
      <c r="AN214" s="254">
        <v>0</v>
      </c>
      <c r="AO214" s="254">
        <v>0</v>
      </c>
      <c r="AP214" s="254">
        <v>0</v>
      </c>
      <c r="AQ214" s="254">
        <v>0</v>
      </c>
      <c r="AR214" s="254">
        <v>0</v>
      </c>
      <c r="AS214" s="254">
        <v>0</v>
      </c>
      <c r="AT214" s="254">
        <v>0</v>
      </c>
      <c r="AU214" s="254">
        <v>0</v>
      </c>
      <c r="AV214" s="254">
        <v>0</v>
      </c>
      <c r="AW214" s="254">
        <v>0</v>
      </c>
      <c r="AX214" s="254">
        <v>0</v>
      </c>
      <c r="AY214" s="254">
        <v>0</v>
      </c>
      <c r="AZ214" s="254">
        <v>0</v>
      </c>
      <c r="BA214" s="254">
        <v>0</v>
      </c>
      <c r="BB214" s="254">
        <v>0</v>
      </c>
      <c r="BC214" s="254">
        <v>0</v>
      </c>
      <c r="BD214" s="254">
        <v>0</v>
      </c>
      <c r="BE214" s="254">
        <v>0</v>
      </c>
      <c r="BF214" s="254">
        <v>0</v>
      </c>
      <c r="BG214" s="254">
        <v>0</v>
      </c>
      <c r="BH214" s="254">
        <v>0</v>
      </c>
      <c r="BI214" s="254">
        <v>0</v>
      </c>
      <c r="BJ214" s="254">
        <v>0</v>
      </c>
      <c r="BK214" s="254">
        <v>0</v>
      </c>
      <c r="BL214" s="254">
        <v>0</v>
      </c>
      <c r="BM214" s="254">
        <v>0</v>
      </c>
      <c r="BN214" s="254">
        <v>0</v>
      </c>
      <c r="BO214" s="254">
        <v>0</v>
      </c>
      <c r="BP214" s="254">
        <v>0</v>
      </c>
      <c r="BQ214" s="254">
        <v>0</v>
      </c>
      <c r="BR214" s="254">
        <v>0</v>
      </c>
      <c r="BS214" s="254">
        <v>0</v>
      </c>
      <c r="BT214" s="254">
        <v>0</v>
      </c>
      <c r="BU214" s="254">
        <v>0</v>
      </c>
      <c r="BV214" s="254">
        <v>0</v>
      </c>
      <c r="BW214" s="254">
        <v>0</v>
      </c>
      <c r="BX214" s="254">
        <v>0</v>
      </c>
      <c r="BY214" s="254">
        <v>0</v>
      </c>
      <c r="BZ214" s="254">
        <v>0</v>
      </c>
      <c r="CA214" s="254">
        <v>0</v>
      </c>
      <c r="CB214" s="254">
        <v>0</v>
      </c>
      <c r="CC214" s="254">
        <v>0</v>
      </c>
      <c r="CD214" s="254">
        <v>0</v>
      </c>
      <c r="CE214" s="254">
        <v>0</v>
      </c>
      <c r="CF214" s="254">
        <v>0</v>
      </c>
      <c r="CG214" s="254">
        <v>0</v>
      </c>
      <c r="CH214" s="254">
        <v>0</v>
      </c>
      <c r="CI214" s="254">
        <v>0</v>
      </c>
      <c r="CJ214" s="254">
        <v>0</v>
      </c>
      <c r="CK214" s="254">
        <v>0</v>
      </c>
      <c r="CL214" s="254">
        <v>0</v>
      </c>
      <c r="CM214" s="254">
        <v>0</v>
      </c>
      <c r="CN214" s="254">
        <v>0</v>
      </c>
      <c r="CO214" s="254">
        <v>0</v>
      </c>
      <c r="CP214" s="254">
        <v>0</v>
      </c>
      <c r="CQ214" s="116"/>
      <c r="CR214" s="255">
        <v>0</v>
      </c>
      <c r="CS214" s="255">
        <v>0</v>
      </c>
      <c r="CT214" s="255">
        <v>0</v>
      </c>
      <c r="CU214" s="255">
        <v>0</v>
      </c>
      <c r="CV214" s="255">
        <v>0</v>
      </c>
      <c r="CW214" s="255">
        <v>0</v>
      </c>
      <c r="CX214" s="255">
        <v>0</v>
      </c>
      <c r="CY214" s="255">
        <v>0</v>
      </c>
      <c r="CZ214" s="255">
        <v>0</v>
      </c>
      <c r="DA214" s="255">
        <v>0</v>
      </c>
      <c r="DB214" s="255">
        <v>0</v>
      </c>
      <c r="DC214" s="255">
        <v>0</v>
      </c>
      <c r="DD214" s="255">
        <v>0</v>
      </c>
      <c r="DE214" s="255">
        <v>0</v>
      </c>
      <c r="DF214" s="255">
        <v>4842.25</v>
      </c>
      <c r="DG214" s="255">
        <v>0</v>
      </c>
      <c r="DH214" s="255">
        <v>0</v>
      </c>
      <c r="DI214" s="255">
        <v>0</v>
      </c>
      <c r="DJ214" s="255">
        <v>0</v>
      </c>
      <c r="DK214" s="255">
        <v>0</v>
      </c>
      <c r="DL214" s="255">
        <v>0</v>
      </c>
      <c r="DM214" s="255">
        <v>0</v>
      </c>
      <c r="DN214" s="255">
        <v>0</v>
      </c>
      <c r="DO214" s="255">
        <v>0</v>
      </c>
      <c r="DP214" s="255">
        <v>0</v>
      </c>
      <c r="DQ214" s="255">
        <v>0</v>
      </c>
      <c r="DR214" s="255">
        <v>0</v>
      </c>
      <c r="DS214" s="255">
        <v>0</v>
      </c>
      <c r="DT214" s="255">
        <v>0</v>
      </c>
      <c r="DU214" s="255">
        <v>0</v>
      </c>
      <c r="DV214" s="255">
        <v>0</v>
      </c>
      <c r="DW214" s="255">
        <v>0</v>
      </c>
      <c r="DX214" s="255">
        <v>0</v>
      </c>
      <c r="DY214" s="255">
        <v>0</v>
      </c>
      <c r="DZ214" s="255">
        <v>0</v>
      </c>
      <c r="EA214" s="255">
        <v>0</v>
      </c>
      <c r="EB214" s="255">
        <v>0</v>
      </c>
      <c r="EC214" s="255">
        <v>0</v>
      </c>
      <c r="ED214" s="255">
        <v>0</v>
      </c>
      <c r="EE214" s="255">
        <v>0</v>
      </c>
      <c r="EF214" s="255">
        <v>0</v>
      </c>
      <c r="EG214" s="255">
        <v>0</v>
      </c>
      <c r="EH214" s="255">
        <v>0</v>
      </c>
      <c r="EI214" s="255">
        <v>0</v>
      </c>
      <c r="EJ214" s="255">
        <v>0</v>
      </c>
      <c r="EK214" s="255">
        <v>0</v>
      </c>
      <c r="EL214" s="255">
        <v>0</v>
      </c>
      <c r="EM214" s="255">
        <v>0</v>
      </c>
      <c r="EN214" s="255">
        <v>0</v>
      </c>
      <c r="EO214" s="255">
        <v>0</v>
      </c>
      <c r="EP214" s="255">
        <v>0</v>
      </c>
      <c r="EQ214" s="255">
        <v>0</v>
      </c>
      <c r="ER214" s="255">
        <v>0</v>
      </c>
      <c r="ES214" s="255">
        <v>0</v>
      </c>
      <c r="ET214" s="255">
        <v>0</v>
      </c>
      <c r="EU214" s="255">
        <v>0</v>
      </c>
      <c r="EV214" s="255">
        <v>0</v>
      </c>
      <c r="EW214" s="255">
        <v>0</v>
      </c>
      <c r="EX214" s="255">
        <v>0</v>
      </c>
      <c r="EY214" s="255">
        <v>0</v>
      </c>
      <c r="EZ214" s="255">
        <v>0</v>
      </c>
      <c r="FA214" s="255">
        <v>0</v>
      </c>
      <c r="FB214" s="255">
        <v>0</v>
      </c>
      <c r="FC214" s="255">
        <v>0</v>
      </c>
      <c r="FD214" s="255">
        <v>0</v>
      </c>
      <c r="FE214" s="255">
        <v>0</v>
      </c>
      <c r="FF214" s="255">
        <v>0</v>
      </c>
      <c r="FG214" s="255">
        <v>0</v>
      </c>
      <c r="FH214" s="255">
        <v>0</v>
      </c>
      <c r="FI214" s="255">
        <v>0</v>
      </c>
      <c r="FJ214" s="255">
        <v>0</v>
      </c>
      <c r="FK214" s="255">
        <v>0</v>
      </c>
      <c r="FL214" s="255">
        <v>0</v>
      </c>
      <c r="FM214" s="255">
        <v>0</v>
      </c>
      <c r="FN214" s="255">
        <v>0</v>
      </c>
      <c r="FO214" s="255">
        <v>0</v>
      </c>
      <c r="FP214" s="255">
        <v>0</v>
      </c>
      <c r="FQ214" s="255">
        <v>0</v>
      </c>
      <c r="FR214" s="255">
        <v>0</v>
      </c>
      <c r="FS214" s="255">
        <v>0</v>
      </c>
      <c r="FT214" s="255">
        <v>0</v>
      </c>
      <c r="FU214" s="255">
        <v>0</v>
      </c>
      <c r="FV214" s="255">
        <v>0</v>
      </c>
      <c r="FW214" s="255">
        <v>0</v>
      </c>
      <c r="FX214" s="116"/>
    </row>
    <row r="215" spans="2:180" x14ac:dyDescent="0.2">
      <c r="B215" s="253" t="s">
        <v>216</v>
      </c>
      <c r="C215" s="253" t="s">
        <v>334</v>
      </c>
      <c r="D215" s="253" t="s">
        <v>258</v>
      </c>
      <c r="E215" s="253" t="s">
        <v>127</v>
      </c>
      <c r="F215" s="253">
        <v>0</v>
      </c>
      <c r="G215" s="253" t="s">
        <v>322</v>
      </c>
      <c r="H215" s="237">
        <v>138.35</v>
      </c>
      <c r="I215" s="126">
        <f t="shared" si="88"/>
        <v>2767</v>
      </c>
      <c r="J215" s="116"/>
      <c r="K215" s="254">
        <v>0</v>
      </c>
      <c r="L215" s="254">
        <v>0</v>
      </c>
      <c r="M215" s="254">
        <v>0</v>
      </c>
      <c r="N215" s="254">
        <v>0</v>
      </c>
      <c r="O215" s="254">
        <v>0</v>
      </c>
      <c r="P215" s="254">
        <v>0</v>
      </c>
      <c r="Q215" s="254">
        <v>0</v>
      </c>
      <c r="R215" s="254">
        <v>0</v>
      </c>
      <c r="S215" s="254">
        <v>0</v>
      </c>
      <c r="T215" s="254">
        <v>0</v>
      </c>
      <c r="U215" s="254">
        <v>0</v>
      </c>
      <c r="V215" s="254">
        <v>0</v>
      </c>
      <c r="W215" s="254">
        <v>0</v>
      </c>
      <c r="X215" s="254">
        <v>0</v>
      </c>
      <c r="Y215" s="254">
        <v>7.1428571428571425E-2</v>
      </c>
      <c r="Z215" s="254">
        <v>0</v>
      </c>
      <c r="AA215" s="254">
        <v>0</v>
      </c>
      <c r="AB215" s="254">
        <v>0</v>
      </c>
      <c r="AC215" s="254">
        <v>0</v>
      </c>
      <c r="AD215" s="254">
        <v>0</v>
      </c>
      <c r="AE215" s="254">
        <v>0</v>
      </c>
      <c r="AF215" s="254">
        <v>0</v>
      </c>
      <c r="AG215" s="254">
        <v>0</v>
      </c>
      <c r="AH215" s="254">
        <v>0</v>
      </c>
      <c r="AI215" s="254">
        <v>0</v>
      </c>
      <c r="AJ215" s="254">
        <v>0</v>
      </c>
      <c r="AK215" s="254">
        <v>0</v>
      </c>
      <c r="AL215" s="254">
        <v>0</v>
      </c>
      <c r="AM215" s="254">
        <v>0</v>
      </c>
      <c r="AN215" s="254">
        <v>0</v>
      </c>
      <c r="AO215" s="254">
        <v>0</v>
      </c>
      <c r="AP215" s="254">
        <v>0</v>
      </c>
      <c r="AQ215" s="254">
        <v>0</v>
      </c>
      <c r="AR215" s="254">
        <v>0</v>
      </c>
      <c r="AS215" s="254">
        <v>0</v>
      </c>
      <c r="AT215" s="254">
        <v>0</v>
      </c>
      <c r="AU215" s="254">
        <v>0</v>
      </c>
      <c r="AV215" s="254">
        <v>0</v>
      </c>
      <c r="AW215" s="254">
        <v>0</v>
      </c>
      <c r="AX215" s="254">
        <v>0</v>
      </c>
      <c r="AY215" s="254">
        <v>0</v>
      </c>
      <c r="AZ215" s="254">
        <v>0</v>
      </c>
      <c r="BA215" s="254">
        <v>0</v>
      </c>
      <c r="BB215" s="254">
        <v>0</v>
      </c>
      <c r="BC215" s="254">
        <v>0</v>
      </c>
      <c r="BD215" s="254">
        <v>0</v>
      </c>
      <c r="BE215" s="254">
        <v>0</v>
      </c>
      <c r="BF215" s="254">
        <v>0</v>
      </c>
      <c r="BG215" s="254">
        <v>0</v>
      </c>
      <c r="BH215" s="254">
        <v>0</v>
      </c>
      <c r="BI215" s="254">
        <v>0</v>
      </c>
      <c r="BJ215" s="254">
        <v>0</v>
      </c>
      <c r="BK215" s="254">
        <v>0</v>
      </c>
      <c r="BL215" s="254">
        <v>0</v>
      </c>
      <c r="BM215" s="254">
        <v>0</v>
      </c>
      <c r="BN215" s="254">
        <v>0</v>
      </c>
      <c r="BO215" s="254">
        <v>0</v>
      </c>
      <c r="BP215" s="254">
        <v>0</v>
      </c>
      <c r="BQ215" s="254">
        <v>0</v>
      </c>
      <c r="BR215" s="254">
        <v>0</v>
      </c>
      <c r="BS215" s="254">
        <v>0</v>
      </c>
      <c r="BT215" s="254">
        <v>0</v>
      </c>
      <c r="BU215" s="254">
        <v>0</v>
      </c>
      <c r="BV215" s="254">
        <v>0</v>
      </c>
      <c r="BW215" s="254">
        <v>0</v>
      </c>
      <c r="BX215" s="254">
        <v>0</v>
      </c>
      <c r="BY215" s="254">
        <v>0</v>
      </c>
      <c r="BZ215" s="254">
        <v>0</v>
      </c>
      <c r="CA215" s="254">
        <v>0</v>
      </c>
      <c r="CB215" s="254">
        <v>0</v>
      </c>
      <c r="CC215" s="254">
        <v>0</v>
      </c>
      <c r="CD215" s="254">
        <v>0</v>
      </c>
      <c r="CE215" s="254">
        <v>0</v>
      </c>
      <c r="CF215" s="254">
        <v>0</v>
      </c>
      <c r="CG215" s="254">
        <v>0</v>
      </c>
      <c r="CH215" s="254">
        <v>0</v>
      </c>
      <c r="CI215" s="254">
        <v>0</v>
      </c>
      <c r="CJ215" s="254">
        <v>0</v>
      </c>
      <c r="CK215" s="254">
        <v>0</v>
      </c>
      <c r="CL215" s="254">
        <v>0</v>
      </c>
      <c r="CM215" s="254">
        <v>0</v>
      </c>
      <c r="CN215" s="254">
        <v>0</v>
      </c>
      <c r="CO215" s="254">
        <v>0</v>
      </c>
      <c r="CP215" s="254">
        <v>0</v>
      </c>
      <c r="CQ215" s="116"/>
      <c r="CR215" s="255">
        <v>0</v>
      </c>
      <c r="CS215" s="255">
        <v>0</v>
      </c>
      <c r="CT215" s="255">
        <v>0</v>
      </c>
      <c r="CU215" s="255">
        <v>0</v>
      </c>
      <c r="CV215" s="255">
        <v>0</v>
      </c>
      <c r="CW215" s="255">
        <v>0</v>
      </c>
      <c r="CX215" s="255">
        <v>0</v>
      </c>
      <c r="CY215" s="255">
        <v>0</v>
      </c>
      <c r="CZ215" s="255">
        <v>0</v>
      </c>
      <c r="DA215" s="255">
        <v>0</v>
      </c>
      <c r="DB215" s="255">
        <v>0</v>
      </c>
      <c r="DC215" s="255">
        <v>0</v>
      </c>
      <c r="DD215" s="255">
        <v>0</v>
      </c>
      <c r="DE215" s="255">
        <v>0</v>
      </c>
      <c r="DF215" s="255">
        <v>2767</v>
      </c>
      <c r="DG215" s="255">
        <v>0</v>
      </c>
      <c r="DH215" s="255">
        <v>0</v>
      </c>
      <c r="DI215" s="255">
        <v>0</v>
      </c>
      <c r="DJ215" s="255">
        <v>0</v>
      </c>
      <c r="DK215" s="255">
        <v>0</v>
      </c>
      <c r="DL215" s="255">
        <v>0</v>
      </c>
      <c r="DM215" s="255">
        <v>0</v>
      </c>
      <c r="DN215" s="255">
        <v>0</v>
      </c>
      <c r="DO215" s="255">
        <v>0</v>
      </c>
      <c r="DP215" s="255">
        <v>0</v>
      </c>
      <c r="DQ215" s="255">
        <v>0</v>
      </c>
      <c r="DR215" s="255">
        <v>0</v>
      </c>
      <c r="DS215" s="255">
        <v>0</v>
      </c>
      <c r="DT215" s="255">
        <v>0</v>
      </c>
      <c r="DU215" s="255">
        <v>0</v>
      </c>
      <c r="DV215" s="255">
        <v>0</v>
      </c>
      <c r="DW215" s="255">
        <v>0</v>
      </c>
      <c r="DX215" s="255">
        <v>0</v>
      </c>
      <c r="DY215" s="255">
        <v>0</v>
      </c>
      <c r="DZ215" s="255">
        <v>0</v>
      </c>
      <c r="EA215" s="255">
        <v>0</v>
      </c>
      <c r="EB215" s="255">
        <v>0</v>
      </c>
      <c r="EC215" s="255">
        <v>0</v>
      </c>
      <c r="ED215" s="255">
        <v>0</v>
      </c>
      <c r="EE215" s="255">
        <v>0</v>
      </c>
      <c r="EF215" s="255">
        <v>0</v>
      </c>
      <c r="EG215" s="255">
        <v>0</v>
      </c>
      <c r="EH215" s="255">
        <v>0</v>
      </c>
      <c r="EI215" s="255">
        <v>0</v>
      </c>
      <c r="EJ215" s="255">
        <v>0</v>
      </c>
      <c r="EK215" s="255">
        <v>0</v>
      </c>
      <c r="EL215" s="255">
        <v>0</v>
      </c>
      <c r="EM215" s="255">
        <v>0</v>
      </c>
      <c r="EN215" s="255">
        <v>0</v>
      </c>
      <c r="EO215" s="255">
        <v>0</v>
      </c>
      <c r="EP215" s="255">
        <v>0</v>
      </c>
      <c r="EQ215" s="255">
        <v>0</v>
      </c>
      <c r="ER215" s="255">
        <v>0</v>
      </c>
      <c r="ES215" s="255">
        <v>0</v>
      </c>
      <c r="ET215" s="255">
        <v>0</v>
      </c>
      <c r="EU215" s="255">
        <v>0</v>
      </c>
      <c r="EV215" s="255">
        <v>0</v>
      </c>
      <c r="EW215" s="255">
        <v>0</v>
      </c>
      <c r="EX215" s="255">
        <v>0</v>
      </c>
      <c r="EY215" s="255">
        <v>0</v>
      </c>
      <c r="EZ215" s="255">
        <v>0</v>
      </c>
      <c r="FA215" s="255">
        <v>0</v>
      </c>
      <c r="FB215" s="255">
        <v>0</v>
      </c>
      <c r="FC215" s="255">
        <v>0</v>
      </c>
      <c r="FD215" s="255">
        <v>0</v>
      </c>
      <c r="FE215" s="255">
        <v>0</v>
      </c>
      <c r="FF215" s="255">
        <v>0</v>
      </c>
      <c r="FG215" s="255">
        <v>0</v>
      </c>
      <c r="FH215" s="255">
        <v>0</v>
      </c>
      <c r="FI215" s="255">
        <v>0</v>
      </c>
      <c r="FJ215" s="255">
        <v>0</v>
      </c>
      <c r="FK215" s="255">
        <v>0</v>
      </c>
      <c r="FL215" s="255">
        <v>0</v>
      </c>
      <c r="FM215" s="255">
        <v>0</v>
      </c>
      <c r="FN215" s="255">
        <v>0</v>
      </c>
      <c r="FO215" s="255">
        <v>0</v>
      </c>
      <c r="FP215" s="255">
        <v>0</v>
      </c>
      <c r="FQ215" s="255">
        <v>0</v>
      </c>
      <c r="FR215" s="255">
        <v>0</v>
      </c>
      <c r="FS215" s="255">
        <v>0</v>
      </c>
      <c r="FT215" s="255">
        <v>0</v>
      </c>
      <c r="FU215" s="255">
        <v>0</v>
      </c>
      <c r="FV215" s="255">
        <v>0</v>
      </c>
      <c r="FW215" s="255">
        <v>0</v>
      </c>
      <c r="FX215" s="116"/>
    </row>
    <row r="216" spans="2:180" x14ac:dyDescent="0.2">
      <c r="B216" s="253" t="s">
        <v>230</v>
      </c>
      <c r="C216" s="253" t="s">
        <v>335</v>
      </c>
      <c r="D216" s="253" t="s">
        <v>85</v>
      </c>
      <c r="E216" s="253" t="s">
        <v>127</v>
      </c>
      <c r="F216" s="253">
        <v>0</v>
      </c>
      <c r="G216" s="253" t="s">
        <v>268</v>
      </c>
      <c r="H216" s="237">
        <v>0</v>
      </c>
      <c r="I216" s="126">
        <f t="shared" si="88"/>
        <v>9300</v>
      </c>
      <c r="J216" s="116"/>
      <c r="K216" s="254">
        <v>0</v>
      </c>
      <c r="L216" s="254">
        <v>0</v>
      </c>
      <c r="M216" s="254">
        <v>0</v>
      </c>
      <c r="N216" s="254">
        <v>0</v>
      </c>
      <c r="O216" s="254">
        <v>0</v>
      </c>
      <c r="P216" s="254">
        <v>0</v>
      </c>
      <c r="Q216" s="254">
        <v>0</v>
      </c>
      <c r="R216" s="254">
        <v>0</v>
      </c>
      <c r="S216" s="254">
        <v>0</v>
      </c>
      <c r="T216" s="254">
        <v>0</v>
      </c>
      <c r="U216" s="254">
        <v>0</v>
      </c>
      <c r="V216" s="254">
        <v>0</v>
      </c>
      <c r="W216" s="254">
        <v>0</v>
      </c>
      <c r="X216" s="254">
        <v>0</v>
      </c>
      <c r="Y216" s="254">
        <v>0.30107526881720431</v>
      </c>
      <c r="Z216" s="254">
        <v>0.13978494623655913</v>
      </c>
      <c r="AA216" s="254">
        <v>0.13978494623655913</v>
      </c>
      <c r="AB216" s="254">
        <v>0.13978494623655913</v>
      </c>
      <c r="AC216" s="254">
        <v>0.13978494623655913</v>
      </c>
      <c r="AD216" s="254">
        <v>0.13978494623655913</v>
      </c>
      <c r="AE216" s="254">
        <v>0</v>
      </c>
      <c r="AF216" s="254">
        <v>0</v>
      </c>
      <c r="AG216" s="254">
        <v>0</v>
      </c>
      <c r="AH216" s="254">
        <v>0</v>
      </c>
      <c r="AI216" s="254">
        <v>0</v>
      </c>
      <c r="AJ216" s="254">
        <v>0</v>
      </c>
      <c r="AK216" s="254">
        <v>0</v>
      </c>
      <c r="AL216" s="254">
        <v>0</v>
      </c>
      <c r="AM216" s="254">
        <v>0</v>
      </c>
      <c r="AN216" s="254">
        <v>0</v>
      </c>
      <c r="AO216" s="254">
        <v>0</v>
      </c>
      <c r="AP216" s="254">
        <v>0</v>
      </c>
      <c r="AQ216" s="254">
        <v>0</v>
      </c>
      <c r="AR216" s="254">
        <v>0</v>
      </c>
      <c r="AS216" s="254">
        <v>0</v>
      </c>
      <c r="AT216" s="254">
        <v>0</v>
      </c>
      <c r="AU216" s="254">
        <v>0</v>
      </c>
      <c r="AV216" s="254">
        <v>0</v>
      </c>
      <c r="AW216" s="254">
        <v>0</v>
      </c>
      <c r="AX216" s="254">
        <v>0</v>
      </c>
      <c r="AY216" s="254">
        <v>0</v>
      </c>
      <c r="AZ216" s="254">
        <v>0</v>
      </c>
      <c r="BA216" s="254">
        <v>0</v>
      </c>
      <c r="BB216" s="254">
        <v>0</v>
      </c>
      <c r="BC216" s="254">
        <v>0</v>
      </c>
      <c r="BD216" s="254">
        <v>0</v>
      </c>
      <c r="BE216" s="254">
        <v>0</v>
      </c>
      <c r="BF216" s="254">
        <v>0</v>
      </c>
      <c r="BG216" s="254">
        <v>0</v>
      </c>
      <c r="BH216" s="254">
        <v>0</v>
      </c>
      <c r="BI216" s="254">
        <v>0</v>
      </c>
      <c r="BJ216" s="254">
        <v>0</v>
      </c>
      <c r="BK216" s="254">
        <v>0</v>
      </c>
      <c r="BL216" s="254">
        <v>0</v>
      </c>
      <c r="BM216" s="254">
        <v>0</v>
      </c>
      <c r="BN216" s="254">
        <v>0</v>
      </c>
      <c r="BO216" s="254">
        <v>0</v>
      </c>
      <c r="BP216" s="254">
        <v>0</v>
      </c>
      <c r="BQ216" s="254">
        <v>0</v>
      </c>
      <c r="BR216" s="254">
        <v>0</v>
      </c>
      <c r="BS216" s="254">
        <v>0</v>
      </c>
      <c r="BT216" s="254">
        <v>0</v>
      </c>
      <c r="BU216" s="254">
        <v>0</v>
      </c>
      <c r="BV216" s="254">
        <v>0</v>
      </c>
      <c r="BW216" s="254">
        <v>0</v>
      </c>
      <c r="BX216" s="254">
        <v>0</v>
      </c>
      <c r="BY216" s="254">
        <v>0</v>
      </c>
      <c r="BZ216" s="254">
        <v>0</v>
      </c>
      <c r="CA216" s="254">
        <v>0</v>
      </c>
      <c r="CB216" s="254">
        <v>0</v>
      </c>
      <c r="CC216" s="254">
        <v>0</v>
      </c>
      <c r="CD216" s="254">
        <v>0</v>
      </c>
      <c r="CE216" s="254">
        <v>0</v>
      </c>
      <c r="CF216" s="254">
        <v>0</v>
      </c>
      <c r="CG216" s="254">
        <v>0</v>
      </c>
      <c r="CH216" s="254">
        <v>0</v>
      </c>
      <c r="CI216" s="254">
        <v>0</v>
      </c>
      <c r="CJ216" s="254">
        <v>0</v>
      </c>
      <c r="CK216" s="254">
        <v>0</v>
      </c>
      <c r="CL216" s="254">
        <v>0</v>
      </c>
      <c r="CM216" s="254">
        <v>0</v>
      </c>
      <c r="CN216" s="254">
        <v>0</v>
      </c>
      <c r="CO216" s="254">
        <v>0</v>
      </c>
      <c r="CP216" s="254">
        <v>0</v>
      </c>
      <c r="CQ216" s="116"/>
      <c r="CR216" s="255">
        <v>0</v>
      </c>
      <c r="CS216" s="255">
        <v>0</v>
      </c>
      <c r="CT216" s="255">
        <v>0</v>
      </c>
      <c r="CU216" s="255">
        <v>0</v>
      </c>
      <c r="CV216" s="255">
        <v>0</v>
      </c>
      <c r="CW216" s="255">
        <v>0</v>
      </c>
      <c r="CX216" s="255">
        <v>0</v>
      </c>
      <c r="CY216" s="255">
        <v>0</v>
      </c>
      <c r="CZ216" s="255">
        <v>0</v>
      </c>
      <c r="DA216" s="255">
        <v>0</v>
      </c>
      <c r="DB216" s="255">
        <v>0</v>
      </c>
      <c r="DC216" s="255">
        <v>0</v>
      </c>
      <c r="DD216" s="255">
        <v>0</v>
      </c>
      <c r="DE216" s="255">
        <v>0</v>
      </c>
      <c r="DF216" s="255">
        <v>2800</v>
      </c>
      <c r="DG216" s="255">
        <v>1300</v>
      </c>
      <c r="DH216" s="255">
        <v>1300</v>
      </c>
      <c r="DI216" s="255">
        <v>1300</v>
      </c>
      <c r="DJ216" s="255">
        <v>1300</v>
      </c>
      <c r="DK216" s="255">
        <v>1300</v>
      </c>
      <c r="DL216" s="255">
        <v>0</v>
      </c>
      <c r="DM216" s="255">
        <v>0</v>
      </c>
      <c r="DN216" s="255">
        <v>0</v>
      </c>
      <c r="DO216" s="255">
        <v>0</v>
      </c>
      <c r="DP216" s="255">
        <v>0</v>
      </c>
      <c r="DQ216" s="255">
        <v>0</v>
      </c>
      <c r="DR216" s="255">
        <v>0</v>
      </c>
      <c r="DS216" s="255">
        <v>0</v>
      </c>
      <c r="DT216" s="255">
        <v>0</v>
      </c>
      <c r="DU216" s="255">
        <v>0</v>
      </c>
      <c r="DV216" s="255">
        <v>0</v>
      </c>
      <c r="DW216" s="255">
        <v>0</v>
      </c>
      <c r="DX216" s="255">
        <v>0</v>
      </c>
      <c r="DY216" s="255">
        <v>0</v>
      </c>
      <c r="DZ216" s="255">
        <v>0</v>
      </c>
      <c r="EA216" s="255">
        <v>0</v>
      </c>
      <c r="EB216" s="255">
        <v>0</v>
      </c>
      <c r="EC216" s="255">
        <v>0</v>
      </c>
      <c r="ED216" s="255">
        <v>0</v>
      </c>
      <c r="EE216" s="255">
        <v>0</v>
      </c>
      <c r="EF216" s="255">
        <v>0</v>
      </c>
      <c r="EG216" s="255">
        <v>0</v>
      </c>
      <c r="EH216" s="255">
        <v>0</v>
      </c>
      <c r="EI216" s="255">
        <v>0</v>
      </c>
      <c r="EJ216" s="255">
        <v>0</v>
      </c>
      <c r="EK216" s="255">
        <v>0</v>
      </c>
      <c r="EL216" s="255">
        <v>0</v>
      </c>
      <c r="EM216" s="255">
        <v>0</v>
      </c>
      <c r="EN216" s="255">
        <v>0</v>
      </c>
      <c r="EO216" s="255">
        <v>0</v>
      </c>
      <c r="EP216" s="255">
        <v>0</v>
      </c>
      <c r="EQ216" s="255">
        <v>0</v>
      </c>
      <c r="ER216" s="255">
        <v>0</v>
      </c>
      <c r="ES216" s="255">
        <v>0</v>
      </c>
      <c r="ET216" s="255">
        <v>0</v>
      </c>
      <c r="EU216" s="255">
        <v>0</v>
      </c>
      <c r="EV216" s="255">
        <v>0</v>
      </c>
      <c r="EW216" s="255">
        <v>0</v>
      </c>
      <c r="EX216" s="255">
        <v>0</v>
      </c>
      <c r="EY216" s="255">
        <v>0</v>
      </c>
      <c r="EZ216" s="255">
        <v>0</v>
      </c>
      <c r="FA216" s="255">
        <v>0</v>
      </c>
      <c r="FB216" s="255">
        <v>0</v>
      </c>
      <c r="FC216" s="255">
        <v>0</v>
      </c>
      <c r="FD216" s="255">
        <v>0</v>
      </c>
      <c r="FE216" s="255">
        <v>0</v>
      </c>
      <c r="FF216" s="255">
        <v>0</v>
      </c>
      <c r="FG216" s="255">
        <v>0</v>
      </c>
      <c r="FH216" s="255">
        <v>0</v>
      </c>
      <c r="FI216" s="255">
        <v>0</v>
      </c>
      <c r="FJ216" s="255">
        <v>0</v>
      </c>
      <c r="FK216" s="255">
        <v>0</v>
      </c>
      <c r="FL216" s="255">
        <v>0</v>
      </c>
      <c r="FM216" s="255">
        <v>0</v>
      </c>
      <c r="FN216" s="255">
        <v>0</v>
      </c>
      <c r="FO216" s="255">
        <v>0</v>
      </c>
      <c r="FP216" s="255">
        <v>0</v>
      </c>
      <c r="FQ216" s="255">
        <v>0</v>
      </c>
      <c r="FR216" s="255">
        <v>0</v>
      </c>
      <c r="FS216" s="255">
        <v>0</v>
      </c>
      <c r="FT216" s="255">
        <v>0</v>
      </c>
      <c r="FU216" s="255">
        <v>0</v>
      </c>
      <c r="FV216" s="255">
        <v>0</v>
      </c>
      <c r="FW216" s="255">
        <v>0</v>
      </c>
      <c r="FX216" s="116"/>
    </row>
    <row r="217" spans="2:180" x14ac:dyDescent="0.2">
      <c r="B217" s="253" t="s">
        <v>205</v>
      </c>
      <c r="C217" s="253" t="s">
        <v>269</v>
      </c>
      <c r="D217" s="253" t="s">
        <v>258</v>
      </c>
      <c r="E217" s="253" t="s">
        <v>127</v>
      </c>
      <c r="F217" s="253" t="s">
        <v>259</v>
      </c>
      <c r="G217" s="253" t="s">
        <v>260</v>
      </c>
      <c r="H217" s="237">
        <v>225.37</v>
      </c>
      <c r="I217" s="126">
        <f t="shared" si="88"/>
        <v>1008142.4500000001</v>
      </c>
      <c r="J217" s="116"/>
      <c r="K217" s="254">
        <v>0</v>
      </c>
      <c r="L217" s="254">
        <v>0</v>
      </c>
      <c r="M217" s="254">
        <v>0</v>
      </c>
      <c r="N217" s="254">
        <v>0</v>
      </c>
      <c r="O217" s="254">
        <v>0</v>
      </c>
      <c r="P217" s="254">
        <v>0</v>
      </c>
      <c r="Q217" s="254">
        <v>0</v>
      </c>
      <c r="R217" s="254">
        <v>0</v>
      </c>
      <c r="S217" s="254">
        <v>0</v>
      </c>
      <c r="T217" s="254">
        <v>0</v>
      </c>
      <c r="U217" s="254">
        <v>0</v>
      </c>
      <c r="V217" s="254">
        <v>0</v>
      </c>
      <c r="W217" s="254">
        <v>0</v>
      </c>
      <c r="X217" s="254">
        <v>0</v>
      </c>
      <c r="Y217" s="254">
        <v>0</v>
      </c>
      <c r="Z217" s="254">
        <v>1</v>
      </c>
      <c r="AA217" s="254">
        <v>0.92105263157894735</v>
      </c>
      <c r="AB217" s="254">
        <v>0.92105263157894735</v>
      </c>
      <c r="AC217" s="254">
        <v>1</v>
      </c>
      <c r="AD217" s="254">
        <v>1</v>
      </c>
      <c r="AE217" s="254">
        <v>1</v>
      </c>
      <c r="AF217" s="254">
        <v>1</v>
      </c>
      <c r="AG217" s="254">
        <v>1</v>
      </c>
      <c r="AH217" s="254">
        <v>1</v>
      </c>
      <c r="AI217" s="254">
        <v>1</v>
      </c>
      <c r="AJ217" s="254">
        <v>1</v>
      </c>
      <c r="AK217" s="254">
        <v>1</v>
      </c>
      <c r="AL217" s="254">
        <v>1</v>
      </c>
      <c r="AM217" s="254">
        <v>1</v>
      </c>
      <c r="AN217" s="254">
        <v>1</v>
      </c>
      <c r="AO217" s="254">
        <v>1</v>
      </c>
      <c r="AP217" s="254">
        <v>1</v>
      </c>
      <c r="AQ217" s="254">
        <v>1</v>
      </c>
      <c r="AR217" s="254">
        <v>1</v>
      </c>
      <c r="AS217" s="254">
        <v>1</v>
      </c>
      <c r="AT217" s="254">
        <v>1</v>
      </c>
      <c r="AU217" s="254">
        <v>1</v>
      </c>
      <c r="AV217" s="254">
        <v>1</v>
      </c>
      <c r="AW217" s="254">
        <v>1</v>
      </c>
      <c r="AX217" s="254">
        <v>1</v>
      </c>
      <c r="AY217" s="254">
        <v>1</v>
      </c>
      <c r="AZ217" s="254">
        <v>1</v>
      </c>
      <c r="BA217" s="254">
        <v>1</v>
      </c>
      <c r="BB217" s="254">
        <v>1</v>
      </c>
      <c r="BC217" s="254">
        <v>1</v>
      </c>
      <c r="BD217" s="254">
        <v>1</v>
      </c>
      <c r="BE217" s="254">
        <v>1</v>
      </c>
      <c r="BF217" s="254">
        <v>1</v>
      </c>
      <c r="BG217" s="254">
        <v>0</v>
      </c>
      <c r="BH217" s="254">
        <v>0</v>
      </c>
      <c r="BI217" s="254">
        <v>0</v>
      </c>
      <c r="BJ217" s="254">
        <v>0</v>
      </c>
      <c r="BK217" s="254">
        <v>0</v>
      </c>
      <c r="BL217" s="254">
        <v>0</v>
      </c>
      <c r="BM217" s="254">
        <v>0</v>
      </c>
      <c r="BN217" s="254">
        <v>0</v>
      </c>
      <c r="BO217" s="254">
        <v>0</v>
      </c>
      <c r="BP217" s="254">
        <v>0</v>
      </c>
      <c r="BQ217" s="254">
        <v>0</v>
      </c>
      <c r="BR217" s="254">
        <v>0</v>
      </c>
      <c r="BS217" s="254">
        <v>0</v>
      </c>
      <c r="BT217" s="254">
        <v>0</v>
      </c>
      <c r="BU217" s="254">
        <v>0</v>
      </c>
      <c r="BV217" s="254">
        <v>0</v>
      </c>
      <c r="BW217" s="254">
        <v>0</v>
      </c>
      <c r="BX217" s="254">
        <v>0</v>
      </c>
      <c r="BY217" s="254">
        <v>0</v>
      </c>
      <c r="BZ217" s="254">
        <v>0</v>
      </c>
      <c r="CA217" s="254">
        <v>0</v>
      </c>
      <c r="CB217" s="254">
        <v>0</v>
      </c>
      <c r="CC217" s="254">
        <v>0</v>
      </c>
      <c r="CD217" s="254">
        <v>0</v>
      </c>
      <c r="CE217" s="254">
        <v>0</v>
      </c>
      <c r="CF217" s="254">
        <v>0</v>
      </c>
      <c r="CG217" s="254">
        <v>0</v>
      </c>
      <c r="CH217" s="254">
        <v>0</v>
      </c>
      <c r="CI217" s="254">
        <v>0</v>
      </c>
      <c r="CJ217" s="254">
        <v>0</v>
      </c>
      <c r="CK217" s="254">
        <v>0</v>
      </c>
      <c r="CL217" s="254">
        <v>0</v>
      </c>
      <c r="CM217" s="254">
        <v>0</v>
      </c>
      <c r="CN217" s="254">
        <v>0</v>
      </c>
      <c r="CO217" s="254">
        <v>0</v>
      </c>
      <c r="CP217" s="254">
        <v>0</v>
      </c>
      <c r="CQ217" s="116"/>
      <c r="CR217" s="255">
        <v>0</v>
      </c>
      <c r="CS217" s="255">
        <v>0</v>
      </c>
      <c r="CT217" s="255">
        <v>0</v>
      </c>
      <c r="CU217" s="255">
        <v>0</v>
      </c>
      <c r="CV217" s="255">
        <v>0</v>
      </c>
      <c r="CW217" s="255">
        <v>0</v>
      </c>
      <c r="CX217" s="255">
        <v>0</v>
      </c>
      <c r="CY217" s="255">
        <v>0</v>
      </c>
      <c r="CZ217" s="255">
        <v>0</v>
      </c>
      <c r="DA217" s="255">
        <v>0</v>
      </c>
      <c r="DB217" s="255">
        <v>0</v>
      </c>
      <c r="DC217" s="255">
        <v>0</v>
      </c>
      <c r="DD217" s="255">
        <v>0</v>
      </c>
      <c r="DE217" s="255">
        <v>0</v>
      </c>
      <c r="DF217" s="255">
        <v>0</v>
      </c>
      <c r="DG217" s="255">
        <v>22982.399999999998</v>
      </c>
      <c r="DH217" s="255">
        <v>30643.200000000001</v>
      </c>
      <c r="DI217" s="255">
        <v>30643.200000000001</v>
      </c>
      <c r="DJ217" s="255">
        <v>31551.8</v>
      </c>
      <c r="DK217" s="255">
        <v>31551.8</v>
      </c>
      <c r="DL217" s="255">
        <v>31551.8</v>
      </c>
      <c r="DM217" s="255">
        <v>31551.8</v>
      </c>
      <c r="DN217" s="255">
        <v>31551.8</v>
      </c>
      <c r="DO217" s="255">
        <v>23663.850000000002</v>
      </c>
      <c r="DP217" s="255">
        <v>23663.850000000002</v>
      </c>
      <c r="DQ217" s="255">
        <v>31551.8</v>
      </c>
      <c r="DR217" s="255">
        <v>31551.8</v>
      </c>
      <c r="DS217" s="255">
        <v>23663.850000000002</v>
      </c>
      <c r="DT217" s="255">
        <v>34256.239999999998</v>
      </c>
      <c r="DU217" s="255">
        <v>34256.239999999998</v>
      </c>
      <c r="DV217" s="255">
        <v>32491.200000000001</v>
      </c>
      <c r="DW217" s="255">
        <v>32491.200000000001</v>
      </c>
      <c r="DX217" s="255">
        <v>32491.200000000001</v>
      </c>
      <c r="DY217" s="255">
        <v>32491.200000000001</v>
      </c>
      <c r="DZ217" s="255">
        <v>32491.200000000001</v>
      </c>
      <c r="EA217" s="255">
        <v>24368.400000000001</v>
      </c>
      <c r="EB217" s="255">
        <v>24368.400000000001</v>
      </c>
      <c r="EC217" s="255">
        <v>32491.200000000001</v>
      </c>
      <c r="ED217" s="255">
        <v>32491.200000000001</v>
      </c>
      <c r="EE217" s="255">
        <v>24368.400000000001</v>
      </c>
      <c r="EF217" s="255">
        <v>35276.160000000003</v>
      </c>
      <c r="EG217" s="255">
        <v>35276.160000000003</v>
      </c>
      <c r="EH217" s="255">
        <v>33462.800000000003</v>
      </c>
      <c r="EI217" s="255">
        <v>33462.800000000003</v>
      </c>
      <c r="EJ217" s="255">
        <v>33462.800000000003</v>
      </c>
      <c r="EK217" s="255">
        <v>33462.800000000003</v>
      </c>
      <c r="EL217" s="255">
        <v>33462.800000000003</v>
      </c>
      <c r="EM217" s="255">
        <v>25097.100000000002</v>
      </c>
      <c r="EN217" s="255">
        <v>0</v>
      </c>
      <c r="EO217" s="255">
        <v>0</v>
      </c>
      <c r="EP217" s="255">
        <v>0</v>
      </c>
      <c r="EQ217" s="255">
        <v>0</v>
      </c>
      <c r="ER217" s="255">
        <v>0</v>
      </c>
      <c r="ES217" s="255">
        <v>0</v>
      </c>
      <c r="ET217" s="255">
        <v>0</v>
      </c>
      <c r="EU217" s="255">
        <v>0</v>
      </c>
      <c r="EV217" s="255">
        <v>0</v>
      </c>
      <c r="EW217" s="255">
        <v>0</v>
      </c>
      <c r="EX217" s="255">
        <v>0</v>
      </c>
      <c r="EY217" s="255">
        <v>0</v>
      </c>
      <c r="EZ217" s="255">
        <v>0</v>
      </c>
      <c r="FA217" s="255">
        <v>0</v>
      </c>
      <c r="FB217" s="255">
        <v>0</v>
      </c>
      <c r="FC217" s="255">
        <v>0</v>
      </c>
      <c r="FD217" s="255">
        <v>0</v>
      </c>
      <c r="FE217" s="255">
        <v>0</v>
      </c>
      <c r="FF217" s="255">
        <v>0</v>
      </c>
      <c r="FG217" s="255">
        <v>0</v>
      </c>
      <c r="FH217" s="255">
        <v>0</v>
      </c>
      <c r="FI217" s="255">
        <v>0</v>
      </c>
      <c r="FJ217" s="255">
        <v>0</v>
      </c>
      <c r="FK217" s="255">
        <v>0</v>
      </c>
      <c r="FL217" s="255">
        <v>0</v>
      </c>
      <c r="FM217" s="255">
        <v>0</v>
      </c>
      <c r="FN217" s="255">
        <v>0</v>
      </c>
      <c r="FO217" s="255">
        <v>0</v>
      </c>
      <c r="FP217" s="255">
        <v>0</v>
      </c>
      <c r="FQ217" s="255">
        <v>0</v>
      </c>
      <c r="FR217" s="255">
        <v>0</v>
      </c>
      <c r="FS217" s="255">
        <v>0</v>
      </c>
      <c r="FT217" s="255">
        <v>0</v>
      </c>
      <c r="FU217" s="255">
        <v>0</v>
      </c>
      <c r="FV217" s="255">
        <v>0</v>
      </c>
      <c r="FW217" s="255">
        <v>0</v>
      </c>
      <c r="FX217" s="116"/>
    </row>
    <row r="218" spans="2:180" x14ac:dyDescent="0.2">
      <c r="B218" s="253" t="s">
        <v>205</v>
      </c>
      <c r="C218" s="253" t="s">
        <v>272</v>
      </c>
      <c r="D218" s="253" t="s">
        <v>258</v>
      </c>
      <c r="E218" s="253" t="s">
        <v>127</v>
      </c>
      <c r="F218" s="253" t="s">
        <v>259</v>
      </c>
      <c r="G218" s="253" t="s">
        <v>260</v>
      </c>
      <c r="H218" s="237">
        <v>254.01</v>
      </c>
      <c r="I218" s="126">
        <f t="shared" si="88"/>
        <v>572895.66</v>
      </c>
      <c r="J218" s="116"/>
      <c r="K218" s="254">
        <v>0</v>
      </c>
      <c r="L218" s="254">
        <v>0</v>
      </c>
      <c r="M218" s="254">
        <v>0</v>
      </c>
      <c r="N218" s="254">
        <v>0</v>
      </c>
      <c r="O218" s="254">
        <v>0</v>
      </c>
      <c r="P218" s="254">
        <v>0</v>
      </c>
      <c r="Q218" s="254">
        <v>0</v>
      </c>
      <c r="R218" s="254">
        <v>0</v>
      </c>
      <c r="S218" s="254">
        <v>0</v>
      </c>
      <c r="T218" s="254">
        <v>0</v>
      </c>
      <c r="U218" s="254">
        <v>0</v>
      </c>
      <c r="V218" s="254">
        <v>0</v>
      </c>
      <c r="W218" s="254">
        <v>0</v>
      </c>
      <c r="X218" s="254">
        <v>0</v>
      </c>
      <c r="Y218" s="254">
        <v>0</v>
      </c>
      <c r="Z218" s="254">
        <v>0.5</v>
      </c>
      <c r="AA218" s="254">
        <v>0.46052631578947367</v>
      </c>
      <c r="AB218" s="254">
        <v>0.46052631578947367</v>
      </c>
      <c r="AC218" s="254">
        <v>0.5</v>
      </c>
      <c r="AD218" s="254">
        <v>0.5</v>
      </c>
      <c r="AE218" s="254">
        <v>0.5</v>
      </c>
      <c r="AF218" s="254">
        <v>0.5</v>
      </c>
      <c r="AG218" s="254">
        <v>0.5</v>
      </c>
      <c r="AH218" s="254">
        <v>0.5</v>
      </c>
      <c r="AI218" s="254">
        <v>0.5</v>
      </c>
      <c r="AJ218" s="254">
        <v>0.5</v>
      </c>
      <c r="AK218" s="254">
        <v>0.5</v>
      </c>
      <c r="AL218" s="254">
        <v>0.5</v>
      </c>
      <c r="AM218" s="254">
        <v>0.5</v>
      </c>
      <c r="AN218" s="254">
        <v>0.5</v>
      </c>
      <c r="AO218" s="254">
        <v>0.5</v>
      </c>
      <c r="AP218" s="254">
        <v>0.5</v>
      </c>
      <c r="AQ218" s="254">
        <v>0.5</v>
      </c>
      <c r="AR218" s="254">
        <v>0.5</v>
      </c>
      <c r="AS218" s="254">
        <v>0.5</v>
      </c>
      <c r="AT218" s="254">
        <v>0.5</v>
      </c>
      <c r="AU218" s="254">
        <v>0.5</v>
      </c>
      <c r="AV218" s="254">
        <v>0.5</v>
      </c>
      <c r="AW218" s="254">
        <v>0.5</v>
      </c>
      <c r="AX218" s="254">
        <v>0.5</v>
      </c>
      <c r="AY218" s="254">
        <v>0.5</v>
      </c>
      <c r="AZ218" s="254">
        <v>0.5</v>
      </c>
      <c r="BA218" s="254">
        <v>0.5</v>
      </c>
      <c r="BB218" s="254">
        <v>0.5</v>
      </c>
      <c r="BC218" s="254">
        <v>0.5</v>
      </c>
      <c r="BD218" s="254">
        <v>0.5</v>
      </c>
      <c r="BE218" s="254">
        <v>0.5</v>
      </c>
      <c r="BF218" s="254">
        <v>0.66666666666666663</v>
      </c>
      <c r="BG218" s="254">
        <v>0</v>
      </c>
      <c r="BH218" s="254">
        <v>0</v>
      </c>
      <c r="BI218" s="254">
        <v>0</v>
      </c>
      <c r="BJ218" s="254">
        <v>0</v>
      </c>
      <c r="BK218" s="254">
        <v>0</v>
      </c>
      <c r="BL218" s="254">
        <v>0</v>
      </c>
      <c r="BM218" s="254">
        <v>0</v>
      </c>
      <c r="BN218" s="254">
        <v>0</v>
      </c>
      <c r="BO218" s="254">
        <v>0</v>
      </c>
      <c r="BP218" s="254">
        <v>0</v>
      </c>
      <c r="BQ218" s="254">
        <v>0</v>
      </c>
      <c r="BR218" s="254">
        <v>0</v>
      </c>
      <c r="BS218" s="254">
        <v>0</v>
      </c>
      <c r="BT218" s="254">
        <v>0</v>
      </c>
      <c r="BU218" s="254">
        <v>0</v>
      </c>
      <c r="BV218" s="254">
        <v>0</v>
      </c>
      <c r="BW218" s="254">
        <v>0</v>
      </c>
      <c r="BX218" s="254">
        <v>0</v>
      </c>
      <c r="BY218" s="254">
        <v>0</v>
      </c>
      <c r="BZ218" s="254">
        <v>0</v>
      </c>
      <c r="CA218" s="254">
        <v>0</v>
      </c>
      <c r="CB218" s="254">
        <v>0</v>
      </c>
      <c r="CC218" s="254">
        <v>0</v>
      </c>
      <c r="CD218" s="254">
        <v>0</v>
      </c>
      <c r="CE218" s="254">
        <v>0</v>
      </c>
      <c r="CF218" s="254">
        <v>0</v>
      </c>
      <c r="CG218" s="254">
        <v>0</v>
      </c>
      <c r="CH218" s="254">
        <v>0</v>
      </c>
      <c r="CI218" s="254">
        <v>0</v>
      </c>
      <c r="CJ218" s="254">
        <v>0</v>
      </c>
      <c r="CK218" s="254">
        <v>0</v>
      </c>
      <c r="CL218" s="254">
        <v>0</v>
      </c>
      <c r="CM218" s="254">
        <v>0</v>
      </c>
      <c r="CN218" s="254">
        <v>0</v>
      </c>
      <c r="CO218" s="254">
        <v>0</v>
      </c>
      <c r="CP218" s="254">
        <v>0</v>
      </c>
      <c r="CQ218" s="116"/>
      <c r="CR218" s="255">
        <v>0</v>
      </c>
      <c r="CS218" s="255">
        <v>0</v>
      </c>
      <c r="CT218" s="255">
        <v>0</v>
      </c>
      <c r="CU218" s="255">
        <v>0</v>
      </c>
      <c r="CV218" s="255">
        <v>0</v>
      </c>
      <c r="CW218" s="255">
        <v>0</v>
      </c>
      <c r="CX218" s="255">
        <v>0</v>
      </c>
      <c r="CY218" s="255">
        <v>0</v>
      </c>
      <c r="CZ218" s="255">
        <v>0</v>
      </c>
      <c r="DA218" s="255">
        <v>0</v>
      </c>
      <c r="DB218" s="255">
        <v>0</v>
      </c>
      <c r="DC218" s="255">
        <v>0</v>
      </c>
      <c r="DD218" s="255">
        <v>0</v>
      </c>
      <c r="DE218" s="255">
        <v>0</v>
      </c>
      <c r="DF218" s="255">
        <v>0</v>
      </c>
      <c r="DG218" s="255">
        <v>12948.074999999999</v>
      </c>
      <c r="DH218" s="255">
        <v>17264.099999999999</v>
      </c>
      <c r="DI218" s="255">
        <v>17264.099999999999</v>
      </c>
      <c r="DJ218" s="255">
        <v>17780.7</v>
      </c>
      <c r="DK218" s="255">
        <v>17780.7</v>
      </c>
      <c r="DL218" s="255">
        <v>17780.7</v>
      </c>
      <c r="DM218" s="255">
        <v>17780.7</v>
      </c>
      <c r="DN218" s="255">
        <v>17780.7</v>
      </c>
      <c r="DO218" s="255">
        <v>13335.525</v>
      </c>
      <c r="DP218" s="255">
        <v>13335.525</v>
      </c>
      <c r="DQ218" s="255">
        <v>17780.7</v>
      </c>
      <c r="DR218" s="255">
        <v>17780.7</v>
      </c>
      <c r="DS218" s="255">
        <v>13335.525</v>
      </c>
      <c r="DT218" s="255">
        <v>19304.759999999998</v>
      </c>
      <c r="DU218" s="255">
        <v>19304.759999999998</v>
      </c>
      <c r="DV218" s="255">
        <v>18313.400000000001</v>
      </c>
      <c r="DW218" s="255">
        <v>18313.400000000001</v>
      </c>
      <c r="DX218" s="255">
        <v>18313.400000000001</v>
      </c>
      <c r="DY218" s="255">
        <v>18313.400000000001</v>
      </c>
      <c r="DZ218" s="255">
        <v>18313.400000000001</v>
      </c>
      <c r="EA218" s="255">
        <v>13735.050000000001</v>
      </c>
      <c r="EB218" s="255">
        <v>13735.050000000001</v>
      </c>
      <c r="EC218" s="255">
        <v>18313.400000000001</v>
      </c>
      <c r="ED218" s="255">
        <v>18313.400000000001</v>
      </c>
      <c r="EE218" s="255">
        <v>13735.050000000001</v>
      </c>
      <c r="EF218" s="255">
        <v>19883.12</v>
      </c>
      <c r="EG218" s="255">
        <v>19883.12</v>
      </c>
      <c r="EH218" s="255">
        <v>18862.199999999997</v>
      </c>
      <c r="EI218" s="255">
        <v>18862.199999999997</v>
      </c>
      <c r="EJ218" s="255">
        <v>18862.199999999997</v>
      </c>
      <c r="EK218" s="255">
        <v>18862.199999999997</v>
      </c>
      <c r="EL218" s="255">
        <v>18862.199999999997</v>
      </c>
      <c r="EM218" s="255">
        <v>18862.199999999997</v>
      </c>
      <c r="EN218" s="255">
        <v>0</v>
      </c>
      <c r="EO218" s="255">
        <v>0</v>
      </c>
      <c r="EP218" s="255">
        <v>0</v>
      </c>
      <c r="EQ218" s="255">
        <v>0</v>
      </c>
      <c r="ER218" s="255">
        <v>0</v>
      </c>
      <c r="ES218" s="255">
        <v>0</v>
      </c>
      <c r="ET218" s="255">
        <v>0</v>
      </c>
      <c r="EU218" s="255">
        <v>0</v>
      </c>
      <c r="EV218" s="255">
        <v>0</v>
      </c>
      <c r="EW218" s="255">
        <v>0</v>
      </c>
      <c r="EX218" s="255">
        <v>0</v>
      </c>
      <c r="EY218" s="255">
        <v>0</v>
      </c>
      <c r="EZ218" s="255">
        <v>0</v>
      </c>
      <c r="FA218" s="255">
        <v>0</v>
      </c>
      <c r="FB218" s="255">
        <v>0</v>
      </c>
      <c r="FC218" s="255">
        <v>0</v>
      </c>
      <c r="FD218" s="255">
        <v>0</v>
      </c>
      <c r="FE218" s="255">
        <v>0</v>
      </c>
      <c r="FF218" s="255">
        <v>0</v>
      </c>
      <c r="FG218" s="255">
        <v>0</v>
      </c>
      <c r="FH218" s="255">
        <v>0</v>
      </c>
      <c r="FI218" s="255">
        <v>0</v>
      </c>
      <c r="FJ218" s="255">
        <v>0</v>
      </c>
      <c r="FK218" s="255">
        <v>0</v>
      </c>
      <c r="FL218" s="255">
        <v>0</v>
      </c>
      <c r="FM218" s="255">
        <v>0</v>
      </c>
      <c r="FN218" s="255">
        <v>0</v>
      </c>
      <c r="FO218" s="255">
        <v>0</v>
      </c>
      <c r="FP218" s="255">
        <v>0</v>
      </c>
      <c r="FQ218" s="255">
        <v>0</v>
      </c>
      <c r="FR218" s="255">
        <v>0</v>
      </c>
      <c r="FS218" s="255">
        <v>0</v>
      </c>
      <c r="FT218" s="255">
        <v>0</v>
      </c>
      <c r="FU218" s="255">
        <v>0</v>
      </c>
      <c r="FV218" s="255">
        <v>0</v>
      </c>
      <c r="FW218" s="255">
        <v>0</v>
      </c>
      <c r="FX218" s="116"/>
    </row>
    <row r="219" spans="2:180" x14ac:dyDescent="0.2">
      <c r="B219" s="253" t="s">
        <v>205</v>
      </c>
      <c r="C219" s="253" t="s">
        <v>320</v>
      </c>
      <c r="D219" s="253" t="s">
        <v>258</v>
      </c>
      <c r="E219" s="253" t="s">
        <v>127</v>
      </c>
      <c r="F219" s="253" t="s">
        <v>263</v>
      </c>
      <c r="G219" s="253" t="s">
        <v>260</v>
      </c>
      <c r="H219" s="237">
        <v>202.73</v>
      </c>
      <c r="I219" s="126">
        <f t="shared" si="88"/>
        <v>944506.10000000009</v>
      </c>
      <c r="J219" s="116"/>
      <c r="K219" s="254">
        <v>0</v>
      </c>
      <c r="L219" s="254">
        <v>0</v>
      </c>
      <c r="M219" s="254">
        <v>0</v>
      </c>
      <c r="N219" s="254">
        <v>0</v>
      </c>
      <c r="O219" s="254">
        <v>0</v>
      </c>
      <c r="P219" s="254">
        <v>0</v>
      </c>
      <c r="Q219" s="254">
        <v>0</v>
      </c>
      <c r="R219" s="254">
        <v>0</v>
      </c>
      <c r="S219" s="254">
        <v>0</v>
      </c>
      <c r="T219" s="254">
        <v>0</v>
      </c>
      <c r="U219" s="254">
        <v>0</v>
      </c>
      <c r="V219" s="254">
        <v>0</v>
      </c>
      <c r="W219" s="254">
        <v>0</v>
      </c>
      <c r="X219" s="254">
        <v>0</v>
      </c>
      <c r="Y219" s="254">
        <v>1</v>
      </c>
      <c r="Z219" s="254">
        <v>1</v>
      </c>
      <c r="AA219" s="254">
        <v>0.92105263157894735</v>
      </c>
      <c r="AB219" s="254">
        <v>0.92105263157894735</v>
      </c>
      <c r="AC219" s="254">
        <v>1</v>
      </c>
      <c r="AD219" s="254">
        <v>1</v>
      </c>
      <c r="AE219" s="254">
        <v>1</v>
      </c>
      <c r="AF219" s="254">
        <v>1</v>
      </c>
      <c r="AG219" s="254">
        <v>1</v>
      </c>
      <c r="AH219" s="254">
        <v>1</v>
      </c>
      <c r="AI219" s="254">
        <v>1</v>
      </c>
      <c r="AJ219" s="254">
        <v>1</v>
      </c>
      <c r="AK219" s="254">
        <v>1</v>
      </c>
      <c r="AL219" s="254">
        <v>1</v>
      </c>
      <c r="AM219" s="254">
        <v>1</v>
      </c>
      <c r="AN219" s="254">
        <v>1</v>
      </c>
      <c r="AO219" s="254">
        <v>1</v>
      </c>
      <c r="AP219" s="254">
        <v>1</v>
      </c>
      <c r="AQ219" s="254">
        <v>1</v>
      </c>
      <c r="AR219" s="254">
        <v>1</v>
      </c>
      <c r="AS219" s="254">
        <v>1</v>
      </c>
      <c r="AT219" s="254">
        <v>1</v>
      </c>
      <c r="AU219" s="254">
        <v>1</v>
      </c>
      <c r="AV219" s="254">
        <v>1</v>
      </c>
      <c r="AW219" s="254">
        <v>1</v>
      </c>
      <c r="AX219" s="254">
        <v>1</v>
      </c>
      <c r="AY219" s="254">
        <v>1</v>
      </c>
      <c r="AZ219" s="254">
        <v>1</v>
      </c>
      <c r="BA219" s="254">
        <v>1</v>
      </c>
      <c r="BB219" s="254">
        <v>1</v>
      </c>
      <c r="BC219" s="254">
        <v>1</v>
      </c>
      <c r="BD219" s="254">
        <v>1</v>
      </c>
      <c r="BE219" s="254">
        <v>1</v>
      </c>
      <c r="BF219" s="254">
        <v>1</v>
      </c>
      <c r="BG219" s="254">
        <v>0</v>
      </c>
      <c r="BH219" s="254">
        <v>0</v>
      </c>
      <c r="BI219" s="254">
        <v>0</v>
      </c>
      <c r="BJ219" s="254">
        <v>0</v>
      </c>
      <c r="BK219" s="254">
        <v>0</v>
      </c>
      <c r="BL219" s="254">
        <v>0</v>
      </c>
      <c r="BM219" s="254">
        <v>0</v>
      </c>
      <c r="BN219" s="254">
        <v>0</v>
      </c>
      <c r="BO219" s="254">
        <v>0</v>
      </c>
      <c r="BP219" s="254">
        <v>0</v>
      </c>
      <c r="BQ219" s="254">
        <v>0</v>
      </c>
      <c r="BR219" s="254">
        <v>0</v>
      </c>
      <c r="BS219" s="254">
        <v>0</v>
      </c>
      <c r="BT219" s="254">
        <v>0</v>
      </c>
      <c r="BU219" s="254">
        <v>0</v>
      </c>
      <c r="BV219" s="254">
        <v>0</v>
      </c>
      <c r="BW219" s="254">
        <v>0</v>
      </c>
      <c r="BX219" s="254">
        <v>0</v>
      </c>
      <c r="BY219" s="254">
        <v>0</v>
      </c>
      <c r="BZ219" s="254">
        <v>0</v>
      </c>
      <c r="CA219" s="254">
        <v>0</v>
      </c>
      <c r="CB219" s="254">
        <v>0</v>
      </c>
      <c r="CC219" s="254">
        <v>0</v>
      </c>
      <c r="CD219" s="254">
        <v>0</v>
      </c>
      <c r="CE219" s="254">
        <v>0</v>
      </c>
      <c r="CF219" s="254">
        <v>0</v>
      </c>
      <c r="CG219" s="254">
        <v>0</v>
      </c>
      <c r="CH219" s="254">
        <v>0</v>
      </c>
      <c r="CI219" s="254">
        <v>0</v>
      </c>
      <c r="CJ219" s="254">
        <v>0</v>
      </c>
      <c r="CK219" s="254">
        <v>0</v>
      </c>
      <c r="CL219" s="254">
        <v>0</v>
      </c>
      <c r="CM219" s="254">
        <v>0</v>
      </c>
      <c r="CN219" s="254">
        <v>0</v>
      </c>
      <c r="CO219" s="254">
        <v>0</v>
      </c>
      <c r="CP219" s="254">
        <v>0</v>
      </c>
      <c r="CQ219" s="116"/>
      <c r="CR219" s="255">
        <v>0</v>
      </c>
      <c r="CS219" s="255">
        <v>0</v>
      </c>
      <c r="CT219" s="255">
        <v>0</v>
      </c>
      <c r="CU219" s="255">
        <v>0</v>
      </c>
      <c r="CV219" s="255">
        <v>0</v>
      </c>
      <c r="CW219" s="255">
        <v>0</v>
      </c>
      <c r="CX219" s="255">
        <v>0</v>
      </c>
      <c r="CY219" s="255">
        <v>0</v>
      </c>
      <c r="CZ219" s="255">
        <v>0</v>
      </c>
      <c r="DA219" s="255">
        <v>0</v>
      </c>
      <c r="DB219" s="255">
        <v>0</v>
      </c>
      <c r="DC219" s="255">
        <v>0</v>
      </c>
      <c r="DD219" s="255">
        <v>0</v>
      </c>
      <c r="DE219" s="255">
        <v>0</v>
      </c>
      <c r="DF219" s="255">
        <v>28382.199999999997</v>
      </c>
      <c r="DG219" s="255">
        <v>21286.649999999998</v>
      </c>
      <c r="DH219" s="255">
        <v>28382.199999999997</v>
      </c>
      <c r="DI219" s="255">
        <v>28382.199999999997</v>
      </c>
      <c r="DJ219" s="255">
        <v>28382.199999999997</v>
      </c>
      <c r="DK219" s="255">
        <v>28382.199999999997</v>
      </c>
      <c r="DL219" s="255">
        <v>28382.199999999997</v>
      </c>
      <c r="DM219" s="255">
        <v>28382.199999999997</v>
      </c>
      <c r="DN219" s="255">
        <v>28382.199999999997</v>
      </c>
      <c r="DO219" s="255">
        <v>21286.649999999998</v>
      </c>
      <c r="DP219" s="255">
        <v>21286.649999999998</v>
      </c>
      <c r="DQ219" s="255">
        <v>28382.199999999997</v>
      </c>
      <c r="DR219" s="255">
        <v>29244.6</v>
      </c>
      <c r="DS219" s="255">
        <v>21933.449999999997</v>
      </c>
      <c r="DT219" s="255">
        <v>31751.279999999999</v>
      </c>
      <c r="DU219" s="255">
        <v>31751.279999999999</v>
      </c>
      <c r="DV219" s="255">
        <v>29244.6</v>
      </c>
      <c r="DW219" s="255">
        <v>29244.6</v>
      </c>
      <c r="DX219" s="255">
        <v>29244.6</v>
      </c>
      <c r="DY219" s="255">
        <v>29244.6</v>
      </c>
      <c r="DZ219" s="255">
        <v>29244.6</v>
      </c>
      <c r="EA219" s="255">
        <v>21933.449999999997</v>
      </c>
      <c r="EB219" s="255">
        <v>21933.449999999997</v>
      </c>
      <c r="EC219" s="255">
        <v>29244.6</v>
      </c>
      <c r="ED219" s="255">
        <v>30108.400000000001</v>
      </c>
      <c r="EE219" s="255">
        <v>22581.3</v>
      </c>
      <c r="EF219" s="255">
        <v>32689.119999999999</v>
      </c>
      <c r="EG219" s="255">
        <v>32689.119999999999</v>
      </c>
      <c r="EH219" s="255">
        <v>30108.400000000001</v>
      </c>
      <c r="EI219" s="255">
        <v>30108.400000000001</v>
      </c>
      <c r="EJ219" s="255">
        <v>30108.400000000001</v>
      </c>
      <c r="EK219" s="255">
        <v>30108.400000000001</v>
      </c>
      <c r="EL219" s="255">
        <v>30108.400000000001</v>
      </c>
      <c r="EM219" s="255">
        <v>22581.300000000003</v>
      </c>
      <c r="EN219" s="255">
        <v>0</v>
      </c>
      <c r="EO219" s="255">
        <v>0</v>
      </c>
      <c r="EP219" s="255">
        <v>0</v>
      </c>
      <c r="EQ219" s="255">
        <v>0</v>
      </c>
      <c r="ER219" s="255">
        <v>0</v>
      </c>
      <c r="ES219" s="255">
        <v>0</v>
      </c>
      <c r="ET219" s="255">
        <v>0</v>
      </c>
      <c r="EU219" s="255">
        <v>0</v>
      </c>
      <c r="EV219" s="255">
        <v>0</v>
      </c>
      <c r="EW219" s="255">
        <v>0</v>
      </c>
      <c r="EX219" s="255">
        <v>0</v>
      </c>
      <c r="EY219" s="255">
        <v>0</v>
      </c>
      <c r="EZ219" s="255">
        <v>0</v>
      </c>
      <c r="FA219" s="255">
        <v>0</v>
      </c>
      <c r="FB219" s="255">
        <v>0</v>
      </c>
      <c r="FC219" s="255">
        <v>0</v>
      </c>
      <c r="FD219" s="255">
        <v>0</v>
      </c>
      <c r="FE219" s="255">
        <v>0</v>
      </c>
      <c r="FF219" s="255">
        <v>0</v>
      </c>
      <c r="FG219" s="255">
        <v>0</v>
      </c>
      <c r="FH219" s="255">
        <v>0</v>
      </c>
      <c r="FI219" s="255">
        <v>0</v>
      </c>
      <c r="FJ219" s="255">
        <v>0</v>
      </c>
      <c r="FK219" s="255">
        <v>0</v>
      </c>
      <c r="FL219" s="255">
        <v>0</v>
      </c>
      <c r="FM219" s="255">
        <v>0</v>
      </c>
      <c r="FN219" s="255">
        <v>0</v>
      </c>
      <c r="FO219" s="255">
        <v>0</v>
      </c>
      <c r="FP219" s="255">
        <v>0</v>
      </c>
      <c r="FQ219" s="255">
        <v>0</v>
      </c>
      <c r="FR219" s="255">
        <v>0</v>
      </c>
      <c r="FS219" s="255">
        <v>0</v>
      </c>
      <c r="FT219" s="255">
        <v>0</v>
      </c>
      <c r="FU219" s="255">
        <v>0</v>
      </c>
      <c r="FV219" s="255">
        <v>0</v>
      </c>
      <c r="FW219" s="255">
        <v>0</v>
      </c>
      <c r="FX219" s="116"/>
    </row>
    <row r="220" spans="2:180" x14ac:dyDescent="0.2">
      <c r="B220" s="253" t="s">
        <v>233</v>
      </c>
      <c r="C220" s="253" t="s">
        <v>265</v>
      </c>
      <c r="D220" s="253" t="s">
        <v>258</v>
      </c>
      <c r="E220" s="253" t="s">
        <v>127</v>
      </c>
      <c r="F220" s="253" t="s">
        <v>263</v>
      </c>
      <c r="G220" s="253" t="s">
        <v>260</v>
      </c>
      <c r="H220" s="237">
        <v>333.23</v>
      </c>
      <c r="I220" s="126">
        <f t="shared" si="88"/>
        <v>774361.35000000009</v>
      </c>
      <c r="J220" s="116"/>
      <c r="K220" s="254">
        <v>0</v>
      </c>
      <c r="L220" s="254">
        <v>0</v>
      </c>
      <c r="M220" s="254">
        <v>0</v>
      </c>
      <c r="N220" s="254">
        <v>0</v>
      </c>
      <c r="O220" s="254">
        <v>0</v>
      </c>
      <c r="P220" s="254">
        <v>0</v>
      </c>
      <c r="Q220" s="254">
        <v>0</v>
      </c>
      <c r="R220" s="254">
        <v>0</v>
      </c>
      <c r="S220" s="254">
        <v>0</v>
      </c>
      <c r="T220" s="254">
        <v>0</v>
      </c>
      <c r="U220" s="254">
        <v>0</v>
      </c>
      <c r="V220" s="254">
        <v>0</v>
      </c>
      <c r="W220" s="254">
        <v>0</v>
      </c>
      <c r="X220" s="254">
        <v>0</v>
      </c>
      <c r="Y220" s="254">
        <v>0.5</v>
      </c>
      <c r="Z220" s="254">
        <v>0.5</v>
      </c>
      <c r="AA220" s="254">
        <v>0.46052631578947367</v>
      </c>
      <c r="AB220" s="254">
        <v>0.46052631578947367</v>
      </c>
      <c r="AC220" s="254">
        <v>0.5</v>
      </c>
      <c r="AD220" s="254">
        <v>0.5</v>
      </c>
      <c r="AE220" s="254">
        <v>0.5</v>
      </c>
      <c r="AF220" s="254">
        <v>0.5</v>
      </c>
      <c r="AG220" s="254">
        <v>0.5</v>
      </c>
      <c r="AH220" s="254">
        <v>0.5</v>
      </c>
      <c r="AI220" s="254">
        <v>0.5</v>
      </c>
      <c r="AJ220" s="254">
        <v>0.5</v>
      </c>
      <c r="AK220" s="254">
        <v>0.5</v>
      </c>
      <c r="AL220" s="254">
        <v>0.5</v>
      </c>
      <c r="AM220" s="254">
        <v>0.5</v>
      </c>
      <c r="AN220" s="254">
        <v>0.5</v>
      </c>
      <c r="AO220" s="254">
        <v>0.5</v>
      </c>
      <c r="AP220" s="254">
        <v>0.5</v>
      </c>
      <c r="AQ220" s="254">
        <v>0.5</v>
      </c>
      <c r="AR220" s="254">
        <v>0.5</v>
      </c>
      <c r="AS220" s="254">
        <v>0.5</v>
      </c>
      <c r="AT220" s="254">
        <v>0.5</v>
      </c>
      <c r="AU220" s="254">
        <v>0.5</v>
      </c>
      <c r="AV220" s="254">
        <v>0.5</v>
      </c>
      <c r="AW220" s="254">
        <v>0.5</v>
      </c>
      <c r="AX220" s="254">
        <v>0.5</v>
      </c>
      <c r="AY220" s="254">
        <v>0.5</v>
      </c>
      <c r="AZ220" s="254">
        <v>0.5</v>
      </c>
      <c r="BA220" s="254">
        <v>0.5</v>
      </c>
      <c r="BB220" s="254">
        <v>0.5</v>
      </c>
      <c r="BC220" s="254">
        <v>0.5</v>
      </c>
      <c r="BD220" s="254">
        <v>0.5</v>
      </c>
      <c r="BE220" s="254">
        <v>0.5</v>
      </c>
      <c r="BF220" s="254">
        <v>0.66666666666666663</v>
      </c>
      <c r="BG220" s="254">
        <v>0</v>
      </c>
      <c r="BH220" s="254">
        <v>0</v>
      </c>
      <c r="BI220" s="254">
        <v>0</v>
      </c>
      <c r="BJ220" s="254">
        <v>0</v>
      </c>
      <c r="BK220" s="254">
        <v>0</v>
      </c>
      <c r="BL220" s="254">
        <v>0</v>
      </c>
      <c r="BM220" s="254">
        <v>0</v>
      </c>
      <c r="BN220" s="254">
        <v>0</v>
      </c>
      <c r="BO220" s="254">
        <v>0</v>
      </c>
      <c r="BP220" s="254">
        <v>0</v>
      </c>
      <c r="BQ220" s="254">
        <v>0</v>
      </c>
      <c r="BR220" s="254">
        <v>0</v>
      </c>
      <c r="BS220" s="254">
        <v>0</v>
      </c>
      <c r="BT220" s="254">
        <v>0</v>
      </c>
      <c r="BU220" s="254">
        <v>0</v>
      </c>
      <c r="BV220" s="254">
        <v>0</v>
      </c>
      <c r="BW220" s="254">
        <v>0</v>
      </c>
      <c r="BX220" s="254">
        <v>0</v>
      </c>
      <c r="BY220" s="254">
        <v>0</v>
      </c>
      <c r="BZ220" s="254">
        <v>0</v>
      </c>
      <c r="CA220" s="254">
        <v>0</v>
      </c>
      <c r="CB220" s="254">
        <v>0</v>
      </c>
      <c r="CC220" s="254">
        <v>0</v>
      </c>
      <c r="CD220" s="254">
        <v>0</v>
      </c>
      <c r="CE220" s="254">
        <v>0</v>
      </c>
      <c r="CF220" s="254">
        <v>0</v>
      </c>
      <c r="CG220" s="254">
        <v>0</v>
      </c>
      <c r="CH220" s="254">
        <v>0</v>
      </c>
      <c r="CI220" s="254">
        <v>0</v>
      </c>
      <c r="CJ220" s="254">
        <v>0</v>
      </c>
      <c r="CK220" s="254">
        <v>0</v>
      </c>
      <c r="CL220" s="254">
        <v>0</v>
      </c>
      <c r="CM220" s="254">
        <v>0</v>
      </c>
      <c r="CN220" s="254">
        <v>0</v>
      </c>
      <c r="CO220" s="254">
        <v>0</v>
      </c>
      <c r="CP220" s="254">
        <v>0</v>
      </c>
      <c r="CQ220" s="116"/>
      <c r="CR220" s="255">
        <v>0</v>
      </c>
      <c r="CS220" s="255">
        <v>0</v>
      </c>
      <c r="CT220" s="255">
        <v>0</v>
      </c>
      <c r="CU220" s="255">
        <v>0</v>
      </c>
      <c r="CV220" s="255">
        <v>0</v>
      </c>
      <c r="CW220" s="255">
        <v>0</v>
      </c>
      <c r="CX220" s="255">
        <v>0</v>
      </c>
      <c r="CY220" s="255">
        <v>0</v>
      </c>
      <c r="CZ220" s="255">
        <v>0</v>
      </c>
      <c r="DA220" s="255">
        <v>0</v>
      </c>
      <c r="DB220" s="255">
        <v>0</v>
      </c>
      <c r="DC220" s="255">
        <v>0</v>
      </c>
      <c r="DD220" s="255">
        <v>0</v>
      </c>
      <c r="DE220" s="255">
        <v>0</v>
      </c>
      <c r="DF220" s="255">
        <v>22652.7</v>
      </c>
      <c r="DG220" s="255">
        <v>16989.525000000001</v>
      </c>
      <c r="DH220" s="255">
        <v>22652.7</v>
      </c>
      <c r="DI220" s="255">
        <v>22652.7</v>
      </c>
      <c r="DJ220" s="255">
        <v>23326.799999999999</v>
      </c>
      <c r="DK220" s="255">
        <v>23326.799999999999</v>
      </c>
      <c r="DL220" s="255">
        <v>23326.799999999999</v>
      </c>
      <c r="DM220" s="255">
        <v>23326.799999999999</v>
      </c>
      <c r="DN220" s="255">
        <v>23326.799999999999</v>
      </c>
      <c r="DO220" s="255">
        <v>17495.100000000002</v>
      </c>
      <c r="DP220" s="255">
        <v>17495.100000000002</v>
      </c>
      <c r="DQ220" s="255">
        <v>23326.799999999999</v>
      </c>
      <c r="DR220" s="255">
        <v>23326.799999999999</v>
      </c>
      <c r="DS220" s="255">
        <v>17495.100000000002</v>
      </c>
      <c r="DT220" s="255">
        <v>25326.240000000002</v>
      </c>
      <c r="DU220" s="255">
        <v>25326.240000000002</v>
      </c>
      <c r="DV220" s="255">
        <v>24031.7</v>
      </c>
      <c r="DW220" s="255">
        <v>24031.7</v>
      </c>
      <c r="DX220" s="255">
        <v>24031.7</v>
      </c>
      <c r="DY220" s="255">
        <v>24031.7</v>
      </c>
      <c r="DZ220" s="255">
        <v>24031.7</v>
      </c>
      <c r="EA220" s="255">
        <v>18023.775000000001</v>
      </c>
      <c r="EB220" s="255">
        <v>18023.775000000001</v>
      </c>
      <c r="EC220" s="255">
        <v>24031.7</v>
      </c>
      <c r="ED220" s="255">
        <v>24031.7</v>
      </c>
      <c r="EE220" s="255">
        <v>18023.775000000001</v>
      </c>
      <c r="EF220" s="255">
        <v>26091.56</v>
      </c>
      <c r="EG220" s="255">
        <v>26091.56</v>
      </c>
      <c r="EH220" s="255">
        <v>24752</v>
      </c>
      <c r="EI220" s="255">
        <v>24752</v>
      </c>
      <c r="EJ220" s="255">
        <v>24752</v>
      </c>
      <c r="EK220" s="255">
        <v>24752</v>
      </c>
      <c r="EL220" s="255">
        <v>24752</v>
      </c>
      <c r="EM220" s="255">
        <v>24752</v>
      </c>
      <c r="EN220" s="255">
        <v>0</v>
      </c>
      <c r="EO220" s="255">
        <v>0</v>
      </c>
      <c r="EP220" s="255">
        <v>0</v>
      </c>
      <c r="EQ220" s="255">
        <v>0</v>
      </c>
      <c r="ER220" s="255">
        <v>0</v>
      </c>
      <c r="ES220" s="255">
        <v>0</v>
      </c>
      <c r="ET220" s="255">
        <v>0</v>
      </c>
      <c r="EU220" s="255">
        <v>0</v>
      </c>
      <c r="EV220" s="255">
        <v>0</v>
      </c>
      <c r="EW220" s="255">
        <v>0</v>
      </c>
      <c r="EX220" s="255">
        <v>0</v>
      </c>
      <c r="EY220" s="255">
        <v>0</v>
      </c>
      <c r="EZ220" s="255">
        <v>0</v>
      </c>
      <c r="FA220" s="255">
        <v>0</v>
      </c>
      <c r="FB220" s="255">
        <v>0</v>
      </c>
      <c r="FC220" s="255">
        <v>0</v>
      </c>
      <c r="FD220" s="255">
        <v>0</v>
      </c>
      <c r="FE220" s="255">
        <v>0</v>
      </c>
      <c r="FF220" s="255">
        <v>0</v>
      </c>
      <c r="FG220" s="255">
        <v>0</v>
      </c>
      <c r="FH220" s="255">
        <v>0</v>
      </c>
      <c r="FI220" s="255">
        <v>0</v>
      </c>
      <c r="FJ220" s="255">
        <v>0</v>
      </c>
      <c r="FK220" s="255">
        <v>0</v>
      </c>
      <c r="FL220" s="255">
        <v>0</v>
      </c>
      <c r="FM220" s="255">
        <v>0</v>
      </c>
      <c r="FN220" s="255">
        <v>0</v>
      </c>
      <c r="FO220" s="255">
        <v>0</v>
      </c>
      <c r="FP220" s="255">
        <v>0</v>
      </c>
      <c r="FQ220" s="255">
        <v>0</v>
      </c>
      <c r="FR220" s="255">
        <v>0</v>
      </c>
      <c r="FS220" s="255">
        <v>0</v>
      </c>
      <c r="FT220" s="255">
        <v>0</v>
      </c>
      <c r="FU220" s="255">
        <v>0</v>
      </c>
      <c r="FV220" s="255">
        <v>0</v>
      </c>
      <c r="FW220" s="255">
        <v>0</v>
      </c>
      <c r="FX220" s="116"/>
    </row>
    <row r="221" spans="2:180" x14ac:dyDescent="0.2">
      <c r="B221" s="253" t="s">
        <v>233</v>
      </c>
      <c r="C221" s="253" t="s">
        <v>278</v>
      </c>
      <c r="D221" s="253" t="s">
        <v>258</v>
      </c>
      <c r="E221" s="253" t="s">
        <v>127</v>
      </c>
      <c r="F221" s="253" t="s">
        <v>263</v>
      </c>
      <c r="G221" s="253" t="s">
        <v>260</v>
      </c>
      <c r="H221" s="237">
        <v>202.73</v>
      </c>
      <c r="I221" s="126">
        <f t="shared" si="88"/>
        <v>476016.60000000003</v>
      </c>
      <c r="J221" s="116"/>
      <c r="K221" s="254">
        <v>0</v>
      </c>
      <c r="L221" s="254">
        <v>0</v>
      </c>
      <c r="M221" s="254">
        <v>0</v>
      </c>
      <c r="N221" s="254">
        <v>0</v>
      </c>
      <c r="O221" s="254">
        <v>0</v>
      </c>
      <c r="P221" s="254">
        <v>0</v>
      </c>
      <c r="Q221" s="254">
        <v>0</v>
      </c>
      <c r="R221" s="254">
        <v>0</v>
      </c>
      <c r="S221" s="254">
        <v>0</v>
      </c>
      <c r="T221" s="254">
        <v>0</v>
      </c>
      <c r="U221" s="254">
        <v>0</v>
      </c>
      <c r="V221" s="254">
        <v>0</v>
      </c>
      <c r="W221" s="254">
        <v>0</v>
      </c>
      <c r="X221" s="254">
        <v>0</v>
      </c>
      <c r="Y221" s="254">
        <v>0.5</v>
      </c>
      <c r="Z221" s="254">
        <v>0.5</v>
      </c>
      <c r="AA221" s="254">
        <v>0.46052631578947367</v>
      </c>
      <c r="AB221" s="254">
        <v>0.46052631578947367</v>
      </c>
      <c r="AC221" s="254">
        <v>0.5</v>
      </c>
      <c r="AD221" s="254">
        <v>0.5</v>
      </c>
      <c r="AE221" s="254">
        <v>0.5</v>
      </c>
      <c r="AF221" s="254">
        <v>0.5</v>
      </c>
      <c r="AG221" s="254">
        <v>0.5</v>
      </c>
      <c r="AH221" s="254">
        <v>0.5</v>
      </c>
      <c r="AI221" s="254">
        <v>0.5</v>
      </c>
      <c r="AJ221" s="254">
        <v>0.5</v>
      </c>
      <c r="AK221" s="254">
        <v>0.5</v>
      </c>
      <c r="AL221" s="254">
        <v>0.5</v>
      </c>
      <c r="AM221" s="254">
        <v>0.5</v>
      </c>
      <c r="AN221" s="254">
        <v>0.5</v>
      </c>
      <c r="AO221" s="254">
        <v>0.5</v>
      </c>
      <c r="AP221" s="254">
        <v>0.5</v>
      </c>
      <c r="AQ221" s="254">
        <v>0.5</v>
      </c>
      <c r="AR221" s="254">
        <v>0.5</v>
      </c>
      <c r="AS221" s="254">
        <v>0.5</v>
      </c>
      <c r="AT221" s="254">
        <v>0.5</v>
      </c>
      <c r="AU221" s="254">
        <v>0.5</v>
      </c>
      <c r="AV221" s="254">
        <v>0.5</v>
      </c>
      <c r="AW221" s="254">
        <v>0.5</v>
      </c>
      <c r="AX221" s="254">
        <v>0.5</v>
      </c>
      <c r="AY221" s="254">
        <v>0.5</v>
      </c>
      <c r="AZ221" s="254">
        <v>0.5</v>
      </c>
      <c r="BA221" s="254">
        <v>0.5</v>
      </c>
      <c r="BB221" s="254">
        <v>0.5</v>
      </c>
      <c r="BC221" s="254">
        <v>0.5</v>
      </c>
      <c r="BD221" s="254">
        <v>0.5</v>
      </c>
      <c r="BE221" s="254">
        <v>0.5</v>
      </c>
      <c r="BF221" s="254">
        <v>0.66666666666666663</v>
      </c>
      <c r="BG221" s="254">
        <v>0</v>
      </c>
      <c r="BH221" s="254">
        <v>0</v>
      </c>
      <c r="BI221" s="254">
        <v>0</v>
      </c>
      <c r="BJ221" s="254">
        <v>0</v>
      </c>
      <c r="BK221" s="254">
        <v>0</v>
      </c>
      <c r="BL221" s="254">
        <v>0</v>
      </c>
      <c r="BM221" s="254">
        <v>0</v>
      </c>
      <c r="BN221" s="254">
        <v>0</v>
      </c>
      <c r="BO221" s="254">
        <v>0</v>
      </c>
      <c r="BP221" s="254">
        <v>0</v>
      </c>
      <c r="BQ221" s="254">
        <v>0</v>
      </c>
      <c r="BR221" s="254">
        <v>0</v>
      </c>
      <c r="BS221" s="254">
        <v>0</v>
      </c>
      <c r="BT221" s="254">
        <v>0</v>
      </c>
      <c r="BU221" s="254">
        <v>0</v>
      </c>
      <c r="BV221" s="254">
        <v>0</v>
      </c>
      <c r="BW221" s="254">
        <v>0</v>
      </c>
      <c r="BX221" s="254">
        <v>0</v>
      </c>
      <c r="BY221" s="254">
        <v>0</v>
      </c>
      <c r="BZ221" s="254">
        <v>0</v>
      </c>
      <c r="CA221" s="254">
        <v>0</v>
      </c>
      <c r="CB221" s="254">
        <v>0</v>
      </c>
      <c r="CC221" s="254">
        <v>0</v>
      </c>
      <c r="CD221" s="254">
        <v>0</v>
      </c>
      <c r="CE221" s="254">
        <v>0</v>
      </c>
      <c r="CF221" s="254">
        <v>0</v>
      </c>
      <c r="CG221" s="254">
        <v>0</v>
      </c>
      <c r="CH221" s="254">
        <v>0</v>
      </c>
      <c r="CI221" s="254">
        <v>0</v>
      </c>
      <c r="CJ221" s="254">
        <v>0</v>
      </c>
      <c r="CK221" s="254">
        <v>0</v>
      </c>
      <c r="CL221" s="254">
        <v>0</v>
      </c>
      <c r="CM221" s="254">
        <v>0</v>
      </c>
      <c r="CN221" s="254">
        <v>0</v>
      </c>
      <c r="CO221" s="254">
        <v>0</v>
      </c>
      <c r="CP221" s="254">
        <v>0</v>
      </c>
      <c r="CQ221" s="116"/>
      <c r="CR221" s="255">
        <v>0</v>
      </c>
      <c r="CS221" s="255">
        <v>0</v>
      </c>
      <c r="CT221" s="255">
        <v>0</v>
      </c>
      <c r="CU221" s="255">
        <v>0</v>
      </c>
      <c r="CV221" s="255">
        <v>0</v>
      </c>
      <c r="CW221" s="255">
        <v>0</v>
      </c>
      <c r="CX221" s="255">
        <v>0</v>
      </c>
      <c r="CY221" s="255">
        <v>0</v>
      </c>
      <c r="CZ221" s="255">
        <v>0</v>
      </c>
      <c r="DA221" s="255">
        <v>0</v>
      </c>
      <c r="DB221" s="255">
        <v>0</v>
      </c>
      <c r="DC221" s="255">
        <v>0</v>
      </c>
      <c r="DD221" s="255">
        <v>0</v>
      </c>
      <c r="DE221" s="255">
        <v>0</v>
      </c>
      <c r="DF221" s="255">
        <v>14191.099999999999</v>
      </c>
      <c r="DG221" s="255">
        <v>10643.324999999999</v>
      </c>
      <c r="DH221" s="255">
        <v>14191.099999999999</v>
      </c>
      <c r="DI221" s="255">
        <v>14191.099999999999</v>
      </c>
      <c r="DJ221" s="255">
        <v>14191.099999999999</v>
      </c>
      <c r="DK221" s="255">
        <v>14191.099999999999</v>
      </c>
      <c r="DL221" s="255">
        <v>14191.099999999999</v>
      </c>
      <c r="DM221" s="255">
        <v>14191.099999999999</v>
      </c>
      <c r="DN221" s="255">
        <v>14191.099999999999</v>
      </c>
      <c r="DO221" s="255">
        <v>10643.324999999999</v>
      </c>
      <c r="DP221" s="255">
        <v>10643.324999999999</v>
      </c>
      <c r="DQ221" s="255">
        <v>14191.099999999999</v>
      </c>
      <c r="DR221" s="255">
        <v>14622.3</v>
      </c>
      <c r="DS221" s="255">
        <v>10966.724999999999</v>
      </c>
      <c r="DT221" s="255">
        <v>15875.64</v>
      </c>
      <c r="DU221" s="255">
        <v>15875.64</v>
      </c>
      <c r="DV221" s="255">
        <v>14622.3</v>
      </c>
      <c r="DW221" s="255">
        <v>14622.3</v>
      </c>
      <c r="DX221" s="255">
        <v>14622.3</v>
      </c>
      <c r="DY221" s="255">
        <v>14622.3</v>
      </c>
      <c r="DZ221" s="255">
        <v>14622.3</v>
      </c>
      <c r="EA221" s="255">
        <v>10966.724999999999</v>
      </c>
      <c r="EB221" s="255">
        <v>10966.724999999999</v>
      </c>
      <c r="EC221" s="255">
        <v>14622.3</v>
      </c>
      <c r="ED221" s="255">
        <v>15054.2</v>
      </c>
      <c r="EE221" s="255">
        <v>11290.65</v>
      </c>
      <c r="EF221" s="255">
        <v>16344.56</v>
      </c>
      <c r="EG221" s="255">
        <v>16344.56</v>
      </c>
      <c r="EH221" s="255">
        <v>15054.2</v>
      </c>
      <c r="EI221" s="255">
        <v>15054.2</v>
      </c>
      <c r="EJ221" s="255">
        <v>15054.2</v>
      </c>
      <c r="EK221" s="255">
        <v>15054.2</v>
      </c>
      <c r="EL221" s="255">
        <v>15054.2</v>
      </c>
      <c r="EM221" s="255">
        <v>15054.2</v>
      </c>
      <c r="EN221" s="255">
        <v>0</v>
      </c>
      <c r="EO221" s="255">
        <v>0</v>
      </c>
      <c r="EP221" s="255">
        <v>0</v>
      </c>
      <c r="EQ221" s="255">
        <v>0</v>
      </c>
      <c r="ER221" s="255">
        <v>0</v>
      </c>
      <c r="ES221" s="255">
        <v>0</v>
      </c>
      <c r="ET221" s="255">
        <v>0</v>
      </c>
      <c r="EU221" s="255">
        <v>0</v>
      </c>
      <c r="EV221" s="255">
        <v>0</v>
      </c>
      <c r="EW221" s="255">
        <v>0</v>
      </c>
      <c r="EX221" s="255">
        <v>0</v>
      </c>
      <c r="EY221" s="255">
        <v>0</v>
      </c>
      <c r="EZ221" s="255">
        <v>0</v>
      </c>
      <c r="FA221" s="255">
        <v>0</v>
      </c>
      <c r="FB221" s="255">
        <v>0</v>
      </c>
      <c r="FC221" s="255">
        <v>0</v>
      </c>
      <c r="FD221" s="255">
        <v>0</v>
      </c>
      <c r="FE221" s="255">
        <v>0</v>
      </c>
      <c r="FF221" s="255">
        <v>0</v>
      </c>
      <c r="FG221" s="255">
        <v>0</v>
      </c>
      <c r="FH221" s="255">
        <v>0</v>
      </c>
      <c r="FI221" s="255">
        <v>0</v>
      </c>
      <c r="FJ221" s="255">
        <v>0</v>
      </c>
      <c r="FK221" s="255">
        <v>0</v>
      </c>
      <c r="FL221" s="255">
        <v>0</v>
      </c>
      <c r="FM221" s="255">
        <v>0</v>
      </c>
      <c r="FN221" s="255">
        <v>0</v>
      </c>
      <c r="FO221" s="255">
        <v>0</v>
      </c>
      <c r="FP221" s="255">
        <v>0</v>
      </c>
      <c r="FQ221" s="255">
        <v>0</v>
      </c>
      <c r="FR221" s="255">
        <v>0</v>
      </c>
      <c r="FS221" s="255">
        <v>0</v>
      </c>
      <c r="FT221" s="255">
        <v>0</v>
      </c>
      <c r="FU221" s="255">
        <v>0</v>
      </c>
      <c r="FV221" s="255">
        <v>0</v>
      </c>
      <c r="FW221" s="255">
        <v>0</v>
      </c>
      <c r="FX221" s="116"/>
    </row>
    <row r="222" spans="2:180" x14ac:dyDescent="0.2">
      <c r="B222" s="253" t="s">
        <v>214</v>
      </c>
      <c r="C222" s="253" t="s">
        <v>321</v>
      </c>
      <c r="D222" s="253" t="s">
        <v>258</v>
      </c>
      <c r="E222" s="253" t="s">
        <v>127</v>
      </c>
      <c r="F222" s="253" t="s">
        <v>259</v>
      </c>
      <c r="G222" s="253" t="s">
        <v>260</v>
      </c>
      <c r="H222" s="237">
        <v>245.65</v>
      </c>
      <c r="I222" s="126">
        <f t="shared" si="88"/>
        <v>533971.20000000007</v>
      </c>
      <c r="J222" s="116"/>
      <c r="K222" s="254">
        <v>0</v>
      </c>
      <c r="L222" s="254">
        <v>0</v>
      </c>
      <c r="M222" s="254">
        <v>0</v>
      </c>
      <c r="N222" s="254">
        <v>0</v>
      </c>
      <c r="O222" s="254">
        <v>0</v>
      </c>
      <c r="P222" s="254">
        <v>0</v>
      </c>
      <c r="Q222" s="254">
        <v>0</v>
      </c>
      <c r="R222" s="254">
        <v>0</v>
      </c>
      <c r="S222" s="254">
        <v>0</v>
      </c>
      <c r="T222" s="254">
        <v>0</v>
      </c>
      <c r="U222" s="254">
        <v>0</v>
      </c>
      <c r="V222" s="254">
        <v>0</v>
      </c>
      <c r="W222" s="254">
        <v>0</v>
      </c>
      <c r="X222" s="254">
        <v>0</v>
      </c>
      <c r="Y222" s="254">
        <v>0.5</v>
      </c>
      <c r="Z222" s="254">
        <v>0.5</v>
      </c>
      <c r="AA222" s="254">
        <v>0.46052631578947367</v>
      </c>
      <c r="AB222" s="254">
        <v>0.46052631578947367</v>
      </c>
      <c r="AC222" s="254">
        <v>0.5</v>
      </c>
      <c r="AD222" s="254">
        <v>0.5</v>
      </c>
      <c r="AE222" s="254">
        <v>0.5</v>
      </c>
      <c r="AF222" s="254">
        <v>0.5</v>
      </c>
      <c r="AG222" s="254">
        <v>0.5</v>
      </c>
      <c r="AH222" s="254">
        <v>0.5</v>
      </c>
      <c r="AI222" s="254">
        <v>0.5</v>
      </c>
      <c r="AJ222" s="254">
        <v>0.5</v>
      </c>
      <c r="AK222" s="254">
        <v>0.5</v>
      </c>
      <c r="AL222" s="254">
        <v>0.5</v>
      </c>
      <c r="AM222" s="254">
        <v>0.46052631578947367</v>
      </c>
      <c r="AN222" s="254">
        <v>0.46052631578947367</v>
      </c>
      <c r="AO222" s="254">
        <v>0.5</v>
      </c>
      <c r="AP222" s="254">
        <v>0.5</v>
      </c>
      <c r="AQ222" s="254">
        <v>0.5</v>
      </c>
      <c r="AR222" s="254">
        <v>0.5</v>
      </c>
      <c r="AS222" s="254">
        <v>0.5</v>
      </c>
      <c r="AT222" s="254">
        <v>0.5</v>
      </c>
      <c r="AU222" s="254">
        <v>0.5</v>
      </c>
      <c r="AV222" s="254">
        <v>0.5</v>
      </c>
      <c r="AW222" s="254">
        <v>0.5</v>
      </c>
      <c r="AX222" s="254">
        <v>0.5</v>
      </c>
      <c r="AY222" s="254">
        <v>0.46052631578947367</v>
      </c>
      <c r="AZ222" s="254">
        <v>0.46052631578947367</v>
      </c>
      <c r="BA222" s="254">
        <v>0.5</v>
      </c>
      <c r="BB222" s="254">
        <v>0.5</v>
      </c>
      <c r="BC222" s="254">
        <v>0.5</v>
      </c>
      <c r="BD222" s="254">
        <v>0.5</v>
      </c>
      <c r="BE222" s="254">
        <v>0</v>
      </c>
      <c r="BF222" s="254">
        <v>0</v>
      </c>
      <c r="BG222" s="254">
        <v>0</v>
      </c>
      <c r="BH222" s="254">
        <v>0</v>
      </c>
      <c r="BI222" s="254">
        <v>0</v>
      </c>
      <c r="BJ222" s="254">
        <v>0</v>
      </c>
      <c r="BK222" s="254">
        <v>0</v>
      </c>
      <c r="BL222" s="254">
        <v>0</v>
      </c>
      <c r="BM222" s="254">
        <v>0</v>
      </c>
      <c r="BN222" s="254">
        <v>0</v>
      </c>
      <c r="BO222" s="254">
        <v>0</v>
      </c>
      <c r="BP222" s="254">
        <v>0</v>
      </c>
      <c r="BQ222" s="254">
        <v>0</v>
      </c>
      <c r="BR222" s="254">
        <v>0</v>
      </c>
      <c r="BS222" s="254">
        <v>0</v>
      </c>
      <c r="BT222" s="254">
        <v>0</v>
      </c>
      <c r="BU222" s="254">
        <v>0</v>
      </c>
      <c r="BV222" s="254">
        <v>0</v>
      </c>
      <c r="BW222" s="254">
        <v>0</v>
      </c>
      <c r="BX222" s="254">
        <v>0</v>
      </c>
      <c r="BY222" s="254">
        <v>0</v>
      </c>
      <c r="BZ222" s="254">
        <v>0</v>
      </c>
      <c r="CA222" s="254">
        <v>0</v>
      </c>
      <c r="CB222" s="254">
        <v>0</v>
      </c>
      <c r="CC222" s="254">
        <v>0</v>
      </c>
      <c r="CD222" s="254">
        <v>0</v>
      </c>
      <c r="CE222" s="254">
        <v>0</v>
      </c>
      <c r="CF222" s="254">
        <v>0</v>
      </c>
      <c r="CG222" s="254">
        <v>0</v>
      </c>
      <c r="CH222" s="254">
        <v>0</v>
      </c>
      <c r="CI222" s="254">
        <v>0</v>
      </c>
      <c r="CJ222" s="254">
        <v>0</v>
      </c>
      <c r="CK222" s="254">
        <v>0</v>
      </c>
      <c r="CL222" s="254">
        <v>0</v>
      </c>
      <c r="CM222" s="254">
        <v>0</v>
      </c>
      <c r="CN222" s="254">
        <v>0</v>
      </c>
      <c r="CO222" s="254">
        <v>0</v>
      </c>
      <c r="CP222" s="254">
        <v>0</v>
      </c>
      <c r="CQ222" s="116"/>
      <c r="CR222" s="255">
        <v>0</v>
      </c>
      <c r="CS222" s="255">
        <v>0</v>
      </c>
      <c r="CT222" s="255">
        <v>0</v>
      </c>
      <c r="CU222" s="255">
        <v>0</v>
      </c>
      <c r="CV222" s="255">
        <v>0</v>
      </c>
      <c r="CW222" s="255">
        <v>0</v>
      </c>
      <c r="CX222" s="255">
        <v>0</v>
      </c>
      <c r="CY222" s="255">
        <v>0</v>
      </c>
      <c r="CZ222" s="255">
        <v>0</v>
      </c>
      <c r="DA222" s="255">
        <v>0</v>
      </c>
      <c r="DB222" s="255">
        <v>0</v>
      </c>
      <c r="DC222" s="255">
        <v>0</v>
      </c>
      <c r="DD222" s="255">
        <v>0</v>
      </c>
      <c r="DE222" s="255">
        <v>0</v>
      </c>
      <c r="DF222" s="255">
        <v>17195.5</v>
      </c>
      <c r="DG222" s="255">
        <v>12896.625</v>
      </c>
      <c r="DH222" s="255">
        <v>17195.5</v>
      </c>
      <c r="DI222" s="255">
        <v>17195.5</v>
      </c>
      <c r="DJ222" s="255">
        <v>17195.5</v>
      </c>
      <c r="DK222" s="255">
        <v>17195.5</v>
      </c>
      <c r="DL222" s="255">
        <v>17195.5</v>
      </c>
      <c r="DM222" s="255">
        <v>17195.5</v>
      </c>
      <c r="DN222" s="255">
        <v>17195.5</v>
      </c>
      <c r="DO222" s="255">
        <v>12896.625</v>
      </c>
      <c r="DP222" s="255">
        <v>12896.625</v>
      </c>
      <c r="DQ222" s="255">
        <v>17195.5</v>
      </c>
      <c r="DR222" s="255">
        <v>17707.2</v>
      </c>
      <c r="DS222" s="255">
        <v>13280.4</v>
      </c>
      <c r="DT222" s="255">
        <v>17707.2</v>
      </c>
      <c r="DU222" s="255">
        <v>17707.2</v>
      </c>
      <c r="DV222" s="255">
        <v>17707.2</v>
      </c>
      <c r="DW222" s="255">
        <v>17707.2</v>
      </c>
      <c r="DX222" s="255">
        <v>17707.2</v>
      </c>
      <c r="DY222" s="255">
        <v>17707.2</v>
      </c>
      <c r="DZ222" s="255">
        <v>17707.2</v>
      </c>
      <c r="EA222" s="255">
        <v>13280.4</v>
      </c>
      <c r="EB222" s="255">
        <v>13280.4</v>
      </c>
      <c r="EC222" s="255">
        <v>17707.2</v>
      </c>
      <c r="ED222" s="255">
        <v>18234.3</v>
      </c>
      <c r="EE222" s="255">
        <v>13675.725</v>
      </c>
      <c r="EF222" s="255">
        <v>18234.3</v>
      </c>
      <c r="EG222" s="255">
        <v>18234.3</v>
      </c>
      <c r="EH222" s="255">
        <v>18234.3</v>
      </c>
      <c r="EI222" s="255">
        <v>18234.3</v>
      </c>
      <c r="EJ222" s="255">
        <v>18234.3</v>
      </c>
      <c r="EK222" s="255">
        <v>18234.3</v>
      </c>
      <c r="EL222" s="255">
        <v>0</v>
      </c>
      <c r="EM222" s="255">
        <v>0</v>
      </c>
      <c r="EN222" s="255">
        <v>0</v>
      </c>
      <c r="EO222" s="255">
        <v>0</v>
      </c>
      <c r="EP222" s="255">
        <v>0</v>
      </c>
      <c r="EQ222" s="255">
        <v>0</v>
      </c>
      <c r="ER222" s="255">
        <v>0</v>
      </c>
      <c r="ES222" s="255">
        <v>0</v>
      </c>
      <c r="ET222" s="255">
        <v>0</v>
      </c>
      <c r="EU222" s="255">
        <v>0</v>
      </c>
      <c r="EV222" s="255">
        <v>0</v>
      </c>
      <c r="EW222" s="255">
        <v>0</v>
      </c>
      <c r="EX222" s="255">
        <v>0</v>
      </c>
      <c r="EY222" s="255">
        <v>0</v>
      </c>
      <c r="EZ222" s="255">
        <v>0</v>
      </c>
      <c r="FA222" s="255">
        <v>0</v>
      </c>
      <c r="FB222" s="255">
        <v>0</v>
      </c>
      <c r="FC222" s="255">
        <v>0</v>
      </c>
      <c r="FD222" s="255">
        <v>0</v>
      </c>
      <c r="FE222" s="255">
        <v>0</v>
      </c>
      <c r="FF222" s="255">
        <v>0</v>
      </c>
      <c r="FG222" s="255">
        <v>0</v>
      </c>
      <c r="FH222" s="255">
        <v>0</v>
      </c>
      <c r="FI222" s="255">
        <v>0</v>
      </c>
      <c r="FJ222" s="255">
        <v>0</v>
      </c>
      <c r="FK222" s="255">
        <v>0</v>
      </c>
      <c r="FL222" s="255">
        <v>0</v>
      </c>
      <c r="FM222" s="255">
        <v>0</v>
      </c>
      <c r="FN222" s="255">
        <v>0</v>
      </c>
      <c r="FO222" s="255">
        <v>0</v>
      </c>
      <c r="FP222" s="255">
        <v>0</v>
      </c>
      <c r="FQ222" s="255">
        <v>0</v>
      </c>
      <c r="FR222" s="255">
        <v>0</v>
      </c>
      <c r="FS222" s="255">
        <v>0</v>
      </c>
      <c r="FT222" s="255">
        <v>0</v>
      </c>
      <c r="FU222" s="255">
        <v>0</v>
      </c>
      <c r="FV222" s="255">
        <v>0</v>
      </c>
      <c r="FW222" s="255">
        <v>0</v>
      </c>
      <c r="FX222" s="116"/>
    </row>
    <row r="223" spans="2:180" x14ac:dyDescent="0.2">
      <c r="B223" s="253" t="s">
        <v>214</v>
      </c>
      <c r="C223" s="253" t="s">
        <v>321</v>
      </c>
      <c r="D223" s="253" t="s">
        <v>258</v>
      </c>
      <c r="E223" s="253" t="s">
        <v>127</v>
      </c>
      <c r="F223" s="253">
        <v>0</v>
      </c>
      <c r="G223" s="253" t="s">
        <v>322</v>
      </c>
      <c r="H223" s="237">
        <v>245.65</v>
      </c>
      <c r="I223" s="126">
        <f t="shared" si="88"/>
        <v>610248.29999999993</v>
      </c>
      <c r="J223" s="116"/>
      <c r="K223" s="254">
        <v>0</v>
      </c>
      <c r="L223" s="254">
        <v>0</v>
      </c>
      <c r="M223" s="254">
        <v>0</v>
      </c>
      <c r="N223" s="254">
        <v>0</v>
      </c>
      <c r="O223" s="254">
        <v>0</v>
      </c>
      <c r="P223" s="254">
        <v>0</v>
      </c>
      <c r="Q223" s="254">
        <v>0</v>
      </c>
      <c r="R223" s="254">
        <v>0</v>
      </c>
      <c r="S223" s="254">
        <v>0</v>
      </c>
      <c r="T223" s="254">
        <v>0</v>
      </c>
      <c r="U223" s="254">
        <v>0</v>
      </c>
      <c r="V223" s="254">
        <v>0</v>
      </c>
      <c r="W223" s="254">
        <v>0</v>
      </c>
      <c r="X223" s="254">
        <v>0</v>
      </c>
      <c r="Y223" s="254">
        <v>0.2857142857142857</v>
      </c>
      <c r="Z223" s="254">
        <v>0.2857142857142857</v>
      </c>
      <c r="AA223" s="254">
        <v>0.26315789473684209</v>
      </c>
      <c r="AB223" s="254">
        <v>0.26315789473684209</v>
      </c>
      <c r="AC223" s="254">
        <v>0.2857142857142857</v>
      </c>
      <c r="AD223" s="254">
        <v>0.2857142857142857</v>
      </c>
      <c r="AE223" s="254">
        <v>0.2857142857142857</v>
      </c>
      <c r="AF223" s="254">
        <v>0.2857142857142857</v>
      </c>
      <c r="AG223" s="254">
        <v>0.2857142857142857</v>
      </c>
      <c r="AH223" s="254">
        <v>0.2857142857142857</v>
      </c>
      <c r="AI223" s="254">
        <v>0.2857142857142857</v>
      </c>
      <c r="AJ223" s="254">
        <v>0.2857142857142857</v>
      </c>
      <c r="AK223" s="254">
        <v>0.2857142857142857</v>
      </c>
      <c r="AL223" s="254">
        <v>0.2857142857142857</v>
      </c>
      <c r="AM223" s="254">
        <v>0.26315789473684209</v>
      </c>
      <c r="AN223" s="254">
        <v>0.26315789473684209</v>
      </c>
      <c r="AO223" s="254">
        <v>0.2857142857142857</v>
      </c>
      <c r="AP223" s="254">
        <v>0.2857142857142857</v>
      </c>
      <c r="AQ223" s="254">
        <v>0.2857142857142857</v>
      </c>
      <c r="AR223" s="254">
        <v>0.2857142857142857</v>
      </c>
      <c r="AS223" s="254">
        <v>0.2857142857142857</v>
      </c>
      <c r="AT223" s="254">
        <v>0.2857142857142857</v>
      </c>
      <c r="AU223" s="254">
        <v>0.2857142857142857</v>
      </c>
      <c r="AV223" s="254">
        <v>0.2857142857142857</v>
      </c>
      <c r="AW223" s="254">
        <v>0.2857142857142857</v>
      </c>
      <c r="AX223" s="254">
        <v>0.2857142857142857</v>
      </c>
      <c r="AY223" s="254">
        <v>0.26315789473684209</v>
      </c>
      <c r="AZ223" s="254">
        <v>0.26315789473684209</v>
      </c>
      <c r="BA223" s="254">
        <v>0.2857142857142857</v>
      </c>
      <c r="BB223" s="254">
        <v>0.2857142857142857</v>
      </c>
      <c r="BC223" s="254">
        <v>0.2857142857142857</v>
      </c>
      <c r="BD223" s="254">
        <v>0.2857142857142857</v>
      </c>
      <c r="BE223" s="254">
        <v>0</v>
      </c>
      <c r="BF223" s="254">
        <v>0</v>
      </c>
      <c r="BG223" s="254">
        <v>0</v>
      </c>
      <c r="BH223" s="254">
        <v>0</v>
      </c>
      <c r="BI223" s="254">
        <v>0</v>
      </c>
      <c r="BJ223" s="254">
        <v>0</v>
      </c>
      <c r="BK223" s="254">
        <v>0</v>
      </c>
      <c r="BL223" s="254">
        <v>0</v>
      </c>
      <c r="BM223" s="254">
        <v>0</v>
      </c>
      <c r="BN223" s="254">
        <v>0</v>
      </c>
      <c r="BO223" s="254">
        <v>0</v>
      </c>
      <c r="BP223" s="254">
        <v>0</v>
      </c>
      <c r="BQ223" s="254">
        <v>0</v>
      </c>
      <c r="BR223" s="254">
        <v>0</v>
      </c>
      <c r="BS223" s="254">
        <v>0</v>
      </c>
      <c r="BT223" s="254">
        <v>0</v>
      </c>
      <c r="BU223" s="254">
        <v>0</v>
      </c>
      <c r="BV223" s="254">
        <v>0</v>
      </c>
      <c r="BW223" s="254">
        <v>0</v>
      </c>
      <c r="BX223" s="254">
        <v>0</v>
      </c>
      <c r="BY223" s="254">
        <v>0</v>
      </c>
      <c r="BZ223" s="254">
        <v>0</v>
      </c>
      <c r="CA223" s="254">
        <v>0</v>
      </c>
      <c r="CB223" s="254">
        <v>0</v>
      </c>
      <c r="CC223" s="254">
        <v>0</v>
      </c>
      <c r="CD223" s="254">
        <v>0</v>
      </c>
      <c r="CE223" s="254">
        <v>0</v>
      </c>
      <c r="CF223" s="254">
        <v>0</v>
      </c>
      <c r="CG223" s="254">
        <v>0</v>
      </c>
      <c r="CH223" s="254">
        <v>0</v>
      </c>
      <c r="CI223" s="254">
        <v>0</v>
      </c>
      <c r="CJ223" s="254">
        <v>0</v>
      </c>
      <c r="CK223" s="254">
        <v>0</v>
      </c>
      <c r="CL223" s="254">
        <v>0</v>
      </c>
      <c r="CM223" s="254">
        <v>0</v>
      </c>
      <c r="CN223" s="254">
        <v>0</v>
      </c>
      <c r="CO223" s="254">
        <v>0</v>
      </c>
      <c r="CP223" s="254">
        <v>0</v>
      </c>
      <c r="CQ223" s="116"/>
      <c r="CR223" s="255">
        <v>0</v>
      </c>
      <c r="CS223" s="255">
        <v>0</v>
      </c>
      <c r="CT223" s="255">
        <v>0</v>
      </c>
      <c r="CU223" s="255">
        <v>0</v>
      </c>
      <c r="CV223" s="255">
        <v>0</v>
      </c>
      <c r="CW223" s="255">
        <v>0</v>
      </c>
      <c r="CX223" s="255">
        <v>0</v>
      </c>
      <c r="CY223" s="255">
        <v>0</v>
      </c>
      <c r="CZ223" s="255">
        <v>0</v>
      </c>
      <c r="DA223" s="255">
        <v>0</v>
      </c>
      <c r="DB223" s="255">
        <v>0</v>
      </c>
      <c r="DC223" s="255">
        <v>0</v>
      </c>
      <c r="DD223" s="255">
        <v>0</v>
      </c>
      <c r="DE223" s="255">
        <v>0</v>
      </c>
      <c r="DF223" s="255">
        <v>19652</v>
      </c>
      <c r="DG223" s="255">
        <v>14739</v>
      </c>
      <c r="DH223" s="255">
        <v>19652</v>
      </c>
      <c r="DI223" s="255">
        <v>19652</v>
      </c>
      <c r="DJ223" s="255">
        <v>19652</v>
      </c>
      <c r="DK223" s="255">
        <v>19652</v>
      </c>
      <c r="DL223" s="255">
        <v>19652</v>
      </c>
      <c r="DM223" s="255">
        <v>19652</v>
      </c>
      <c r="DN223" s="255">
        <v>19652</v>
      </c>
      <c r="DO223" s="255">
        <v>14739</v>
      </c>
      <c r="DP223" s="255">
        <v>14739</v>
      </c>
      <c r="DQ223" s="255">
        <v>19652</v>
      </c>
      <c r="DR223" s="255">
        <v>20236.400000000001</v>
      </c>
      <c r="DS223" s="255">
        <v>15177.300000000001</v>
      </c>
      <c r="DT223" s="255">
        <v>20236.400000000001</v>
      </c>
      <c r="DU223" s="255">
        <v>20236.400000000001</v>
      </c>
      <c r="DV223" s="255">
        <v>20236.400000000001</v>
      </c>
      <c r="DW223" s="255">
        <v>20236.400000000001</v>
      </c>
      <c r="DX223" s="255">
        <v>20236.400000000001</v>
      </c>
      <c r="DY223" s="255">
        <v>20236.400000000001</v>
      </c>
      <c r="DZ223" s="255">
        <v>20236.400000000001</v>
      </c>
      <c r="EA223" s="255">
        <v>15177.300000000001</v>
      </c>
      <c r="EB223" s="255">
        <v>15177.300000000001</v>
      </c>
      <c r="EC223" s="255">
        <v>20236.400000000001</v>
      </c>
      <c r="ED223" s="255">
        <v>20839.2</v>
      </c>
      <c r="EE223" s="255">
        <v>15629.400000000001</v>
      </c>
      <c r="EF223" s="255">
        <v>20839.2</v>
      </c>
      <c r="EG223" s="255">
        <v>20839.2</v>
      </c>
      <c r="EH223" s="255">
        <v>20839.2</v>
      </c>
      <c r="EI223" s="255">
        <v>20839.2</v>
      </c>
      <c r="EJ223" s="255">
        <v>20839.2</v>
      </c>
      <c r="EK223" s="255">
        <v>20839.2</v>
      </c>
      <c r="EL223" s="255">
        <v>0</v>
      </c>
      <c r="EM223" s="255">
        <v>0</v>
      </c>
      <c r="EN223" s="255">
        <v>0</v>
      </c>
      <c r="EO223" s="255">
        <v>0</v>
      </c>
      <c r="EP223" s="255">
        <v>0</v>
      </c>
      <c r="EQ223" s="255">
        <v>0</v>
      </c>
      <c r="ER223" s="255">
        <v>0</v>
      </c>
      <c r="ES223" s="255">
        <v>0</v>
      </c>
      <c r="ET223" s="255">
        <v>0</v>
      </c>
      <c r="EU223" s="255">
        <v>0</v>
      </c>
      <c r="EV223" s="255">
        <v>0</v>
      </c>
      <c r="EW223" s="255">
        <v>0</v>
      </c>
      <c r="EX223" s="255">
        <v>0</v>
      </c>
      <c r="EY223" s="255">
        <v>0</v>
      </c>
      <c r="EZ223" s="255">
        <v>0</v>
      </c>
      <c r="FA223" s="255">
        <v>0</v>
      </c>
      <c r="FB223" s="255">
        <v>0</v>
      </c>
      <c r="FC223" s="255">
        <v>0</v>
      </c>
      <c r="FD223" s="255">
        <v>0</v>
      </c>
      <c r="FE223" s="255">
        <v>0</v>
      </c>
      <c r="FF223" s="255">
        <v>0</v>
      </c>
      <c r="FG223" s="255">
        <v>0</v>
      </c>
      <c r="FH223" s="255">
        <v>0</v>
      </c>
      <c r="FI223" s="255">
        <v>0</v>
      </c>
      <c r="FJ223" s="255">
        <v>0</v>
      </c>
      <c r="FK223" s="255">
        <v>0</v>
      </c>
      <c r="FL223" s="255">
        <v>0</v>
      </c>
      <c r="FM223" s="255">
        <v>0</v>
      </c>
      <c r="FN223" s="255">
        <v>0</v>
      </c>
      <c r="FO223" s="255">
        <v>0</v>
      </c>
      <c r="FP223" s="255">
        <v>0</v>
      </c>
      <c r="FQ223" s="255">
        <v>0</v>
      </c>
      <c r="FR223" s="255">
        <v>0</v>
      </c>
      <c r="FS223" s="255">
        <v>0</v>
      </c>
      <c r="FT223" s="255">
        <v>0</v>
      </c>
      <c r="FU223" s="255">
        <v>0</v>
      </c>
      <c r="FV223" s="255">
        <v>0</v>
      </c>
      <c r="FW223" s="255">
        <v>0</v>
      </c>
      <c r="FX223" s="116"/>
    </row>
    <row r="224" spans="2:180" x14ac:dyDescent="0.2">
      <c r="B224" s="253" t="s">
        <v>214</v>
      </c>
      <c r="C224" s="253" t="s">
        <v>323</v>
      </c>
      <c r="D224" s="253" t="s">
        <v>258</v>
      </c>
      <c r="E224" s="253" t="s">
        <v>127</v>
      </c>
      <c r="F224" s="253" t="s">
        <v>259</v>
      </c>
      <c r="G224" s="253" t="s">
        <v>260</v>
      </c>
      <c r="H224" s="237">
        <v>214.83</v>
      </c>
      <c r="I224" s="126">
        <f t="shared" si="88"/>
        <v>905191.85999999987</v>
      </c>
      <c r="J224" s="116"/>
      <c r="K224" s="254">
        <v>0</v>
      </c>
      <c r="L224" s="254">
        <v>0</v>
      </c>
      <c r="M224" s="254">
        <v>0</v>
      </c>
      <c r="N224" s="254">
        <v>0</v>
      </c>
      <c r="O224" s="254">
        <v>0</v>
      </c>
      <c r="P224" s="254">
        <v>0</v>
      </c>
      <c r="Q224" s="254">
        <v>0</v>
      </c>
      <c r="R224" s="254">
        <v>0</v>
      </c>
      <c r="S224" s="254">
        <v>0</v>
      </c>
      <c r="T224" s="254">
        <v>0</v>
      </c>
      <c r="U224" s="254">
        <v>0</v>
      </c>
      <c r="V224" s="254">
        <v>0</v>
      </c>
      <c r="W224" s="254">
        <v>0</v>
      </c>
      <c r="X224" s="254">
        <v>0</v>
      </c>
      <c r="Y224" s="254">
        <v>0</v>
      </c>
      <c r="Z224" s="254">
        <v>0</v>
      </c>
      <c r="AA224" s="254">
        <v>0</v>
      </c>
      <c r="AB224" s="254">
        <v>0</v>
      </c>
      <c r="AC224" s="254">
        <v>0</v>
      </c>
      <c r="AD224" s="254">
        <v>1</v>
      </c>
      <c r="AE224" s="254">
        <v>0.9</v>
      </c>
      <c r="AF224" s="254">
        <v>0.9</v>
      </c>
      <c r="AG224" s="254">
        <v>0.85</v>
      </c>
      <c r="AH224" s="254">
        <v>0.8</v>
      </c>
      <c r="AI224" s="254">
        <v>1.5333333333333334</v>
      </c>
      <c r="AJ224" s="254">
        <v>0.8</v>
      </c>
      <c r="AK224" s="254">
        <v>0.8</v>
      </c>
      <c r="AL224" s="254">
        <v>1.2666666666666666</v>
      </c>
      <c r="AM224" s="254">
        <v>0.82894736842105265</v>
      </c>
      <c r="AN224" s="254">
        <v>0.78289473684210531</v>
      </c>
      <c r="AO224" s="254">
        <v>0.9</v>
      </c>
      <c r="AP224" s="254">
        <v>0.85</v>
      </c>
      <c r="AQ224" s="254">
        <v>0.9</v>
      </c>
      <c r="AR224" s="254">
        <v>0.9</v>
      </c>
      <c r="AS224" s="254">
        <v>0.85</v>
      </c>
      <c r="AT224" s="254">
        <v>1.0666666666666667</v>
      </c>
      <c r="AU224" s="254">
        <v>1.2666666666666666</v>
      </c>
      <c r="AV224" s="254">
        <v>0.8</v>
      </c>
      <c r="AW224" s="254">
        <v>0.95</v>
      </c>
      <c r="AX224" s="254">
        <v>1.0666666666666667</v>
      </c>
      <c r="AY224" s="254">
        <v>0.875</v>
      </c>
      <c r="AZ224" s="254">
        <v>0.875</v>
      </c>
      <c r="BA224" s="254">
        <v>0.8</v>
      </c>
      <c r="BB224" s="254">
        <v>0.9</v>
      </c>
      <c r="BC224" s="254">
        <v>0.85</v>
      </c>
      <c r="BD224" s="254">
        <v>0.9</v>
      </c>
      <c r="BE224" s="254">
        <v>5.2857142857142856</v>
      </c>
      <c r="BF224" s="254">
        <v>0</v>
      </c>
      <c r="BG224" s="254">
        <v>0</v>
      </c>
      <c r="BH224" s="254">
        <v>0</v>
      </c>
      <c r="BI224" s="254">
        <v>0</v>
      </c>
      <c r="BJ224" s="254">
        <v>0</v>
      </c>
      <c r="BK224" s="254">
        <v>0</v>
      </c>
      <c r="BL224" s="254">
        <v>0</v>
      </c>
      <c r="BM224" s="254">
        <v>0</v>
      </c>
      <c r="BN224" s="254">
        <v>0</v>
      </c>
      <c r="BO224" s="254">
        <v>0</v>
      </c>
      <c r="BP224" s="254">
        <v>0</v>
      </c>
      <c r="BQ224" s="254">
        <v>0</v>
      </c>
      <c r="BR224" s="254">
        <v>0</v>
      </c>
      <c r="BS224" s="254">
        <v>0</v>
      </c>
      <c r="BT224" s="254">
        <v>0</v>
      </c>
      <c r="BU224" s="254">
        <v>0</v>
      </c>
      <c r="BV224" s="254">
        <v>0</v>
      </c>
      <c r="BW224" s="254">
        <v>0</v>
      </c>
      <c r="BX224" s="254">
        <v>0</v>
      </c>
      <c r="BY224" s="254">
        <v>0</v>
      </c>
      <c r="BZ224" s="254">
        <v>0</v>
      </c>
      <c r="CA224" s="254">
        <v>0</v>
      </c>
      <c r="CB224" s="254">
        <v>0</v>
      </c>
      <c r="CC224" s="254">
        <v>0</v>
      </c>
      <c r="CD224" s="254">
        <v>0</v>
      </c>
      <c r="CE224" s="254">
        <v>0</v>
      </c>
      <c r="CF224" s="254">
        <v>0</v>
      </c>
      <c r="CG224" s="254">
        <v>0</v>
      </c>
      <c r="CH224" s="254">
        <v>0</v>
      </c>
      <c r="CI224" s="254">
        <v>0</v>
      </c>
      <c r="CJ224" s="254">
        <v>0</v>
      </c>
      <c r="CK224" s="254">
        <v>0</v>
      </c>
      <c r="CL224" s="254">
        <v>0</v>
      </c>
      <c r="CM224" s="254">
        <v>0</v>
      </c>
      <c r="CN224" s="254">
        <v>0</v>
      </c>
      <c r="CO224" s="254">
        <v>0</v>
      </c>
      <c r="CP224" s="254">
        <v>0</v>
      </c>
      <c r="CQ224" s="116"/>
      <c r="CR224" s="255">
        <v>0</v>
      </c>
      <c r="CS224" s="255">
        <v>0</v>
      </c>
      <c r="CT224" s="255">
        <v>0</v>
      </c>
      <c r="CU224" s="255">
        <v>0</v>
      </c>
      <c r="CV224" s="255">
        <v>0</v>
      </c>
      <c r="CW224" s="255">
        <v>0</v>
      </c>
      <c r="CX224" s="255">
        <v>0</v>
      </c>
      <c r="CY224" s="255">
        <v>0</v>
      </c>
      <c r="CZ224" s="255">
        <v>0</v>
      </c>
      <c r="DA224" s="255">
        <v>0</v>
      </c>
      <c r="DB224" s="255">
        <v>0</v>
      </c>
      <c r="DC224" s="255">
        <v>0</v>
      </c>
      <c r="DD224" s="255">
        <v>0</v>
      </c>
      <c r="DE224" s="255">
        <v>0</v>
      </c>
      <c r="DF224" s="255">
        <v>0</v>
      </c>
      <c r="DG224" s="255">
        <v>0</v>
      </c>
      <c r="DH224" s="255">
        <v>0</v>
      </c>
      <c r="DI224" s="255">
        <v>0</v>
      </c>
      <c r="DJ224" s="255">
        <v>0</v>
      </c>
      <c r="DK224" s="255">
        <v>30076.2</v>
      </c>
      <c r="DL224" s="255">
        <v>27068.58</v>
      </c>
      <c r="DM224" s="255">
        <v>27068.58</v>
      </c>
      <c r="DN224" s="255">
        <v>25564.77</v>
      </c>
      <c r="DO224" s="255">
        <v>18045.72</v>
      </c>
      <c r="DP224" s="255">
        <v>34587.630000000005</v>
      </c>
      <c r="DQ224" s="255">
        <v>24060.960000000003</v>
      </c>
      <c r="DR224" s="255">
        <v>24776.639999999999</v>
      </c>
      <c r="DS224" s="255">
        <v>29422.26</v>
      </c>
      <c r="DT224" s="255">
        <v>27873.72</v>
      </c>
      <c r="DU224" s="255">
        <v>26325.18</v>
      </c>
      <c r="DV224" s="255">
        <v>27873.72</v>
      </c>
      <c r="DW224" s="255">
        <v>26325.18</v>
      </c>
      <c r="DX224" s="255">
        <v>27873.72</v>
      </c>
      <c r="DY224" s="255">
        <v>27873.72</v>
      </c>
      <c r="DZ224" s="255">
        <v>26325.18</v>
      </c>
      <c r="EA224" s="255">
        <v>24776.639999999999</v>
      </c>
      <c r="EB224" s="255">
        <v>29422.26</v>
      </c>
      <c r="EC224" s="255">
        <v>24776.639999999999</v>
      </c>
      <c r="ED224" s="255">
        <v>30302.720000000001</v>
      </c>
      <c r="EE224" s="255">
        <v>25518.080000000002</v>
      </c>
      <c r="EF224" s="255">
        <v>30302.720000000001</v>
      </c>
      <c r="EG224" s="255">
        <v>30302.720000000001</v>
      </c>
      <c r="EH224" s="255">
        <v>25518.080000000002</v>
      </c>
      <c r="EI224" s="255">
        <v>28707.84</v>
      </c>
      <c r="EJ224" s="255">
        <v>27112.959999999999</v>
      </c>
      <c r="EK224" s="255">
        <v>28707.84</v>
      </c>
      <c r="EL224" s="255">
        <v>168601.60000000001</v>
      </c>
      <c r="EM224" s="255">
        <v>0</v>
      </c>
      <c r="EN224" s="255">
        <v>0</v>
      </c>
      <c r="EO224" s="255">
        <v>0</v>
      </c>
      <c r="EP224" s="255">
        <v>0</v>
      </c>
      <c r="EQ224" s="255">
        <v>0</v>
      </c>
      <c r="ER224" s="255">
        <v>0</v>
      </c>
      <c r="ES224" s="255">
        <v>0</v>
      </c>
      <c r="ET224" s="255">
        <v>0</v>
      </c>
      <c r="EU224" s="255">
        <v>0</v>
      </c>
      <c r="EV224" s="255">
        <v>0</v>
      </c>
      <c r="EW224" s="255">
        <v>0</v>
      </c>
      <c r="EX224" s="255">
        <v>0</v>
      </c>
      <c r="EY224" s="255">
        <v>0</v>
      </c>
      <c r="EZ224" s="255">
        <v>0</v>
      </c>
      <c r="FA224" s="255">
        <v>0</v>
      </c>
      <c r="FB224" s="255">
        <v>0</v>
      </c>
      <c r="FC224" s="255">
        <v>0</v>
      </c>
      <c r="FD224" s="255">
        <v>0</v>
      </c>
      <c r="FE224" s="255">
        <v>0</v>
      </c>
      <c r="FF224" s="255">
        <v>0</v>
      </c>
      <c r="FG224" s="255">
        <v>0</v>
      </c>
      <c r="FH224" s="255">
        <v>0</v>
      </c>
      <c r="FI224" s="255">
        <v>0</v>
      </c>
      <c r="FJ224" s="255">
        <v>0</v>
      </c>
      <c r="FK224" s="255">
        <v>0</v>
      </c>
      <c r="FL224" s="255">
        <v>0</v>
      </c>
      <c r="FM224" s="255">
        <v>0</v>
      </c>
      <c r="FN224" s="255">
        <v>0</v>
      </c>
      <c r="FO224" s="255">
        <v>0</v>
      </c>
      <c r="FP224" s="255">
        <v>0</v>
      </c>
      <c r="FQ224" s="255">
        <v>0</v>
      </c>
      <c r="FR224" s="255">
        <v>0</v>
      </c>
      <c r="FS224" s="255">
        <v>0</v>
      </c>
      <c r="FT224" s="255">
        <v>0</v>
      </c>
      <c r="FU224" s="255">
        <v>0</v>
      </c>
      <c r="FV224" s="255">
        <v>0</v>
      </c>
      <c r="FW224" s="255">
        <v>0</v>
      </c>
      <c r="FX224" s="116"/>
    </row>
    <row r="225" spans="2:180" x14ac:dyDescent="0.2">
      <c r="B225" s="253" t="s">
        <v>214</v>
      </c>
      <c r="C225" s="253" t="s">
        <v>323</v>
      </c>
      <c r="D225" s="253" t="s">
        <v>258</v>
      </c>
      <c r="E225" s="253" t="s">
        <v>127</v>
      </c>
      <c r="F225" s="253">
        <v>0</v>
      </c>
      <c r="G225" s="253" t="s">
        <v>322</v>
      </c>
      <c r="H225" s="237">
        <v>214.83</v>
      </c>
      <c r="I225" s="126">
        <f t="shared" si="88"/>
        <v>1246967.6099999999</v>
      </c>
      <c r="J225" s="116"/>
      <c r="K225" s="254">
        <v>0</v>
      </c>
      <c r="L225" s="254">
        <v>0</v>
      </c>
      <c r="M225" s="254">
        <v>0</v>
      </c>
      <c r="N225" s="254">
        <v>0</v>
      </c>
      <c r="O225" s="254">
        <v>0</v>
      </c>
      <c r="P225" s="254">
        <v>0</v>
      </c>
      <c r="Q225" s="254">
        <v>0</v>
      </c>
      <c r="R225" s="254">
        <v>0</v>
      </c>
      <c r="S225" s="254">
        <v>0</v>
      </c>
      <c r="T225" s="254">
        <v>0</v>
      </c>
      <c r="U225" s="254">
        <v>0</v>
      </c>
      <c r="V225" s="254">
        <v>0</v>
      </c>
      <c r="W225" s="254">
        <v>0</v>
      </c>
      <c r="X225" s="254">
        <v>0</v>
      </c>
      <c r="Y225" s="254">
        <v>0</v>
      </c>
      <c r="Z225" s="254">
        <v>0</v>
      </c>
      <c r="AA225" s="254">
        <v>0</v>
      </c>
      <c r="AB225" s="254">
        <v>0</v>
      </c>
      <c r="AC225" s="254">
        <v>0</v>
      </c>
      <c r="AD225" s="254">
        <v>0.5714285714285714</v>
      </c>
      <c r="AE225" s="254">
        <v>0.72857142857142854</v>
      </c>
      <c r="AF225" s="254">
        <v>0.72857142857142854</v>
      </c>
      <c r="AG225" s="254">
        <v>0.70714285714285718</v>
      </c>
      <c r="AH225" s="254">
        <v>0.8</v>
      </c>
      <c r="AI225" s="254">
        <v>1.3428571428571427</v>
      </c>
      <c r="AJ225" s="254">
        <v>0.68571428571428572</v>
      </c>
      <c r="AK225" s="254">
        <v>0.68571428571428572</v>
      </c>
      <c r="AL225" s="254">
        <v>1</v>
      </c>
      <c r="AM225" s="254">
        <v>0.75</v>
      </c>
      <c r="AN225" s="254">
        <v>0.73026315789473684</v>
      </c>
      <c r="AO225" s="254">
        <v>0.72857142857142854</v>
      </c>
      <c r="AP225" s="254">
        <v>0.70714285714285718</v>
      </c>
      <c r="AQ225" s="254">
        <v>0.72857142857142854</v>
      </c>
      <c r="AR225" s="254">
        <v>0.72857142857142854</v>
      </c>
      <c r="AS225" s="254">
        <v>0.87857142857142856</v>
      </c>
      <c r="AT225" s="254">
        <v>0.68571428571428572</v>
      </c>
      <c r="AU225" s="254">
        <v>1.2285714285714286</v>
      </c>
      <c r="AV225" s="254">
        <v>0.68571428571428572</v>
      </c>
      <c r="AW225" s="254">
        <v>0.75</v>
      </c>
      <c r="AX225" s="254">
        <v>0.91428571428571426</v>
      </c>
      <c r="AY225" s="254">
        <v>0.84868421052631582</v>
      </c>
      <c r="AZ225" s="254">
        <v>0.84868421052631582</v>
      </c>
      <c r="BA225" s="254">
        <v>0.68571428571428572</v>
      </c>
      <c r="BB225" s="254">
        <v>0.72857142857142854</v>
      </c>
      <c r="BC225" s="254">
        <v>0.70714285714285718</v>
      </c>
      <c r="BD225" s="254">
        <v>0.72857142857142854</v>
      </c>
      <c r="BE225" s="254">
        <v>0</v>
      </c>
      <c r="BF225" s="254">
        <v>0</v>
      </c>
      <c r="BG225" s="254">
        <v>0</v>
      </c>
      <c r="BH225" s="254">
        <v>0</v>
      </c>
      <c r="BI225" s="254">
        <v>0</v>
      </c>
      <c r="BJ225" s="254">
        <v>0</v>
      </c>
      <c r="BK225" s="254">
        <v>0</v>
      </c>
      <c r="BL225" s="254">
        <v>0</v>
      </c>
      <c r="BM225" s="254">
        <v>0</v>
      </c>
      <c r="BN225" s="254">
        <v>0</v>
      </c>
      <c r="BO225" s="254">
        <v>0</v>
      </c>
      <c r="BP225" s="254">
        <v>0</v>
      </c>
      <c r="BQ225" s="254">
        <v>0</v>
      </c>
      <c r="BR225" s="254">
        <v>0</v>
      </c>
      <c r="BS225" s="254">
        <v>0</v>
      </c>
      <c r="BT225" s="254">
        <v>0</v>
      </c>
      <c r="BU225" s="254">
        <v>0</v>
      </c>
      <c r="BV225" s="254">
        <v>0</v>
      </c>
      <c r="BW225" s="254">
        <v>0</v>
      </c>
      <c r="BX225" s="254">
        <v>0</v>
      </c>
      <c r="BY225" s="254">
        <v>0</v>
      </c>
      <c r="BZ225" s="254">
        <v>0</v>
      </c>
      <c r="CA225" s="254">
        <v>0</v>
      </c>
      <c r="CB225" s="254">
        <v>0</v>
      </c>
      <c r="CC225" s="254">
        <v>0</v>
      </c>
      <c r="CD225" s="254">
        <v>0</v>
      </c>
      <c r="CE225" s="254">
        <v>0</v>
      </c>
      <c r="CF225" s="254">
        <v>0</v>
      </c>
      <c r="CG225" s="254">
        <v>0</v>
      </c>
      <c r="CH225" s="254">
        <v>0</v>
      </c>
      <c r="CI225" s="254">
        <v>0</v>
      </c>
      <c r="CJ225" s="254">
        <v>0</v>
      </c>
      <c r="CK225" s="254">
        <v>0</v>
      </c>
      <c r="CL225" s="254">
        <v>0</v>
      </c>
      <c r="CM225" s="254">
        <v>0</v>
      </c>
      <c r="CN225" s="254">
        <v>0</v>
      </c>
      <c r="CO225" s="254">
        <v>0</v>
      </c>
      <c r="CP225" s="254">
        <v>0</v>
      </c>
      <c r="CQ225" s="116"/>
      <c r="CR225" s="255">
        <v>0</v>
      </c>
      <c r="CS225" s="255">
        <v>0</v>
      </c>
      <c r="CT225" s="255">
        <v>0</v>
      </c>
      <c r="CU225" s="255">
        <v>0</v>
      </c>
      <c r="CV225" s="255">
        <v>0</v>
      </c>
      <c r="CW225" s="255">
        <v>0</v>
      </c>
      <c r="CX225" s="255">
        <v>0</v>
      </c>
      <c r="CY225" s="255">
        <v>0</v>
      </c>
      <c r="CZ225" s="255">
        <v>0</v>
      </c>
      <c r="DA225" s="255">
        <v>0</v>
      </c>
      <c r="DB225" s="255">
        <v>0</v>
      </c>
      <c r="DC225" s="255">
        <v>0</v>
      </c>
      <c r="DD225" s="255">
        <v>0</v>
      </c>
      <c r="DE225" s="255">
        <v>0</v>
      </c>
      <c r="DF225" s="255">
        <v>0</v>
      </c>
      <c r="DG225" s="255">
        <v>0</v>
      </c>
      <c r="DH225" s="255">
        <v>0</v>
      </c>
      <c r="DI225" s="255">
        <v>0</v>
      </c>
      <c r="DJ225" s="255">
        <v>0</v>
      </c>
      <c r="DK225" s="255">
        <v>34372.800000000003</v>
      </c>
      <c r="DL225" s="255">
        <v>43825.32</v>
      </c>
      <c r="DM225" s="255">
        <v>43825.32</v>
      </c>
      <c r="DN225" s="255">
        <v>42536.340000000004</v>
      </c>
      <c r="DO225" s="255">
        <v>36091.440000000002</v>
      </c>
      <c r="DP225" s="255">
        <v>60582.060000000005</v>
      </c>
      <c r="DQ225" s="255">
        <v>41247.360000000001</v>
      </c>
      <c r="DR225" s="255">
        <v>42475.199999999997</v>
      </c>
      <c r="DS225" s="255">
        <v>46457.25</v>
      </c>
      <c r="DT225" s="255">
        <v>50439.299999999996</v>
      </c>
      <c r="DU225" s="255">
        <v>49111.95</v>
      </c>
      <c r="DV225" s="255">
        <v>45129.9</v>
      </c>
      <c r="DW225" s="255">
        <v>43802.549999999996</v>
      </c>
      <c r="DX225" s="255">
        <v>45129.9</v>
      </c>
      <c r="DY225" s="255">
        <v>45129.9</v>
      </c>
      <c r="DZ225" s="255">
        <v>54421.35</v>
      </c>
      <c r="EA225" s="255">
        <v>31856.399999999998</v>
      </c>
      <c r="EB225" s="255">
        <v>57076.049999999996</v>
      </c>
      <c r="EC225" s="255">
        <v>42475.199999999997</v>
      </c>
      <c r="ED225" s="255">
        <v>47847.45</v>
      </c>
      <c r="EE225" s="255">
        <v>43746.239999999998</v>
      </c>
      <c r="EF225" s="255">
        <v>58784.01</v>
      </c>
      <c r="EG225" s="255">
        <v>58784.01</v>
      </c>
      <c r="EH225" s="255">
        <v>43746.239999999998</v>
      </c>
      <c r="EI225" s="255">
        <v>46480.38</v>
      </c>
      <c r="EJ225" s="255">
        <v>45113.31</v>
      </c>
      <c r="EK225" s="255">
        <v>46480.38</v>
      </c>
      <c r="EL225" s="255">
        <v>0</v>
      </c>
      <c r="EM225" s="255">
        <v>0</v>
      </c>
      <c r="EN225" s="255">
        <v>0</v>
      </c>
      <c r="EO225" s="255">
        <v>0</v>
      </c>
      <c r="EP225" s="255">
        <v>0</v>
      </c>
      <c r="EQ225" s="255">
        <v>0</v>
      </c>
      <c r="ER225" s="255">
        <v>0</v>
      </c>
      <c r="ES225" s="255">
        <v>0</v>
      </c>
      <c r="ET225" s="255">
        <v>0</v>
      </c>
      <c r="EU225" s="255">
        <v>0</v>
      </c>
      <c r="EV225" s="255">
        <v>0</v>
      </c>
      <c r="EW225" s="255">
        <v>0</v>
      </c>
      <c r="EX225" s="255">
        <v>0</v>
      </c>
      <c r="EY225" s="255">
        <v>0</v>
      </c>
      <c r="EZ225" s="255">
        <v>0</v>
      </c>
      <c r="FA225" s="255">
        <v>0</v>
      </c>
      <c r="FB225" s="255">
        <v>0</v>
      </c>
      <c r="FC225" s="255">
        <v>0</v>
      </c>
      <c r="FD225" s="255">
        <v>0</v>
      </c>
      <c r="FE225" s="255">
        <v>0</v>
      </c>
      <c r="FF225" s="255">
        <v>0</v>
      </c>
      <c r="FG225" s="255">
        <v>0</v>
      </c>
      <c r="FH225" s="255">
        <v>0</v>
      </c>
      <c r="FI225" s="255">
        <v>0</v>
      </c>
      <c r="FJ225" s="255">
        <v>0</v>
      </c>
      <c r="FK225" s="255">
        <v>0</v>
      </c>
      <c r="FL225" s="255">
        <v>0</v>
      </c>
      <c r="FM225" s="255">
        <v>0</v>
      </c>
      <c r="FN225" s="255">
        <v>0</v>
      </c>
      <c r="FO225" s="255">
        <v>0</v>
      </c>
      <c r="FP225" s="255">
        <v>0</v>
      </c>
      <c r="FQ225" s="255">
        <v>0</v>
      </c>
      <c r="FR225" s="255">
        <v>0</v>
      </c>
      <c r="FS225" s="255">
        <v>0</v>
      </c>
      <c r="FT225" s="255">
        <v>0</v>
      </c>
      <c r="FU225" s="255">
        <v>0</v>
      </c>
      <c r="FV225" s="255">
        <v>0</v>
      </c>
      <c r="FW225" s="255">
        <v>0</v>
      </c>
      <c r="FX225" s="116"/>
    </row>
    <row r="226" spans="2:180" x14ac:dyDescent="0.2">
      <c r="B226" s="253" t="s">
        <v>214</v>
      </c>
      <c r="C226" s="253" t="s">
        <v>336</v>
      </c>
      <c r="D226" s="253" t="s">
        <v>258</v>
      </c>
      <c r="E226" s="253" t="s">
        <v>127</v>
      </c>
      <c r="F226" s="253" t="s">
        <v>259</v>
      </c>
      <c r="G226" s="253" t="s">
        <v>260</v>
      </c>
      <c r="H226" s="237">
        <v>205.24</v>
      </c>
      <c r="I226" s="126">
        <f t="shared" si="88"/>
        <v>173092.64</v>
      </c>
      <c r="J226" s="116"/>
      <c r="K226" s="254">
        <v>0</v>
      </c>
      <c r="L226" s="254">
        <v>0</v>
      </c>
      <c r="M226" s="254">
        <v>0</v>
      </c>
      <c r="N226" s="254">
        <v>0</v>
      </c>
      <c r="O226" s="254">
        <v>0</v>
      </c>
      <c r="P226" s="254">
        <v>0</v>
      </c>
      <c r="Q226" s="254">
        <v>0</v>
      </c>
      <c r="R226" s="254">
        <v>0</v>
      </c>
      <c r="S226" s="254">
        <v>0</v>
      </c>
      <c r="T226" s="254">
        <v>0</v>
      </c>
      <c r="U226" s="254">
        <v>0</v>
      </c>
      <c r="V226" s="254">
        <v>0</v>
      </c>
      <c r="W226" s="254">
        <v>0</v>
      </c>
      <c r="X226" s="254">
        <v>0</v>
      </c>
      <c r="Y226" s="254">
        <v>0</v>
      </c>
      <c r="Z226" s="254">
        <v>0</v>
      </c>
      <c r="AA226" s="254">
        <v>0</v>
      </c>
      <c r="AB226" s="254">
        <v>0</v>
      </c>
      <c r="AC226" s="254">
        <v>0</v>
      </c>
      <c r="AD226" s="254">
        <v>0</v>
      </c>
      <c r="AE226" s="254">
        <v>0.9</v>
      </c>
      <c r="AF226" s="254">
        <v>0.9</v>
      </c>
      <c r="AG226" s="254">
        <v>0.85</v>
      </c>
      <c r="AH226" s="254">
        <v>0.8</v>
      </c>
      <c r="AI226" s="254">
        <v>1.5333333333333334</v>
      </c>
      <c r="AJ226" s="254">
        <v>0.8</v>
      </c>
      <c r="AK226" s="254">
        <v>0.8</v>
      </c>
      <c r="AL226" s="254">
        <v>0</v>
      </c>
      <c r="AM226" s="254">
        <v>0</v>
      </c>
      <c r="AN226" s="254">
        <v>0</v>
      </c>
      <c r="AO226" s="254">
        <v>0</v>
      </c>
      <c r="AP226" s="254">
        <v>0</v>
      </c>
      <c r="AQ226" s="254">
        <v>0</v>
      </c>
      <c r="AR226" s="254">
        <v>0</v>
      </c>
      <c r="AS226" s="254">
        <v>0</v>
      </c>
      <c r="AT226" s="254">
        <v>0</v>
      </c>
      <c r="AU226" s="254">
        <v>0</v>
      </c>
      <c r="AV226" s="254">
        <v>0</v>
      </c>
      <c r="AW226" s="254">
        <v>0</v>
      </c>
      <c r="AX226" s="254">
        <v>0</v>
      </c>
      <c r="AY226" s="254">
        <v>0</v>
      </c>
      <c r="AZ226" s="254">
        <v>0</v>
      </c>
      <c r="BA226" s="254">
        <v>0</v>
      </c>
      <c r="BB226" s="254">
        <v>0</v>
      </c>
      <c r="BC226" s="254">
        <v>0</v>
      </c>
      <c r="BD226" s="254">
        <v>0</v>
      </c>
      <c r="BE226" s="254">
        <v>0</v>
      </c>
      <c r="BF226" s="254">
        <v>0</v>
      </c>
      <c r="BG226" s="254">
        <v>0</v>
      </c>
      <c r="BH226" s="254">
        <v>0</v>
      </c>
      <c r="BI226" s="254">
        <v>0</v>
      </c>
      <c r="BJ226" s="254">
        <v>0</v>
      </c>
      <c r="BK226" s="254">
        <v>0</v>
      </c>
      <c r="BL226" s="254">
        <v>0</v>
      </c>
      <c r="BM226" s="254">
        <v>0</v>
      </c>
      <c r="BN226" s="254">
        <v>0</v>
      </c>
      <c r="BO226" s="254">
        <v>0</v>
      </c>
      <c r="BP226" s="254">
        <v>0</v>
      </c>
      <c r="BQ226" s="254">
        <v>0</v>
      </c>
      <c r="BR226" s="254">
        <v>0</v>
      </c>
      <c r="BS226" s="254">
        <v>0</v>
      </c>
      <c r="BT226" s="254">
        <v>0</v>
      </c>
      <c r="BU226" s="254">
        <v>0</v>
      </c>
      <c r="BV226" s="254">
        <v>0</v>
      </c>
      <c r="BW226" s="254">
        <v>0</v>
      </c>
      <c r="BX226" s="254">
        <v>0</v>
      </c>
      <c r="BY226" s="254">
        <v>0</v>
      </c>
      <c r="BZ226" s="254">
        <v>0</v>
      </c>
      <c r="CA226" s="254">
        <v>0</v>
      </c>
      <c r="CB226" s="254">
        <v>0</v>
      </c>
      <c r="CC226" s="254">
        <v>0</v>
      </c>
      <c r="CD226" s="254">
        <v>0</v>
      </c>
      <c r="CE226" s="254">
        <v>0</v>
      </c>
      <c r="CF226" s="254">
        <v>0</v>
      </c>
      <c r="CG226" s="254">
        <v>0</v>
      </c>
      <c r="CH226" s="254">
        <v>0</v>
      </c>
      <c r="CI226" s="254">
        <v>0</v>
      </c>
      <c r="CJ226" s="254">
        <v>0</v>
      </c>
      <c r="CK226" s="254">
        <v>0</v>
      </c>
      <c r="CL226" s="254">
        <v>0</v>
      </c>
      <c r="CM226" s="254">
        <v>0</v>
      </c>
      <c r="CN226" s="254">
        <v>0</v>
      </c>
      <c r="CO226" s="254">
        <v>0</v>
      </c>
      <c r="CP226" s="254">
        <v>0</v>
      </c>
      <c r="CQ226" s="116"/>
      <c r="CR226" s="255">
        <v>0</v>
      </c>
      <c r="CS226" s="255">
        <v>0</v>
      </c>
      <c r="CT226" s="255">
        <v>0</v>
      </c>
      <c r="CU226" s="255">
        <v>0</v>
      </c>
      <c r="CV226" s="255">
        <v>0</v>
      </c>
      <c r="CW226" s="255">
        <v>0</v>
      </c>
      <c r="CX226" s="255">
        <v>0</v>
      </c>
      <c r="CY226" s="255">
        <v>0</v>
      </c>
      <c r="CZ226" s="255">
        <v>0</v>
      </c>
      <c r="DA226" s="255">
        <v>0</v>
      </c>
      <c r="DB226" s="255">
        <v>0</v>
      </c>
      <c r="DC226" s="255">
        <v>0</v>
      </c>
      <c r="DD226" s="255">
        <v>0</v>
      </c>
      <c r="DE226" s="255">
        <v>0</v>
      </c>
      <c r="DF226" s="255">
        <v>0</v>
      </c>
      <c r="DG226" s="255">
        <v>0</v>
      </c>
      <c r="DH226" s="255">
        <v>0</v>
      </c>
      <c r="DI226" s="255">
        <v>0</v>
      </c>
      <c r="DJ226" s="255">
        <v>0</v>
      </c>
      <c r="DK226" s="255">
        <v>0</v>
      </c>
      <c r="DL226" s="255">
        <v>25860.240000000002</v>
      </c>
      <c r="DM226" s="255">
        <v>25860.240000000002</v>
      </c>
      <c r="DN226" s="255">
        <v>24423.56</v>
      </c>
      <c r="DO226" s="255">
        <v>17240.16</v>
      </c>
      <c r="DP226" s="255">
        <v>33043.64</v>
      </c>
      <c r="DQ226" s="255">
        <v>22986.880000000001</v>
      </c>
      <c r="DR226" s="255">
        <v>23677.919999999998</v>
      </c>
      <c r="DS226" s="255">
        <v>0</v>
      </c>
      <c r="DT226" s="255">
        <v>0</v>
      </c>
      <c r="DU226" s="255">
        <v>0</v>
      </c>
      <c r="DV226" s="255">
        <v>0</v>
      </c>
      <c r="DW226" s="255">
        <v>0</v>
      </c>
      <c r="DX226" s="255">
        <v>0</v>
      </c>
      <c r="DY226" s="255">
        <v>0</v>
      </c>
      <c r="DZ226" s="255">
        <v>0</v>
      </c>
      <c r="EA226" s="255">
        <v>0</v>
      </c>
      <c r="EB226" s="255">
        <v>0</v>
      </c>
      <c r="EC226" s="255">
        <v>0</v>
      </c>
      <c r="ED226" s="255">
        <v>0</v>
      </c>
      <c r="EE226" s="255">
        <v>0</v>
      </c>
      <c r="EF226" s="255">
        <v>0</v>
      </c>
      <c r="EG226" s="255">
        <v>0</v>
      </c>
      <c r="EH226" s="255">
        <v>0</v>
      </c>
      <c r="EI226" s="255">
        <v>0</v>
      </c>
      <c r="EJ226" s="255">
        <v>0</v>
      </c>
      <c r="EK226" s="255">
        <v>0</v>
      </c>
      <c r="EL226" s="255">
        <v>0</v>
      </c>
      <c r="EM226" s="255">
        <v>0</v>
      </c>
      <c r="EN226" s="255">
        <v>0</v>
      </c>
      <c r="EO226" s="255">
        <v>0</v>
      </c>
      <c r="EP226" s="255">
        <v>0</v>
      </c>
      <c r="EQ226" s="255">
        <v>0</v>
      </c>
      <c r="ER226" s="255">
        <v>0</v>
      </c>
      <c r="ES226" s="255">
        <v>0</v>
      </c>
      <c r="ET226" s="255">
        <v>0</v>
      </c>
      <c r="EU226" s="255">
        <v>0</v>
      </c>
      <c r="EV226" s="255">
        <v>0</v>
      </c>
      <c r="EW226" s="255">
        <v>0</v>
      </c>
      <c r="EX226" s="255">
        <v>0</v>
      </c>
      <c r="EY226" s="255">
        <v>0</v>
      </c>
      <c r="EZ226" s="255">
        <v>0</v>
      </c>
      <c r="FA226" s="255">
        <v>0</v>
      </c>
      <c r="FB226" s="255">
        <v>0</v>
      </c>
      <c r="FC226" s="255">
        <v>0</v>
      </c>
      <c r="FD226" s="255">
        <v>0</v>
      </c>
      <c r="FE226" s="255">
        <v>0</v>
      </c>
      <c r="FF226" s="255">
        <v>0</v>
      </c>
      <c r="FG226" s="255">
        <v>0</v>
      </c>
      <c r="FH226" s="255">
        <v>0</v>
      </c>
      <c r="FI226" s="255">
        <v>0</v>
      </c>
      <c r="FJ226" s="255">
        <v>0</v>
      </c>
      <c r="FK226" s="255">
        <v>0</v>
      </c>
      <c r="FL226" s="255">
        <v>0</v>
      </c>
      <c r="FM226" s="255">
        <v>0</v>
      </c>
      <c r="FN226" s="255">
        <v>0</v>
      </c>
      <c r="FO226" s="255">
        <v>0</v>
      </c>
      <c r="FP226" s="255">
        <v>0</v>
      </c>
      <c r="FQ226" s="255">
        <v>0</v>
      </c>
      <c r="FR226" s="255">
        <v>0</v>
      </c>
      <c r="FS226" s="255">
        <v>0</v>
      </c>
      <c r="FT226" s="255">
        <v>0</v>
      </c>
      <c r="FU226" s="255">
        <v>0</v>
      </c>
      <c r="FV226" s="255">
        <v>0</v>
      </c>
      <c r="FW226" s="255">
        <v>0</v>
      </c>
      <c r="FX226" s="116"/>
    </row>
    <row r="227" spans="2:180" x14ac:dyDescent="0.2">
      <c r="B227" s="253" t="s">
        <v>214</v>
      </c>
      <c r="C227" s="253" t="s">
        <v>336</v>
      </c>
      <c r="D227" s="253" t="s">
        <v>258</v>
      </c>
      <c r="E227" s="253" t="s">
        <v>127</v>
      </c>
      <c r="F227" s="253">
        <v>0</v>
      </c>
      <c r="G227" s="253" t="s">
        <v>322</v>
      </c>
      <c r="H227" s="237">
        <v>205.24</v>
      </c>
      <c r="I227" s="126">
        <f t="shared" si="88"/>
        <v>296729.28000000003</v>
      </c>
      <c r="J227" s="116"/>
      <c r="K227" s="254">
        <v>0</v>
      </c>
      <c r="L227" s="254">
        <v>0</v>
      </c>
      <c r="M227" s="254">
        <v>0</v>
      </c>
      <c r="N227" s="254">
        <v>0</v>
      </c>
      <c r="O227" s="254">
        <v>0</v>
      </c>
      <c r="P227" s="254">
        <v>0</v>
      </c>
      <c r="Q227" s="254">
        <v>0</v>
      </c>
      <c r="R227" s="254">
        <v>0</v>
      </c>
      <c r="S227" s="254">
        <v>0</v>
      </c>
      <c r="T227" s="254">
        <v>0</v>
      </c>
      <c r="U227" s="254">
        <v>0</v>
      </c>
      <c r="V227" s="254">
        <v>0</v>
      </c>
      <c r="W227" s="254">
        <v>0</v>
      </c>
      <c r="X227" s="254">
        <v>0</v>
      </c>
      <c r="Y227" s="254">
        <v>0</v>
      </c>
      <c r="Z227" s="254">
        <v>0</v>
      </c>
      <c r="AA227" s="254">
        <v>0</v>
      </c>
      <c r="AB227" s="254">
        <v>0</v>
      </c>
      <c r="AC227" s="254">
        <v>0</v>
      </c>
      <c r="AD227" s="254">
        <v>0</v>
      </c>
      <c r="AE227" s="254">
        <v>0.72857142857142854</v>
      </c>
      <c r="AF227" s="254">
        <v>0.72857142857142854</v>
      </c>
      <c r="AG227" s="254">
        <v>0.70714285714285718</v>
      </c>
      <c r="AH227" s="254">
        <v>0.8</v>
      </c>
      <c r="AI227" s="254">
        <v>1.3428571428571427</v>
      </c>
      <c r="AJ227" s="254">
        <v>0.68571428571428572</v>
      </c>
      <c r="AK227" s="254">
        <v>0.68571428571428572</v>
      </c>
      <c r="AL227" s="254">
        <v>0</v>
      </c>
      <c r="AM227" s="254">
        <v>0</v>
      </c>
      <c r="AN227" s="254">
        <v>0</v>
      </c>
      <c r="AO227" s="254">
        <v>0</v>
      </c>
      <c r="AP227" s="254">
        <v>0</v>
      </c>
      <c r="AQ227" s="254">
        <v>0</v>
      </c>
      <c r="AR227" s="254">
        <v>0</v>
      </c>
      <c r="AS227" s="254">
        <v>0</v>
      </c>
      <c r="AT227" s="254">
        <v>0</v>
      </c>
      <c r="AU227" s="254">
        <v>0</v>
      </c>
      <c r="AV227" s="254">
        <v>0</v>
      </c>
      <c r="AW227" s="254">
        <v>0</v>
      </c>
      <c r="AX227" s="254">
        <v>0</v>
      </c>
      <c r="AY227" s="254">
        <v>0</v>
      </c>
      <c r="AZ227" s="254">
        <v>0</v>
      </c>
      <c r="BA227" s="254">
        <v>0</v>
      </c>
      <c r="BB227" s="254">
        <v>0</v>
      </c>
      <c r="BC227" s="254">
        <v>0</v>
      </c>
      <c r="BD227" s="254">
        <v>0</v>
      </c>
      <c r="BE227" s="254">
        <v>0</v>
      </c>
      <c r="BF227" s="254">
        <v>0</v>
      </c>
      <c r="BG227" s="254">
        <v>0</v>
      </c>
      <c r="BH227" s="254">
        <v>0</v>
      </c>
      <c r="BI227" s="254">
        <v>0</v>
      </c>
      <c r="BJ227" s="254">
        <v>0</v>
      </c>
      <c r="BK227" s="254">
        <v>0</v>
      </c>
      <c r="BL227" s="254">
        <v>0</v>
      </c>
      <c r="BM227" s="254">
        <v>0</v>
      </c>
      <c r="BN227" s="254">
        <v>0</v>
      </c>
      <c r="BO227" s="254">
        <v>0</v>
      </c>
      <c r="BP227" s="254">
        <v>0</v>
      </c>
      <c r="BQ227" s="254">
        <v>0</v>
      </c>
      <c r="BR227" s="254">
        <v>0</v>
      </c>
      <c r="BS227" s="254">
        <v>0</v>
      </c>
      <c r="BT227" s="254">
        <v>0</v>
      </c>
      <c r="BU227" s="254">
        <v>0</v>
      </c>
      <c r="BV227" s="254">
        <v>0</v>
      </c>
      <c r="BW227" s="254">
        <v>0</v>
      </c>
      <c r="BX227" s="254">
        <v>0</v>
      </c>
      <c r="BY227" s="254">
        <v>0</v>
      </c>
      <c r="BZ227" s="254">
        <v>0</v>
      </c>
      <c r="CA227" s="254">
        <v>0</v>
      </c>
      <c r="CB227" s="254">
        <v>0</v>
      </c>
      <c r="CC227" s="254">
        <v>0</v>
      </c>
      <c r="CD227" s="254">
        <v>0</v>
      </c>
      <c r="CE227" s="254">
        <v>0</v>
      </c>
      <c r="CF227" s="254">
        <v>0</v>
      </c>
      <c r="CG227" s="254">
        <v>0</v>
      </c>
      <c r="CH227" s="254">
        <v>0</v>
      </c>
      <c r="CI227" s="254">
        <v>0</v>
      </c>
      <c r="CJ227" s="254">
        <v>0</v>
      </c>
      <c r="CK227" s="254">
        <v>0</v>
      </c>
      <c r="CL227" s="254">
        <v>0</v>
      </c>
      <c r="CM227" s="254">
        <v>0</v>
      </c>
      <c r="CN227" s="254">
        <v>0</v>
      </c>
      <c r="CO227" s="254">
        <v>0</v>
      </c>
      <c r="CP227" s="254">
        <v>0</v>
      </c>
      <c r="CQ227" s="116"/>
      <c r="CR227" s="255">
        <v>0</v>
      </c>
      <c r="CS227" s="255">
        <v>0</v>
      </c>
      <c r="CT227" s="255">
        <v>0</v>
      </c>
      <c r="CU227" s="255">
        <v>0</v>
      </c>
      <c r="CV227" s="255">
        <v>0</v>
      </c>
      <c r="CW227" s="255">
        <v>0</v>
      </c>
      <c r="CX227" s="255">
        <v>0</v>
      </c>
      <c r="CY227" s="255">
        <v>0</v>
      </c>
      <c r="CZ227" s="255">
        <v>0</v>
      </c>
      <c r="DA227" s="255">
        <v>0</v>
      </c>
      <c r="DB227" s="255">
        <v>0</v>
      </c>
      <c r="DC227" s="255">
        <v>0</v>
      </c>
      <c r="DD227" s="255">
        <v>0</v>
      </c>
      <c r="DE227" s="255">
        <v>0</v>
      </c>
      <c r="DF227" s="255">
        <v>0</v>
      </c>
      <c r="DG227" s="255">
        <v>0</v>
      </c>
      <c r="DH227" s="255">
        <v>0</v>
      </c>
      <c r="DI227" s="255">
        <v>0</v>
      </c>
      <c r="DJ227" s="255">
        <v>0</v>
      </c>
      <c r="DK227" s="255">
        <v>0</v>
      </c>
      <c r="DL227" s="255">
        <v>41868.959999999999</v>
      </c>
      <c r="DM227" s="255">
        <v>41868.959999999999</v>
      </c>
      <c r="DN227" s="255">
        <v>40637.520000000004</v>
      </c>
      <c r="DO227" s="255">
        <v>34480.32</v>
      </c>
      <c r="DP227" s="255">
        <v>57877.68</v>
      </c>
      <c r="DQ227" s="255">
        <v>39406.080000000002</v>
      </c>
      <c r="DR227" s="255">
        <v>40589.760000000002</v>
      </c>
      <c r="DS227" s="255">
        <v>0</v>
      </c>
      <c r="DT227" s="255">
        <v>0</v>
      </c>
      <c r="DU227" s="255">
        <v>0</v>
      </c>
      <c r="DV227" s="255">
        <v>0</v>
      </c>
      <c r="DW227" s="255">
        <v>0</v>
      </c>
      <c r="DX227" s="255">
        <v>0</v>
      </c>
      <c r="DY227" s="255">
        <v>0</v>
      </c>
      <c r="DZ227" s="255">
        <v>0</v>
      </c>
      <c r="EA227" s="255">
        <v>0</v>
      </c>
      <c r="EB227" s="255">
        <v>0</v>
      </c>
      <c r="EC227" s="255">
        <v>0</v>
      </c>
      <c r="ED227" s="255">
        <v>0</v>
      </c>
      <c r="EE227" s="255">
        <v>0</v>
      </c>
      <c r="EF227" s="255">
        <v>0</v>
      </c>
      <c r="EG227" s="255">
        <v>0</v>
      </c>
      <c r="EH227" s="255">
        <v>0</v>
      </c>
      <c r="EI227" s="255">
        <v>0</v>
      </c>
      <c r="EJ227" s="255">
        <v>0</v>
      </c>
      <c r="EK227" s="255">
        <v>0</v>
      </c>
      <c r="EL227" s="255">
        <v>0</v>
      </c>
      <c r="EM227" s="255">
        <v>0</v>
      </c>
      <c r="EN227" s="255">
        <v>0</v>
      </c>
      <c r="EO227" s="255">
        <v>0</v>
      </c>
      <c r="EP227" s="255">
        <v>0</v>
      </c>
      <c r="EQ227" s="255">
        <v>0</v>
      </c>
      <c r="ER227" s="255">
        <v>0</v>
      </c>
      <c r="ES227" s="255">
        <v>0</v>
      </c>
      <c r="ET227" s="255">
        <v>0</v>
      </c>
      <c r="EU227" s="255">
        <v>0</v>
      </c>
      <c r="EV227" s="255">
        <v>0</v>
      </c>
      <c r="EW227" s="255">
        <v>0</v>
      </c>
      <c r="EX227" s="255">
        <v>0</v>
      </c>
      <c r="EY227" s="255">
        <v>0</v>
      </c>
      <c r="EZ227" s="255">
        <v>0</v>
      </c>
      <c r="FA227" s="255">
        <v>0</v>
      </c>
      <c r="FB227" s="255">
        <v>0</v>
      </c>
      <c r="FC227" s="255">
        <v>0</v>
      </c>
      <c r="FD227" s="255">
        <v>0</v>
      </c>
      <c r="FE227" s="255">
        <v>0</v>
      </c>
      <c r="FF227" s="255">
        <v>0</v>
      </c>
      <c r="FG227" s="255">
        <v>0</v>
      </c>
      <c r="FH227" s="255">
        <v>0</v>
      </c>
      <c r="FI227" s="255">
        <v>0</v>
      </c>
      <c r="FJ227" s="255">
        <v>0</v>
      </c>
      <c r="FK227" s="255">
        <v>0</v>
      </c>
      <c r="FL227" s="255">
        <v>0</v>
      </c>
      <c r="FM227" s="255">
        <v>0</v>
      </c>
      <c r="FN227" s="255">
        <v>0</v>
      </c>
      <c r="FO227" s="255">
        <v>0</v>
      </c>
      <c r="FP227" s="255">
        <v>0</v>
      </c>
      <c r="FQ227" s="255">
        <v>0</v>
      </c>
      <c r="FR227" s="255">
        <v>0</v>
      </c>
      <c r="FS227" s="255">
        <v>0</v>
      </c>
      <c r="FT227" s="255">
        <v>0</v>
      </c>
      <c r="FU227" s="255">
        <v>0</v>
      </c>
      <c r="FV227" s="255">
        <v>0</v>
      </c>
      <c r="FW227" s="255">
        <v>0</v>
      </c>
      <c r="FX227" s="116"/>
    </row>
    <row r="228" spans="2:180" x14ac:dyDescent="0.2">
      <c r="B228" s="253" t="s">
        <v>214</v>
      </c>
      <c r="C228" s="253" t="s">
        <v>324</v>
      </c>
      <c r="D228" s="253" t="s">
        <v>258</v>
      </c>
      <c r="E228" s="253" t="s">
        <v>127</v>
      </c>
      <c r="F228" s="253" t="s">
        <v>259</v>
      </c>
      <c r="G228" s="253" t="s">
        <v>260</v>
      </c>
      <c r="H228" s="237">
        <v>205.24</v>
      </c>
      <c r="I228" s="126">
        <f t="shared" si="88"/>
        <v>160613.05400000006</v>
      </c>
      <c r="J228" s="116"/>
      <c r="K228" s="254">
        <v>0</v>
      </c>
      <c r="L228" s="254">
        <v>0</v>
      </c>
      <c r="M228" s="254">
        <v>0</v>
      </c>
      <c r="N228" s="254">
        <v>0</v>
      </c>
      <c r="O228" s="254">
        <v>0</v>
      </c>
      <c r="P228" s="254">
        <v>0</v>
      </c>
      <c r="Q228" s="254">
        <v>0</v>
      </c>
      <c r="R228" s="254">
        <v>0</v>
      </c>
      <c r="S228" s="254">
        <v>0</v>
      </c>
      <c r="T228" s="254">
        <v>0</v>
      </c>
      <c r="U228" s="254">
        <v>0</v>
      </c>
      <c r="V228" s="254">
        <v>0</v>
      </c>
      <c r="W228" s="254">
        <v>0</v>
      </c>
      <c r="X228" s="254">
        <v>0</v>
      </c>
      <c r="Y228" s="254">
        <v>0.1</v>
      </c>
      <c r="Z228" s="254">
        <v>0.13333333333333333</v>
      </c>
      <c r="AA228" s="254">
        <v>0.15657894736842107</v>
      </c>
      <c r="AB228" s="254">
        <v>0.16578947368421051</v>
      </c>
      <c r="AC228" s="254">
        <v>0.19</v>
      </c>
      <c r="AD228" s="254">
        <v>0.15</v>
      </c>
      <c r="AE228" s="254">
        <v>0.18</v>
      </c>
      <c r="AF228" s="254">
        <v>0.18</v>
      </c>
      <c r="AG228" s="254">
        <v>0.17</v>
      </c>
      <c r="AH228" s="254">
        <v>0.16</v>
      </c>
      <c r="AI228" s="254">
        <v>0.3066666666666667</v>
      </c>
      <c r="AJ228" s="254">
        <v>0.16</v>
      </c>
      <c r="AK228" s="254">
        <v>0.16</v>
      </c>
      <c r="AL228" s="254">
        <v>0.25333333333333335</v>
      </c>
      <c r="AM228" s="254">
        <v>0.16578947368421051</v>
      </c>
      <c r="AN228" s="254">
        <v>0.15657894736842107</v>
      </c>
      <c r="AO228" s="254">
        <v>0.18</v>
      </c>
      <c r="AP228" s="254">
        <v>0.17</v>
      </c>
      <c r="AQ228" s="254">
        <v>0.18</v>
      </c>
      <c r="AR228" s="254">
        <v>0.18</v>
      </c>
      <c r="AS228" s="254">
        <v>0.17</v>
      </c>
      <c r="AT228" s="254">
        <v>0.21333333333333332</v>
      </c>
      <c r="AU228" s="254">
        <v>0.25333333333333335</v>
      </c>
      <c r="AV228" s="254">
        <v>0.16</v>
      </c>
      <c r="AW228" s="254">
        <v>0.19</v>
      </c>
      <c r="AX228" s="254">
        <v>0.21333333333333332</v>
      </c>
      <c r="AY228" s="254">
        <v>0.17500000000000002</v>
      </c>
      <c r="AZ228" s="254">
        <v>0.17500000000000002</v>
      </c>
      <c r="BA228" s="254">
        <v>0.16</v>
      </c>
      <c r="BB228" s="254">
        <v>0.18</v>
      </c>
      <c r="BC228" s="254">
        <v>0.17</v>
      </c>
      <c r="BD228" s="254">
        <v>0.18</v>
      </c>
      <c r="BE228" s="254">
        <v>0</v>
      </c>
      <c r="BF228" s="254">
        <v>0</v>
      </c>
      <c r="BG228" s="254">
        <v>0</v>
      </c>
      <c r="BH228" s="254">
        <v>0</v>
      </c>
      <c r="BI228" s="254">
        <v>0</v>
      </c>
      <c r="BJ228" s="254">
        <v>0</v>
      </c>
      <c r="BK228" s="254">
        <v>0</v>
      </c>
      <c r="BL228" s="254">
        <v>0</v>
      </c>
      <c r="BM228" s="254">
        <v>0</v>
      </c>
      <c r="BN228" s="254">
        <v>0</v>
      </c>
      <c r="BO228" s="254">
        <v>0</v>
      </c>
      <c r="BP228" s="254">
        <v>0</v>
      </c>
      <c r="BQ228" s="254">
        <v>0</v>
      </c>
      <c r="BR228" s="254">
        <v>0</v>
      </c>
      <c r="BS228" s="254">
        <v>0</v>
      </c>
      <c r="BT228" s="254">
        <v>0</v>
      </c>
      <c r="BU228" s="254">
        <v>0</v>
      </c>
      <c r="BV228" s="254">
        <v>0</v>
      </c>
      <c r="BW228" s="254">
        <v>0</v>
      </c>
      <c r="BX228" s="254">
        <v>0</v>
      </c>
      <c r="BY228" s="254">
        <v>0</v>
      </c>
      <c r="BZ228" s="254">
        <v>0</v>
      </c>
      <c r="CA228" s="254">
        <v>0</v>
      </c>
      <c r="CB228" s="254">
        <v>0</v>
      </c>
      <c r="CC228" s="254">
        <v>0</v>
      </c>
      <c r="CD228" s="254">
        <v>0</v>
      </c>
      <c r="CE228" s="254">
        <v>0</v>
      </c>
      <c r="CF228" s="254">
        <v>0</v>
      </c>
      <c r="CG228" s="254">
        <v>0</v>
      </c>
      <c r="CH228" s="254">
        <v>0</v>
      </c>
      <c r="CI228" s="254">
        <v>0</v>
      </c>
      <c r="CJ228" s="254">
        <v>0</v>
      </c>
      <c r="CK228" s="254">
        <v>0</v>
      </c>
      <c r="CL228" s="254">
        <v>0</v>
      </c>
      <c r="CM228" s="254">
        <v>0</v>
      </c>
      <c r="CN228" s="254">
        <v>0</v>
      </c>
      <c r="CO228" s="254">
        <v>0</v>
      </c>
      <c r="CP228" s="254">
        <v>0</v>
      </c>
      <c r="CQ228" s="116"/>
      <c r="CR228" s="255">
        <v>0</v>
      </c>
      <c r="CS228" s="255">
        <v>0</v>
      </c>
      <c r="CT228" s="255">
        <v>0</v>
      </c>
      <c r="CU228" s="255">
        <v>0</v>
      </c>
      <c r="CV228" s="255">
        <v>0</v>
      </c>
      <c r="CW228" s="255">
        <v>0</v>
      </c>
      <c r="CX228" s="255">
        <v>0</v>
      </c>
      <c r="CY228" s="255">
        <v>0</v>
      </c>
      <c r="CZ228" s="255">
        <v>0</v>
      </c>
      <c r="DA228" s="255">
        <v>0</v>
      </c>
      <c r="DB228" s="255">
        <v>0</v>
      </c>
      <c r="DC228" s="255">
        <v>0</v>
      </c>
      <c r="DD228" s="255">
        <v>0</v>
      </c>
      <c r="DE228" s="255">
        <v>0</v>
      </c>
      <c r="DF228" s="255">
        <v>2873.36</v>
      </c>
      <c r="DG228" s="255">
        <v>2873.36</v>
      </c>
      <c r="DH228" s="255">
        <v>4884.7120000000004</v>
      </c>
      <c r="DI228" s="255">
        <v>5172.0479999999998</v>
      </c>
      <c r="DJ228" s="255">
        <v>5459.3840000000009</v>
      </c>
      <c r="DK228" s="255">
        <v>4310.04</v>
      </c>
      <c r="DL228" s="255">
        <v>5172.0479999999998</v>
      </c>
      <c r="DM228" s="255">
        <v>5172.0479999999998</v>
      </c>
      <c r="DN228" s="255">
        <v>4884.7120000000004</v>
      </c>
      <c r="DO228" s="255">
        <v>3448.0320000000002</v>
      </c>
      <c r="DP228" s="255">
        <v>6608.728000000001</v>
      </c>
      <c r="DQ228" s="255">
        <v>4597.3760000000002</v>
      </c>
      <c r="DR228" s="255">
        <v>4735.5839999999998</v>
      </c>
      <c r="DS228" s="255">
        <v>5623.5060000000003</v>
      </c>
      <c r="DT228" s="255">
        <v>5327.5320000000002</v>
      </c>
      <c r="DU228" s="255">
        <v>5031.558</v>
      </c>
      <c r="DV228" s="255">
        <v>5327.5320000000002</v>
      </c>
      <c r="DW228" s="255">
        <v>5031.558</v>
      </c>
      <c r="DX228" s="255">
        <v>5327.5320000000002</v>
      </c>
      <c r="DY228" s="255">
        <v>5327.5320000000002</v>
      </c>
      <c r="DZ228" s="255">
        <v>5031.558</v>
      </c>
      <c r="EA228" s="255">
        <v>4735.5839999999998</v>
      </c>
      <c r="EB228" s="255">
        <v>5623.5060000000003</v>
      </c>
      <c r="EC228" s="255">
        <v>4735.5839999999998</v>
      </c>
      <c r="ED228" s="255">
        <v>5793.4800000000005</v>
      </c>
      <c r="EE228" s="255">
        <v>4878.72</v>
      </c>
      <c r="EF228" s="255">
        <v>5793.4800000000005</v>
      </c>
      <c r="EG228" s="255">
        <v>5793.4800000000005</v>
      </c>
      <c r="EH228" s="255">
        <v>4878.72</v>
      </c>
      <c r="EI228" s="255">
        <v>5488.56</v>
      </c>
      <c r="EJ228" s="255">
        <v>5183.6400000000003</v>
      </c>
      <c r="EK228" s="255">
        <v>5488.56</v>
      </c>
      <c r="EL228" s="255">
        <v>0</v>
      </c>
      <c r="EM228" s="255">
        <v>0</v>
      </c>
      <c r="EN228" s="255">
        <v>0</v>
      </c>
      <c r="EO228" s="255">
        <v>0</v>
      </c>
      <c r="EP228" s="255">
        <v>0</v>
      </c>
      <c r="EQ228" s="255">
        <v>0</v>
      </c>
      <c r="ER228" s="255">
        <v>0</v>
      </c>
      <c r="ES228" s="255">
        <v>0</v>
      </c>
      <c r="ET228" s="255">
        <v>0</v>
      </c>
      <c r="EU228" s="255">
        <v>0</v>
      </c>
      <c r="EV228" s="255">
        <v>0</v>
      </c>
      <c r="EW228" s="255">
        <v>0</v>
      </c>
      <c r="EX228" s="255">
        <v>0</v>
      </c>
      <c r="EY228" s="255">
        <v>0</v>
      </c>
      <c r="EZ228" s="255">
        <v>0</v>
      </c>
      <c r="FA228" s="255">
        <v>0</v>
      </c>
      <c r="FB228" s="255">
        <v>0</v>
      </c>
      <c r="FC228" s="255">
        <v>0</v>
      </c>
      <c r="FD228" s="255">
        <v>0</v>
      </c>
      <c r="FE228" s="255">
        <v>0</v>
      </c>
      <c r="FF228" s="255">
        <v>0</v>
      </c>
      <c r="FG228" s="255">
        <v>0</v>
      </c>
      <c r="FH228" s="255">
        <v>0</v>
      </c>
      <c r="FI228" s="255">
        <v>0</v>
      </c>
      <c r="FJ228" s="255">
        <v>0</v>
      </c>
      <c r="FK228" s="255">
        <v>0</v>
      </c>
      <c r="FL228" s="255">
        <v>0</v>
      </c>
      <c r="FM228" s="255">
        <v>0</v>
      </c>
      <c r="FN228" s="255">
        <v>0</v>
      </c>
      <c r="FO228" s="255">
        <v>0</v>
      </c>
      <c r="FP228" s="255">
        <v>0</v>
      </c>
      <c r="FQ228" s="255">
        <v>0</v>
      </c>
      <c r="FR228" s="255">
        <v>0</v>
      </c>
      <c r="FS228" s="255">
        <v>0</v>
      </c>
      <c r="FT228" s="255">
        <v>0</v>
      </c>
      <c r="FU228" s="255">
        <v>0</v>
      </c>
      <c r="FV228" s="255">
        <v>0</v>
      </c>
      <c r="FW228" s="255">
        <v>0</v>
      </c>
      <c r="FX228" s="116"/>
    </row>
    <row r="229" spans="2:180" x14ac:dyDescent="0.2">
      <c r="B229" s="253" t="s">
        <v>214</v>
      </c>
      <c r="C229" s="253" t="s">
        <v>324</v>
      </c>
      <c r="D229" s="253" t="s">
        <v>258</v>
      </c>
      <c r="E229" s="253" t="s">
        <v>127</v>
      </c>
      <c r="F229" s="253">
        <v>0</v>
      </c>
      <c r="G229" s="253" t="s">
        <v>322</v>
      </c>
      <c r="H229" s="237">
        <v>205.24</v>
      </c>
      <c r="I229" s="126">
        <f t="shared" si="88"/>
        <v>266490.53399999999</v>
      </c>
      <c r="J229" s="116"/>
      <c r="K229" s="254">
        <v>0</v>
      </c>
      <c r="L229" s="254">
        <v>0</v>
      </c>
      <c r="M229" s="254">
        <v>0</v>
      </c>
      <c r="N229" s="254">
        <v>0</v>
      </c>
      <c r="O229" s="254">
        <v>0</v>
      </c>
      <c r="P229" s="254">
        <v>0</v>
      </c>
      <c r="Q229" s="254">
        <v>0</v>
      </c>
      <c r="R229" s="254">
        <v>0</v>
      </c>
      <c r="S229" s="254">
        <v>0</v>
      </c>
      <c r="T229" s="254">
        <v>0</v>
      </c>
      <c r="U229" s="254">
        <v>0</v>
      </c>
      <c r="V229" s="254">
        <v>0</v>
      </c>
      <c r="W229" s="254">
        <v>0</v>
      </c>
      <c r="X229" s="254">
        <v>0</v>
      </c>
      <c r="Y229" s="254">
        <v>0</v>
      </c>
      <c r="Z229" s="254">
        <v>0</v>
      </c>
      <c r="AA229" s="254">
        <v>0.13026315789473686</v>
      </c>
      <c r="AB229" s="254">
        <v>0.13421052631578947</v>
      </c>
      <c r="AC229" s="254">
        <v>0.1842857142857143</v>
      </c>
      <c r="AD229" s="254">
        <v>0.13285714285714287</v>
      </c>
      <c r="AE229" s="254">
        <v>0.14571428571428571</v>
      </c>
      <c r="AF229" s="254">
        <v>0.14571428571428571</v>
      </c>
      <c r="AG229" s="254">
        <v>0.14142857142857143</v>
      </c>
      <c r="AH229" s="254">
        <v>0.16</v>
      </c>
      <c r="AI229" s="254">
        <v>0.26857142857142857</v>
      </c>
      <c r="AJ229" s="254">
        <v>0.13714285714285715</v>
      </c>
      <c r="AK229" s="254">
        <v>0.13714285714285715</v>
      </c>
      <c r="AL229" s="254">
        <v>0.2</v>
      </c>
      <c r="AM229" s="254">
        <v>0.15</v>
      </c>
      <c r="AN229" s="254">
        <v>0.14605263157894735</v>
      </c>
      <c r="AO229" s="254">
        <v>0.14571428571428571</v>
      </c>
      <c r="AP229" s="254">
        <v>0.14142857142857143</v>
      </c>
      <c r="AQ229" s="254">
        <v>0.14571428571428571</v>
      </c>
      <c r="AR229" s="254">
        <v>0.14571428571428571</v>
      </c>
      <c r="AS229" s="254">
        <v>0.17571428571428571</v>
      </c>
      <c r="AT229" s="254">
        <v>0.13714285714285715</v>
      </c>
      <c r="AU229" s="254">
        <v>0.24571428571428572</v>
      </c>
      <c r="AV229" s="254">
        <v>0.13714285714285715</v>
      </c>
      <c r="AW229" s="254">
        <v>0.15</v>
      </c>
      <c r="AX229" s="254">
        <v>0.18285714285714286</v>
      </c>
      <c r="AY229" s="254">
        <v>0.16973684210526316</v>
      </c>
      <c r="AZ229" s="254">
        <v>0.16973684210526316</v>
      </c>
      <c r="BA229" s="254">
        <v>0.13714285714285715</v>
      </c>
      <c r="BB229" s="254">
        <v>0.14571428571428571</v>
      </c>
      <c r="BC229" s="254">
        <v>0.14142857142857143</v>
      </c>
      <c r="BD229" s="254">
        <v>0.14571428571428571</v>
      </c>
      <c r="BE229" s="254">
        <v>0</v>
      </c>
      <c r="BF229" s="254">
        <v>0</v>
      </c>
      <c r="BG229" s="254">
        <v>0</v>
      </c>
      <c r="BH229" s="254">
        <v>0</v>
      </c>
      <c r="BI229" s="254">
        <v>0</v>
      </c>
      <c r="BJ229" s="254">
        <v>0</v>
      </c>
      <c r="BK229" s="254">
        <v>0</v>
      </c>
      <c r="BL229" s="254">
        <v>0</v>
      </c>
      <c r="BM229" s="254">
        <v>0</v>
      </c>
      <c r="BN229" s="254">
        <v>0</v>
      </c>
      <c r="BO229" s="254">
        <v>0</v>
      </c>
      <c r="BP229" s="254">
        <v>0</v>
      </c>
      <c r="BQ229" s="254">
        <v>0</v>
      </c>
      <c r="BR229" s="254">
        <v>0</v>
      </c>
      <c r="BS229" s="254">
        <v>0</v>
      </c>
      <c r="BT229" s="254">
        <v>0</v>
      </c>
      <c r="BU229" s="254">
        <v>0</v>
      </c>
      <c r="BV229" s="254">
        <v>0</v>
      </c>
      <c r="BW229" s="254">
        <v>0</v>
      </c>
      <c r="BX229" s="254">
        <v>0</v>
      </c>
      <c r="BY229" s="254">
        <v>0</v>
      </c>
      <c r="BZ229" s="254">
        <v>0</v>
      </c>
      <c r="CA229" s="254">
        <v>0</v>
      </c>
      <c r="CB229" s="254">
        <v>0</v>
      </c>
      <c r="CC229" s="254">
        <v>0</v>
      </c>
      <c r="CD229" s="254">
        <v>0</v>
      </c>
      <c r="CE229" s="254">
        <v>0</v>
      </c>
      <c r="CF229" s="254">
        <v>0</v>
      </c>
      <c r="CG229" s="254">
        <v>0</v>
      </c>
      <c r="CH229" s="254">
        <v>0</v>
      </c>
      <c r="CI229" s="254">
        <v>0</v>
      </c>
      <c r="CJ229" s="254">
        <v>0</v>
      </c>
      <c r="CK229" s="254">
        <v>0</v>
      </c>
      <c r="CL229" s="254">
        <v>0</v>
      </c>
      <c r="CM229" s="254">
        <v>0</v>
      </c>
      <c r="CN229" s="254">
        <v>0</v>
      </c>
      <c r="CO229" s="254">
        <v>0</v>
      </c>
      <c r="CP229" s="254">
        <v>0</v>
      </c>
      <c r="CQ229" s="116"/>
      <c r="CR229" s="255">
        <v>0</v>
      </c>
      <c r="CS229" s="255">
        <v>0</v>
      </c>
      <c r="CT229" s="255">
        <v>0</v>
      </c>
      <c r="CU229" s="255">
        <v>0</v>
      </c>
      <c r="CV229" s="255">
        <v>0</v>
      </c>
      <c r="CW229" s="255">
        <v>0</v>
      </c>
      <c r="CX229" s="255">
        <v>0</v>
      </c>
      <c r="CY229" s="255">
        <v>0</v>
      </c>
      <c r="CZ229" s="255">
        <v>0</v>
      </c>
      <c r="DA229" s="255">
        <v>0</v>
      </c>
      <c r="DB229" s="255">
        <v>0</v>
      </c>
      <c r="DC229" s="255">
        <v>0</v>
      </c>
      <c r="DD229" s="255">
        <v>0</v>
      </c>
      <c r="DE229" s="255">
        <v>0</v>
      </c>
      <c r="DF229" s="255">
        <v>0</v>
      </c>
      <c r="DG229" s="255">
        <v>0</v>
      </c>
      <c r="DH229" s="255">
        <v>8127.5040000000008</v>
      </c>
      <c r="DI229" s="255">
        <v>8373.7919999999995</v>
      </c>
      <c r="DJ229" s="255">
        <v>10590.384</v>
      </c>
      <c r="DK229" s="255">
        <v>7634.9280000000008</v>
      </c>
      <c r="DL229" s="255">
        <v>8373.7919999999995</v>
      </c>
      <c r="DM229" s="255">
        <v>8373.7919999999995</v>
      </c>
      <c r="DN229" s="255">
        <v>8127.5040000000008</v>
      </c>
      <c r="DO229" s="255">
        <v>6896.0640000000003</v>
      </c>
      <c r="DP229" s="255">
        <v>11575.536</v>
      </c>
      <c r="DQ229" s="255">
        <v>7881.2160000000003</v>
      </c>
      <c r="DR229" s="255">
        <v>8117.9519999999993</v>
      </c>
      <c r="DS229" s="255">
        <v>8879.01</v>
      </c>
      <c r="DT229" s="255">
        <v>9640.0680000000011</v>
      </c>
      <c r="DU229" s="255">
        <v>9386.3819999999996</v>
      </c>
      <c r="DV229" s="255">
        <v>8625.3239999999987</v>
      </c>
      <c r="DW229" s="255">
        <v>8371.6380000000008</v>
      </c>
      <c r="DX229" s="255">
        <v>8625.3239999999987</v>
      </c>
      <c r="DY229" s="255">
        <v>8625.3239999999987</v>
      </c>
      <c r="DZ229" s="255">
        <v>10401.126</v>
      </c>
      <c r="EA229" s="255">
        <v>6088.4639999999999</v>
      </c>
      <c r="EB229" s="255">
        <v>10908.498</v>
      </c>
      <c r="EC229" s="255">
        <v>8117.9519999999993</v>
      </c>
      <c r="ED229" s="255">
        <v>9147.6</v>
      </c>
      <c r="EE229" s="255">
        <v>8363.52</v>
      </c>
      <c r="EF229" s="255">
        <v>11238.480000000001</v>
      </c>
      <c r="EG229" s="255">
        <v>11238.480000000001</v>
      </c>
      <c r="EH229" s="255">
        <v>8363.52</v>
      </c>
      <c r="EI229" s="255">
        <v>8886.24</v>
      </c>
      <c r="EJ229" s="255">
        <v>8624.880000000001</v>
      </c>
      <c r="EK229" s="255">
        <v>8886.24</v>
      </c>
      <c r="EL229" s="255">
        <v>0</v>
      </c>
      <c r="EM229" s="255">
        <v>0</v>
      </c>
      <c r="EN229" s="255">
        <v>0</v>
      </c>
      <c r="EO229" s="255">
        <v>0</v>
      </c>
      <c r="EP229" s="255">
        <v>0</v>
      </c>
      <c r="EQ229" s="255">
        <v>0</v>
      </c>
      <c r="ER229" s="255">
        <v>0</v>
      </c>
      <c r="ES229" s="255">
        <v>0</v>
      </c>
      <c r="ET229" s="255">
        <v>0</v>
      </c>
      <c r="EU229" s="255">
        <v>0</v>
      </c>
      <c r="EV229" s="255">
        <v>0</v>
      </c>
      <c r="EW229" s="255">
        <v>0</v>
      </c>
      <c r="EX229" s="255">
        <v>0</v>
      </c>
      <c r="EY229" s="255">
        <v>0</v>
      </c>
      <c r="EZ229" s="255">
        <v>0</v>
      </c>
      <c r="FA229" s="255">
        <v>0</v>
      </c>
      <c r="FB229" s="255">
        <v>0</v>
      </c>
      <c r="FC229" s="255">
        <v>0</v>
      </c>
      <c r="FD229" s="255">
        <v>0</v>
      </c>
      <c r="FE229" s="255">
        <v>0</v>
      </c>
      <c r="FF229" s="255">
        <v>0</v>
      </c>
      <c r="FG229" s="255">
        <v>0</v>
      </c>
      <c r="FH229" s="255">
        <v>0</v>
      </c>
      <c r="FI229" s="255">
        <v>0</v>
      </c>
      <c r="FJ229" s="255">
        <v>0</v>
      </c>
      <c r="FK229" s="255">
        <v>0</v>
      </c>
      <c r="FL229" s="255">
        <v>0</v>
      </c>
      <c r="FM229" s="255">
        <v>0</v>
      </c>
      <c r="FN229" s="255">
        <v>0</v>
      </c>
      <c r="FO229" s="255">
        <v>0</v>
      </c>
      <c r="FP229" s="255">
        <v>0</v>
      </c>
      <c r="FQ229" s="255">
        <v>0</v>
      </c>
      <c r="FR229" s="255">
        <v>0</v>
      </c>
      <c r="FS229" s="255">
        <v>0</v>
      </c>
      <c r="FT229" s="255">
        <v>0</v>
      </c>
      <c r="FU229" s="255">
        <v>0</v>
      </c>
      <c r="FV229" s="255">
        <v>0</v>
      </c>
      <c r="FW229" s="255">
        <v>0</v>
      </c>
      <c r="FX229" s="116"/>
    </row>
    <row r="230" spans="2:180" x14ac:dyDescent="0.2">
      <c r="B230" s="253" t="s">
        <v>214</v>
      </c>
      <c r="C230" s="253" t="s">
        <v>324</v>
      </c>
      <c r="D230" s="253" t="s">
        <v>258</v>
      </c>
      <c r="E230" s="253" t="s">
        <v>127</v>
      </c>
      <c r="F230" s="253" t="s">
        <v>259</v>
      </c>
      <c r="G230" s="253" t="s">
        <v>260</v>
      </c>
      <c r="H230" s="237">
        <v>205.24</v>
      </c>
      <c r="I230" s="126">
        <f t="shared" si="88"/>
        <v>387165.83499999996</v>
      </c>
      <c r="J230" s="116"/>
      <c r="K230" s="254">
        <v>0</v>
      </c>
      <c r="L230" s="254">
        <v>0</v>
      </c>
      <c r="M230" s="254">
        <v>0</v>
      </c>
      <c r="N230" s="254">
        <v>0</v>
      </c>
      <c r="O230" s="254">
        <v>0</v>
      </c>
      <c r="P230" s="254">
        <v>0</v>
      </c>
      <c r="Q230" s="254">
        <v>0</v>
      </c>
      <c r="R230" s="254">
        <v>0</v>
      </c>
      <c r="S230" s="254">
        <v>0</v>
      </c>
      <c r="T230" s="254">
        <v>0</v>
      </c>
      <c r="U230" s="254">
        <v>0</v>
      </c>
      <c r="V230" s="254">
        <v>0</v>
      </c>
      <c r="W230" s="254">
        <v>0</v>
      </c>
      <c r="X230" s="254">
        <v>0</v>
      </c>
      <c r="Y230" s="254">
        <v>0</v>
      </c>
      <c r="Z230" s="254">
        <v>0</v>
      </c>
      <c r="AA230" s="254">
        <v>0.39144736842105265</v>
      </c>
      <c r="AB230" s="254">
        <v>0.41447368421052633</v>
      </c>
      <c r="AC230" s="254">
        <v>0.47499999999999998</v>
      </c>
      <c r="AD230" s="254">
        <v>0.375</v>
      </c>
      <c r="AE230" s="254">
        <v>0.45</v>
      </c>
      <c r="AF230" s="254">
        <v>0.45</v>
      </c>
      <c r="AG230" s="254">
        <v>0.42499999999999999</v>
      </c>
      <c r="AH230" s="254">
        <v>0.4</v>
      </c>
      <c r="AI230" s="254">
        <v>0.76666666666666672</v>
      </c>
      <c r="AJ230" s="254">
        <v>0.4</v>
      </c>
      <c r="AK230" s="254">
        <v>0.4</v>
      </c>
      <c r="AL230" s="254">
        <v>0.6333333333333333</v>
      </c>
      <c r="AM230" s="254">
        <v>0.41447368421052633</v>
      </c>
      <c r="AN230" s="254">
        <v>0.39144736842105265</v>
      </c>
      <c r="AO230" s="254">
        <v>0.45</v>
      </c>
      <c r="AP230" s="254">
        <v>0.42499999999999999</v>
      </c>
      <c r="AQ230" s="254">
        <v>0.45</v>
      </c>
      <c r="AR230" s="254">
        <v>0.45</v>
      </c>
      <c r="AS230" s="254">
        <v>0.42499999999999999</v>
      </c>
      <c r="AT230" s="254">
        <v>0.53333333333333333</v>
      </c>
      <c r="AU230" s="254">
        <v>0.6333333333333333</v>
      </c>
      <c r="AV230" s="254">
        <v>0.4</v>
      </c>
      <c r="AW230" s="254">
        <v>0.47499999999999998</v>
      </c>
      <c r="AX230" s="254">
        <v>0.53333333333333333</v>
      </c>
      <c r="AY230" s="254">
        <v>0.4375</v>
      </c>
      <c r="AZ230" s="254">
        <v>0.4375</v>
      </c>
      <c r="BA230" s="254">
        <v>0.4</v>
      </c>
      <c r="BB230" s="254">
        <v>0.45</v>
      </c>
      <c r="BC230" s="254">
        <v>0.42499999999999999</v>
      </c>
      <c r="BD230" s="254">
        <v>0.45</v>
      </c>
      <c r="BE230" s="254">
        <v>0</v>
      </c>
      <c r="BF230" s="254">
        <v>0</v>
      </c>
      <c r="BG230" s="254">
        <v>0</v>
      </c>
      <c r="BH230" s="254">
        <v>0</v>
      </c>
      <c r="BI230" s="254">
        <v>0</v>
      </c>
      <c r="BJ230" s="254">
        <v>0</v>
      </c>
      <c r="BK230" s="254">
        <v>0</v>
      </c>
      <c r="BL230" s="254">
        <v>0</v>
      </c>
      <c r="BM230" s="254">
        <v>0</v>
      </c>
      <c r="BN230" s="254">
        <v>0</v>
      </c>
      <c r="BO230" s="254">
        <v>0</v>
      </c>
      <c r="BP230" s="254">
        <v>0</v>
      </c>
      <c r="BQ230" s="254">
        <v>0</v>
      </c>
      <c r="BR230" s="254">
        <v>0</v>
      </c>
      <c r="BS230" s="254">
        <v>0</v>
      </c>
      <c r="BT230" s="254">
        <v>0</v>
      </c>
      <c r="BU230" s="254">
        <v>0</v>
      </c>
      <c r="BV230" s="254">
        <v>0</v>
      </c>
      <c r="BW230" s="254">
        <v>0</v>
      </c>
      <c r="BX230" s="254">
        <v>0</v>
      </c>
      <c r="BY230" s="254">
        <v>0</v>
      </c>
      <c r="BZ230" s="254">
        <v>0</v>
      </c>
      <c r="CA230" s="254">
        <v>0</v>
      </c>
      <c r="CB230" s="254">
        <v>0</v>
      </c>
      <c r="CC230" s="254">
        <v>0</v>
      </c>
      <c r="CD230" s="254">
        <v>0</v>
      </c>
      <c r="CE230" s="254">
        <v>0</v>
      </c>
      <c r="CF230" s="254">
        <v>0</v>
      </c>
      <c r="CG230" s="254">
        <v>0</v>
      </c>
      <c r="CH230" s="254">
        <v>0</v>
      </c>
      <c r="CI230" s="254">
        <v>0</v>
      </c>
      <c r="CJ230" s="254">
        <v>0</v>
      </c>
      <c r="CK230" s="254">
        <v>0</v>
      </c>
      <c r="CL230" s="254">
        <v>0</v>
      </c>
      <c r="CM230" s="254">
        <v>0</v>
      </c>
      <c r="CN230" s="254">
        <v>0</v>
      </c>
      <c r="CO230" s="254">
        <v>0</v>
      </c>
      <c r="CP230" s="254">
        <v>0</v>
      </c>
      <c r="CQ230" s="116"/>
      <c r="CR230" s="255">
        <v>0</v>
      </c>
      <c r="CS230" s="255">
        <v>0</v>
      </c>
      <c r="CT230" s="255">
        <v>0</v>
      </c>
      <c r="CU230" s="255">
        <v>0</v>
      </c>
      <c r="CV230" s="255">
        <v>0</v>
      </c>
      <c r="CW230" s="255">
        <v>0</v>
      </c>
      <c r="CX230" s="255">
        <v>0</v>
      </c>
      <c r="CY230" s="255">
        <v>0</v>
      </c>
      <c r="CZ230" s="255">
        <v>0</v>
      </c>
      <c r="DA230" s="255">
        <v>0</v>
      </c>
      <c r="DB230" s="255">
        <v>0</v>
      </c>
      <c r="DC230" s="255">
        <v>0</v>
      </c>
      <c r="DD230" s="255">
        <v>0</v>
      </c>
      <c r="DE230" s="255">
        <v>0</v>
      </c>
      <c r="DF230" s="255">
        <v>0</v>
      </c>
      <c r="DG230" s="255">
        <v>0</v>
      </c>
      <c r="DH230" s="255">
        <v>12211.78</v>
      </c>
      <c r="DI230" s="255">
        <v>12930.12</v>
      </c>
      <c r="DJ230" s="255">
        <v>13648.460000000001</v>
      </c>
      <c r="DK230" s="255">
        <v>10775.1</v>
      </c>
      <c r="DL230" s="255">
        <v>12930.12</v>
      </c>
      <c r="DM230" s="255">
        <v>12930.12</v>
      </c>
      <c r="DN230" s="255">
        <v>12211.78</v>
      </c>
      <c r="DO230" s="255">
        <v>8620.08</v>
      </c>
      <c r="DP230" s="255">
        <v>16521.82</v>
      </c>
      <c r="DQ230" s="255">
        <v>11493.44</v>
      </c>
      <c r="DR230" s="255">
        <v>11838.96</v>
      </c>
      <c r="DS230" s="255">
        <v>14058.764999999999</v>
      </c>
      <c r="DT230" s="255">
        <v>13318.83</v>
      </c>
      <c r="DU230" s="255">
        <v>12578.895</v>
      </c>
      <c r="DV230" s="255">
        <v>13318.83</v>
      </c>
      <c r="DW230" s="255">
        <v>12578.895</v>
      </c>
      <c r="DX230" s="255">
        <v>13318.83</v>
      </c>
      <c r="DY230" s="255">
        <v>13318.83</v>
      </c>
      <c r="DZ230" s="255">
        <v>12578.895</v>
      </c>
      <c r="EA230" s="255">
        <v>11838.96</v>
      </c>
      <c r="EB230" s="255">
        <v>14058.764999999999</v>
      </c>
      <c r="EC230" s="255">
        <v>11838.96</v>
      </c>
      <c r="ED230" s="255">
        <v>14483.7</v>
      </c>
      <c r="EE230" s="255">
        <v>12196.800000000001</v>
      </c>
      <c r="EF230" s="255">
        <v>14483.7</v>
      </c>
      <c r="EG230" s="255">
        <v>14483.7</v>
      </c>
      <c r="EH230" s="255">
        <v>12196.800000000001</v>
      </c>
      <c r="EI230" s="255">
        <v>13721.400000000001</v>
      </c>
      <c r="EJ230" s="255">
        <v>12959.1</v>
      </c>
      <c r="EK230" s="255">
        <v>13721.400000000001</v>
      </c>
      <c r="EL230" s="255">
        <v>0</v>
      </c>
      <c r="EM230" s="255">
        <v>0</v>
      </c>
      <c r="EN230" s="255">
        <v>0</v>
      </c>
      <c r="EO230" s="255">
        <v>0</v>
      </c>
      <c r="EP230" s="255">
        <v>0</v>
      </c>
      <c r="EQ230" s="255">
        <v>0</v>
      </c>
      <c r="ER230" s="255">
        <v>0</v>
      </c>
      <c r="ES230" s="255">
        <v>0</v>
      </c>
      <c r="ET230" s="255">
        <v>0</v>
      </c>
      <c r="EU230" s="255">
        <v>0</v>
      </c>
      <c r="EV230" s="255">
        <v>0</v>
      </c>
      <c r="EW230" s="255">
        <v>0</v>
      </c>
      <c r="EX230" s="255">
        <v>0</v>
      </c>
      <c r="EY230" s="255">
        <v>0</v>
      </c>
      <c r="EZ230" s="255">
        <v>0</v>
      </c>
      <c r="FA230" s="255">
        <v>0</v>
      </c>
      <c r="FB230" s="255">
        <v>0</v>
      </c>
      <c r="FC230" s="255">
        <v>0</v>
      </c>
      <c r="FD230" s="255">
        <v>0</v>
      </c>
      <c r="FE230" s="255">
        <v>0</v>
      </c>
      <c r="FF230" s="255">
        <v>0</v>
      </c>
      <c r="FG230" s="255">
        <v>0</v>
      </c>
      <c r="FH230" s="255">
        <v>0</v>
      </c>
      <c r="FI230" s="255">
        <v>0</v>
      </c>
      <c r="FJ230" s="255">
        <v>0</v>
      </c>
      <c r="FK230" s="255">
        <v>0</v>
      </c>
      <c r="FL230" s="255">
        <v>0</v>
      </c>
      <c r="FM230" s="255">
        <v>0</v>
      </c>
      <c r="FN230" s="255">
        <v>0</v>
      </c>
      <c r="FO230" s="255">
        <v>0</v>
      </c>
      <c r="FP230" s="255">
        <v>0</v>
      </c>
      <c r="FQ230" s="255">
        <v>0</v>
      </c>
      <c r="FR230" s="255">
        <v>0</v>
      </c>
      <c r="FS230" s="255">
        <v>0</v>
      </c>
      <c r="FT230" s="255">
        <v>0</v>
      </c>
      <c r="FU230" s="255">
        <v>0</v>
      </c>
      <c r="FV230" s="255">
        <v>0</v>
      </c>
      <c r="FW230" s="255">
        <v>0</v>
      </c>
      <c r="FX230" s="116"/>
    </row>
    <row r="231" spans="2:180" x14ac:dyDescent="0.2">
      <c r="B231" s="253" t="s">
        <v>214</v>
      </c>
      <c r="C231" s="253" t="s">
        <v>324</v>
      </c>
      <c r="D231" s="253" t="s">
        <v>258</v>
      </c>
      <c r="E231" s="253" t="s">
        <v>127</v>
      </c>
      <c r="F231" s="253">
        <v>0</v>
      </c>
      <c r="G231" s="253" t="s">
        <v>322</v>
      </c>
      <c r="H231" s="237">
        <v>205.24</v>
      </c>
      <c r="I231" s="126">
        <f t="shared" si="88"/>
        <v>666226.33499999996</v>
      </c>
      <c r="J231" s="116"/>
      <c r="K231" s="254">
        <v>0</v>
      </c>
      <c r="L231" s="254">
        <v>0</v>
      </c>
      <c r="M231" s="254">
        <v>0</v>
      </c>
      <c r="N231" s="254">
        <v>0</v>
      </c>
      <c r="O231" s="254">
        <v>0</v>
      </c>
      <c r="P231" s="254">
        <v>0</v>
      </c>
      <c r="Q231" s="254">
        <v>0</v>
      </c>
      <c r="R231" s="254">
        <v>0</v>
      </c>
      <c r="S231" s="254">
        <v>0</v>
      </c>
      <c r="T231" s="254">
        <v>0</v>
      </c>
      <c r="U231" s="254">
        <v>0</v>
      </c>
      <c r="V231" s="254">
        <v>0</v>
      </c>
      <c r="W231" s="254">
        <v>0</v>
      </c>
      <c r="X231" s="254">
        <v>0</v>
      </c>
      <c r="Y231" s="254">
        <v>0</v>
      </c>
      <c r="Z231" s="254">
        <v>0</v>
      </c>
      <c r="AA231" s="254">
        <v>0.32565789473684209</v>
      </c>
      <c r="AB231" s="254">
        <v>0.33552631578947367</v>
      </c>
      <c r="AC231" s="254">
        <v>0.46071428571428569</v>
      </c>
      <c r="AD231" s="254">
        <v>0.33214285714285713</v>
      </c>
      <c r="AE231" s="254">
        <v>0.36428571428571427</v>
      </c>
      <c r="AF231" s="254">
        <v>0.36428571428571427</v>
      </c>
      <c r="AG231" s="254">
        <v>0.35357142857142859</v>
      </c>
      <c r="AH231" s="254">
        <v>0.4</v>
      </c>
      <c r="AI231" s="254">
        <v>0.67142857142857137</v>
      </c>
      <c r="AJ231" s="254">
        <v>0.34285714285714286</v>
      </c>
      <c r="AK231" s="254">
        <v>0.34285714285714286</v>
      </c>
      <c r="AL231" s="254">
        <v>0.5</v>
      </c>
      <c r="AM231" s="254">
        <v>0.375</v>
      </c>
      <c r="AN231" s="254">
        <v>0.36513157894736842</v>
      </c>
      <c r="AO231" s="254">
        <v>0.36428571428571427</v>
      </c>
      <c r="AP231" s="254">
        <v>0.35357142857142859</v>
      </c>
      <c r="AQ231" s="254">
        <v>0.36428571428571427</v>
      </c>
      <c r="AR231" s="254">
        <v>0.36428571428571427</v>
      </c>
      <c r="AS231" s="254">
        <v>0.43928571428571428</v>
      </c>
      <c r="AT231" s="254">
        <v>0.34285714285714286</v>
      </c>
      <c r="AU231" s="254">
        <v>0.61428571428571432</v>
      </c>
      <c r="AV231" s="254">
        <v>0.34285714285714286</v>
      </c>
      <c r="AW231" s="254">
        <v>0.375</v>
      </c>
      <c r="AX231" s="254">
        <v>0.45714285714285713</v>
      </c>
      <c r="AY231" s="254">
        <v>0.42434210526315791</v>
      </c>
      <c r="AZ231" s="254">
        <v>0.42434210526315791</v>
      </c>
      <c r="BA231" s="254">
        <v>0.34285714285714286</v>
      </c>
      <c r="BB231" s="254">
        <v>0.36428571428571427</v>
      </c>
      <c r="BC231" s="254">
        <v>0.35357142857142859</v>
      </c>
      <c r="BD231" s="254">
        <v>0.36428571428571427</v>
      </c>
      <c r="BE231" s="254">
        <v>0</v>
      </c>
      <c r="BF231" s="254">
        <v>0</v>
      </c>
      <c r="BG231" s="254">
        <v>0</v>
      </c>
      <c r="BH231" s="254">
        <v>0</v>
      </c>
      <c r="BI231" s="254">
        <v>0</v>
      </c>
      <c r="BJ231" s="254">
        <v>0</v>
      </c>
      <c r="BK231" s="254">
        <v>0</v>
      </c>
      <c r="BL231" s="254">
        <v>0</v>
      </c>
      <c r="BM231" s="254">
        <v>0</v>
      </c>
      <c r="BN231" s="254">
        <v>0</v>
      </c>
      <c r="BO231" s="254">
        <v>0</v>
      </c>
      <c r="BP231" s="254">
        <v>0</v>
      </c>
      <c r="BQ231" s="254">
        <v>0</v>
      </c>
      <c r="BR231" s="254">
        <v>0</v>
      </c>
      <c r="BS231" s="254">
        <v>0</v>
      </c>
      <c r="BT231" s="254">
        <v>0</v>
      </c>
      <c r="BU231" s="254">
        <v>0</v>
      </c>
      <c r="BV231" s="254">
        <v>0</v>
      </c>
      <c r="BW231" s="254">
        <v>0</v>
      </c>
      <c r="BX231" s="254">
        <v>0</v>
      </c>
      <c r="BY231" s="254">
        <v>0</v>
      </c>
      <c r="BZ231" s="254">
        <v>0</v>
      </c>
      <c r="CA231" s="254">
        <v>0</v>
      </c>
      <c r="CB231" s="254">
        <v>0</v>
      </c>
      <c r="CC231" s="254">
        <v>0</v>
      </c>
      <c r="CD231" s="254">
        <v>0</v>
      </c>
      <c r="CE231" s="254">
        <v>0</v>
      </c>
      <c r="CF231" s="254">
        <v>0</v>
      </c>
      <c r="CG231" s="254">
        <v>0</v>
      </c>
      <c r="CH231" s="254">
        <v>0</v>
      </c>
      <c r="CI231" s="254">
        <v>0</v>
      </c>
      <c r="CJ231" s="254">
        <v>0</v>
      </c>
      <c r="CK231" s="254">
        <v>0</v>
      </c>
      <c r="CL231" s="254">
        <v>0</v>
      </c>
      <c r="CM231" s="254">
        <v>0</v>
      </c>
      <c r="CN231" s="254">
        <v>0</v>
      </c>
      <c r="CO231" s="254">
        <v>0</v>
      </c>
      <c r="CP231" s="254">
        <v>0</v>
      </c>
      <c r="CQ231" s="116"/>
      <c r="CR231" s="255">
        <v>0</v>
      </c>
      <c r="CS231" s="255">
        <v>0</v>
      </c>
      <c r="CT231" s="255">
        <v>0</v>
      </c>
      <c r="CU231" s="255">
        <v>0</v>
      </c>
      <c r="CV231" s="255">
        <v>0</v>
      </c>
      <c r="CW231" s="255">
        <v>0</v>
      </c>
      <c r="CX231" s="255">
        <v>0</v>
      </c>
      <c r="CY231" s="255">
        <v>0</v>
      </c>
      <c r="CZ231" s="255">
        <v>0</v>
      </c>
      <c r="DA231" s="255">
        <v>0</v>
      </c>
      <c r="DB231" s="255">
        <v>0</v>
      </c>
      <c r="DC231" s="255">
        <v>0</v>
      </c>
      <c r="DD231" s="255">
        <v>0</v>
      </c>
      <c r="DE231" s="255">
        <v>0</v>
      </c>
      <c r="DF231" s="255">
        <v>0</v>
      </c>
      <c r="DG231" s="255">
        <v>0</v>
      </c>
      <c r="DH231" s="255">
        <v>20318.760000000002</v>
      </c>
      <c r="DI231" s="255">
        <v>20934.48</v>
      </c>
      <c r="DJ231" s="255">
        <v>26475.960000000003</v>
      </c>
      <c r="DK231" s="255">
        <v>19087.32</v>
      </c>
      <c r="DL231" s="255">
        <v>20934.48</v>
      </c>
      <c r="DM231" s="255">
        <v>20934.48</v>
      </c>
      <c r="DN231" s="255">
        <v>20318.760000000002</v>
      </c>
      <c r="DO231" s="255">
        <v>17240.16</v>
      </c>
      <c r="DP231" s="255">
        <v>28938.84</v>
      </c>
      <c r="DQ231" s="255">
        <v>19703.04</v>
      </c>
      <c r="DR231" s="255">
        <v>20294.88</v>
      </c>
      <c r="DS231" s="255">
        <v>22197.525000000001</v>
      </c>
      <c r="DT231" s="255">
        <v>24100.170000000002</v>
      </c>
      <c r="DU231" s="255">
        <v>23465.955000000002</v>
      </c>
      <c r="DV231" s="255">
        <v>21563.31</v>
      </c>
      <c r="DW231" s="255">
        <v>20929.095000000001</v>
      </c>
      <c r="DX231" s="255">
        <v>21563.31</v>
      </c>
      <c r="DY231" s="255">
        <v>21563.31</v>
      </c>
      <c r="DZ231" s="255">
        <v>26002.814999999999</v>
      </c>
      <c r="EA231" s="255">
        <v>15221.16</v>
      </c>
      <c r="EB231" s="255">
        <v>27271.244999999999</v>
      </c>
      <c r="EC231" s="255">
        <v>20294.88</v>
      </c>
      <c r="ED231" s="255">
        <v>22869</v>
      </c>
      <c r="EE231" s="255">
        <v>20908.800000000003</v>
      </c>
      <c r="EF231" s="255">
        <v>28096.2</v>
      </c>
      <c r="EG231" s="255">
        <v>28096.2</v>
      </c>
      <c r="EH231" s="255">
        <v>20908.800000000003</v>
      </c>
      <c r="EI231" s="255">
        <v>22215.600000000002</v>
      </c>
      <c r="EJ231" s="255">
        <v>21562.2</v>
      </c>
      <c r="EK231" s="255">
        <v>22215.600000000002</v>
      </c>
      <c r="EL231" s="255">
        <v>0</v>
      </c>
      <c r="EM231" s="255">
        <v>0</v>
      </c>
      <c r="EN231" s="255">
        <v>0</v>
      </c>
      <c r="EO231" s="255">
        <v>0</v>
      </c>
      <c r="EP231" s="255">
        <v>0</v>
      </c>
      <c r="EQ231" s="255">
        <v>0</v>
      </c>
      <c r="ER231" s="255">
        <v>0</v>
      </c>
      <c r="ES231" s="255">
        <v>0</v>
      </c>
      <c r="ET231" s="255">
        <v>0</v>
      </c>
      <c r="EU231" s="255">
        <v>0</v>
      </c>
      <c r="EV231" s="255">
        <v>0</v>
      </c>
      <c r="EW231" s="255">
        <v>0</v>
      </c>
      <c r="EX231" s="255">
        <v>0</v>
      </c>
      <c r="EY231" s="255">
        <v>0</v>
      </c>
      <c r="EZ231" s="255">
        <v>0</v>
      </c>
      <c r="FA231" s="255">
        <v>0</v>
      </c>
      <c r="FB231" s="255">
        <v>0</v>
      </c>
      <c r="FC231" s="255">
        <v>0</v>
      </c>
      <c r="FD231" s="255">
        <v>0</v>
      </c>
      <c r="FE231" s="255">
        <v>0</v>
      </c>
      <c r="FF231" s="255">
        <v>0</v>
      </c>
      <c r="FG231" s="255">
        <v>0</v>
      </c>
      <c r="FH231" s="255">
        <v>0</v>
      </c>
      <c r="FI231" s="255">
        <v>0</v>
      </c>
      <c r="FJ231" s="255">
        <v>0</v>
      </c>
      <c r="FK231" s="255">
        <v>0</v>
      </c>
      <c r="FL231" s="255">
        <v>0</v>
      </c>
      <c r="FM231" s="255">
        <v>0</v>
      </c>
      <c r="FN231" s="255">
        <v>0</v>
      </c>
      <c r="FO231" s="255">
        <v>0</v>
      </c>
      <c r="FP231" s="255">
        <v>0</v>
      </c>
      <c r="FQ231" s="255">
        <v>0</v>
      </c>
      <c r="FR231" s="255">
        <v>0</v>
      </c>
      <c r="FS231" s="255">
        <v>0</v>
      </c>
      <c r="FT231" s="255">
        <v>0</v>
      </c>
      <c r="FU231" s="255">
        <v>0</v>
      </c>
      <c r="FV231" s="255">
        <v>0</v>
      </c>
      <c r="FW231" s="255">
        <v>0</v>
      </c>
      <c r="FX231" s="116"/>
    </row>
    <row r="232" spans="2:180" x14ac:dyDescent="0.2">
      <c r="B232" s="253" t="s">
        <v>231</v>
      </c>
      <c r="C232" s="253" t="s">
        <v>301</v>
      </c>
      <c r="D232" s="253" t="s">
        <v>258</v>
      </c>
      <c r="E232" s="253" t="s">
        <v>127</v>
      </c>
      <c r="F232" s="253" t="s">
        <v>263</v>
      </c>
      <c r="G232" s="253" t="s">
        <v>260</v>
      </c>
      <c r="H232" s="237">
        <v>210.04</v>
      </c>
      <c r="I232" s="126">
        <f t="shared" si="88"/>
        <v>164376.84200000003</v>
      </c>
      <c r="J232" s="116"/>
      <c r="K232" s="254">
        <v>0</v>
      </c>
      <c r="L232" s="254">
        <v>0</v>
      </c>
      <c r="M232" s="254">
        <v>0</v>
      </c>
      <c r="N232" s="254">
        <v>0</v>
      </c>
      <c r="O232" s="254">
        <v>0</v>
      </c>
      <c r="P232" s="254">
        <v>0</v>
      </c>
      <c r="Q232" s="254">
        <v>0</v>
      </c>
      <c r="R232" s="254">
        <v>0</v>
      </c>
      <c r="S232" s="254">
        <v>0</v>
      </c>
      <c r="T232" s="254">
        <v>0</v>
      </c>
      <c r="U232" s="254">
        <v>0</v>
      </c>
      <c r="V232" s="254">
        <v>0</v>
      </c>
      <c r="W232" s="254">
        <v>0</v>
      </c>
      <c r="X232" s="254">
        <v>0</v>
      </c>
      <c r="Y232" s="254">
        <v>0.1</v>
      </c>
      <c r="Z232" s="254">
        <v>0.13333333333333333</v>
      </c>
      <c r="AA232" s="254">
        <v>0.15657894736842107</v>
      </c>
      <c r="AB232" s="254">
        <v>0.16578947368421051</v>
      </c>
      <c r="AC232" s="254">
        <v>0.19</v>
      </c>
      <c r="AD232" s="254">
        <v>0.15</v>
      </c>
      <c r="AE232" s="254">
        <v>0.18</v>
      </c>
      <c r="AF232" s="254">
        <v>0.18</v>
      </c>
      <c r="AG232" s="254">
        <v>0.17</v>
      </c>
      <c r="AH232" s="254">
        <v>0.16</v>
      </c>
      <c r="AI232" s="254">
        <v>0.3066666666666667</v>
      </c>
      <c r="AJ232" s="254">
        <v>0.16</v>
      </c>
      <c r="AK232" s="254">
        <v>0.16</v>
      </c>
      <c r="AL232" s="254">
        <v>0.25333333333333335</v>
      </c>
      <c r="AM232" s="254">
        <v>0.16578947368421051</v>
      </c>
      <c r="AN232" s="254">
        <v>0.15657894736842107</v>
      </c>
      <c r="AO232" s="254">
        <v>0.18</v>
      </c>
      <c r="AP232" s="254">
        <v>0.17</v>
      </c>
      <c r="AQ232" s="254">
        <v>0.18</v>
      </c>
      <c r="AR232" s="254">
        <v>0.18</v>
      </c>
      <c r="AS232" s="254">
        <v>0.17</v>
      </c>
      <c r="AT232" s="254">
        <v>0.21333333333333332</v>
      </c>
      <c r="AU232" s="254">
        <v>0.25333333333333335</v>
      </c>
      <c r="AV232" s="254">
        <v>0.16</v>
      </c>
      <c r="AW232" s="254">
        <v>0.19</v>
      </c>
      <c r="AX232" s="254">
        <v>0.21333333333333332</v>
      </c>
      <c r="AY232" s="254">
        <v>0.17500000000000002</v>
      </c>
      <c r="AZ232" s="254">
        <v>0.17500000000000002</v>
      </c>
      <c r="BA232" s="254">
        <v>0.16</v>
      </c>
      <c r="BB232" s="254">
        <v>0.18</v>
      </c>
      <c r="BC232" s="254">
        <v>0.17</v>
      </c>
      <c r="BD232" s="254">
        <v>0.18</v>
      </c>
      <c r="BE232" s="254">
        <v>0</v>
      </c>
      <c r="BF232" s="254">
        <v>0</v>
      </c>
      <c r="BG232" s="254">
        <v>0</v>
      </c>
      <c r="BH232" s="254">
        <v>0</v>
      </c>
      <c r="BI232" s="254">
        <v>0</v>
      </c>
      <c r="BJ232" s="254">
        <v>0</v>
      </c>
      <c r="BK232" s="254">
        <v>0</v>
      </c>
      <c r="BL232" s="254">
        <v>0</v>
      </c>
      <c r="BM232" s="254">
        <v>0</v>
      </c>
      <c r="BN232" s="254">
        <v>0</v>
      </c>
      <c r="BO232" s="254">
        <v>0</v>
      </c>
      <c r="BP232" s="254">
        <v>0</v>
      </c>
      <c r="BQ232" s="254">
        <v>0</v>
      </c>
      <c r="BR232" s="254">
        <v>0</v>
      </c>
      <c r="BS232" s="254">
        <v>0</v>
      </c>
      <c r="BT232" s="254">
        <v>0</v>
      </c>
      <c r="BU232" s="254">
        <v>0</v>
      </c>
      <c r="BV232" s="254">
        <v>0</v>
      </c>
      <c r="BW232" s="254">
        <v>0</v>
      </c>
      <c r="BX232" s="254">
        <v>0</v>
      </c>
      <c r="BY232" s="254">
        <v>0</v>
      </c>
      <c r="BZ232" s="254">
        <v>0</v>
      </c>
      <c r="CA232" s="254">
        <v>0</v>
      </c>
      <c r="CB232" s="254">
        <v>0</v>
      </c>
      <c r="CC232" s="254">
        <v>0</v>
      </c>
      <c r="CD232" s="254">
        <v>0</v>
      </c>
      <c r="CE232" s="254">
        <v>0</v>
      </c>
      <c r="CF232" s="254">
        <v>0</v>
      </c>
      <c r="CG232" s="254">
        <v>0</v>
      </c>
      <c r="CH232" s="254">
        <v>0</v>
      </c>
      <c r="CI232" s="254">
        <v>0</v>
      </c>
      <c r="CJ232" s="254">
        <v>0</v>
      </c>
      <c r="CK232" s="254">
        <v>0</v>
      </c>
      <c r="CL232" s="254">
        <v>0</v>
      </c>
      <c r="CM232" s="254">
        <v>0</v>
      </c>
      <c r="CN232" s="254">
        <v>0</v>
      </c>
      <c r="CO232" s="254">
        <v>0</v>
      </c>
      <c r="CP232" s="254">
        <v>0</v>
      </c>
      <c r="CQ232" s="116"/>
      <c r="CR232" s="255">
        <v>0</v>
      </c>
      <c r="CS232" s="255">
        <v>0</v>
      </c>
      <c r="CT232" s="255">
        <v>0</v>
      </c>
      <c r="CU232" s="255">
        <v>0</v>
      </c>
      <c r="CV232" s="255">
        <v>0</v>
      </c>
      <c r="CW232" s="255">
        <v>0</v>
      </c>
      <c r="CX232" s="255">
        <v>0</v>
      </c>
      <c r="CY232" s="255">
        <v>0</v>
      </c>
      <c r="CZ232" s="255">
        <v>0</v>
      </c>
      <c r="DA232" s="255">
        <v>0</v>
      </c>
      <c r="DB232" s="255">
        <v>0</v>
      </c>
      <c r="DC232" s="255">
        <v>0</v>
      </c>
      <c r="DD232" s="255">
        <v>0</v>
      </c>
      <c r="DE232" s="255">
        <v>0</v>
      </c>
      <c r="DF232" s="255">
        <v>2940.56</v>
      </c>
      <c r="DG232" s="255">
        <v>2940.56</v>
      </c>
      <c r="DH232" s="255">
        <v>4998.9520000000002</v>
      </c>
      <c r="DI232" s="255">
        <v>5293.0079999999998</v>
      </c>
      <c r="DJ232" s="255">
        <v>5587.0640000000003</v>
      </c>
      <c r="DK232" s="255">
        <v>4410.84</v>
      </c>
      <c r="DL232" s="255">
        <v>5293.0079999999998</v>
      </c>
      <c r="DM232" s="255">
        <v>5293.0079999999998</v>
      </c>
      <c r="DN232" s="255">
        <v>4998.9520000000002</v>
      </c>
      <c r="DO232" s="255">
        <v>3528.672</v>
      </c>
      <c r="DP232" s="255">
        <v>6763.2880000000005</v>
      </c>
      <c r="DQ232" s="255">
        <v>4704.8959999999997</v>
      </c>
      <c r="DR232" s="255">
        <v>4848.0320000000002</v>
      </c>
      <c r="DS232" s="255">
        <v>5757.0380000000005</v>
      </c>
      <c r="DT232" s="255">
        <v>5454.0360000000001</v>
      </c>
      <c r="DU232" s="255">
        <v>5151.0340000000006</v>
      </c>
      <c r="DV232" s="255">
        <v>5454.0360000000001</v>
      </c>
      <c r="DW232" s="255">
        <v>5151.0340000000006</v>
      </c>
      <c r="DX232" s="255">
        <v>5454.0360000000001</v>
      </c>
      <c r="DY232" s="255">
        <v>5454.0360000000001</v>
      </c>
      <c r="DZ232" s="255">
        <v>5151.0340000000006</v>
      </c>
      <c r="EA232" s="255">
        <v>4848.0320000000002</v>
      </c>
      <c r="EB232" s="255">
        <v>5757.0380000000005</v>
      </c>
      <c r="EC232" s="255">
        <v>4848.0320000000002</v>
      </c>
      <c r="ED232" s="255">
        <v>5927.0119999999997</v>
      </c>
      <c r="EE232" s="255">
        <v>4991.1679999999997</v>
      </c>
      <c r="EF232" s="255">
        <v>5927.0119999999997</v>
      </c>
      <c r="EG232" s="255">
        <v>5927.0119999999997</v>
      </c>
      <c r="EH232" s="255">
        <v>4991.1679999999997</v>
      </c>
      <c r="EI232" s="255">
        <v>5615.0639999999994</v>
      </c>
      <c r="EJ232" s="255">
        <v>5303.116</v>
      </c>
      <c r="EK232" s="255">
        <v>5615.0639999999994</v>
      </c>
      <c r="EL232" s="255">
        <v>0</v>
      </c>
      <c r="EM232" s="255">
        <v>0</v>
      </c>
      <c r="EN232" s="255">
        <v>0</v>
      </c>
      <c r="EO232" s="255">
        <v>0</v>
      </c>
      <c r="EP232" s="255">
        <v>0</v>
      </c>
      <c r="EQ232" s="255">
        <v>0</v>
      </c>
      <c r="ER232" s="255">
        <v>0</v>
      </c>
      <c r="ES232" s="255">
        <v>0</v>
      </c>
      <c r="ET232" s="255">
        <v>0</v>
      </c>
      <c r="EU232" s="255">
        <v>0</v>
      </c>
      <c r="EV232" s="255">
        <v>0</v>
      </c>
      <c r="EW232" s="255">
        <v>0</v>
      </c>
      <c r="EX232" s="255">
        <v>0</v>
      </c>
      <c r="EY232" s="255">
        <v>0</v>
      </c>
      <c r="EZ232" s="255">
        <v>0</v>
      </c>
      <c r="FA232" s="255">
        <v>0</v>
      </c>
      <c r="FB232" s="255">
        <v>0</v>
      </c>
      <c r="FC232" s="255">
        <v>0</v>
      </c>
      <c r="FD232" s="255">
        <v>0</v>
      </c>
      <c r="FE232" s="255">
        <v>0</v>
      </c>
      <c r="FF232" s="255">
        <v>0</v>
      </c>
      <c r="FG232" s="255">
        <v>0</v>
      </c>
      <c r="FH232" s="255">
        <v>0</v>
      </c>
      <c r="FI232" s="255">
        <v>0</v>
      </c>
      <c r="FJ232" s="255">
        <v>0</v>
      </c>
      <c r="FK232" s="255">
        <v>0</v>
      </c>
      <c r="FL232" s="255">
        <v>0</v>
      </c>
      <c r="FM232" s="255">
        <v>0</v>
      </c>
      <c r="FN232" s="255">
        <v>0</v>
      </c>
      <c r="FO232" s="255">
        <v>0</v>
      </c>
      <c r="FP232" s="255">
        <v>0</v>
      </c>
      <c r="FQ232" s="255">
        <v>0</v>
      </c>
      <c r="FR232" s="255">
        <v>0</v>
      </c>
      <c r="FS232" s="255">
        <v>0</v>
      </c>
      <c r="FT232" s="255">
        <v>0</v>
      </c>
      <c r="FU232" s="255">
        <v>0</v>
      </c>
      <c r="FV232" s="255">
        <v>0</v>
      </c>
      <c r="FW232" s="255">
        <v>0</v>
      </c>
      <c r="FX232" s="116"/>
    </row>
    <row r="233" spans="2:180" x14ac:dyDescent="0.2">
      <c r="B233" s="253" t="s">
        <v>231</v>
      </c>
      <c r="C233" s="253" t="s">
        <v>301</v>
      </c>
      <c r="D233" s="253" t="s">
        <v>258</v>
      </c>
      <c r="E233" s="253" t="s">
        <v>127</v>
      </c>
      <c r="F233" s="253">
        <v>0</v>
      </c>
      <c r="G233" s="253" t="s">
        <v>322</v>
      </c>
      <c r="H233" s="237">
        <v>210.04</v>
      </c>
      <c r="I233" s="126">
        <f t="shared" si="88"/>
        <v>272736.054</v>
      </c>
      <c r="J233" s="116"/>
      <c r="K233" s="254">
        <v>0</v>
      </c>
      <c r="L233" s="254">
        <v>0</v>
      </c>
      <c r="M233" s="254">
        <v>0</v>
      </c>
      <c r="N233" s="254">
        <v>0</v>
      </c>
      <c r="O233" s="254">
        <v>0</v>
      </c>
      <c r="P233" s="254">
        <v>0</v>
      </c>
      <c r="Q233" s="254">
        <v>0</v>
      </c>
      <c r="R233" s="254">
        <v>0</v>
      </c>
      <c r="S233" s="254">
        <v>0</v>
      </c>
      <c r="T233" s="254">
        <v>0</v>
      </c>
      <c r="U233" s="254">
        <v>0</v>
      </c>
      <c r="V233" s="254">
        <v>0</v>
      </c>
      <c r="W233" s="254">
        <v>0</v>
      </c>
      <c r="X233" s="254">
        <v>0</v>
      </c>
      <c r="Y233" s="254">
        <v>0</v>
      </c>
      <c r="Z233" s="254">
        <v>0</v>
      </c>
      <c r="AA233" s="254">
        <v>0.13026315789473686</v>
      </c>
      <c r="AB233" s="254">
        <v>0.13421052631578947</v>
      </c>
      <c r="AC233" s="254">
        <v>0.1842857142857143</v>
      </c>
      <c r="AD233" s="254">
        <v>0.13285714285714287</v>
      </c>
      <c r="AE233" s="254">
        <v>0.14571428571428571</v>
      </c>
      <c r="AF233" s="254">
        <v>0.14571428571428571</v>
      </c>
      <c r="AG233" s="254">
        <v>0.14142857142857143</v>
      </c>
      <c r="AH233" s="254">
        <v>0.16</v>
      </c>
      <c r="AI233" s="254">
        <v>0.26857142857142857</v>
      </c>
      <c r="AJ233" s="254">
        <v>0.13714285714285715</v>
      </c>
      <c r="AK233" s="254">
        <v>0.13714285714285715</v>
      </c>
      <c r="AL233" s="254">
        <v>0.2</v>
      </c>
      <c r="AM233" s="254">
        <v>0.15</v>
      </c>
      <c r="AN233" s="254">
        <v>0.14605263157894735</v>
      </c>
      <c r="AO233" s="254">
        <v>0.14571428571428571</v>
      </c>
      <c r="AP233" s="254">
        <v>0.14142857142857143</v>
      </c>
      <c r="AQ233" s="254">
        <v>0.14571428571428571</v>
      </c>
      <c r="AR233" s="254">
        <v>0.14571428571428571</v>
      </c>
      <c r="AS233" s="254">
        <v>0.17571428571428571</v>
      </c>
      <c r="AT233" s="254">
        <v>0.13714285714285715</v>
      </c>
      <c r="AU233" s="254">
        <v>0.24571428571428572</v>
      </c>
      <c r="AV233" s="254">
        <v>0.13714285714285715</v>
      </c>
      <c r="AW233" s="254">
        <v>0.15</v>
      </c>
      <c r="AX233" s="254">
        <v>0.18285714285714286</v>
      </c>
      <c r="AY233" s="254">
        <v>0.16973684210526316</v>
      </c>
      <c r="AZ233" s="254">
        <v>0.16973684210526316</v>
      </c>
      <c r="BA233" s="254">
        <v>0.13714285714285715</v>
      </c>
      <c r="BB233" s="254">
        <v>0.14571428571428571</v>
      </c>
      <c r="BC233" s="254">
        <v>0.14142857142857143</v>
      </c>
      <c r="BD233" s="254">
        <v>0.14571428571428571</v>
      </c>
      <c r="BE233" s="254">
        <v>0</v>
      </c>
      <c r="BF233" s="254">
        <v>0</v>
      </c>
      <c r="BG233" s="254">
        <v>0</v>
      </c>
      <c r="BH233" s="254">
        <v>0</v>
      </c>
      <c r="BI233" s="254">
        <v>0</v>
      </c>
      <c r="BJ233" s="254">
        <v>0</v>
      </c>
      <c r="BK233" s="254">
        <v>0</v>
      </c>
      <c r="BL233" s="254">
        <v>0</v>
      </c>
      <c r="BM233" s="254">
        <v>0</v>
      </c>
      <c r="BN233" s="254">
        <v>0</v>
      </c>
      <c r="BO233" s="254">
        <v>0</v>
      </c>
      <c r="BP233" s="254">
        <v>0</v>
      </c>
      <c r="BQ233" s="254">
        <v>0</v>
      </c>
      <c r="BR233" s="254">
        <v>0</v>
      </c>
      <c r="BS233" s="254">
        <v>0</v>
      </c>
      <c r="BT233" s="254">
        <v>0</v>
      </c>
      <c r="BU233" s="254">
        <v>0</v>
      </c>
      <c r="BV233" s="254">
        <v>0</v>
      </c>
      <c r="BW233" s="254">
        <v>0</v>
      </c>
      <c r="BX233" s="254">
        <v>0</v>
      </c>
      <c r="BY233" s="254">
        <v>0</v>
      </c>
      <c r="BZ233" s="254">
        <v>0</v>
      </c>
      <c r="CA233" s="254">
        <v>0</v>
      </c>
      <c r="CB233" s="254">
        <v>0</v>
      </c>
      <c r="CC233" s="254">
        <v>0</v>
      </c>
      <c r="CD233" s="254">
        <v>0</v>
      </c>
      <c r="CE233" s="254">
        <v>0</v>
      </c>
      <c r="CF233" s="254">
        <v>0</v>
      </c>
      <c r="CG233" s="254">
        <v>0</v>
      </c>
      <c r="CH233" s="254">
        <v>0</v>
      </c>
      <c r="CI233" s="254">
        <v>0</v>
      </c>
      <c r="CJ233" s="254">
        <v>0</v>
      </c>
      <c r="CK233" s="254">
        <v>0</v>
      </c>
      <c r="CL233" s="254">
        <v>0</v>
      </c>
      <c r="CM233" s="254">
        <v>0</v>
      </c>
      <c r="CN233" s="254">
        <v>0</v>
      </c>
      <c r="CO233" s="254">
        <v>0</v>
      </c>
      <c r="CP233" s="254">
        <v>0</v>
      </c>
      <c r="CQ233" s="116"/>
      <c r="CR233" s="255">
        <v>0</v>
      </c>
      <c r="CS233" s="255">
        <v>0</v>
      </c>
      <c r="CT233" s="255">
        <v>0</v>
      </c>
      <c r="CU233" s="255">
        <v>0</v>
      </c>
      <c r="CV233" s="255">
        <v>0</v>
      </c>
      <c r="CW233" s="255">
        <v>0</v>
      </c>
      <c r="CX233" s="255">
        <v>0</v>
      </c>
      <c r="CY233" s="255">
        <v>0</v>
      </c>
      <c r="CZ233" s="255">
        <v>0</v>
      </c>
      <c r="DA233" s="255">
        <v>0</v>
      </c>
      <c r="DB233" s="255">
        <v>0</v>
      </c>
      <c r="DC233" s="255">
        <v>0</v>
      </c>
      <c r="DD233" s="255">
        <v>0</v>
      </c>
      <c r="DE233" s="255">
        <v>0</v>
      </c>
      <c r="DF233" s="255">
        <v>0</v>
      </c>
      <c r="DG233" s="255">
        <v>0</v>
      </c>
      <c r="DH233" s="255">
        <v>8317.3860000000004</v>
      </c>
      <c r="DI233" s="255">
        <v>8569.4279999999999</v>
      </c>
      <c r="DJ233" s="255">
        <v>10837.806</v>
      </c>
      <c r="DK233" s="255">
        <v>7813.3020000000006</v>
      </c>
      <c r="DL233" s="255">
        <v>8569.4279999999999</v>
      </c>
      <c r="DM233" s="255">
        <v>8569.4279999999999</v>
      </c>
      <c r="DN233" s="255">
        <v>8317.3860000000004</v>
      </c>
      <c r="DO233" s="255">
        <v>7057.1760000000004</v>
      </c>
      <c r="DP233" s="255">
        <v>11845.974</v>
      </c>
      <c r="DQ233" s="255">
        <v>8065.3439999999991</v>
      </c>
      <c r="DR233" s="255">
        <v>8310.9120000000003</v>
      </c>
      <c r="DS233" s="255">
        <v>9090.06</v>
      </c>
      <c r="DT233" s="255">
        <v>9869.2080000000005</v>
      </c>
      <c r="DU233" s="255">
        <v>9609.4920000000002</v>
      </c>
      <c r="DV233" s="255">
        <v>8830.3439999999991</v>
      </c>
      <c r="DW233" s="255">
        <v>8570.6280000000006</v>
      </c>
      <c r="DX233" s="255">
        <v>8830.3439999999991</v>
      </c>
      <c r="DY233" s="255">
        <v>8830.3439999999991</v>
      </c>
      <c r="DZ233" s="255">
        <v>10648.356000000002</v>
      </c>
      <c r="EA233" s="255">
        <v>6233.1840000000002</v>
      </c>
      <c r="EB233" s="255">
        <v>11167.788</v>
      </c>
      <c r="EC233" s="255">
        <v>8310.9120000000003</v>
      </c>
      <c r="ED233" s="255">
        <v>9358.44</v>
      </c>
      <c r="EE233" s="255">
        <v>8556.2879999999986</v>
      </c>
      <c r="EF233" s="255">
        <v>11497.512000000001</v>
      </c>
      <c r="EG233" s="255">
        <v>11497.512000000001</v>
      </c>
      <c r="EH233" s="255">
        <v>8556.2879999999986</v>
      </c>
      <c r="EI233" s="255">
        <v>9091.0559999999987</v>
      </c>
      <c r="EJ233" s="255">
        <v>8823.6720000000005</v>
      </c>
      <c r="EK233" s="255">
        <v>9091.0559999999987</v>
      </c>
      <c r="EL233" s="255">
        <v>0</v>
      </c>
      <c r="EM233" s="255">
        <v>0</v>
      </c>
      <c r="EN233" s="255">
        <v>0</v>
      </c>
      <c r="EO233" s="255">
        <v>0</v>
      </c>
      <c r="EP233" s="255">
        <v>0</v>
      </c>
      <c r="EQ233" s="255">
        <v>0</v>
      </c>
      <c r="ER233" s="255">
        <v>0</v>
      </c>
      <c r="ES233" s="255">
        <v>0</v>
      </c>
      <c r="ET233" s="255">
        <v>0</v>
      </c>
      <c r="EU233" s="255">
        <v>0</v>
      </c>
      <c r="EV233" s="255">
        <v>0</v>
      </c>
      <c r="EW233" s="255">
        <v>0</v>
      </c>
      <c r="EX233" s="255">
        <v>0</v>
      </c>
      <c r="EY233" s="255">
        <v>0</v>
      </c>
      <c r="EZ233" s="255">
        <v>0</v>
      </c>
      <c r="FA233" s="255">
        <v>0</v>
      </c>
      <c r="FB233" s="255">
        <v>0</v>
      </c>
      <c r="FC233" s="255">
        <v>0</v>
      </c>
      <c r="FD233" s="255">
        <v>0</v>
      </c>
      <c r="FE233" s="255">
        <v>0</v>
      </c>
      <c r="FF233" s="255">
        <v>0</v>
      </c>
      <c r="FG233" s="255">
        <v>0</v>
      </c>
      <c r="FH233" s="255">
        <v>0</v>
      </c>
      <c r="FI233" s="255">
        <v>0</v>
      </c>
      <c r="FJ233" s="255">
        <v>0</v>
      </c>
      <c r="FK233" s="255">
        <v>0</v>
      </c>
      <c r="FL233" s="255">
        <v>0</v>
      </c>
      <c r="FM233" s="255">
        <v>0</v>
      </c>
      <c r="FN233" s="255">
        <v>0</v>
      </c>
      <c r="FO233" s="255">
        <v>0</v>
      </c>
      <c r="FP233" s="255">
        <v>0</v>
      </c>
      <c r="FQ233" s="255">
        <v>0</v>
      </c>
      <c r="FR233" s="255">
        <v>0</v>
      </c>
      <c r="FS233" s="255">
        <v>0</v>
      </c>
      <c r="FT233" s="255">
        <v>0</v>
      </c>
      <c r="FU233" s="255">
        <v>0</v>
      </c>
      <c r="FV233" s="255">
        <v>0</v>
      </c>
      <c r="FW233" s="255">
        <v>0</v>
      </c>
      <c r="FX233" s="116"/>
    </row>
    <row r="234" spans="2:180" x14ac:dyDescent="0.2">
      <c r="B234" s="253" t="s">
        <v>231</v>
      </c>
      <c r="C234" s="253" t="s">
        <v>301</v>
      </c>
      <c r="D234" s="253" t="s">
        <v>258</v>
      </c>
      <c r="E234" s="253" t="s">
        <v>127</v>
      </c>
      <c r="F234" s="253" t="s">
        <v>263</v>
      </c>
      <c r="G234" s="253" t="s">
        <v>260</v>
      </c>
      <c r="H234" s="237">
        <v>210.04</v>
      </c>
      <c r="I234" s="126">
        <f t="shared" si="88"/>
        <v>158495.72200000007</v>
      </c>
      <c r="J234" s="116"/>
      <c r="K234" s="254">
        <v>0</v>
      </c>
      <c r="L234" s="254">
        <v>0</v>
      </c>
      <c r="M234" s="254">
        <v>0</v>
      </c>
      <c r="N234" s="254">
        <v>0</v>
      </c>
      <c r="O234" s="254">
        <v>0</v>
      </c>
      <c r="P234" s="254">
        <v>0</v>
      </c>
      <c r="Q234" s="254">
        <v>0</v>
      </c>
      <c r="R234" s="254">
        <v>0</v>
      </c>
      <c r="S234" s="254">
        <v>0</v>
      </c>
      <c r="T234" s="254">
        <v>0</v>
      </c>
      <c r="U234" s="254">
        <v>0</v>
      </c>
      <c r="V234" s="254">
        <v>0</v>
      </c>
      <c r="W234" s="254">
        <v>0</v>
      </c>
      <c r="X234" s="254">
        <v>0</v>
      </c>
      <c r="Y234" s="254">
        <v>0</v>
      </c>
      <c r="Z234" s="254">
        <v>0</v>
      </c>
      <c r="AA234" s="254">
        <v>0.15657894736842107</v>
      </c>
      <c r="AB234" s="254">
        <v>0.16578947368421051</v>
      </c>
      <c r="AC234" s="254">
        <v>0.19</v>
      </c>
      <c r="AD234" s="254">
        <v>0.15</v>
      </c>
      <c r="AE234" s="254">
        <v>0.18</v>
      </c>
      <c r="AF234" s="254">
        <v>0.18</v>
      </c>
      <c r="AG234" s="254">
        <v>0.17</v>
      </c>
      <c r="AH234" s="254">
        <v>0.16</v>
      </c>
      <c r="AI234" s="254">
        <v>0.3066666666666667</v>
      </c>
      <c r="AJ234" s="254">
        <v>0.16</v>
      </c>
      <c r="AK234" s="254">
        <v>0.16</v>
      </c>
      <c r="AL234" s="254">
        <v>0.25333333333333335</v>
      </c>
      <c r="AM234" s="254">
        <v>0.16578947368421051</v>
      </c>
      <c r="AN234" s="254">
        <v>0.15657894736842107</v>
      </c>
      <c r="AO234" s="254">
        <v>0.18</v>
      </c>
      <c r="AP234" s="254">
        <v>0.17</v>
      </c>
      <c r="AQ234" s="254">
        <v>0.18</v>
      </c>
      <c r="AR234" s="254">
        <v>0.18</v>
      </c>
      <c r="AS234" s="254">
        <v>0.17</v>
      </c>
      <c r="AT234" s="254">
        <v>0.21333333333333332</v>
      </c>
      <c r="AU234" s="254">
        <v>0.25333333333333335</v>
      </c>
      <c r="AV234" s="254">
        <v>0.16</v>
      </c>
      <c r="AW234" s="254">
        <v>0.19</v>
      </c>
      <c r="AX234" s="254">
        <v>0.21333333333333332</v>
      </c>
      <c r="AY234" s="254">
        <v>0.17500000000000002</v>
      </c>
      <c r="AZ234" s="254">
        <v>0.17500000000000002</v>
      </c>
      <c r="BA234" s="254">
        <v>0.16</v>
      </c>
      <c r="BB234" s="254">
        <v>0.18</v>
      </c>
      <c r="BC234" s="254">
        <v>0.17</v>
      </c>
      <c r="BD234" s="254">
        <v>0.18</v>
      </c>
      <c r="BE234" s="254">
        <v>0</v>
      </c>
      <c r="BF234" s="254">
        <v>0</v>
      </c>
      <c r="BG234" s="254">
        <v>0</v>
      </c>
      <c r="BH234" s="254">
        <v>0</v>
      </c>
      <c r="BI234" s="254">
        <v>0</v>
      </c>
      <c r="BJ234" s="254">
        <v>0</v>
      </c>
      <c r="BK234" s="254">
        <v>0</v>
      </c>
      <c r="BL234" s="254">
        <v>0</v>
      </c>
      <c r="BM234" s="254">
        <v>0</v>
      </c>
      <c r="BN234" s="254">
        <v>0</v>
      </c>
      <c r="BO234" s="254">
        <v>0</v>
      </c>
      <c r="BP234" s="254">
        <v>0</v>
      </c>
      <c r="BQ234" s="254">
        <v>0</v>
      </c>
      <c r="BR234" s="254">
        <v>0</v>
      </c>
      <c r="BS234" s="254">
        <v>0</v>
      </c>
      <c r="BT234" s="254">
        <v>0</v>
      </c>
      <c r="BU234" s="254">
        <v>0</v>
      </c>
      <c r="BV234" s="254">
        <v>0</v>
      </c>
      <c r="BW234" s="254">
        <v>0</v>
      </c>
      <c r="BX234" s="254">
        <v>0</v>
      </c>
      <c r="BY234" s="254">
        <v>0</v>
      </c>
      <c r="BZ234" s="254">
        <v>0</v>
      </c>
      <c r="CA234" s="254">
        <v>0</v>
      </c>
      <c r="CB234" s="254">
        <v>0</v>
      </c>
      <c r="CC234" s="254">
        <v>0</v>
      </c>
      <c r="CD234" s="254">
        <v>0</v>
      </c>
      <c r="CE234" s="254">
        <v>0</v>
      </c>
      <c r="CF234" s="254">
        <v>0</v>
      </c>
      <c r="CG234" s="254">
        <v>0</v>
      </c>
      <c r="CH234" s="254">
        <v>0</v>
      </c>
      <c r="CI234" s="254">
        <v>0</v>
      </c>
      <c r="CJ234" s="254">
        <v>0</v>
      </c>
      <c r="CK234" s="254">
        <v>0</v>
      </c>
      <c r="CL234" s="254">
        <v>0</v>
      </c>
      <c r="CM234" s="254">
        <v>0</v>
      </c>
      <c r="CN234" s="254">
        <v>0</v>
      </c>
      <c r="CO234" s="254">
        <v>0</v>
      </c>
      <c r="CP234" s="254">
        <v>0</v>
      </c>
      <c r="CQ234" s="116"/>
      <c r="CR234" s="255">
        <v>0</v>
      </c>
      <c r="CS234" s="255">
        <v>0</v>
      </c>
      <c r="CT234" s="255">
        <v>0</v>
      </c>
      <c r="CU234" s="255">
        <v>0</v>
      </c>
      <c r="CV234" s="255">
        <v>0</v>
      </c>
      <c r="CW234" s="255">
        <v>0</v>
      </c>
      <c r="CX234" s="255">
        <v>0</v>
      </c>
      <c r="CY234" s="255">
        <v>0</v>
      </c>
      <c r="CZ234" s="255">
        <v>0</v>
      </c>
      <c r="DA234" s="255">
        <v>0</v>
      </c>
      <c r="DB234" s="255">
        <v>0</v>
      </c>
      <c r="DC234" s="255">
        <v>0</v>
      </c>
      <c r="DD234" s="255">
        <v>0</v>
      </c>
      <c r="DE234" s="255">
        <v>0</v>
      </c>
      <c r="DF234" s="255">
        <v>0</v>
      </c>
      <c r="DG234" s="255">
        <v>0</v>
      </c>
      <c r="DH234" s="255">
        <v>4998.9520000000002</v>
      </c>
      <c r="DI234" s="255">
        <v>5293.0079999999998</v>
      </c>
      <c r="DJ234" s="255">
        <v>5587.0640000000003</v>
      </c>
      <c r="DK234" s="255">
        <v>4410.84</v>
      </c>
      <c r="DL234" s="255">
        <v>5293.0079999999998</v>
      </c>
      <c r="DM234" s="255">
        <v>5293.0079999999998</v>
      </c>
      <c r="DN234" s="255">
        <v>4998.9520000000002</v>
      </c>
      <c r="DO234" s="255">
        <v>3528.672</v>
      </c>
      <c r="DP234" s="255">
        <v>6763.2880000000005</v>
      </c>
      <c r="DQ234" s="255">
        <v>4704.8959999999997</v>
      </c>
      <c r="DR234" s="255">
        <v>4848.0320000000002</v>
      </c>
      <c r="DS234" s="255">
        <v>5757.0380000000005</v>
      </c>
      <c r="DT234" s="255">
        <v>5454.0360000000001</v>
      </c>
      <c r="DU234" s="255">
        <v>5151.0340000000006</v>
      </c>
      <c r="DV234" s="255">
        <v>5454.0360000000001</v>
      </c>
      <c r="DW234" s="255">
        <v>5151.0340000000006</v>
      </c>
      <c r="DX234" s="255">
        <v>5454.0360000000001</v>
      </c>
      <c r="DY234" s="255">
        <v>5454.0360000000001</v>
      </c>
      <c r="DZ234" s="255">
        <v>5151.0340000000006</v>
      </c>
      <c r="EA234" s="255">
        <v>4848.0320000000002</v>
      </c>
      <c r="EB234" s="255">
        <v>5757.0380000000005</v>
      </c>
      <c r="EC234" s="255">
        <v>4848.0320000000002</v>
      </c>
      <c r="ED234" s="255">
        <v>5927.0119999999997</v>
      </c>
      <c r="EE234" s="255">
        <v>4991.1679999999997</v>
      </c>
      <c r="EF234" s="255">
        <v>5927.0119999999997</v>
      </c>
      <c r="EG234" s="255">
        <v>5927.0119999999997</v>
      </c>
      <c r="EH234" s="255">
        <v>4991.1679999999997</v>
      </c>
      <c r="EI234" s="255">
        <v>5615.0639999999994</v>
      </c>
      <c r="EJ234" s="255">
        <v>5303.116</v>
      </c>
      <c r="EK234" s="255">
        <v>5615.0639999999994</v>
      </c>
      <c r="EL234" s="255">
        <v>0</v>
      </c>
      <c r="EM234" s="255">
        <v>0</v>
      </c>
      <c r="EN234" s="255">
        <v>0</v>
      </c>
      <c r="EO234" s="255">
        <v>0</v>
      </c>
      <c r="EP234" s="255">
        <v>0</v>
      </c>
      <c r="EQ234" s="255">
        <v>0</v>
      </c>
      <c r="ER234" s="255">
        <v>0</v>
      </c>
      <c r="ES234" s="255">
        <v>0</v>
      </c>
      <c r="ET234" s="255">
        <v>0</v>
      </c>
      <c r="EU234" s="255">
        <v>0</v>
      </c>
      <c r="EV234" s="255">
        <v>0</v>
      </c>
      <c r="EW234" s="255">
        <v>0</v>
      </c>
      <c r="EX234" s="255">
        <v>0</v>
      </c>
      <c r="EY234" s="255">
        <v>0</v>
      </c>
      <c r="EZ234" s="255">
        <v>0</v>
      </c>
      <c r="FA234" s="255">
        <v>0</v>
      </c>
      <c r="FB234" s="255">
        <v>0</v>
      </c>
      <c r="FC234" s="255">
        <v>0</v>
      </c>
      <c r="FD234" s="255">
        <v>0</v>
      </c>
      <c r="FE234" s="255">
        <v>0</v>
      </c>
      <c r="FF234" s="255">
        <v>0</v>
      </c>
      <c r="FG234" s="255">
        <v>0</v>
      </c>
      <c r="FH234" s="255">
        <v>0</v>
      </c>
      <c r="FI234" s="255">
        <v>0</v>
      </c>
      <c r="FJ234" s="255">
        <v>0</v>
      </c>
      <c r="FK234" s="255">
        <v>0</v>
      </c>
      <c r="FL234" s="255">
        <v>0</v>
      </c>
      <c r="FM234" s="255">
        <v>0</v>
      </c>
      <c r="FN234" s="255">
        <v>0</v>
      </c>
      <c r="FO234" s="255">
        <v>0</v>
      </c>
      <c r="FP234" s="255">
        <v>0</v>
      </c>
      <c r="FQ234" s="255">
        <v>0</v>
      </c>
      <c r="FR234" s="255">
        <v>0</v>
      </c>
      <c r="FS234" s="255">
        <v>0</v>
      </c>
      <c r="FT234" s="255">
        <v>0</v>
      </c>
      <c r="FU234" s="255">
        <v>0</v>
      </c>
      <c r="FV234" s="255">
        <v>0</v>
      </c>
      <c r="FW234" s="255">
        <v>0</v>
      </c>
      <c r="FX234" s="116"/>
    </row>
    <row r="235" spans="2:180" x14ac:dyDescent="0.2">
      <c r="B235" s="253" t="s">
        <v>231</v>
      </c>
      <c r="C235" s="253" t="s">
        <v>301</v>
      </c>
      <c r="D235" s="253" t="s">
        <v>258</v>
      </c>
      <c r="E235" s="253" t="s">
        <v>127</v>
      </c>
      <c r="F235" s="253">
        <v>0</v>
      </c>
      <c r="G235" s="253" t="s">
        <v>322</v>
      </c>
      <c r="H235" s="237">
        <v>210.04</v>
      </c>
      <c r="I235" s="126">
        <f t="shared" si="88"/>
        <v>272736.054</v>
      </c>
      <c r="J235" s="116"/>
      <c r="K235" s="254">
        <v>0</v>
      </c>
      <c r="L235" s="254">
        <v>0</v>
      </c>
      <c r="M235" s="254">
        <v>0</v>
      </c>
      <c r="N235" s="254">
        <v>0</v>
      </c>
      <c r="O235" s="254">
        <v>0</v>
      </c>
      <c r="P235" s="254">
        <v>0</v>
      </c>
      <c r="Q235" s="254">
        <v>0</v>
      </c>
      <c r="R235" s="254">
        <v>0</v>
      </c>
      <c r="S235" s="254">
        <v>0</v>
      </c>
      <c r="T235" s="254">
        <v>0</v>
      </c>
      <c r="U235" s="254">
        <v>0</v>
      </c>
      <c r="V235" s="254">
        <v>0</v>
      </c>
      <c r="W235" s="254">
        <v>0</v>
      </c>
      <c r="X235" s="254">
        <v>0</v>
      </c>
      <c r="Y235" s="254">
        <v>0</v>
      </c>
      <c r="Z235" s="254">
        <v>0</v>
      </c>
      <c r="AA235" s="254">
        <v>0.13026315789473686</v>
      </c>
      <c r="AB235" s="254">
        <v>0.13421052631578947</v>
      </c>
      <c r="AC235" s="254">
        <v>0.1842857142857143</v>
      </c>
      <c r="AD235" s="254">
        <v>0.13285714285714287</v>
      </c>
      <c r="AE235" s="254">
        <v>0.14571428571428571</v>
      </c>
      <c r="AF235" s="254">
        <v>0.14571428571428571</v>
      </c>
      <c r="AG235" s="254">
        <v>0.14142857142857143</v>
      </c>
      <c r="AH235" s="254">
        <v>0.16</v>
      </c>
      <c r="AI235" s="254">
        <v>0.26857142857142857</v>
      </c>
      <c r="AJ235" s="254">
        <v>0.13714285714285715</v>
      </c>
      <c r="AK235" s="254">
        <v>0.13714285714285715</v>
      </c>
      <c r="AL235" s="254">
        <v>0.2</v>
      </c>
      <c r="AM235" s="254">
        <v>0.15</v>
      </c>
      <c r="AN235" s="254">
        <v>0.14605263157894735</v>
      </c>
      <c r="AO235" s="254">
        <v>0.14571428571428571</v>
      </c>
      <c r="AP235" s="254">
        <v>0.14142857142857143</v>
      </c>
      <c r="AQ235" s="254">
        <v>0.14571428571428571</v>
      </c>
      <c r="AR235" s="254">
        <v>0.14571428571428571</v>
      </c>
      <c r="AS235" s="254">
        <v>0.17571428571428571</v>
      </c>
      <c r="AT235" s="254">
        <v>0.13714285714285715</v>
      </c>
      <c r="AU235" s="254">
        <v>0.24571428571428572</v>
      </c>
      <c r="AV235" s="254">
        <v>0.13714285714285715</v>
      </c>
      <c r="AW235" s="254">
        <v>0.15</v>
      </c>
      <c r="AX235" s="254">
        <v>0.18285714285714286</v>
      </c>
      <c r="AY235" s="254">
        <v>0.16973684210526316</v>
      </c>
      <c r="AZ235" s="254">
        <v>0.16973684210526316</v>
      </c>
      <c r="BA235" s="254">
        <v>0.13714285714285715</v>
      </c>
      <c r="BB235" s="254">
        <v>0.14571428571428571</v>
      </c>
      <c r="BC235" s="254">
        <v>0.14142857142857143</v>
      </c>
      <c r="BD235" s="254">
        <v>0.14571428571428571</v>
      </c>
      <c r="BE235" s="254">
        <v>0</v>
      </c>
      <c r="BF235" s="254">
        <v>0</v>
      </c>
      <c r="BG235" s="254">
        <v>0</v>
      </c>
      <c r="BH235" s="254">
        <v>0</v>
      </c>
      <c r="BI235" s="254">
        <v>0</v>
      </c>
      <c r="BJ235" s="254">
        <v>0</v>
      </c>
      <c r="BK235" s="254">
        <v>0</v>
      </c>
      <c r="BL235" s="254">
        <v>0</v>
      </c>
      <c r="BM235" s="254">
        <v>0</v>
      </c>
      <c r="BN235" s="254">
        <v>0</v>
      </c>
      <c r="BO235" s="254">
        <v>0</v>
      </c>
      <c r="BP235" s="254">
        <v>0</v>
      </c>
      <c r="BQ235" s="254">
        <v>0</v>
      </c>
      <c r="BR235" s="254">
        <v>0</v>
      </c>
      <c r="BS235" s="254">
        <v>0</v>
      </c>
      <c r="BT235" s="254">
        <v>0</v>
      </c>
      <c r="BU235" s="254">
        <v>0</v>
      </c>
      <c r="BV235" s="254">
        <v>0</v>
      </c>
      <c r="BW235" s="254">
        <v>0</v>
      </c>
      <c r="BX235" s="254">
        <v>0</v>
      </c>
      <c r="BY235" s="254">
        <v>0</v>
      </c>
      <c r="BZ235" s="254">
        <v>0</v>
      </c>
      <c r="CA235" s="254">
        <v>0</v>
      </c>
      <c r="CB235" s="254">
        <v>0</v>
      </c>
      <c r="CC235" s="254">
        <v>0</v>
      </c>
      <c r="CD235" s="254">
        <v>0</v>
      </c>
      <c r="CE235" s="254">
        <v>0</v>
      </c>
      <c r="CF235" s="254">
        <v>0</v>
      </c>
      <c r="CG235" s="254">
        <v>0</v>
      </c>
      <c r="CH235" s="254">
        <v>0</v>
      </c>
      <c r="CI235" s="254">
        <v>0</v>
      </c>
      <c r="CJ235" s="254">
        <v>0</v>
      </c>
      <c r="CK235" s="254">
        <v>0</v>
      </c>
      <c r="CL235" s="254">
        <v>0</v>
      </c>
      <c r="CM235" s="254">
        <v>0</v>
      </c>
      <c r="CN235" s="254">
        <v>0</v>
      </c>
      <c r="CO235" s="254">
        <v>0</v>
      </c>
      <c r="CP235" s="254">
        <v>0</v>
      </c>
      <c r="CQ235" s="116"/>
      <c r="CR235" s="255">
        <v>0</v>
      </c>
      <c r="CS235" s="255">
        <v>0</v>
      </c>
      <c r="CT235" s="255">
        <v>0</v>
      </c>
      <c r="CU235" s="255">
        <v>0</v>
      </c>
      <c r="CV235" s="255">
        <v>0</v>
      </c>
      <c r="CW235" s="255">
        <v>0</v>
      </c>
      <c r="CX235" s="255">
        <v>0</v>
      </c>
      <c r="CY235" s="255">
        <v>0</v>
      </c>
      <c r="CZ235" s="255">
        <v>0</v>
      </c>
      <c r="DA235" s="255">
        <v>0</v>
      </c>
      <c r="DB235" s="255">
        <v>0</v>
      </c>
      <c r="DC235" s="255">
        <v>0</v>
      </c>
      <c r="DD235" s="255">
        <v>0</v>
      </c>
      <c r="DE235" s="255">
        <v>0</v>
      </c>
      <c r="DF235" s="255">
        <v>0</v>
      </c>
      <c r="DG235" s="255">
        <v>0</v>
      </c>
      <c r="DH235" s="255">
        <v>8317.3860000000004</v>
      </c>
      <c r="DI235" s="255">
        <v>8569.4279999999999</v>
      </c>
      <c r="DJ235" s="255">
        <v>10837.806</v>
      </c>
      <c r="DK235" s="255">
        <v>7813.3020000000006</v>
      </c>
      <c r="DL235" s="255">
        <v>8569.4279999999999</v>
      </c>
      <c r="DM235" s="255">
        <v>8569.4279999999999</v>
      </c>
      <c r="DN235" s="255">
        <v>8317.3860000000004</v>
      </c>
      <c r="DO235" s="255">
        <v>7057.1760000000004</v>
      </c>
      <c r="DP235" s="255">
        <v>11845.974</v>
      </c>
      <c r="DQ235" s="255">
        <v>8065.3439999999991</v>
      </c>
      <c r="DR235" s="255">
        <v>8310.9120000000003</v>
      </c>
      <c r="DS235" s="255">
        <v>9090.06</v>
      </c>
      <c r="DT235" s="255">
        <v>9869.2080000000005</v>
      </c>
      <c r="DU235" s="255">
        <v>9609.4920000000002</v>
      </c>
      <c r="DV235" s="255">
        <v>8830.3439999999991</v>
      </c>
      <c r="DW235" s="255">
        <v>8570.6280000000006</v>
      </c>
      <c r="DX235" s="255">
        <v>8830.3439999999991</v>
      </c>
      <c r="DY235" s="255">
        <v>8830.3439999999991</v>
      </c>
      <c r="DZ235" s="255">
        <v>10648.356000000002</v>
      </c>
      <c r="EA235" s="255">
        <v>6233.1840000000002</v>
      </c>
      <c r="EB235" s="255">
        <v>11167.788</v>
      </c>
      <c r="EC235" s="255">
        <v>8310.9120000000003</v>
      </c>
      <c r="ED235" s="255">
        <v>9358.44</v>
      </c>
      <c r="EE235" s="255">
        <v>8556.2879999999986</v>
      </c>
      <c r="EF235" s="255">
        <v>11497.512000000001</v>
      </c>
      <c r="EG235" s="255">
        <v>11497.512000000001</v>
      </c>
      <c r="EH235" s="255">
        <v>8556.2879999999986</v>
      </c>
      <c r="EI235" s="255">
        <v>9091.0559999999987</v>
      </c>
      <c r="EJ235" s="255">
        <v>8823.6720000000005</v>
      </c>
      <c r="EK235" s="255">
        <v>9091.0559999999987</v>
      </c>
      <c r="EL235" s="255">
        <v>0</v>
      </c>
      <c r="EM235" s="255">
        <v>0</v>
      </c>
      <c r="EN235" s="255">
        <v>0</v>
      </c>
      <c r="EO235" s="255">
        <v>0</v>
      </c>
      <c r="EP235" s="255">
        <v>0</v>
      </c>
      <c r="EQ235" s="255">
        <v>0</v>
      </c>
      <c r="ER235" s="255">
        <v>0</v>
      </c>
      <c r="ES235" s="255">
        <v>0</v>
      </c>
      <c r="ET235" s="255">
        <v>0</v>
      </c>
      <c r="EU235" s="255">
        <v>0</v>
      </c>
      <c r="EV235" s="255">
        <v>0</v>
      </c>
      <c r="EW235" s="255">
        <v>0</v>
      </c>
      <c r="EX235" s="255">
        <v>0</v>
      </c>
      <c r="EY235" s="255">
        <v>0</v>
      </c>
      <c r="EZ235" s="255">
        <v>0</v>
      </c>
      <c r="FA235" s="255">
        <v>0</v>
      </c>
      <c r="FB235" s="255">
        <v>0</v>
      </c>
      <c r="FC235" s="255">
        <v>0</v>
      </c>
      <c r="FD235" s="255">
        <v>0</v>
      </c>
      <c r="FE235" s="255">
        <v>0</v>
      </c>
      <c r="FF235" s="255">
        <v>0</v>
      </c>
      <c r="FG235" s="255">
        <v>0</v>
      </c>
      <c r="FH235" s="255">
        <v>0</v>
      </c>
      <c r="FI235" s="255">
        <v>0</v>
      </c>
      <c r="FJ235" s="255">
        <v>0</v>
      </c>
      <c r="FK235" s="255">
        <v>0</v>
      </c>
      <c r="FL235" s="255">
        <v>0</v>
      </c>
      <c r="FM235" s="255">
        <v>0</v>
      </c>
      <c r="FN235" s="255">
        <v>0</v>
      </c>
      <c r="FO235" s="255">
        <v>0</v>
      </c>
      <c r="FP235" s="255">
        <v>0</v>
      </c>
      <c r="FQ235" s="255">
        <v>0</v>
      </c>
      <c r="FR235" s="255">
        <v>0</v>
      </c>
      <c r="FS235" s="255">
        <v>0</v>
      </c>
      <c r="FT235" s="255">
        <v>0</v>
      </c>
      <c r="FU235" s="255">
        <v>0</v>
      </c>
      <c r="FV235" s="255">
        <v>0</v>
      </c>
      <c r="FW235" s="255">
        <v>0</v>
      </c>
      <c r="FX235" s="116"/>
    </row>
    <row r="236" spans="2:180" x14ac:dyDescent="0.2">
      <c r="B236" s="253" t="s">
        <v>216</v>
      </c>
      <c r="C236" s="253" t="s">
        <v>326</v>
      </c>
      <c r="D236" s="253" t="s">
        <v>258</v>
      </c>
      <c r="E236" s="253" t="s">
        <v>127</v>
      </c>
      <c r="F236" s="253" t="s">
        <v>259</v>
      </c>
      <c r="G236" s="253" t="s">
        <v>260</v>
      </c>
      <c r="H236" s="237">
        <v>210.04</v>
      </c>
      <c r="I236" s="126">
        <f t="shared" si="88"/>
        <v>87563.279999999984</v>
      </c>
      <c r="J236" s="116"/>
      <c r="K236" s="254">
        <v>0</v>
      </c>
      <c r="L236" s="254">
        <v>0</v>
      </c>
      <c r="M236" s="254">
        <v>0</v>
      </c>
      <c r="N236" s="254">
        <v>0</v>
      </c>
      <c r="O236" s="254">
        <v>0</v>
      </c>
      <c r="P236" s="254">
        <v>0</v>
      </c>
      <c r="Q236" s="254">
        <v>0</v>
      </c>
      <c r="R236" s="254">
        <v>0</v>
      </c>
      <c r="S236" s="254">
        <v>0</v>
      </c>
      <c r="T236" s="254">
        <v>0</v>
      </c>
      <c r="U236" s="254">
        <v>0</v>
      </c>
      <c r="V236" s="254">
        <v>0</v>
      </c>
      <c r="W236" s="254">
        <v>0</v>
      </c>
      <c r="X236" s="254">
        <v>0</v>
      </c>
      <c r="Y236" s="254">
        <v>0</v>
      </c>
      <c r="Z236" s="254">
        <v>0</v>
      </c>
      <c r="AA236" s="254">
        <v>0</v>
      </c>
      <c r="AB236" s="254">
        <v>0</v>
      </c>
      <c r="AC236" s="254">
        <v>0</v>
      </c>
      <c r="AD236" s="254">
        <v>0</v>
      </c>
      <c r="AE236" s="254">
        <v>0</v>
      </c>
      <c r="AF236" s="254">
        <v>0.5</v>
      </c>
      <c r="AG236" s="254">
        <v>0.25</v>
      </c>
      <c r="AH236" s="254">
        <v>0</v>
      </c>
      <c r="AI236" s="254">
        <v>0</v>
      </c>
      <c r="AJ236" s="254">
        <v>0</v>
      </c>
      <c r="AK236" s="254">
        <v>0</v>
      </c>
      <c r="AL236" s="254">
        <v>0</v>
      </c>
      <c r="AM236" s="254">
        <v>0</v>
      </c>
      <c r="AN236" s="254">
        <v>0</v>
      </c>
      <c r="AO236" s="254">
        <v>0</v>
      </c>
      <c r="AP236" s="254">
        <v>0</v>
      </c>
      <c r="AQ236" s="254">
        <v>0</v>
      </c>
      <c r="AR236" s="254">
        <v>0</v>
      </c>
      <c r="AS236" s="254">
        <v>0</v>
      </c>
      <c r="AT236" s="254">
        <v>0</v>
      </c>
      <c r="AU236" s="254">
        <v>0</v>
      </c>
      <c r="AV236" s="254">
        <v>0</v>
      </c>
      <c r="AW236" s="254">
        <v>0</v>
      </c>
      <c r="AX236" s="254">
        <v>1.4666666666666666</v>
      </c>
      <c r="AY236" s="254">
        <v>0</v>
      </c>
      <c r="AZ236" s="254">
        <v>0</v>
      </c>
      <c r="BA236" s="254">
        <v>0.5</v>
      </c>
      <c r="BB236" s="254">
        <v>0.5</v>
      </c>
      <c r="BC236" s="254">
        <v>0</v>
      </c>
      <c r="BD236" s="254">
        <v>0</v>
      </c>
      <c r="BE236" s="254">
        <v>0</v>
      </c>
      <c r="BF236" s="254">
        <v>0</v>
      </c>
      <c r="BG236" s="254">
        <v>0</v>
      </c>
      <c r="BH236" s="254">
        <v>0</v>
      </c>
      <c r="BI236" s="254">
        <v>0</v>
      </c>
      <c r="BJ236" s="254">
        <v>0</v>
      </c>
      <c r="BK236" s="254">
        <v>0</v>
      </c>
      <c r="BL236" s="254">
        <v>0</v>
      </c>
      <c r="BM236" s="254">
        <v>0</v>
      </c>
      <c r="BN236" s="254">
        <v>0</v>
      </c>
      <c r="BO236" s="254">
        <v>0</v>
      </c>
      <c r="BP236" s="254">
        <v>0</v>
      </c>
      <c r="BQ236" s="254">
        <v>0</v>
      </c>
      <c r="BR236" s="254">
        <v>0</v>
      </c>
      <c r="BS236" s="254">
        <v>0</v>
      </c>
      <c r="BT236" s="254">
        <v>0</v>
      </c>
      <c r="BU236" s="254">
        <v>0</v>
      </c>
      <c r="BV236" s="254">
        <v>0</v>
      </c>
      <c r="BW236" s="254">
        <v>0</v>
      </c>
      <c r="BX236" s="254">
        <v>0</v>
      </c>
      <c r="BY236" s="254">
        <v>0</v>
      </c>
      <c r="BZ236" s="254">
        <v>0</v>
      </c>
      <c r="CA236" s="254">
        <v>0</v>
      </c>
      <c r="CB236" s="254">
        <v>0</v>
      </c>
      <c r="CC236" s="254">
        <v>0</v>
      </c>
      <c r="CD236" s="254">
        <v>0</v>
      </c>
      <c r="CE236" s="254">
        <v>0</v>
      </c>
      <c r="CF236" s="254">
        <v>0</v>
      </c>
      <c r="CG236" s="254">
        <v>0</v>
      </c>
      <c r="CH236" s="254">
        <v>0</v>
      </c>
      <c r="CI236" s="254">
        <v>0</v>
      </c>
      <c r="CJ236" s="254">
        <v>0</v>
      </c>
      <c r="CK236" s="254">
        <v>0</v>
      </c>
      <c r="CL236" s="254">
        <v>0</v>
      </c>
      <c r="CM236" s="254">
        <v>0</v>
      </c>
      <c r="CN236" s="254">
        <v>0</v>
      </c>
      <c r="CO236" s="254">
        <v>0</v>
      </c>
      <c r="CP236" s="254">
        <v>0</v>
      </c>
      <c r="CQ236" s="116"/>
      <c r="CR236" s="255">
        <v>0</v>
      </c>
      <c r="CS236" s="255">
        <v>0</v>
      </c>
      <c r="CT236" s="255">
        <v>0</v>
      </c>
      <c r="CU236" s="255">
        <v>0</v>
      </c>
      <c r="CV236" s="255">
        <v>0</v>
      </c>
      <c r="CW236" s="255">
        <v>0</v>
      </c>
      <c r="CX236" s="255">
        <v>0</v>
      </c>
      <c r="CY236" s="255">
        <v>0</v>
      </c>
      <c r="CZ236" s="255">
        <v>0</v>
      </c>
      <c r="DA236" s="255">
        <v>0</v>
      </c>
      <c r="DB236" s="255">
        <v>0</v>
      </c>
      <c r="DC236" s="255">
        <v>0</v>
      </c>
      <c r="DD236" s="255">
        <v>0</v>
      </c>
      <c r="DE236" s="255">
        <v>0</v>
      </c>
      <c r="DF236" s="255">
        <v>0</v>
      </c>
      <c r="DG236" s="255">
        <v>0</v>
      </c>
      <c r="DH236" s="255">
        <v>0</v>
      </c>
      <c r="DI236" s="255">
        <v>0</v>
      </c>
      <c r="DJ236" s="255">
        <v>0</v>
      </c>
      <c r="DK236" s="255">
        <v>0</v>
      </c>
      <c r="DL236" s="255">
        <v>0</v>
      </c>
      <c r="DM236" s="255">
        <v>14702.8</v>
      </c>
      <c r="DN236" s="255">
        <v>7351.4</v>
      </c>
      <c r="DO236" s="255">
        <v>0</v>
      </c>
      <c r="DP236" s="255">
        <v>0</v>
      </c>
      <c r="DQ236" s="255">
        <v>0</v>
      </c>
      <c r="DR236" s="255">
        <v>0</v>
      </c>
      <c r="DS236" s="255">
        <v>0</v>
      </c>
      <c r="DT236" s="255">
        <v>0</v>
      </c>
      <c r="DU236" s="255">
        <v>0</v>
      </c>
      <c r="DV236" s="255">
        <v>0</v>
      </c>
      <c r="DW236" s="255">
        <v>0</v>
      </c>
      <c r="DX236" s="255">
        <v>0</v>
      </c>
      <c r="DY236" s="255">
        <v>0</v>
      </c>
      <c r="DZ236" s="255">
        <v>0</v>
      </c>
      <c r="EA236" s="255">
        <v>0</v>
      </c>
      <c r="EB236" s="255">
        <v>0</v>
      </c>
      <c r="EC236" s="255">
        <v>0</v>
      </c>
      <c r="ED236" s="255">
        <v>0</v>
      </c>
      <c r="EE236" s="255">
        <v>34314.28</v>
      </c>
      <c r="EF236" s="255">
        <v>0</v>
      </c>
      <c r="EG236" s="255">
        <v>0</v>
      </c>
      <c r="EH236" s="255">
        <v>15597.4</v>
      </c>
      <c r="EI236" s="255">
        <v>15597.4</v>
      </c>
      <c r="EJ236" s="255">
        <v>0</v>
      </c>
      <c r="EK236" s="255">
        <v>0</v>
      </c>
      <c r="EL236" s="255">
        <v>0</v>
      </c>
      <c r="EM236" s="255">
        <v>0</v>
      </c>
      <c r="EN236" s="255">
        <v>0</v>
      </c>
      <c r="EO236" s="255">
        <v>0</v>
      </c>
      <c r="EP236" s="255">
        <v>0</v>
      </c>
      <c r="EQ236" s="255">
        <v>0</v>
      </c>
      <c r="ER236" s="255">
        <v>0</v>
      </c>
      <c r="ES236" s="255">
        <v>0</v>
      </c>
      <c r="ET236" s="255">
        <v>0</v>
      </c>
      <c r="EU236" s="255">
        <v>0</v>
      </c>
      <c r="EV236" s="255">
        <v>0</v>
      </c>
      <c r="EW236" s="255">
        <v>0</v>
      </c>
      <c r="EX236" s="255">
        <v>0</v>
      </c>
      <c r="EY236" s="255">
        <v>0</v>
      </c>
      <c r="EZ236" s="255">
        <v>0</v>
      </c>
      <c r="FA236" s="255">
        <v>0</v>
      </c>
      <c r="FB236" s="255">
        <v>0</v>
      </c>
      <c r="FC236" s="255">
        <v>0</v>
      </c>
      <c r="FD236" s="255">
        <v>0</v>
      </c>
      <c r="FE236" s="255">
        <v>0</v>
      </c>
      <c r="FF236" s="255">
        <v>0</v>
      </c>
      <c r="FG236" s="255">
        <v>0</v>
      </c>
      <c r="FH236" s="255">
        <v>0</v>
      </c>
      <c r="FI236" s="255">
        <v>0</v>
      </c>
      <c r="FJ236" s="255">
        <v>0</v>
      </c>
      <c r="FK236" s="255">
        <v>0</v>
      </c>
      <c r="FL236" s="255">
        <v>0</v>
      </c>
      <c r="FM236" s="255">
        <v>0</v>
      </c>
      <c r="FN236" s="255">
        <v>0</v>
      </c>
      <c r="FO236" s="255">
        <v>0</v>
      </c>
      <c r="FP236" s="255">
        <v>0</v>
      </c>
      <c r="FQ236" s="255">
        <v>0</v>
      </c>
      <c r="FR236" s="255">
        <v>0</v>
      </c>
      <c r="FS236" s="255">
        <v>0</v>
      </c>
      <c r="FT236" s="255">
        <v>0</v>
      </c>
      <c r="FU236" s="255">
        <v>0</v>
      </c>
      <c r="FV236" s="255">
        <v>0</v>
      </c>
      <c r="FW236" s="255">
        <v>0</v>
      </c>
      <c r="FX236" s="116"/>
    </row>
    <row r="237" spans="2:180" x14ac:dyDescent="0.2">
      <c r="B237" s="253" t="s">
        <v>216</v>
      </c>
      <c r="C237" s="253" t="s">
        <v>326</v>
      </c>
      <c r="D237" s="253" t="s">
        <v>258</v>
      </c>
      <c r="E237" s="253" t="s">
        <v>127</v>
      </c>
      <c r="F237" s="253">
        <v>0</v>
      </c>
      <c r="G237" s="253" t="s">
        <v>322</v>
      </c>
      <c r="H237" s="237">
        <v>210.04</v>
      </c>
      <c r="I237" s="126">
        <f t="shared" si="88"/>
        <v>65823.199999999997</v>
      </c>
      <c r="J237" s="116"/>
      <c r="K237" s="254">
        <v>0</v>
      </c>
      <c r="L237" s="254">
        <v>0</v>
      </c>
      <c r="M237" s="254">
        <v>0</v>
      </c>
      <c r="N237" s="254">
        <v>0</v>
      </c>
      <c r="O237" s="254">
        <v>0</v>
      </c>
      <c r="P237" s="254">
        <v>0</v>
      </c>
      <c r="Q237" s="254">
        <v>0</v>
      </c>
      <c r="R237" s="254">
        <v>0</v>
      </c>
      <c r="S237" s="254">
        <v>0</v>
      </c>
      <c r="T237" s="254">
        <v>0</v>
      </c>
      <c r="U237" s="254">
        <v>0</v>
      </c>
      <c r="V237" s="254">
        <v>0</v>
      </c>
      <c r="W237" s="254">
        <v>0</v>
      </c>
      <c r="X237" s="254">
        <v>0</v>
      </c>
      <c r="Y237" s="254">
        <v>0</v>
      </c>
      <c r="Z237" s="254">
        <v>0</v>
      </c>
      <c r="AA237" s="254">
        <v>0</v>
      </c>
      <c r="AB237" s="254">
        <v>0</v>
      </c>
      <c r="AC237" s="254">
        <v>0</v>
      </c>
      <c r="AD237" s="254">
        <v>0</v>
      </c>
      <c r="AE237" s="254">
        <v>0</v>
      </c>
      <c r="AF237" s="254">
        <v>0.21428571428571427</v>
      </c>
      <c r="AG237" s="254">
        <v>7.1428571428571425E-2</v>
      </c>
      <c r="AH237" s="254">
        <v>0</v>
      </c>
      <c r="AI237" s="254">
        <v>0</v>
      </c>
      <c r="AJ237" s="254">
        <v>0</v>
      </c>
      <c r="AK237" s="254">
        <v>0</v>
      </c>
      <c r="AL237" s="254">
        <v>0</v>
      </c>
      <c r="AM237" s="254">
        <v>0</v>
      </c>
      <c r="AN237" s="254">
        <v>0</v>
      </c>
      <c r="AO237" s="254">
        <v>0</v>
      </c>
      <c r="AP237" s="254">
        <v>0</v>
      </c>
      <c r="AQ237" s="254">
        <v>0</v>
      </c>
      <c r="AR237" s="254">
        <v>0</v>
      </c>
      <c r="AS237" s="254">
        <v>0</v>
      </c>
      <c r="AT237" s="254">
        <v>0</v>
      </c>
      <c r="AU237" s="254">
        <v>0</v>
      </c>
      <c r="AV237" s="254">
        <v>0</v>
      </c>
      <c r="AW237" s="254">
        <v>0</v>
      </c>
      <c r="AX237" s="254">
        <v>0.47619047619047616</v>
      </c>
      <c r="AY237" s="254">
        <v>0</v>
      </c>
      <c r="AZ237" s="254">
        <v>0</v>
      </c>
      <c r="BA237" s="254">
        <v>0.21428571428571427</v>
      </c>
      <c r="BB237" s="254">
        <v>0.21428571428571427</v>
      </c>
      <c r="BC237" s="254">
        <v>0</v>
      </c>
      <c r="BD237" s="254">
        <v>0</v>
      </c>
      <c r="BE237" s="254">
        <v>0</v>
      </c>
      <c r="BF237" s="254">
        <v>0</v>
      </c>
      <c r="BG237" s="254">
        <v>0</v>
      </c>
      <c r="BH237" s="254">
        <v>0</v>
      </c>
      <c r="BI237" s="254">
        <v>0</v>
      </c>
      <c r="BJ237" s="254">
        <v>0</v>
      </c>
      <c r="BK237" s="254">
        <v>0</v>
      </c>
      <c r="BL237" s="254">
        <v>0</v>
      </c>
      <c r="BM237" s="254">
        <v>0</v>
      </c>
      <c r="BN237" s="254">
        <v>0</v>
      </c>
      <c r="BO237" s="254">
        <v>0</v>
      </c>
      <c r="BP237" s="254">
        <v>0</v>
      </c>
      <c r="BQ237" s="254">
        <v>0</v>
      </c>
      <c r="BR237" s="254">
        <v>0</v>
      </c>
      <c r="BS237" s="254">
        <v>0</v>
      </c>
      <c r="BT237" s="254">
        <v>0</v>
      </c>
      <c r="BU237" s="254">
        <v>0</v>
      </c>
      <c r="BV237" s="254">
        <v>0</v>
      </c>
      <c r="BW237" s="254">
        <v>0</v>
      </c>
      <c r="BX237" s="254">
        <v>0</v>
      </c>
      <c r="BY237" s="254">
        <v>0</v>
      </c>
      <c r="BZ237" s="254">
        <v>0</v>
      </c>
      <c r="CA237" s="254">
        <v>0</v>
      </c>
      <c r="CB237" s="254">
        <v>0</v>
      </c>
      <c r="CC237" s="254">
        <v>0</v>
      </c>
      <c r="CD237" s="254">
        <v>0</v>
      </c>
      <c r="CE237" s="254">
        <v>0</v>
      </c>
      <c r="CF237" s="254">
        <v>0</v>
      </c>
      <c r="CG237" s="254">
        <v>0</v>
      </c>
      <c r="CH237" s="254">
        <v>0</v>
      </c>
      <c r="CI237" s="254">
        <v>0</v>
      </c>
      <c r="CJ237" s="254">
        <v>0</v>
      </c>
      <c r="CK237" s="254">
        <v>0</v>
      </c>
      <c r="CL237" s="254">
        <v>0</v>
      </c>
      <c r="CM237" s="254">
        <v>0</v>
      </c>
      <c r="CN237" s="254">
        <v>0</v>
      </c>
      <c r="CO237" s="254">
        <v>0</v>
      </c>
      <c r="CP237" s="254">
        <v>0</v>
      </c>
      <c r="CQ237" s="116"/>
      <c r="CR237" s="255">
        <v>0</v>
      </c>
      <c r="CS237" s="255">
        <v>0</v>
      </c>
      <c r="CT237" s="255">
        <v>0</v>
      </c>
      <c r="CU237" s="255">
        <v>0</v>
      </c>
      <c r="CV237" s="255">
        <v>0</v>
      </c>
      <c r="CW237" s="255">
        <v>0</v>
      </c>
      <c r="CX237" s="255">
        <v>0</v>
      </c>
      <c r="CY237" s="255">
        <v>0</v>
      </c>
      <c r="CZ237" s="255">
        <v>0</v>
      </c>
      <c r="DA237" s="255">
        <v>0</v>
      </c>
      <c r="DB237" s="255">
        <v>0</v>
      </c>
      <c r="DC237" s="255">
        <v>0</v>
      </c>
      <c r="DD237" s="255">
        <v>0</v>
      </c>
      <c r="DE237" s="255">
        <v>0</v>
      </c>
      <c r="DF237" s="255">
        <v>0</v>
      </c>
      <c r="DG237" s="255">
        <v>0</v>
      </c>
      <c r="DH237" s="255">
        <v>0</v>
      </c>
      <c r="DI237" s="255">
        <v>0</v>
      </c>
      <c r="DJ237" s="255">
        <v>0</v>
      </c>
      <c r="DK237" s="255">
        <v>0</v>
      </c>
      <c r="DL237" s="255">
        <v>0</v>
      </c>
      <c r="DM237" s="255">
        <v>12602.1</v>
      </c>
      <c r="DN237" s="255">
        <v>4200.7</v>
      </c>
      <c r="DO237" s="255">
        <v>0</v>
      </c>
      <c r="DP237" s="255">
        <v>0</v>
      </c>
      <c r="DQ237" s="255">
        <v>0</v>
      </c>
      <c r="DR237" s="255">
        <v>0</v>
      </c>
      <c r="DS237" s="255">
        <v>0</v>
      </c>
      <c r="DT237" s="255">
        <v>0</v>
      </c>
      <c r="DU237" s="255">
        <v>0</v>
      </c>
      <c r="DV237" s="255">
        <v>0</v>
      </c>
      <c r="DW237" s="255">
        <v>0</v>
      </c>
      <c r="DX237" s="255">
        <v>0</v>
      </c>
      <c r="DY237" s="255">
        <v>0</v>
      </c>
      <c r="DZ237" s="255">
        <v>0</v>
      </c>
      <c r="EA237" s="255">
        <v>0</v>
      </c>
      <c r="EB237" s="255">
        <v>0</v>
      </c>
      <c r="EC237" s="255">
        <v>0</v>
      </c>
      <c r="ED237" s="255">
        <v>0</v>
      </c>
      <c r="EE237" s="255">
        <v>22282</v>
      </c>
      <c r="EF237" s="255">
        <v>0</v>
      </c>
      <c r="EG237" s="255">
        <v>0</v>
      </c>
      <c r="EH237" s="255">
        <v>13369.199999999999</v>
      </c>
      <c r="EI237" s="255">
        <v>13369.199999999999</v>
      </c>
      <c r="EJ237" s="255">
        <v>0</v>
      </c>
      <c r="EK237" s="255">
        <v>0</v>
      </c>
      <c r="EL237" s="255">
        <v>0</v>
      </c>
      <c r="EM237" s="255">
        <v>0</v>
      </c>
      <c r="EN237" s="255">
        <v>0</v>
      </c>
      <c r="EO237" s="255">
        <v>0</v>
      </c>
      <c r="EP237" s="255">
        <v>0</v>
      </c>
      <c r="EQ237" s="255">
        <v>0</v>
      </c>
      <c r="ER237" s="255">
        <v>0</v>
      </c>
      <c r="ES237" s="255">
        <v>0</v>
      </c>
      <c r="ET237" s="255">
        <v>0</v>
      </c>
      <c r="EU237" s="255">
        <v>0</v>
      </c>
      <c r="EV237" s="255">
        <v>0</v>
      </c>
      <c r="EW237" s="255">
        <v>0</v>
      </c>
      <c r="EX237" s="255">
        <v>0</v>
      </c>
      <c r="EY237" s="255">
        <v>0</v>
      </c>
      <c r="EZ237" s="255">
        <v>0</v>
      </c>
      <c r="FA237" s="255">
        <v>0</v>
      </c>
      <c r="FB237" s="255">
        <v>0</v>
      </c>
      <c r="FC237" s="255">
        <v>0</v>
      </c>
      <c r="FD237" s="255">
        <v>0</v>
      </c>
      <c r="FE237" s="255">
        <v>0</v>
      </c>
      <c r="FF237" s="255">
        <v>0</v>
      </c>
      <c r="FG237" s="255">
        <v>0</v>
      </c>
      <c r="FH237" s="255">
        <v>0</v>
      </c>
      <c r="FI237" s="255">
        <v>0</v>
      </c>
      <c r="FJ237" s="255">
        <v>0</v>
      </c>
      <c r="FK237" s="255">
        <v>0</v>
      </c>
      <c r="FL237" s="255">
        <v>0</v>
      </c>
      <c r="FM237" s="255">
        <v>0</v>
      </c>
      <c r="FN237" s="255">
        <v>0</v>
      </c>
      <c r="FO237" s="255">
        <v>0</v>
      </c>
      <c r="FP237" s="255">
        <v>0</v>
      </c>
      <c r="FQ237" s="255">
        <v>0</v>
      </c>
      <c r="FR237" s="255">
        <v>0</v>
      </c>
      <c r="FS237" s="255">
        <v>0</v>
      </c>
      <c r="FT237" s="255">
        <v>0</v>
      </c>
      <c r="FU237" s="255">
        <v>0</v>
      </c>
      <c r="FV237" s="255">
        <v>0</v>
      </c>
      <c r="FW237" s="255">
        <v>0</v>
      </c>
      <c r="FX237" s="116"/>
    </row>
    <row r="238" spans="2:180" x14ac:dyDescent="0.2">
      <c r="B238" s="253" t="s">
        <v>216</v>
      </c>
      <c r="C238" s="253" t="s">
        <v>327</v>
      </c>
      <c r="D238" s="253" t="s">
        <v>258</v>
      </c>
      <c r="E238" s="253" t="s">
        <v>127</v>
      </c>
      <c r="F238" s="253" t="s">
        <v>259</v>
      </c>
      <c r="G238" s="253" t="s">
        <v>260</v>
      </c>
      <c r="H238" s="237">
        <v>221.91</v>
      </c>
      <c r="I238" s="126">
        <f t="shared" si="88"/>
        <v>328202.28000000003</v>
      </c>
      <c r="J238" s="116"/>
      <c r="K238" s="254">
        <v>0</v>
      </c>
      <c r="L238" s="254">
        <v>0</v>
      </c>
      <c r="M238" s="254">
        <v>0</v>
      </c>
      <c r="N238" s="254">
        <v>0</v>
      </c>
      <c r="O238" s="254">
        <v>0</v>
      </c>
      <c r="P238" s="254">
        <v>0</v>
      </c>
      <c r="Q238" s="254">
        <v>0</v>
      </c>
      <c r="R238" s="254">
        <v>0</v>
      </c>
      <c r="S238" s="254">
        <v>0</v>
      </c>
      <c r="T238" s="254">
        <v>0</v>
      </c>
      <c r="U238" s="254">
        <v>0</v>
      </c>
      <c r="V238" s="254">
        <v>0</v>
      </c>
      <c r="W238" s="254">
        <v>0</v>
      </c>
      <c r="X238" s="254">
        <v>0</v>
      </c>
      <c r="Y238" s="254">
        <v>0</v>
      </c>
      <c r="Z238" s="254">
        <v>0</v>
      </c>
      <c r="AA238" s="254">
        <v>0</v>
      </c>
      <c r="AB238" s="254">
        <v>0</v>
      </c>
      <c r="AC238" s="254">
        <v>0</v>
      </c>
      <c r="AD238" s="254">
        <v>0</v>
      </c>
      <c r="AE238" s="254">
        <v>0</v>
      </c>
      <c r="AF238" s="254">
        <v>0.5</v>
      </c>
      <c r="AG238" s="254">
        <v>0.5</v>
      </c>
      <c r="AH238" s="254">
        <v>1.5333333333333334</v>
      </c>
      <c r="AI238" s="254">
        <v>1.4</v>
      </c>
      <c r="AJ238" s="254">
        <v>1</v>
      </c>
      <c r="AK238" s="254">
        <v>0</v>
      </c>
      <c r="AL238" s="254">
        <v>0</v>
      </c>
      <c r="AM238" s="254">
        <v>0</v>
      </c>
      <c r="AN238" s="254">
        <v>0</v>
      </c>
      <c r="AO238" s="254">
        <v>0</v>
      </c>
      <c r="AP238" s="254">
        <v>0</v>
      </c>
      <c r="AQ238" s="254">
        <v>0</v>
      </c>
      <c r="AR238" s="254">
        <v>0</v>
      </c>
      <c r="AS238" s="254">
        <v>0</v>
      </c>
      <c r="AT238" s="254">
        <v>0</v>
      </c>
      <c r="AU238" s="254">
        <v>0</v>
      </c>
      <c r="AV238" s="254">
        <v>0</v>
      </c>
      <c r="AW238" s="254">
        <v>0</v>
      </c>
      <c r="AX238" s="254">
        <v>2.1333333333333333</v>
      </c>
      <c r="AY238" s="254">
        <v>1.013157894736842</v>
      </c>
      <c r="AZ238" s="254">
        <v>0.96710526315789469</v>
      </c>
      <c r="BA238" s="254">
        <v>1.1000000000000001</v>
      </c>
      <c r="BB238" s="254">
        <v>1.1499999999999999</v>
      </c>
      <c r="BC238" s="254">
        <v>0</v>
      </c>
      <c r="BD238" s="254">
        <v>0</v>
      </c>
      <c r="BE238" s="254">
        <v>0</v>
      </c>
      <c r="BF238" s="254">
        <v>0</v>
      </c>
      <c r="BG238" s="254">
        <v>0</v>
      </c>
      <c r="BH238" s="254">
        <v>0</v>
      </c>
      <c r="BI238" s="254">
        <v>0</v>
      </c>
      <c r="BJ238" s="254">
        <v>0</v>
      </c>
      <c r="BK238" s="254">
        <v>0</v>
      </c>
      <c r="BL238" s="254">
        <v>0</v>
      </c>
      <c r="BM238" s="254">
        <v>0</v>
      </c>
      <c r="BN238" s="254">
        <v>0</v>
      </c>
      <c r="BO238" s="254">
        <v>0</v>
      </c>
      <c r="BP238" s="254">
        <v>0</v>
      </c>
      <c r="BQ238" s="254">
        <v>0</v>
      </c>
      <c r="BR238" s="254">
        <v>0</v>
      </c>
      <c r="BS238" s="254">
        <v>0</v>
      </c>
      <c r="BT238" s="254">
        <v>0</v>
      </c>
      <c r="BU238" s="254">
        <v>0</v>
      </c>
      <c r="BV238" s="254">
        <v>0</v>
      </c>
      <c r="BW238" s="254">
        <v>0</v>
      </c>
      <c r="BX238" s="254">
        <v>0</v>
      </c>
      <c r="BY238" s="254">
        <v>0</v>
      </c>
      <c r="BZ238" s="254">
        <v>0</v>
      </c>
      <c r="CA238" s="254">
        <v>0</v>
      </c>
      <c r="CB238" s="254">
        <v>0</v>
      </c>
      <c r="CC238" s="254">
        <v>0</v>
      </c>
      <c r="CD238" s="254">
        <v>0</v>
      </c>
      <c r="CE238" s="254">
        <v>0</v>
      </c>
      <c r="CF238" s="254">
        <v>0</v>
      </c>
      <c r="CG238" s="254">
        <v>0</v>
      </c>
      <c r="CH238" s="254">
        <v>0</v>
      </c>
      <c r="CI238" s="254">
        <v>0</v>
      </c>
      <c r="CJ238" s="254">
        <v>0</v>
      </c>
      <c r="CK238" s="254">
        <v>0</v>
      </c>
      <c r="CL238" s="254">
        <v>0</v>
      </c>
      <c r="CM238" s="254">
        <v>0</v>
      </c>
      <c r="CN238" s="254">
        <v>0</v>
      </c>
      <c r="CO238" s="254">
        <v>0</v>
      </c>
      <c r="CP238" s="254">
        <v>0</v>
      </c>
      <c r="CQ238" s="116"/>
      <c r="CR238" s="255">
        <v>0</v>
      </c>
      <c r="CS238" s="255">
        <v>0</v>
      </c>
      <c r="CT238" s="255">
        <v>0</v>
      </c>
      <c r="CU238" s="255">
        <v>0</v>
      </c>
      <c r="CV238" s="255">
        <v>0</v>
      </c>
      <c r="CW238" s="255">
        <v>0</v>
      </c>
      <c r="CX238" s="255">
        <v>0</v>
      </c>
      <c r="CY238" s="255">
        <v>0</v>
      </c>
      <c r="CZ238" s="255">
        <v>0</v>
      </c>
      <c r="DA238" s="255">
        <v>0</v>
      </c>
      <c r="DB238" s="255">
        <v>0</v>
      </c>
      <c r="DC238" s="255">
        <v>0</v>
      </c>
      <c r="DD238" s="255">
        <v>0</v>
      </c>
      <c r="DE238" s="255">
        <v>0</v>
      </c>
      <c r="DF238" s="255">
        <v>0</v>
      </c>
      <c r="DG238" s="255">
        <v>0</v>
      </c>
      <c r="DH238" s="255">
        <v>0</v>
      </c>
      <c r="DI238" s="255">
        <v>0</v>
      </c>
      <c r="DJ238" s="255">
        <v>0</v>
      </c>
      <c r="DK238" s="255">
        <v>0</v>
      </c>
      <c r="DL238" s="255">
        <v>0</v>
      </c>
      <c r="DM238" s="255">
        <v>15533.699999999999</v>
      </c>
      <c r="DN238" s="255">
        <v>15533.699999999999</v>
      </c>
      <c r="DO238" s="255">
        <v>35727.51</v>
      </c>
      <c r="DP238" s="255">
        <v>32620.77</v>
      </c>
      <c r="DQ238" s="255">
        <v>31067.399999999998</v>
      </c>
      <c r="DR238" s="255">
        <v>0</v>
      </c>
      <c r="DS238" s="255">
        <v>0</v>
      </c>
      <c r="DT238" s="255">
        <v>0</v>
      </c>
      <c r="DU238" s="255">
        <v>0</v>
      </c>
      <c r="DV238" s="255">
        <v>0</v>
      </c>
      <c r="DW238" s="255">
        <v>0</v>
      </c>
      <c r="DX238" s="255">
        <v>0</v>
      </c>
      <c r="DY238" s="255">
        <v>0</v>
      </c>
      <c r="DZ238" s="255">
        <v>0</v>
      </c>
      <c r="EA238" s="255">
        <v>0</v>
      </c>
      <c r="EB238" s="255">
        <v>0</v>
      </c>
      <c r="EC238" s="255">
        <v>0</v>
      </c>
      <c r="ED238" s="255">
        <v>0</v>
      </c>
      <c r="EE238" s="255">
        <v>52725.119999999995</v>
      </c>
      <c r="EF238" s="255">
        <v>36248.519999999997</v>
      </c>
      <c r="EG238" s="255">
        <v>34600.86</v>
      </c>
      <c r="EH238" s="255">
        <v>36248.519999999997</v>
      </c>
      <c r="EI238" s="255">
        <v>37896.18</v>
      </c>
      <c r="EJ238" s="255">
        <v>0</v>
      </c>
      <c r="EK238" s="255">
        <v>0</v>
      </c>
      <c r="EL238" s="255">
        <v>0</v>
      </c>
      <c r="EM238" s="255">
        <v>0</v>
      </c>
      <c r="EN238" s="255">
        <v>0</v>
      </c>
      <c r="EO238" s="255">
        <v>0</v>
      </c>
      <c r="EP238" s="255">
        <v>0</v>
      </c>
      <c r="EQ238" s="255">
        <v>0</v>
      </c>
      <c r="ER238" s="255">
        <v>0</v>
      </c>
      <c r="ES238" s="255">
        <v>0</v>
      </c>
      <c r="ET238" s="255">
        <v>0</v>
      </c>
      <c r="EU238" s="255">
        <v>0</v>
      </c>
      <c r="EV238" s="255">
        <v>0</v>
      </c>
      <c r="EW238" s="255">
        <v>0</v>
      </c>
      <c r="EX238" s="255">
        <v>0</v>
      </c>
      <c r="EY238" s="255">
        <v>0</v>
      </c>
      <c r="EZ238" s="255">
        <v>0</v>
      </c>
      <c r="FA238" s="255">
        <v>0</v>
      </c>
      <c r="FB238" s="255">
        <v>0</v>
      </c>
      <c r="FC238" s="255">
        <v>0</v>
      </c>
      <c r="FD238" s="255">
        <v>0</v>
      </c>
      <c r="FE238" s="255">
        <v>0</v>
      </c>
      <c r="FF238" s="255">
        <v>0</v>
      </c>
      <c r="FG238" s="255">
        <v>0</v>
      </c>
      <c r="FH238" s="255">
        <v>0</v>
      </c>
      <c r="FI238" s="255">
        <v>0</v>
      </c>
      <c r="FJ238" s="255">
        <v>0</v>
      </c>
      <c r="FK238" s="255">
        <v>0</v>
      </c>
      <c r="FL238" s="255">
        <v>0</v>
      </c>
      <c r="FM238" s="255">
        <v>0</v>
      </c>
      <c r="FN238" s="255">
        <v>0</v>
      </c>
      <c r="FO238" s="255">
        <v>0</v>
      </c>
      <c r="FP238" s="255">
        <v>0</v>
      </c>
      <c r="FQ238" s="255">
        <v>0</v>
      </c>
      <c r="FR238" s="255">
        <v>0</v>
      </c>
      <c r="FS238" s="255">
        <v>0</v>
      </c>
      <c r="FT238" s="255">
        <v>0</v>
      </c>
      <c r="FU238" s="255">
        <v>0</v>
      </c>
      <c r="FV238" s="255">
        <v>0</v>
      </c>
      <c r="FW238" s="255">
        <v>0</v>
      </c>
      <c r="FX238" s="116"/>
    </row>
    <row r="239" spans="2:180" x14ac:dyDescent="0.2">
      <c r="B239" s="253" t="s">
        <v>216</v>
      </c>
      <c r="C239" s="253" t="s">
        <v>327</v>
      </c>
      <c r="D239" s="253" t="s">
        <v>258</v>
      </c>
      <c r="E239" s="253" t="s">
        <v>127</v>
      </c>
      <c r="F239" s="253">
        <v>0</v>
      </c>
      <c r="G239" s="253" t="s">
        <v>322</v>
      </c>
      <c r="H239" s="237">
        <v>221.91</v>
      </c>
      <c r="I239" s="126">
        <f t="shared" si="88"/>
        <v>225012.2</v>
      </c>
      <c r="J239" s="116"/>
      <c r="K239" s="254">
        <v>0</v>
      </c>
      <c r="L239" s="254">
        <v>0</v>
      </c>
      <c r="M239" s="254">
        <v>0</v>
      </c>
      <c r="N239" s="254">
        <v>0</v>
      </c>
      <c r="O239" s="254">
        <v>0</v>
      </c>
      <c r="P239" s="254">
        <v>0</v>
      </c>
      <c r="Q239" s="254">
        <v>0</v>
      </c>
      <c r="R239" s="254">
        <v>0</v>
      </c>
      <c r="S239" s="254">
        <v>0</v>
      </c>
      <c r="T239" s="254">
        <v>0</v>
      </c>
      <c r="U239" s="254">
        <v>0</v>
      </c>
      <c r="V239" s="254">
        <v>0</v>
      </c>
      <c r="W239" s="254">
        <v>0</v>
      </c>
      <c r="X239" s="254">
        <v>0</v>
      </c>
      <c r="Y239" s="254">
        <v>0</v>
      </c>
      <c r="Z239" s="254">
        <v>0</v>
      </c>
      <c r="AA239" s="254">
        <v>0</v>
      </c>
      <c r="AB239" s="254">
        <v>0</v>
      </c>
      <c r="AC239" s="254">
        <v>0</v>
      </c>
      <c r="AD239" s="254">
        <v>0</v>
      </c>
      <c r="AE239" s="254">
        <v>0</v>
      </c>
      <c r="AF239" s="254">
        <v>0.21428571428571427</v>
      </c>
      <c r="AG239" s="254">
        <v>0.21428571428571427</v>
      </c>
      <c r="AH239" s="254">
        <v>0.47619047619047616</v>
      </c>
      <c r="AI239" s="254">
        <v>0.47619047619047616</v>
      </c>
      <c r="AJ239" s="254">
        <v>0.35714285714285715</v>
      </c>
      <c r="AK239" s="254">
        <v>0</v>
      </c>
      <c r="AL239" s="254">
        <v>0</v>
      </c>
      <c r="AM239" s="254">
        <v>0</v>
      </c>
      <c r="AN239" s="254">
        <v>0</v>
      </c>
      <c r="AO239" s="254">
        <v>0</v>
      </c>
      <c r="AP239" s="254">
        <v>0</v>
      </c>
      <c r="AQ239" s="254">
        <v>0</v>
      </c>
      <c r="AR239" s="254">
        <v>0</v>
      </c>
      <c r="AS239" s="254">
        <v>0</v>
      </c>
      <c r="AT239" s="254">
        <v>0</v>
      </c>
      <c r="AU239" s="254">
        <v>0</v>
      </c>
      <c r="AV239" s="254">
        <v>0</v>
      </c>
      <c r="AW239" s="254">
        <v>0</v>
      </c>
      <c r="AX239" s="254">
        <v>0.76190476190476186</v>
      </c>
      <c r="AY239" s="254">
        <v>0.32894736842105265</v>
      </c>
      <c r="AZ239" s="254">
        <v>0.32894736842105265</v>
      </c>
      <c r="BA239" s="254">
        <v>0.35714285714285715</v>
      </c>
      <c r="BB239" s="254">
        <v>0.35714285714285715</v>
      </c>
      <c r="BC239" s="254">
        <v>0</v>
      </c>
      <c r="BD239" s="254">
        <v>0</v>
      </c>
      <c r="BE239" s="254">
        <v>0</v>
      </c>
      <c r="BF239" s="254">
        <v>0</v>
      </c>
      <c r="BG239" s="254">
        <v>0</v>
      </c>
      <c r="BH239" s="254">
        <v>0</v>
      </c>
      <c r="BI239" s="254">
        <v>0</v>
      </c>
      <c r="BJ239" s="254">
        <v>0</v>
      </c>
      <c r="BK239" s="254">
        <v>0</v>
      </c>
      <c r="BL239" s="254">
        <v>0</v>
      </c>
      <c r="BM239" s="254">
        <v>0</v>
      </c>
      <c r="BN239" s="254">
        <v>0</v>
      </c>
      <c r="BO239" s="254">
        <v>0</v>
      </c>
      <c r="BP239" s="254">
        <v>0</v>
      </c>
      <c r="BQ239" s="254">
        <v>0</v>
      </c>
      <c r="BR239" s="254">
        <v>0</v>
      </c>
      <c r="BS239" s="254">
        <v>0</v>
      </c>
      <c r="BT239" s="254">
        <v>0</v>
      </c>
      <c r="BU239" s="254">
        <v>0</v>
      </c>
      <c r="BV239" s="254">
        <v>0</v>
      </c>
      <c r="BW239" s="254">
        <v>0</v>
      </c>
      <c r="BX239" s="254">
        <v>0</v>
      </c>
      <c r="BY239" s="254">
        <v>0</v>
      </c>
      <c r="BZ239" s="254">
        <v>0</v>
      </c>
      <c r="CA239" s="254">
        <v>0</v>
      </c>
      <c r="CB239" s="254">
        <v>0</v>
      </c>
      <c r="CC239" s="254">
        <v>0</v>
      </c>
      <c r="CD239" s="254">
        <v>0</v>
      </c>
      <c r="CE239" s="254">
        <v>0</v>
      </c>
      <c r="CF239" s="254">
        <v>0</v>
      </c>
      <c r="CG239" s="254">
        <v>0</v>
      </c>
      <c r="CH239" s="254">
        <v>0</v>
      </c>
      <c r="CI239" s="254">
        <v>0</v>
      </c>
      <c r="CJ239" s="254">
        <v>0</v>
      </c>
      <c r="CK239" s="254">
        <v>0</v>
      </c>
      <c r="CL239" s="254">
        <v>0</v>
      </c>
      <c r="CM239" s="254">
        <v>0</v>
      </c>
      <c r="CN239" s="254">
        <v>0</v>
      </c>
      <c r="CO239" s="254">
        <v>0</v>
      </c>
      <c r="CP239" s="254">
        <v>0</v>
      </c>
      <c r="CQ239" s="116"/>
      <c r="CR239" s="255">
        <v>0</v>
      </c>
      <c r="CS239" s="255">
        <v>0</v>
      </c>
      <c r="CT239" s="255">
        <v>0</v>
      </c>
      <c r="CU239" s="255">
        <v>0</v>
      </c>
      <c r="CV239" s="255">
        <v>0</v>
      </c>
      <c r="CW239" s="255">
        <v>0</v>
      </c>
      <c r="CX239" s="255">
        <v>0</v>
      </c>
      <c r="CY239" s="255">
        <v>0</v>
      </c>
      <c r="CZ239" s="255">
        <v>0</v>
      </c>
      <c r="DA239" s="255">
        <v>0</v>
      </c>
      <c r="DB239" s="255">
        <v>0</v>
      </c>
      <c r="DC239" s="255">
        <v>0</v>
      </c>
      <c r="DD239" s="255">
        <v>0</v>
      </c>
      <c r="DE239" s="255">
        <v>0</v>
      </c>
      <c r="DF239" s="255">
        <v>0</v>
      </c>
      <c r="DG239" s="255">
        <v>0</v>
      </c>
      <c r="DH239" s="255">
        <v>0</v>
      </c>
      <c r="DI239" s="255">
        <v>0</v>
      </c>
      <c r="DJ239" s="255">
        <v>0</v>
      </c>
      <c r="DK239" s="255">
        <v>0</v>
      </c>
      <c r="DL239" s="255">
        <v>0</v>
      </c>
      <c r="DM239" s="255">
        <v>13314.6</v>
      </c>
      <c r="DN239" s="255">
        <v>13314.6</v>
      </c>
      <c r="DO239" s="255">
        <v>22191</v>
      </c>
      <c r="DP239" s="255">
        <v>22191</v>
      </c>
      <c r="DQ239" s="255">
        <v>22191</v>
      </c>
      <c r="DR239" s="255">
        <v>0</v>
      </c>
      <c r="DS239" s="255">
        <v>0</v>
      </c>
      <c r="DT239" s="255">
        <v>0</v>
      </c>
      <c r="DU239" s="255">
        <v>0</v>
      </c>
      <c r="DV239" s="255">
        <v>0</v>
      </c>
      <c r="DW239" s="255">
        <v>0</v>
      </c>
      <c r="DX239" s="255">
        <v>0</v>
      </c>
      <c r="DY239" s="255">
        <v>0</v>
      </c>
      <c r="DZ239" s="255">
        <v>0</v>
      </c>
      <c r="EA239" s="255">
        <v>0</v>
      </c>
      <c r="EB239" s="255">
        <v>0</v>
      </c>
      <c r="EC239" s="255">
        <v>0</v>
      </c>
      <c r="ED239" s="255">
        <v>0</v>
      </c>
      <c r="EE239" s="255">
        <v>37660</v>
      </c>
      <c r="EF239" s="255">
        <v>23537.5</v>
      </c>
      <c r="EG239" s="255">
        <v>23537.5</v>
      </c>
      <c r="EH239" s="255">
        <v>23537.5</v>
      </c>
      <c r="EI239" s="255">
        <v>23537.5</v>
      </c>
      <c r="EJ239" s="255">
        <v>0</v>
      </c>
      <c r="EK239" s="255">
        <v>0</v>
      </c>
      <c r="EL239" s="255">
        <v>0</v>
      </c>
      <c r="EM239" s="255">
        <v>0</v>
      </c>
      <c r="EN239" s="255">
        <v>0</v>
      </c>
      <c r="EO239" s="255">
        <v>0</v>
      </c>
      <c r="EP239" s="255">
        <v>0</v>
      </c>
      <c r="EQ239" s="255">
        <v>0</v>
      </c>
      <c r="ER239" s="255">
        <v>0</v>
      </c>
      <c r="ES239" s="255">
        <v>0</v>
      </c>
      <c r="ET239" s="255">
        <v>0</v>
      </c>
      <c r="EU239" s="255">
        <v>0</v>
      </c>
      <c r="EV239" s="255">
        <v>0</v>
      </c>
      <c r="EW239" s="255">
        <v>0</v>
      </c>
      <c r="EX239" s="255">
        <v>0</v>
      </c>
      <c r="EY239" s="255">
        <v>0</v>
      </c>
      <c r="EZ239" s="255">
        <v>0</v>
      </c>
      <c r="FA239" s="255">
        <v>0</v>
      </c>
      <c r="FB239" s="255">
        <v>0</v>
      </c>
      <c r="FC239" s="255">
        <v>0</v>
      </c>
      <c r="FD239" s="255">
        <v>0</v>
      </c>
      <c r="FE239" s="255">
        <v>0</v>
      </c>
      <c r="FF239" s="255">
        <v>0</v>
      </c>
      <c r="FG239" s="255">
        <v>0</v>
      </c>
      <c r="FH239" s="255">
        <v>0</v>
      </c>
      <c r="FI239" s="255">
        <v>0</v>
      </c>
      <c r="FJ239" s="255">
        <v>0</v>
      </c>
      <c r="FK239" s="255">
        <v>0</v>
      </c>
      <c r="FL239" s="255">
        <v>0</v>
      </c>
      <c r="FM239" s="255">
        <v>0</v>
      </c>
      <c r="FN239" s="255">
        <v>0</v>
      </c>
      <c r="FO239" s="255">
        <v>0</v>
      </c>
      <c r="FP239" s="255">
        <v>0</v>
      </c>
      <c r="FQ239" s="255">
        <v>0</v>
      </c>
      <c r="FR239" s="255">
        <v>0</v>
      </c>
      <c r="FS239" s="255">
        <v>0</v>
      </c>
      <c r="FT239" s="255">
        <v>0</v>
      </c>
      <c r="FU239" s="255">
        <v>0</v>
      </c>
      <c r="FV239" s="255">
        <v>0</v>
      </c>
      <c r="FW239" s="255">
        <v>0</v>
      </c>
      <c r="FX239" s="116"/>
    </row>
    <row r="240" spans="2:180" x14ac:dyDescent="0.2">
      <c r="B240" s="253" t="s">
        <v>216</v>
      </c>
      <c r="C240" s="253" t="s">
        <v>328</v>
      </c>
      <c r="D240" s="253" t="s">
        <v>258</v>
      </c>
      <c r="E240" s="253" t="s">
        <v>127</v>
      </c>
      <c r="F240" s="253" t="s">
        <v>259</v>
      </c>
      <c r="G240" s="253" t="s">
        <v>260</v>
      </c>
      <c r="H240" s="237">
        <v>202.73</v>
      </c>
      <c r="I240" s="126">
        <f t="shared" si="88"/>
        <v>78875.159999999974</v>
      </c>
      <c r="J240" s="116"/>
      <c r="K240" s="254">
        <v>0</v>
      </c>
      <c r="L240" s="254">
        <v>0</v>
      </c>
      <c r="M240" s="254">
        <v>0</v>
      </c>
      <c r="N240" s="254">
        <v>0</v>
      </c>
      <c r="O240" s="254">
        <v>0</v>
      </c>
      <c r="P240" s="254">
        <v>0</v>
      </c>
      <c r="Q240" s="254">
        <v>0</v>
      </c>
      <c r="R240" s="254">
        <v>0</v>
      </c>
      <c r="S240" s="254">
        <v>0</v>
      </c>
      <c r="T240" s="254">
        <v>0</v>
      </c>
      <c r="U240" s="254">
        <v>0</v>
      </c>
      <c r="V240" s="254">
        <v>0</v>
      </c>
      <c r="W240" s="254">
        <v>0</v>
      </c>
      <c r="X240" s="254">
        <v>0</v>
      </c>
      <c r="Y240" s="254">
        <v>0</v>
      </c>
      <c r="Z240" s="254">
        <v>0</v>
      </c>
      <c r="AA240" s="254">
        <v>0</v>
      </c>
      <c r="AB240" s="254">
        <v>0</v>
      </c>
      <c r="AC240" s="254">
        <v>0.1</v>
      </c>
      <c r="AD240" s="254">
        <v>0.1</v>
      </c>
      <c r="AE240" s="254">
        <v>0.1</v>
      </c>
      <c r="AF240" s="254">
        <v>0.1</v>
      </c>
      <c r="AG240" s="254">
        <v>0.1</v>
      </c>
      <c r="AH240" s="254">
        <v>0.13333333333333333</v>
      </c>
      <c r="AI240" s="254">
        <v>0.13333333333333333</v>
      </c>
      <c r="AJ240" s="254">
        <v>0.1</v>
      </c>
      <c r="AK240" s="254">
        <v>0.1</v>
      </c>
      <c r="AL240" s="254">
        <v>0.13333333333333333</v>
      </c>
      <c r="AM240" s="254">
        <v>9.2105263157894732E-2</v>
      </c>
      <c r="AN240" s="254">
        <v>9.2105263157894732E-2</v>
      </c>
      <c r="AO240" s="254">
        <v>0.1</v>
      </c>
      <c r="AP240" s="254">
        <v>0.1</v>
      </c>
      <c r="AQ240" s="254">
        <v>0.1</v>
      </c>
      <c r="AR240" s="254">
        <v>0.1</v>
      </c>
      <c r="AS240" s="254">
        <v>0.1</v>
      </c>
      <c r="AT240" s="254">
        <v>0.13333333333333333</v>
      </c>
      <c r="AU240" s="254">
        <v>0.13333333333333333</v>
      </c>
      <c r="AV240" s="254">
        <v>0.1</v>
      </c>
      <c r="AW240" s="254">
        <v>0.1</v>
      </c>
      <c r="AX240" s="254">
        <v>0.13333333333333333</v>
      </c>
      <c r="AY240" s="254">
        <v>9.2105263157894732E-2</v>
      </c>
      <c r="AZ240" s="254">
        <v>9.2105263157894732E-2</v>
      </c>
      <c r="BA240" s="254">
        <v>0.1</v>
      </c>
      <c r="BB240" s="254">
        <v>0.1</v>
      </c>
      <c r="BC240" s="254">
        <v>0.1</v>
      </c>
      <c r="BD240" s="254">
        <v>0</v>
      </c>
      <c r="BE240" s="254">
        <v>0</v>
      </c>
      <c r="BF240" s="254">
        <v>0</v>
      </c>
      <c r="BG240" s="254">
        <v>0</v>
      </c>
      <c r="BH240" s="254">
        <v>0</v>
      </c>
      <c r="BI240" s="254">
        <v>0</v>
      </c>
      <c r="BJ240" s="254">
        <v>0</v>
      </c>
      <c r="BK240" s="254">
        <v>0</v>
      </c>
      <c r="BL240" s="254">
        <v>0</v>
      </c>
      <c r="BM240" s="254">
        <v>0</v>
      </c>
      <c r="BN240" s="254">
        <v>0</v>
      </c>
      <c r="BO240" s="254">
        <v>0</v>
      </c>
      <c r="BP240" s="254">
        <v>0</v>
      </c>
      <c r="BQ240" s="254">
        <v>0</v>
      </c>
      <c r="BR240" s="254">
        <v>0</v>
      </c>
      <c r="BS240" s="254">
        <v>0</v>
      </c>
      <c r="BT240" s="254">
        <v>0</v>
      </c>
      <c r="BU240" s="254">
        <v>0</v>
      </c>
      <c r="BV240" s="254">
        <v>0</v>
      </c>
      <c r="BW240" s="254">
        <v>0</v>
      </c>
      <c r="BX240" s="254">
        <v>0</v>
      </c>
      <c r="BY240" s="254">
        <v>0</v>
      </c>
      <c r="BZ240" s="254">
        <v>0</v>
      </c>
      <c r="CA240" s="254">
        <v>0</v>
      </c>
      <c r="CB240" s="254">
        <v>0</v>
      </c>
      <c r="CC240" s="254">
        <v>0</v>
      </c>
      <c r="CD240" s="254">
        <v>0</v>
      </c>
      <c r="CE240" s="254">
        <v>0</v>
      </c>
      <c r="CF240" s="254">
        <v>0</v>
      </c>
      <c r="CG240" s="254">
        <v>0</v>
      </c>
      <c r="CH240" s="254">
        <v>0</v>
      </c>
      <c r="CI240" s="254">
        <v>0</v>
      </c>
      <c r="CJ240" s="254">
        <v>0</v>
      </c>
      <c r="CK240" s="254">
        <v>0</v>
      </c>
      <c r="CL240" s="254">
        <v>0</v>
      </c>
      <c r="CM240" s="254">
        <v>0</v>
      </c>
      <c r="CN240" s="254">
        <v>0</v>
      </c>
      <c r="CO240" s="254">
        <v>0</v>
      </c>
      <c r="CP240" s="254">
        <v>0</v>
      </c>
      <c r="CQ240" s="116"/>
      <c r="CR240" s="255">
        <v>0</v>
      </c>
      <c r="CS240" s="255">
        <v>0</v>
      </c>
      <c r="CT240" s="255">
        <v>0</v>
      </c>
      <c r="CU240" s="255">
        <v>0</v>
      </c>
      <c r="CV240" s="255">
        <v>0</v>
      </c>
      <c r="CW240" s="255">
        <v>0</v>
      </c>
      <c r="CX240" s="255">
        <v>0</v>
      </c>
      <c r="CY240" s="255">
        <v>0</v>
      </c>
      <c r="CZ240" s="255">
        <v>0</v>
      </c>
      <c r="DA240" s="255">
        <v>0</v>
      </c>
      <c r="DB240" s="255">
        <v>0</v>
      </c>
      <c r="DC240" s="255">
        <v>0</v>
      </c>
      <c r="DD240" s="255">
        <v>0</v>
      </c>
      <c r="DE240" s="255">
        <v>0</v>
      </c>
      <c r="DF240" s="255">
        <v>0</v>
      </c>
      <c r="DG240" s="255">
        <v>0</v>
      </c>
      <c r="DH240" s="255">
        <v>0</v>
      </c>
      <c r="DI240" s="255">
        <v>0</v>
      </c>
      <c r="DJ240" s="255">
        <v>2838.22</v>
      </c>
      <c r="DK240" s="255">
        <v>2838.22</v>
      </c>
      <c r="DL240" s="255">
        <v>2838.22</v>
      </c>
      <c r="DM240" s="255">
        <v>2838.22</v>
      </c>
      <c r="DN240" s="255">
        <v>2838.22</v>
      </c>
      <c r="DO240" s="255">
        <v>2838.22</v>
      </c>
      <c r="DP240" s="255">
        <v>2838.22</v>
      </c>
      <c r="DQ240" s="255">
        <v>2838.22</v>
      </c>
      <c r="DR240" s="255">
        <v>2924.46</v>
      </c>
      <c r="DS240" s="255">
        <v>2924.46</v>
      </c>
      <c r="DT240" s="255">
        <v>2924.46</v>
      </c>
      <c r="DU240" s="255">
        <v>2924.46</v>
      </c>
      <c r="DV240" s="255">
        <v>2924.46</v>
      </c>
      <c r="DW240" s="255">
        <v>2924.46</v>
      </c>
      <c r="DX240" s="255">
        <v>2924.46</v>
      </c>
      <c r="DY240" s="255">
        <v>2924.46</v>
      </c>
      <c r="DZ240" s="255">
        <v>2924.46</v>
      </c>
      <c r="EA240" s="255">
        <v>2924.46</v>
      </c>
      <c r="EB240" s="255">
        <v>2924.46</v>
      </c>
      <c r="EC240" s="255">
        <v>2924.46</v>
      </c>
      <c r="ED240" s="255">
        <v>3010.84</v>
      </c>
      <c r="EE240" s="255">
        <v>3010.84</v>
      </c>
      <c r="EF240" s="255">
        <v>3010.84</v>
      </c>
      <c r="EG240" s="255">
        <v>3010.84</v>
      </c>
      <c r="EH240" s="255">
        <v>3010.84</v>
      </c>
      <c r="EI240" s="255">
        <v>3010.84</v>
      </c>
      <c r="EJ240" s="255">
        <v>3010.84</v>
      </c>
      <c r="EK240" s="255">
        <v>0</v>
      </c>
      <c r="EL240" s="255">
        <v>0</v>
      </c>
      <c r="EM240" s="255">
        <v>0</v>
      </c>
      <c r="EN240" s="255">
        <v>0</v>
      </c>
      <c r="EO240" s="255">
        <v>0</v>
      </c>
      <c r="EP240" s="255">
        <v>0</v>
      </c>
      <c r="EQ240" s="255">
        <v>0</v>
      </c>
      <c r="ER240" s="255">
        <v>0</v>
      </c>
      <c r="ES240" s="255">
        <v>0</v>
      </c>
      <c r="ET240" s="255">
        <v>0</v>
      </c>
      <c r="EU240" s="255">
        <v>0</v>
      </c>
      <c r="EV240" s="255">
        <v>0</v>
      </c>
      <c r="EW240" s="255">
        <v>0</v>
      </c>
      <c r="EX240" s="255">
        <v>0</v>
      </c>
      <c r="EY240" s="255">
        <v>0</v>
      </c>
      <c r="EZ240" s="255">
        <v>0</v>
      </c>
      <c r="FA240" s="255">
        <v>0</v>
      </c>
      <c r="FB240" s="255">
        <v>0</v>
      </c>
      <c r="FC240" s="255">
        <v>0</v>
      </c>
      <c r="FD240" s="255">
        <v>0</v>
      </c>
      <c r="FE240" s="255">
        <v>0</v>
      </c>
      <c r="FF240" s="255">
        <v>0</v>
      </c>
      <c r="FG240" s="255">
        <v>0</v>
      </c>
      <c r="FH240" s="255">
        <v>0</v>
      </c>
      <c r="FI240" s="255">
        <v>0</v>
      </c>
      <c r="FJ240" s="255">
        <v>0</v>
      </c>
      <c r="FK240" s="255">
        <v>0</v>
      </c>
      <c r="FL240" s="255">
        <v>0</v>
      </c>
      <c r="FM240" s="255">
        <v>0</v>
      </c>
      <c r="FN240" s="255">
        <v>0</v>
      </c>
      <c r="FO240" s="255">
        <v>0</v>
      </c>
      <c r="FP240" s="255">
        <v>0</v>
      </c>
      <c r="FQ240" s="255">
        <v>0</v>
      </c>
      <c r="FR240" s="255">
        <v>0</v>
      </c>
      <c r="FS240" s="255">
        <v>0</v>
      </c>
      <c r="FT240" s="255">
        <v>0</v>
      </c>
      <c r="FU240" s="255">
        <v>0</v>
      </c>
      <c r="FV240" s="255">
        <v>0</v>
      </c>
      <c r="FW240" s="255">
        <v>0</v>
      </c>
      <c r="FX240" s="116"/>
    </row>
    <row r="241" spans="2:180" x14ac:dyDescent="0.2">
      <c r="B241" s="253" t="s">
        <v>216</v>
      </c>
      <c r="C241" s="253" t="s">
        <v>271</v>
      </c>
      <c r="D241" s="253" t="s">
        <v>258</v>
      </c>
      <c r="E241" s="253" t="s">
        <v>127</v>
      </c>
      <c r="F241" s="253" t="s">
        <v>259</v>
      </c>
      <c r="G241" s="253" t="s">
        <v>260</v>
      </c>
      <c r="H241" s="237">
        <v>202.73</v>
      </c>
      <c r="I241" s="126">
        <f t="shared" si="88"/>
        <v>203420.35</v>
      </c>
      <c r="J241" s="116"/>
      <c r="K241" s="254">
        <v>0</v>
      </c>
      <c r="L241" s="254">
        <v>0</v>
      </c>
      <c r="M241" s="254">
        <v>0</v>
      </c>
      <c r="N241" s="254">
        <v>0</v>
      </c>
      <c r="O241" s="254">
        <v>0</v>
      </c>
      <c r="P241" s="254">
        <v>0</v>
      </c>
      <c r="Q241" s="254">
        <v>0</v>
      </c>
      <c r="R241" s="254">
        <v>0</v>
      </c>
      <c r="S241" s="254">
        <v>0</v>
      </c>
      <c r="T241" s="254">
        <v>0</v>
      </c>
      <c r="U241" s="254">
        <v>0</v>
      </c>
      <c r="V241" s="254">
        <v>0</v>
      </c>
      <c r="W241" s="254">
        <v>0</v>
      </c>
      <c r="X241" s="254">
        <v>0</v>
      </c>
      <c r="Y241" s="254">
        <v>0</v>
      </c>
      <c r="Z241" s="254">
        <v>0</v>
      </c>
      <c r="AA241" s="254">
        <v>0</v>
      </c>
      <c r="AB241" s="254">
        <v>0</v>
      </c>
      <c r="AC241" s="254">
        <v>0.5</v>
      </c>
      <c r="AD241" s="254">
        <v>0.5</v>
      </c>
      <c r="AE241" s="254">
        <v>0.5</v>
      </c>
      <c r="AF241" s="254">
        <v>0.5</v>
      </c>
      <c r="AG241" s="254">
        <v>0</v>
      </c>
      <c r="AH241" s="254">
        <v>0.33333333333333331</v>
      </c>
      <c r="AI241" s="254">
        <v>0.33333333333333331</v>
      </c>
      <c r="AJ241" s="254">
        <v>0.25</v>
      </c>
      <c r="AK241" s="254">
        <v>0</v>
      </c>
      <c r="AL241" s="254">
        <v>0</v>
      </c>
      <c r="AM241" s="254">
        <v>0</v>
      </c>
      <c r="AN241" s="254">
        <v>0</v>
      </c>
      <c r="AO241" s="254">
        <v>0</v>
      </c>
      <c r="AP241" s="254">
        <v>0</v>
      </c>
      <c r="AQ241" s="254">
        <v>0.5</v>
      </c>
      <c r="AR241" s="254">
        <v>0.5</v>
      </c>
      <c r="AS241" s="254">
        <v>0.5</v>
      </c>
      <c r="AT241" s="254">
        <v>0.66666666666666663</v>
      </c>
      <c r="AU241" s="254">
        <v>0.66666666666666663</v>
      </c>
      <c r="AV241" s="254">
        <v>0.5</v>
      </c>
      <c r="AW241" s="254">
        <v>0</v>
      </c>
      <c r="AX241" s="254">
        <v>0.33333333333333331</v>
      </c>
      <c r="AY241" s="254">
        <v>0.23026315789473684</v>
      </c>
      <c r="AZ241" s="254">
        <v>0.23026315789473684</v>
      </c>
      <c r="BA241" s="254">
        <v>0.25</v>
      </c>
      <c r="BB241" s="254">
        <v>0.25</v>
      </c>
      <c r="BC241" s="254">
        <v>0</v>
      </c>
      <c r="BD241" s="254">
        <v>0</v>
      </c>
      <c r="BE241" s="254">
        <v>0</v>
      </c>
      <c r="BF241" s="254">
        <v>0</v>
      </c>
      <c r="BG241" s="254">
        <v>0</v>
      </c>
      <c r="BH241" s="254">
        <v>0</v>
      </c>
      <c r="BI241" s="254">
        <v>0</v>
      </c>
      <c r="BJ241" s="254">
        <v>0</v>
      </c>
      <c r="BK241" s="254">
        <v>0</v>
      </c>
      <c r="BL241" s="254">
        <v>0</v>
      </c>
      <c r="BM241" s="254">
        <v>0</v>
      </c>
      <c r="BN241" s="254">
        <v>0</v>
      </c>
      <c r="BO241" s="254">
        <v>0</v>
      </c>
      <c r="BP241" s="254">
        <v>0</v>
      </c>
      <c r="BQ241" s="254">
        <v>0</v>
      </c>
      <c r="BR241" s="254">
        <v>0</v>
      </c>
      <c r="BS241" s="254">
        <v>0</v>
      </c>
      <c r="BT241" s="254">
        <v>0</v>
      </c>
      <c r="BU241" s="254">
        <v>0</v>
      </c>
      <c r="BV241" s="254">
        <v>0</v>
      </c>
      <c r="BW241" s="254">
        <v>0</v>
      </c>
      <c r="BX241" s="254">
        <v>0</v>
      </c>
      <c r="BY241" s="254">
        <v>0</v>
      </c>
      <c r="BZ241" s="254">
        <v>0</v>
      </c>
      <c r="CA241" s="254">
        <v>0</v>
      </c>
      <c r="CB241" s="254">
        <v>0</v>
      </c>
      <c r="CC241" s="254">
        <v>0</v>
      </c>
      <c r="CD241" s="254">
        <v>0</v>
      </c>
      <c r="CE241" s="254">
        <v>0</v>
      </c>
      <c r="CF241" s="254">
        <v>0</v>
      </c>
      <c r="CG241" s="254">
        <v>0</v>
      </c>
      <c r="CH241" s="254">
        <v>0</v>
      </c>
      <c r="CI241" s="254">
        <v>0</v>
      </c>
      <c r="CJ241" s="254">
        <v>0</v>
      </c>
      <c r="CK241" s="254">
        <v>0</v>
      </c>
      <c r="CL241" s="254">
        <v>0</v>
      </c>
      <c r="CM241" s="254">
        <v>0</v>
      </c>
      <c r="CN241" s="254">
        <v>0</v>
      </c>
      <c r="CO241" s="254">
        <v>0</v>
      </c>
      <c r="CP241" s="254">
        <v>0</v>
      </c>
      <c r="CQ241" s="116"/>
      <c r="CR241" s="255">
        <v>0</v>
      </c>
      <c r="CS241" s="255">
        <v>0</v>
      </c>
      <c r="CT241" s="255">
        <v>0</v>
      </c>
      <c r="CU241" s="255">
        <v>0</v>
      </c>
      <c r="CV241" s="255">
        <v>0</v>
      </c>
      <c r="CW241" s="255">
        <v>0</v>
      </c>
      <c r="CX241" s="255">
        <v>0</v>
      </c>
      <c r="CY241" s="255">
        <v>0</v>
      </c>
      <c r="CZ241" s="255">
        <v>0</v>
      </c>
      <c r="DA241" s="255">
        <v>0</v>
      </c>
      <c r="DB241" s="255">
        <v>0</v>
      </c>
      <c r="DC241" s="255">
        <v>0</v>
      </c>
      <c r="DD241" s="255">
        <v>0</v>
      </c>
      <c r="DE241" s="255">
        <v>0</v>
      </c>
      <c r="DF241" s="255">
        <v>0</v>
      </c>
      <c r="DG241" s="255">
        <v>0</v>
      </c>
      <c r="DH241" s="255">
        <v>0</v>
      </c>
      <c r="DI241" s="255">
        <v>0</v>
      </c>
      <c r="DJ241" s="255">
        <v>14191.099999999999</v>
      </c>
      <c r="DK241" s="255">
        <v>14191.099999999999</v>
      </c>
      <c r="DL241" s="255">
        <v>14191.099999999999</v>
      </c>
      <c r="DM241" s="255">
        <v>14191.099999999999</v>
      </c>
      <c r="DN241" s="255">
        <v>0</v>
      </c>
      <c r="DO241" s="255">
        <v>7095.5499999999993</v>
      </c>
      <c r="DP241" s="255">
        <v>7095.5499999999993</v>
      </c>
      <c r="DQ241" s="255">
        <v>7095.5499999999993</v>
      </c>
      <c r="DR241" s="255">
        <v>0</v>
      </c>
      <c r="DS241" s="255">
        <v>0</v>
      </c>
      <c r="DT241" s="255">
        <v>0</v>
      </c>
      <c r="DU241" s="255">
        <v>0</v>
      </c>
      <c r="DV241" s="255">
        <v>0</v>
      </c>
      <c r="DW241" s="255">
        <v>0</v>
      </c>
      <c r="DX241" s="255">
        <v>14622.3</v>
      </c>
      <c r="DY241" s="255">
        <v>14622.3</v>
      </c>
      <c r="DZ241" s="255">
        <v>14622.3</v>
      </c>
      <c r="EA241" s="255">
        <v>14622.3</v>
      </c>
      <c r="EB241" s="255">
        <v>14622.3</v>
      </c>
      <c r="EC241" s="255">
        <v>14622.3</v>
      </c>
      <c r="ED241" s="255">
        <v>0</v>
      </c>
      <c r="EE241" s="255">
        <v>7527.1</v>
      </c>
      <c r="EF241" s="255">
        <v>7527.1</v>
      </c>
      <c r="EG241" s="255">
        <v>7527.1</v>
      </c>
      <c r="EH241" s="255">
        <v>7527.1</v>
      </c>
      <c r="EI241" s="255">
        <v>7527.1</v>
      </c>
      <c r="EJ241" s="255">
        <v>0</v>
      </c>
      <c r="EK241" s="255">
        <v>0</v>
      </c>
      <c r="EL241" s="255">
        <v>0</v>
      </c>
      <c r="EM241" s="255">
        <v>0</v>
      </c>
      <c r="EN241" s="255">
        <v>0</v>
      </c>
      <c r="EO241" s="255">
        <v>0</v>
      </c>
      <c r="EP241" s="255">
        <v>0</v>
      </c>
      <c r="EQ241" s="255">
        <v>0</v>
      </c>
      <c r="ER241" s="255">
        <v>0</v>
      </c>
      <c r="ES241" s="255">
        <v>0</v>
      </c>
      <c r="ET241" s="255">
        <v>0</v>
      </c>
      <c r="EU241" s="255">
        <v>0</v>
      </c>
      <c r="EV241" s="255">
        <v>0</v>
      </c>
      <c r="EW241" s="255">
        <v>0</v>
      </c>
      <c r="EX241" s="255">
        <v>0</v>
      </c>
      <c r="EY241" s="255">
        <v>0</v>
      </c>
      <c r="EZ241" s="255">
        <v>0</v>
      </c>
      <c r="FA241" s="255">
        <v>0</v>
      </c>
      <c r="FB241" s="255">
        <v>0</v>
      </c>
      <c r="FC241" s="255">
        <v>0</v>
      </c>
      <c r="FD241" s="255">
        <v>0</v>
      </c>
      <c r="FE241" s="255">
        <v>0</v>
      </c>
      <c r="FF241" s="255">
        <v>0</v>
      </c>
      <c r="FG241" s="255">
        <v>0</v>
      </c>
      <c r="FH241" s="255">
        <v>0</v>
      </c>
      <c r="FI241" s="255">
        <v>0</v>
      </c>
      <c r="FJ241" s="255">
        <v>0</v>
      </c>
      <c r="FK241" s="255">
        <v>0</v>
      </c>
      <c r="FL241" s="255">
        <v>0</v>
      </c>
      <c r="FM241" s="255">
        <v>0</v>
      </c>
      <c r="FN241" s="255">
        <v>0</v>
      </c>
      <c r="FO241" s="255">
        <v>0</v>
      </c>
      <c r="FP241" s="255">
        <v>0</v>
      </c>
      <c r="FQ241" s="255">
        <v>0</v>
      </c>
      <c r="FR241" s="255">
        <v>0</v>
      </c>
      <c r="FS241" s="255">
        <v>0</v>
      </c>
      <c r="FT241" s="255">
        <v>0</v>
      </c>
      <c r="FU241" s="255">
        <v>0</v>
      </c>
      <c r="FV241" s="255">
        <v>0</v>
      </c>
      <c r="FW241" s="255">
        <v>0</v>
      </c>
      <c r="FX241" s="116"/>
    </row>
    <row r="242" spans="2:180" x14ac:dyDescent="0.2">
      <c r="B242" s="253" t="s">
        <v>216</v>
      </c>
      <c r="C242" s="253" t="s">
        <v>329</v>
      </c>
      <c r="D242" s="253" t="s">
        <v>258</v>
      </c>
      <c r="E242" s="253" t="s">
        <v>127</v>
      </c>
      <c r="F242" s="253" t="s">
        <v>259</v>
      </c>
      <c r="G242" s="253" t="s">
        <v>260</v>
      </c>
      <c r="H242" s="237">
        <v>195.66</v>
      </c>
      <c r="I242" s="126">
        <f t="shared" si="88"/>
        <v>217139.58000000002</v>
      </c>
      <c r="J242" s="116"/>
      <c r="K242" s="254">
        <v>0</v>
      </c>
      <c r="L242" s="254">
        <v>0</v>
      </c>
      <c r="M242" s="254">
        <v>0</v>
      </c>
      <c r="N242" s="254">
        <v>0</v>
      </c>
      <c r="O242" s="254">
        <v>0</v>
      </c>
      <c r="P242" s="254">
        <v>0</v>
      </c>
      <c r="Q242" s="254">
        <v>0</v>
      </c>
      <c r="R242" s="254">
        <v>0</v>
      </c>
      <c r="S242" s="254">
        <v>0</v>
      </c>
      <c r="T242" s="254">
        <v>0</v>
      </c>
      <c r="U242" s="254">
        <v>0</v>
      </c>
      <c r="V242" s="254">
        <v>0</v>
      </c>
      <c r="W242" s="254">
        <v>0</v>
      </c>
      <c r="X242" s="254">
        <v>0</v>
      </c>
      <c r="Y242" s="254">
        <v>0</v>
      </c>
      <c r="Z242" s="254">
        <v>0</v>
      </c>
      <c r="AA242" s="254">
        <v>0</v>
      </c>
      <c r="AB242" s="254">
        <v>0</v>
      </c>
      <c r="AC242" s="254">
        <v>0</v>
      </c>
      <c r="AD242" s="254">
        <v>0</v>
      </c>
      <c r="AE242" s="254">
        <v>0</v>
      </c>
      <c r="AF242" s="254">
        <v>1.1000000000000001</v>
      </c>
      <c r="AG242" s="254">
        <v>1.55</v>
      </c>
      <c r="AH242" s="254">
        <v>0</v>
      </c>
      <c r="AI242" s="254">
        <v>2.0666666666666669</v>
      </c>
      <c r="AJ242" s="254">
        <v>1.5</v>
      </c>
      <c r="AK242" s="254">
        <v>0</v>
      </c>
      <c r="AL242" s="254">
        <v>0</v>
      </c>
      <c r="AM242" s="254">
        <v>0</v>
      </c>
      <c r="AN242" s="254">
        <v>0</v>
      </c>
      <c r="AO242" s="254">
        <v>0</v>
      </c>
      <c r="AP242" s="254">
        <v>0</v>
      </c>
      <c r="AQ242" s="254">
        <v>0</v>
      </c>
      <c r="AR242" s="254">
        <v>0</v>
      </c>
      <c r="AS242" s="254">
        <v>0</v>
      </c>
      <c r="AT242" s="254">
        <v>0</v>
      </c>
      <c r="AU242" s="254">
        <v>0</v>
      </c>
      <c r="AV242" s="254">
        <v>0</v>
      </c>
      <c r="AW242" s="254">
        <v>0</v>
      </c>
      <c r="AX242" s="254">
        <v>1.4666666666666666</v>
      </c>
      <c r="AY242" s="254">
        <v>0.46052631578947367</v>
      </c>
      <c r="AZ242" s="254">
        <v>0.46052631578947367</v>
      </c>
      <c r="BA242" s="254">
        <v>0</v>
      </c>
      <c r="BB242" s="254">
        <v>0</v>
      </c>
      <c r="BC242" s="254">
        <v>0</v>
      </c>
      <c r="BD242" s="254">
        <v>0</v>
      </c>
      <c r="BE242" s="254">
        <v>0</v>
      </c>
      <c r="BF242" s="254">
        <v>0</v>
      </c>
      <c r="BG242" s="254">
        <v>0</v>
      </c>
      <c r="BH242" s="254">
        <v>0</v>
      </c>
      <c r="BI242" s="254">
        <v>0</v>
      </c>
      <c r="BJ242" s="254">
        <v>0</v>
      </c>
      <c r="BK242" s="254">
        <v>0</v>
      </c>
      <c r="BL242" s="254">
        <v>0</v>
      </c>
      <c r="BM242" s="254">
        <v>0</v>
      </c>
      <c r="BN242" s="254">
        <v>0</v>
      </c>
      <c r="BO242" s="254">
        <v>0</v>
      </c>
      <c r="BP242" s="254">
        <v>0</v>
      </c>
      <c r="BQ242" s="254">
        <v>0</v>
      </c>
      <c r="BR242" s="254">
        <v>0</v>
      </c>
      <c r="BS242" s="254">
        <v>0</v>
      </c>
      <c r="BT242" s="254">
        <v>0</v>
      </c>
      <c r="BU242" s="254">
        <v>0</v>
      </c>
      <c r="BV242" s="254">
        <v>0</v>
      </c>
      <c r="BW242" s="254">
        <v>0</v>
      </c>
      <c r="BX242" s="254">
        <v>0</v>
      </c>
      <c r="BY242" s="254">
        <v>0</v>
      </c>
      <c r="BZ242" s="254">
        <v>0</v>
      </c>
      <c r="CA242" s="254">
        <v>0</v>
      </c>
      <c r="CB242" s="254">
        <v>0</v>
      </c>
      <c r="CC242" s="254">
        <v>0</v>
      </c>
      <c r="CD242" s="254">
        <v>0</v>
      </c>
      <c r="CE242" s="254">
        <v>0</v>
      </c>
      <c r="CF242" s="254">
        <v>0</v>
      </c>
      <c r="CG242" s="254">
        <v>0</v>
      </c>
      <c r="CH242" s="254">
        <v>0</v>
      </c>
      <c r="CI242" s="254">
        <v>0</v>
      </c>
      <c r="CJ242" s="254">
        <v>0</v>
      </c>
      <c r="CK242" s="254">
        <v>0</v>
      </c>
      <c r="CL242" s="254">
        <v>0</v>
      </c>
      <c r="CM242" s="254">
        <v>0</v>
      </c>
      <c r="CN242" s="254">
        <v>0</v>
      </c>
      <c r="CO242" s="254">
        <v>0</v>
      </c>
      <c r="CP242" s="254">
        <v>0</v>
      </c>
      <c r="CQ242" s="116"/>
      <c r="CR242" s="255">
        <v>0</v>
      </c>
      <c r="CS242" s="255">
        <v>0</v>
      </c>
      <c r="CT242" s="255">
        <v>0</v>
      </c>
      <c r="CU242" s="255">
        <v>0</v>
      </c>
      <c r="CV242" s="255">
        <v>0</v>
      </c>
      <c r="CW242" s="255">
        <v>0</v>
      </c>
      <c r="CX242" s="255">
        <v>0</v>
      </c>
      <c r="CY242" s="255">
        <v>0</v>
      </c>
      <c r="CZ242" s="255">
        <v>0</v>
      </c>
      <c r="DA242" s="255">
        <v>0</v>
      </c>
      <c r="DB242" s="255">
        <v>0</v>
      </c>
      <c r="DC242" s="255">
        <v>0</v>
      </c>
      <c r="DD242" s="255">
        <v>0</v>
      </c>
      <c r="DE242" s="255">
        <v>0</v>
      </c>
      <c r="DF242" s="255">
        <v>0</v>
      </c>
      <c r="DG242" s="255">
        <v>0</v>
      </c>
      <c r="DH242" s="255">
        <v>0</v>
      </c>
      <c r="DI242" s="255">
        <v>0</v>
      </c>
      <c r="DJ242" s="255">
        <v>0</v>
      </c>
      <c r="DK242" s="255">
        <v>0</v>
      </c>
      <c r="DL242" s="255">
        <v>0</v>
      </c>
      <c r="DM242" s="255">
        <v>30130.100000000002</v>
      </c>
      <c r="DN242" s="255">
        <v>42456.05</v>
      </c>
      <c r="DO242" s="255">
        <v>0</v>
      </c>
      <c r="DP242" s="255">
        <v>42456.05</v>
      </c>
      <c r="DQ242" s="255">
        <v>41086.5</v>
      </c>
      <c r="DR242" s="255">
        <v>0</v>
      </c>
      <c r="DS242" s="255">
        <v>0</v>
      </c>
      <c r="DT242" s="255">
        <v>0</v>
      </c>
      <c r="DU242" s="255">
        <v>0</v>
      </c>
      <c r="DV242" s="255">
        <v>0</v>
      </c>
      <c r="DW242" s="255">
        <v>0</v>
      </c>
      <c r="DX242" s="255">
        <v>0</v>
      </c>
      <c r="DY242" s="255">
        <v>0</v>
      </c>
      <c r="DZ242" s="255">
        <v>0</v>
      </c>
      <c r="EA242" s="255">
        <v>0</v>
      </c>
      <c r="EB242" s="255">
        <v>0</v>
      </c>
      <c r="EC242" s="255">
        <v>0</v>
      </c>
      <c r="ED242" s="255">
        <v>0</v>
      </c>
      <c r="EE242" s="255">
        <v>31958.080000000002</v>
      </c>
      <c r="EF242" s="255">
        <v>14526.400000000001</v>
      </c>
      <c r="EG242" s="255">
        <v>14526.400000000001</v>
      </c>
      <c r="EH242" s="255">
        <v>0</v>
      </c>
      <c r="EI242" s="255">
        <v>0</v>
      </c>
      <c r="EJ242" s="255">
        <v>0</v>
      </c>
      <c r="EK242" s="255">
        <v>0</v>
      </c>
      <c r="EL242" s="255">
        <v>0</v>
      </c>
      <c r="EM242" s="255">
        <v>0</v>
      </c>
      <c r="EN242" s="255">
        <v>0</v>
      </c>
      <c r="EO242" s="255">
        <v>0</v>
      </c>
      <c r="EP242" s="255">
        <v>0</v>
      </c>
      <c r="EQ242" s="255">
        <v>0</v>
      </c>
      <c r="ER242" s="255">
        <v>0</v>
      </c>
      <c r="ES242" s="255">
        <v>0</v>
      </c>
      <c r="ET242" s="255">
        <v>0</v>
      </c>
      <c r="EU242" s="255">
        <v>0</v>
      </c>
      <c r="EV242" s="255">
        <v>0</v>
      </c>
      <c r="EW242" s="255">
        <v>0</v>
      </c>
      <c r="EX242" s="255">
        <v>0</v>
      </c>
      <c r="EY242" s="255">
        <v>0</v>
      </c>
      <c r="EZ242" s="255">
        <v>0</v>
      </c>
      <c r="FA242" s="255">
        <v>0</v>
      </c>
      <c r="FB242" s="255">
        <v>0</v>
      </c>
      <c r="FC242" s="255">
        <v>0</v>
      </c>
      <c r="FD242" s="255">
        <v>0</v>
      </c>
      <c r="FE242" s="255">
        <v>0</v>
      </c>
      <c r="FF242" s="255">
        <v>0</v>
      </c>
      <c r="FG242" s="255">
        <v>0</v>
      </c>
      <c r="FH242" s="255">
        <v>0</v>
      </c>
      <c r="FI242" s="255">
        <v>0</v>
      </c>
      <c r="FJ242" s="255">
        <v>0</v>
      </c>
      <c r="FK242" s="255">
        <v>0</v>
      </c>
      <c r="FL242" s="255">
        <v>0</v>
      </c>
      <c r="FM242" s="255">
        <v>0</v>
      </c>
      <c r="FN242" s="255">
        <v>0</v>
      </c>
      <c r="FO242" s="255">
        <v>0</v>
      </c>
      <c r="FP242" s="255">
        <v>0</v>
      </c>
      <c r="FQ242" s="255">
        <v>0</v>
      </c>
      <c r="FR242" s="255">
        <v>0</v>
      </c>
      <c r="FS242" s="255">
        <v>0</v>
      </c>
      <c r="FT242" s="255">
        <v>0</v>
      </c>
      <c r="FU242" s="255">
        <v>0</v>
      </c>
      <c r="FV242" s="255">
        <v>0</v>
      </c>
      <c r="FW242" s="255">
        <v>0</v>
      </c>
      <c r="FX242" s="116"/>
    </row>
    <row r="243" spans="2:180" x14ac:dyDescent="0.2">
      <c r="B243" s="253" t="s">
        <v>216</v>
      </c>
      <c r="C243" s="253" t="s">
        <v>329</v>
      </c>
      <c r="D243" s="253" t="s">
        <v>258</v>
      </c>
      <c r="E243" s="253" t="s">
        <v>127</v>
      </c>
      <c r="F243" s="253">
        <v>0</v>
      </c>
      <c r="G243" s="253" t="s">
        <v>322</v>
      </c>
      <c r="H243" s="237">
        <v>195.66</v>
      </c>
      <c r="I243" s="126">
        <f t="shared" si="88"/>
        <v>131743.70000000001</v>
      </c>
      <c r="J243" s="116"/>
      <c r="K243" s="254">
        <v>0</v>
      </c>
      <c r="L243" s="254">
        <v>0</v>
      </c>
      <c r="M243" s="254">
        <v>0</v>
      </c>
      <c r="N243" s="254">
        <v>0</v>
      </c>
      <c r="O243" s="254">
        <v>0</v>
      </c>
      <c r="P243" s="254">
        <v>0</v>
      </c>
      <c r="Q243" s="254">
        <v>0</v>
      </c>
      <c r="R243" s="254">
        <v>0</v>
      </c>
      <c r="S243" s="254">
        <v>0</v>
      </c>
      <c r="T243" s="254">
        <v>0</v>
      </c>
      <c r="U243" s="254">
        <v>0</v>
      </c>
      <c r="V243" s="254">
        <v>0</v>
      </c>
      <c r="W243" s="254">
        <v>0</v>
      </c>
      <c r="X243" s="254">
        <v>0</v>
      </c>
      <c r="Y243" s="254">
        <v>0</v>
      </c>
      <c r="Z243" s="254">
        <v>0</v>
      </c>
      <c r="AA243" s="254">
        <v>0</v>
      </c>
      <c r="AB243" s="254">
        <v>0</v>
      </c>
      <c r="AC243" s="254">
        <v>0</v>
      </c>
      <c r="AD243" s="254">
        <v>0</v>
      </c>
      <c r="AE243" s="254">
        <v>0</v>
      </c>
      <c r="AF243" s="254">
        <v>0.35714285714285715</v>
      </c>
      <c r="AG243" s="254">
        <v>0.35714285714285715</v>
      </c>
      <c r="AH243" s="254">
        <v>0</v>
      </c>
      <c r="AI243" s="254">
        <v>0.5714285714285714</v>
      </c>
      <c r="AJ243" s="254">
        <v>0.42857142857142855</v>
      </c>
      <c r="AK243" s="254">
        <v>0</v>
      </c>
      <c r="AL243" s="254">
        <v>0</v>
      </c>
      <c r="AM243" s="254">
        <v>0</v>
      </c>
      <c r="AN243" s="254">
        <v>0</v>
      </c>
      <c r="AO243" s="254">
        <v>0</v>
      </c>
      <c r="AP243" s="254">
        <v>0</v>
      </c>
      <c r="AQ243" s="254">
        <v>0</v>
      </c>
      <c r="AR243" s="254">
        <v>0</v>
      </c>
      <c r="AS243" s="254">
        <v>0</v>
      </c>
      <c r="AT243" s="254">
        <v>0</v>
      </c>
      <c r="AU243" s="254">
        <v>0</v>
      </c>
      <c r="AV243" s="254">
        <v>0</v>
      </c>
      <c r="AW243" s="254">
        <v>0</v>
      </c>
      <c r="AX243" s="254">
        <v>0.47619047619047616</v>
      </c>
      <c r="AY243" s="254">
        <v>0.19736842105263158</v>
      </c>
      <c r="AZ243" s="254">
        <v>0.19736842105263158</v>
      </c>
      <c r="BA243" s="254">
        <v>0</v>
      </c>
      <c r="BB243" s="254">
        <v>0</v>
      </c>
      <c r="BC243" s="254">
        <v>0</v>
      </c>
      <c r="BD243" s="254">
        <v>0</v>
      </c>
      <c r="BE243" s="254">
        <v>0</v>
      </c>
      <c r="BF243" s="254">
        <v>0</v>
      </c>
      <c r="BG243" s="254">
        <v>0</v>
      </c>
      <c r="BH243" s="254">
        <v>0</v>
      </c>
      <c r="BI243" s="254">
        <v>0</v>
      </c>
      <c r="BJ243" s="254">
        <v>0</v>
      </c>
      <c r="BK243" s="254">
        <v>0</v>
      </c>
      <c r="BL243" s="254">
        <v>0</v>
      </c>
      <c r="BM243" s="254">
        <v>0</v>
      </c>
      <c r="BN243" s="254">
        <v>0</v>
      </c>
      <c r="BO243" s="254">
        <v>0</v>
      </c>
      <c r="BP243" s="254">
        <v>0</v>
      </c>
      <c r="BQ243" s="254">
        <v>0</v>
      </c>
      <c r="BR243" s="254">
        <v>0</v>
      </c>
      <c r="BS243" s="254">
        <v>0</v>
      </c>
      <c r="BT243" s="254">
        <v>0</v>
      </c>
      <c r="BU243" s="254">
        <v>0</v>
      </c>
      <c r="BV243" s="254">
        <v>0</v>
      </c>
      <c r="BW243" s="254">
        <v>0</v>
      </c>
      <c r="BX243" s="254">
        <v>0</v>
      </c>
      <c r="BY243" s="254">
        <v>0</v>
      </c>
      <c r="BZ243" s="254">
        <v>0</v>
      </c>
      <c r="CA243" s="254">
        <v>0</v>
      </c>
      <c r="CB243" s="254">
        <v>0</v>
      </c>
      <c r="CC243" s="254">
        <v>0</v>
      </c>
      <c r="CD243" s="254">
        <v>0</v>
      </c>
      <c r="CE243" s="254">
        <v>0</v>
      </c>
      <c r="CF243" s="254">
        <v>0</v>
      </c>
      <c r="CG243" s="254">
        <v>0</v>
      </c>
      <c r="CH243" s="254">
        <v>0</v>
      </c>
      <c r="CI243" s="254">
        <v>0</v>
      </c>
      <c r="CJ243" s="254">
        <v>0</v>
      </c>
      <c r="CK243" s="254">
        <v>0</v>
      </c>
      <c r="CL243" s="254">
        <v>0</v>
      </c>
      <c r="CM243" s="254">
        <v>0</v>
      </c>
      <c r="CN243" s="254">
        <v>0</v>
      </c>
      <c r="CO243" s="254">
        <v>0</v>
      </c>
      <c r="CP243" s="254">
        <v>0</v>
      </c>
      <c r="CQ243" s="116"/>
      <c r="CR243" s="255">
        <v>0</v>
      </c>
      <c r="CS243" s="255">
        <v>0</v>
      </c>
      <c r="CT243" s="255">
        <v>0</v>
      </c>
      <c r="CU243" s="255">
        <v>0</v>
      </c>
      <c r="CV243" s="255">
        <v>0</v>
      </c>
      <c r="CW243" s="255">
        <v>0</v>
      </c>
      <c r="CX243" s="255">
        <v>0</v>
      </c>
      <c r="CY243" s="255">
        <v>0</v>
      </c>
      <c r="CZ243" s="255">
        <v>0</v>
      </c>
      <c r="DA243" s="255">
        <v>0</v>
      </c>
      <c r="DB243" s="255">
        <v>0</v>
      </c>
      <c r="DC243" s="255">
        <v>0</v>
      </c>
      <c r="DD243" s="255">
        <v>0</v>
      </c>
      <c r="DE243" s="255">
        <v>0</v>
      </c>
      <c r="DF243" s="255">
        <v>0</v>
      </c>
      <c r="DG243" s="255">
        <v>0</v>
      </c>
      <c r="DH243" s="255">
        <v>0</v>
      </c>
      <c r="DI243" s="255">
        <v>0</v>
      </c>
      <c r="DJ243" s="255">
        <v>0</v>
      </c>
      <c r="DK243" s="255">
        <v>0</v>
      </c>
      <c r="DL243" s="255">
        <v>0</v>
      </c>
      <c r="DM243" s="255">
        <v>19565.5</v>
      </c>
      <c r="DN243" s="255">
        <v>19565.5</v>
      </c>
      <c r="DO243" s="255">
        <v>0</v>
      </c>
      <c r="DP243" s="255">
        <v>23478.6</v>
      </c>
      <c r="DQ243" s="255">
        <v>23478.6</v>
      </c>
      <c r="DR243" s="255">
        <v>0</v>
      </c>
      <c r="DS243" s="255">
        <v>0</v>
      </c>
      <c r="DT243" s="255">
        <v>0</v>
      </c>
      <c r="DU243" s="255">
        <v>0</v>
      </c>
      <c r="DV243" s="255">
        <v>0</v>
      </c>
      <c r="DW243" s="255">
        <v>0</v>
      </c>
      <c r="DX243" s="255">
        <v>0</v>
      </c>
      <c r="DY243" s="255">
        <v>0</v>
      </c>
      <c r="DZ243" s="255">
        <v>0</v>
      </c>
      <c r="EA243" s="255">
        <v>0</v>
      </c>
      <c r="EB243" s="255">
        <v>0</v>
      </c>
      <c r="EC243" s="255">
        <v>0</v>
      </c>
      <c r="ED243" s="255">
        <v>0</v>
      </c>
      <c r="EE243" s="255">
        <v>20752.5</v>
      </c>
      <c r="EF243" s="255">
        <v>12451.5</v>
      </c>
      <c r="EG243" s="255">
        <v>12451.5</v>
      </c>
      <c r="EH243" s="255">
        <v>0</v>
      </c>
      <c r="EI243" s="255">
        <v>0</v>
      </c>
      <c r="EJ243" s="255">
        <v>0</v>
      </c>
      <c r="EK243" s="255">
        <v>0</v>
      </c>
      <c r="EL243" s="255">
        <v>0</v>
      </c>
      <c r="EM243" s="255">
        <v>0</v>
      </c>
      <c r="EN243" s="255">
        <v>0</v>
      </c>
      <c r="EO243" s="255">
        <v>0</v>
      </c>
      <c r="EP243" s="255">
        <v>0</v>
      </c>
      <c r="EQ243" s="255">
        <v>0</v>
      </c>
      <c r="ER243" s="255">
        <v>0</v>
      </c>
      <c r="ES243" s="255">
        <v>0</v>
      </c>
      <c r="ET243" s="255">
        <v>0</v>
      </c>
      <c r="EU243" s="255">
        <v>0</v>
      </c>
      <c r="EV243" s="255">
        <v>0</v>
      </c>
      <c r="EW243" s="255">
        <v>0</v>
      </c>
      <c r="EX243" s="255">
        <v>0</v>
      </c>
      <c r="EY243" s="255">
        <v>0</v>
      </c>
      <c r="EZ243" s="255">
        <v>0</v>
      </c>
      <c r="FA243" s="255">
        <v>0</v>
      </c>
      <c r="FB243" s="255">
        <v>0</v>
      </c>
      <c r="FC243" s="255">
        <v>0</v>
      </c>
      <c r="FD243" s="255">
        <v>0</v>
      </c>
      <c r="FE243" s="255">
        <v>0</v>
      </c>
      <c r="FF243" s="255">
        <v>0</v>
      </c>
      <c r="FG243" s="255">
        <v>0</v>
      </c>
      <c r="FH243" s="255">
        <v>0</v>
      </c>
      <c r="FI243" s="255">
        <v>0</v>
      </c>
      <c r="FJ243" s="255">
        <v>0</v>
      </c>
      <c r="FK243" s="255">
        <v>0</v>
      </c>
      <c r="FL243" s="255">
        <v>0</v>
      </c>
      <c r="FM243" s="255">
        <v>0</v>
      </c>
      <c r="FN243" s="255">
        <v>0</v>
      </c>
      <c r="FO243" s="255">
        <v>0</v>
      </c>
      <c r="FP243" s="255">
        <v>0</v>
      </c>
      <c r="FQ243" s="255">
        <v>0</v>
      </c>
      <c r="FR243" s="255">
        <v>0</v>
      </c>
      <c r="FS243" s="255">
        <v>0</v>
      </c>
      <c r="FT243" s="255">
        <v>0</v>
      </c>
      <c r="FU243" s="255">
        <v>0</v>
      </c>
      <c r="FV243" s="255">
        <v>0</v>
      </c>
      <c r="FW243" s="255">
        <v>0</v>
      </c>
      <c r="FX243" s="116"/>
    </row>
    <row r="244" spans="2:180" x14ac:dyDescent="0.2">
      <c r="B244" s="253" t="s">
        <v>216</v>
      </c>
      <c r="C244" s="253" t="s">
        <v>330</v>
      </c>
      <c r="D244" s="253" t="s">
        <v>258</v>
      </c>
      <c r="E244" s="253" t="s">
        <v>127</v>
      </c>
      <c r="F244" s="253" t="s">
        <v>259</v>
      </c>
      <c r="G244" s="253" t="s">
        <v>260</v>
      </c>
      <c r="H244" s="237">
        <v>157.53</v>
      </c>
      <c r="I244" s="126">
        <f t="shared" si="88"/>
        <v>926815.20000000019</v>
      </c>
      <c r="J244" s="116"/>
      <c r="K244" s="254">
        <v>0</v>
      </c>
      <c r="L244" s="254">
        <v>0</v>
      </c>
      <c r="M244" s="254">
        <v>0</v>
      </c>
      <c r="N244" s="254">
        <v>0</v>
      </c>
      <c r="O244" s="254">
        <v>0</v>
      </c>
      <c r="P244" s="254">
        <v>0</v>
      </c>
      <c r="Q244" s="254">
        <v>0</v>
      </c>
      <c r="R244" s="254">
        <v>0</v>
      </c>
      <c r="S244" s="254">
        <v>0</v>
      </c>
      <c r="T244" s="254">
        <v>0</v>
      </c>
      <c r="U244" s="254">
        <v>0</v>
      </c>
      <c r="V244" s="254">
        <v>0</v>
      </c>
      <c r="W244" s="254">
        <v>0</v>
      </c>
      <c r="X244" s="254">
        <v>0</v>
      </c>
      <c r="Y244" s="254">
        <v>0</v>
      </c>
      <c r="Z244" s="254">
        <v>0</v>
      </c>
      <c r="AA244" s="254">
        <v>0</v>
      </c>
      <c r="AB244" s="254">
        <v>0</v>
      </c>
      <c r="AC244" s="254">
        <v>0</v>
      </c>
      <c r="AD244" s="254">
        <v>0</v>
      </c>
      <c r="AE244" s="254">
        <v>1.35</v>
      </c>
      <c r="AF244" s="254">
        <v>1.35</v>
      </c>
      <c r="AG244" s="254">
        <v>1.2749999999999999</v>
      </c>
      <c r="AH244" s="254">
        <v>1.2</v>
      </c>
      <c r="AI244" s="254">
        <v>2.2999999999999998</v>
      </c>
      <c r="AJ244" s="254">
        <v>1.2</v>
      </c>
      <c r="AK244" s="254">
        <v>1.2</v>
      </c>
      <c r="AL244" s="254">
        <v>1.9</v>
      </c>
      <c r="AM244" s="254">
        <v>1.243421052631579</v>
      </c>
      <c r="AN244" s="254">
        <v>1.174342105263158</v>
      </c>
      <c r="AO244" s="254">
        <v>1.35</v>
      </c>
      <c r="AP244" s="254">
        <v>1.2749999999999999</v>
      </c>
      <c r="AQ244" s="254">
        <v>1.35</v>
      </c>
      <c r="AR244" s="254">
        <v>1.35</v>
      </c>
      <c r="AS244" s="254">
        <v>1.2749999999999999</v>
      </c>
      <c r="AT244" s="254">
        <v>1.6</v>
      </c>
      <c r="AU244" s="254">
        <v>1.9</v>
      </c>
      <c r="AV244" s="254">
        <v>1.2</v>
      </c>
      <c r="AW244" s="254">
        <v>1.425</v>
      </c>
      <c r="AX244" s="254">
        <v>1.6</v>
      </c>
      <c r="AY244" s="254">
        <v>1.3125</v>
      </c>
      <c r="AZ244" s="254">
        <v>1.3125</v>
      </c>
      <c r="BA244" s="254">
        <v>1.2</v>
      </c>
      <c r="BB244" s="254">
        <v>1.35</v>
      </c>
      <c r="BC244" s="254">
        <v>1.2749999999999999</v>
      </c>
      <c r="BD244" s="254">
        <v>1.35</v>
      </c>
      <c r="BE244" s="254">
        <v>6.3857142857142861</v>
      </c>
      <c r="BF244" s="254">
        <v>0</v>
      </c>
      <c r="BG244" s="254">
        <v>0</v>
      </c>
      <c r="BH244" s="254">
        <v>0</v>
      </c>
      <c r="BI244" s="254">
        <v>0</v>
      </c>
      <c r="BJ244" s="254">
        <v>0</v>
      </c>
      <c r="BK244" s="254">
        <v>0</v>
      </c>
      <c r="BL244" s="254">
        <v>0</v>
      </c>
      <c r="BM244" s="254">
        <v>0</v>
      </c>
      <c r="BN244" s="254">
        <v>0</v>
      </c>
      <c r="BO244" s="254">
        <v>0</v>
      </c>
      <c r="BP244" s="254">
        <v>0</v>
      </c>
      <c r="BQ244" s="254">
        <v>0</v>
      </c>
      <c r="BR244" s="254">
        <v>0</v>
      </c>
      <c r="BS244" s="254">
        <v>0</v>
      </c>
      <c r="BT244" s="254">
        <v>0</v>
      </c>
      <c r="BU244" s="254">
        <v>0</v>
      </c>
      <c r="BV244" s="254">
        <v>0</v>
      </c>
      <c r="BW244" s="254">
        <v>0</v>
      </c>
      <c r="BX244" s="254">
        <v>0</v>
      </c>
      <c r="BY244" s="254">
        <v>0</v>
      </c>
      <c r="BZ244" s="254">
        <v>0</v>
      </c>
      <c r="CA244" s="254">
        <v>0</v>
      </c>
      <c r="CB244" s="254">
        <v>0</v>
      </c>
      <c r="CC244" s="254">
        <v>0</v>
      </c>
      <c r="CD244" s="254">
        <v>0</v>
      </c>
      <c r="CE244" s="254">
        <v>0</v>
      </c>
      <c r="CF244" s="254">
        <v>0</v>
      </c>
      <c r="CG244" s="254">
        <v>0</v>
      </c>
      <c r="CH244" s="254">
        <v>0</v>
      </c>
      <c r="CI244" s="254">
        <v>0</v>
      </c>
      <c r="CJ244" s="254">
        <v>0</v>
      </c>
      <c r="CK244" s="254">
        <v>0</v>
      </c>
      <c r="CL244" s="254">
        <v>0</v>
      </c>
      <c r="CM244" s="254">
        <v>0</v>
      </c>
      <c r="CN244" s="254">
        <v>0</v>
      </c>
      <c r="CO244" s="254">
        <v>0</v>
      </c>
      <c r="CP244" s="254">
        <v>0</v>
      </c>
      <c r="CQ244" s="116"/>
      <c r="CR244" s="255">
        <v>0</v>
      </c>
      <c r="CS244" s="255">
        <v>0</v>
      </c>
      <c r="CT244" s="255">
        <v>0</v>
      </c>
      <c r="CU244" s="255">
        <v>0</v>
      </c>
      <c r="CV244" s="255">
        <v>0</v>
      </c>
      <c r="CW244" s="255">
        <v>0</v>
      </c>
      <c r="CX244" s="255">
        <v>0</v>
      </c>
      <c r="CY244" s="255">
        <v>0</v>
      </c>
      <c r="CZ244" s="255">
        <v>0</v>
      </c>
      <c r="DA244" s="255">
        <v>0</v>
      </c>
      <c r="DB244" s="255">
        <v>0</v>
      </c>
      <c r="DC244" s="255">
        <v>0</v>
      </c>
      <c r="DD244" s="255">
        <v>0</v>
      </c>
      <c r="DE244" s="255">
        <v>0</v>
      </c>
      <c r="DF244" s="255">
        <v>0</v>
      </c>
      <c r="DG244" s="255">
        <v>0</v>
      </c>
      <c r="DH244" s="255">
        <v>0</v>
      </c>
      <c r="DI244" s="255">
        <v>0</v>
      </c>
      <c r="DJ244" s="255">
        <v>0</v>
      </c>
      <c r="DK244" s="255">
        <v>0</v>
      </c>
      <c r="DL244" s="255">
        <v>29773.170000000002</v>
      </c>
      <c r="DM244" s="255">
        <v>29773.170000000002</v>
      </c>
      <c r="DN244" s="255">
        <v>28119.105</v>
      </c>
      <c r="DO244" s="255">
        <v>19848.78</v>
      </c>
      <c r="DP244" s="255">
        <v>38043.495000000003</v>
      </c>
      <c r="DQ244" s="255">
        <v>26465.040000000001</v>
      </c>
      <c r="DR244" s="255">
        <v>27269.759999999998</v>
      </c>
      <c r="DS244" s="255">
        <v>32382.84</v>
      </c>
      <c r="DT244" s="255">
        <v>30678.48</v>
      </c>
      <c r="DU244" s="255">
        <v>28974.12</v>
      </c>
      <c r="DV244" s="255">
        <v>30678.48</v>
      </c>
      <c r="DW244" s="255">
        <v>28974.12</v>
      </c>
      <c r="DX244" s="255">
        <v>30678.48</v>
      </c>
      <c r="DY244" s="255">
        <v>30678.48</v>
      </c>
      <c r="DZ244" s="255">
        <v>28974.12</v>
      </c>
      <c r="EA244" s="255">
        <v>27269.759999999998</v>
      </c>
      <c r="EB244" s="255">
        <v>32382.84</v>
      </c>
      <c r="EC244" s="255">
        <v>27269.759999999998</v>
      </c>
      <c r="ED244" s="255">
        <v>33340.44</v>
      </c>
      <c r="EE244" s="255">
        <v>28076.16</v>
      </c>
      <c r="EF244" s="255">
        <v>33340.44</v>
      </c>
      <c r="EG244" s="255">
        <v>33340.44</v>
      </c>
      <c r="EH244" s="255">
        <v>28076.16</v>
      </c>
      <c r="EI244" s="255">
        <v>31585.68</v>
      </c>
      <c r="EJ244" s="255">
        <v>29830.920000000002</v>
      </c>
      <c r="EK244" s="255">
        <v>31585.68</v>
      </c>
      <c r="EL244" s="255">
        <v>149405.28</v>
      </c>
      <c r="EM244" s="255">
        <v>0</v>
      </c>
      <c r="EN244" s="255">
        <v>0</v>
      </c>
      <c r="EO244" s="255">
        <v>0</v>
      </c>
      <c r="EP244" s="255">
        <v>0</v>
      </c>
      <c r="EQ244" s="255">
        <v>0</v>
      </c>
      <c r="ER244" s="255">
        <v>0</v>
      </c>
      <c r="ES244" s="255">
        <v>0</v>
      </c>
      <c r="ET244" s="255">
        <v>0</v>
      </c>
      <c r="EU244" s="255">
        <v>0</v>
      </c>
      <c r="EV244" s="255">
        <v>0</v>
      </c>
      <c r="EW244" s="255">
        <v>0</v>
      </c>
      <c r="EX244" s="255">
        <v>0</v>
      </c>
      <c r="EY244" s="255">
        <v>0</v>
      </c>
      <c r="EZ244" s="255">
        <v>0</v>
      </c>
      <c r="FA244" s="255">
        <v>0</v>
      </c>
      <c r="FB244" s="255">
        <v>0</v>
      </c>
      <c r="FC244" s="255">
        <v>0</v>
      </c>
      <c r="FD244" s="255">
        <v>0</v>
      </c>
      <c r="FE244" s="255">
        <v>0</v>
      </c>
      <c r="FF244" s="255">
        <v>0</v>
      </c>
      <c r="FG244" s="255">
        <v>0</v>
      </c>
      <c r="FH244" s="255">
        <v>0</v>
      </c>
      <c r="FI244" s="255">
        <v>0</v>
      </c>
      <c r="FJ244" s="255">
        <v>0</v>
      </c>
      <c r="FK244" s="255">
        <v>0</v>
      </c>
      <c r="FL244" s="255">
        <v>0</v>
      </c>
      <c r="FM244" s="255">
        <v>0</v>
      </c>
      <c r="FN244" s="255">
        <v>0</v>
      </c>
      <c r="FO244" s="255">
        <v>0</v>
      </c>
      <c r="FP244" s="255">
        <v>0</v>
      </c>
      <c r="FQ244" s="255">
        <v>0</v>
      </c>
      <c r="FR244" s="255">
        <v>0</v>
      </c>
      <c r="FS244" s="255">
        <v>0</v>
      </c>
      <c r="FT244" s="255">
        <v>0</v>
      </c>
      <c r="FU244" s="255">
        <v>0</v>
      </c>
      <c r="FV244" s="255">
        <v>0</v>
      </c>
      <c r="FW244" s="255">
        <v>0</v>
      </c>
      <c r="FX244" s="116"/>
    </row>
    <row r="245" spans="2:180" x14ac:dyDescent="0.2">
      <c r="B245" s="253" t="s">
        <v>216</v>
      </c>
      <c r="C245" s="253" t="s">
        <v>330</v>
      </c>
      <c r="D245" s="253" t="s">
        <v>258</v>
      </c>
      <c r="E245" s="253" t="s">
        <v>127</v>
      </c>
      <c r="F245" s="253">
        <v>0</v>
      </c>
      <c r="G245" s="253" t="s">
        <v>322</v>
      </c>
      <c r="H245" s="237">
        <v>157.53</v>
      </c>
      <c r="I245" s="126">
        <f t="shared" si="88"/>
        <v>1334227.7700000003</v>
      </c>
      <c r="J245" s="116"/>
      <c r="K245" s="254">
        <v>0</v>
      </c>
      <c r="L245" s="254">
        <v>0</v>
      </c>
      <c r="M245" s="254">
        <v>0</v>
      </c>
      <c r="N245" s="254">
        <v>0</v>
      </c>
      <c r="O245" s="254">
        <v>0</v>
      </c>
      <c r="P245" s="254">
        <v>0</v>
      </c>
      <c r="Q245" s="254">
        <v>0</v>
      </c>
      <c r="R245" s="254">
        <v>0</v>
      </c>
      <c r="S245" s="254">
        <v>0</v>
      </c>
      <c r="T245" s="254">
        <v>0</v>
      </c>
      <c r="U245" s="254">
        <v>0</v>
      </c>
      <c r="V245" s="254">
        <v>0</v>
      </c>
      <c r="W245" s="254">
        <v>0</v>
      </c>
      <c r="X245" s="254">
        <v>0</v>
      </c>
      <c r="Y245" s="254">
        <v>0</v>
      </c>
      <c r="Z245" s="254">
        <v>0</v>
      </c>
      <c r="AA245" s="254">
        <v>0</v>
      </c>
      <c r="AB245" s="254">
        <v>0</v>
      </c>
      <c r="AC245" s="254">
        <v>0</v>
      </c>
      <c r="AD245" s="254">
        <v>0</v>
      </c>
      <c r="AE245" s="254">
        <v>1.0928571428571427</v>
      </c>
      <c r="AF245" s="254">
        <v>1.0928571428571427</v>
      </c>
      <c r="AG245" s="254">
        <v>1.0607142857142857</v>
      </c>
      <c r="AH245" s="254">
        <v>1.2</v>
      </c>
      <c r="AI245" s="254">
        <v>2.0142857142857142</v>
      </c>
      <c r="AJ245" s="254">
        <v>1.0285714285714285</v>
      </c>
      <c r="AK245" s="254">
        <v>1.0285714285714285</v>
      </c>
      <c r="AL245" s="254">
        <v>1.5</v>
      </c>
      <c r="AM245" s="254">
        <v>1.125</v>
      </c>
      <c r="AN245" s="254">
        <v>1.0953947368421053</v>
      </c>
      <c r="AO245" s="254">
        <v>1.0928571428571427</v>
      </c>
      <c r="AP245" s="254">
        <v>1.0607142857142857</v>
      </c>
      <c r="AQ245" s="254">
        <v>1.0928571428571427</v>
      </c>
      <c r="AR245" s="254">
        <v>1.0928571428571427</v>
      </c>
      <c r="AS245" s="254">
        <v>1.3178571428571428</v>
      </c>
      <c r="AT245" s="254">
        <v>1.0285714285714285</v>
      </c>
      <c r="AU245" s="254">
        <v>1.8428571428571427</v>
      </c>
      <c r="AV245" s="254">
        <v>1.0285714285714285</v>
      </c>
      <c r="AW245" s="254">
        <v>1.125</v>
      </c>
      <c r="AX245" s="254">
        <v>1.3714285714285714</v>
      </c>
      <c r="AY245" s="254">
        <v>1.2730263157894737</v>
      </c>
      <c r="AZ245" s="254">
        <v>1.2730263157894737</v>
      </c>
      <c r="BA245" s="254">
        <v>1.0285714285714285</v>
      </c>
      <c r="BB245" s="254">
        <v>1.0928571428571427</v>
      </c>
      <c r="BC245" s="254">
        <v>1.0607142857142857</v>
      </c>
      <c r="BD245" s="254">
        <v>1.0928571428571427</v>
      </c>
      <c r="BE245" s="254">
        <v>0</v>
      </c>
      <c r="BF245" s="254">
        <v>0</v>
      </c>
      <c r="BG245" s="254">
        <v>0</v>
      </c>
      <c r="BH245" s="254">
        <v>0</v>
      </c>
      <c r="BI245" s="254">
        <v>0</v>
      </c>
      <c r="BJ245" s="254">
        <v>0</v>
      </c>
      <c r="BK245" s="254">
        <v>0</v>
      </c>
      <c r="BL245" s="254">
        <v>0</v>
      </c>
      <c r="BM245" s="254">
        <v>0</v>
      </c>
      <c r="BN245" s="254">
        <v>0</v>
      </c>
      <c r="BO245" s="254">
        <v>0</v>
      </c>
      <c r="BP245" s="254">
        <v>0</v>
      </c>
      <c r="BQ245" s="254">
        <v>0</v>
      </c>
      <c r="BR245" s="254">
        <v>0</v>
      </c>
      <c r="BS245" s="254">
        <v>0</v>
      </c>
      <c r="BT245" s="254">
        <v>0</v>
      </c>
      <c r="BU245" s="254">
        <v>0</v>
      </c>
      <c r="BV245" s="254">
        <v>0</v>
      </c>
      <c r="BW245" s="254">
        <v>0</v>
      </c>
      <c r="BX245" s="254">
        <v>0</v>
      </c>
      <c r="BY245" s="254">
        <v>0</v>
      </c>
      <c r="BZ245" s="254">
        <v>0</v>
      </c>
      <c r="CA245" s="254">
        <v>0</v>
      </c>
      <c r="CB245" s="254">
        <v>0</v>
      </c>
      <c r="CC245" s="254">
        <v>0</v>
      </c>
      <c r="CD245" s="254">
        <v>0</v>
      </c>
      <c r="CE245" s="254">
        <v>0</v>
      </c>
      <c r="CF245" s="254">
        <v>0</v>
      </c>
      <c r="CG245" s="254">
        <v>0</v>
      </c>
      <c r="CH245" s="254">
        <v>0</v>
      </c>
      <c r="CI245" s="254">
        <v>0</v>
      </c>
      <c r="CJ245" s="254">
        <v>0</v>
      </c>
      <c r="CK245" s="254">
        <v>0</v>
      </c>
      <c r="CL245" s="254">
        <v>0</v>
      </c>
      <c r="CM245" s="254">
        <v>0</v>
      </c>
      <c r="CN245" s="254">
        <v>0</v>
      </c>
      <c r="CO245" s="254">
        <v>0</v>
      </c>
      <c r="CP245" s="254">
        <v>0</v>
      </c>
      <c r="CQ245" s="116"/>
      <c r="CR245" s="255">
        <v>0</v>
      </c>
      <c r="CS245" s="255">
        <v>0</v>
      </c>
      <c r="CT245" s="255">
        <v>0</v>
      </c>
      <c r="CU245" s="255">
        <v>0</v>
      </c>
      <c r="CV245" s="255">
        <v>0</v>
      </c>
      <c r="CW245" s="255">
        <v>0</v>
      </c>
      <c r="CX245" s="255">
        <v>0</v>
      </c>
      <c r="CY245" s="255">
        <v>0</v>
      </c>
      <c r="CZ245" s="255">
        <v>0</v>
      </c>
      <c r="DA245" s="255">
        <v>0</v>
      </c>
      <c r="DB245" s="255">
        <v>0</v>
      </c>
      <c r="DC245" s="255">
        <v>0</v>
      </c>
      <c r="DD245" s="255">
        <v>0</v>
      </c>
      <c r="DE245" s="255">
        <v>0</v>
      </c>
      <c r="DF245" s="255">
        <v>0</v>
      </c>
      <c r="DG245" s="255">
        <v>0</v>
      </c>
      <c r="DH245" s="255">
        <v>0</v>
      </c>
      <c r="DI245" s="255">
        <v>0</v>
      </c>
      <c r="DJ245" s="255">
        <v>0</v>
      </c>
      <c r="DK245" s="255">
        <v>0</v>
      </c>
      <c r="DL245" s="255">
        <v>48202.65</v>
      </c>
      <c r="DM245" s="255">
        <v>48202.65</v>
      </c>
      <c r="DN245" s="255">
        <v>46784.925000000003</v>
      </c>
      <c r="DO245" s="255">
        <v>39696.300000000003</v>
      </c>
      <c r="DP245" s="255">
        <v>66633.074999999997</v>
      </c>
      <c r="DQ245" s="255">
        <v>45367.200000000004</v>
      </c>
      <c r="DR245" s="255">
        <v>46748.159999999996</v>
      </c>
      <c r="DS245" s="255">
        <v>51130.799999999996</v>
      </c>
      <c r="DT245" s="255">
        <v>55513.439999999995</v>
      </c>
      <c r="DU245" s="255">
        <v>54052.56</v>
      </c>
      <c r="DV245" s="255">
        <v>49669.919999999998</v>
      </c>
      <c r="DW245" s="255">
        <v>48209.04</v>
      </c>
      <c r="DX245" s="255">
        <v>49669.919999999998</v>
      </c>
      <c r="DY245" s="255">
        <v>49669.919999999998</v>
      </c>
      <c r="DZ245" s="255">
        <v>59896.079999999994</v>
      </c>
      <c r="EA245" s="255">
        <v>35061.119999999995</v>
      </c>
      <c r="EB245" s="255">
        <v>62817.84</v>
      </c>
      <c r="EC245" s="255">
        <v>46748.159999999996</v>
      </c>
      <c r="ED245" s="255">
        <v>52641.225000000006</v>
      </c>
      <c r="EE245" s="255">
        <v>48129.120000000003</v>
      </c>
      <c r="EF245" s="255">
        <v>64673.505000000005</v>
      </c>
      <c r="EG245" s="255">
        <v>64673.505000000005</v>
      </c>
      <c r="EH245" s="255">
        <v>48129.120000000003</v>
      </c>
      <c r="EI245" s="255">
        <v>51137.19</v>
      </c>
      <c r="EJ245" s="255">
        <v>49633.155000000006</v>
      </c>
      <c r="EK245" s="255">
        <v>51137.19</v>
      </c>
      <c r="EL245" s="255">
        <v>0</v>
      </c>
      <c r="EM245" s="255">
        <v>0</v>
      </c>
      <c r="EN245" s="255">
        <v>0</v>
      </c>
      <c r="EO245" s="255">
        <v>0</v>
      </c>
      <c r="EP245" s="255">
        <v>0</v>
      </c>
      <c r="EQ245" s="255">
        <v>0</v>
      </c>
      <c r="ER245" s="255">
        <v>0</v>
      </c>
      <c r="ES245" s="255">
        <v>0</v>
      </c>
      <c r="ET245" s="255">
        <v>0</v>
      </c>
      <c r="EU245" s="255">
        <v>0</v>
      </c>
      <c r="EV245" s="255">
        <v>0</v>
      </c>
      <c r="EW245" s="255">
        <v>0</v>
      </c>
      <c r="EX245" s="255">
        <v>0</v>
      </c>
      <c r="EY245" s="255">
        <v>0</v>
      </c>
      <c r="EZ245" s="255">
        <v>0</v>
      </c>
      <c r="FA245" s="255">
        <v>0</v>
      </c>
      <c r="FB245" s="255">
        <v>0</v>
      </c>
      <c r="FC245" s="255">
        <v>0</v>
      </c>
      <c r="FD245" s="255">
        <v>0</v>
      </c>
      <c r="FE245" s="255">
        <v>0</v>
      </c>
      <c r="FF245" s="255">
        <v>0</v>
      </c>
      <c r="FG245" s="255">
        <v>0</v>
      </c>
      <c r="FH245" s="255">
        <v>0</v>
      </c>
      <c r="FI245" s="255">
        <v>0</v>
      </c>
      <c r="FJ245" s="255">
        <v>0</v>
      </c>
      <c r="FK245" s="255">
        <v>0</v>
      </c>
      <c r="FL245" s="255">
        <v>0</v>
      </c>
      <c r="FM245" s="255">
        <v>0</v>
      </c>
      <c r="FN245" s="255">
        <v>0</v>
      </c>
      <c r="FO245" s="255">
        <v>0</v>
      </c>
      <c r="FP245" s="255">
        <v>0</v>
      </c>
      <c r="FQ245" s="255">
        <v>0</v>
      </c>
      <c r="FR245" s="255">
        <v>0</v>
      </c>
      <c r="FS245" s="255">
        <v>0</v>
      </c>
      <c r="FT245" s="255">
        <v>0</v>
      </c>
      <c r="FU245" s="255">
        <v>0</v>
      </c>
      <c r="FV245" s="255">
        <v>0</v>
      </c>
      <c r="FW245" s="255">
        <v>0</v>
      </c>
      <c r="FX245" s="116"/>
    </row>
    <row r="246" spans="2:180" x14ac:dyDescent="0.2">
      <c r="B246" s="253" t="s">
        <v>216</v>
      </c>
      <c r="C246" s="253" t="s">
        <v>270</v>
      </c>
      <c r="D246" s="253" t="s">
        <v>258</v>
      </c>
      <c r="E246" s="253" t="s">
        <v>127</v>
      </c>
      <c r="F246" s="253" t="s">
        <v>259</v>
      </c>
      <c r="G246" s="253" t="s">
        <v>260</v>
      </c>
      <c r="H246" s="237">
        <v>240.85</v>
      </c>
      <c r="I246" s="126">
        <f t="shared" si="88"/>
        <v>53697</v>
      </c>
      <c r="J246" s="116"/>
      <c r="K246" s="254">
        <v>0</v>
      </c>
      <c r="L246" s="254">
        <v>0</v>
      </c>
      <c r="M246" s="254">
        <v>0</v>
      </c>
      <c r="N246" s="254">
        <v>0</v>
      </c>
      <c r="O246" s="254">
        <v>0</v>
      </c>
      <c r="P246" s="254">
        <v>0</v>
      </c>
      <c r="Q246" s="254">
        <v>0</v>
      </c>
      <c r="R246" s="254">
        <v>0</v>
      </c>
      <c r="S246" s="254">
        <v>0</v>
      </c>
      <c r="T246" s="254">
        <v>0</v>
      </c>
      <c r="U246" s="254">
        <v>0</v>
      </c>
      <c r="V246" s="254">
        <v>0</v>
      </c>
      <c r="W246" s="254">
        <v>0</v>
      </c>
      <c r="X246" s="254">
        <v>0</v>
      </c>
      <c r="Y246" s="254">
        <v>0</v>
      </c>
      <c r="Z246" s="254">
        <v>0</v>
      </c>
      <c r="AA246" s="254">
        <v>0</v>
      </c>
      <c r="AB246" s="254">
        <v>0</v>
      </c>
      <c r="AC246" s="254">
        <v>0</v>
      </c>
      <c r="AD246" s="254">
        <v>0</v>
      </c>
      <c r="AE246" s="254">
        <v>0</v>
      </c>
      <c r="AF246" s="254">
        <v>0</v>
      </c>
      <c r="AG246" s="254">
        <v>0</v>
      </c>
      <c r="AH246" s="254">
        <v>0</v>
      </c>
      <c r="AI246" s="254">
        <v>0</v>
      </c>
      <c r="AJ246" s="254">
        <v>0</v>
      </c>
      <c r="AK246" s="254">
        <v>0</v>
      </c>
      <c r="AL246" s="254">
        <v>0</v>
      </c>
      <c r="AM246" s="254">
        <v>0</v>
      </c>
      <c r="AN246" s="254">
        <v>0</v>
      </c>
      <c r="AO246" s="254">
        <v>0</v>
      </c>
      <c r="AP246" s="254">
        <v>0</v>
      </c>
      <c r="AQ246" s="254">
        <v>0</v>
      </c>
      <c r="AR246" s="254">
        <v>0</v>
      </c>
      <c r="AS246" s="254">
        <v>0</v>
      </c>
      <c r="AT246" s="254">
        <v>0</v>
      </c>
      <c r="AU246" s="254">
        <v>0</v>
      </c>
      <c r="AV246" s="254">
        <v>0</v>
      </c>
      <c r="AW246" s="254">
        <v>0</v>
      </c>
      <c r="AX246" s="254">
        <v>0</v>
      </c>
      <c r="AY246" s="254">
        <v>0</v>
      </c>
      <c r="AZ246" s="254">
        <v>0</v>
      </c>
      <c r="BA246" s="254">
        <v>0.5</v>
      </c>
      <c r="BB246" s="254">
        <v>0.5</v>
      </c>
      <c r="BC246" s="254">
        <v>0.5</v>
      </c>
      <c r="BD246" s="254">
        <v>0</v>
      </c>
      <c r="BE246" s="254">
        <v>0</v>
      </c>
      <c r="BF246" s="254">
        <v>0</v>
      </c>
      <c r="BG246" s="254">
        <v>0</v>
      </c>
      <c r="BH246" s="254">
        <v>0</v>
      </c>
      <c r="BI246" s="254">
        <v>0</v>
      </c>
      <c r="BJ246" s="254">
        <v>0</v>
      </c>
      <c r="BK246" s="254">
        <v>0</v>
      </c>
      <c r="BL246" s="254">
        <v>0</v>
      </c>
      <c r="BM246" s="254">
        <v>0</v>
      </c>
      <c r="BN246" s="254">
        <v>0</v>
      </c>
      <c r="BO246" s="254">
        <v>0</v>
      </c>
      <c r="BP246" s="254">
        <v>0</v>
      </c>
      <c r="BQ246" s="254">
        <v>0</v>
      </c>
      <c r="BR246" s="254">
        <v>0</v>
      </c>
      <c r="BS246" s="254">
        <v>0</v>
      </c>
      <c r="BT246" s="254">
        <v>0</v>
      </c>
      <c r="BU246" s="254">
        <v>0</v>
      </c>
      <c r="BV246" s="254">
        <v>0</v>
      </c>
      <c r="BW246" s="254">
        <v>0</v>
      </c>
      <c r="BX246" s="254">
        <v>0</v>
      </c>
      <c r="BY246" s="254">
        <v>0</v>
      </c>
      <c r="BZ246" s="254">
        <v>0</v>
      </c>
      <c r="CA246" s="254">
        <v>0</v>
      </c>
      <c r="CB246" s="254">
        <v>0</v>
      </c>
      <c r="CC246" s="254">
        <v>0</v>
      </c>
      <c r="CD246" s="254">
        <v>0</v>
      </c>
      <c r="CE246" s="254">
        <v>0</v>
      </c>
      <c r="CF246" s="254">
        <v>0</v>
      </c>
      <c r="CG246" s="254">
        <v>0</v>
      </c>
      <c r="CH246" s="254">
        <v>0</v>
      </c>
      <c r="CI246" s="254">
        <v>0</v>
      </c>
      <c r="CJ246" s="254">
        <v>0</v>
      </c>
      <c r="CK246" s="254">
        <v>0</v>
      </c>
      <c r="CL246" s="254">
        <v>0</v>
      </c>
      <c r="CM246" s="254">
        <v>0</v>
      </c>
      <c r="CN246" s="254">
        <v>0</v>
      </c>
      <c r="CO246" s="254">
        <v>0</v>
      </c>
      <c r="CP246" s="254">
        <v>0</v>
      </c>
      <c r="CQ246" s="116"/>
      <c r="CR246" s="255">
        <v>0</v>
      </c>
      <c r="CS246" s="255">
        <v>0</v>
      </c>
      <c r="CT246" s="255">
        <v>0</v>
      </c>
      <c r="CU246" s="255">
        <v>0</v>
      </c>
      <c r="CV246" s="255">
        <v>0</v>
      </c>
      <c r="CW246" s="255">
        <v>0</v>
      </c>
      <c r="CX246" s="255">
        <v>0</v>
      </c>
      <c r="CY246" s="255">
        <v>0</v>
      </c>
      <c r="CZ246" s="255">
        <v>0</v>
      </c>
      <c r="DA246" s="255">
        <v>0</v>
      </c>
      <c r="DB246" s="255">
        <v>0</v>
      </c>
      <c r="DC246" s="255">
        <v>0</v>
      </c>
      <c r="DD246" s="255">
        <v>0</v>
      </c>
      <c r="DE246" s="255">
        <v>0</v>
      </c>
      <c r="DF246" s="255">
        <v>0</v>
      </c>
      <c r="DG246" s="255">
        <v>0</v>
      </c>
      <c r="DH246" s="255">
        <v>0</v>
      </c>
      <c r="DI246" s="255">
        <v>0</v>
      </c>
      <c r="DJ246" s="255">
        <v>0</v>
      </c>
      <c r="DK246" s="255">
        <v>0</v>
      </c>
      <c r="DL246" s="255">
        <v>0</v>
      </c>
      <c r="DM246" s="255">
        <v>0</v>
      </c>
      <c r="DN246" s="255">
        <v>0</v>
      </c>
      <c r="DO246" s="255">
        <v>0</v>
      </c>
      <c r="DP246" s="255">
        <v>0</v>
      </c>
      <c r="DQ246" s="255">
        <v>0</v>
      </c>
      <c r="DR246" s="255">
        <v>0</v>
      </c>
      <c r="DS246" s="255">
        <v>0</v>
      </c>
      <c r="DT246" s="255">
        <v>0</v>
      </c>
      <c r="DU246" s="255">
        <v>0</v>
      </c>
      <c r="DV246" s="255">
        <v>0</v>
      </c>
      <c r="DW246" s="255">
        <v>0</v>
      </c>
      <c r="DX246" s="255">
        <v>0</v>
      </c>
      <c r="DY246" s="255">
        <v>0</v>
      </c>
      <c r="DZ246" s="255">
        <v>0</v>
      </c>
      <c r="EA246" s="255">
        <v>0</v>
      </c>
      <c r="EB246" s="255">
        <v>0</v>
      </c>
      <c r="EC246" s="255">
        <v>0</v>
      </c>
      <c r="ED246" s="255">
        <v>0</v>
      </c>
      <c r="EE246" s="255">
        <v>0</v>
      </c>
      <c r="EF246" s="255">
        <v>0</v>
      </c>
      <c r="EG246" s="255">
        <v>0</v>
      </c>
      <c r="EH246" s="255">
        <v>17899</v>
      </c>
      <c r="EI246" s="255">
        <v>17899</v>
      </c>
      <c r="EJ246" s="255">
        <v>17899</v>
      </c>
      <c r="EK246" s="255">
        <v>0</v>
      </c>
      <c r="EL246" s="255">
        <v>0</v>
      </c>
      <c r="EM246" s="255">
        <v>0</v>
      </c>
      <c r="EN246" s="255">
        <v>0</v>
      </c>
      <c r="EO246" s="255">
        <v>0</v>
      </c>
      <c r="EP246" s="255">
        <v>0</v>
      </c>
      <c r="EQ246" s="255">
        <v>0</v>
      </c>
      <c r="ER246" s="255">
        <v>0</v>
      </c>
      <c r="ES246" s="255">
        <v>0</v>
      </c>
      <c r="ET246" s="255">
        <v>0</v>
      </c>
      <c r="EU246" s="255">
        <v>0</v>
      </c>
      <c r="EV246" s="255">
        <v>0</v>
      </c>
      <c r="EW246" s="255">
        <v>0</v>
      </c>
      <c r="EX246" s="255">
        <v>0</v>
      </c>
      <c r="EY246" s="255">
        <v>0</v>
      </c>
      <c r="EZ246" s="255">
        <v>0</v>
      </c>
      <c r="FA246" s="255">
        <v>0</v>
      </c>
      <c r="FB246" s="255">
        <v>0</v>
      </c>
      <c r="FC246" s="255">
        <v>0</v>
      </c>
      <c r="FD246" s="255">
        <v>0</v>
      </c>
      <c r="FE246" s="255">
        <v>0</v>
      </c>
      <c r="FF246" s="255">
        <v>0</v>
      </c>
      <c r="FG246" s="255">
        <v>0</v>
      </c>
      <c r="FH246" s="255">
        <v>0</v>
      </c>
      <c r="FI246" s="255">
        <v>0</v>
      </c>
      <c r="FJ246" s="255">
        <v>0</v>
      </c>
      <c r="FK246" s="255">
        <v>0</v>
      </c>
      <c r="FL246" s="255">
        <v>0</v>
      </c>
      <c r="FM246" s="255">
        <v>0</v>
      </c>
      <c r="FN246" s="255">
        <v>0</v>
      </c>
      <c r="FO246" s="255">
        <v>0</v>
      </c>
      <c r="FP246" s="255">
        <v>0</v>
      </c>
      <c r="FQ246" s="255">
        <v>0</v>
      </c>
      <c r="FR246" s="255">
        <v>0</v>
      </c>
      <c r="FS246" s="255">
        <v>0</v>
      </c>
      <c r="FT246" s="255">
        <v>0</v>
      </c>
      <c r="FU246" s="255">
        <v>0</v>
      </c>
      <c r="FV246" s="255">
        <v>0</v>
      </c>
      <c r="FW246" s="255">
        <v>0</v>
      </c>
      <c r="FX246" s="116"/>
    </row>
    <row r="247" spans="2:180" x14ac:dyDescent="0.2">
      <c r="B247" s="253" t="s">
        <v>216</v>
      </c>
      <c r="C247" s="253" t="s">
        <v>270</v>
      </c>
      <c r="D247" s="253" t="s">
        <v>258</v>
      </c>
      <c r="E247" s="253" t="s">
        <v>127</v>
      </c>
      <c r="F247" s="253" t="s">
        <v>259</v>
      </c>
      <c r="G247" s="253" t="s">
        <v>260</v>
      </c>
      <c r="H247" s="237">
        <v>240.85</v>
      </c>
      <c r="I247" s="126">
        <f t="shared" si="88"/>
        <v>53697</v>
      </c>
      <c r="J247" s="116"/>
      <c r="K247" s="254">
        <v>0</v>
      </c>
      <c r="L247" s="254">
        <v>0</v>
      </c>
      <c r="M247" s="254">
        <v>0</v>
      </c>
      <c r="N247" s="254">
        <v>0</v>
      </c>
      <c r="O247" s="254">
        <v>0</v>
      </c>
      <c r="P247" s="254">
        <v>0</v>
      </c>
      <c r="Q247" s="254">
        <v>0</v>
      </c>
      <c r="R247" s="254">
        <v>0</v>
      </c>
      <c r="S247" s="254">
        <v>0</v>
      </c>
      <c r="T247" s="254">
        <v>0</v>
      </c>
      <c r="U247" s="254">
        <v>0</v>
      </c>
      <c r="V247" s="254">
        <v>0</v>
      </c>
      <c r="W247" s="254">
        <v>0</v>
      </c>
      <c r="X247" s="254">
        <v>0</v>
      </c>
      <c r="Y247" s="254">
        <v>0</v>
      </c>
      <c r="Z247" s="254">
        <v>0</v>
      </c>
      <c r="AA247" s="254">
        <v>0</v>
      </c>
      <c r="AB247" s="254">
        <v>0</v>
      </c>
      <c r="AC247" s="254">
        <v>0</v>
      </c>
      <c r="AD247" s="254">
        <v>0</v>
      </c>
      <c r="AE247" s="254">
        <v>0</v>
      </c>
      <c r="AF247" s="254">
        <v>0</v>
      </c>
      <c r="AG247" s="254">
        <v>0</v>
      </c>
      <c r="AH247" s="254">
        <v>0</v>
      </c>
      <c r="AI247" s="254">
        <v>0</v>
      </c>
      <c r="AJ247" s="254">
        <v>0</v>
      </c>
      <c r="AK247" s="254">
        <v>0</v>
      </c>
      <c r="AL247" s="254">
        <v>0</v>
      </c>
      <c r="AM247" s="254">
        <v>0</v>
      </c>
      <c r="AN247" s="254">
        <v>0</v>
      </c>
      <c r="AO247" s="254">
        <v>0</v>
      </c>
      <c r="AP247" s="254">
        <v>0</v>
      </c>
      <c r="AQ247" s="254">
        <v>0</v>
      </c>
      <c r="AR247" s="254">
        <v>0</v>
      </c>
      <c r="AS247" s="254">
        <v>0</v>
      </c>
      <c r="AT247" s="254">
        <v>0</v>
      </c>
      <c r="AU247" s="254">
        <v>0</v>
      </c>
      <c r="AV247" s="254">
        <v>0</v>
      </c>
      <c r="AW247" s="254">
        <v>0</v>
      </c>
      <c r="AX247" s="254">
        <v>0</v>
      </c>
      <c r="AY247" s="254">
        <v>0</v>
      </c>
      <c r="AZ247" s="254">
        <v>0</v>
      </c>
      <c r="BA247" s="254">
        <v>0.5</v>
      </c>
      <c r="BB247" s="254">
        <v>0.5</v>
      </c>
      <c r="BC247" s="254">
        <v>0.5</v>
      </c>
      <c r="BD247" s="254">
        <v>0</v>
      </c>
      <c r="BE247" s="254">
        <v>0</v>
      </c>
      <c r="BF247" s="254">
        <v>0</v>
      </c>
      <c r="BG247" s="254">
        <v>0</v>
      </c>
      <c r="BH247" s="254">
        <v>0</v>
      </c>
      <c r="BI247" s="254">
        <v>0</v>
      </c>
      <c r="BJ247" s="254">
        <v>0</v>
      </c>
      <c r="BK247" s="254">
        <v>0</v>
      </c>
      <c r="BL247" s="254">
        <v>0</v>
      </c>
      <c r="BM247" s="254">
        <v>0</v>
      </c>
      <c r="BN247" s="254">
        <v>0</v>
      </c>
      <c r="BO247" s="254">
        <v>0</v>
      </c>
      <c r="BP247" s="254">
        <v>0</v>
      </c>
      <c r="BQ247" s="254">
        <v>0</v>
      </c>
      <c r="BR247" s="254">
        <v>0</v>
      </c>
      <c r="BS247" s="254">
        <v>0</v>
      </c>
      <c r="BT247" s="254">
        <v>0</v>
      </c>
      <c r="BU247" s="254">
        <v>0</v>
      </c>
      <c r="BV247" s="254">
        <v>0</v>
      </c>
      <c r="BW247" s="254">
        <v>0</v>
      </c>
      <c r="BX247" s="254">
        <v>0</v>
      </c>
      <c r="BY247" s="254">
        <v>0</v>
      </c>
      <c r="BZ247" s="254">
        <v>0</v>
      </c>
      <c r="CA247" s="254">
        <v>0</v>
      </c>
      <c r="CB247" s="254">
        <v>0</v>
      </c>
      <c r="CC247" s="254">
        <v>0</v>
      </c>
      <c r="CD247" s="254">
        <v>0</v>
      </c>
      <c r="CE247" s="254">
        <v>0</v>
      </c>
      <c r="CF247" s="254">
        <v>0</v>
      </c>
      <c r="CG247" s="254">
        <v>0</v>
      </c>
      <c r="CH247" s="254">
        <v>0</v>
      </c>
      <c r="CI247" s="254">
        <v>0</v>
      </c>
      <c r="CJ247" s="254">
        <v>0</v>
      </c>
      <c r="CK247" s="254">
        <v>0</v>
      </c>
      <c r="CL247" s="254">
        <v>0</v>
      </c>
      <c r="CM247" s="254">
        <v>0</v>
      </c>
      <c r="CN247" s="254">
        <v>0</v>
      </c>
      <c r="CO247" s="254">
        <v>0</v>
      </c>
      <c r="CP247" s="254">
        <v>0</v>
      </c>
      <c r="CQ247" s="116"/>
      <c r="CR247" s="255">
        <v>0</v>
      </c>
      <c r="CS247" s="255">
        <v>0</v>
      </c>
      <c r="CT247" s="255">
        <v>0</v>
      </c>
      <c r="CU247" s="255">
        <v>0</v>
      </c>
      <c r="CV247" s="255">
        <v>0</v>
      </c>
      <c r="CW247" s="255">
        <v>0</v>
      </c>
      <c r="CX247" s="255">
        <v>0</v>
      </c>
      <c r="CY247" s="255">
        <v>0</v>
      </c>
      <c r="CZ247" s="255">
        <v>0</v>
      </c>
      <c r="DA247" s="255">
        <v>0</v>
      </c>
      <c r="DB247" s="255">
        <v>0</v>
      </c>
      <c r="DC247" s="255">
        <v>0</v>
      </c>
      <c r="DD247" s="255">
        <v>0</v>
      </c>
      <c r="DE247" s="255">
        <v>0</v>
      </c>
      <c r="DF247" s="255">
        <v>0</v>
      </c>
      <c r="DG247" s="255">
        <v>0</v>
      </c>
      <c r="DH247" s="255">
        <v>0</v>
      </c>
      <c r="DI247" s="255">
        <v>0</v>
      </c>
      <c r="DJ247" s="255">
        <v>0</v>
      </c>
      <c r="DK247" s="255">
        <v>0</v>
      </c>
      <c r="DL247" s="255">
        <v>0</v>
      </c>
      <c r="DM247" s="255">
        <v>0</v>
      </c>
      <c r="DN247" s="255">
        <v>0</v>
      </c>
      <c r="DO247" s="255">
        <v>0</v>
      </c>
      <c r="DP247" s="255">
        <v>0</v>
      </c>
      <c r="DQ247" s="255">
        <v>0</v>
      </c>
      <c r="DR247" s="255">
        <v>0</v>
      </c>
      <c r="DS247" s="255">
        <v>0</v>
      </c>
      <c r="DT247" s="255">
        <v>0</v>
      </c>
      <c r="DU247" s="255">
        <v>0</v>
      </c>
      <c r="DV247" s="255">
        <v>0</v>
      </c>
      <c r="DW247" s="255">
        <v>0</v>
      </c>
      <c r="DX247" s="255">
        <v>0</v>
      </c>
      <c r="DY247" s="255">
        <v>0</v>
      </c>
      <c r="DZ247" s="255">
        <v>0</v>
      </c>
      <c r="EA247" s="255">
        <v>0</v>
      </c>
      <c r="EB247" s="255">
        <v>0</v>
      </c>
      <c r="EC247" s="255">
        <v>0</v>
      </c>
      <c r="ED247" s="255">
        <v>0</v>
      </c>
      <c r="EE247" s="255">
        <v>0</v>
      </c>
      <c r="EF247" s="255">
        <v>0</v>
      </c>
      <c r="EG247" s="255">
        <v>0</v>
      </c>
      <c r="EH247" s="255">
        <v>17899</v>
      </c>
      <c r="EI247" s="255">
        <v>17899</v>
      </c>
      <c r="EJ247" s="255">
        <v>17899</v>
      </c>
      <c r="EK247" s="255">
        <v>0</v>
      </c>
      <c r="EL247" s="255">
        <v>0</v>
      </c>
      <c r="EM247" s="255">
        <v>0</v>
      </c>
      <c r="EN247" s="255">
        <v>0</v>
      </c>
      <c r="EO247" s="255">
        <v>0</v>
      </c>
      <c r="EP247" s="255">
        <v>0</v>
      </c>
      <c r="EQ247" s="255">
        <v>0</v>
      </c>
      <c r="ER247" s="255">
        <v>0</v>
      </c>
      <c r="ES247" s="255">
        <v>0</v>
      </c>
      <c r="ET247" s="255">
        <v>0</v>
      </c>
      <c r="EU247" s="255">
        <v>0</v>
      </c>
      <c r="EV247" s="255">
        <v>0</v>
      </c>
      <c r="EW247" s="255">
        <v>0</v>
      </c>
      <c r="EX247" s="255">
        <v>0</v>
      </c>
      <c r="EY247" s="255">
        <v>0</v>
      </c>
      <c r="EZ247" s="255">
        <v>0</v>
      </c>
      <c r="FA247" s="255">
        <v>0</v>
      </c>
      <c r="FB247" s="255">
        <v>0</v>
      </c>
      <c r="FC247" s="255">
        <v>0</v>
      </c>
      <c r="FD247" s="255">
        <v>0</v>
      </c>
      <c r="FE247" s="255">
        <v>0</v>
      </c>
      <c r="FF247" s="255">
        <v>0</v>
      </c>
      <c r="FG247" s="255">
        <v>0</v>
      </c>
      <c r="FH247" s="255">
        <v>0</v>
      </c>
      <c r="FI247" s="255">
        <v>0</v>
      </c>
      <c r="FJ247" s="255">
        <v>0</v>
      </c>
      <c r="FK247" s="255">
        <v>0</v>
      </c>
      <c r="FL247" s="255">
        <v>0</v>
      </c>
      <c r="FM247" s="255">
        <v>0</v>
      </c>
      <c r="FN247" s="255">
        <v>0</v>
      </c>
      <c r="FO247" s="255">
        <v>0</v>
      </c>
      <c r="FP247" s="255">
        <v>0</v>
      </c>
      <c r="FQ247" s="255">
        <v>0</v>
      </c>
      <c r="FR247" s="255">
        <v>0</v>
      </c>
      <c r="FS247" s="255">
        <v>0</v>
      </c>
      <c r="FT247" s="255">
        <v>0</v>
      </c>
      <c r="FU247" s="255">
        <v>0</v>
      </c>
      <c r="FV247" s="255">
        <v>0</v>
      </c>
      <c r="FW247" s="255">
        <v>0</v>
      </c>
      <c r="FX247" s="116"/>
    </row>
    <row r="248" spans="2:180" x14ac:dyDescent="0.2">
      <c r="B248" s="253" t="s">
        <v>216</v>
      </c>
      <c r="C248" s="253" t="s">
        <v>331</v>
      </c>
      <c r="D248" s="253" t="s">
        <v>258</v>
      </c>
      <c r="E248" s="253" t="s">
        <v>127</v>
      </c>
      <c r="F248" s="253" t="s">
        <v>259</v>
      </c>
      <c r="G248" s="253" t="s">
        <v>260</v>
      </c>
      <c r="H248" s="237">
        <v>233.78</v>
      </c>
      <c r="I248" s="126">
        <f t="shared" si="88"/>
        <v>120065.4</v>
      </c>
      <c r="J248" s="116"/>
      <c r="K248" s="254">
        <v>0</v>
      </c>
      <c r="L248" s="254">
        <v>0</v>
      </c>
      <c r="M248" s="254">
        <v>0</v>
      </c>
      <c r="N248" s="254">
        <v>0</v>
      </c>
      <c r="O248" s="254">
        <v>0</v>
      </c>
      <c r="P248" s="254">
        <v>0</v>
      </c>
      <c r="Q248" s="254">
        <v>0</v>
      </c>
      <c r="R248" s="254">
        <v>0</v>
      </c>
      <c r="S248" s="254">
        <v>0</v>
      </c>
      <c r="T248" s="254">
        <v>0</v>
      </c>
      <c r="U248" s="254">
        <v>0</v>
      </c>
      <c r="V248" s="254">
        <v>0</v>
      </c>
      <c r="W248" s="254">
        <v>0</v>
      </c>
      <c r="X248" s="254">
        <v>0</v>
      </c>
      <c r="Y248" s="254">
        <v>0</v>
      </c>
      <c r="Z248" s="254">
        <v>0</v>
      </c>
      <c r="AA248" s="254">
        <v>0</v>
      </c>
      <c r="AB248" s="254">
        <v>0</v>
      </c>
      <c r="AC248" s="254">
        <v>0</v>
      </c>
      <c r="AD248" s="254">
        <v>0</v>
      </c>
      <c r="AE248" s="254">
        <v>0</v>
      </c>
      <c r="AF248" s="254">
        <v>0</v>
      </c>
      <c r="AG248" s="254">
        <v>0</v>
      </c>
      <c r="AH248" s="254">
        <v>0</v>
      </c>
      <c r="AI248" s="254">
        <v>0</v>
      </c>
      <c r="AJ248" s="254">
        <v>0</v>
      </c>
      <c r="AK248" s="254">
        <v>0</v>
      </c>
      <c r="AL248" s="254">
        <v>0</v>
      </c>
      <c r="AM248" s="254">
        <v>0</v>
      </c>
      <c r="AN248" s="254">
        <v>0</v>
      </c>
      <c r="AO248" s="254">
        <v>0</v>
      </c>
      <c r="AP248" s="254">
        <v>0</v>
      </c>
      <c r="AQ248" s="254">
        <v>0.5</v>
      </c>
      <c r="AR248" s="254">
        <v>0.5</v>
      </c>
      <c r="AS248" s="254">
        <v>0.5</v>
      </c>
      <c r="AT248" s="254">
        <v>0</v>
      </c>
      <c r="AU248" s="254">
        <v>0</v>
      </c>
      <c r="AV248" s="254">
        <v>0</v>
      </c>
      <c r="AW248" s="254">
        <v>0</v>
      </c>
      <c r="AX248" s="254">
        <v>0</v>
      </c>
      <c r="AY248" s="254">
        <v>0</v>
      </c>
      <c r="AZ248" s="254">
        <v>0.46052631578947367</v>
      </c>
      <c r="BA248" s="254">
        <v>0.5</v>
      </c>
      <c r="BB248" s="254">
        <v>0.5</v>
      </c>
      <c r="BC248" s="254">
        <v>0.5</v>
      </c>
      <c r="BD248" s="254">
        <v>0</v>
      </c>
      <c r="BE248" s="254">
        <v>0</v>
      </c>
      <c r="BF248" s="254">
        <v>0</v>
      </c>
      <c r="BG248" s="254">
        <v>0</v>
      </c>
      <c r="BH248" s="254">
        <v>0</v>
      </c>
      <c r="BI248" s="254">
        <v>0</v>
      </c>
      <c r="BJ248" s="254">
        <v>0</v>
      </c>
      <c r="BK248" s="254">
        <v>0</v>
      </c>
      <c r="BL248" s="254">
        <v>0</v>
      </c>
      <c r="BM248" s="254">
        <v>0</v>
      </c>
      <c r="BN248" s="254">
        <v>0</v>
      </c>
      <c r="BO248" s="254">
        <v>0</v>
      </c>
      <c r="BP248" s="254">
        <v>0</v>
      </c>
      <c r="BQ248" s="254">
        <v>0</v>
      </c>
      <c r="BR248" s="254">
        <v>0</v>
      </c>
      <c r="BS248" s="254">
        <v>0</v>
      </c>
      <c r="BT248" s="254">
        <v>0</v>
      </c>
      <c r="BU248" s="254">
        <v>0</v>
      </c>
      <c r="BV248" s="254">
        <v>0</v>
      </c>
      <c r="BW248" s="254">
        <v>0</v>
      </c>
      <c r="BX248" s="254">
        <v>0</v>
      </c>
      <c r="BY248" s="254">
        <v>0</v>
      </c>
      <c r="BZ248" s="254">
        <v>0</v>
      </c>
      <c r="CA248" s="254">
        <v>0</v>
      </c>
      <c r="CB248" s="254">
        <v>0</v>
      </c>
      <c r="CC248" s="254">
        <v>0</v>
      </c>
      <c r="CD248" s="254">
        <v>0</v>
      </c>
      <c r="CE248" s="254">
        <v>0</v>
      </c>
      <c r="CF248" s="254">
        <v>0</v>
      </c>
      <c r="CG248" s="254">
        <v>0</v>
      </c>
      <c r="CH248" s="254">
        <v>0</v>
      </c>
      <c r="CI248" s="254">
        <v>0</v>
      </c>
      <c r="CJ248" s="254">
        <v>0</v>
      </c>
      <c r="CK248" s="254">
        <v>0</v>
      </c>
      <c r="CL248" s="254">
        <v>0</v>
      </c>
      <c r="CM248" s="254">
        <v>0</v>
      </c>
      <c r="CN248" s="254">
        <v>0</v>
      </c>
      <c r="CO248" s="254">
        <v>0</v>
      </c>
      <c r="CP248" s="254">
        <v>0</v>
      </c>
      <c r="CQ248" s="116"/>
      <c r="CR248" s="255">
        <v>0</v>
      </c>
      <c r="CS248" s="255">
        <v>0</v>
      </c>
      <c r="CT248" s="255">
        <v>0</v>
      </c>
      <c r="CU248" s="255">
        <v>0</v>
      </c>
      <c r="CV248" s="255">
        <v>0</v>
      </c>
      <c r="CW248" s="255">
        <v>0</v>
      </c>
      <c r="CX248" s="255">
        <v>0</v>
      </c>
      <c r="CY248" s="255">
        <v>0</v>
      </c>
      <c r="CZ248" s="255">
        <v>0</v>
      </c>
      <c r="DA248" s="255">
        <v>0</v>
      </c>
      <c r="DB248" s="255">
        <v>0</v>
      </c>
      <c r="DC248" s="255">
        <v>0</v>
      </c>
      <c r="DD248" s="255">
        <v>0</v>
      </c>
      <c r="DE248" s="255">
        <v>0</v>
      </c>
      <c r="DF248" s="255">
        <v>0</v>
      </c>
      <c r="DG248" s="255">
        <v>0</v>
      </c>
      <c r="DH248" s="255">
        <v>0</v>
      </c>
      <c r="DI248" s="255">
        <v>0</v>
      </c>
      <c r="DJ248" s="255">
        <v>0</v>
      </c>
      <c r="DK248" s="255">
        <v>0</v>
      </c>
      <c r="DL248" s="255">
        <v>0</v>
      </c>
      <c r="DM248" s="255">
        <v>0</v>
      </c>
      <c r="DN248" s="255">
        <v>0</v>
      </c>
      <c r="DO248" s="255">
        <v>0</v>
      </c>
      <c r="DP248" s="255">
        <v>0</v>
      </c>
      <c r="DQ248" s="255">
        <v>0</v>
      </c>
      <c r="DR248" s="255">
        <v>0</v>
      </c>
      <c r="DS248" s="255">
        <v>0</v>
      </c>
      <c r="DT248" s="255">
        <v>0</v>
      </c>
      <c r="DU248" s="255">
        <v>0</v>
      </c>
      <c r="DV248" s="255">
        <v>0</v>
      </c>
      <c r="DW248" s="255">
        <v>0</v>
      </c>
      <c r="DX248" s="255">
        <v>16860.2</v>
      </c>
      <c r="DY248" s="255">
        <v>16860.2</v>
      </c>
      <c r="DZ248" s="255">
        <v>16860.2</v>
      </c>
      <c r="EA248" s="255">
        <v>0</v>
      </c>
      <c r="EB248" s="255">
        <v>0</v>
      </c>
      <c r="EC248" s="255">
        <v>0</v>
      </c>
      <c r="ED248" s="255">
        <v>0</v>
      </c>
      <c r="EE248" s="255">
        <v>0</v>
      </c>
      <c r="EF248" s="255">
        <v>0</v>
      </c>
      <c r="EG248" s="255">
        <v>17371.2</v>
      </c>
      <c r="EH248" s="255">
        <v>17371.2</v>
      </c>
      <c r="EI248" s="255">
        <v>17371.2</v>
      </c>
      <c r="EJ248" s="255">
        <v>17371.2</v>
      </c>
      <c r="EK248" s="255">
        <v>0</v>
      </c>
      <c r="EL248" s="255">
        <v>0</v>
      </c>
      <c r="EM248" s="255">
        <v>0</v>
      </c>
      <c r="EN248" s="255">
        <v>0</v>
      </c>
      <c r="EO248" s="255">
        <v>0</v>
      </c>
      <c r="EP248" s="255">
        <v>0</v>
      </c>
      <c r="EQ248" s="255">
        <v>0</v>
      </c>
      <c r="ER248" s="255">
        <v>0</v>
      </c>
      <c r="ES248" s="255">
        <v>0</v>
      </c>
      <c r="ET248" s="255">
        <v>0</v>
      </c>
      <c r="EU248" s="255">
        <v>0</v>
      </c>
      <c r="EV248" s="255">
        <v>0</v>
      </c>
      <c r="EW248" s="255">
        <v>0</v>
      </c>
      <c r="EX248" s="255">
        <v>0</v>
      </c>
      <c r="EY248" s="255">
        <v>0</v>
      </c>
      <c r="EZ248" s="255">
        <v>0</v>
      </c>
      <c r="FA248" s="255">
        <v>0</v>
      </c>
      <c r="FB248" s="255">
        <v>0</v>
      </c>
      <c r="FC248" s="255">
        <v>0</v>
      </c>
      <c r="FD248" s="255">
        <v>0</v>
      </c>
      <c r="FE248" s="255">
        <v>0</v>
      </c>
      <c r="FF248" s="255">
        <v>0</v>
      </c>
      <c r="FG248" s="255">
        <v>0</v>
      </c>
      <c r="FH248" s="255">
        <v>0</v>
      </c>
      <c r="FI248" s="255">
        <v>0</v>
      </c>
      <c r="FJ248" s="255">
        <v>0</v>
      </c>
      <c r="FK248" s="255">
        <v>0</v>
      </c>
      <c r="FL248" s="255">
        <v>0</v>
      </c>
      <c r="FM248" s="255">
        <v>0</v>
      </c>
      <c r="FN248" s="255">
        <v>0</v>
      </c>
      <c r="FO248" s="255">
        <v>0</v>
      </c>
      <c r="FP248" s="255">
        <v>0</v>
      </c>
      <c r="FQ248" s="255">
        <v>0</v>
      </c>
      <c r="FR248" s="255">
        <v>0</v>
      </c>
      <c r="FS248" s="255">
        <v>0</v>
      </c>
      <c r="FT248" s="255">
        <v>0</v>
      </c>
      <c r="FU248" s="255">
        <v>0</v>
      </c>
      <c r="FV248" s="255">
        <v>0</v>
      </c>
      <c r="FW248" s="255">
        <v>0</v>
      </c>
      <c r="FX248" s="116"/>
    </row>
    <row r="249" spans="2:180" x14ac:dyDescent="0.2">
      <c r="B249" s="253" t="s">
        <v>216</v>
      </c>
      <c r="C249" s="253" t="s">
        <v>332</v>
      </c>
      <c r="D249" s="253" t="s">
        <v>258</v>
      </c>
      <c r="E249" s="253" t="s">
        <v>127</v>
      </c>
      <c r="F249" s="253" t="s">
        <v>259</v>
      </c>
      <c r="G249" s="253" t="s">
        <v>260</v>
      </c>
      <c r="H249" s="237">
        <v>188.58</v>
      </c>
      <c r="I249" s="126">
        <f t="shared" si="88"/>
        <v>85803.900000000009</v>
      </c>
      <c r="J249" s="116"/>
      <c r="K249" s="254">
        <v>0</v>
      </c>
      <c r="L249" s="254">
        <v>0</v>
      </c>
      <c r="M249" s="254">
        <v>0</v>
      </c>
      <c r="N249" s="254">
        <v>0</v>
      </c>
      <c r="O249" s="254">
        <v>0</v>
      </c>
      <c r="P249" s="254">
        <v>0</v>
      </c>
      <c r="Q249" s="254">
        <v>0</v>
      </c>
      <c r="R249" s="254">
        <v>0</v>
      </c>
      <c r="S249" s="254">
        <v>0</v>
      </c>
      <c r="T249" s="254">
        <v>0</v>
      </c>
      <c r="U249" s="254">
        <v>0</v>
      </c>
      <c r="V249" s="254">
        <v>0</v>
      </c>
      <c r="W249" s="254">
        <v>0</v>
      </c>
      <c r="X249" s="254">
        <v>0</v>
      </c>
      <c r="Y249" s="254">
        <v>0</v>
      </c>
      <c r="Z249" s="254">
        <v>0</v>
      </c>
      <c r="AA249" s="254">
        <v>0</v>
      </c>
      <c r="AB249" s="254">
        <v>0</v>
      </c>
      <c r="AC249" s="254">
        <v>0</v>
      </c>
      <c r="AD249" s="254">
        <v>0</v>
      </c>
      <c r="AE249" s="254">
        <v>0</v>
      </c>
      <c r="AF249" s="254">
        <v>1.05</v>
      </c>
      <c r="AG249" s="254">
        <v>1.1000000000000001</v>
      </c>
      <c r="AH249" s="254">
        <v>1.4666666666666666</v>
      </c>
      <c r="AI249" s="254">
        <v>0</v>
      </c>
      <c r="AJ249" s="254">
        <v>0</v>
      </c>
      <c r="AK249" s="254">
        <v>0</v>
      </c>
      <c r="AL249" s="254">
        <v>0</v>
      </c>
      <c r="AM249" s="254">
        <v>0</v>
      </c>
      <c r="AN249" s="254">
        <v>0</v>
      </c>
      <c r="AO249" s="254">
        <v>0</v>
      </c>
      <c r="AP249" s="254">
        <v>0</v>
      </c>
      <c r="AQ249" s="254">
        <v>0</v>
      </c>
      <c r="AR249" s="254">
        <v>0</v>
      </c>
      <c r="AS249" s="254">
        <v>0</v>
      </c>
      <c r="AT249" s="254">
        <v>0</v>
      </c>
      <c r="AU249" s="254">
        <v>0</v>
      </c>
      <c r="AV249" s="254">
        <v>0</v>
      </c>
      <c r="AW249" s="254">
        <v>0</v>
      </c>
      <c r="AX249" s="254">
        <v>0</v>
      </c>
      <c r="AY249" s="254">
        <v>0</v>
      </c>
      <c r="AZ249" s="254">
        <v>0</v>
      </c>
      <c r="BA249" s="254">
        <v>0</v>
      </c>
      <c r="BB249" s="254">
        <v>0</v>
      </c>
      <c r="BC249" s="254">
        <v>0</v>
      </c>
      <c r="BD249" s="254">
        <v>0</v>
      </c>
      <c r="BE249" s="254">
        <v>0</v>
      </c>
      <c r="BF249" s="254">
        <v>0</v>
      </c>
      <c r="BG249" s="254">
        <v>0</v>
      </c>
      <c r="BH249" s="254">
        <v>0</v>
      </c>
      <c r="BI249" s="254">
        <v>0</v>
      </c>
      <c r="BJ249" s="254">
        <v>0</v>
      </c>
      <c r="BK249" s="254">
        <v>0</v>
      </c>
      <c r="BL249" s="254">
        <v>0</v>
      </c>
      <c r="BM249" s="254">
        <v>0</v>
      </c>
      <c r="BN249" s="254">
        <v>0</v>
      </c>
      <c r="BO249" s="254">
        <v>0</v>
      </c>
      <c r="BP249" s="254">
        <v>0</v>
      </c>
      <c r="BQ249" s="254">
        <v>0</v>
      </c>
      <c r="BR249" s="254">
        <v>0</v>
      </c>
      <c r="BS249" s="254">
        <v>0</v>
      </c>
      <c r="BT249" s="254">
        <v>0</v>
      </c>
      <c r="BU249" s="254">
        <v>0</v>
      </c>
      <c r="BV249" s="254">
        <v>0</v>
      </c>
      <c r="BW249" s="254">
        <v>0</v>
      </c>
      <c r="BX249" s="254">
        <v>0</v>
      </c>
      <c r="BY249" s="254">
        <v>0</v>
      </c>
      <c r="BZ249" s="254">
        <v>0</v>
      </c>
      <c r="CA249" s="254">
        <v>0</v>
      </c>
      <c r="CB249" s="254">
        <v>0</v>
      </c>
      <c r="CC249" s="254">
        <v>0</v>
      </c>
      <c r="CD249" s="254">
        <v>0</v>
      </c>
      <c r="CE249" s="254">
        <v>0</v>
      </c>
      <c r="CF249" s="254">
        <v>0</v>
      </c>
      <c r="CG249" s="254">
        <v>0</v>
      </c>
      <c r="CH249" s="254">
        <v>0</v>
      </c>
      <c r="CI249" s="254">
        <v>0</v>
      </c>
      <c r="CJ249" s="254">
        <v>0</v>
      </c>
      <c r="CK249" s="254">
        <v>0</v>
      </c>
      <c r="CL249" s="254">
        <v>0</v>
      </c>
      <c r="CM249" s="254">
        <v>0</v>
      </c>
      <c r="CN249" s="254">
        <v>0</v>
      </c>
      <c r="CO249" s="254">
        <v>0</v>
      </c>
      <c r="CP249" s="254">
        <v>0</v>
      </c>
      <c r="CQ249" s="116"/>
      <c r="CR249" s="255">
        <v>0</v>
      </c>
      <c r="CS249" s="255">
        <v>0</v>
      </c>
      <c r="CT249" s="255">
        <v>0</v>
      </c>
      <c r="CU249" s="255">
        <v>0</v>
      </c>
      <c r="CV249" s="255">
        <v>0</v>
      </c>
      <c r="CW249" s="255">
        <v>0</v>
      </c>
      <c r="CX249" s="255">
        <v>0</v>
      </c>
      <c r="CY249" s="255">
        <v>0</v>
      </c>
      <c r="CZ249" s="255">
        <v>0</v>
      </c>
      <c r="DA249" s="255">
        <v>0</v>
      </c>
      <c r="DB249" s="255">
        <v>0</v>
      </c>
      <c r="DC249" s="255">
        <v>0</v>
      </c>
      <c r="DD249" s="255">
        <v>0</v>
      </c>
      <c r="DE249" s="255">
        <v>0</v>
      </c>
      <c r="DF249" s="255">
        <v>0</v>
      </c>
      <c r="DG249" s="255">
        <v>0</v>
      </c>
      <c r="DH249" s="255">
        <v>0</v>
      </c>
      <c r="DI249" s="255">
        <v>0</v>
      </c>
      <c r="DJ249" s="255">
        <v>0</v>
      </c>
      <c r="DK249" s="255">
        <v>0</v>
      </c>
      <c r="DL249" s="255">
        <v>0</v>
      </c>
      <c r="DM249" s="255">
        <v>27721.260000000002</v>
      </c>
      <c r="DN249" s="255">
        <v>29041.320000000003</v>
      </c>
      <c r="DO249" s="255">
        <v>29041.320000000003</v>
      </c>
      <c r="DP249" s="255">
        <v>0</v>
      </c>
      <c r="DQ249" s="255">
        <v>0</v>
      </c>
      <c r="DR249" s="255">
        <v>0</v>
      </c>
      <c r="DS249" s="255">
        <v>0</v>
      </c>
      <c r="DT249" s="255">
        <v>0</v>
      </c>
      <c r="DU249" s="255">
        <v>0</v>
      </c>
      <c r="DV249" s="255">
        <v>0</v>
      </c>
      <c r="DW249" s="255">
        <v>0</v>
      </c>
      <c r="DX249" s="255">
        <v>0</v>
      </c>
      <c r="DY249" s="255">
        <v>0</v>
      </c>
      <c r="DZ249" s="255">
        <v>0</v>
      </c>
      <c r="EA249" s="255">
        <v>0</v>
      </c>
      <c r="EB249" s="255">
        <v>0</v>
      </c>
      <c r="EC249" s="255">
        <v>0</v>
      </c>
      <c r="ED249" s="255">
        <v>0</v>
      </c>
      <c r="EE249" s="255">
        <v>0</v>
      </c>
      <c r="EF249" s="255">
        <v>0</v>
      </c>
      <c r="EG249" s="255">
        <v>0</v>
      </c>
      <c r="EH249" s="255">
        <v>0</v>
      </c>
      <c r="EI249" s="255">
        <v>0</v>
      </c>
      <c r="EJ249" s="255">
        <v>0</v>
      </c>
      <c r="EK249" s="255">
        <v>0</v>
      </c>
      <c r="EL249" s="255">
        <v>0</v>
      </c>
      <c r="EM249" s="255">
        <v>0</v>
      </c>
      <c r="EN249" s="255">
        <v>0</v>
      </c>
      <c r="EO249" s="255">
        <v>0</v>
      </c>
      <c r="EP249" s="255">
        <v>0</v>
      </c>
      <c r="EQ249" s="255">
        <v>0</v>
      </c>
      <c r="ER249" s="255">
        <v>0</v>
      </c>
      <c r="ES249" s="255">
        <v>0</v>
      </c>
      <c r="ET249" s="255">
        <v>0</v>
      </c>
      <c r="EU249" s="255">
        <v>0</v>
      </c>
      <c r="EV249" s="255">
        <v>0</v>
      </c>
      <c r="EW249" s="255">
        <v>0</v>
      </c>
      <c r="EX249" s="255">
        <v>0</v>
      </c>
      <c r="EY249" s="255">
        <v>0</v>
      </c>
      <c r="EZ249" s="255">
        <v>0</v>
      </c>
      <c r="FA249" s="255">
        <v>0</v>
      </c>
      <c r="FB249" s="255">
        <v>0</v>
      </c>
      <c r="FC249" s="255">
        <v>0</v>
      </c>
      <c r="FD249" s="255">
        <v>0</v>
      </c>
      <c r="FE249" s="255">
        <v>0</v>
      </c>
      <c r="FF249" s="255">
        <v>0</v>
      </c>
      <c r="FG249" s="255">
        <v>0</v>
      </c>
      <c r="FH249" s="255">
        <v>0</v>
      </c>
      <c r="FI249" s="255">
        <v>0</v>
      </c>
      <c r="FJ249" s="255">
        <v>0</v>
      </c>
      <c r="FK249" s="255">
        <v>0</v>
      </c>
      <c r="FL249" s="255">
        <v>0</v>
      </c>
      <c r="FM249" s="255">
        <v>0</v>
      </c>
      <c r="FN249" s="255">
        <v>0</v>
      </c>
      <c r="FO249" s="255">
        <v>0</v>
      </c>
      <c r="FP249" s="255">
        <v>0</v>
      </c>
      <c r="FQ249" s="255">
        <v>0</v>
      </c>
      <c r="FR249" s="255">
        <v>0</v>
      </c>
      <c r="FS249" s="255">
        <v>0</v>
      </c>
      <c r="FT249" s="255">
        <v>0</v>
      </c>
      <c r="FU249" s="255">
        <v>0</v>
      </c>
      <c r="FV249" s="255">
        <v>0</v>
      </c>
      <c r="FW249" s="255">
        <v>0</v>
      </c>
      <c r="FX249" s="116"/>
    </row>
    <row r="250" spans="2:180" x14ac:dyDescent="0.2">
      <c r="B250" s="253" t="s">
        <v>216</v>
      </c>
      <c r="C250" s="253" t="s">
        <v>332</v>
      </c>
      <c r="D250" s="253" t="s">
        <v>258</v>
      </c>
      <c r="E250" s="253" t="s">
        <v>127</v>
      </c>
      <c r="F250" s="253">
        <v>0</v>
      </c>
      <c r="G250" s="253" t="s">
        <v>322</v>
      </c>
      <c r="H250" s="237">
        <v>188.58</v>
      </c>
      <c r="I250" s="126">
        <f t="shared" si="88"/>
        <v>45258</v>
      </c>
      <c r="J250" s="116"/>
      <c r="K250" s="254">
        <v>0</v>
      </c>
      <c r="L250" s="254">
        <v>0</v>
      </c>
      <c r="M250" s="254">
        <v>0</v>
      </c>
      <c r="N250" s="254">
        <v>0</v>
      </c>
      <c r="O250" s="254">
        <v>0</v>
      </c>
      <c r="P250" s="254">
        <v>0</v>
      </c>
      <c r="Q250" s="254">
        <v>0</v>
      </c>
      <c r="R250" s="254">
        <v>0</v>
      </c>
      <c r="S250" s="254">
        <v>0</v>
      </c>
      <c r="T250" s="254">
        <v>0</v>
      </c>
      <c r="U250" s="254">
        <v>0</v>
      </c>
      <c r="V250" s="254">
        <v>0</v>
      </c>
      <c r="W250" s="254">
        <v>0</v>
      </c>
      <c r="X250" s="254">
        <v>0</v>
      </c>
      <c r="Y250" s="254">
        <v>0</v>
      </c>
      <c r="Z250" s="254">
        <v>0</v>
      </c>
      <c r="AA250" s="254">
        <v>0</v>
      </c>
      <c r="AB250" s="254">
        <v>0</v>
      </c>
      <c r="AC250" s="254">
        <v>0</v>
      </c>
      <c r="AD250" s="254">
        <v>0</v>
      </c>
      <c r="AE250" s="254">
        <v>0</v>
      </c>
      <c r="AF250" s="254">
        <v>0.2857142857142857</v>
      </c>
      <c r="AG250" s="254">
        <v>0.2857142857142857</v>
      </c>
      <c r="AH250" s="254">
        <v>0.38095238095238093</v>
      </c>
      <c r="AI250" s="254">
        <v>0</v>
      </c>
      <c r="AJ250" s="254">
        <v>0</v>
      </c>
      <c r="AK250" s="254">
        <v>0</v>
      </c>
      <c r="AL250" s="254">
        <v>0</v>
      </c>
      <c r="AM250" s="254">
        <v>0</v>
      </c>
      <c r="AN250" s="254">
        <v>0</v>
      </c>
      <c r="AO250" s="254">
        <v>0</v>
      </c>
      <c r="AP250" s="254">
        <v>0</v>
      </c>
      <c r="AQ250" s="254">
        <v>0</v>
      </c>
      <c r="AR250" s="254">
        <v>0</v>
      </c>
      <c r="AS250" s="254">
        <v>0</v>
      </c>
      <c r="AT250" s="254">
        <v>0</v>
      </c>
      <c r="AU250" s="254">
        <v>0</v>
      </c>
      <c r="AV250" s="254">
        <v>0</v>
      </c>
      <c r="AW250" s="254">
        <v>0</v>
      </c>
      <c r="AX250" s="254">
        <v>0</v>
      </c>
      <c r="AY250" s="254">
        <v>0</v>
      </c>
      <c r="AZ250" s="254">
        <v>0</v>
      </c>
      <c r="BA250" s="254">
        <v>0</v>
      </c>
      <c r="BB250" s="254">
        <v>0</v>
      </c>
      <c r="BC250" s="254">
        <v>0</v>
      </c>
      <c r="BD250" s="254">
        <v>0</v>
      </c>
      <c r="BE250" s="254">
        <v>0</v>
      </c>
      <c r="BF250" s="254">
        <v>0</v>
      </c>
      <c r="BG250" s="254">
        <v>0</v>
      </c>
      <c r="BH250" s="254">
        <v>0</v>
      </c>
      <c r="BI250" s="254">
        <v>0</v>
      </c>
      <c r="BJ250" s="254">
        <v>0</v>
      </c>
      <c r="BK250" s="254">
        <v>0</v>
      </c>
      <c r="BL250" s="254">
        <v>0</v>
      </c>
      <c r="BM250" s="254">
        <v>0</v>
      </c>
      <c r="BN250" s="254">
        <v>0</v>
      </c>
      <c r="BO250" s="254">
        <v>0</v>
      </c>
      <c r="BP250" s="254">
        <v>0</v>
      </c>
      <c r="BQ250" s="254">
        <v>0</v>
      </c>
      <c r="BR250" s="254">
        <v>0</v>
      </c>
      <c r="BS250" s="254">
        <v>0</v>
      </c>
      <c r="BT250" s="254">
        <v>0</v>
      </c>
      <c r="BU250" s="254">
        <v>0</v>
      </c>
      <c r="BV250" s="254">
        <v>0</v>
      </c>
      <c r="BW250" s="254">
        <v>0</v>
      </c>
      <c r="BX250" s="254">
        <v>0</v>
      </c>
      <c r="BY250" s="254">
        <v>0</v>
      </c>
      <c r="BZ250" s="254">
        <v>0</v>
      </c>
      <c r="CA250" s="254">
        <v>0</v>
      </c>
      <c r="CB250" s="254">
        <v>0</v>
      </c>
      <c r="CC250" s="254">
        <v>0</v>
      </c>
      <c r="CD250" s="254">
        <v>0</v>
      </c>
      <c r="CE250" s="254">
        <v>0</v>
      </c>
      <c r="CF250" s="254">
        <v>0</v>
      </c>
      <c r="CG250" s="254">
        <v>0</v>
      </c>
      <c r="CH250" s="254">
        <v>0</v>
      </c>
      <c r="CI250" s="254">
        <v>0</v>
      </c>
      <c r="CJ250" s="254">
        <v>0</v>
      </c>
      <c r="CK250" s="254">
        <v>0</v>
      </c>
      <c r="CL250" s="254">
        <v>0</v>
      </c>
      <c r="CM250" s="254">
        <v>0</v>
      </c>
      <c r="CN250" s="254">
        <v>0</v>
      </c>
      <c r="CO250" s="254">
        <v>0</v>
      </c>
      <c r="CP250" s="254">
        <v>0</v>
      </c>
      <c r="CQ250" s="116"/>
      <c r="CR250" s="255">
        <v>0</v>
      </c>
      <c r="CS250" s="255">
        <v>0</v>
      </c>
      <c r="CT250" s="255">
        <v>0</v>
      </c>
      <c r="CU250" s="255">
        <v>0</v>
      </c>
      <c r="CV250" s="255">
        <v>0</v>
      </c>
      <c r="CW250" s="255">
        <v>0</v>
      </c>
      <c r="CX250" s="255">
        <v>0</v>
      </c>
      <c r="CY250" s="255">
        <v>0</v>
      </c>
      <c r="CZ250" s="255">
        <v>0</v>
      </c>
      <c r="DA250" s="255">
        <v>0</v>
      </c>
      <c r="DB250" s="255">
        <v>0</v>
      </c>
      <c r="DC250" s="255">
        <v>0</v>
      </c>
      <c r="DD250" s="255">
        <v>0</v>
      </c>
      <c r="DE250" s="255">
        <v>0</v>
      </c>
      <c r="DF250" s="255">
        <v>0</v>
      </c>
      <c r="DG250" s="255">
        <v>0</v>
      </c>
      <c r="DH250" s="255">
        <v>0</v>
      </c>
      <c r="DI250" s="255">
        <v>0</v>
      </c>
      <c r="DJ250" s="255">
        <v>0</v>
      </c>
      <c r="DK250" s="255">
        <v>0</v>
      </c>
      <c r="DL250" s="255">
        <v>0</v>
      </c>
      <c r="DM250" s="255">
        <v>15086</v>
      </c>
      <c r="DN250" s="255">
        <v>15086</v>
      </c>
      <c r="DO250" s="255">
        <v>15086</v>
      </c>
      <c r="DP250" s="255">
        <v>0</v>
      </c>
      <c r="DQ250" s="255">
        <v>0</v>
      </c>
      <c r="DR250" s="255">
        <v>0</v>
      </c>
      <c r="DS250" s="255">
        <v>0</v>
      </c>
      <c r="DT250" s="255">
        <v>0</v>
      </c>
      <c r="DU250" s="255">
        <v>0</v>
      </c>
      <c r="DV250" s="255">
        <v>0</v>
      </c>
      <c r="DW250" s="255">
        <v>0</v>
      </c>
      <c r="DX250" s="255">
        <v>0</v>
      </c>
      <c r="DY250" s="255">
        <v>0</v>
      </c>
      <c r="DZ250" s="255">
        <v>0</v>
      </c>
      <c r="EA250" s="255">
        <v>0</v>
      </c>
      <c r="EB250" s="255">
        <v>0</v>
      </c>
      <c r="EC250" s="255">
        <v>0</v>
      </c>
      <c r="ED250" s="255">
        <v>0</v>
      </c>
      <c r="EE250" s="255">
        <v>0</v>
      </c>
      <c r="EF250" s="255">
        <v>0</v>
      </c>
      <c r="EG250" s="255">
        <v>0</v>
      </c>
      <c r="EH250" s="255">
        <v>0</v>
      </c>
      <c r="EI250" s="255">
        <v>0</v>
      </c>
      <c r="EJ250" s="255">
        <v>0</v>
      </c>
      <c r="EK250" s="255">
        <v>0</v>
      </c>
      <c r="EL250" s="255">
        <v>0</v>
      </c>
      <c r="EM250" s="255">
        <v>0</v>
      </c>
      <c r="EN250" s="255">
        <v>0</v>
      </c>
      <c r="EO250" s="255">
        <v>0</v>
      </c>
      <c r="EP250" s="255">
        <v>0</v>
      </c>
      <c r="EQ250" s="255">
        <v>0</v>
      </c>
      <c r="ER250" s="255">
        <v>0</v>
      </c>
      <c r="ES250" s="255">
        <v>0</v>
      </c>
      <c r="ET250" s="255">
        <v>0</v>
      </c>
      <c r="EU250" s="255">
        <v>0</v>
      </c>
      <c r="EV250" s="255">
        <v>0</v>
      </c>
      <c r="EW250" s="255">
        <v>0</v>
      </c>
      <c r="EX250" s="255">
        <v>0</v>
      </c>
      <c r="EY250" s="255">
        <v>0</v>
      </c>
      <c r="EZ250" s="255">
        <v>0</v>
      </c>
      <c r="FA250" s="255">
        <v>0</v>
      </c>
      <c r="FB250" s="255">
        <v>0</v>
      </c>
      <c r="FC250" s="255">
        <v>0</v>
      </c>
      <c r="FD250" s="255">
        <v>0</v>
      </c>
      <c r="FE250" s="255">
        <v>0</v>
      </c>
      <c r="FF250" s="255">
        <v>0</v>
      </c>
      <c r="FG250" s="255">
        <v>0</v>
      </c>
      <c r="FH250" s="255">
        <v>0</v>
      </c>
      <c r="FI250" s="255">
        <v>0</v>
      </c>
      <c r="FJ250" s="255">
        <v>0</v>
      </c>
      <c r="FK250" s="255">
        <v>0</v>
      </c>
      <c r="FL250" s="255">
        <v>0</v>
      </c>
      <c r="FM250" s="255">
        <v>0</v>
      </c>
      <c r="FN250" s="255">
        <v>0</v>
      </c>
      <c r="FO250" s="255">
        <v>0</v>
      </c>
      <c r="FP250" s="255">
        <v>0</v>
      </c>
      <c r="FQ250" s="255">
        <v>0</v>
      </c>
      <c r="FR250" s="255">
        <v>0</v>
      </c>
      <c r="FS250" s="255">
        <v>0</v>
      </c>
      <c r="FT250" s="255">
        <v>0</v>
      </c>
      <c r="FU250" s="255">
        <v>0</v>
      </c>
      <c r="FV250" s="255">
        <v>0</v>
      </c>
      <c r="FW250" s="255">
        <v>0</v>
      </c>
      <c r="FX250" s="116"/>
    </row>
    <row r="251" spans="2:180" x14ac:dyDescent="0.2">
      <c r="B251" s="253" t="s">
        <v>216</v>
      </c>
      <c r="C251" s="253" t="s">
        <v>272</v>
      </c>
      <c r="D251" s="253" t="s">
        <v>258</v>
      </c>
      <c r="E251" s="253" t="s">
        <v>127</v>
      </c>
      <c r="F251" s="253" t="s">
        <v>259</v>
      </c>
      <c r="G251" s="253" t="s">
        <v>260</v>
      </c>
      <c r="H251" s="237">
        <v>254.01</v>
      </c>
      <c r="I251" s="126">
        <f t="shared" si="88"/>
        <v>218499.11999999994</v>
      </c>
      <c r="J251" s="116"/>
      <c r="K251" s="254">
        <v>0</v>
      </c>
      <c r="L251" s="254">
        <v>0</v>
      </c>
      <c r="M251" s="254">
        <v>0</v>
      </c>
      <c r="N251" s="254">
        <v>0</v>
      </c>
      <c r="O251" s="254">
        <v>0</v>
      </c>
      <c r="P251" s="254">
        <v>0</v>
      </c>
      <c r="Q251" s="254">
        <v>0</v>
      </c>
      <c r="R251" s="254">
        <v>0</v>
      </c>
      <c r="S251" s="254">
        <v>0</v>
      </c>
      <c r="T251" s="254">
        <v>0</v>
      </c>
      <c r="U251" s="254">
        <v>0</v>
      </c>
      <c r="V251" s="254">
        <v>0</v>
      </c>
      <c r="W251" s="254">
        <v>0</v>
      </c>
      <c r="X251" s="254">
        <v>0</v>
      </c>
      <c r="Y251" s="254">
        <v>0.2</v>
      </c>
      <c r="Z251" s="254">
        <v>0.2</v>
      </c>
      <c r="AA251" s="254">
        <v>0.18421052631578946</v>
      </c>
      <c r="AB251" s="254">
        <v>0.18421052631578946</v>
      </c>
      <c r="AC251" s="254">
        <v>0.2</v>
      </c>
      <c r="AD251" s="254">
        <v>0.2</v>
      </c>
      <c r="AE251" s="254">
        <v>0.2</v>
      </c>
      <c r="AF251" s="254">
        <v>0.2</v>
      </c>
      <c r="AG251" s="254">
        <v>0.2</v>
      </c>
      <c r="AH251" s="254">
        <v>0.2</v>
      </c>
      <c r="AI251" s="254">
        <v>0.2</v>
      </c>
      <c r="AJ251" s="254">
        <v>0.2</v>
      </c>
      <c r="AK251" s="254">
        <v>0.2</v>
      </c>
      <c r="AL251" s="254">
        <v>0.2</v>
      </c>
      <c r="AM251" s="254">
        <v>0.18421052631578946</v>
      </c>
      <c r="AN251" s="254">
        <v>0.18421052631578946</v>
      </c>
      <c r="AO251" s="254">
        <v>0.2</v>
      </c>
      <c r="AP251" s="254">
        <v>0.2</v>
      </c>
      <c r="AQ251" s="254">
        <v>0.2</v>
      </c>
      <c r="AR251" s="254">
        <v>0.2</v>
      </c>
      <c r="AS251" s="254">
        <v>0.2</v>
      </c>
      <c r="AT251" s="254">
        <v>0.2</v>
      </c>
      <c r="AU251" s="254">
        <v>0.2</v>
      </c>
      <c r="AV251" s="254">
        <v>0.2</v>
      </c>
      <c r="AW251" s="254">
        <v>0.2</v>
      </c>
      <c r="AX251" s="254">
        <v>0.2</v>
      </c>
      <c r="AY251" s="254">
        <v>0.18421052631578946</v>
      </c>
      <c r="AZ251" s="254">
        <v>0.18421052631578946</v>
      </c>
      <c r="BA251" s="254">
        <v>0.2</v>
      </c>
      <c r="BB251" s="254">
        <v>0.2</v>
      </c>
      <c r="BC251" s="254">
        <v>0.2</v>
      </c>
      <c r="BD251" s="254">
        <v>0.2</v>
      </c>
      <c r="BE251" s="254">
        <v>0</v>
      </c>
      <c r="BF251" s="254">
        <v>0</v>
      </c>
      <c r="BG251" s="254">
        <v>0</v>
      </c>
      <c r="BH251" s="254">
        <v>0</v>
      </c>
      <c r="BI251" s="254">
        <v>0</v>
      </c>
      <c r="BJ251" s="254">
        <v>0</v>
      </c>
      <c r="BK251" s="254">
        <v>0</v>
      </c>
      <c r="BL251" s="254">
        <v>0</v>
      </c>
      <c r="BM251" s="254">
        <v>0</v>
      </c>
      <c r="BN251" s="254">
        <v>0</v>
      </c>
      <c r="BO251" s="254">
        <v>0</v>
      </c>
      <c r="BP251" s="254">
        <v>0</v>
      </c>
      <c r="BQ251" s="254">
        <v>0</v>
      </c>
      <c r="BR251" s="254">
        <v>0</v>
      </c>
      <c r="BS251" s="254">
        <v>0</v>
      </c>
      <c r="BT251" s="254">
        <v>0</v>
      </c>
      <c r="BU251" s="254">
        <v>0</v>
      </c>
      <c r="BV251" s="254">
        <v>0</v>
      </c>
      <c r="BW251" s="254">
        <v>0</v>
      </c>
      <c r="BX251" s="254">
        <v>0</v>
      </c>
      <c r="BY251" s="254">
        <v>0</v>
      </c>
      <c r="BZ251" s="254">
        <v>0</v>
      </c>
      <c r="CA251" s="254">
        <v>0</v>
      </c>
      <c r="CB251" s="254">
        <v>0</v>
      </c>
      <c r="CC251" s="254">
        <v>0</v>
      </c>
      <c r="CD251" s="254">
        <v>0</v>
      </c>
      <c r="CE251" s="254">
        <v>0</v>
      </c>
      <c r="CF251" s="254">
        <v>0</v>
      </c>
      <c r="CG251" s="254">
        <v>0</v>
      </c>
      <c r="CH251" s="254">
        <v>0</v>
      </c>
      <c r="CI251" s="254">
        <v>0</v>
      </c>
      <c r="CJ251" s="254">
        <v>0</v>
      </c>
      <c r="CK251" s="254">
        <v>0</v>
      </c>
      <c r="CL251" s="254">
        <v>0</v>
      </c>
      <c r="CM251" s="254">
        <v>0</v>
      </c>
      <c r="CN251" s="254">
        <v>0</v>
      </c>
      <c r="CO251" s="254">
        <v>0</v>
      </c>
      <c r="CP251" s="254">
        <v>0</v>
      </c>
      <c r="CQ251" s="116"/>
      <c r="CR251" s="255">
        <v>0</v>
      </c>
      <c r="CS251" s="255">
        <v>0</v>
      </c>
      <c r="CT251" s="255">
        <v>0</v>
      </c>
      <c r="CU251" s="255">
        <v>0</v>
      </c>
      <c r="CV251" s="255">
        <v>0</v>
      </c>
      <c r="CW251" s="255">
        <v>0</v>
      </c>
      <c r="CX251" s="255">
        <v>0</v>
      </c>
      <c r="CY251" s="255">
        <v>0</v>
      </c>
      <c r="CZ251" s="255">
        <v>0</v>
      </c>
      <c r="DA251" s="255">
        <v>0</v>
      </c>
      <c r="DB251" s="255">
        <v>0</v>
      </c>
      <c r="DC251" s="255">
        <v>0</v>
      </c>
      <c r="DD251" s="255">
        <v>0</v>
      </c>
      <c r="DE251" s="255">
        <v>0</v>
      </c>
      <c r="DF251" s="255">
        <v>6905.6399999999994</v>
      </c>
      <c r="DG251" s="255">
        <v>5179.2299999999996</v>
      </c>
      <c r="DH251" s="255">
        <v>6905.6399999999994</v>
      </c>
      <c r="DI251" s="255">
        <v>6905.6399999999994</v>
      </c>
      <c r="DJ251" s="255">
        <v>7112.28</v>
      </c>
      <c r="DK251" s="255">
        <v>7112.28</v>
      </c>
      <c r="DL251" s="255">
        <v>7112.28</v>
      </c>
      <c r="DM251" s="255">
        <v>7112.28</v>
      </c>
      <c r="DN251" s="255">
        <v>7112.28</v>
      </c>
      <c r="DO251" s="255">
        <v>5334.21</v>
      </c>
      <c r="DP251" s="255">
        <v>5334.21</v>
      </c>
      <c r="DQ251" s="255">
        <v>7112.28</v>
      </c>
      <c r="DR251" s="255">
        <v>7112.28</v>
      </c>
      <c r="DS251" s="255">
        <v>5334.21</v>
      </c>
      <c r="DT251" s="255">
        <v>7112.28</v>
      </c>
      <c r="DU251" s="255">
        <v>7112.28</v>
      </c>
      <c r="DV251" s="255">
        <v>7325.3600000000006</v>
      </c>
      <c r="DW251" s="255">
        <v>7325.3600000000006</v>
      </c>
      <c r="DX251" s="255">
        <v>7325.3600000000006</v>
      </c>
      <c r="DY251" s="255">
        <v>7325.3600000000006</v>
      </c>
      <c r="DZ251" s="255">
        <v>7325.3600000000006</v>
      </c>
      <c r="EA251" s="255">
        <v>5494.02</v>
      </c>
      <c r="EB251" s="255">
        <v>5494.02</v>
      </c>
      <c r="EC251" s="255">
        <v>7325.3600000000006</v>
      </c>
      <c r="ED251" s="255">
        <v>7325.3600000000006</v>
      </c>
      <c r="EE251" s="255">
        <v>5494.02</v>
      </c>
      <c r="EF251" s="255">
        <v>7325.3600000000006</v>
      </c>
      <c r="EG251" s="255">
        <v>7325.3600000000006</v>
      </c>
      <c r="EH251" s="255">
        <v>7544.8799999999992</v>
      </c>
      <c r="EI251" s="255">
        <v>7544.8799999999992</v>
      </c>
      <c r="EJ251" s="255">
        <v>7544.8799999999992</v>
      </c>
      <c r="EK251" s="255">
        <v>7544.8799999999992</v>
      </c>
      <c r="EL251" s="255">
        <v>0</v>
      </c>
      <c r="EM251" s="255">
        <v>0</v>
      </c>
      <c r="EN251" s="255">
        <v>0</v>
      </c>
      <c r="EO251" s="255">
        <v>0</v>
      </c>
      <c r="EP251" s="255">
        <v>0</v>
      </c>
      <c r="EQ251" s="255">
        <v>0</v>
      </c>
      <c r="ER251" s="255">
        <v>0</v>
      </c>
      <c r="ES251" s="255">
        <v>0</v>
      </c>
      <c r="ET251" s="255">
        <v>0</v>
      </c>
      <c r="EU251" s="255">
        <v>0</v>
      </c>
      <c r="EV251" s="255">
        <v>0</v>
      </c>
      <c r="EW251" s="255">
        <v>0</v>
      </c>
      <c r="EX251" s="255">
        <v>0</v>
      </c>
      <c r="EY251" s="255">
        <v>0</v>
      </c>
      <c r="EZ251" s="255">
        <v>0</v>
      </c>
      <c r="FA251" s="255">
        <v>0</v>
      </c>
      <c r="FB251" s="255">
        <v>0</v>
      </c>
      <c r="FC251" s="255">
        <v>0</v>
      </c>
      <c r="FD251" s="255">
        <v>0</v>
      </c>
      <c r="FE251" s="255">
        <v>0</v>
      </c>
      <c r="FF251" s="255">
        <v>0</v>
      </c>
      <c r="FG251" s="255">
        <v>0</v>
      </c>
      <c r="FH251" s="255">
        <v>0</v>
      </c>
      <c r="FI251" s="255">
        <v>0</v>
      </c>
      <c r="FJ251" s="255">
        <v>0</v>
      </c>
      <c r="FK251" s="255">
        <v>0</v>
      </c>
      <c r="FL251" s="255">
        <v>0</v>
      </c>
      <c r="FM251" s="255">
        <v>0</v>
      </c>
      <c r="FN251" s="255">
        <v>0</v>
      </c>
      <c r="FO251" s="255">
        <v>0</v>
      </c>
      <c r="FP251" s="255">
        <v>0</v>
      </c>
      <c r="FQ251" s="255">
        <v>0</v>
      </c>
      <c r="FR251" s="255">
        <v>0</v>
      </c>
      <c r="FS251" s="255">
        <v>0</v>
      </c>
      <c r="FT251" s="255">
        <v>0</v>
      </c>
      <c r="FU251" s="255">
        <v>0</v>
      </c>
      <c r="FV251" s="255">
        <v>0</v>
      </c>
      <c r="FW251" s="255">
        <v>0</v>
      </c>
      <c r="FX251" s="116"/>
    </row>
    <row r="252" spans="2:180" x14ac:dyDescent="0.2">
      <c r="B252" s="253" t="s">
        <v>216</v>
      </c>
      <c r="C252" s="253" t="s">
        <v>272</v>
      </c>
      <c r="D252" s="253" t="s">
        <v>258</v>
      </c>
      <c r="E252" s="253" t="s">
        <v>127</v>
      </c>
      <c r="F252" s="253" t="s">
        <v>259</v>
      </c>
      <c r="G252" s="253" t="s">
        <v>260</v>
      </c>
      <c r="H252" s="237">
        <v>254.01</v>
      </c>
      <c r="I252" s="126">
        <f t="shared" si="88"/>
        <v>119702.10000000003</v>
      </c>
      <c r="J252" s="116"/>
      <c r="K252" s="254">
        <v>0</v>
      </c>
      <c r="L252" s="254">
        <v>0</v>
      </c>
      <c r="M252" s="254">
        <v>0</v>
      </c>
      <c r="N252" s="254">
        <v>0</v>
      </c>
      <c r="O252" s="254">
        <v>0</v>
      </c>
      <c r="P252" s="254">
        <v>0</v>
      </c>
      <c r="Q252" s="254">
        <v>0</v>
      </c>
      <c r="R252" s="254">
        <v>0</v>
      </c>
      <c r="S252" s="254">
        <v>0</v>
      </c>
      <c r="T252" s="254">
        <v>0</v>
      </c>
      <c r="U252" s="254">
        <v>0</v>
      </c>
      <c r="V252" s="254">
        <v>0</v>
      </c>
      <c r="W252" s="254">
        <v>0</v>
      </c>
      <c r="X252" s="254">
        <v>0</v>
      </c>
      <c r="Y252" s="254">
        <v>0</v>
      </c>
      <c r="Z252" s="254">
        <v>0</v>
      </c>
      <c r="AA252" s="254">
        <v>0</v>
      </c>
      <c r="AB252" s="254">
        <v>0</v>
      </c>
      <c r="AC252" s="254">
        <v>0</v>
      </c>
      <c r="AD252" s="254">
        <v>0</v>
      </c>
      <c r="AE252" s="254">
        <v>0</v>
      </c>
      <c r="AF252" s="254">
        <v>0</v>
      </c>
      <c r="AG252" s="254">
        <v>0</v>
      </c>
      <c r="AH252" s="254">
        <v>0</v>
      </c>
      <c r="AI252" s="254">
        <v>0</v>
      </c>
      <c r="AJ252" s="254">
        <v>0</v>
      </c>
      <c r="AK252" s="254">
        <v>0</v>
      </c>
      <c r="AL252" s="254">
        <v>0</v>
      </c>
      <c r="AM252" s="254">
        <v>0</v>
      </c>
      <c r="AN252" s="254">
        <v>0.18421052631578946</v>
      </c>
      <c r="AO252" s="254">
        <v>0.2</v>
      </c>
      <c r="AP252" s="254">
        <v>0.2</v>
      </c>
      <c r="AQ252" s="254">
        <v>0.2</v>
      </c>
      <c r="AR252" s="254">
        <v>0.2</v>
      </c>
      <c r="AS252" s="254">
        <v>0.2</v>
      </c>
      <c r="AT252" s="254">
        <v>0.2</v>
      </c>
      <c r="AU252" s="254">
        <v>0.2</v>
      </c>
      <c r="AV252" s="254">
        <v>0.2</v>
      </c>
      <c r="AW252" s="254">
        <v>0.2</v>
      </c>
      <c r="AX252" s="254">
        <v>0.2</v>
      </c>
      <c r="AY252" s="254">
        <v>0.18421052631578946</v>
      </c>
      <c r="AZ252" s="254">
        <v>0.18421052631578946</v>
      </c>
      <c r="BA252" s="254">
        <v>0.2</v>
      </c>
      <c r="BB252" s="254">
        <v>0.2</v>
      </c>
      <c r="BC252" s="254">
        <v>0.2</v>
      </c>
      <c r="BD252" s="254">
        <v>0.2</v>
      </c>
      <c r="BE252" s="254">
        <v>0</v>
      </c>
      <c r="BF252" s="254">
        <v>0</v>
      </c>
      <c r="BG252" s="254">
        <v>0</v>
      </c>
      <c r="BH252" s="254">
        <v>0</v>
      </c>
      <c r="BI252" s="254">
        <v>0</v>
      </c>
      <c r="BJ252" s="254">
        <v>0</v>
      </c>
      <c r="BK252" s="254">
        <v>0</v>
      </c>
      <c r="BL252" s="254">
        <v>0</v>
      </c>
      <c r="BM252" s="254">
        <v>0</v>
      </c>
      <c r="BN252" s="254">
        <v>0</v>
      </c>
      <c r="BO252" s="254">
        <v>0</v>
      </c>
      <c r="BP252" s="254">
        <v>0</v>
      </c>
      <c r="BQ252" s="254">
        <v>0</v>
      </c>
      <c r="BR252" s="254">
        <v>0</v>
      </c>
      <c r="BS252" s="254">
        <v>0</v>
      </c>
      <c r="BT252" s="254">
        <v>0</v>
      </c>
      <c r="BU252" s="254">
        <v>0</v>
      </c>
      <c r="BV252" s="254">
        <v>0</v>
      </c>
      <c r="BW252" s="254">
        <v>0</v>
      </c>
      <c r="BX252" s="254">
        <v>0</v>
      </c>
      <c r="BY252" s="254">
        <v>0</v>
      </c>
      <c r="BZ252" s="254">
        <v>0</v>
      </c>
      <c r="CA252" s="254">
        <v>0</v>
      </c>
      <c r="CB252" s="254">
        <v>0</v>
      </c>
      <c r="CC252" s="254">
        <v>0</v>
      </c>
      <c r="CD252" s="254">
        <v>0</v>
      </c>
      <c r="CE252" s="254">
        <v>0</v>
      </c>
      <c r="CF252" s="254">
        <v>0</v>
      </c>
      <c r="CG252" s="254">
        <v>0</v>
      </c>
      <c r="CH252" s="254">
        <v>0</v>
      </c>
      <c r="CI252" s="254">
        <v>0</v>
      </c>
      <c r="CJ252" s="254">
        <v>0</v>
      </c>
      <c r="CK252" s="254">
        <v>0</v>
      </c>
      <c r="CL252" s="254">
        <v>0</v>
      </c>
      <c r="CM252" s="254">
        <v>0</v>
      </c>
      <c r="CN252" s="254">
        <v>0</v>
      </c>
      <c r="CO252" s="254">
        <v>0</v>
      </c>
      <c r="CP252" s="254">
        <v>0</v>
      </c>
      <c r="CQ252" s="116"/>
      <c r="CR252" s="255">
        <v>0</v>
      </c>
      <c r="CS252" s="255">
        <v>0</v>
      </c>
      <c r="CT252" s="255">
        <v>0</v>
      </c>
      <c r="CU252" s="255">
        <v>0</v>
      </c>
      <c r="CV252" s="255">
        <v>0</v>
      </c>
      <c r="CW252" s="255">
        <v>0</v>
      </c>
      <c r="CX252" s="255">
        <v>0</v>
      </c>
      <c r="CY252" s="255">
        <v>0</v>
      </c>
      <c r="CZ252" s="255">
        <v>0</v>
      </c>
      <c r="DA252" s="255">
        <v>0</v>
      </c>
      <c r="DB252" s="255">
        <v>0</v>
      </c>
      <c r="DC252" s="255">
        <v>0</v>
      </c>
      <c r="DD252" s="255">
        <v>0</v>
      </c>
      <c r="DE252" s="255">
        <v>0</v>
      </c>
      <c r="DF252" s="255">
        <v>0</v>
      </c>
      <c r="DG252" s="255">
        <v>0</v>
      </c>
      <c r="DH252" s="255">
        <v>0</v>
      </c>
      <c r="DI252" s="255">
        <v>0</v>
      </c>
      <c r="DJ252" s="255">
        <v>0</v>
      </c>
      <c r="DK252" s="255">
        <v>0</v>
      </c>
      <c r="DL252" s="255">
        <v>0</v>
      </c>
      <c r="DM252" s="255">
        <v>0</v>
      </c>
      <c r="DN252" s="255">
        <v>0</v>
      </c>
      <c r="DO252" s="255">
        <v>0</v>
      </c>
      <c r="DP252" s="255">
        <v>0</v>
      </c>
      <c r="DQ252" s="255">
        <v>0</v>
      </c>
      <c r="DR252" s="255">
        <v>0</v>
      </c>
      <c r="DS252" s="255">
        <v>0</v>
      </c>
      <c r="DT252" s="255">
        <v>0</v>
      </c>
      <c r="DU252" s="255">
        <v>7112.28</v>
      </c>
      <c r="DV252" s="255">
        <v>7325.3600000000006</v>
      </c>
      <c r="DW252" s="255">
        <v>7325.3600000000006</v>
      </c>
      <c r="DX252" s="255">
        <v>7325.3600000000006</v>
      </c>
      <c r="DY252" s="255">
        <v>7325.3600000000006</v>
      </c>
      <c r="DZ252" s="255">
        <v>7325.3600000000006</v>
      </c>
      <c r="EA252" s="255">
        <v>5494.02</v>
      </c>
      <c r="EB252" s="255">
        <v>5494.02</v>
      </c>
      <c r="EC252" s="255">
        <v>7325.3600000000006</v>
      </c>
      <c r="ED252" s="255">
        <v>7325.3600000000006</v>
      </c>
      <c r="EE252" s="255">
        <v>5494.02</v>
      </c>
      <c r="EF252" s="255">
        <v>7325.3600000000006</v>
      </c>
      <c r="EG252" s="255">
        <v>7325.3600000000006</v>
      </c>
      <c r="EH252" s="255">
        <v>7544.8799999999992</v>
      </c>
      <c r="EI252" s="255">
        <v>7544.8799999999992</v>
      </c>
      <c r="EJ252" s="255">
        <v>7544.8799999999992</v>
      </c>
      <c r="EK252" s="255">
        <v>7544.8799999999992</v>
      </c>
      <c r="EL252" s="255">
        <v>0</v>
      </c>
      <c r="EM252" s="255">
        <v>0</v>
      </c>
      <c r="EN252" s="255">
        <v>0</v>
      </c>
      <c r="EO252" s="255">
        <v>0</v>
      </c>
      <c r="EP252" s="255">
        <v>0</v>
      </c>
      <c r="EQ252" s="255">
        <v>0</v>
      </c>
      <c r="ER252" s="255">
        <v>0</v>
      </c>
      <c r="ES252" s="255">
        <v>0</v>
      </c>
      <c r="ET252" s="255">
        <v>0</v>
      </c>
      <c r="EU252" s="255">
        <v>0</v>
      </c>
      <c r="EV252" s="255">
        <v>0</v>
      </c>
      <c r="EW252" s="255">
        <v>0</v>
      </c>
      <c r="EX252" s="255">
        <v>0</v>
      </c>
      <c r="EY252" s="255">
        <v>0</v>
      </c>
      <c r="EZ252" s="255">
        <v>0</v>
      </c>
      <c r="FA252" s="255">
        <v>0</v>
      </c>
      <c r="FB252" s="255">
        <v>0</v>
      </c>
      <c r="FC252" s="255">
        <v>0</v>
      </c>
      <c r="FD252" s="255">
        <v>0</v>
      </c>
      <c r="FE252" s="255">
        <v>0</v>
      </c>
      <c r="FF252" s="255">
        <v>0</v>
      </c>
      <c r="FG252" s="255">
        <v>0</v>
      </c>
      <c r="FH252" s="255">
        <v>0</v>
      </c>
      <c r="FI252" s="255">
        <v>0</v>
      </c>
      <c r="FJ252" s="255">
        <v>0</v>
      </c>
      <c r="FK252" s="255">
        <v>0</v>
      </c>
      <c r="FL252" s="255">
        <v>0</v>
      </c>
      <c r="FM252" s="255">
        <v>0</v>
      </c>
      <c r="FN252" s="255">
        <v>0</v>
      </c>
      <c r="FO252" s="255">
        <v>0</v>
      </c>
      <c r="FP252" s="255">
        <v>0</v>
      </c>
      <c r="FQ252" s="255">
        <v>0</v>
      </c>
      <c r="FR252" s="255">
        <v>0</v>
      </c>
      <c r="FS252" s="255">
        <v>0</v>
      </c>
      <c r="FT252" s="255">
        <v>0</v>
      </c>
      <c r="FU252" s="255">
        <v>0</v>
      </c>
      <c r="FV252" s="255">
        <v>0</v>
      </c>
      <c r="FW252" s="255">
        <v>0</v>
      </c>
      <c r="FX252" s="116"/>
    </row>
    <row r="253" spans="2:180" x14ac:dyDescent="0.2">
      <c r="B253" s="253" t="s">
        <v>205</v>
      </c>
      <c r="C253" s="253" t="s">
        <v>269</v>
      </c>
      <c r="D253" s="253" t="s">
        <v>258</v>
      </c>
      <c r="E253" s="253" t="s">
        <v>127</v>
      </c>
      <c r="F253" s="253" t="s">
        <v>263</v>
      </c>
      <c r="G253" s="253" t="s">
        <v>260</v>
      </c>
      <c r="H253" s="237">
        <v>225.37</v>
      </c>
      <c r="I253" s="126">
        <f t="shared" si="88"/>
        <v>1097345.55</v>
      </c>
      <c r="J253" s="116"/>
      <c r="K253" s="254">
        <v>0</v>
      </c>
      <c r="L253" s="254">
        <v>0</v>
      </c>
      <c r="M253" s="254">
        <v>0</v>
      </c>
      <c r="N253" s="254">
        <v>0</v>
      </c>
      <c r="O253" s="254">
        <v>0</v>
      </c>
      <c r="P253" s="254">
        <v>0</v>
      </c>
      <c r="Q253" s="254">
        <v>0</v>
      </c>
      <c r="R253" s="254">
        <v>0</v>
      </c>
      <c r="S253" s="254">
        <v>0</v>
      </c>
      <c r="T253" s="254">
        <v>0</v>
      </c>
      <c r="U253" s="254">
        <v>0</v>
      </c>
      <c r="V253" s="254">
        <v>0</v>
      </c>
      <c r="W253" s="254">
        <v>0</v>
      </c>
      <c r="X253" s="254">
        <v>0</v>
      </c>
      <c r="Y253" s="254">
        <v>1</v>
      </c>
      <c r="Z253" s="254">
        <v>1</v>
      </c>
      <c r="AA253" s="254">
        <v>0.92105263157894735</v>
      </c>
      <c r="AB253" s="254">
        <v>0.92105263157894735</v>
      </c>
      <c r="AC253" s="254">
        <v>1</v>
      </c>
      <c r="AD253" s="254">
        <v>1</v>
      </c>
      <c r="AE253" s="254">
        <v>1</v>
      </c>
      <c r="AF253" s="254">
        <v>1</v>
      </c>
      <c r="AG253" s="254">
        <v>1</v>
      </c>
      <c r="AH253" s="254">
        <v>1</v>
      </c>
      <c r="AI253" s="254">
        <v>1</v>
      </c>
      <c r="AJ253" s="254">
        <v>1</v>
      </c>
      <c r="AK253" s="254">
        <v>1</v>
      </c>
      <c r="AL253" s="254">
        <v>1</v>
      </c>
      <c r="AM253" s="254">
        <v>1</v>
      </c>
      <c r="AN253" s="254">
        <v>1</v>
      </c>
      <c r="AO253" s="254">
        <v>1</v>
      </c>
      <c r="AP253" s="254">
        <v>1</v>
      </c>
      <c r="AQ253" s="254">
        <v>1</v>
      </c>
      <c r="AR253" s="254">
        <v>1</v>
      </c>
      <c r="AS253" s="254">
        <v>1</v>
      </c>
      <c r="AT253" s="254">
        <v>1</v>
      </c>
      <c r="AU253" s="254">
        <v>1</v>
      </c>
      <c r="AV253" s="254">
        <v>1</v>
      </c>
      <c r="AW253" s="254">
        <v>1</v>
      </c>
      <c r="AX253" s="254">
        <v>1</v>
      </c>
      <c r="AY253" s="254">
        <v>1</v>
      </c>
      <c r="AZ253" s="254">
        <v>1</v>
      </c>
      <c r="BA253" s="254">
        <v>1</v>
      </c>
      <c r="BB253" s="254">
        <v>1</v>
      </c>
      <c r="BC253" s="254">
        <v>1</v>
      </c>
      <c r="BD253" s="254">
        <v>1</v>
      </c>
      <c r="BE253" s="254">
        <v>1</v>
      </c>
      <c r="BF253" s="254">
        <v>1</v>
      </c>
      <c r="BG253" s="254">
        <v>1</v>
      </c>
      <c r="BH253" s="254">
        <v>1</v>
      </c>
      <c r="BI253" s="254">
        <v>0</v>
      </c>
      <c r="BJ253" s="254">
        <v>0</v>
      </c>
      <c r="BK253" s="254">
        <v>0</v>
      </c>
      <c r="BL253" s="254">
        <v>0</v>
      </c>
      <c r="BM253" s="254">
        <v>0</v>
      </c>
      <c r="BN253" s="254">
        <v>0</v>
      </c>
      <c r="BO253" s="254">
        <v>0</v>
      </c>
      <c r="BP253" s="254">
        <v>0</v>
      </c>
      <c r="BQ253" s="254">
        <v>0</v>
      </c>
      <c r="BR253" s="254">
        <v>0</v>
      </c>
      <c r="BS253" s="254">
        <v>0</v>
      </c>
      <c r="BT253" s="254">
        <v>0</v>
      </c>
      <c r="BU253" s="254">
        <v>0</v>
      </c>
      <c r="BV253" s="254">
        <v>0</v>
      </c>
      <c r="BW253" s="254">
        <v>0</v>
      </c>
      <c r="BX253" s="254">
        <v>0</v>
      </c>
      <c r="BY253" s="254">
        <v>0</v>
      </c>
      <c r="BZ253" s="254">
        <v>0</v>
      </c>
      <c r="CA253" s="254">
        <v>0</v>
      </c>
      <c r="CB253" s="254">
        <v>0</v>
      </c>
      <c r="CC253" s="254">
        <v>0</v>
      </c>
      <c r="CD253" s="254">
        <v>0</v>
      </c>
      <c r="CE253" s="254">
        <v>0</v>
      </c>
      <c r="CF253" s="254">
        <v>0</v>
      </c>
      <c r="CG253" s="254">
        <v>0</v>
      </c>
      <c r="CH253" s="254">
        <v>0</v>
      </c>
      <c r="CI253" s="254">
        <v>0</v>
      </c>
      <c r="CJ253" s="254">
        <v>0</v>
      </c>
      <c r="CK253" s="254">
        <v>0</v>
      </c>
      <c r="CL253" s="254">
        <v>0</v>
      </c>
      <c r="CM253" s="254">
        <v>0</v>
      </c>
      <c r="CN253" s="254">
        <v>0</v>
      </c>
      <c r="CO253" s="254">
        <v>0</v>
      </c>
      <c r="CP253" s="254">
        <v>0</v>
      </c>
      <c r="CQ253" s="116"/>
      <c r="CR253" s="255">
        <v>0</v>
      </c>
      <c r="CS253" s="255">
        <v>0</v>
      </c>
      <c r="CT253" s="255">
        <v>0</v>
      </c>
      <c r="CU253" s="255">
        <v>0</v>
      </c>
      <c r="CV253" s="255">
        <v>0</v>
      </c>
      <c r="CW253" s="255">
        <v>0</v>
      </c>
      <c r="CX253" s="255">
        <v>0</v>
      </c>
      <c r="CY253" s="255">
        <v>0</v>
      </c>
      <c r="CZ253" s="255">
        <v>0</v>
      </c>
      <c r="DA253" s="255">
        <v>0</v>
      </c>
      <c r="DB253" s="255">
        <v>0</v>
      </c>
      <c r="DC253" s="255">
        <v>0</v>
      </c>
      <c r="DD253" s="255">
        <v>0</v>
      </c>
      <c r="DE253" s="255">
        <v>0</v>
      </c>
      <c r="DF253" s="255">
        <v>30643.200000000001</v>
      </c>
      <c r="DG253" s="255">
        <v>22982.399999999998</v>
      </c>
      <c r="DH253" s="255">
        <v>30643.200000000001</v>
      </c>
      <c r="DI253" s="255">
        <v>30643.200000000001</v>
      </c>
      <c r="DJ253" s="255">
        <v>31551.8</v>
      </c>
      <c r="DK253" s="255">
        <v>31551.8</v>
      </c>
      <c r="DL253" s="255">
        <v>31551.8</v>
      </c>
      <c r="DM253" s="255">
        <v>31551.8</v>
      </c>
      <c r="DN253" s="255">
        <v>31551.8</v>
      </c>
      <c r="DO253" s="255">
        <v>23663.850000000002</v>
      </c>
      <c r="DP253" s="255">
        <v>23663.850000000002</v>
      </c>
      <c r="DQ253" s="255">
        <v>31551.8</v>
      </c>
      <c r="DR253" s="255">
        <v>31551.8</v>
      </c>
      <c r="DS253" s="255">
        <v>23663.850000000002</v>
      </c>
      <c r="DT253" s="255">
        <v>34256.239999999998</v>
      </c>
      <c r="DU253" s="255">
        <v>34256.239999999998</v>
      </c>
      <c r="DV253" s="255">
        <v>32491.200000000001</v>
      </c>
      <c r="DW253" s="255">
        <v>32491.200000000001</v>
      </c>
      <c r="DX253" s="255">
        <v>32491.200000000001</v>
      </c>
      <c r="DY253" s="255">
        <v>32491.200000000001</v>
      </c>
      <c r="DZ253" s="255">
        <v>32491.200000000001</v>
      </c>
      <c r="EA253" s="255">
        <v>24368.400000000001</v>
      </c>
      <c r="EB253" s="255">
        <v>24368.400000000001</v>
      </c>
      <c r="EC253" s="255">
        <v>32491.200000000001</v>
      </c>
      <c r="ED253" s="255">
        <v>32491.200000000001</v>
      </c>
      <c r="EE253" s="255">
        <v>24368.400000000001</v>
      </c>
      <c r="EF253" s="255">
        <v>35276.160000000003</v>
      </c>
      <c r="EG253" s="255">
        <v>35276.160000000003</v>
      </c>
      <c r="EH253" s="255">
        <v>33462.800000000003</v>
      </c>
      <c r="EI253" s="255">
        <v>33462.800000000003</v>
      </c>
      <c r="EJ253" s="255">
        <v>33462.800000000003</v>
      </c>
      <c r="EK253" s="255">
        <v>33462.800000000003</v>
      </c>
      <c r="EL253" s="255">
        <v>33462.800000000003</v>
      </c>
      <c r="EM253" s="255">
        <v>25097.100000000002</v>
      </c>
      <c r="EN253" s="255">
        <v>25097.100000000002</v>
      </c>
      <c r="EO253" s="255">
        <v>33462.800000000003</v>
      </c>
      <c r="EP253" s="255">
        <v>0</v>
      </c>
      <c r="EQ253" s="255">
        <v>0</v>
      </c>
      <c r="ER253" s="255">
        <v>0</v>
      </c>
      <c r="ES253" s="255">
        <v>0</v>
      </c>
      <c r="ET253" s="255">
        <v>0</v>
      </c>
      <c r="EU253" s="255">
        <v>0</v>
      </c>
      <c r="EV253" s="255">
        <v>0</v>
      </c>
      <c r="EW253" s="255">
        <v>0</v>
      </c>
      <c r="EX253" s="255">
        <v>0</v>
      </c>
      <c r="EY253" s="255">
        <v>0</v>
      </c>
      <c r="EZ253" s="255">
        <v>0</v>
      </c>
      <c r="FA253" s="255">
        <v>0</v>
      </c>
      <c r="FB253" s="255">
        <v>0</v>
      </c>
      <c r="FC253" s="255">
        <v>0</v>
      </c>
      <c r="FD253" s="255">
        <v>0</v>
      </c>
      <c r="FE253" s="255">
        <v>0</v>
      </c>
      <c r="FF253" s="255">
        <v>0</v>
      </c>
      <c r="FG253" s="255">
        <v>0</v>
      </c>
      <c r="FH253" s="255">
        <v>0</v>
      </c>
      <c r="FI253" s="255">
        <v>0</v>
      </c>
      <c r="FJ253" s="255">
        <v>0</v>
      </c>
      <c r="FK253" s="255">
        <v>0</v>
      </c>
      <c r="FL253" s="255">
        <v>0</v>
      </c>
      <c r="FM253" s="255">
        <v>0</v>
      </c>
      <c r="FN253" s="255">
        <v>0</v>
      </c>
      <c r="FO253" s="255">
        <v>0</v>
      </c>
      <c r="FP253" s="255">
        <v>0</v>
      </c>
      <c r="FQ253" s="255">
        <v>0</v>
      </c>
      <c r="FR253" s="255">
        <v>0</v>
      </c>
      <c r="FS253" s="255">
        <v>0</v>
      </c>
      <c r="FT253" s="255">
        <v>0</v>
      </c>
      <c r="FU253" s="255">
        <v>0</v>
      </c>
      <c r="FV253" s="255">
        <v>0</v>
      </c>
      <c r="FW253" s="255">
        <v>0</v>
      </c>
      <c r="FX253" s="116"/>
    </row>
    <row r="254" spans="2:180" x14ac:dyDescent="0.2">
      <c r="B254" s="253" t="s">
        <v>205</v>
      </c>
      <c r="C254" s="253" t="s">
        <v>272</v>
      </c>
      <c r="D254" s="253" t="s">
        <v>258</v>
      </c>
      <c r="E254" s="253" t="s">
        <v>127</v>
      </c>
      <c r="F254" s="253" t="s">
        <v>263</v>
      </c>
      <c r="G254" s="253" t="s">
        <v>260</v>
      </c>
      <c r="H254" s="237">
        <v>254.01</v>
      </c>
      <c r="I254" s="126">
        <f t="shared" si="88"/>
        <v>1236906.1200000001</v>
      </c>
      <c r="J254" s="116"/>
      <c r="K254" s="254">
        <v>0</v>
      </c>
      <c r="L254" s="254">
        <v>0</v>
      </c>
      <c r="M254" s="254">
        <v>0</v>
      </c>
      <c r="N254" s="254">
        <v>0</v>
      </c>
      <c r="O254" s="254">
        <v>0</v>
      </c>
      <c r="P254" s="254">
        <v>0</v>
      </c>
      <c r="Q254" s="254">
        <v>0</v>
      </c>
      <c r="R254" s="254">
        <v>0</v>
      </c>
      <c r="S254" s="254">
        <v>0</v>
      </c>
      <c r="T254" s="254">
        <v>0</v>
      </c>
      <c r="U254" s="254">
        <v>0</v>
      </c>
      <c r="V254" s="254">
        <v>0</v>
      </c>
      <c r="W254" s="254">
        <v>0</v>
      </c>
      <c r="X254" s="254">
        <v>0</v>
      </c>
      <c r="Y254" s="254">
        <v>1</v>
      </c>
      <c r="Z254" s="254">
        <v>1</v>
      </c>
      <c r="AA254" s="254">
        <v>0.92105263157894735</v>
      </c>
      <c r="AB254" s="254">
        <v>0.92105263157894735</v>
      </c>
      <c r="AC254" s="254">
        <v>1</v>
      </c>
      <c r="AD254" s="254">
        <v>1</v>
      </c>
      <c r="AE254" s="254">
        <v>1</v>
      </c>
      <c r="AF254" s="254">
        <v>1</v>
      </c>
      <c r="AG254" s="254">
        <v>1</v>
      </c>
      <c r="AH254" s="254">
        <v>1</v>
      </c>
      <c r="AI254" s="254">
        <v>1</v>
      </c>
      <c r="AJ254" s="254">
        <v>1</v>
      </c>
      <c r="AK254" s="254">
        <v>1</v>
      </c>
      <c r="AL254" s="254">
        <v>1</v>
      </c>
      <c r="AM254" s="254">
        <v>1</v>
      </c>
      <c r="AN254" s="254">
        <v>1</v>
      </c>
      <c r="AO254" s="254">
        <v>1</v>
      </c>
      <c r="AP254" s="254">
        <v>1</v>
      </c>
      <c r="AQ254" s="254">
        <v>1</v>
      </c>
      <c r="AR254" s="254">
        <v>1</v>
      </c>
      <c r="AS254" s="254">
        <v>1</v>
      </c>
      <c r="AT254" s="254">
        <v>1</v>
      </c>
      <c r="AU254" s="254">
        <v>1</v>
      </c>
      <c r="AV254" s="254">
        <v>1</v>
      </c>
      <c r="AW254" s="254">
        <v>1</v>
      </c>
      <c r="AX254" s="254">
        <v>1</v>
      </c>
      <c r="AY254" s="254">
        <v>1</v>
      </c>
      <c r="AZ254" s="254">
        <v>1</v>
      </c>
      <c r="BA254" s="254">
        <v>1</v>
      </c>
      <c r="BB254" s="254">
        <v>1</v>
      </c>
      <c r="BC254" s="254">
        <v>1</v>
      </c>
      <c r="BD254" s="254">
        <v>1</v>
      </c>
      <c r="BE254" s="254">
        <v>1</v>
      </c>
      <c r="BF254" s="254">
        <v>1</v>
      </c>
      <c r="BG254" s="254">
        <v>1</v>
      </c>
      <c r="BH254" s="254">
        <v>1</v>
      </c>
      <c r="BI254" s="254">
        <v>0</v>
      </c>
      <c r="BJ254" s="254">
        <v>0</v>
      </c>
      <c r="BK254" s="254">
        <v>0</v>
      </c>
      <c r="BL254" s="254">
        <v>0</v>
      </c>
      <c r="BM254" s="254">
        <v>0</v>
      </c>
      <c r="BN254" s="254">
        <v>0</v>
      </c>
      <c r="BO254" s="254">
        <v>0</v>
      </c>
      <c r="BP254" s="254">
        <v>0</v>
      </c>
      <c r="BQ254" s="254">
        <v>0</v>
      </c>
      <c r="BR254" s="254">
        <v>0</v>
      </c>
      <c r="BS254" s="254">
        <v>0</v>
      </c>
      <c r="BT254" s="254">
        <v>0</v>
      </c>
      <c r="BU254" s="254">
        <v>0</v>
      </c>
      <c r="BV254" s="254">
        <v>0</v>
      </c>
      <c r="BW254" s="254">
        <v>0</v>
      </c>
      <c r="BX254" s="254">
        <v>0</v>
      </c>
      <c r="BY254" s="254">
        <v>0</v>
      </c>
      <c r="BZ254" s="254">
        <v>0</v>
      </c>
      <c r="CA254" s="254">
        <v>0</v>
      </c>
      <c r="CB254" s="254">
        <v>0</v>
      </c>
      <c r="CC254" s="254">
        <v>0</v>
      </c>
      <c r="CD254" s="254">
        <v>0</v>
      </c>
      <c r="CE254" s="254">
        <v>0</v>
      </c>
      <c r="CF254" s="254">
        <v>0</v>
      </c>
      <c r="CG254" s="254">
        <v>0</v>
      </c>
      <c r="CH254" s="254">
        <v>0</v>
      </c>
      <c r="CI254" s="254">
        <v>0</v>
      </c>
      <c r="CJ254" s="254">
        <v>0</v>
      </c>
      <c r="CK254" s="254">
        <v>0</v>
      </c>
      <c r="CL254" s="254">
        <v>0</v>
      </c>
      <c r="CM254" s="254">
        <v>0</v>
      </c>
      <c r="CN254" s="254">
        <v>0</v>
      </c>
      <c r="CO254" s="254">
        <v>0</v>
      </c>
      <c r="CP254" s="254">
        <v>0</v>
      </c>
      <c r="CQ254" s="116"/>
      <c r="CR254" s="255">
        <v>0</v>
      </c>
      <c r="CS254" s="255">
        <v>0</v>
      </c>
      <c r="CT254" s="255">
        <v>0</v>
      </c>
      <c r="CU254" s="255">
        <v>0</v>
      </c>
      <c r="CV254" s="255">
        <v>0</v>
      </c>
      <c r="CW254" s="255">
        <v>0</v>
      </c>
      <c r="CX254" s="255">
        <v>0</v>
      </c>
      <c r="CY254" s="255">
        <v>0</v>
      </c>
      <c r="CZ254" s="255">
        <v>0</v>
      </c>
      <c r="DA254" s="255">
        <v>0</v>
      </c>
      <c r="DB254" s="255">
        <v>0</v>
      </c>
      <c r="DC254" s="255">
        <v>0</v>
      </c>
      <c r="DD254" s="255">
        <v>0</v>
      </c>
      <c r="DE254" s="255">
        <v>0</v>
      </c>
      <c r="DF254" s="255">
        <v>34528.199999999997</v>
      </c>
      <c r="DG254" s="255">
        <v>25896.149999999998</v>
      </c>
      <c r="DH254" s="255">
        <v>34528.199999999997</v>
      </c>
      <c r="DI254" s="255">
        <v>34528.199999999997</v>
      </c>
      <c r="DJ254" s="255">
        <v>35561.4</v>
      </c>
      <c r="DK254" s="255">
        <v>35561.4</v>
      </c>
      <c r="DL254" s="255">
        <v>35561.4</v>
      </c>
      <c r="DM254" s="255">
        <v>35561.4</v>
      </c>
      <c r="DN254" s="255">
        <v>35561.4</v>
      </c>
      <c r="DO254" s="255">
        <v>26671.05</v>
      </c>
      <c r="DP254" s="255">
        <v>26671.05</v>
      </c>
      <c r="DQ254" s="255">
        <v>35561.4</v>
      </c>
      <c r="DR254" s="255">
        <v>35561.4</v>
      </c>
      <c r="DS254" s="255">
        <v>26671.05</v>
      </c>
      <c r="DT254" s="255">
        <v>38609.519999999997</v>
      </c>
      <c r="DU254" s="255">
        <v>38609.519999999997</v>
      </c>
      <c r="DV254" s="255">
        <v>36626.800000000003</v>
      </c>
      <c r="DW254" s="255">
        <v>36626.800000000003</v>
      </c>
      <c r="DX254" s="255">
        <v>36626.800000000003</v>
      </c>
      <c r="DY254" s="255">
        <v>36626.800000000003</v>
      </c>
      <c r="DZ254" s="255">
        <v>36626.800000000003</v>
      </c>
      <c r="EA254" s="255">
        <v>27470.100000000002</v>
      </c>
      <c r="EB254" s="255">
        <v>27470.100000000002</v>
      </c>
      <c r="EC254" s="255">
        <v>36626.800000000003</v>
      </c>
      <c r="ED254" s="255">
        <v>36626.800000000003</v>
      </c>
      <c r="EE254" s="255">
        <v>27470.100000000002</v>
      </c>
      <c r="EF254" s="255">
        <v>39766.239999999998</v>
      </c>
      <c r="EG254" s="255">
        <v>39766.239999999998</v>
      </c>
      <c r="EH254" s="255">
        <v>37724.399999999994</v>
      </c>
      <c r="EI254" s="255">
        <v>37724.399999999994</v>
      </c>
      <c r="EJ254" s="255">
        <v>37724.399999999994</v>
      </c>
      <c r="EK254" s="255">
        <v>37724.399999999994</v>
      </c>
      <c r="EL254" s="255">
        <v>37724.399999999994</v>
      </c>
      <c r="EM254" s="255">
        <v>28293.299999999996</v>
      </c>
      <c r="EN254" s="255">
        <v>28293.299999999996</v>
      </c>
      <c r="EO254" s="255">
        <v>37724.399999999994</v>
      </c>
      <c r="EP254" s="255">
        <v>0</v>
      </c>
      <c r="EQ254" s="255">
        <v>0</v>
      </c>
      <c r="ER254" s="255">
        <v>0</v>
      </c>
      <c r="ES254" s="255">
        <v>0</v>
      </c>
      <c r="ET254" s="255">
        <v>0</v>
      </c>
      <c r="EU254" s="255">
        <v>0</v>
      </c>
      <c r="EV254" s="255">
        <v>0</v>
      </c>
      <c r="EW254" s="255">
        <v>0</v>
      </c>
      <c r="EX254" s="255">
        <v>0</v>
      </c>
      <c r="EY254" s="255">
        <v>0</v>
      </c>
      <c r="EZ254" s="255">
        <v>0</v>
      </c>
      <c r="FA254" s="255">
        <v>0</v>
      </c>
      <c r="FB254" s="255">
        <v>0</v>
      </c>
      <c r="FC254" s="255">
        <v>0</v>
      </c>
      <c r="FD254" s="255">
        <v>0</v>
      </c>
      <c r="FE254" s="255">
        <v>0</v>
      </c>
      <c r="FF254" s="255">
        <v>0</v>
      </c>
      <c r="FG254" s="255">
        <v>0</v>
      </c>
      <c r="FH254" s="255">
        <v>0</v>
      </c>
      <c r="FI254" s="255">
        <v>0</v>
      </c>
      <c r="FJ254" s="255">
        <v>0</v>
      </c>
      <c r="FK254" s="255">
        <v>0</v>
      </c>
      <c r="FL254" s="255">
        <v>0</v>
      </c>
      <c r="FM254" s="255">
        <v>0</v>
      </c>
      <c r="FN254" s="255">
        <v>0</v>
      </c>
      <c r="FO254" s="255">
        <v>0</v>
      </c>
      <c r="FP254" s="255">
        <v>0</v>
      </c>
      <c r="FQ254" s="255">
        <v>0</v>
      </c>
      <c r="FR254" s="255">
        <v>0</v>
      </c>
      <c r="FS254" s="255">
        <v>0</v>
      </c>
      <c r="FT254" s="255">
        <v>0</v>
      </c>
      <c r="FU254" s="255">
        <v>0</v>
      </c>
      <c r="FV254" s="255">
        <v>0</v>
      </c>
      <c r="FW254" s="255">
        <v>0</v>
      </c>
      <c r="FX254" s="116"/>
    </row>
    <row r="255" spans="2:180" x14ac:dyDescent="0.2">
      <c r="B255" s="253" t="s">
        <v>205</v>
      </c>
      <c r="C255" s="253" t="s">
        <v>320</v>
      </c>
      <c r="D255" s="253" t="s">
        <v>258</v>
      </c>
      <c r="E255" s="253" t="s">
        <v>127</v>
      </c>
      <c r="F255" s="253" t="s">
        <v>263</v>
      </c>
      <c r="G255" s="253" t="s">
        <v>260</v>
      </c>
      <c r="H255" s="237">
        <v>202.73</v>
      </c>
      <c r="I255" s="126">
        <f t="shared" si="88"/>
        <v>997195.80000000016</v>
      </c>
      <c r="J255" s="116"/>
      <c r="K255" s="254">
        <v>0</v>
      </c>
      <c r="L255" s="254">
        <v>0</v>
      </c>
      <c r="M255" s="254">
        <v>0</v>
      </c>
      <c r="N255" s="254">
        <v>0</v>
      </c>
      <c r="O255" s="254">
        <v>0</v>
      </c>
      <c r="P255" s="254">
        <v>0</v>
      </c>
      <c r="Q255" s="254">
        <v>0</v>
      </c>
      <c r="R255" s="254">
        <v>0</v>
      </c>
      <c r="S255" s="254">
        <v>0</v>
      </c>
      <c r="T255" s="254">
        <v>0</v>
      </c>
      <c r="U255" s="254">
        <v>0</v>
      </c>
      <c r="V255" s="254">
        <v>0</v>
      </c>
      <c r="W255" s="254">
        <v>0</v>
      </c>
      <c r="X255" s="254">
        <v>0</v>
      </c>
      <c r="Y255" s="254">
        <v>1</v>
      </c>
      <c r="Z255" s="254">
        <v>1</v>
      </c>
      <c r="AA255" s="254">
        <v>0.92105263157894735</v>
      </c>
      <c r="AB255" s="254">
        <v>0.92105263157894735</v>
      </c>
      <c r="AC255" s="254">
        <v>1</v>
      </c>
      <c r="AD255" s="254">
        <v>1</v>
      </c>
      <c r="AE255" s="254">
        <v>1</v>
      </c>
      <c r="AF255" s="254">
        <v>1</v>
      </c>
      <c r="AG255" s="254">
        <v>1</v>
      </c>
      <c r="AH255" s="254">
        <v>1</v>
      </c>
      <c r="AI255" s="254">
        <v>1</v>
      </c>
      <c r="AJ255" s="254">
        <v>1</v>
      </c>
      <c r="AK255" s="254">
        <v>1</v>
      </c>
      <c r="AL255" s="254">
        <v>1</v>
      </c>
      <c r="AM255" s="254">
        <v>1</v>
      </c>
      <c r="AN255" s="254">
        <v>1</v>
      </c>
      <c r="AO255" s="254">
        <v>1</v>
      </c>
      <c r="AP255" s="254">
        <v>1</v>
      </c>
      <c r="AQ255" s="254">
        <v>1</v>
      </c>
      <c r="AR255" s="254">
        <v>1</v>
      </c>
      <c r="AS255" s="254">
        <v>1</v>
      </c>
      <c r="AT255" s="254">
        <v>1</v>
      </c>
      <c r="AU255" s="254">
        <v>1</v>
      </c>
      <c r="AV255" s="254">
        <v>1</v>
      </c>
      <c r="AW255" s="254">
        <v>1</v>
      </c>
      <c r="AX255" s="254">
        <v>1</v>
      </c>
      <c r="AY255" s="254">
        <v>1</v>
      </c>
      <c r="AZ255" s="254">
        <v>1</v>
      </c>
      <c r="BA255" s="254">
        <v>1</v>
      </c>
      <c r="BB255" s="254">
        <v>1</v>
      </c>
      <c r="BC255" s="254">
        <v>1</v>
      </c>
      <c r="BD255" s="254">
        <v>1</v>
      </c>
      <c r="BE255" s="254">
        <v>1</v>
      </c>
      <c r="BF255" s="254">
        <v>1</v>
      </c>
      <c r="BG255" s="254">
        <v>1</v>
      </c>
      <c r="BH255" s="254">
        <v>1</v>
      </c>
      <c r="BI255" s="254">
        <v>0</v>
      </c>
      <c r="BJ255" s="254">
        <v>0</v>
      </c>
      <c r="BK255" s="254">
        <v>0</v>
      </c>
      <c r="BL255" s="254">
        <v>0</v>
      </c>
      <c r="BM255" s="254">
        <v>0</v>
      </c>
      <c r="BN255" s="254">
        <v>0</v>
      </c>
      <c r="BO255" s="254">
        <v>0</v>
      </c>
      <c r="BP255" s="254">
        <v>0</v>
      </c>
      <c r="BQ255" s="254">
        <v>0</v>
      </c>
      <c r="BR255" s="254">
        <v>0</v>
      </c>
      <c r="BS255" s="254">
        <v>0</v>
      </c>
      <c r="BT255" s="254">
        <v>0</v>
      </c>
      <c r="BU255" s="254">
        <v>0</v>
      </c>
      <c r="BV255" s="254">
        <v>0</v>
      </c>
      <c r="BW255" s="254">
        <v>0</v>
      </c>
      <c r="BX255" s="254">
        <v>0</v>
      </c>
      <c r="BY255" s="254">
        <v>0</v>
      </c>
      <c r="BZ255" s="254">
        <v>0</v>
      </c>
      <c r="CA255" s="254">
        <v>0</v>
      </c>
      <c r="CB255" s="254">
        <v>0</v>
      </c>
      <c r="CC255" s="254">
        <v>0</v>
      </c>
      <c r="CD255" s="254">
        <v>0</v>
      </c>
      <c r="CE255" s="254">
        <v>0</v>
      </c>
      <c r="CF255" s="254">
        <v>0</v>
      </c>
      <c r="CG255" s="254">
        <v>0</v>
      </c>
      <c r="CH255" s="254">
        <v>0</v>
      </c>
      <c r="CI255" s="254">
        <v>0</v>
      </c>
      <c r="CJ255" s="254">
        <v>0</v>
      </c>
      <c r="CK255" s="254">
        <v>0</v>
      </c>
      <c r="CL255" s="254">
        <v>0</v>
      </c>
      <c r="CM255" s="254">
        <v>0</v>
      </c>
      <c r="CN255" s="254">
        <v>0</v>
      </c>
      <c r="CO255" s="254">
        <v>0</v>
      </c>
      <c r="CP255" s="254">
        <v>0</v>
      </c>
      <c r="CQ255" s="116"/>
      <c r="CR255" s="255">
        <v>0</v>
      </c>
      <c r="CS255" s="255">
        <v>0</v>
      </c>
      <c r="CT255" s="255">
        <v>0</v>
      </c>
      <c r="CU255" s="255">
        <v>0</v>
      </c>
      <c r="CV255" s="255">
        <v>0</v>
      </c>
      <c r="CW255" s="255">
        <v>0</v>
      </c>
      <c r="CX255" s="255">
        <v>0</v>
      </c>
      <c r="CY255" s="255">
        <v>0</v>
      </c>
      <c r="CZ255" s="255">
        <v>0</v>
      </c>
      <c r="DA255" s="255">
        <v>0</v>
      </c>
      <c r="DB255" s="255">
        <v>0</v>
      </c>
      <c r="DC255" s="255">
        <v>0</v>
      </c>
      <c r="DD255" s="255">
        <v>0</v>
      </c>
      <c r="DE255" s="255">
        <v>0</v>
      </c>
      <c r="DF255" s="255">
        <v>28382.199999999997</v>
      </c>
      <c r="DG255" s="255">
        <v>21286.649999999998</v>
      </c>
      <c r="DH255" s="255">
        <v>28382.199999999997</v>
      </c>
      <c r="DI255" s="255">
        <v>28382.199999999997</v>
      </c>
      <c r="DJ255" s="255">
        <v>28382.199999999997</v>
      </c>
      <c r="DK255" s="255">
        <v>28382.199999999997</v>
      </c>
      <c r="DL255" s="255">
        <v>28382.199999999997</v>
      </c>
      <c r="DM255" s="255">
        <v>28382.199999999997</v>
      </c>
      <c r="DN255" s="255">
        <v>28382.199999999997</v>
      </c>
      <c r="DO255" s="255">
        <v>21286.649999999998</v>
      </c>
      <c r="DP255" s="255">
        <v>21286.649999999998</v>
      </c>
      <c r="DQ255" s="255">
        <v>28382.199999999997</v>
      </c>
      <c r="DR255" s="255">
        <v>29244.6</v>
      </c>
      <c r="DS255" s="255">
        <v>21933.449999999997</v>
      </c>
      <c r="DT255" s="255">
        <v>31751.279999999999</v>
      </c>
      <c r="DU255" s="255">
        <v>31751.279999999999</v>
      </c>
      <c r="DV255" s="255">
        <v>29244.6</v>
      </c>
      <c r="DW255" s="255">
        <v>29244.6</v>
      </c>
      <c r="DX255" s="255">
        <v>29244.6</v>
      </c>
      <c r="DY255" s="255">
        <v>29244.6</v>
      </c>
      <c r="DZ255" s="255">
        <v>29244.6</v>
      </c>
      <c r="EA255" s="255">
        <v>21933.449999999997</v>
      </c>
      <c r="EB255" s="255">
        <v>21933.449999999997</v>
      </c>
      <c r="EC255" s="255">
        <v>29244.6</v>
      </c>
      <c r="ED255" s="255">
        <v>30108.400000000001</v>
      </c>
      <c r="EE255" s="255">
        <v>22581.3</v>
      </c>
      <c r="EF255" s="255">
        <v>32689.119999999999</v>
      </c>
      <c r="EG255" s="255">
        <v>32689.119999999999</v>
      </c>
      <c r="EH255" s="255">
        <v>30108.400000000001</v>
      </c>
      <c r="EI255" s="255">
        <v>30108.400000000001</v>
      </c>
      <c r="EJ255" s="255">
        <v>30108.400000000001</v>
      </c>
      <c r="EK255" s="255">
        <v>30108.400000000001</v>
      </c>
      <c r="EL255" s="255">
        <v>30108.400000000001</v>
      </c>
      <c r="EM255" s="255">
        <v>22581.300000000003</v>
      </c>
      <c r="EN255" s="255">
        <v>22581.300000000003</v>
      </c>
      <c r="EO255" s="255">
        <v>30108.400000000001</v>
      </c>
      <c r="EP255" s="255">
        <v>0</v>
      </c>
      <c r="EQ255" s="255">
        <v>0</v>
      </c>
      <c r="ER255" s="255">
        <v>0</v>
      </c>
      <c r="ES255" s="255">
        <v>0</v>
      </c>
      <c r="ET255" s="255">
        <v>0</v>
      </c>
      <c r="EU255" s="255">
        <v>0</v>
      </c>
      <c r="EV255" s="255">
        <v>0</v>
      </c>
      <c r="EW255" s="255">
        <v>0</v>
      </c>
      <c r="EX255" s="255">
        <v>0</v>
      </c>
      <c r="EY255" s="255">
        <v>0</v>
      </c>
      <c r="EZ255" s="255">
        <v>0</v>
      </c>
      <c r="FA255" s="255">
        <v>0</v>
      </c>
      <c r="FB255" s="255">
        <v>0</v>
      </c>
      <c r="FC255" s="255">
        <v>0</v>
      </c>
      <c r="FD255" s="255">
        <v>0</v>
      </c>
      <c r="FE255" s="255">
        <v>0</v>
      </c>
      <c r="FF255" s="255">
        <v>0</v>
      </c>
      <c r="FG255" s="255">
        <v>0</v>
      </c>
      <c r="FH255" s="255">
        <v>0</v>
      </c>
      <c r="FI255" s="255">
        <v>0</v>
      </c>
      <c r="FJ255" s="255">
        <v>0</v>
      </c>
      <c r="FK255" s="255">
        <v>0</v>
      </c>
      <c r="FL255" s="255">
        <v>0</v>
      </c>
      <c r="FM255" s="255">
        <v>0</v>
      </c>
      <c r="FN255" s="255">
        <v>0</v>
      </c>
      <c r="FO255" s="255">
        <v>0</v>
      </c>
      <c r="FP255" s="255">
        <v>0</v>
      </c>
      <c r="FQ255" s="255">
        <v>0</v>
      </c>
      <c r="FR255" s="255">
        <v>0</v>
      </c>
      <c r="FS255" s="255">
        <v>0</v>
      </c>
      <c r="FT255" s="255">
        <v>0</v>
      </c>
      <c r="FU255" s="255">
        <v>0</v>
      </c>
      <c r="FV255" s="255">
        <v>0</v>
      </c>
      <c r="FW255" s="255">
        <v>0</v>
      </c>
      <c r="FX255" s="116"/>
    </row>
    <row r="256" spans="2:180" x14ac:dyDescent="0.2">
      <c r="B256" s="253" t="s">
        <v>233</v>
      </c>
      <c r="C256" s="253" t="s">
        <v>265</v>
      </c>
      <c r="D256" s="253" t="s">
        <v>258</v>
      </c>
      <c r="E256" s="253" t="s">
        <v>127</v>
      </c>
      <c r="F256" s="253" t="s">
        <v>263</v>
      </c>
      <c r="G256" s="253" t="s">
        <v>260</v>
      </c>
      <c r="H256" s="237">
        <v>333.23</v>
      </c>
      <c r="I256" s="126">
        <f t="shared" si="88"/>
        <v>1622978.7000000002</v>
      </c>
      <c r="J256" s="116"/>
      <c r="K256" s="254">
        <v>0</v>
      </c>
      <c r="L256" s="254">
        <v>0</v>
      </c>
      <c r="M256" s="254">
        <v>0</v>
      </c>
      <c r="N256" s="254">
        <v>0</v>
      </c>
      <c r="O256" s="254">
        <v>0</v>
      </c>
      <c r="P256" s="254">
        <v>0</v>
      </c>
      <c r="Q256" s="254">
        <v>0</v>
      </c>
      <c r="R256" s="254">
        <v>0</v>
      </c>
      <c r="S256" s="254">
        <v>0</v>
      </c>
      <c r="T256" s="254">
        <v>0</v>
      </c>
      <c r="U256" s="254">
        <v>0</v>
      </c>
      <c r="V256" s="254">
        <v>0</v>
      </c>
      <c r="W256" s="254">
        <v>0</v>
      </c>
      <c r="X256" s="254">
        <v>0</v>
      </c>
      <c r="Y256" s="254">
        <v>1</v>
      </c>
      <c r="Z256" s="254">
        <v>1</v>
      </c>
      <c r="AA256" s="254">
        <v>0.92105263157894735</v>
      </c>
      <c r="AB256" s="254">
        <v>0.92105263157894735</v>
      </c>
      <c r="AC256" s="254">
        <v>1</v>
      </c>
      <c r="AD256" s="254">
        <v>1</v>
      </c>
      <c r="AE256" s="254">
        <v>1</v>
      </c>
      <c r="AF256" s="254">
        <v>1</v>
      </c>
      <c r="AG256" s="254">
        <v>1</v>
      </c>
      <c r="AH256" s="254">
        <v>1</v>
      </c>
      <c r="AI256" s="254">
        <v>1</v>
      </c>
      <c r="AJ256" s="254">
        <v>1</v>
      </c>
      <c r="AK256" s="254">
        <v>1</v>
      </c>
      <c r="AL256" s="254">
        <v>1</v>
      </c>
      <c r="AM256" s="254">
        <v>1</v>
      </c>
      <c r="AN256" s="254">
        <v>1</v>
      </c>
      <c r="AO256" s="254">
        <v>1</v>
      </c>
      <c r="AP256" s="254">
        <v>1</v>
      </c>
      <c r="AQ256" s="254">
        <v>1</v>
      </c>
      <c r="AR256" s="254">
        <v>1</v>
      </c>
      <c r="AS256" s="254">
        <v>1</v>
      </c>
      <c r="AT256" s="254">
        <v>1</v>
      </c>
      <c r="AU256" s="254">
        <v>1</v>
      </c>
      <c r="AV256" s="254">
        <v>1</v>
      </c>
      <c r="AW256" s="254">
        <v>1</v>
      </c>
      <c r="AX256" s="254">
        <v>1</v>
      </c>
      <c r="AY256" s="254">
        <v>1</v>
      </c>
      <c r="AZ256" s="254">
        <v>1</v>
      </c>
      <c r="BA256" s="254">
        <v>1</v>
      </c>
      <c r="BB256" s="254">
        <v>1</v>
      </c>
      <c r="BC256" s="254">
        <v>1</v>
      </c>
      <c r="BD256" s="254">
        <v>1</v>
      </c>
      <c r="BE256" s="254">
        <v>1</v>
      </c>
      <c r="BF256" s="254">
        <v>1</v>
      </c>
      <c r="BG256" s="254">
        <v>1</v>
      </c>
      <c r="BH256" s="254">
        <v>1</v>
      </c>
      <c r="BI256" s="254">
        <v>0</v>
      </c>
      <c r="BJ256" s="254">
        <v>0</v>
      </c>
      <c r="BK256" s="254">
        <v>0</v>
      </c>
      <c r="BL256" s="254">
        <v>0</v>
      </c>
      <c r="BM256" s="254">
        <v>0</v>
      </c>
      <c r="BN256" s="254">
        <v>0</v>
      </c>
      <c r="BO256" s="254">
        <v>0</v>
      </c>
      <c r="BP256" s="254">
        <v>0</v>
      </c>
      <c r="BQ256" s="254">
        <v>0</v>
      </c>
      <c r="BR256" s="254">
        <v>0</v>
      </c>
      <c r="BS256" s="254">
        <v>0</v>
      </c>
      <c r="BT256" s="254">
        <v>0</v>
      </c>
      <c r="BU256" s="254">
        <v>0</v>
      </c>
      <c r="BV256" s="254">
        <v>0</v>
      </c>
      <c r="BW256" s="254">
        <v>0</v>
      </c>
      <c r="BX256" s="254">
        <v>0</v>
      </c>
      <c r="BY256" s="254">
        <v>0</v>
      </c>
      <c r="BZ256" s="254">
        <v>0</v>
      </c>
      <c r="CA256" s="254">
        <v>0</v>
      </c>
      <c r="CB256" s="254">
        <v>0</v>
      </c>
      <c r="CC256" s="254">
        <v>0</v>
      </c>
      <c r="CD256" s="254">
        <v>0</v>
      </c>
      <c r="CE256" s="254">
        <v>0</v>
      </c>
      <c r="CF256" s="254">
        <v>0</v>
      </c>
      <c r="CG256" s="254">
        <v>0</v>
      </c>
      <c r="CH256" s="254">
        <v>0</v>
      </c>
      <c r="CI256" s="254">
        <v>0</v>
      </c>
      <c r="CJ256" s="254">
        <v>0</v>
      </c>
      <c r="CK256" s="254">
        <v>0</v>
      </c>
      <c r="CL256" s="254">
        <v>0</v>
      </c>
      <c r="CM256" s="254">
        <v>0</v>
      </c>
      <c r="CN256" s="254">
        <v>0</v>
      </c>
      <c r="CO256" s="254">
        <v>0</v>
      </c>
      <c r="CP256" s="254">
        <v>0</v>
      </c>
      <c r="CQ256" s="116"/>
      <c r="CR256" s="255">
        <v>0</v>
      </c>
      <c r="CS256" s="255">
        <v>0</v>
      </c>
      <c r="CT256" s="255">
        <v>0</v>
      </c>
      <c r="CU256" s="255">
        <v>0</v>
      </c>
      <c r="CV256" s="255">
        <v>0</v>
      </c>
      <c r="CW256" s="255">
        <v>0</v>
      </c>
      <c r="CX256" s="255">
        <v>0</v>
      </c>
      <c r="CY256" s="255">
        <v>0</v>
      </c>
      <c r="CZ256" s="255">
        <v>0</v>
      </c>
      <c r="DA256" s="255">
        <v>0</v>
      </c>
      <c r="DB256" s="255">
        <v>0</v>
      </c>
      <c r="DC256" s="255">
        <v>0</v>
      </c>
      <c r="DD256" s="255">
        <v>0</v>
      </c>
      <c r="DE256" s="255">
        <v>0</v>
      </c>
      <c r="DF256" s="255">
        <v>45305.4</v>
      </c>
      <c r="DG256" s="255">
        <v>33979.050000000003</v>
      </c>
      <c r="DH256" s="255">
        <v>45305.4</v>
      </c>
      <c r="DI256" s="255">
        <v>45305.4</v>
      </c>
      <c r="DJ256" s="255">
        <v>46653.599999999999</v>
      </c>
      <c r="DK256" s="255">
        <v>46653.599999999999</v>
      </c>
      <c r="DL256" s="255">
        <v>46653.599999999999</v>
      </c>
      <c r="DM256" s="255">
        <v>46653.599999999999</v>
      </c>
      <c r="DN256" s="255">
        <v>46653.599999999999</v>
      </c>
      <c r="DO256" s="255">
        <v>34990.200000000004</v>
      </c>
      <c r="DP256" s="255">
        <v>34990.200000000004</v>
      </c>
      <c r="DQ256" s="255">
        <v>46653.599999999999</v>
      </c>
      <c r="DR256" s="255">
        <v>46653.599999999999</v>
      </c>
      <c r="DS256" s="255">
        <v>34990.200000000004</v>
      </c>
      <c r="DT256" s="255">
        <v>50652.480000000003</v>
      </c>
      <c r="DU256" s="255">
        <v>50652.480000000003</v>
      </c>
      <c r="DV256" s="255">
        <v>48063.4</v>
      </c>
      <c r="DW256" s="255">
        <v>48063.4</v>
      </c>
      <c r="DX256" s="255">
        <v>48063.4</v>
      </c>
      <c r="DY256" s="255">
        <v>48063.4</v>
      </c>
      <c r="DZ256" s="255">
        <v>48063.4</v>
      </c>
      <c r="EA256" s="255">
        <v>36047.550000000003</v>
      </c>
      <c r="EB256" s="255">
        <v>36047.550000000003</v>
      </c>
      <c r="EC256" s="255">
        <v>48063.4</v>
      </c>
      <c r="ED256" s="255">
        <v>48063.4</v>
      </c>
      <c r="EE256" s="255">
        <v>36047.550000000003</v>
      </c>
      <c r="EF256" s="255">
        <v>52183.12</v>
      </c>
      <c r="EG256" s="255">
        <v>52183.12</v>
      </c>
      <c r="EH256" s="255">
        <v>49504</v>
      </c>
      <c r="EI256" s="255">
        <v>49504</v>
      </c>
      <c r="EJ256" s="255">
        <v>49504</v>
      </c>
      <c r="EK256" s="255">
        <v>49504</v>
      </c>
      <c r="EL256" s="255">
        <v>49504</v>
      </c>
      <c r="EM256" s="255">
        <v>37128</v>
      </c>
      <c r="EN256" s="255">
        <v>37128</v>
      </c>
      <c r="EO256" s="255">
        <v>49504</v>
      </c>
      <c r="EP256" s="255">
        <v>0</v>
      </c>
      <c r="EQ256" s="255">
        <v>0</v>
      </c>
      <c r="ER256" s="255">
        <v>0</v>
      </c>
      <c r="ES256" s="255">
        <v>0</v>
      </c>
      <c r="ET256" s="255">
        <v>0</v>
      </c>
      <c r="EU256" s="255">
        <v>0</v>
      </c>
      <c r="EV256" s="255">
        <v>0</v>
      </c>
      <c r="EW256" s="255">
        <v>0</v>
      </c>
      <c r="EX256" s="255">
        <v>0</v>
      </c>
      <c r="EY256" s="255">
        <v>0</v>
      </c>
      <c r="EZ256" s="255">
        <v>0</v>
      </c>
      <c r="FA256" s="255">
        <v>0</v>
      </c>
      <c r="FB256" s="255">
        <v>0</v>
      </c>
      <c r="FC256" s="255">
        <v>0</v>
      </c>
      <c r="FD256" s="255">
        <v>0</v>
      </c>
      <c r="FE256" s="255">
        <v>0</v>
      </c>
      <c r="FF256" s="255">
        <v>0</v>
      </c>
      <c r="FG256" s="255">
        <v>0</v>
      </c>
      <c r="FH256" s="255">
        <v>0</v>
      </c>
      <c r="FI256" s="255">
        <v>0</v>
      </c>
      <c r="FJ256" s="255">
        <v>0</v>
      </c>
      <c r="FK256" s="255">
        <v>0</v>
      </c>
      <c r="FL256" s="255">
        <v>0</v>
      </c>
      <c r="FM256" s="255">
        <v>0</v>
      </c>
      <c r="FN256" s="255">
        <v>0</v>
      </c>
      <c r="FO256" s="255">
        <v>0</v>
      </c>
      <c r="FP256" s="255">
        <v>0</v>
      </c>
      <c r="FQ256" s="255">
        <v>0</v>
      </c>
      <c r="FR256" s="255">
        <v>0</v>
      </c>
      <c r="FS256" s="255">
        <v>0</v>
      </c>
      <c r="FT256" s="255">
        <v>0</v>
      </c>
      <c r="FU256" s="255">
        <v>0</v>
      </c>
      <c r="FV256" s="255">
        <v>0</v>
      </c>
      <c r="FW256" s="255">
        <v>0</v>
      </c>
      <c r="FX256" s="116"/>
    </row>
    <row r="257" spans="2:180" x14ac:dyDescent="0.2">
      <c r="B257" s="253" t="s">
        <v>233</v>
      </c>
      <c r="C257" s="253" t="s">
        <v>278</v>
      </c>
      <c r="D257" s="253" t="s">
        <v>258</v>
      </c>
      <c r="E257" s="253" t="s">
        <v>127</v>
      </c>
      <c r="F257" s="253" t="s">
        <v>263</v>
      </c>
      <c r="G257" s="253" t="s">
        <v>260</v>
      </c>
      <c r="H257" s="237">
        <v>202.73</v>
      </c>
      <c r="I257" s="126">
        <f t="shared" si="88"/>
        <v>997195.80000000016</v>
      </c>
      <c r="J257" s="116"/>
      <c r="K257" s="254">
        <v>0</v>
      </c>
      <c r="L257" s="254">
        <v>0</v>
      </c>
      <c r="M257" s="254">
        <v>0</v>
      </c>
      <c r="N257" s="254">
        <v>0</v>
      </c>
      <c r="O257" s="254">
        <v>0</v>
      </c>
      <c r="P257" s="254">
        <v>0</v>
      </c>
      <c r="Q257" s="254">
        <v>0</v>
      </c>
      <c r="R257" s="254">
        <v>0</v>
      </c>
      <c r="S257" s="254">
        <v>0</v>
      </c>
      <c r="T257" s="254">
        <v>0</v>
      </c>
      <c r="U257" s="254">
        <v>0</v>
      </c>
      <c r="V257" s="254">
        <v>0</v>
      </c>
      <c r="W257" s="254">
        <v>0</v>
      </c>
      <c r="X257" s="254">
        <v>0</v>
      </c>
      <c r="Y257" s="254">
        <v>1</v>
      </c>
      <c r="Z257" s="254">
        <v>1</v>
      </c>
      <c r="AA257" s="254">
        <v>0.92105263157894735</v>
      </c>
      <c r="AB257" s="254">
        <v>0.92105263157894735</v>
      </c>
      <c r="AC257" s="254">
        <v>1</v>
      </c>
      <c r="AD257" s="254">
        <v>1</v>
      </c>
      <c r="AE257" s="254">
        <v>1</v>
      </c>
      <c r="AF257" s="254">
        <v>1</v>
      </c>
      <c r="AG257" s="254">
        <v>1</v>
      </c>
      <c r="AH257" s="254">
        <v>1</v>
      </c>
      <c r="AI257" s="254">
        <v>1</v>
      </c>
      <c r="AJ257" s="254">
        <v>1</v>
      </c>
      <c r="AK257" s="254">
        <v>1</v>
      </c>
      <c r="AL257" s="254">
        <v>1</v>
      </c>
      <c r="AM257" s="254">
        <v>1</v>
      </c>
      <c r="AN257" s="254">
        <v>1</v>
      </c>
      <c r="AO257" s="254">
        <v>1</v>
      </c>
      <c r="AP257" s="254">
        <v>1</v>
      </c>
      <c r="AQ257" s="254">
        <v>1</v>
      </c>
      <c r="AR257" s="254">
        <v>1</v>
      </c>
      <c r="AS257" s="254">
        <v>1</v>
      </c>
      <c r="AT257" s="254">
        <v>1</v>
      </c>
      <c r="AU257" s="254">
        <v>1</v>
      </c>
      <c r="AV257" s="254">
        <v>1</v>
      </c>
      <c r="AW257" s="254">
        <v>1</v>
      </c>
      <c r="AX257" s="254">
        <v>1</v>
      </c>
      <c r="AY257" s="254">
        <v>1</v>
      </c>
      <c r="AZ257" s="254">
        <v>1</v>
      </c>
      <c r="BA257" s="254">
        <v>1</v>
      </c>
      <c r="BB257" s="254">
        <v>1</v>
      </c>
      <c r="BC257" s="254">
        <v>1</v>
      </c>
      <c r="BD257" s="254">
        <v>1</v>
      </c>
      <c r="BE257" s="254">
        <v>1</v>
      </c>
      <c r="BF257" s="254">
        <v>1</v>
      </c>
      <c r="BG257" s="254">
        <v>1</v>
      </c>
      <c r="BH257" s="254">
        <v>1</v>
      </c>
      <c r="BI257" s="254">
        <v>0</v>
      </c>
      <c r="BJ257" s="254">
        <v>0</v>
      </c>
      <c r="BK257" s="254">
        <v>0</v>
      </c>
      <c r="BL257" s="254">
        <v>0</v>
      </c>
      <c r="BM257" s="254">
        <v>0</v>
      </c>
      <c r="BN257" s="254">
        <v>0</v>
      </c>
      <c r="BO257" s="254">
        <v>0</v>
      </c>
      <c r="BP257" s="254">
        <v>0</v>
      </c>
      <c r="BQ257" s="254">
        <v>0</v>
      </c>
      <c r="BR257" s="254">
        <v>0</v>
      </c>
      <c r="BS257" s="254">
        <v>0</v>
      </c>
      <c r="BT257" s="254">
        <v>0</v>
      </c>
      <c r="BU257" s="254">
        <v>0</v>
      </c>
      <c r="BV257" s="254">
        <v>0</v>
      </c>
      <c r="BW257" s="254">
        <v>0</v>
      </c>
      <c r="BX257" s="254">
        <v>0</v>
      </c>
      <c r="BY257" s="254">
        <v>0</v>
      </c>
      <c r="BZ257" s="254">
        <v>0</v>
      </c>
      <c r="CA257" s="254">
        <v>0</v>
      </c>
      <c r="CB257" s="254">
        <v>0</v>
      </c>
      <c r="CC257" s="254">
        <v>0</v>
      </c>
      <c r="CD257" s="254">
        <v>0</v>
      </c>
      <c r="CE257" s="254">
        <v>0</v>
      </c>
      <c r="CF257" s="254">
        <v>0</v>
      </c>
      <c r="CG257" s="254">
        <v>0</v>
      </c>
      <c r="CH257" s="254">
        <v>0</v>
      </c>
      <c r="CI257" s="254">
        <v>0</v>
      </c>
      <c r="CJ257" s="254">
        <v>0</v>
      </c>
      <c r="CK257" s="254">
        <v>0</v>
      </c>
      <c r="CL257" s="254">
        <v>0</v>
      </c>
      <c r="CM257" s="254">
        <v>0</v>
      </c>
      <c r="CN257" s="254">
        <v>0</v>
      </c>
      <c r="CO257" s="254">
        <v>0</v>
      </c>
      <c r="CP257" s="254">
        <v>0</v>
      </c>
      <c r="CQ257" s="116"/>
      <c r="CR257" s="255">
        <v>0</v>
      </c>
      <c r="CS257" s="255">
        <v>0</v>
      </c>
      <c r="CT257" s="255">
        <v>0</v>
      </c>
      <c r="CU257" s="255">
        <v>0</v>
      </c>
      <c r="CV257" s="255">
        <v>0</v>
      </c>
      <c r="CW257" s="255">
        <v>0</v>
      </c>
      <c r="CX257" s="255">
        <v>0</v>
      </c>
      <c r="CY257" s="255">
        <v>0</v>
      </c>
      <c r="CZ257" s="255">
        <v>0</v>
      </c>
      <c r="DA257" s="255">
        <v>0</v>
      </c>
      <c r="DB257" s="255">
        <v>0</v>
      </c>
      <c r="DC257" s="255">
        <v>0</v>
      </c>
      <c r="DD257" s="255">
        <v>0</v>
      </c>
      <c r="DE257" s="255">
        <v>0</v>
      </c>
      <c r="DF257" s="255">
        <v>28382.199999999997</v>
      </c>
      <c r="DG257" s="255">
        <v>21286.649999999998</v>
      </c>
      <c r="DH257" s="255">
        <v>28382.199999999997</v>
      </c>
      <c r="DI257" s="255">
        <v>28382.199999999997</v>
      </c>
      <c r="DJ257" s="255">
        <v>28382.199999999997</v>
      </c>
      <c r="DK257" s="255">
        <v>28382.199999999997</v>
      </c>
      <c r="DL257" s="255">
        <v>28382.199999999997</v>
      </c>
      <c r="DM257" s="255">
        <v>28382.199999999997</v>
      </c>
      <c r="DN257" s="255">
        <v>28382.199999999997</v>
      </c>
      <c r="DO257" s="255">
        <v>21286.649999999998</v>
      </c>
      <c r="DP257" s="255">
        <v>21286.649999999998</v>
      </c>
      <c r="DQ257" s="255">
        <v>28382.199999999997</v>
      </c>
      <c r="DR257" s="255">
        <v>29244.6</v>
      </c>
      <c r="DS257" s="255">
        <v>21933.449999999997</v>
      </c>
      <c r="DT257" s="255">
        <v>31751.279999999999</v>
      </c>
      <c r="DU257" s="255">
        <v>31751.279999999999</v>
      </c>
      <c r="DV257" s="255">
        <v>29244.6</v>
      </c>
      <c r="DW257" s="255">
        <v>29244.6</v>
      </c>
      <c r="DX257" s="255">
        <v>29244.6</v>
      </c>
      <c r="DY257" s="255">
        <v>29244.6</v>
      </c>
      <c r="DZ257" s="255">
        <v>29244.6</v>
      </c>
      <c r="EA257" s="255">
        <v>21933.449999999997</v>
      </c>
      <c r="EB257" s="255">
        <v>21933.449999999997</v>
      </c>
      <c r="EC257" s="255">
        <v>29244.6</v>
      </c>
      <c r="ED257" s="255">
        <v>30108.400000000001</v>
      </c>
      <c r="EE257" s="255">
        <v>22581.3</v>
      </c>
      <c r="EF257" s="255">
        <v>32689.119999999999</v>
      </c>
      <c r="EG257" s="255">
        <v>32689.119999999999</v>
      </c>
      <c r="EH257" s="255">
        <v>30108.400000000001</v>
      </c>
      <c r="EI257" s="255">
        <v>30108.400000000001</v>
      </c>
      <c r="EJ257" s="255">
        <v>30108.400000000001</v>
      </c>
      <c r="EK257" s="255">
        <v>30108.400000000001</v>
      </c>
      <c r="EL257" s="255">
        <v>30108.400000000001</v>
      </c>
      <c r="EM257" s="255">
        <v>22581.300000000003</v>
      </c>
      <c r="EN257" s="255">
        <v>22581.300000000003</v>
      </c>
      <c r="EO257" s="255">
        <v>30108.400000000001</v>
      </c>
      <c r="EP257" s="255">
        <v>0</v>
      </c>
      <c r="EQ257" s="255">
        <v>0</v>
      </c>
      <c r="ER257" s="255">
        <v>0</v>
      </c>
      <c r="ES257" s="255">
        <v>0</v>
      </c>
      <c r="ET257" s="255">
        <v>0</v>
      </c>
      <c r="EU257" s="255">
        <v>0</v>
      </c>
      <c r="EV257" s="255">
        <v>0</v>
      </c>
      <c r="EW257" s="255">
        <v>0</v>
      </c>
      <c r="EX257" s="255">
        <v>0</v>
      </c>
      <c r="EY257" s="255">
        <v>0</v>
      </c>
      <c r="EZ257" s="255">
        <v>0</v>
      </c>
      <c r="FA257" s="255">
        <v>0</v>
      </c>
      <c r="FB257" s="255">
        <v>0</v>
      </c>
      <c r="FC257" s="255">
        <v>0</v>
      </c>
      <c r="FD257" s="255">
        <v>0</v>
      </c>
      <c r="FE257" s="255">
        <v>0</v>
      </c>
      <c r="FF257" s="255">
        <v>0</v>
      </c>
      <c r="FG257" s="255">
        <v>0</v>
      </c>
      <c r="FH257" s="255">
        <v>0</v>
      </c>
      <c r="FI257" s="255">
        <v>0</v>
      </c>
      <c r="FJ257" s="255">
        <v>0</v>
      </c>
      <c r="FK257" s="255">
        <v>0</v>
      </c>
      <c r="FL257" s="255">
        <v>0</v>
      </c>
      <c r="FM257" s="255">
        <v>0</v>
      </c>
      <c r="FN257" s="255">
        <v>0</v>
      </c>
      <c r="FO257" s="255">
        <v>0</v>
      </c>
      <c r="FP257" s="255">
        <v>0</v>
      </c>
      <c r="FQ257" s="255">
        <v>0</v>
      </c>
      <c r="FR257" s="255">
        <v>0</v>
      </c>
      <c r="FS257" s="255">
        <v>0</v>
      </c>
      <c r="FT257" s="255">
        <v>0</v>
      </c>
      <c r="FU257" s="255">
        <v>0</v>
      </c>
      <c r="FV257" s="255">
        <v>0</v>
      </c>
      <c r="FW257" s="255">
        <v>0</v>
      </c>
      <c r="FX257" s="116"/>
    </row>
    <row r="258" spans="2:180" x14ac:dyDescent="0.2">
      <c r="B258" s="253" t="s">
        <v>214</v>
      </c>
      <c r="C258" s="253" t="s">
        <v>321</v>
      </c>
      <c r="D258" s="253" t="s">
        <v>258</v>
      </c>
      <c r="E258" s="253" t="s">
        <v>127</v>
      </c>
      <c r="F258" s="253" t="s">
        <v>259</v>
      </c>
      <c r="G258" s="253" t="s">
        <v>260</v>
      </c>
      <c r="H258" s="237">
        <v>245.65</v>
      </c>
      <c r="I258" s="126">
        <f t="shared" si="88"/>
        <v>1131762.4500000002</v>
      </c>
      <c r="J258" s="116"/>
      <c r="K258" s="254">
        <v>0</v>
      </c>
      <c r="L258" s="254">
        <v>0</v>
      </c>
      <c r="M258" s="254">
        <v>0</v>
      </c>
      <c r="N258" s="254">
        <v>0</v>
      </c>
      <c r="O258" s="254">
        <v>0</v>
      </c>
      <c r="P258" s="254">
        <v>0</v>
      </c>
      <c r="Q258" s="254">
        <v>0</v>
      </c>
      <c r="R258" s="254">
        <v>0</v>
      </c>
      <c r="S258" s="254">
        <v>0</v>
      </c>
      <c r="T258" s="254">
        <v>0</v>
      </c>
      <c r="U258" s="254">
        <v>0</v>
      </c>
      <c r="V258" s="254">
        <v>0</v>
      </c>
      <c r="W258" s="254">
        <v>0</v>
      </c>
      <c r="X258" s="254">
        <v>0</v>
      </c>
      <c r="Y258" s="254">
        <v>1</v>
      </c>
      <c r="Z258" s="254">
        <v>1</v>
      </c>
      <c r="AA258" s="254">
        <v>0.92105263157894735</v>
      </c>
      <c r="AB258" s="254">
        <v>0.92105263157894735</v>
      </c>
      <c r="AC258" s="254">
        <v>1</v>
      </c>
      <c r="AD258" s="254">
        <v>1</v>
      </c>
      <c r="AE258" s="254">
        <v>1</v>
      </c>
      <c r="AF258" s="254">
        <v>1</v>
      </c>
      <c r="AG258" s="254">
        <v>1</v>
      </c>
      <c r="AH258" s="254">
        <v>1</v>
      </c>
      <c r="AI258" s="254">
        <v>1</v>
      </c>
      <c r="AJ258" s="254">
        <v>1</v>
      </c>
      <c r="AK258" s="254">
        <v>1</v>
      </c>
      <c r="AL258" s="254">
        <v>1</v>
      </c>
      <c r="AM258" s="254">
        <v>0.92105263157894735</v>
      </c>
      <c r="AN258" s="254">
        <v>0.92105263157894735</v>
      </c>
      <c r="AO258" s="254">
        <v>1</v>
      </c>
      <c r="AP258" s="254">
        <v>1</v>
      </c>
      <c r="AQ258" s="254">
        <v>1</v>
      </c>
      <c r="AR258" s="254">
        <v>1</v>
      </c>
      <c r="AS258" s="254">
        <v>1</v>
      </c>
      <c r="AT258" s="254">
        <v>1</v>
      </c>
      <c r="AU258" s="254">
        <v>1</v>
      </c>
      <c r="AV258" s="254">
        <v>1</v>
      </c>
      <c r="AW258" s="254">
        <v>1</v>
      </c>
      <c r="AX258" s="254">
        <v>1</v>
      </c>
      <c r="AY258" s="254">
        <v>0.92105263157894735</v>
      </c>
      <c r="AZ258" s="254">
        <v>0.92105263157894735</v>
      </c>
      <c r="BA258" s="254">
        <v>1</v>
      </c>
      <c r="BB258" s="254">
        <v>1</v>
      </c>
      <c r="BC258" s="254">
        <v>1</v>
      </c>
      <c r="BD258" s="254">
        <v>1</v>
      </c>
      <c r="BE258" s="254">
        <v>1</v>
      </c>
      <c r="BF258" s="254">
        <v>1</v>
      </c>
      <c r="BG258" s="254">
        <v>0</v>
      </c>
      <c r="BH258" s="254">
        <v>0</v>
      </c>
      <c r="BI258" s="254">
        <v>0</v>
      </c>
      <c r="BJ258" s="254">
        <v>0</v>
      </c>
      <c r="BK258" s="254">
        <v>0</v>
      </c>
      <c r="BL258" s="254">
        <v>0</v>
      </c>
      <c r="BM258" s="254">
        <v>0</v>
      </c>
      <c r="BN258" s="254">
        <v>0</v>
      </c>
      <c r="BO258" s="254">
        <v>0</v>
      </c>
      <c r="BP258" s="254">
        <v>0</v>
      </c>
      <c r="BQ258" s="254">
        <v>0</v>
      </c>
      <c r="BR258" s="254">
        <v>0</v>
      </c>
      <c r="BS258" s="254">
        <v>0</v>
      </c>
      <c r="BT258" s="254">
        <v>0</v>
      </c>
      <c r="BU258" s="254">
        <v>0</v>
      </c>
      <c r="BV258" s="254">
        <v>0</v>
      </c>
      <c r="BW258" s="254">
        <v>0</v>
      </c>
      <c r="BX258" s="254">
        <v>0</v>
      </c>
      <c r="BY258" s="254">
        <v>0</v>
      </c>
      <c r="BZ258" s="254">
        <v>0</v>
      </c>
      <c r="CA258" s="254">
        <v>0</v>
      </c>
      <c r="CB258" s="254">
        <v>0</v>
      </c>
      <c r="CC258" s="254">
        <v>0</v>
      </c>
      <c r="CD258" s="254">
        <v>0</v>
      </c>
      <c r="CE258" s="254">
        <v>0</v>
      </c>
      <c r="CF258" s="254">
        <v>0</v>
      </c>
      <c r="CG258" s="254">
        <v>0</v>
      </c>
      <c r="CH258" s="254">
        <v>0</v>
      </c>
      <c r="CI258" s="254">
        <v>0</v>
      </c>
      <c r="CJ258" s="254">
        <v>0</v>
      </c>
      <c r="CK258" s="254">
        <v>0</v>
      </c>
      <c r="CL258" s="254">
        <v>0</v>
      </c>
      <c r="CM258" s="254">
        <v>0</v>
      </c>
      <c r="CN258" s="254">
        <v>0</v>
      </c>
      <c r="CO258" s="254">
        <v>0</v>
      </c>
      <c r="CP258" s="254">
        <v>0</v>
      </c>
      <c r="CQ258" s="116"/>
      <c r="CR258" s="255">
        <v>0</v>
      </c>
      <c r="CS258" s="255">
        <v>0</v>
      </c>
      <c r="CT258" s="255">
        <v>0</v>
      </c>
      <c r="CU258" s="255">
        <v>0</v>
      </c>
      <c r="CV258" s="255">
        <v>0</v>
      </c>
      <c r="CW258" s="255">
        <v>0</v>
      </c>
      <c r="CX258" s="255">
        <v>0</v>
      </c>
      <c r="CY258" s="255">
        <v>0</v>
      </c>
      <c r="CZ258" s="255">
        <v>0</v>
      </c>
      <c r="DA258" s="255">
        <v>0</v>
      </c>
      <c r="DB258" s="255">
        <v>0</v>
      </c>
      <c r="DC258" s="255">
        <v>0</v>
      </c>
      <c r="DD258" s="255">
        <v>0</v>
      </c>
      <c r="DE258" s="255">
        <v>0</v>
      </c>
      <c r="DF258" s="255">
        <v>34391</v>
      </c>
      <c r="DG258" s="255">
        <v>25793.25</v>
      </c>
      <c r="DH258" s="255">
        <v>34391</v>
      </c>
      <c r="DI258" s="255">
        <v>34391</v>
      </c>
      <c r="DJ258" s="255">
        <v>34391</v>
      </c>
      <c r="DK258" s="255">
        <v>34391</v>
      </c>
      <c r="DL258" s="255">
        <v>34391</v>
      </c>
      <c r="DM258" s="255">
        <v>34391</v>
      </c>
      <c r="DN258" s="255">
        <v>34391</v>
      </c>
      <c r="DO258" s="255">
        <v>25793.25</v>
      </c>
      <c r="DP258" s="255">
        <v>25793.25</v>
      </c>
      <c r="DQ258" s="255">
        <v>34391</v>
      </c>
      <c r="DR258" s="255">
        <v>35414.400000000001</v>
      </c>
      <c r="DS258" s="255">
        <v>26560.799999999999</v>
      </c>
      <c r="DT258" s="255">
        <v>35414.400000000001</v>
      </c>
      <c r="DU258" s="255">
        <v>35414.400000000001</v>
      </c>
      <c r="DV258" s="255">
        <v>35414.400000000001</v>
      </c>
      <c r="DW258" s="255">
        <v>35414.400000000001</v>
      </c>
      <c r="DX258" s="255">
        <v>35414.400000000001</v>
      </c>
      <c r="DY258" s="255">
        <v>35414.400000000001</v>
      </c>
      <c r="DZ258" s="255">
        <v>35414.400000000001</v>
      </c>
      <c r="EA258" s="255">
        <v>26560.799999999999</v>
      </c>
      <c r="EB258" s="255">
        <v>26560.799999999999</v>
      </c>
      <c r="EC258" s="255">
        <v>35414.400000000001</v>
      </c>
      <c r="ED258" s="255">
        <v>36468.6</v>
      </c>
      <c r="EE258" s="255">
        <v>27351.45</v>
      </c>
      <c r="EF258" s="255">
        <v>36468.6</v>
      </c>
      <c r="EG258" s="255">
        <v>36468.6</v>
      </c>
      <c r="EH258" s="255">
        <v>36468.6</v>
      </c>
      <c r="EI258" s="255">
        <v>36468.6</v>
      </c>
      <c r="EJ258" s="255">
        <v>36468.6</v>
      </c>
      <c r="EK258" s="255">
        <v>36468.6</v>
      </c>
      <c r="EL258" s="255">
        <v>36468.6</v>
      </c>
      <c r="EM258" s="255">
        <v>27351.449999999997</v>
      </c>
      <c r="EN258" s="255">
        <v>0</v>
      </c>
      <c r="EO258" s="255">
        <v>0</v>
      </c>
      <c r="EP258" s="255">
        <v>0</v>
      </c>
      <c r="EQ258" s="255">
        <v>0</v>
      </c>
      <c r="ER258" s="255">
        <v>0</v>
      </c>
      <c r="ES258" s="255">
        <v>0</v>
      </c>
      <c r="ET258" s="255">
        <v>0</v>
      </c>
      <c r="EU258" s="255">
        <v>0</v>
      </c>
      <c r="EV258" s="255">
        <v>0</v>
      </c>
      <c r="EW258" s="255">
        <v>0</v>
      </c>
      <c r="EX258" s="255">
        <v>0</v>
      </c>
      <c r="EY258" s="255">
        <v>0</v>
      </c>
      <c r="EZ258" s="255">
        <v>0</v>
      </c>
      <c r="FA258" s="255">
        <v>0</v>
      </c>
      <c r="FB258" s="255">
        <v>0</v>
      </c>
      <c r="FC258" s="255">
        <v>0</v>
      </c>
      <c r="FD258" s="255">
        <v>0</v>
      </c>
      <c r="FE258" s="255">
        <v>0</v>
      </c>
      <c r="FF258" s="255">
        <v>0</v>
      </c>
      <c r="FG258" s="255">
        <v>0</v>
      </c>
      <c r="FH258" s="255">
        <v>0</v>
      </c>
      <c r="FI258" s="255">
        <v>0</v>
      </c>
      <c r="FJ258" s="255">
        <v>0</v>
      </c>
      <c r="FK258" s="255">
        <v>0</v>
      </c>
      <c r="FL258" s="255">
        <v>0</v>
      </c>
      <c r="FM258" s="255">
        <v>0</v>
      </c>
      <c r="FN258" s="255">
        <v>0</v>
      </c>
      <c r="FO258" s="255">
        <v>0</v>
      </c>
      <c r="FP258" s="255">
        <v>0</v>
      </c>
      <c r="FQ258" s="255">
        <v>0</v>
      </c>
      <c r="FR258" s="255">
        <v>0</v>
      </c>
      <c r="FS258" s="255">
        <v>0</v>
      </c>
      <c r="FT258" s="255">
        <v>0</v>
      </c>
      <c r="FU258" s="255">
        <v>0</v>
      </c>
      <c r="FV258" s="255">
        <v>0</v>
      </c>
      <c r="FW258" s="255">
        <v>0</v>
      </c>
      <c r="FX258" s="116"/>
    </row>
    <row r="259" spans="2:180" x14ac:dyDescent="0.2">
      <c r="B259" s="253" t="s">
        <v>214</v>
      </c>
      <c r="C259" s="253" t="s">
        <v>321</v>
      </c>
      <c r="D259" s="253" t="s">
        <v>258</v>
      </c>
      <c r="E259" s="253" t="s">
        <v>127</v>
      </c>
      <c r="F259" s="253">
        <v>0</v>
      </c>
      <c r="G259" s="253" t="s">
        <v>322</v>
      </c>
      <c r="H259" s="237">
        <v>245.65</v>
      </c>
      <c r="I259" s="126">
        <f t="shared" si="88"/>
        <v>1303853.3999999997</v>
      </c>
      <c r="J259" s="116"/>
      <c r="K259" s="254">
        <v>0</v>
      </c>
      <c r="L259" s="254">
        <v>0</v>
      </c>
      <c r="M259" s="254">
        <v>0</v>
      </c>
      <c r="N259" s="254">
        <v>0</v>
      </c>
      <c r="O259" s="254">
        <v>0</v>
      </c>
      <c r="P259" s="254">
        <v>0</v>
      </c>
      <c r="Q259" s="254">
        <v>0</v>
      </c>
      <c r="R259" s="254">
        <v>0</v>
      </c>
      <c r="S259" s="254">
        <v>0</v>
      </c>
      <c r="T259" s="254">
        <v>0</v>
      </c>
      <c r="U259" s="254">
        <v>0</v>
      </c>
      <c r="V259" s="254">
        <v>0</v>
      </c>
      <c r="W259" s="254">
        <v>0</v>
      </c>
      <c r="X259" s="254">
        <v>0</v>
      </c>
      <c r="Y259" s="254">
        <v>0.5714285714285714</v>
      </c>
      <c r="Z259" s="254">
        <v>0.5714285714285714</v>
      </c>
      <c r="AA259" s="254">
        <v>0.52631578947368418</v>
      </c>
      <c r="AB259" s="254">
        <v>0.52631578947368418</v>
      </c>
      <c r="AC259" s="254">
        <v>0.5714285714285714</v>
      </c>
      <c r="AD259" s="254">
        <v>0.5714285714285714</v>
      </c>
      <c r="AE259" s="254">
        <v>0.5714285714285714</v>
      </c>
      <c r="AF259" s="254">
        <v>0.5714285714285714</v>
      </c>
      <c r="AG259" s="254">
        <v>0.5714285714285714</v>
      </c>
      <c r="AH259" s="254">
        <v>0.5714285714285714</v>
      </c>
      <c r="AI259" s="254">
        <v>0.5714285714285714</v>
      </c>
      <c r="AJ259" s="254">
        <v>0.5714285714285714</v>
      </c>
      <c r="AK259" s="254">
        <v>0.5714285714285714</v>
      </c>
      <c r="AL259" s="254">
        <v>0.5714285714285714</v>
      </c>
      <c r="AM259" s="254">
        <v>0.52631578947368418</v>
      </c>
      <c r="AN259" s="254">
        <v>0.52631578947368418</v>
      </c>
      <c r="AO259" s="254">
        <v>0.5714285714285714</v>
      </c>
      <c r="AP259" s="254">
        <v>0.5714285714285714</v>
      </c>
      <c r="AQ259" s="254">
        <v>0.5714285714285714</v>
      </c>
      <c r="AR259" s="254">
        <v>0.5714285714285714</v>
      </c>
      <c r="AS259" s="254">
        <v>0.5714285714285714</v>
      </c>
      <c r="AT259" s="254">
        <v>0.5714285714285714</v>
      </c>
      <c r="AU259" s="254">
        <v>0.5714285714285714</v>
      </c>
      <c r="AV259" s="254">
        <v>0.5714285714285714</v>
      </c>
      <c r="AW259" s="254">
        <v>0.5714285714285714</v>
      </c>
      <c r="AX259" s="254">
        <v>0.5714285714285714</v>
      </c>
      <c r="AY259" s="254">
        <v>0.52631578947368418</v>
      </c>
      <c r="AZ259" s="254">
        <v>0.52631578947368418</v>
      </c>
      <c r="BA259" s="254">
        <v>0.5714285714285714</v>
      </c>
      <c r="BB259" s="254">
        <v>0.5714285714285714</v>
      </c>
      <c r="BC259" s="254">
        <v>0.5714285714285714</v>
      </c>
      <c r="BD259" s="254">
        <v>0.5714285714285714</v>
      </c>
      <c r="BE259" s="254">
        <v>0.5714285714285714</v>
      </c>
      <c r="BF259" s="254">
        <v>0.76190476190476186</v>
      </c>
      <c r="BG259" s="254">
        <v>0</v>
      </c>
      <c r="BH259" s="254">
        <v>0</v>
      </c>
      <c r="BI259" s="254">
        <v>0</v>
      </c>
      <c r="BJ259" s="254">
        <v>0</v>
      </c>
      <c r="BK259" s="254">
        <v>0</v>
      </c>
      <c r="BL259" s="254">
        <v>0</v>
      </c>
      <c r="BM259" s="254">
        <v>0</v>
      </c>
      <c r="BN259" s="254">
        <v>0</v>
      </c>
      <c r="BO259" s="254">
        <v>0</v>
      </c>
      <c r="BP259" s="254">
        <v>0</v>
      </c>
      <c r="BQ259" s="254">
        <v>0</v>
      </c>
      <c r="BR259" s="254">
        <v>0</v>
      </c>
      <c r="BS259" s="254">
        <v>0</v>
      </c>
      <c r="BT259" s="254">
        <v>0</v>
      </c>
      <c r="BU259" s="254">
        <v>0</v>
      </c>
      <c r="BV259" s="254">
        <v>0</v>
      </c>
      <c r="BW259" s="254">
        <v>0</v>
      </c>
      <c r="BX259" s="254">
        <v>0</v>
      </c>
      <c r="BY259" s="254">
        <v>0</v>
      </c>
      <c r="BZ259" s="254">
        <v>0</v>
      </c>
      <c r="CA259" s="254">
        <v>0</v>
      </c>
      <c r="CB259" s="254">
        <v>0</v>
      </c>
      <c r="CC259" s="254">
        <v>0</v>
      </c>
      <c r="CD259" s="254">
        <v>0</v>
      </c>
      <c r="CE259" s="254">
        <v>0</v>
      </c>
      <c r="CF259" s="254">
        <v>0</v>
      </c>
      <c r="CG259" s="254">
        <v>0</v>
      </c>
      <c r="CH259" s="254">
        <v>0</v>
      </c>
      <c r="CI259" s="254">
        <v>0</v>
      </c>
      <c r="CJ259" s="254">
        <v>0</v>
      </c>
      <c r="CK259" s="254">
        <v>0</v>
      </c>
      <c r="CL259" s="254">
        <v>0</v>
      </c>
      <c r="CM259" s="254">
        <v>0</v>
      </c>
      <c r="CN259" s="254">
        <v>0</v>
      </c>
      <c r="CO259" s="254">
        <v>0</v>
      </c>
      <c r="CP259" s="254">
        <v>0</v>
      </c>
      <c r="CQ259" s="116"/>
      <c r="CR259" s="255">
        <v>0</v>
      </c>
      <c r="CS259" s="255">
        <v>0</v>
      </c>
      <c r="CT259" s="255">
        <v>0</v>
      </c>
      <c r="CU259" s="255">
        <v>0</v>
      </c>
      <c r="CV259" s="255">
        <v>0</v>
      </c>
      <c r="CW259" s="255">
        <v>0</v>
      </c>
      <c r="CX259" s="255">
        <v>0</v>
      </c>
      <c r="CY259" s="255">
        <v>0</v>
      </c>
      <c r="CZ259" s="255">
        <v>0</v>
      </c>
      <c r="DA259" s="255">
        <v>0</v>
      </c>
      <c r="DB259" s="255">
        <v>0</v>
      </c>
      <c r="DC259" s="255">
        <v>0</v>
      </c>
      <c r="DD259" s="255">
        <v>0</v>
      </c>
      <c r="DE259" s="255">
        <v>0</v>
      </c>
      <c r="DF259" s="255">
        <v>39304</v>
      </c>
      <c r="DG259" s="255">
        <v>29478</v>
      </c>
      <c r="DH259" s="255">
        <v>39304</v>
      </c>
      <c r="DI259" s="255">
        <v>39304</v>
      </c>
      <c r="DJ259" s="255">
        <v>39304</v>
      </c>
      <c r="DK259" s="255">
        <v>39304</v>
      </c>
      <c r="DL259" s="255">
        <v>39304</v>
      </c>
      <c r="DM259" s="255">
        <v>39304</v>
      </c>
      <c r="DN259" s="255">
        <v>39304</v>
      </c>
      <c r="DO259" s="255">
        <v>29478</v>
      </c>
      <c r="DP259" s="255">
        <v>29478</v>
      </c>
      <c r="DQ259" s="255">
        <v>39304</v>
      </c>
      <c r="DR259" s="255">
        <v>40472.800000000003</v>
      </c>
      <c r="DS259" s="255">
        <v>30354.600000000002</v>
      </c>
      <c r="DT259" s="255">
        <v>40472.800000000003</v>
      </c>
      <c r="DU259" s="255">
        <v>40472.800000000003</v>
      </c>
      <c r="DV259" s="255">
        <v>40472.800000000003</v>
      </c>
      <c r="DW259" s="255">
        <v>40472.800000000003</v>
      </c>
      <c r="DX259" s="255">
        <v>40472.800000000003</v>
      </c>
      <c r="DY259" s="255">
        <v>40472.800000000003</v>
      </c>
      <c r="DZ259" s="255">
        <v>40472.800000000003</v>
      </c>
      <c r="EA259" s="255">
        <v>30354.600000000002</v>
      </c>
      <c r="EB259" s="255">
        <v>30354.600000000002</v>
      </c>
      <c r="EC259" s="255">
        <v>40472.800000000003</v>
      </c>
      <c r="ED259" s="255">
        <v>41678.400000000001</v>
      </c>
      <c r="EE259" s="255">
        <v>31258.800000000003</v>
      </c>
      <c r="EF259" s="255">
        <v>41678.400000000001</v>
      </c>
      <c r="EG259" s="255">
        <v>41678.400000000001</v>
      </c>
      <c r="EH259" s="255">
        <v>41678.400000000001</v>
      </c>
      <c r="EI259" s="255">
        <v>41678.400000000001</v>
      </c>
      <c r="EJ259" s="255">
        <v>41678.400000000001</v>
      </c>
      <c r="EK259" s="255">
        <v>41678.400000000001</v>
      </c>
      <c r="EL259" s="255">
        <v>41678.400000000001</v>
      </c>
      <c r="EM259" s="255">
        <v>41678.400000000001</v>
      </c>
      <c r="EN259" s="255">
        <v>0</v>
      </c>
      <c r="EO259" s="255">
        <v>0</v>
      </c>
      <c r="EP259" s="255">
        <v>0</v>
      </c>
      <c r="EQ259" s="255">
        <v>0</v>
      </c>
      <c r="ER259" s="255">
        <v>0</v>
      </c>
      <c r="ES259" s="255">
        <v>0</v>
      </c>
      <c r="ET259" s="255">
        <v>0</v>
      </c>
      <c r="EU259" s="255">
        <v>0</v>
      </c>
      <c r="EV259" s="255">
        <v>0</v>
      </c>
      <c r="EW259" s="255">
        <v>0</v>
      </c>
      <c r="EX259" s="255">
        <v>0</v>
      </c>
      <c r="EY259" s="255">
        <v>0</v>
      </c>
      <c r="EZ259" s="255">
        <v>0</v>
      </c>
      <c r="FA259" s="255">
        <v>0</v>
      </c>
      <c r="FB259" s="255">
        <v>0</v>
      </c>
      <c r="FC259" s="255">
        <v>0</v>
      </c>
      <c r="FD259" s="255">
        <v>0</v>
      </c>
      <c r="FE259" s="255">
        <v>0</v>
      </c>
      <c r="FF259" s="255">
        <v>0</v>
      </c>
      <c r="FG259" s="255">
        <v>0</v>
      </c>
      <c r="FH259" s="255">
        <v>0</v>
      </c>
      <c r="FI259" s="255">
        <v>0</v>
      </c>
      <c r="FJ259" s="255">
        <v>0</v>
      </c>
      <c r="FK259" s="255">
        <v>0</v>
      </c>
      <c r="FL259" s="255">
        <v>0</v>
      </c>
      <c r="FM259" s="255">
        <v>0</v>
      </c>
      <c r="FN259" s="255">
        <v>0</v>
      </c>
      <c r="FO259" s="255">
        <v>0</v>
      </c>
      <c r="FP259" s="255">
        <v>0</v>
      </c>
      <c r="FQ259" s="255">
        <v>0</v>
      </c>
      <c r="FR259" s="255">
        <v>0</v>
      </c>
      <c r="FS259" s="255">
        <v>0</v>
      </c>
      <c r="FT259" s="255">
        <v>0</v>
      </c>
      <c r="FU259" s="255">
        <v>0</v>
      </c>
      <c r="FV259" s="255">
        <v>0</v>
      </c>
      <c r="FW259" s="255">
        <v>0</v>
      </c>
      <c r="FX259" s="116"/>
    </row>
    <row r="260" spans="2:180" x14ac:dyDescent="0.2">
      <c r="B260" s="253" t="s">
        <v>214</v>
      </c>
      <c r="C260" s="253" t="s">
        <v>323</v>
      </c>
      <c r="D260" s="253" t="s">
        <v>258</v>
      </c>
      <c r="E260" s="253" t="s">
        <v>127</v>
      </c>
      <c r="F260" s="253" t="s">
        <v>259</v>
      </c>
      <c r="G260" s="253" t="s">
        <v>260</v>
      </c>
      <c r="H260" s="237">
        <v>214.83</v>
      </c>
      <c r="I260" s="126">
        <f t="shared" si="88"/>
        <v>846449.88999999978</v>
      </c>
      <c r="J260" s="116"/>
      <c r="K260" s="254">
        <v>0</v>
      </c>
      <c r="L260" s="254">
        <v>0</v>
      </c>
      <c r="M260" s="254">
        <v>0</v>
      </c>
      <c r="N260" s="254">
        <v>0</v>
      </c>
      <c r="O260" s="254">
        <v>0</v>
      </c>
      <c r="P260" s="254">
        <v>0</v>
      </c>
      <c r="Q260" s="254">
        <v>0</v>
      </c>
      <c r="R260" s="254">
        <v>0</v>
      </c>
      <c r="S260" s="254">
        <v>0</v>
      </c>
      <c r="T260" s="254">
        <v>0</v>
      </c>
      <c r="U260" s="254">
        <v>0</v>
      </c>
      <c r="V260" s="254">
        <v>0</v>
      </c>
      <c r="W260" s="254">
        <v>0</v>
      </c>
      <c r="X260" s="254">
        <v>0</v>
      </c>
      <c r="Y260" s="254">
        <v>0</v>
      </c>
      <c r="Z260" s="254">
        <v>0</v>
      </c>
      <c r="AA260" s="254">
        <v>0</v>
      </c>
      <c r="AB260" s="254">
        <v>0</v>
      </c>
      <c r="AC260" s="254">
        <v>0</v>
      </c>
      <c r="AD260" s="254">
        <v>0</v>
      </c>
      <c r="AE260" s="254">
        <v>0</v>
      </c>
      <c r="AF260" s="254">
        <v>0</v>
      </c>
      <c r="AG260" s="254">
        <v>0</v>
      </c>
      <c r="AH260" s="254">
        <v>0.8</v>
      </c>
      <c r="AI260" s="254">
        <v>1.5333333333333334</v>
      </c>
      <c r="AJ260" s="254">
        <v>0.8</v>
      </c>
      <c r="AK260" s="254">
        <v>0.8</v>
      </c>
      <c r="AL260" s="254">
        <v>1.2666666666666666</v>
      </c>
      <c r="AM260" s="254">
        <v>0.82894736842105265</v>
      </c>
      <c r="AN260" s="254">
        <v>0.78289473684210531</v>
      </c>
      <c r="AO260" s="254">
        <v>0.9</v>
      </c>
      <c r="AP260" s="254">
        <v>0.85</v>
      </c>
      <c r="AQ260" s="254">
        <v>0.9</v>
      </c>
      <c r="AR260" s="254">
        <v>0.9</v>
      </c>
      <c r="AS260" s="254">
        <v>0.85</v>
      </c>
      <c r="AT260" s="254">
        <v>1.0666666666666667</v>
      </c>
      <c r="AU260" s="254">
        <v>1.2666666666666666</v>
      </c>
      <c r="AV260" s="254">
        <v>0.8</v>
      </c>
      <c r="AW260" s="254">
        <v>0.95</v>
      </c>
      <c r="AX260" s="254">
        <v>1.0666666666666667</v>
      </c>
      <c r="AY260" s="254">
        <v>0.875</v>
      </c>
      <c r="AZ260" s="254">
        <v>0.875</v>
      </c>
      <c r="BA260" s="254">
        <v>0.8</v>
      </c>
      <c r="BB260" s="254">
        <v>0.9</v>
      </c>
      <c r="BC260" s="254">
        <v>0.85</v>
      </c>
      <c r="BD260" s="254">
        <v>0.9</v>
      </c>
      <c r="BE260" s="254">
        <v>0.9</v>
      </c>
      <c r="BF260" s="254">
        <v>0.93333333333333335</v>
      </c>
      <c r="BG260" s="254">
        <v>7.0476190476190474</v>
      </c>
      <c r="BH260" s="254">
        <v>0</v>
      </c>
      <c r="BI260" s="254">
        <v>0</v>
      </c>
      <c r="BJ260" s="254">
        <v>0</v>
      </c>
      <c r="BK260" s="254">
        <v>0</v>
      </c>
      <c r="BL260" s="254">
        <v>0</v>
      </c>
      <c r="BM260" s="254">
        <v>0</v>
      </c>
      <c r="BN260" s="254">
        <v>0</v>
      </c>
      <c r="BO260" s="254">
        <v>0</v>
      </c>
      <c r="BP260" s="254">
        <v>0</v>
      </c>
      <c r="BQ260" s="254">
        <v>0</v>
      </c>
      <c r="BR260" s="254">
        <v>0</v>
      </c>
      <c r="BS260" s="254">
        <v>0</v>
      </c>
      <c r="BT260" s="254">
        <v>0</v>
      </c>
      <c r="BU260" s="254">
        <v>0</v>
      </c>
      <c r="BV260" s="254">
        <v>0</v>
      </c>
      <c r="BW260" s="254">
        <v>0</v>
      </c>
      <c r="BX260" s="254">
        <v>0</v>
      </c>
      <c r="BY260" s="254">
        <v>0</v>
      </c>
      <c r="BZ260" s="254">
        <v>0</v>
      </c>
      <c r="CA260" s="254">
        <v>0</v>
      </c>
      <c r="CB260" s="254">
        <v>0</v>
      </c>
      <c r="CC260" s="254">
        <v>0</v>
      </c>
      <c r="CD260" s="254">
        <v>0</v>
      </c>
      <c r="CE260" s="254">
        <v>0</v>
      </c>
      <c r="CF260" s="254">
        <v>0</v>
      </c>
      <c r="CG260" s="254">
        <v>0</v>
      </c>
      <c r="CH260" s="254">
        <v>0</v>
      </c>
      <c r="CI260" s="254">
        <v>0</v>
      </c>
      <c r="CJ260" s="254">
        <v>0</v>
      </c>
      <c r="CK260" s="254">
        <v>0</v>
      </c>
      <c r="CL260" s="254">
        <v>0</v>
      </c>
      <c r="CM260" s="254">
        <v>0</v>
      </c>
      <c r="CN260" s="254">
        <v>0</v>
      </c>
      <c r="CO260" s="254">
        <v>0</v>
      </c>
      <c r="CP260" s="254">
        <v>0</v>
      </c>
      <c r="CQ260" s="116"/>
      <c r="CR260" s="255">
        <v>0</v>
      </c>
      <c r="CS260" s="255">
        <v>0</v>
      </c>
      <c r="CT260" s="255">
        <v>0</v>
      </c>
      <c r="CU260" s="255">
        <v>0</v>
      </c>
      <c r="CV260" s="255">
        <v>0</v>
      </c>
      <c r="CW260" s="255">
        <v>0</v>
      </c>
      <c r="CX260" s="255">
        <v>0</v>
      </c>
      <c r="CY260" s="255">
        <v>0</v>
      </c>
      <c r="CZ260" s="255">
        <v>0</v>
      </c>
      <c r="DA260" s="255">
        <v>0</v>
      </c>
      <c r="DB260" s="255">
        <v>0</v>
      </c>
      <c r="DC260" s="255">
        <v>0</v>
      </c>
      <c r="DD260" s="255">
        <v>0</v>
      </c>
      <c r="DE260" s="255">
        <v>0</v>
      </c>
      <c r="DF260" s="255">
        <v>0</v>
      </c>
      <c r="DG260" s="255">
        <v>0</v>
      </c>
      <c r="DH260" s="255">
        <v>0</v>
      </c>
      <c r="DI260" s="255">
        <v>0</v>
      </c>
      <c r="DJ260" s="255">
        <v>0</v>
      </c>
      <c r="DK260" s="255">
        <v>0</v>
      </c>
      <c r="DL260" s="255">
        <v>0</v>
      </c>
      <c r="DM260" s="255">
        <v>0</v>
      </c>
      <c r="DN260" s="255">
        <v>0</v>
      </c>
      <c r="DO260" s="255">
        <v>18045.72</v>
      </c>
      <c r="DP260" s="255">
        <v>34587.630000000005</v>
      </c>
      <c r="DQ260" s="255">
        <v>24060.960000000003</v>
      </c>
      <c r="DR260" s="255">
        <v>24776.639999999999</v>
      </c>
      <c r="DS260" s="255">
        <v>29422.26</v>
      </c>
      <c r="DT260" s="255">
        <v>27873.72</v>
      </c>
      <c r="DU260" s="255">
        <v>26325.18</v>
      </c>
      <c r="DV260" s="255">
        <v>27873.72</v>
      </c>
      <c r="DW260" s="255">
        <v>26325.18</v>
      </c>
      <c r="DX260" s="255">
        <v>27873.72</v>
      </c>
      <c r="DY260" s="255">
        <v>27873.72</v>
      </c>
      <c r="DZ260" s="255">
        <v>26325.18</v>
      </c>
      <c r="EA260" s="255">
        <v>24776.639999999999</v>
      </c>
      <c r="EB260" s="255">
        <v>29422.26</v>
      </c>
      <c r="EC260" s="255">
        <v>24776.639999999999</v>
      </c>
      <c r="ED260" s="255">
        <v>30302.720000000001</v>
      </c>
      <c r="EE260" s="255">
        <v>25518.080000000002</v>
      </c>
      <c r="EF260" s="255">
        <v>30302.720000000001</v>
      </c>
      <c r="EG260" s="255">
        <v>30302.720000000001</v>
      </c>
      <c r="EH260" s="255">
        <v>25518.080000000002</v>
      </c>
      <c r="EI260" s="255">
        <v>28707.84</v>
      </c>
      <c r="EJ260" s="255">
        <v>27112.959999999999</v>
      </c>
      <c r="EK260" s="255">
        <v>28707.84</v>
      </c>
      <c r="EL260" s="255">
        <v>28707.84</v>
      </c>
      <c r="EM260" s="255">
        <v>22328.32</v>
      </c>
      <c r="EN260" s="255">
        <v>168601.60000000001</v>
      </c>
      <c r="EO260" s="255">
        <v>0</v>
      </c>
      <c r="EP260" s="255">
        <v>0</v>
      </c>
      <c r="EQ260" s="255">
        <v>0</v>
      </c>
      <c r="ER260" s="255">
        <v>0</v>
      </c>
      <c r="ES260" s="255">
        <v>0</v>
      </c>
      <c r="ET260" s="255">
        <v>0</v>
      </c>
      <c r="EU260" s="255">
        <v>0</v>
      </c>
      <c r="EV260" s="255">
        <v>0</v>
      </c>
      <c r="EW260" s="255">
        <v>0</v>
      </c>
      <c r="EX260" s="255">
        <v>0</v>
      </c>
      <c r="EY260" s="255">
        <v>0</v>
      </c>
      <c r="EZ260" s="255">
        <v>0</v>
      </c>
      <c r="FA260" s="255">
        <v>0</v>
      </c>
      <c r="FB260" s="255">
        <v>0</v>
      </c>
      <c r="FC260" s="255">
        <v>0</v>
      </c>
      <c r="FD260" s="255">
        <v>0</v>
      </c>
      <c r="FE260" s="255">
        <v>0</v>
      </c>
      <c r="FF260" s="255">
        <v>0</v>
      </c>
      <c r="FG260" s="255">
        <v>0</v>
      </c>
      <c r="FH260" s="255">
        <v>0</v>
      </c>
      <c r="FI260" s="255">
        <v>0</v>
      </c>
      <c r="FJ260" s="255">
        <v>0</v>
      </c>
      <c r="FK260" s="255">
        <v>0</v>
      </c>
      <c r="FL260" s="255">
        <v>0</v>
      </c>
      <c r="FM260" s="255">
        <v>0</v>
      </c>
      <c r="FN260" s="255">
        <v>0</v>
      </c>
      <c r="FO260" s="255">
        <v>0</v>
      </c>
      <c r="FP260" s="255">
        <v>0</v>
      </c>
      <c r="FQ260" s="255">
        <v>0</v>
      </c>
      <c r="FR260" s="255">
        <v>0</v>
      </c>
      <c r="FS260" s="255">
        <v>0</v>
      </c>
      <c r="FT260" s="255">
        <v>0</v>
      </c>
      <c r="FU260" s="255">
        <v>0</v>
      </c>
      <c r="FV260" s="255">
        <v>0</v>
      </c>
      <c r="FW260" s="255">
        <v>0</v>
      </c>
      <c r="FX260" s="116"/>
    </row>
    <row r="261" spans="2:180" x14ac:dyDescent="0.2">
      <c r="B261" s="253" t="s">
        <v>214</v>
      </c>
      <c r="C261" s="253" t="s">
        <v>323</v>
      </c>
      <c r="D261" s="253" t="s">
        <v>258</v>
      </c>
      <c r="E261" s="253" t="s">
        <v>127</v>
      </c>
      <c r="F261" s="253">
        <v>0</v>
      </c>
      <c r="G261" s="253" t="s">
        <v>322</v>
      </c>
      <c r="H261" s="237">
        <v>214.83</v>
      </c>
      <c r="I261" s="126">
        <f t="shared" si="88"/>
        <v>1169900.3099999998</v>
      </c>
      <c r="J261" s="116"/>
      <c r="K261" s="254">
        <v>0</v>
      </c>
      <c r="L261" s="254">
        <v>0</v>
      </c>
      <c r="M261" s="254">
        <v>0</v>
      </c>
      <c r="N261" s="254">
        <v>0</v>
      </c>
      <c r="O261" s="254">
        <v>0</v>
      </c>
      <c r="P261" s="254">
        <v>0</v>
      </c>
      <c r="Q261" s="254">
        <v>0</v>
      </c>
      <c r="R261" s="254">
        <v>0</v>
      </c>
      <c r="S261" s="254">
        <v>0</v>
      </c>
      <c r="T261" s="254">
        <v>0</v>
      </c>
      <c r="U261" s="254">
        <v>0</v>
      </c>
      <c r="V261" s="254">
        <v>0</v>
      </c>
      <c r="W261" s="254">
        <v>0</v>
      </c>
      <c r="X261" s="254">
        <v>0</v>
      </c>
      <c r="Y261" s="254">
        <v>0</v>
      </c>
      <c r="Z261" s="254">
        <v>0</v>
      </c>
      <c r="AA261" s="254">
        <v>0</v>
      </c>
      <c r="AB261" s="254">
        <v>0</v>
      </c>
      <c r="AC261" s="254">
        <v>0</v>
      </c>
      <c r="AD261" s="254">
        <v>0</v>
      </c>
      <c r="AE261" s="254">
        <v>0</v>
      </c>
      <c r="AF261" s="254">
        <v>0</v>
      </c>
      <c r="AG261" s="254">
        <v>0</v>
      </c>
      <c r="AH261" s="254">
        <v>0.8</v>
      </c>
      <c r="AI261" s="254">
        <v>1.3428571428571427</v>
      </c>
      <c r="AJ261" s="254">
        <v>0.68571428571428572</v>
      </c>
      <c r="AK261" s="254">
        <v>0.68571428571428572</v>
      </c>
      <c r="AL261" s="254">
        <v>1</v>
      </c>
      <c r="AM261" s="254">
        <v>0.75</v>
      </c>
      <c r="AN261" s="254">
        <v>0.73026315789473684</v>
      </c>
      <c r="AO261" s="254">
        <v>0.72857142857142854</v>
      </c>
      <c r="AP261" s="254">
        <v>0.70714285714285718</v>
      </c>
      <c r="AQ261" s="254">
        <v>0.72857142857142854</v>
      </c>
      <c r="AR261" s="254">
        <v>0.72857142857142854</v>
      </c>
      <c r="AS261" s="254">
        <v>0.87857142857142856</v>
      </c>
      <c r="AT261" s="254">
        <v>0.68571428571428572</v>
      </c>
      <c r="AU261" s="254">
        <v>1.2285714285714286</v>
      </c>
      <c r="AV261" s="254">
        <v>0.68571428571428572</v>
      </c>
      <c r="AW261" s="254">
        <v>0.75</v>
      </c>
      <c r="AX261" s="254">
        <v>0.91428571428571426</v>
      </c>
      <c r="AY261" s="254">
        <v>0.84868421052631582</v>
      </c>
      <c r="AZ261" s="254">
        <v>0.84868421052631582</v>
      </c>
      <c r="BA261" s="254">
        <v>0.68571428571428572</v>
      </c>
      <c r="BB261" s="254">
        <v>0.72857142857142854</v>
      </c>
      <c r="BC261" s="254">
        <v>0.70714285714285718</v>
      </c>
      <c r="BD261" s="254">
        <v>0.72857142857142854</v>
      </c>
      <c r="BE261" s="254">
        <v>0.9</v>
      </c>
      <c r="BF261" s="254">
        <v>0.62857142857142856</v>
      </c>
      <c r="BG261" s="254">
        <v>0</v>
      </c>
      <c r="BH261" s="254">
        <v>0</v>
      </c>
      <c r="BI261" s="254">
        <v>0</v>
      </c>
      <c r="BJ261" s="254">
        <v>0</v>
      </c>
      <c r="BK261" s="254">
        <v>0</v>
      </c>
      <c r="BL261" s="254">
        <v>0</v>
      </c>
      <c r="BM261" s="254">
        <v>0</v>
      </c>
      <c r="BN261" s="254">
        <v>0</v>
      </c>
      <c r="BO261" s="254">
        <v>0</v>
      </c>
      <c r="BP261" s="254">
        <v>0</v>
      </c>
      <c r="BQ261" s="254">
        <v>0</v>
      </c>
      <c r="BR261" s="254">
        <v>0</v>
      </c>
      <c r="BS261" s="254">
        <v>0</v>
      </c>
      <c r="BT261" s="254">
        <v>0</v>
      </c>
      <c r="BU261" s="254">
        <v>0</v>
      </c>
      <c r="BV261" s="254">
        <v>0</v>
      </c>
      <c r="BW261" s="254">
        <v>0</v>
      </c>
      <c r="BX261" s="254">
        <v>0</v>
      </c>
      <c r="BY261" s="254">
        <v>0</v>
      </c>
      <c r="BZ261" s="254">
        <v>0</v>
      </c>
      <c r="CA261" s="254">
        <v>0</v>
      </c>
      <c r="CB261" s="254">
        <v>0</v>
      </c>
      <c r="CC261" s="254">
        <v>0</v>
      </c>
      <c r="CD261" s="254">
        <v>0</v>
      </c>
      <c r="CE261" s="254">
        <v>0</v>
      </c>
      <c r="CF261" s="254">
        <v>0</v>
      </c>
      <c r="CG261" s="254">
        <v>0</v>
      </c>
      <c r="CH261" s="254">
        <v>0</v>
      </c>
      <c r="CI261" s="254">
        <v>0</v>
      </c>
      <c r="CJ261" s="254">
        <v>0</v>
      </c>
      <c r="CK261" s="254">
        <v>0</v>
      </c>
      <c r="CL261" s="254">
        <v>0</v>
      </c>
      <c r="CM261" s="254">
        <v>0</v>
      </c>
      <c r="CN261" s="254">
        <v>0</v>
      </c>
      <c r="CO261" s="254">
        <v>0</v>
      </c>
      <c r="CP261" s="254">
        <v>0</v>
      </c>
      <c r="CQ261" s="116"/>
      <c r="CR261" s="255">
        <v>0</v>
      </c>
      <c r="CS261" s="255">
        <v>0</v>
      </c>
      <c r="CT261" s="255">
        <v>0</v>
      </c>
      <c r="CU261" s="255">
        <v>0</v>
      </c>
      <c r="CV261" s="255">
        <v>0</v>
      </c>
      <c r="CW261" s="255">
        <v>0</v>
      </c>
      <c r="CX261" s="255">
        <v>0</v>
      </c>
      <c r="CY261" s="255">
        <v>0</v>
      </c>
      <c r="CZ261" s="255">
        <v>0</v>
      </c>
      <c r="DA261" s="255">
        <v>0</v>
      </c>
      <c r="DB261" s="255">
        <v>0</v>
      </c>
      <c r="DC261" s="255">
        <v>0</v>
      </c>
      <c r="DD261" s="255">
        <v>0</v>
      </c>
      <c r="DE261" s="255">
        <v>0</v>
      </c>
      <c r="DF261" s="255">
        <v>0</v>
      </c>
      <c r="DG261" s="255">
        <v>0</v>
      </c>
      <c r="DH261" s="255">
        <v>0</v>
      </c>
      <c r="DI261" s="255">
        <v>0</v>
      </c>
      <c r="DJ261" s="255">
        <v>0</v>
      </c>
      <c r="DK261" s="255">
        <v>0</v>
      </c>
      <c r="DL261" s="255">
        <v>0</v>
      </c>
      <c r="DM261" s="255">
        <v>0</v>
      </c>
      <c r="DN261" s="255">
        <v>0</v>
      </c>
      <c r="DO261" s="255">
        <v>36091.440000000002</v>
      </c>
      <c r="DP261" s="255">
        <v>60582.060000000005</v>
      </c>
      <c r="DQ261" s="255">
        <v>41247.360000000001</v>
      </c>
      <c r="DR261" s="255">
        <v>42475.199999999997</v>
      </c>
      <c r="DS261" s="255">
        <v>46457.25</v>
      </c>
      <c r="DT261" s="255">
        <v>50439.299999999996</v>
      </c>
      <c r="DU261" s="255">
        <v>49111.95</v>
      </c>
      <c r="DV261" s="255">
        <v>45129.9</v>
      </c>
      <c r="DW261" s="255">
        <v>43802.549999999996</v>
      </c>
      <c r="DX261" s="255">
        <v>45129.9</v>
      </c>
      <c r="DY261" s="255">
        <v>45129.9</v>
      </c>
      <c r="DZ261" s="255">
        <v>54421.35</v>
      </c>
      <c r="EA261" s="255">
        <v>31856.399999999998</v>
      </c>
      <c r="EB261" s="255">
        <v>57076.049999999996</v>
      </c>
      <c r="EC261" s="255">
        <v>42475.199999999997</v>
      </c>
      <c r="ED261" s="255">
        <v>47847.45</v>
      </c>
      <c r="EE261" s="255">
        <v>43746.239999999998</v>
      </c>
      <c r="EF261" s="255">
        <v>58784.01</v>
      </c>
      <c r="EG261" s="255">
        <v>58784.01</v>
      </c>
      <c r="EH261" s="255">
        <v>43746.239999999998</v>
      </c>
      <c r="EI261" s="255">
        <v>46480.38</v>
      </c>
      <c r="EJ261" s="255">
        <v>45113.31</v>
      </c>
      <c r="EK261" s="255">
        <v>46480.38</v>
      </c>
      <c r="EL261" s="255">
        <v>57416.94</v>
      </c>
      <c r="EM261" s="255">
        <v>30075.54</v>
      </c>
      <c r="EN261" s="255">
        <v>0</v>
      </c>
      <c r="EO261" s="255">
        <v>0</v>
      </c>
      <c r="EP261" s="255">
        <v>0</v>
      </c>
      <c r="EQ261" s="255">
        <v>0</v>
      </c>
      <c r="ER261" s="255">
        <v>0</v>
      </c>
      <c r="ES261" s="255">
        <v>0</v>
      </c>
      <c r="ET261" s="255">
        <v>0</v>
      </c>
      <c r="EU261" s="255">
        <v>0</v>
      </c>
      <c r="EV261" s="255">
        <v>0</v>
      </c>
      <c r="EW261" s="255">
        <v>0</v>
      </c>
      <c r="EX261" s="255">
        <v>0</v>
      </c>
      <c r="EY261" s="255">
        <v>0</v>
      </c>
      <c r="EZ261" s="255">
        <v>0</v>
      </c>
      <c r="FA261" s="255">
        <v>0</v>
      </c>
      <c r="FB261" s="255">
        <v>0</v>
      </c>
      <c r="FC261" s="255">
        <v>0</v>
      </c>
      <c r="FD261" s="255">
        <v>0</v>
      </c>
      <c r="FE261" s="255">
        <v>0</v>
      </c>
      <c r="FF261" s="255">
        <v>0</v>
      </c>
      <c r="FG261" s="255">
        <v>0</v>
      </c>
      <c r="FH261" s="255">
        <v>0</v>
      </c>
      <c r="FI261" s="255">
        <v>0</v>
      </c>
      <c r="FJ261" s="255">
        <v>0</v>
      </c>
      <c r="FK261" s="255">
        <v>0</v>
      </c>
      <c r="FL261" s="255">
        <v>0</v>
      </c>
      <c r="FM261" s="255">
        <v>0</v>
      </c>
      <c r="FN261" s="255">
        <v>0</v>
      </c>
      <c r="FO261" s="255">
        <v>0</v>
      </c>
      <c r="FP261" s="255">
        <v>0</v>
      </c>
      <c r="FQ261" s="255">
        <v>0</v>
      </c>
      <c r="FR261" s="255">
        <v>0</v>
      </c>
      <c r="FS261" s="255">
        <v>0</v>
      </c>
      <c r="FT261" s="255">
        <v>0</v>
      </c>
      <c r="FU261" s="255">
        <v>0</v>
      </c>
      <c r="FV261" s="255">
        <v>0</v>
      </c>
      <c r="FW261" s="255">
        <v>0</v>
      </c>
      <c r="FX261" s="116"/>
    </row>
    <row r="262" spans="2:180" x14ac:dyDescent="0.2">
      <c r="B262" s="253" t="s">
        <v>214</v>
      </c>
      <c r="C262" s="253" t="s">
        <v>324</v>
      </c>
      <c r="D262" s="253" t="s">
        <v>258</v>
      </c>
      <c r="E262" s="253" t="s">
        <v>127</v>
      </c>
      <c r="F262" s="253" t="s">
        <v>259</v>
      </c>
      <c r="G262" s="253" t="s">
        <v>260</v>
      </c>
      <c r="H262" s="237">
        <v>205.24</v>
      </c>
      <c r="I262" s="126">
        <f t="shared" si="88"/>
        <v>170370.49400000006</v>
      </c>
      <c r="J262" s="116"/>
      <c r="K262" s="254">
        <v>0</v>
      </c>
      <c r="L262" s="254">
        <v>0</v>
      </c>
      <c r="M262" s="254">
        <v>0</v>
      </c>
      <c r="N262" s="254">
        <v>0</v>
      </c>
      <c r="O262" s="254">
        <v>0</v>
      </c>
      <c r="P262" s="254">
        <v>0</v>
      </c>
      <c r="Q262" s="254">
        <v>0</v>
      </c>
      <c r="R262" s="254">
        <v>0</v>
      </c>
      <c r="S262" s="254">
        <v>0</v>
      </c>
      <c r="T262" s="254">
        <v>0</v>
      </c>
      <c r="U262" s="254">
        <v>0</v>
      </c>
      <c r="V262" s="254">
        <v>0</v>
      </c>
      <c r="W262" s="254">
        <v>0</v>
      </c>
      <c r="X262" s="254">
        <v>0</v>
      </c>
      <c r="Y262" s="254">
        <v>0.1</v>
      </c>
      <c r="Z262" s="254">
        <v>0.13333333333333333</v>
      </c>
      <c r="AA262" s="254">
        <v>0.15657894736842107</v>
      </c>
      <c r="AB262" s="254">
        <v>0.16578947368421051</v>
      </c>
      <c r="AC262" s="254">
        <v>0.19</v>
      </c>
      <c r="AD262" s="254">
        <v>0.15</v>
      </c>
      <c r="AE262" s="254">
        <v>0.18</v>
      </c>
      <c r="AF262" s="254">
        <v>0.18</v>
      </c>
      <c r="AG262" s="254">
        <v>0.17</v>
      </c>
      <c r="AH262" s="254">
        <v>0.16</v>
      </c>
      <c r="AI262" s="254">
        <v>0.3066666666666667</v>
      </c>
      <c r="AJ262" s="254">
        <v>0.16</v>
      </c>
      <c r="AK262" s="254">
        <v>0.16</v>
      </c>
      <c r="AL262" s="254">
        <v>0.25333333333333335</v>
      </c>
      <c r="AM262" s="254">
        <v>0.16578947368421051</v>
      </c>
      <c r="AN262" s="254">
        <v>0.15657894736842107</v>
      </c>
      <c r="AO262" s="254">
        <v>0.18</v>
      </c>
      <c r="AP262" s="254">
        <v>0.17</v>
      </c>
      <c r="AQ262" s="254">
        <v>0.18</v>
      </c>
      <c r="AR262" s="254">
        <v>0.18</v>
      </c>
      <c r="AS262" s="254">
        <v>0.17</v>
      </c>
      <c r="AT262" s="254">
        <v>0.21333333333333332</v>
      </c>
      <c r="AU262" s="254">
        <v>0.25333333333333335</v>
      </c>
      <c r="AV262" s="254">
        <v>0.16</v>
      </c>
      <c r="AW262" s="254">
        <v>0.19</v>
      </c>
      <c r="AX262" s="254">
        <v>0.21333333333333332</v>
      </c>
      <c r="AY262" s="254">
        <v>0.17500000000000002</v>
      </c>
      <c r="AZ262" s="254">
        <v>0.17500000000000002</v>
      </c>
      <c r="BA262" s="254">
        <v>0.16</v>
      </c>
      <c r="BB262" s="254">
        <v>0.18</v>
      </c>
      <c r="BC262" s="254">
        <v>0.17</v>
      </c>
      <c r="BD262" s="254">
        <v>0.18</v>
      </c>
      <c r="BE262" s="254">
        <v>0.18</v>
      </c>
      <c r="BF262" s="254">
        <v>0.18666666666666668</v>
      </c>
      <c r="BG262" s="254">
        <v>0</v>
      </c>
      <c r="BH262" s="254">
        <v>0</v>
      </c>
      <c r="BI262" s="254">
        <v>0</v>
      </c>
      <c r="BJ262" s="254">
        <v>0</v>
      </c>
      <c r="BK262" s="254">
        <v>0</v>
      </c>
      <c r="BL262" s="254">
        <v>0</v>
      </c>
      <c r="BM262" s="254">
        <v>0</v>
      </c>
      <c r="BN262" s="254">
        <v>0</v>
      </c>
      <c r="BO262" s="254">
        <v>0</v>
      </c>
      <c r="BP262" s="254">
        <v>0</v>
      </c>
      <c r="BQ262" s="254">
        <v>0</v>
      </c>
      <c r="BR262" s="254">
        <v>0</v>
      </c>
      <c r="BS262" s="254">
        <v>0</v>
      </c>
      <c r="BT262" s="254">
        <v>0</v>
      </c>
      <c r="BU262" s="254">
        <v>0</v>
      </c>
      <c r="BV262" s="254">
        <v>0</v>
      </c>
      <c r="BW262" s="254">
        <v>0</v>
      </c>
      <c r="BX262" s="254">
        <v>0</v>
      </c>
      <c r="BY262" s="254">
        <v>0</v>
      </c>
      <c r="BZ262" s="254">
        <v>0</v>
      </c>
      <c r="CA262" s="254">
        <v>0</v>
      </c>
      <c r="CB262" s="254">
        <v>0</v>
      </c>
      <c r="CC262" s="254">
        <v>0</v>
      </c>
      <c r="CD262" s="254">
        <v>0</v>
      </c>
      <c r="CE262" s="254">
        <v>0</v>
      </c>
      <c r="CF262" s="254">
        <v>0</v>
      </c>
      <c r="CG262" s="254">
        <v>0</v>
      </c>
      <c r="CH262" s="254">
        <v>0</v>
      </c>
      <c r="CI262" s="254">
        <v>0</v>
      </c>
      <c r="CJ262" s="254">
        <v>0</v>
      </c>
      <c r="CK262" s="254">
        <v>0</v>
      </c>
      <c r="CL262" s="254">
        <v>0</v>
      </c>
      <c r="CM262" s="254">
        <v>0</v>
      </c>
      <c r="CN262" s="254">
        <v>0</v>
      </c>
      <c r="CO262" s="254">
        <v>0</v>
      </c>
      <c r="CP262" s="254">
        <v>0</v>
      </c>
      <c r="CQ262" s="116"/>
      <c r="CR262" s="255">
        <v>0</v>
      </c>
      <c r="CS262" s="255">
        <v>0</v>
      </c>
      <c r="CT262" s="255">
        <v>0</v>
      </c>
      <c r="CU262" s="255">
        <v>0</v>
      </c>
      <c r="CV262" s="255">
        <v>0</v>
      </c>
      <c r="CW262" s="255">
        <v>0</v>
      </c>
      <c r="CX262" s="255">
        <v>0</v>
      </c>
      <c r="CY262" s="255">
        <v>0</v>
      </c>
      <c r="CZ262" s="255">
        <v>0</v>
      </c>
      <c r="DA262" s="255">
        <v>0</v>
      </c>
      <c r="DB262" s="255">
        <v>0</v>
      </c>
      <c r="DC262" s="255">
        <v>0</v>
      </c>
      <c r="DD262" s="255">
        <v>0</v>
      </c>
      <c r="DE262" s="255">
        <v>0</v>
      </c>
      <c r="DF262" s="255">
        <v>2873.36</v>
      </c>
      <c r="DG262" s="255">
        <v>2873.36</v>
      </c>
      <c r="DH262" s="255">
        <v>4884.7120000000004</v>
      </c>
      <c r="DI262" s="255">
        <v>5172.0479999999998</v>
      </c>
      <c r="DJ262" s="255">
        <v>5459.3840000000009</v>
      </c>
      <c r="DK262" s="255">
        <v>4310.04</v>
      </c>
      <c r="DL262" s="255">
        <v>5172.0479999999998</v>
      </c>
      <c r="DM262" s="255">
        <v>5172.0479999999998</v>
      </c>
      <c r="DN262" s="255">
        <v>4884.7120000000004</v>
      </c>
      <c r="DO262" s="255">
        <v>3448.0320000000002</v>
      </c>
      <c r="DP262" s="255">
        <v>6608.728000000001</v>
      </c>
      <c r="DQ262" s="255">
        <v>4597.3760000000002</v>
      </c>
      <c r="DR262" s="255">
        <v>4735.5839999999998</v>
      </c>
      <c r="DS262" s="255">
        <v>5623.5060000000003</v>
      </c>
      <c r="DT262" s="255">
        <v>5327.5320000000002</v>
      </c>
      <c r="DU262" s="255">
        <v>5031.558</v>
      </c>
      <c r="DV262" s="255">
        <v>5327.5320000000002</v>
      </c>
      <c r="DW262" s="255">
        <v>5031.558</v>
      </c>
      <c r="DX262" s="255">
        <v>5327.5320000000002</v>
      </c>
      <c r="DY262" s="255">
        <v>5327.5320000000002</v>
      </c>
      <c r="DZ262" s="255">
        <v>5031.558</v>
      </c>
      <c r="EA262" s="255">
        <v>4735.5839999999998</v>
      </c>
      <c r="EB262" s="255">
        <v>5623.5060000000003</v>
      </c>
      <c r="EC262" s="255">
        <v>4735.5839999999998</v>
      </c>
      <c r="ED262" s="255">
        <v>5793.4800000000005</v>
      </c>
      <c r="EE262" s="255">
        <v>4878.72</v>
      </c>
      <c r="EF262" s="255">
        <v>5793.4800000000005</v>
      </c>
      <c r="EG262" s="255">
        <v>5793.4800000000005</v>
      </c>
      <c r="EH262" s="255">
        <v>4878.72</v>
      </c>
      <c r="EI262" s="255">
        <v>5488.56</v>
      </c>
      <c r="EJ262" s="255">
        <v>5183.6400000000003</v>
      </c>
      <c r="EK262" s="255">
        <v>5488.56</v>
      </c>
      <c r="EL262" s="255">
        <v>5488.56</v>
      </c>
      <c r="EM262" s="255">
        <v>4268.88</v>
      </c>
      <c r="EN262" s="255">
        <v>0</v>
      </c>
      <c r="EO262" s="255">
        <v>0</v>
      </c>
      <c r="EP262" s="255">
        <v>0</v>
      </c>
      <c r="EQ262" s="255">
        <v>0</v>
      </c>
      <c r="ER262" s="255">
        <v>0</v>
      </c>
      <c r="ES262" s="255">
        <v>0</v>
      </c>
      <c r="ET262" s="255">
        <v>0</v>
      </c>
      <c r="EU262" s="255">
        <v>0</v>
      </c>
      <c r="EV262" s="255">
        <v>0</v>
      </c>
      <c r="EW262" s="255">
        <v>0</v>
      </c>
      <c r="EX262" s="255">
        <v>0</v>
      </c>
      <c r="EY262" s="255">
        <v>0</v>
      </c>
      <c r="EZ262" s="255">
        <v>0</v>
      </c>
      <c r="FA262" s="255">
        <v>0</v>
      </c>
      <c r="FB262" s="255">
        <v>0</v>
      </c>
      <c r="FC262" s="255">
        <v>0</v>
      </c>
      <c r="FD262" s="255">
        <v>0</v>
      </c>
      <c r="FE262" s="255">
        <v>0</v>
      </c>
      <c r="FF262" s="255">
        <v>0</v>
      </c>
      <c r="FG262" s="255">
        <v>0</v>
      </c>
      <c r="FH262" s="255">
        <v>0</v>
      </c>
      <c r="FI262" s="255">
        <v>0</v>
      </c>
      <c r="FJ262" s="255">
        <v>0</v>
      </c>
      <c r="FK262" s="255">
        <v>0</v>
      </c>
      <c r="FL262" s="255">
        <v>0</v>
      </c>
      <c r="FM262" s="255">
        <v>0</v>
      </c>
      <c r="FN262" s="255">
        <v>0</v>
      </c>
      <c r="FO262" s="255">
        <v>0</v>
      </c>
      <c r="FP262" s="255">
        <v>0</v>
      </c>
      <c r="FQ262" s="255">
        <v>0</v>
      </c>
      <c r="FR262" s="255">
        <v>0</v>
      </c>
      <c r="FS262" s="255">
        <v>0</v>
      </c>
      <c r="FT262" s="255">
        <v>0</v>
      </c>
      <c r="FU262" s="255">
        <v>0</v>
      </c>
      <c r="FV262" s="255">
        <v>0</v>
      </c>
      <c r="FW262" s="255">
        <v>0</v>
      </c>
      <c r="FX262" s="116"/>
    </row>
    <row r="263" spans="2:180" x14ac:dyDescent="0.2">
      <c r="B263" s="253" t="s">
        <v>214</v>
      </c>
      <c r="C263" s="253" t="s">
        <v>324</v>
      </c>
      <c r="D263" s="253" t="s">
        <v>258</v>
      </c>
      <c r="E263" s="253" t="s">
        <v>127</v>
      </c>
      <c r="F263" s="253">
        <v>0</v>
      </c>
      <c r="G263" s="253" t="s">
        <v>322</v>
      </c>
      <c r="H263" s="237">
        <v>205.24</v>
      </c>
      <c r="I263" s="126">
        <f t="shared" ref="I263:I286" si="89">SUM(CR263:FW263)</f>
        <v>283217.57399999996</v>
      </c>
      <c r="J263" s="116"/>
      <c r="K263" s="254">
        <v>0</v>
      </c>
      <c r="L263" s="254">
        <v>0</v>
      </c>
      <c r="M263" s="254">
        <v>0</v>
      </c>
      <c r="N263" s="254">
        <v>0</v>
      </c>
      <c r="O263" s="254">
        <v>0</v>
      </c>
      <c r="P263" s="254">
        <v>0</v>
      </c>
      <c r="Q263" s="254">
        <v>0</v>
      </c>
      <c r="R263" s="254">
        <v>0</v>
      </c>
      <c r="S263" s="254">
        <v>0</v>
      </c>
      <c r="T263" s="254">
        <v>0</v>
      </c>
      <c r="U263" s="254">
        <v>0</v>
      </c>
      <c r="V263" s="254">
        <v>0</v>
      </c>
      <c r="W263" s="254">
        <v>0</v>
      </c>
      <c r="X263" s="254">
        <v>0</v>
      </c>
      <c r="Y263" s="254">
        <v>0</v>
      </c>
      <c r="Z263" s="254">
        <v>0</v>
      </c>
      <c r="AA263" s="254">
        <v>0.13026315789473686</v>
      </c>
      <c r="AB263" s="254">
        <v>0.13421052631578947</v>
      </c>
      <c r="AC263" s="254">
        <v>0.1842857142857143</v>
      </c>
      <c r="AD263" s="254">
        <v>0.13285714285714287</v>
      </c>
      <c r="AE263" s="254">
        <v>0.14571428571428571</v>
      </c>
      <c r="AF263" s="254">
        <v>0.14571428571428571</v>
      </c>
      <c r="AG263" s="254">
        <v>0.14142857142857143</v>
      </c>
      <c r="AH263" s="254">
        <v>0.16</v>
      </c>
      <c r="AI263" s="254">
        <v>0.26857142857142857</v>
      </c>
      <c r="AJ263" s="254">
        <v>0.13714285714285715</v>
      </c>
      <c r="AK263" s="254">
        <v>0.13714285714285715</v>
      </c>
      <c r="AL263" s="254">
        <v>0.2</v>
      </c>
      <c r="AM263" s="254">
        <v>0.15</v>
      </c>
      <c r="AN263" s="254">
        <v>0.14605263157894735</v>
      </c>
      <c r="AO263" s="254">
        <v>0.14571428571428571</v>
      </c>
      <c r="AP263" s="254">
        <v>0.14142857142857143</v>
      </c>
      <c r="AQ263" s="254">
        <v>0.14571428571428571</v>
      </c>
      <c r="AR263" s="254">
        <v>0.14571428571428571</v>
      </c>
      <c r="AS263" s="254">
        <v>0.17571428571428571</v>
      </c>
      <c r="AT263" s="254">
        <v>0.13714285714285715</v>
      </c>
      <c r="AU263" s="254">
        <v>0.24571428571428572</v>
      </c>
      <c r="AV263" s="254">
        <v>0.13714285714285715</v>
      </c>
      <c r="AW263" s="254">
        <v>0.15</v>
      </c>
      <c r="AX263" s="254">
        <v>0.18285714285714286</v>
      </c>
      <c r="AY263" s="254">
        <v>0.16973684210526316</v>
      </c>
      <c r="AZ263" s="254">
        <v>0.16973684210526316</v>
      </c>
      <c r="BA263" s="254">
        <v>0.13714285714285715</v>
      </c>
      <c r="BB263" s="254">
        <v>0.14571428571428571</v>
      </c>
      <c r="BC263" s="254">
        <v>0.14142857142857143</v>
      </c>
      <c r="BD263" s="254">
        <v>0.14571428571428571</v>
      </c>
      <c r="BE263" s="254">
        <v>0.18</v>
      </c>
      <c r="BF263" s="254">
        <v>0.1257142857142857</v>
      </c>
      <c r="BG263" s="254">
        <v>0</v>
      </c>
      <c r="BH263" s="254">
        <v>0</v>
      </c>
      <c r="BI263" s="254">
        <v>0</v>
      </c>
      <c r="BJ263" s="254">
        <v>0</v>
      </c>
      <c r="BK263" s="254">
        <v>0</v>
      </c>
      <c r="BL263" s="254">
        <v>0</v>
      </c>
      <c r="BM263" s="254">
        <v>0</v>
      </c>
      <c r="BN263" s="254">
        <v>0</v>
      </c>
      <c r="BO263" s="254">
        <v>0</v>
      </c>
      <c r="BP263" s="254">
        <v>0</v>
      </c>
      <c r="BQ263" s="254">
        <v>0</v>
      </c>
      <c r="BR263" s="254">
        <v>0</v>
      </c>
      <c r="BS263" s="254">
        <v>0</v>
      </c>
      <c r="BT263" s="254">
        <v>0</v>
      </c>
      <c r="BU263" s="254">
        <v>0</v>
      </c>
      <c r="BV263" s="254">
        <v>0</v>
      </c>
      <c r="BW263" s="254">
        <v>0</v>
      </c>
      <c r="BX263" s="254">
        <v>0</v>
      </c>
      <c r="BY263" s="254">
        <v>0</v>
      </c>
      <c r="BZ263" s="254">
        <v>0</v>
      </c>
      <c r="CA263" s="254">
        <v>0</v>
      </c>
      <c r="CB263" s="254">
        <v>0</v>
      </c>
      <c r="CC263" s="254">
        <v>0</v>
      </c>
      <c r="CD263" s="254">
        <v>0</v>
      </c>
      <c r="CE263" s="254">
        <v>0</v>
      </c>
      <c r="CF263" s="254">
        <v>0</v>
      </c>
      <c r="CG263" s="254">
        <v>0</v>
      </c>
      <c r="CH263" s="254">
        <v>0</v>
      </c>
      <c r="CI263" s="254">
        <v>0</v>
      </c>
      <c r="CJ263" s="254">
        <v>0</v>
      </c>
      <c r="CK263" s="254">
        <v>0</v>
      </c>
      <c r="CL263" s="254">
        <v>0</v>
      </c>
      <c r="CM263" s="254">
        <v>0</v>
      </c>
      <c r="CN263" s="254">
        <v>0</v>
      </c>
      <c r="CO263" s="254">
        <v>0</v>
      </c>
      <c r="CP263" s="254">
        <v>0</v>
      </c>
      <c r="CQ263" s="116"/>
      <c r="CR263" s="255">
        <v>0</v>
      </c>
      <c r="CS263" s="255">
        <v>0</v>
      </c>
      <c r="CT263" s="255">
        <v>0</v>
      </c>
      <c r="CU263" s="255">
        <v>0</v>
      </c>
      <c r="CV263" s="255">
        <v>0</v>
      </c>
      <c r="CW263" s="255">
        <v>0</v>
      </c>
      <c r="CX263" s="255">
        <v>0</v>
      </c>
      <c r="CY263" s="255">
        <v>0</v>
      </c>
      <c r="CZ263" s="255">
        <v>0</v>
      </c>
      <c r="DA263" s="255">
        <v>0</v>
      </c>
      <c r="DB263" s="255">
        <v>0</v>
      </c>
      <c r="DC263" s="255">
        <v>0</v>
      </c>
      <c r="DD263" s="255">
        <v>0</v>
      </c>
      <c r="DE263" s="255">
        <v>0</v>
      </c>
      <c r="DF263" s="255">
        <v>0</v>
      </c>
      <c r="DG263" s="255">
        <v>0</v>
      </c>
      <c r="DH263" s="255">
        <v>8127.5040000000008</v>
      </c>
      <c r="DI263" s="255">
        <v>8373.7919999999995</v>
      </c>
      <c r="DJ263" s="255">
        <v>10590.384</v>
      </c>
      <c r="DK263" s="255">
        <v>7634.9280000000008</v>
      </c>
      <c r="DL263" s="255">
        <v>8373.7919999999995</v>
      </c>
      <c r="DM263" s="255">
        <v>8373.7919999999995</v>
      </c>
      <c r="DN263" s="255">
        <v>8127.5040000000008</v>
      </c>
      <c r="DO263" s="255">
        <v>6896.0640000000003</v>
      </c>
      <c r="DP263" s="255">
        <v>11575.536</v>
      </c>
      <c r="DQ263" s="255">
        <v>7881.2160000000003</v>
      </c>
      <c r="DR263" s="255">
        <v>8117.9519999999993</v>
      </c>
      <c r="DS263" s="255">
        <v>8879.01</v>
      </c>
      <c r="DT263" s="255">
        <v>9640.0680000000011</v>
      </c>
      <c r="DU263" s="255">
        <v>9386.3819999999996</v>
      </c>
      <c r="DV263" s="255">
        <v>8625.3239999999987</v>
      </c>
      <c r="DW263" s="255">
        <v>8371.6380000000008</v>
      </c>
      <c r="DX263" s="255">
        <v>8625.3239999999987</v>
      </c>
      <c r="DY263" s="255">
        <v>8625.3239999999987</v>
      </c>
      <c r="DZ263" s="255">
        <v>10401.126</v>
      </c>
      <c r="EA263" s="255">
        <v>6088.4639999999999</v>
      </c>
      <c r="EB263" s="255">
        <v>10908.498</v>
      </c>
      <c r="EC263" s="255">
        <v>8117.9519999999993</v>
      </c>
      <c r="ED263" s="255">
        <v>9147.6</v>
      </c>
      <c r="EE263" s="255">
        <v>8363.52</v>
      </c>
      <c r="EF263" s="255">
        <v>11238.480000000001</v>
      </c>
      <c r="EG263" s="255">
        <v>11238.480000000001</v>
      </c>
      <c r="EH263" s="255">
        <v>8363.52</v>
      </c>
      <c r="EI263" s="255">
        <v>8886.24</v>
      </c>
      <c r="EJ263" s="255">
        <v>8624.880000000001</v>
      </c>
      <c r="EK263" s="255">
        <v>8886.24</v>
      </c>
      <c r="EL263" s="255">
        <v>10977.12</v>
      </c>
      <c r="EM263" s="255">
        <v>5749.92</v>
      </c>
      <c r="EN263" s="255">
        <v>0</v>
      </c>
      <c r="EO263" s="255">
        <v>0</v>
      </c>
      <c r="EP263" s="255">
        <v>0</v>
      </c>
      <c r="EQ263" s="255">
        <v>0</v>
      </c>
      <c r="ER263" s="255">
        <v>0</v>
      </c>
      <c r="ES263" s="255">
        <v>0</v>
      </c>
      <c r="ET263" s="255">
        <v>0</v>
      </c>
      <c r="EU263" s="255">
        <v>0</v>
      </c>
      <c r="EV263" s="255">
        <v>0</v>
      </c>
      <c r="EW263" s="255">
        <v>0</v>
      </c>
      <c r="EX263" s="255">
        <v>0</v>
      </c>
      <c r="EY263" s="255">
        <v>0</v>
      </c>
      <c r="EZ263" s="255">
        <v>0</v>
      </c>
      <c r="FA263" s="255">
        <v>0</v>
      </c>
      <c r="FB263" s="255">
        <v>0</v>
      </c>
      <c r="FC263" s="255">
        <v>0</v>
      </c>
      <c r="FD263" s="255">
        <v>0</v>
      </c>
      <c r="FE263" s="255">
        <v>0</v>
      </c>
      <c r="FF263" s="255">
        <v>0</v>
      </c>
      <c r="FG263" s="255">
        <v>0</v>
      </c>
      <c r="FH263" s="255">
        <v>0</v>
      </c>
      <c r="FI263" s="255">
        <v>0</v>
      </c>
      <c r="FJ263" s="255">
        <v>0</v>
      </c>
      <c r="FK263" s="255">
        <v>0</v>
      </c>
      <c r="FL263" s="255">
        <v>0</v>
      </c>
      <c r="FM263" s="255">
        <v>0</v>
      </c>
      <c r="FN263" s="255">
        <v>0</v>
      </c>
      <c r="FO263" s="255">
        <v>0</v>
      </c>
      <c r="FP263" s="255">
        <v>0</v>
      </c>
      <c r="FQ263" s="255">
        <v>0</v>
      </c>
      <c r="FR263" s="255">
        <v>0</v>
      </c>
      <c r="FS263" s="255">
        <v>0</v>
      </c>
      <c r="FT263" s="255">
        <v>0</v>
      </c>
      <c r="FU263" s="255">
        <v>0</v>
      </c>
      <c r="FV263" s="255">
        <v>0</v>
      </c>
      <c r="FW263" s="255">
        <v>0</v>
      </c>
      <c r="FX263" s="116"/>
    </row>
    <row r="264" spans="2:180" x14ac:dyDescent="0.2">
      <c r="B264" s="253" t="s">
        <v>214</v>
      </c>
      <c r="C264" s="253" t="s">
        <v>324</v>
      </c>
      <c r="D264" s="253" t="s">
        <v>258</v>
      </c>
      <c r="E264" s="253" t="s">
        <v>127</v>
      </c>
      <c r="F264" s="253" t="s">
        <v>259</v>
      </c>
      <c r="G264" s="253" t="s">
        <v>260</v>
      </c>
      <c r="H264" s="237">
        <v>205.24</v>
      </c>
      <c r="I264" s="126">
        <f t="shared" si="89"/>
        <v>411559.435</v>
      </c>
      <c r="J264" s="116"/>
      <c r="K264" s="254">
        <v>0</v>
      </c>
      <c r="L264" s="254">
        <v>0</v>
      </c>
      <c r="M264" s="254">
        <v>0</v>
      </c>
      <c r="N264" s="254">
        <v>0</v>
      </c>
      <c r="O264" s="254">
        <v>0</v>
      </c>
      <c r="P264" s="254">
        <v>0</v>
      </c>
      <c r="Q264" s="254">
        <v>0</v>
      </c>
      <c r="R264" s="254">
        <v>0</v>
      </c>
      <c r="S264" s="254">
        <v>0</v>
      </c>
      <c r="T264" s="254">
        <v>0</v>
      </c>
      <c r="U264" s="254">
        <v>0</v>
      </c>
      <c r="V264" s="254">
        <v>0</v>
      </c>
      <c r="W264" s="254">
        <v>0</v>
      </c>
      <c r="X264" s="254">
        <v>0</v>
      </c>
      <c r="Y264" s="254">
        <v>0</v>
      </c>
      <c r="Z264" s="254">
        <v>0</v>
      </c>
      <c r="AA264" s="254">
        <v>0.39144736842105265</v>
      </c>
      <c r="AB264" s="254">
        <v>0.41447368421052633</v>
      </c>
      <c r="AC264" s="254">
        <v>0.47499999999999998</v>
      </c>
      <c r="AD264" s="254">
        <v>0.375</v>
      </c>
      <c r="AE264" s="254">
        <v>0.45</v>
      </c>
      <c r="AF264" s="254">
        <v>0.45</v>
      </c>
      <c r="AG264" s="254">
        <v>0.42499999999999999</v>
      </c>
      <c r="AH264" s="254">
        <v>0.4</v>
      </c>
      <c r="AI264" s="254">
        <v>0.76666666666666672</v>
      </c>
      <c r="AJ264" s="254">
        <v>0.4</v>
      </c>
      <c r="AK264" s="254">
        <v>0.4</v>
      </c>
      <c r="AL264" s="254">
        <v>0.6333333333333333</v>
      </c>
      <c r="AM264" s="254">
        <v>0.41447368421052633</v>
      </c>
      <c r="AN264" s="254">
        <v>0.39144736842105265</v>
      </c>
      <c r="AO264" s="254">
        <v>0.45</v>
      </c>
      <c r="AP264" s="254">
        <v>0.42499999999999999</v>
      </c>
      <c r="AQ264" s="254">
        <v>0.45</v>
      </c>
      <c r="AR264" s="254">
        <v>0.45</v>
      </c>
      <c r="AS264" s="254">
        <v>0.42499999999999999</v>
      </c>
      <c r="AT264" s="254">
        <v>0.53333333333333333</v>
      </c>
      <c r="AU264" s="254">
        <v>0.6333333333333333</v>
      </c>
      <c r="AV264" s="254">
        <v>0.4</v>
      </c>
      <c r="AW264" s="254">
        <v>0.47499999999999998</v>
      </c>
      <c r="AX264" s="254">
        <v>0.53333333333333333</v>
      </c>
      <c r="AY264" s="254">
        <v>0.4375</v>
      </c>
      <c r="AZ264" s="254">
        <v>0.4375</v>
      </c>
      <c r="BA264" s="254">
        <v>0.4</v>
      </c>
      <c r="BB264" s="254">
        <v>0.45</v>
      </c>
      <c r="BC264" s="254">
        <v>0.42499999999999999</v>
      </c>
      <c r="BD264" s="254">
        <v>0.45</v>
      </c>
      <c r="BE264" s="254">
        <v>0.45</v>
      </c>
      <c r="BF264" s="254">
        <v>0.46666666666666667</v>
      </c>
      <c r="BG264" s="254">
        <v>0</v>
      </c>
      <c r="BH264" s="254">
        <v>0</v>
      </c>
      <c r="BI264" s="254">
        <v>0</v>
      </c>
      <c r="BJ264" s="254">
        <v>0</v>
      </c>
      <c r="BK264" s="254">
        <v>0</v>
      </c>
      <c r="BL264" s="254">
        <v>0</v>
      </c>
      <c r="BM264" s="254">
        <v>0</v>
      </c>
      <c r="BN264" s="254">
        <v>0</v>
      </c>
      <c r="BO264" s="254">
        <v>0</v>
      </c>
      <c r="BP264" s="254">
        <v>0</v>
      </c>
      <c r="BQ264" s="254">
        <v>0</v>
      </c>
      <c r="BR264" s="254">
        <v>0</v>
      </c>
      <c r="BS264" s="254">
        <v>0</v>
      </c>
      <c r="BT264" s="254">
        <v>0</v>
      </c>
      <c r="BU264" s="254">
        <v>0</v>
      </c>
      <c r="BV264" s="254">
        <v>0</v>
      </c>
      <c r="BW264" s="254">
        <v>0</v>
      </c>
      <c r="BX264" s="254">
        <v>0</v>
      </c>
      <c r="BY264" s="254">
        <v>0</v>
      </c>
      <c r="BZ264" s="254">
        <v>0</v>
      </c>
      <c r="CA264" s="254">
        <v>0</v>
      </c>
      <c r="CB264" s="254">
        <v>0</v>
      </c>
      <c r="CC264" s="254">
        <v>0</v>
      </c>
      <c r="CD264" s="254">
        <v>0</v>
      </c>
      <c r="CE264" s="254">
        <v>0</v>
      </c>
      <c r="CF264" s="254">
        <v>0</v>
      </c>
      <c r="CG264" s="254">
        <v>0</v>
      </c>
      <c r="CH264" s="254">
        <v>0</v>
      </c>
      <c r="CI264" s="254">
        <v>0</v>
      </c>
      <c r="CJ264" s="254">
        <v>0</v>
      </c>
      <c r="CK264" s="254">
        <v>0</v>
      </c>
      <c r="CL264" s="254">
        <v>0</v>
      </c>
      <c r="CM264" s="254">
        <v>0</v>
      </c>
      <c r="CN264" s="254">
        <v>0</v>
      </c>
      <c r="CO264" s="254">
        <v>0</v>
      </c>
      <c r="CP264" s="254">
        <v>0</v>
      </c>
      <c r="CQ264" s="116"/>
      <c r="CR264" s="255">
        <v>0</v>
      </c>
      <c r="CS264" s="255">
        <v>0</v>
      </c>
      <c r="CT264" s="255">
        <v>0</v>
      </c>
      <c r="CU264" s="255">
        <v>0</v>
      </c>
      <c r="CV264" s="255">
        <v>0</v>
      </c>
      <c r="CW264" s="255">
        <v>0</v>
      </c>
      <c r="CX264" s="255">
        <v>0</v>
      </c>
      <c r="CY264" s="255">
        <v>0</v>
      </c>
      <c r="CZ264" s="255">
        <v>0</v>
      </c>
      <c r="DA264" s="255">
        <v>0</v>
      </c>
      <c r="DB264" s="255">
        <v>0</v>
      </c>
      <c r="DC264" s="255">
        <v>0</v>
      </c>
      <c r="DD264" s="255">
        <v>0</v>
      </c>
      <c r="DE264" s="255">
        <v>0</v>
      </c>
      <c r="DF264" s="255">
        <v>0</v>
      </c>
      <c r="DG264" s="255">
        <v>0</v>
      </c>
      <c r="DH264" s="255">
        <v>12211.78</v>
      </c>
      <c r="DI264" s="255">
        <v>12930.12</v>
      </c>
      <c r="DJ264" s="255">
        <v>13648.460000000001</v>
      </c>
      <c r="DK264" s="255">
        <v>10775.1</v>
      </c>
      <c r="DL264" s="255">
        <v>12930.12</v>
      </c>
      <c r="DM264" s="255">
        <v>12930.12</v>
      </c>
      <c r="DN264" s="255">
        <v>12211.78</v>
      </c>
      <c r="DO264" s="255">
        <v>8620.08</v>
      </c>
      <c r="DP264" s="255">
        <v>16521.82</v>
      </c>
      <c r="DQ264" s="255">
        <v>11493.44</v>
      </c>
      <c r="DR264" s="255">
        <v>11838.96</v>
      </c>
      <c r="DS264" s="255">
        <v>14058.764999999999</v>
      </c>
      <c r="DT264" s="255">
        <v>13318.83</v>
      </c>
      <c r="DU264" s="255">
        <v>12578.895</v>
      </c>
      <c r="DV264" s="255">
        <v>13318.83</v>
      </c>
      <c r="DW264" s="255">
        <v>12578.895</v>
      </c>
      <c r="DX264" s="255">
        <v>13318.83</v>
      </c>
      <c r="DY264" s="255">
        <v>13318.83</v>
      </c>
      <c r="DZ264" s="255">
        <v>12578.895</v>
      </c>
      <c r="EA264" s="255">
        <v>11838.96</v>
      </c>
      <c r="EB264" s="255">
        <v>14058.764999999999</v>
      </c>
      <c r="EC264" s="255">
        <v>11838.96</v>
      </c>
      <c r="ED264" s="255">
        <v>14483.7</v>
      </c>
      <c r="EE264" s="255">
        <v>12196.800000000001</v>
      </c>
      <c r="EF264" s="255">
        <v>14483.7</v>
      </c>
      <c r="EG264" s="255">
        <v>14483.7</v>
      </c>
      <c r="EH264" s="255">
        <v>12196.800000000001</v>
      </c>
      <c r="EI264" s="255">
        <v>13721.400000000001</v>
      </c>
      <c r="EJ264" s="255">
        <v>12959.1</v>
      </c>
      <c r="EK264" s="255">
        <v>13721.400000000001</v>
      </c>
      <c r="EL264" s="255">
        <v>13721.400000000001</v>
      </c>
      <c r="EM264" s="255">
        <v>10672.2</v>
      </c>
      <c r="EN264" s="255">
        <v>0</v>
      </c>
      <c r="EO264" s="255">
        <v>0</v>
      </c>
      <c r="EP264" s="255">
        <v>0</v>
      </c>
      <c r="EQ264" s="255">
        <v>0</v>
      </c>
      <c r="ER264" s="255">
        <v>0</v>
      </c>
      <c r="ES264" s="255">
        <v>0</v>
      </c>
      <c r="ET264" s="255">
        <v>0</v>
      </c>
      <c r="EU264" s="255">
        <v>0</v>
      </c>
      <c r="EV264" s="255">
        <v>0</v>
      </c>
      <c r="EW264" s="255">
        <v>0</v>
      </c>
      <c r="EX264" s="255">
        <v>0</v>
      </c>
      <c r="EY264" s="255">
        <v>0</v>
      </c>
      <c r="EZ264" s="255">
        <v>0</v>
      </c>
      <c r="FA264" s="255">
        <v>0</v>
      </c>
      <c r="FB264" s="255">
        <v>0</v>
      </c>
      <c r="FC264" s="255">
        <v>0</v>
      </c>
      <c r="FD264" s="255">
        <v>0</v>
      </c>
      <c r="FE264" s="255">
        <v>0</v>
      </c>
      <c r="FF264" s="255">
        <v>0</v>
      </c>
      <c r="FG264" s="255">
        <v>0</v>
      </c>
      <c r="FH264" s="255">
        <v>0</v>
      </c>
      <c r="FI264" s="255">
        <v>0</v>
      </c>
      <c r="FJ264" s="255">
        <v>0</v>
      </c>
      <c r="FK264" s="255">
        <v>0</v>
      </c>
      <c r="FL264" s="255">
        <v>0</v>
      </c>
      <c r="FM264" s="255">
        <v>0</v>
      </c>
      <c r="FN264" s="255">
        <v>0</v>
      </c>
      <c r="FO264" s="255">
        <v>0</v>
      </c>
      <c r="FP264" s="255">
        <v>0</v>
      </c>
      <c r="FQ264" s="255">
        <v>0</v>
      </c>
      <c r="FR264" s="255">
        <v>0</v>
      </c>
      <c r="FS264" s="255">
        <v>0</v>
      </c>
      <c r="FT264" s="255">
        <v>0</v>
      </c>
      <c r="FU264" s="255">
        <v>0</v>
      </c>
      <c r="FV264" s="255">
        <v>0</v>
      </c>
      <c r="FW264" s="255">
        <v>0</v>
      </c>
      <c r="FX264" s="116"/>
    </row>
    <row r="265" spans="2:180" x14ac:dyDescent="0.2">
      <c r="B265" s="253" t="s">
        <v>214</v>
      </c>
      <c r="C265" s="253" t="s">
        <v>324</v>
      </c>
      <c r="D265" s="253" t="s">
        <v>258</v>
      </c>
      <c r="E265" s="253" t="s">
        <v>127</v>
      </c>
      <c r="F265" s="253">
        <v>0</v>
      </c>
      <c r="G265" s="253" t="s">
        <v>322</v>
      </c>
      <c r="H265" s="237">
        <v>205.24</v>
      </c>
      <c r="I265" s="126">
        <f t="shared" si="89"/>
        <v>708043.93500000006</v>
      </c>
      <c r="J265" s="116"/>
      <c r="K265" s="254">
        <v>0</v>
      </c>
      <c r="L265" s="254">
        <v>0</v>
      </c>
      <c r="M265" s="254">
        <v>0</v>
      </c>
      <c r="N265" s="254">
        <v>0</v>
      </c>
      <c r="O265" s="254">
        <v>0</v>
      </c>
      <c r="P265" s="254">
        <v>0</v>
      </c>
      <c r="Q265" s="254">
        <v>0</v>
      </c>
      <c r="R265" s="254">
        <v>0</v>
      </c>
      <c r="S265" s="254">
        <v>0</v>
      </c>
      <c r="T265" s="254">
        <v>0</v>
      </c>
      <c r="U265" s="254">
        <v>0</v>
      </c>
      <c r="V265" s="254">
        <v>0</v>
      </c>
      <c r="W265" s="254">
        <v>0</v>
      </c>
      <c r="X265" s="254">
        <v>0</v>
      </c>
      <c r="Y265" s="254">
        <v>0</v>
      </c>
      <c r="Z265" s="254">
        <v>0</v>
      </c>
      <c r="AA265" s="254">
        <v>0.32565789473684209</v>
      </c>
      <c r="AB265" s="254">
        <v>0.33552631578947367</v>
      </c>
      <c r="AC265" s="254">
        <v>0.46071428571428569</v>
      </c>
      <c r="AD265" s="254">
        <v>0.33214285714285713</v>
      </c>
      <c r="AE265" s="254">
        <v>0.36428571428571427</v>
      </c>
      <c r="AF265" s="254">
        <v>0.36428571428571427</v>
      </c>
      <c r="AG265" s="254">
        <v>0.35357142857142859</v>
      </c>
      <c r="AH265" s="254">
        <v>0.4</v>
      </c>
      <c r="AI265" s="254">
        <v>0.67142857142857137</v>
      </c>
      <c r="AJ265" s="254">
        <v>0.34285714285714286</v>
      </c>
      <c r="AK265" s="254">
        <v>0.34285714285714286</v>
      </c>
      <c r="AL265" s="254">
        <v>0.5</v>
      </c>
      <c r="AM265" s="254">
        <v>0.375</v>
      </c>
      <c r="AN265" s="254">
        <v>0.36513157894736842</v>
      </c>
      <c r="AO265" s="254">
        <v>0.36428571428571427</v>
      </c>
      <c r="AP265" s="254">
        <v>0.35357142857142859</v>
      </c>
      <c r="AQ265" s="254">
        <v>0.36428571428571427</v>
      </c>
      <c r="AR265" s="254">
        <v>0.36428571428571427</v>
      </c>
      <c r="AS265" s="254">
        <v>0.43928571428571428</v>
      </c>
      <c r="AT265" s="254">
        <v>0.34285714285714286</v>
      </c>
      <c r="AU265" s="254">
        <v>0.61428571428571432</v>
      </c>
      <c r="AV265" s="254">
        <v>0.34285714285714286</v>
      </c>
      <c r="AW265" s="254">
        <v>0.375</v>
      </c>
      <c r="AX265" s="254">
        <v>0.45714285714285713</v>
      </c>
      <c r="AY265" s="254">
        <v>0.42434210526315791</v>
      </c>
      <c r="AZ265" s="254">
        <v>0.42434210526315791</v>
      </c>
      <c r="BA265" s="254">
        <v>0.34285714285714286</v>
      </c>
      <c r="BB265" s="254">
        <v>0.36428571428571427</v>
      </c>
      <c r="BC265" s="254">
        <v>0.35357142857142859</v>
      </c>
      <c r="BD265" s="254">
        <v>0.36428571428571427</v>
      </c>
      <c r="BE265" s="254">
        <v>0.45</v>
      </c>
      <c r="BF265" s="254">
        <v>0.31428571428571428</v>
      </c>
      <c r="BG265" s="254">
        <v>0</v>
      </c>
      <c r="BH265" s="254">
        <v>0</v>
      </c>
      <c r="BI265" s="254">
        <v>0</v>
      </c>
      <c r="BJ265" s="254">
        <v>0</v>
      </c>
      <c r="BK265" s="254">
        <v>0</v>
      </c>
      <c r="BL265" s="254">
        <v>0</v>
      </c>
      <c r="BM265" s="254">
        <v>0</v>
      </c>
      <c r="BN265" s="254">
        <v>0</v>
      </c>
      <c r="BO265" s="254">
        <v>0</v>
      </c>
      <c r="BP265" s="254">
        <v>0</v>
      </c>
      <c r="BQ265" s="254">
        <v>0</v>
      </c>
      <c r="BR265" s="254">
        <v>0</v>
      </c>
      <c r="BS265" s="254">
        <v>0</v>
      </c>
      <c r="BT265" s="254">
        <v>0</v>
      </c>
      <c r="BU265" s="254">
        <v>0</v>
      </c>
      <c r="BV265" s="254">
        <v>0</v>
      </c>
      <c r="BW265" s="254">
        <v>0</v>
      </c>
      <c r="BX265" s="254">
        <v>0</v>
      </c>
      <c r="BY265" s="254">
        <v>0</v>
      </c>
      <c r="BZ265" s="254">
        <v>0</v>
      </c>
      <c r="CA265" s="254">
        <v>0</v>
      </c>
      <c r="CB265" s="254">
        <v>0</v>
      </c>
      <c r="CC265" s="254">
        <v>0</v>
      </c>
      <c r="CD265" s="254">
        <v>0</v>
      </c>
      <c r="CE265" s="254">
        <v>0</v>
      </c>
      <c r="CF265" s="254">
        <v>0</v>
      </c>
      <c r="CG265" s="254">
        <v>0</v>
      </c>
      <c r="CH265" s="254">
        <v>0</v>
      </c>
      <c r="CI265" s="254">
        <v>0</v>
      </c>
      <c r="CJ265" s="254">
        <v>0</v>
      </c>
      <c r="CK265" s="254">
        <v>0</v>
      </c>
      <c r="CL265" s="254">
        <v>0</v>
      </c>
      <c r="CM265" s="254">
        <v>0</v>
      </c>
      <c r="CN265" s="254">
        <v>0</v>
      </c>
      <c r="CO265" s="254">
        <v>0</v>
      </c>
      <c r="CP265" s="254">
        <v>0</v>
      </c>
      <c r="CQ265" s="116"/>
      <c r="CR265" s="255">
        <v>0</v>
      </c>
      <c r="CS265" s="255">
        <v>0</v>
      </c>
      <c r="CT265" s="255">
        <v>0</v>
      </c>
      <c r="CU265" s="255">
        <v>0</v>
      </c>
      <c r="CV265" s="255">
        <v>0</v>
      </c>
      <c r="CW265" s="255">
        <v>0</v>
      </c>
      <c r="CX265" s="255">
        <v>0</v>
      </c>
      <c r="CY265" s="255">
        <v>0</v>
      </c>
      <c r="CZ265" s="255">
        <v>0</v>
      </c>
      <c r="DA265" s="255">
        <v>0</v>
      </c>
      <c r="DB265" s="255">
        <v>0</v>
      </c>
      <c r="DC265" s="255">
        <v>0</v>
      </c>
      <c r="DD265" s="255">
        <v>0</v>
      </c>
      <c r="DE265" s="255">
        <v>0</v>
      </c>
      <c r="DF265" s="255">
        <v>0</v>
      </c>
      <c r="DG265" s="255">
        <v>0</v>
      </c>
      <c r="DH265" s="255">
        <v>20318.760000000002</v>
      </c>
      <c r="DI265" s="255">
        <v>20934.48</v>
      </c>
      <c r="DJ265" s="255">
        <v>26475.960000000003</v>
      </c>
      <c r="DK265" s="255">
        <v>19087.32</v>
      </c>
      <c r="DL265" s="255">
        <v>20934.48</v>
      </c>
      <c r="DM265" s="255">
        <v>20934.48</v>
      </c>
      <c r="DN265" s="255">
        <v>20318.760000000002</v>
      </c>
      <c r="DO265" s="255">
        <v>17240.16</v>
      </c>
      <c r="DP265" s="255">
        <v>28938.84</v>
      </c>
      <c r="DQ265" s="255">
        <v>19703.04</v>
      </c>
      <c r="DR265" s="255">
        <v>20294.88</v>
      </c>
      <c r="DS265" s="255">
        <v>22197.525000000001</v>
      </c>
      <c r="DT265" s="255">
        <v>24100.170000000002</v>
      </c>
      <c r="DU265" s="255">
        <v>23465.955000000002</v>
      </c>
      <c r="DV265" s="255">
        <v>21563.31</v>
      </c>
      <c r="DW265" s="255">
        <v>20929.095000000001</v>
      </c>
      <c r="DX265" s="255">
        <v>21563.31</v>
      </c>
      <c r="DY265" s="255">
        <v>21563.31</v>
      </c>
      <c r="DZ265" s="255">
        <v>26002.814999999999</v>
      </c>
      <c r="EA265" s="255">
        <v>15221.16</v>
      </c>
      <c r="EB265" s="255">
        <v>27271.244999999999</v>
      </c>
      <c r="EC265" s="255">
        <v>20294.88</v>
      </c>
      <c r="ED265" s="255">
        <v>22869</v>
      </c>
      <c r="EE265" s="255">
        <v>20908.800000000003</v>
      </c>
      <c r="EF265" s="255">
        <v>28096.2</v>
      </c>
      <c r="EG265" s="255">
        <v>28096.2</v>
      </c>
      <c r="EH265" s="255">
        <v>20908.800000000003</v>
      </c>
      <c r="EI265" s="255">
        <v>22215.600000000002</v>
      </c>
      <c r="EJ265" s="255">
        <v>21562.2</v>
      </c>
      <c r="EK265" s="255">
        <v>22215.600000000002</v>
      </c>
      <c r="EL265" s="255">
        <v>27442.800000000003</v>
      </c>
      <c r="EM265" s="255">
        <v>14374.800000000001</v>
      </c>
      <c r="EN265" s="255">
        <v>0</v>
      </c>
      <c r="EO265" s="255">
        <v>0</v>
      </c>
      <c r="EP265" s="255">
        <v>0</v>
      </c>
      <c r="EQ265" s="255">
        <v>0</v>
      </c>
      <c r="ER265" s="255">
        <v>0</v>
      </c>
      <c r="ES265" s="255">
        <v>0</v>
      </c>
      <c r="ET265" s="255">
        <v>0</v>
      </c>
      <c r="EU265" s="255">
        <v>0</v>
      </c>
      <c r="EV265" s="255">
        <v>0</v>
      </c>
      <c r="EW265" s="255">
        <v>0</v>
      </c>
      <c r="EX265" s="255">
        <v>0</v>
      </c>
      <c r="EY265" s="255">
        <v>0</v>
      </c>
      <c r="EZ265" s="255">
        <v>0</v>
      </c>
      <c r="FA265" s="255">
        <v>0</v>
      </c>
      <c r="FB265" s="255">
        <v>0</v>
      </c>
      <c r="FC265" s="255">
        <v>0</v>
      </c>
      <c r="FD265" s="255">
        <v>0</v>
      </c>
      <c r="FE265" s="255">
        <v>0</v>
      </c>
      <c r="FF265" s="255">
        <v>0</v>
      </c>
      <c r="FG265" s="255">
        <v>0</v>
      </c>
      <c r="FH265" s="255">
        <v>0</v>
      </c>
      <c r="FI265" s="255">
        <v>0</v>
      </c>
      <c r="FJ265" s="255">
        <v>0</v>
      </c>
      <c r="FK265" s="255">
        <v>0</v>
      </c>
      <c r="FL265" s="255">
        <v>0</v>
      </c>
      <c r="FM265" s="255">
        <v>0</v>
      </c>
      <c r="FN265" s="255">
        <v>0</v>
      </c>
      <c r="FO265" s="255">
        <v>0</v>
      </c>
      <c r="FP265" s="255">
        <v>0</v>
      </c>
      <c r="FQ265" s="255">
        <v>0</v>
      </c>
      <c r="FR265" s="255">
        <v>0</v>
      </c>
      <c r="FS265" s="255">
        <v>0</v>
      </c>
      <c r="FT265" s="255">
        <v>0</v>
      </c>
      <c r="FU265" s="255">
        <v>0</v>
      </c>
      <c r="FV265" s="255">
        <v>0</v>
      </c>
      <c r="FW265" s="255">
        <v>0</v>
      </c>
      <c r="FX265" s="116"/>
    </row>
    <row r="266" spans="2:180" x14ac:dyDescent="0.2">
      <c r="B266" s="253" t="s">
        <v>231</v>
      </c>
      <c r="C266" s="253" t="s">
        <v>301</v>
      </c>
      <c r="D266" s="253" t="s">
        <v>258</v>
      </c>
      <c r="E266" s="253" t="s">
        <v>127</v>
      </c>
      <c r="F266" s="253" t="s">
        <v>259</v>
      </c>
      <c r="G266" s="253" t="s">
        <v>260</v>
      </c>
      <c r="H266" s="237">
        <v>210.04</v>
      </c>
      <c r="I266" s="126">
        <f t="shared" si="89"/>
        <v>174359.17800000004</v>
      </c>
      <c r="J266" s="116"/>
      <c r="K266" s="254">
        <v>0</v>
      </c>
      <c r="L266" s="254">
        <v>0</v>
      </c>
      <c r="M266" s="254">
        <v>0</v>
      </c>
      <c r="N266" s="254">
        <v>0</v>
      </c>
      <c r="O266" s="254">
        <v>0</v>
      </c>
      <c r="P266" s="254">
        <v>0</v>
      </c>
      <c r="Q266" s="254">
        <v>0</v>
      </c>
      <c r="R266" s="254">
        <v>0</v>
      </c>
      <c r="S266" s="254">
        <v>0</v>
      </c>
      <c r="T266" s="254">
        <v>0</v>
      </c>
      <c r="U266" s="254">
        <v>0</v>
      </c>
      <c r="V266" s="254">
        <v>0</v>
      </c>
      <c r="W266" s="254">
        <v>0</v>
      </c>
      <c r="X266" s="254">
        <v>0</v>
      </c>
      <c r="Y266" s="254">
        <v>0.1</v>
      </c>
      <c r="Z266" s="254">
        <v>0.13333333333333333</v>
      </c>
      <c r="AA266" s="254">
        <v>0.15657894736842107</v>
      </c>
      <c r="AB266" s="254">
        <v>0.16578947368421051</v>
      </c>
      <c r="AC266" s="254">
        <v>0.19</v>
      </c>
      <c r="AD266" s="254">
        <v>0.15</v>
      </c>
      <c r="AE266" s="254">
        <v>0.18</v>
      </c>
      <c r="AF266" s="254">
        <v>0.18</v>
      </c>
      <c r="AG266" s="254">
        <v>0.17</v>
      </c>
      <c r="AH266" s="254">
        <v>0.16</v>
      </c>
      <c r="AI266" s="254">
        <v>0.3066666666666667</v>
      </c>
      <c r="AJ266" s="254">
        <v>0.16</v>
      </c>
      <c r="AK266" s="254">
        <v>0.16</v>
      </c>
      <c r="AL266" s="254">
        <v>0.25333333333333335</v>
      </c>
      <c r="AM266" s="254">
        <v>0.16578947368421051</v>
      </c>
      <c r="AN266" s="254">
        <v>0.15657894736842107</v>
      </c>
      <c r="AO266" s="254">
        <v>0.18</v>
      </c>
      <c r="AP266" s="254">
        <v>0.17</v>
      </c>
      <c r="AQ266" s="254">
        <v>0.18</v>
      </c>
      <c r="AR266" s="254">
        <v>0.18</v>
      </c>
      <c r="AS266" s="254">
        <v>0.17</v>
      </c>
      <c r="AT266" s="254">
        <v>0.21333333333333332</v>
      </c>
      <c r="AU266" s="254">
        <v>0.25333333333333335</v>
      </c>
      <c r="AV266" s="254">
        <v>0.16</v>
      </c>
      <c r="AW266" s="254">
        <v>0.19</v>
      </c>
      <c r="AX266" s="254">
        <v>0.21333333333333332</v>
      </c>
      <c r="AY266" s="254">
        <v>0.17500000000000002</v>
      </c>
      <c r="AZ266" s="254">
        <v>0.17500000000000002</v>
      </c>
      <c r="BA266" s="254">
        <v>0.16</v>
      </c>
      <c r="BB266" s="254">
        <v>0.18</v>
      </c>
      <c r="BC266" s="254">
        <v>0.17</v>
      </c>
      <c r="BD266" s="254">
        <v>0.18</v>
      </c>
      <c r="BE266" s="254">
        <v>0.18</v>
      </c>
      <c r="BF266" s="254">
        <v>0.18666666666666668</v>
      </c>
      <c r="BG266" s="254">
        <v>0</v>
      </c>
      <c r="BH266" s="254">
        <v>0</v>
      </c>
      <c r="BI266" s="254">
        <v>0</v>
      </c>
      <c r="BJ266" s="254">
        <v>0</v>
      </c>
      <c r="BK266" s="254">
        <v>0</v>
      </c>
      <c r="BL266" s="254">
        <v>0</v>
      </c>
      <c r="BM266" s="254">
        <v>0</v>
      </c>
      <c r="BN266" s="254">
        <v>0</v>
      </c>
      <c r="BO266" s="254">
        <v>0</v>
      </c>
      <c r="BP266" s="254">
        <v>0</v>
      </c>
      <c r="BQ266" s="254">
        <v>0</v>
      </c>
      <c r="BR266" s="254">
        <v>0</v>
      </c>
      <c r="BS266" s="254">
        <v>0</v>
      </c>
      <c r="BT266" s="254">
        <v>0</v>
      </c>
      <c r="BU266" s="254">
        <v>0</v>
      </c>
      <c r="BV266" s="254">
        <v>0</v>
      </c>
      <c r="BW266" s="254">
        <v>0</v>
      </c>
      <c r="BX266" s="254">
        <v>0</v>
      </c>
      <c r="BY266" s="254">
        <v>0</v>
      </c>
      <c r="BZ266" s="254">
        <v>0</v>
      </c>
      <c r="CA266" s="254">
        <v>0</v>
      </c>
      <c r="CB266" s="254">
        <v>0</v>
      </c>
      <c r="CC266" s="254">
        <v>0</v>
      </c>
      <c r="CD266" s="254">
        <v>0</v>
      </c>
      <c r="CE266" s="254">
        <v>0</v>
      </c>
      <c r="CF266" s="254">
        <v>0</v>
      </c>
      <c r="CG266" s="254">
        <v>0</v>
      </c>
      <c r="CH266" s="254">
        <v>0</v>
      </c>
      <c r="CI266" s="254">
        <v>0</v>
      </c>
      <c r="CJ266" s="254">
        <v>0</v>
      </c>
      <c r="CK266" s="254">
        <v>0</v>
      </c>
      <c r="CL266" s="254">
        <v>0</v>
      </c>
      <c r="CM266" s="254">
        <v>0</v>
      </c>
      <c r="CN266" s="254">
        <v>0</v>
      </c>
      <c r="CO266" s="254">
        <v>0</v>
      </c>
      <c r="CP266" s="254">
        <v>0</v>
      </c>
      <c r="CQ266" s="116"/>
      <c r="CR266" s="255">
        <v>0</v>
      </c>
      <c r="CS266" s="255">
        <v>0</v>
      </c>
      <c r="CT266" s="255">
        <v>0</v>
      </c>
      <c r="CU266" s="255">
        <v>0</v>
      </c>
      <c r="CV266" s="255">
        <v>0</v>
      </c>
      <c r="CW266" s="255">
        <v>0</v>
      </c>
      <c r="CX266" s="255">
        <v>0</v>
      </c>
      <c r="CY266" s="255">
        <v>0</v>
      </c>
      <c r="CZ266" s="255">
        <v>0</v>
      </c>
      <c r="DA266" s="255">
        <v>0</v>
      </c>
      <c r="DB266" s="255">
        <v>0</v>
      </c>
      <c r="DC266" s="255">
        <v>0</v>
      </c>
      <c r="DD266" s="255">
        <v>0</v>
      </c>
      <c r="DE266" s="255">
        <v>0</v>
      </c>
      <c r="DF266" s="255">
        <v>2940.56</v>
      </c>
      <c r="DG266" s="255">
        <v>2940.56</v>
      </c>
      <c r="DH266" s="255">
        <v>4998.9520000000002</v>
      </c>
      <c r="DI266" s="255">
        <v>5293.0079999999998</v>
      </c>
      <c r="DJ266" s="255">
        <v>5587.0640000000003</v>
      </c>
      <c r="DK266" s="255">
        <v>4410.84</v>
      </c>
      <c r="DL266" s="255">
        <v>5293.0079999999998</v>
      </c>
      <c r="DM266" s="255">
        <v>5293.0079999999998</v>
      </c>
      <c r="DN266" s="255">
        <v>4998.9520000000002</v>
      </c>
      <c r="DO266" s="255">
        <v>3528.672</v>
      </c>
      <c r="DP266" s="255">
        <v>6763.2880000000005</v>
      </c>
      <c r="DQ266" s="255">
        <v>4704.8959999999997</v>
      </c>
      <c r="DR266" s="255">
        <v>4848.0320000000002</v>
      </c>
      <c r="DS266" s="255">
        <v>5757.0380000000005</v>
      </c>
      <c r="DT266" s="255">
        <v>5454.0360000000001</v>
      </c>
      <c r="DU266" s="255">
        <v>5151.0340000000006</v>
      </c>
      <c r="DV266" s="255">
        <v>5454.0360000000001</v>
      </c>
      <c r="DW266" s="255">
        <v>5151.0340000000006</v>
      </c>
      <c r="DX266" s="255">
        <v>5454.0360000000001</v>
      </c>
      <c r="DY266" s="255">
        <v>5454.0360000000001</v>
      </c>
      <c r="DZ266" s="255">
        <v>5151.0340000000006</v>
      </c>
      <c r="EA266" s="255">
        <v>4848.0320000000002</v>
      </c>
      <c r="EB266" s="255">
        <v>5757.0380000000005</v>
      </c>
      <c r="EC266" s="255">
        <v>4848.0320000000002</v>
      </c>
      <c r="ED266" s="255">
        <v>5927.0119999999997</v>
      </c>
      <c r="EE266" s="255">
        <v>4991.1679999999997</v>
      </c>
      <c r="EF266" s="255">
        <v>5927.0119999999997</v>
      </c>
      <c r="EG266" s="255">
        <v>5927.0119999999997</v>
      </c>
      <c r="EH266" s="255">
        <v>4991.1679999999997</v>
      </c>
      <c r="EI266" s="255">
        <v>5615.0639999999994</v>
      </c>
      <c r="EJ266" s="255">
        <v>5303.116</v>
      </c>
      <c r="EK266" s="255">
        <v>5615.0639999999994</v>
      </c>
      <c r="EL266" s="255">
        <v>5615.0639999999994</v>
      </c>
      <c r="EM266" s="255">
        <v>4367.2719999999999</v>
      </c>
      <c r="EN266" s="255">
        <v>0</v>
      </c>
      <c r="EO266" s="255">
        <v>0</v>
      </c>
      <c r="EP266" s="255">
        <v>0</v>
      </c>
      <c r="EQ266" s="255">
        <v>0</v>
      </c>
      <c r="ER266" s="255">
        <v>0</v>
      </c>
      <c r="ES266" s="255">
        <v>0</v>
      </c>
      <c r="ET266" s="255">
        <v>0</v>
      </c>
      <c r="EU266" s="255">
        <v>0</v>
      </c>
      <c r="EV266" s="255">
        <v>0</v>
      </c>
      <c r="EW266" s="255">
        <v>0</v>
      </c>
      <c r="EX266" s="255">
        <v>0</v>
      </c>
      <c r="EY266" s="255">
        <v>0</v>
      </c>
      <c r="EZ266" s="255">
        <v>0</v>
      </c>
      <c r="FA266" s="255">
        <v>0</v>
      </c>
      <c r="FB266" s="255">
        <v>0</v>
      </c>
      <c r="FC266" s="255">
        <v>0</v>
      </c>
      <c r="FD266" s="255">
        <v>0</v>
      </c>
      <c r="FE266" s="255">
        <v>0</v>
      </c>
      <c r="FF266" s="255">
        <v>0</v>
      </c>
      <c r="FG266" s="255">
        <v>0</v>
      </c>
      <c r="FH266" s="255">
        <v>0</v>
      </c>
      <c r="FI266" s="255">
        <v>0</v>
      </c>
      <c r="FJ266" s="255">
        <v>0</v>
      </c>
      <c r="FK266" s="255">
        <v>0</v>
      </c>
      <c r="FL266" s="255">
        <v>0</v>
      </c>
      <c r="FM266" s="255">
        <v>0</v>
      </c>
      <c r="FN266" s="255">
        <v>0</v>
      </c>
      <c r="FO266" s="255">
        <v>0</v>
      </c>
      <c r="FP266" s="255">
        <v>0</v>
      </c>
      <c r="FQ266" s="255">
        <v>0</v>
      </c>
      <c r="FR266" s="255">
        <v>0</v>
      </c>
      <c r="FS266" s="255">
        <v>0</v>
      </c>
      <c r="FT266" s="255">
        <v>0</v>
      </c>
      <c r="FU266" s="255">
        <v>0</v>
      </c>
      <c r="FV266" s="255">
        <v>0</v>
      </c>
      <c r="FW266" s="255">
        <v>0</v>
      </c>
      <c r="FX266" s="116"/>
    </row>
    <row r="267" spans="2:180" x14ac:dyDescent="0.2">
      <c r="B267" s="253" t="s">
        <v>231</v>
      </c>
      <c r="C267" s="253" t="s">
        <v>301</v>
      </c>
      <c r="D267" s="253" t="s">
        <v>258</v>
      </c>
      <c r="E267" s="253" t="s">
        <v>127</v>
      </c>
      <c r="F267" s="253">
        <v>0</v>
      </c>
      <c r="G267" s="253" t="s">
        <v>322</v>
      </c>
      <c r="H267" s="237">
        <v>210.04</v>
      </c>
      <c r="I267" s="126">
        <f t="shared" si="89"/>
        <v>289848.63</v>
      </c>
      <c r="J267" s="116"/>
      <c r="K267" s="254">
        <v>0</v>
      </c>
      <c r="L267" s="254">
        <v>0</v>
      </c>
      <c r="M267" s="254">
        <v>0</v>
      </c>
      <c r="N267" s="254">
        <v>0</v>
      </c>
      <c r="O267" s="254">
        <v>0</v>
      </c>
      <c r="P267" s="254">
        <v>0</v>
      </c>
      <c r="Q267" s="254">
        <v>0</v>
      </c>
      <c r="R267" s="254">
        <v>0</v>
      </c>
      <c r="S267" s="254">
        <v>0</v>
      </c>
      <c r="T267" s="254">
        <v>0</v>
      </c>
      <c r="U267" s="254">
        <v>0</v>
      </c>
      <c r="V267" s="254">
        <v>0</v>
      </c>
      <c r="W267" s="254">
        <v>0</v>
      </c>
      <c r="X267" s="254">
        <v>0</v>
      </c>
      <c r="Y267" s="254">
        <v>0</v>
      </c>
      <c r="Z267" s="254">
        <v>0</v>
      </c>
      <c r="AA267" s="254">
        <v>0.13026315789473686</v>
      </c>
      <c r="AB267" s="254">
        <v>0.13421052631578947</v>
      </c>
      <c r="AC267" s="254">
        <v>0.1842857142857143</v>
      </c>
      <c r="AD267" s="254">
        <v>0.13285714285714287</v>
      </c>
      <c r="AE267" s="254">
        <v>0.14571428571428571</v>
      </c>
      <c r="AF267" s="254">
        <v>0.14571428571428571</v>
      </c>
      <c r="AG267" s="254">
        <v>0.14142857142857143</v>
      </c>
      <c r="AH267" s="254">
        <v>0.16</v>
      </c>
      <c r="AI267" s="254">
        <v>0.26857142857142857</v>
      </c>
      <c r="AJ267" s="254">
        <v>0.13714285714285715</v>
      </c>
      <c r="AK267" s="254">
        <v>0.13714285714285715</v>
      </c>
      <c r="AL267" s="254">
        <v>0.2</v>
      </c>
      <c r="AM267" s="254">
        <v>0.15</v>
      </c>
      <c r="AN267" s="254">
        <v>0.14605263157894735</v>
      </c>
      <c r="AO267" s="254">
        <v>0.14571428571428571</v>
      </c>
      <c r="AP267" s="254">
        <v>0.14142857142857143</v>
      </c>
      <c r="AQ267" s="254">
        <v>0.14571428571428571</v>
      </c>
      <c r="AR267" s="254">
        <v>0.14571428571428571</v>
      </c>
      <c r="AS267" s="254">
        <v>0.17571428571428571</v>
      </c>
      <c r="AT267" s="254">
        <v>0.13714285714285715</v>
      </c>
      <c r="AU267" s="254">
        <v>0.24571428571428572</v>
      </c>
      <c r="AV267" s="254">
        <v>0.13714285714285715</v>
      </c>
      <c r="AW267" s="254">
        <v>0.15</v>
      </c>
      <c r="AX267" s="254">
        <v>0.18285714285714286</v>
      </c>
      <c r="AY267" s="254">
        <v>0.16973684210526316</v>
      </c>
      <c r="AZ267" s="254">
        <v>0.16973684210526316</v>
      </c>
      <c r="BA267" s="254">
        <v>0.13714285714285715</v>
      </c>
      <c r="BB267" s="254">
        <v>0.14571428571428571</v>
      </c>
      <c r="BC267" s="254">
        <v>0.14142857142857143</v>
      </c>
      <c r="BD267" s="254">
        <v>0.14571428571428571</v>
      </c>
      <c r="BE267" s="254">
        <v>0.18</v>
      </c>
      <c r="BF267" s="254">
        <v>0.1257142857142857</v>
      </c>
      <c r="BG267" s="254">
        <v>0</v>
      </c>
      <c r="BH267" s="254">
        <v>0</v>
      </c>
      <c r="BI267" s="254">
        <v>0</v>
      </c>
      <c r="BJ267" s="254">
        <v>0</v>
      </c>
      <c r="BK267" s="254">
        <v>0</v>
      </c>
      <c r="BL267" s="254">
        <v>0</v>
      </c>
      <c r="BM267" s="254">
        <v>0</v>
      </c>
      <c r="BN267" s="254">
        <v>0</v>
      </c>
      <c r="BO267" s="254">
        <v>0</v>
      </c>
      <c r="BP267" s="254">
        <v>0</v>
      </c>
      <c r="BQ267" s="254">
        <v>0</v>
      </c>
      <c r="BR267" s="254">
        <v>0</v>
      </c>
      <c r="BS267" s="254">
        <v>0</v>
      </c>
      <c r="BT267" s="254">
        <v>0</v>
      </c>
      <c r="BU267" s="254">
        <v>0</v>
      </c>
      <c r="BV267" s="254">
        <v>0</v>
      </c>
      <c r="BW267" s="254">
        <v>0</v>
      </c>
      <c r="BX267" s="254">
        <v>0</v>
      </c>
      <c r="BY267" s="254">
        <v>0</v>
      </c>
      <c r="BZ267" s="254">
        <v>0</v>
      </c>
      <c r="CA267" s="254">
        <v>0</v>
      </c>
      <c r="CB267" s="254">
        <v>0</v>
      </c>
      <c r="CC267" s="254">
        <v>0</v>
      </c>
      <c r="CD267" s="254">
        <v>0</v>
      </c>
      <c r="CE267" s="254">
        <v>0</v>
      </c>
      <c r="CF267" s="254">
        <v>0</v>
      </c>
      <c r="CG267" s="254">
        <v>0</v>
      </c>
      <c r="CH267" s="254">
        <v>0</v>
      </c>
      <c r="CI267" s="254">
        <v>0</v>
      </c>
      <c r="CJ267" s="254">
        <v>0</v>
      </c>
      <c r="CK267" s="254">
        <v>0</v>
      </c>
      <c r="CL267" s="254">
        <v>0</v>
      </c>
      <c r="CM267" s="254">
        <v>0</v>
      </c>
      <c r="CN267" s="254">
        <v>0</v>
      </c>
      <c r="CO267" s="254">
        <v>0</v>
      </c>
      <c r="CP267" s="254">
        <v>0</v>
      </c>
      <c r="CQ267" s="116"/>
      <c r="CR267" s="255">
        <v>0</v>
      </c>
      <c r="CS267" s="255">
        <v>0</v>
      </c>
      <c r="CT267" s="255">
        <v>0</v>
      </c>
      <c r="CU267" s="255">
        <v>0</v>
      </c>
      <c r="CV267" s="255">
        <v>0</v>
      </c>
      <c r="CW267" s="255">
        <v>0</v>
      </c>
      <c r="CX267" s="255">
        <v>0</v>
      </c>
      <c r="CY267" s="255">
        <v>0</v>
      </c>
      <c r="CZ267" s="255">
        <v>0</v>
      </c>
      <c r="DA267" s="255">
        <v>0</v>
      </c>
      <c r="DB267" s="255">
        <v>0</v>
      </c>
      <c r="DC267" s="255">
        <v>0</v>
      </c>
      <c r="DD267" s="255">
        <v>0</v>
      </c>
      <c r="DE267" s="255">
        <v>0</v>
      </c>
      <c r="DF267" s="255">
        <v>0</v>
      </c>
      <c r="DG267" s="255">
        <v>0</v>
      </c>
      <c r="DH267" s="255">
        <v>8317.3860000000004</v>
      </c>
      <c r="DI267" s="255">
        <v>8569.4279999999999</v>
      </c>
      <c r="DJ267" s="255">
        <v>10837.806</v>
      </c>
      <c r="DK267" s="255">
        <v>7813.3020000000006</v>
      </c>
      <c r="DL267" s="255">
        <v>8569.4279999999999</v>
      </c>
      <c r="DM267" s="255">
        <v>8569.4279999999999</v>
      </c>
      <c r="DN267" s="255">
        <v>8317.3860000000004</v>
      </c>
      <c r="DO267" s="255">
        <v>7057.1760000000004</v>
      </c>
      <c r="DP267" s="255">
        <v>11845.974</v>
      </c>
      <c r="DQ267" s="255">
        <v>8065.3439999999991</v>
      </c>
      <c r="DR267" s="255">
        <v>8310.9120000000003</v>
      </c>
      <c r="DS267" s="255">
        <v>9090.06</v>
      </c>
      <c r="DT267" s="255">
        <v>9869.2080000000005</v>
      </c>
      <c r="DU267" s="255">
        <v>9609.4920000000002</v>
      </c>
      <c r="DV267" s="255">
        <v>8830.3439999999991</v>
      </c>
      <c r="DW267" s="255">
        <v>8570.6280000000006</v>
      </c>
      <c r="DX267" s="255">
        <v>8830.3439999999991</v>
      </c>
      <c r="DY267" s="255">
        <v>8830.3439999999991</v>
      </c>
      <c r="DZ267" s="255">
        <v>10648.356000000002</v>
      </c>
      <c r="EA267" s="255">
        <v>6233.1840000000002</v>
      </c>
      <c r="EB267" s="255">
        <v>11167.788</v>
      </c>
      <c r="EC267" s="255">
        <v>8310.9120000000003</v>
      </c>
      <c r="ED267" s="255">
        <v>9358.44</v>
      </c>
      <c r="EE267" s="255">
        <v>8556.2879999999986</v>
      </c>
      <c r="EF267" s="255">
        <v>11497.512000000001</v>
      </c>
      <c r="EG267" s="255">
        <v>11497.512000000001</v>
      </c>
      <c r="EH267" s="255">
        <v>8556.2879999999986</v>
      </c>
      <c r="EI267" s="255">
        <v>9091.0559999999987</v>
      </c>
      <c r="EJ267" s="255">
        <v>8823.6720000000005</v>
      </c>
      <c r="EK267" s="255">
        <v>9091.0559999999987</v>
      </c>
      <c r="EL267" s="255">
        <v>11230.127999999999</v>
      </c>
      <c r="EM267" s="255">
        <v>5882.4479999999994</v>
      </c>
      <c r="EN267" s="255">
        <v>0</v>
      </c>
      <c r="EO267" s="255">
        <v>0</v>
      </c>
      <c r="EP267" s="255">
        <v>0</v>
      </c>
      <c r="EQ267" s="255">
        <v>0</v>
      </c>
      <c r="ER267" s="255">
        <v>0</v>
      </c>
      <c r="ES267" s="255">
        <v>0</v>
      </c>
      <c r="ET267" s="255">
        <v>0</v>
      </c>
      <c r="EU267" s="255">
        <v>0</v>
      </c>
      <c r="EV267" s="255">
        <v>0</v>
      </c>
      <c r="EW267" s="255">
        <v>0</v>
      </c>
      <c r="EX267" s="255">
        <v>0</v>
      </c>
      <c r="EY267" s="255">
        <v>0</v>
      </c>
      <c r="EZ267" s="255">
        <v>0</v>
      </c>
      <c r="FA267" s="255">
        <v>0</v>
      </c>
      <c r="FB267" s="255">
        <v>0</v>
      </c>
      <c r="FC267" s="255">
        <v>0</v>
      </c>
      <c r="FD267" s="255">
        <v>0</v>
      </c>
      <c r="FE267" s="255">
        <v>0</v>
      </c>
      <c r="FF267" s="255">
        <v>0</v>
      </c>
      <c r="FG267" s="255">
        <v>0</v>
      </c>
      <c r="FH267" s="255">
        <v>0</v>
      </c>
      <c r="FI267" s="255">
        <v>0</v>
      </c>
      <c r="FJ267" s="255">
        <v>0</v>
      </c>
      <c r="FK267" s="255">
        <v>0</v>
      </c>
      <c r="FL267" s="255">
        <v>0</v>
      </c>
      <c r="FM267" s="255">
        <v>0</v>
      </c>
      <c r="FN267" s="255">
        <v>0</v>
      </c>
      <c r="FO267" s="255">
        <v>0</v>
      </c>
      <c r="FP267" s="255">
        <v>0</v>
      </c>
      <c r="FQ267" s="255">
        <v>0</v>
      </c>
      <c r="FR267" s="255">
        <v>0</v>
      </c>
      <c r="FS267" s="255">
        <v>0</v>
      </c>
      <c r="FT267" s="255">
        <v>0</v>
      </c>
      <c r="FU267" s="255">
        <v>0</v>
      </c>
      <c r="FV267" s="255">
        <v>0</v>
      </c>
      <c r="FW267" s="255">
        <v>0</v>
      </c>
      <c r="FX267" s="116"/>
    </row>
    <row r="268" spans="2:180" x14ac:dyDescent="0.2">
      <c r="B268" s="253" t="s">
        <v>231</v>
      </c>
      <c r="C268" s="253" t="s">
        <v>301</v>
      </c>
      <c r="D268" s="253" t="s">
        <v>258</v>
      </c>
      <c r="E268" s="253" t="s">
        <v>127</v>
      </c>
      <c r="F268" s="253" t="s">
        <v>263</v>
      </c>
      <c r="G268" s="253" t="s">
        <v>260</v>
      </c>
      <c r="H268" s="237">
        <v>210.04</v>
      </c>
      <c r="I268" s="126">
        <f t="shared" si="89"/>
        <v>168478.05800000008</v>
      </c>
      <c r="J268" s="116"/>
      <c r="K268" s="254">
        <v>0</v>
      </c>
      <c r="L268" s="254">
        <v>0</v>
      </c>
      <c r="M268" s="254">
        <v>0</v>
      </c>
      <c r="N268" s="254">
        <v>0</v>
      </c>
      <c r="O268" s="254">
        <v>0</v>
      </c>
      <c r="P268" s="254">
        <v>0</v>
      </c>
      <c r="Q268" s="254">
        <v>0</v>
      </c>
      <c r="R268" s="254">
        <v>0</v>
      </c>
      <c r="S268" s="254">
        <v>0</v>
      </c>
      <c r="T268" s="254">
        <v>0</v>
      </c>
      <c r="U268" s="254">
        <v>0</v>
      </c>
      <c r="V268" s="254">
        <v>0</v>
      </c>
      <c r="W268" s="254">
        <v>0</v>
      </c>
      <c r="X268" s="254">
        <v>0</v>
      </c>
      <c r="Y268" s="254">
        <v>0</v>
      </c>
      <c r="Z268" s="254">
        <v>0</v>
      </c>
      <c r="AA268" s="254">
        <v>0.15657894736842107</v>
      </c>
      <c r="AB268" s="254">
        <v>0.16578947368421051</v>
      </c>
      <c r="AC268" s="254">
        <v>0.19</v>
      </c>
      <c r="AD268" s="254">
        <v>0.15</v>
      </c>
      <c r="AE268" s="254">
        <v>0.18</v>
      </c>
      <c r="AF268" s="254">
        <v>0.18</v>
      </c>
      <c r="AG268" s="254">
        <v>0.17</v>
      </c>
      <c r="AH268" s="254">
        <v>0.16</v>
      </c>
      <c r="AI268" s="254">
        <v>0.3066666666666667</v>
      </c>
      <c r="AJ268" s="254">
        <v>0.16</v>
      </c>
      <c r="AK268" s="254">
        <v>0.16</v>
      </c>
      <c r="AL268" s="254">
        <v>0.25333333333333335</v>
      </c>
      <c r="AM268" s="254">
        <v>0.16578947368421051</v>
      </c>
      <c r="AN268" s="254">
        <v>0.15657894736842107</v>
      </c>
      <c r="AO268" s="254">
        <v>0.18</v>
      </c>
      <c r="AP268" s="254">
        <v>0.17</v>
      </c>
      <c r="AQ268" s="254">
        <v>0.18</v>
      </c>
      <c r="AR268" s="254">
        <v>0.18</v>
      </c>
      <c r="AS268" s="254">
        <v>0.17</v>
      </c>
      <c r="AT268" s="254">
        <v>0.21333333333333332</v>
      </c>
      <c r="AU268" s="254">
        <v>0.25333333333333335</v>
      </c>
      <c r="AV268" s="254">
        <v>0.16</v>
      </c>
      <c r="AW268" s="254">
        <v>0.19</v>
      </c>
      <c r="AX268" s="254">
        <v>0.21333333333333332</v>
      </c>
      <c r="AY268" s="254">
        <v>0.17500000000000002</v>
      </c>
      <c r="AZ268" s="254">
        <v>0.17500000000000002</v>
      </c>
      <c r="BA268" s="254">
        <v>0.16</v>
      </c>
      <c r="BB268" s="254">
        <v>0.18</v>
      </c>
      <c r="BC268" s="254">
        <v>0.17</v>
      </c>
      <c r="BD268" s="254">
        <v>0.18</v>
      </c>
      <c r="BE268" s="254">
        <v>0.18</v>
      </c>
      <c r="BF268" s="254">
        <v>0.18666666666666668</v>
      </c>
      <c r="BG268" s="254">
        <v>0</v>
      </c>
      <c r="BH268" s="254">
        <v>0</v>
      </c>
      <c r="BI268" s="254">
        <v>0</v>
      </c>
      <c r="BJ268" s="254">
        <v>0</v>
      </c>
      <c r="BK268" s="254">
        <v>0</v>
      </c>
      <c r="BL268" s="254">
        <v>0</v>
      </c>
      <c r="BM268" s="254">
        <v>0</v>
      </c>
      <c r="BN268" s="254">
        <v>0</v>
      </c>
      <c r="BO268" s="254">
        <v>0</v>
      </c>
      <c r="BP268" s="254">
        <v>0</v>
      </c>
      <c r="BQ268" s="254">
        <v>0</v>
      </c>
      <c r="BR268" s="254">
        <v>0</v>
      </c>
      <c r="BS268" s="254">
        <v>0</v>
      </c>
      <c r="BT268" s="254">
        <v>0</v>
      </c>
      <c r="BU268" s="254">
        <v>0</v>
      </c>
      <c r="BV268" s="254">
        <v>0</v>
      </c>
      <c r="BW268" s="254">
        <v>0</v>
      </c>
      <c r="BX268" s="254">
        <v>0</v>
      </c>
      <c r="BY268" s="254">
        <v>0</v>
      </c>
      <c r="BZ268" s="254">
        <v>0</v>
      </c>
      <c r="CA268" s="254">
        <v>0</v>
      </c>
      <c r="CB268" s="254">
        <v>0</v>
      </c>
      <c r="CC268" s="254">
        <v>0</v>
      </c>
      <c r="CD268" s="254">
        <v>0</v>
      </c>
      <c r="CE268" s="254">
        <v>0</v>
      </c>
      <c r="CF268" s="254">
        <v>0</v>
      </c>
      <c r="CG268" s="254">
        <v>0</v>
      </c>
      <c r="CH268" s="254">
        <v>0</v>
      </c>
      <c r="CI268" s="254">
        <v>0</v>
      </c>
      <c r="CJ268" s="254">
        <v>0</v>
      </c>
      <c r="CK268" s="254">
        <v>0</v>
      </c>
      <c r="CL268" s="254">
        <v>0</v>
      </c>
      <c r="CM268" s="254">
        <v>0</v>
      </c>
      <c r="CN268" s="254">
        <v>0</v>
      </c>
      <c r="CO268" s="254">
        <v>0</v>
      </c>
      <c r="CP268" s="254">
        <v>0</v>
      </c>
      <c r="CQ268" s="116"/>
      <c r="CR268" s="255">
        <v>0</v>
      </c>
      <c r="CS268" s="255">
        <v>0</v>
      </c>
      <c r="CT268" s="255">
        <v>0</v>
      </c>
      <c r="CU268" s="255">
        <v>0</v>
      </c>
      <c r="CV268" s="255">
        <v>0</v>
      </c>
      <c r="CW268" s="255">
        <v>0</v>
      </c>
      <c r="CX268" s="255">
        <v>0</v>
      </c>
      <c r="CY268" s="255">
        <v>0</v>
      </c>
      <c r="CZ268" s="255">
        <v>0</v>
      </c>
      <c r="DA268" s="255">
        <v>0</v>
      </c>
      <c r="DB268" s="255">
        <v>0</v>
      </c>
      <c r="DC268" s="255">
        <v>0</v>
      </c>
      <c r="DD268" s="255">
        <v>0</v>
      </c>
      <c r="DE268" s="255">
        <v>0</v>
      </c>
      <c r="DF268" s="255">
        <v>0</v>
      </c>
      <c r="DG268" s="255">
        <v>0</v>
      </c>
      <c r="DH268" s="255">
        <v>4998.9520000000002</v>
      </c>
      <c r="DI268" s="255">
        <v>5293.0079999999998</v>
      </c>
      <c r="DJ268" s="255">
        <v>5587.0640000000003</v>
      </c>
      <c r="DK268" s="255">
        <v>4410.84</v>
      </c>
      <c r="DL268" s="255">
        <v>5293.0079999999998</v>
      </c>
      <c r="DM268" s="255">
        <v>5293.0079999999998</v>
      </c>
      <c r="DN268" s="255">
        <v>4998.9520000000002</v>
      </c>
      <c r="DO268" s="255">
        <v>3528.672</v>
      </c>
      <c r="DP268" s="255">
        <v>6763.2880000000005</v>
      </c>
      <c r="DQ268" s="255">
        <v>4704.8959999999997</v>
      </c>
      <c r="DR268" s="255">
        <v>4848.0320000000002</v>
      </c>
      <c r="DS268" s="255">
        <v>5757.0380000000005</v>
      </c>
      <c r="DT268" s="255">
        <v>5454.0360000000001</v>
      </c>
      <c r="DU268" s="255">
        <v>5151.0340000000006</v>
      </c>
      <c r="DV268" s="255">
        <v>5454.0360000000001</v>
      </c>
      <c r="DW268" s="255">
        <v>5151.0340000000006</v>
      </c>
      <c r="DX268" s="255">
        <v>5454.0360000000001</v>
      </c>
      <c r="DY268" s="255">
        <v>5454.0360000000001</v>
      </c>
      <c r="DZ268" s="255">
        <v>5151.0340000000006</v>
      </c>
      <c r="EA268" s="255">
        <v>4848.0320000000002</v>
      </c>
      <c r="EB268" s="255">
        <v>5757.0380000000005</v>
      </c>
      <c r="EC268" s="255">
        <v>4848.0320000000002</v>
      </c>
      <c r="ED268" s="255">
        <v>5927.0119999999997</v>
      </c>
      <c r="EE268" s="255">
        <v>4991.1679999999997</v>
      </c>
      <c r="EF268" s="255">
        <v>5927.0119999999997</v>
      </c>
      <c r="EG268" s="255">
        <v>5927.0119999999997</v>
      </c>
      <c r="EH268" s="255">
        <v>4991.1679999999997</v>
      </c>
      <c r="EI268" s="255">
        <v>5615.0639999999994</v>
      </c>
      <c r="EJ268" s="255">
        <v>5303.116</v>
      </c>
      <c r="EK268" s="255">
        <v>5615.0639999999994</v>
      </c>
      <c r="EL268" s="255">
        <v>5615.0639999999994</v>
      </c>
      <c r="EM268" s="255">
        <v>4367.2719999999999</v>
      </c>
      <c r="EN268" s="255">
        <v>0</v>
      </c>
      <c r="EO268" s="255">
        <v>0</v>
      </c>
      <c r="EP268" s="255">
        <v>0</v>
      </c>
      <c r="EQ268" s="255">
        <v>0</v>
      </c>
      <c r="ER268" s="255">
        <v>0</v>
      </c>
      <c r="ES268" s="255">
        <v>0</v>
      </c>
      <c r="ET268" s="255">
        <v>0</v>
      </c>
      <c r="EU268" s="255">
        <v>0</v>
      </c>
      <c r="EV268" s="255">
        <v>0</v>
      </c>
      <c r="EW268" s="255">
        <v>0</v>
      </c>
      <c r="EX268" s="255">
        <v>0</v>
      </c>
      <c r="EY268" s="255">
        <v>0</v>
      </c>
      <c r="EZ268" s="255">
        <v>0</v>
      </c>
      <c r="FA268" s="255">
        <v>0</v>
      </c>
      <c r="FB268" s="255">
        <v>0</v>
      </c>
      <c r="FC268" s="255">
        <v>0</v>
      </c>
      <c r="FD268" s="255">
        <v>0</v>
      </c>
      <c r="FE268" s="255">
        <v>0</v>
      </c>
      <c r="FF268" s="255">
        <v>0</v>
      </c>
      <c r="FG268" s="255">
        <v>0</v>
      </c>
      <c r="FH268" s="255">
        <v>0</v>
      </c>
      <c r="FI268" s="255">
        <v>0</v>
      </c>
      <c r="FJ268" s="255">
        <v>0</v>
      </c>
      <c r="FK268" s="255">
        <v>0</v>
      </c>
      <c r="FL268" s="255">
        <v>0</v>
      </c>
      <c r="FM268" s="255">
        <v>0</v>
      </c>
      <c r="FN268" s="255">
        <v>0</v>
      </c>
      <c r="FO268" s="255">
        <v>0</v>
      </c>
      <c r="FP268" s="255">
        <v>0</v>
      </c>
      <c r="FQ268" s="255">
        <v>0</v>
      </c>
      <c r="FR268" s="255">
        <v>0</v>
      </c>
      <c r="FS268" s="255">
        <v>0</v>
      </c>
      <c r="FT268" s="255">
        <v>0</v>
      </c>
      <c r="FU268" s="255">
        <v>0</v>
      </c>
      <c r="FV268" s="255">
        <v>0</v>
      </c>
      <c r="FW268" s="255">
        <v>0</v>
      </c>
      <c r="FX268" s="116"/>
    </row>
    <row r="269" spans="2:180" x14ac:dyDescent="0.2">
      <c r="B269" s="253" t="s">
        <v>231</v>
      </c>
      <c r="C269" s="253" t="s">
        <v>301</v>
      </c>
      <c r="D269" s="253" t="s">
        <v>258</v>
      </c>
      <c r="E269" s="253" t="s">
        <v>127</v>
      </c>
      <c r="F269" s="253">
        <v>0</v>
      </c>
      <c r="G269" s="253" t="s">
        <v>322</v>
      </c>
      <c r="H269" s="237">
        <v>210.04</v>
      </c>
      <c r="I269" s="126">
        <f t="shared" si="89"/>
        <v>289848.63</v>
      </c>
      <c r="J269" s="116"/>
      <c r="K269" s="254">
        <v>0</v>
      </c>
      <c r="L269" s="254">
        <v>0</v>
      </c>
      <c r="M269" s="254">
        <v>0</v>
      </c>
      <c r="N269" s="254">
        <v>0</v>
      </c>
      <c r="O269" s="254">
        <v>0</v>
      </c>
      <c r="P269" s="254">
        <v>0</v>
      </c>
      <c r="Q269" s="254">
        <v>0</v>
      </c>
      <c r="R269" s="254">
        <v>0</v>
      </c>
      <c r="S269" s="254">
        <v>0</v>
      </c>
      <c r="T269" s="254">
        <v>0</v>
      </c>
      <c r="U269" s="254">
        <v>0</v>
      </c>
      <c r="V269" s="254">
        <v>0</v>
      </c>
      <c r="W269" s="254">
        <v>0</v>
      </c>
      <c r="X269" s="254">
        <v>0</v>
      </c>
      <c r="Y269" s="254">
        <v>0</v>
      </c>
      <c r="Z269" s="254">
        <v>0</v>
      </c>
      <c r="AA269" s="254">
        <v>0.13026315789473686</v>
      </c>
      <c r="AB269" s="254">
        <v>0.13421052631578947</v>
      </c>
      <c r="AC269" s="254">
        <v>0.1842857142857143</v>
      </c>
      <c r="AD269" s="254">
        <v>0.13285714285714287</v>
      </c>
      <c r="AE269" s="254">
        <v>0.14571428571428571</v>
      </c>
      <c r="AF269" s="254">
        <v>0.14571428571428571</v>
      </c>
      <c r="AG269" s="254">
        <v>0.14142857142857143</v>
      </c>
      <c r="AH269" s="254">
        <v>0.16</v>
      </c>
      <c r="AI269" s="254">
        <v>0.26857142857142857</v>
      </c>
      <c r="AJ269" s="254">
        <v>0.13714285714285715</v>
      </c>
      <c r="AK269" s="254">
        <v>0.13714285714285715</v>
      </c>
      <c r="AL269" s="254">
        <v>0.2</v>
      </c>
      <c r="AM269" s="254">
        <v>0.15</v>
      </c>
      <c r="AN269" s="254">
        <v>0.14605263157894735</v>
      </c>
      <c r="AO269" s="254">
        <v>0.14571428571428571</v>
      </c>
      <c r="AP269" s="254">
        <v>0.14142857142857143</v>
      </c>
      <c r="AQ269" s="254">
        <v>0.14571428571428571</v>
      </c>
      <c r="AR269" s="254">
        <v>0.14571428571428571</v>
      </c>
      <c r="AS269" s="254">
        <v>0.17571428571428571</v>
      </c>
      <c r="AT269" s="254">
        <v>0.13714285714285715</v>
      </c>
      <c r="AU269" s="254">
        <v>0.24571428571428572</v>
      </c>
      <c r="AV269" s="254">
        <v>0.13714285714285715</v>
      </c>
      <c r="AW269" s="254">
        <v>0.15</v>
      </c>
      <c r="AX269" s="254">
        <v>0.18285714285714286</v>
      </c>
      <c r="AY269" s="254">
        <v>0.16973684210526316</v>
      </c>
      <c r="AZ269" s="254">
        <v>0.16973684210526316</v>
      </c>
      <c r="BA269" s="254">
        <v>0.13714285714285715</v>
      </c>
      <c r="BB269" s="254">
        <v>0.14571428571428571</v>
      </c>
      <c r="BC269" s="254">
        <v>0.14142857142857143</v>
      </c>
      <c r="BD269" s="254">
        <v>0.14571428571428571</v>
      </c>
      <c r="BE269" s="254">
        <v>0.18</v>
      </c>
      <c r="BF269" s="254">
        <v>0.1257142857142857</v>
      </c>
      <c r="BG269" s="254">
        <v>0</v>
      </c>
      <c r="BH269" s="254">
        <v>0</v>
      </c>
      <c r="BI269" s="254">
        <v>0</v>
      </c>
      <c r="BJ269" s="254">
        <v>0</v>
      </c>
      <c r="BK269" s="254">
        <v>0</v>
      </c>
      <c r="BL269" s="254">
        <v>0</v>
      </c>
      <c r="BM269" s="254">
        <v>0</v>
      </c>
      <c r="BN269" s="254">
        <v>0</v>
      </c>
      <c r="BO269" s="254">
        <v>0</v>
      </c>
      <c r="BP269" s="254">
        <v>0</v>
      </c>
      <c r="BQ269" s="254">
        <v>0</v>
      </c>
      <c r="BR269" s="254">
        <v>0</v>
      </c>
      <c r="BS269" s="254">
        <v>0</v>
      </c>
      <c r="BT269" s="254">
        <v>0</v>
      </c>
      <c r="BU269" s="254">
        <v>0</v>
      </c>
      <c r="BV269" s="254">
        <v>0</v>
      </c>
      <c r="BW269" s="254">
        <v>0</v>
      </c>
      <c r="BX269" s="254">
        <v>0</v>
      </c>
      <c r="BY269" s="254">
        <v>0</v>
      </c>
      <c r="BZ269" s="254">
        <v>0</v>
      </c>
      <c r="CA269" s="254">
        <v>0</v>
      </c>
      <c r="CB269" s="254">
        <v>0</v>
      </c>
      <c r="CC269" s="254">
        <v>0</v>
      </c>
      <c r="CD269" s="254">
        <v>0</v>
      </c>
      <c r="CE269" s="254">
        <v>0</v>
      </c>
      <c r="CF269" s="254">
        <v>0</v>
      </c>
      <c r="CG269" s="254">
        <v>0</v>
      </c>
      <c r="CH269" s="254">
        <v>0</v>
      </c>
      <c r="CI269" s="254">
        <v>0</v>
      </c>
      <c r="CJ269" s="254">
        <v>0</v>
      </c>
      <c r="CK269" s="254">
        <v>0</v>
      </c>
      <c r="CL269" s="254">
        <v>0</v>
      </c>
      <c r="CM269" s="254">
        <v>0</v>
      </c>
      <c r="CN269" s="254">
        <v>0</v>
      </c>
      <c r="CO269" s="254">
        <v>0</v>
      </c>
      <c r="CP269" s="254">
        <v>0</v>
      </c>
      <c r="CQ269" s="116"/>
      <c r="CR269" s="255">
        <v>0</v>
      </c>
      <c r="CS269" s="255">
        <v>0</v>
      </c>
      <c r="CT269" s="255">
        <v>0</v>
      </c>
      <c r="CU269" s="255">
        <v>0</v>
      </c>
      <c r="CV269" s="255">
        <v>0</v>
      </c>
      <c r="CW269" s="255">
        <v>0</v>
      </c>
      <c r="CX269" s="255">
        <v>0</v>
      </c>
      <c r="CY269" s="255">
        <v>0</v>
      </c>
      <c r="CZ269" s="255">
        <v>0</v>
      </c>
      <c r="DA269" s="255">
        <v>0</v>
      </c>
      <c r="DB269" s="255">
        <v>0</v>
      </c>
      <c r="DC269" s="255">
        <v>0</v>
      </c>
      <c r="DD269" s="255">
        <v>0</v>
      </c>
      <c r="DE269" s="255">
        <v>0</v>
      </c>
      <c r="DF269" s="255">
        <v>0</v>
      </c>
      <c r="DG269" s="255">
        <v>0</v>
      </c>
      <c r="DH269" s="255">
        <v>8317.3860000000004</v>
      </c>
      <c r="DI269" s="255">
        <v>8569.4279999999999</v>
      </c>
      <c r="DJ269" s="255">
        <v>10837.806</v>
      </c>
      <c r="DK269" s="255">
        <v>7813.3020000000006</v>
      </c>
      <c r="DL269" s="255">
        <v>8569.4279999999999</v>
      </c>
      <c r="DM269" s="255">
        <v>8569.4279999999999</v>
      </c>
      <c r="DN269" s="255">
        <v>8317.3860000000004</v>
      </c>
      <c r="DO269" s="255">
        <v>7057.1760000000004</v>
      </c>
      <c r="DP269" s="255">
        <v>11845.974</v>
      </c>
      <c r="DQ269" s="255">
        <v>8065.3439999999991</v>
      </c>
      <c r="DR269" s="255">
        <v>8310.9120000000003</v>
      </c>
      <c r="DS269" s="255">
        <v>9090.06</v>
      </c>
      <c r="DT269" s="255">
        <v>9869.2080000000005</v>
      </c>
      <c r="DU269" s="255">
        <v>9609.4920000000002</v>
      </c>
      <c r="DV269" s="255">
        <v>8830.3439999999991</v>
      </c>
      <c r="DW269" s="255">
        <v>8570.6280000000006</v>
      </c>
      <c r="DX269" s="255">
        <v>8830.3439999999991</v>
      </c>
      <c r="DY269" s="255">
        <v>8830.3439999999991</v>
      </c>
      <c r="DZ269" s="255">
        <v>10648.356000000002</v>
      </c>
      <c r="EA269" s="255">
        <v>6233.1840000000002</v>
      </c>
      <c r="EB269" s="255">
        <v>11167.788</v>
      </c>
      <c r="EC269" s="255">
        <v>8310.9120000000003</v>
      </c>
      <c r="ED269" s="255">
        <v>9358.44</v>
      </c>
      <c r="EE269" s="255">
        <v>8556.2879999999986</v>
      </c>
      <c r="EF269" s="255">
        <v>11497.512000000001</v>
      </c>
      <c r="EG269" s="255">
        <v>11497.512000000001</v>
      </c>
      <c r="EH269" s="255">
        <v>8556.2879999999986</v>
      </c>
      <c r="EI269" s="255">
        <v>9091.0559999999987</v>
      </c>
      <c r="EJ269" s="255">
        <v>8823.6720000000005</v>
      </c>
      <c r="EK269" s="255">
        <v>9091.0559999999987</v>
      </c>
      <c r="EL269" s="255">
        <v>11230.127999999999</v>
      </c>
      <c r="EM269" s="255">
        <v>5882.4479999999994</v>
      </c>
      <c r="EN269" s="255">
        <v>0</v>
      </c>
      <c r="EO269" s="255">
        <v>0</v>
      </c>
      <c r="EP269" s="255">
        <v>0</v>
      </c>
      <c r="EQ269" s="255">
        <v>0</v>
      </c>
      <c r="ER269" s="255">
        <v>0</v>
      </c>
      <c r="ES269" s="255">
        <v>0</v>
      </c>
      <c r="ET269" s="255">
        <v>0</v>
      </c>
      <c r="EU269" s="255">
        <v>0</v>
      </c>
      <c r="EV269" s="255">
        <v>0</v>
      </c>
      <c r="EW269" s="255">
        <v>0</v>
      </c>
      <c r="EX269" s="255">
        <v>0</v>
      </c>
      <c r="EY269" s="255">
        <v>0</v>
      </c>
      <c r="EZ269" s="255">
        <v>0</v>
      </c>
      <c r="FA269" s="255">
        <v>0</v>
      </c>
      <c r="FB269" s="255">
        <v>0</v>
      </c>
      <c r="FC269" s="255">
        <v>0</v>
      </c>
      <c r="FD269" s="255">
        <v>0</v>
      </c>
      <c r="FE269" s="255">
        <v>0</v>
      </c>
      <c r="FF269" s="255">
        <v>0</v>
      </c>
      <c r="FG269" s="255">
        <v>0</v>
      </c>
      <c r="FH269" s="255">
        <v>0</v>
      </c>
      <c r="FI269" s="255">
        <v>0</v>
      </c>
      <c r="FJ269" s="255">
        <v>0</v>
      </c>
      <c r="FK269" s="255">
        <v>0</v>
      </c>
      <c r="FL269" s="255">
        <v>0</v>
      </c>
      <c r="FM269" s="255">
        <v>0</v>
      </c>
      <c r="FN269" s="255">
        <v>0</v>
      </c>
      <c r="FO269" s="255">
        <v>0</v>
      </c>
      <c r="FP269" s="255">
        <v>0</v>
      </c>
      <c r="FQ269" s="255">
        <v>0</v>
      </c>
      <c r="FR269" s="255">
        <v>0</v>
      </c>
      <c r="FS269" s="255">
        <v>0</v>
      </c>
      <c r="FT269" s="255">
        <v>0</v>
      </c>
      <c r="FU269" s="255">
        <v>0</v>
      </c>
      <c r="FV269" s="255">
        <v>0</v>
      </c>
      <c r="FW269" s="255">
        <v>0</v>
      </c>
      <c r="FX269" s="116"/>
    </row>
    <row r="270" spans="2:180" x14ac:dyDescent="0.2">
      <c r="B270" s="253" t="s">
        <v>216</v>
      </c>
      <c r="C270" s="253" t="s">
        <v>326</v>
      </c>
      <c r="D270" s="253" t="s">
        <v>258</v>
      </c>
      <c r="E270" s="253" t="s">
        <v>127</v>
      </c>
      <c r="F270" s="253" t="s">
        <v>259</v>
      </c>
      <c r="G270" s="253" t="s">
        <v>260</v>
      </c>
      <c r="H270" s="237">
        <v>210.04</v>
      </c>
      <c r="I270" s="126">
        <f t="shared" si="89"/>
        <v>87786.93</v>
      </c>
      <c r="J270" s="116"/>
      <c r="K270" s="254">
        <v>0</v>
      </c>
      <c r="L270" s="254">
        <v>0</v>
      </c>
      <c r="M270" s="254">
        <v>0</v>
      </c>
      <c r="N270" s="254">
        <v>0</v>
      </c>
      <c r="O270" s="254">
        <v>0</v>
      </c>
      <c r="P270" s="254">
        <v>0</v>
      </c>
      <c r="Q270" s="254">
        <v>0</v>
      </c>
      <c r="R270" s="254">
        <v>0</v>
      </c>
      <c r="S270" s="254">
        <v>0</v>
      </c>
      <c r="T270" s="254">
        <v>0</v>
      </c>
      <c r="U270" s="254">
        <v>0</v>
      </c>
      <c r="V270" s="254">
        <v>0</v>
      </c>
      <c r="W270" s="254">
        <v>0</v>
      </c>
      <c r="X270" s="254">
        <v>0</v>
      </c>
      <c r="Y270" s="254">
        <v>0</v>
      </c>
      <c r="Z270" s="254">
        <v>0</v>
      </c>
      <c r="AA270" s="254">
        <v>0</v>
      </c>
      <c r="AB270" s="254">
        <v>0</v>
      </c>
      <c r="AC270" s="254">
        <v>0</v>
      </c>
      <c r="AD270" s="254">
        <v>0</v>
      </c>
      <c r="AE270" s="254">
        <v>0</v>
      </c>
      <c r="AF270" s="254">
        <v>0</v>
      </c>
      <c r="AG270" s="254">
        <v>0</v>
      </c>
      <c r="AH270" s="254">
        <v>0</v>
      </c>
      <c r="AI270" s="254">
        <v>0</v>
      </c>
      <c r="AJ270" s="254">
        <v>0.5</v>
      </c>
      <c r="AK270" s="254">
        <v>0.25</v>
      </c>
      <c r="AL270" s="254">
        <v>0</v>
      </c>
      <c r="AM270" s="254">
        <v>0</v>
      </c>
      <c r="AN270" s="254">
        <v>0</v>
      </c>
      <c r="AO270" s="254">
        <v>0</v>
      </c>
      <c r="AP270" s="254">
        <v>0</v>
      </c>
      <c r="AQ270" s="254">
        <v>0</v>
      </c>
      <c r="AR270" s="254">
        <v>0</v>
      </c>
      <c r="AS270" s="254">
        <v>0</v>
      </c>
      <c r="AT270" s="254">
        <v>0</v>
      </c>
      <c r="AU270" s="254">
        <v>0</v>
      </c>
      <c r="AV270" s="254">
        <v>0</v>
      </c>
      <c r="AW270" s="254">
        <v>0</v>
      </c>
      <c r="AX270" s="254">
        <v>0</v>
      </c>
      <c r="AY270" s="254">
        <v>0</v>
      </c>
      <c r="AZ270" s="254">
        <v>0</v>
      </c>
      <c r="BA270" s="254">
        <v>1.1000000000000001</v>
      </c>
      <c r="BB270" s="254">
        <v>0</v>
      </c>
      <c r="BC270" s="254">
        <v>0</v>
      </c>
      <c r="BD270" s="254">
        <v>0.5</v>
      </c>
      <c r="BE270" s="254">
        <v>0.5</v>
      </c>
      <c r="BF270" s="254">
        <v>0</v>
      </c>
      <c r="BG270" s="254">
        <v>0</v>
      </c>
      <c r="BH270" s="254">
        <v>0</v>
      </c>
      <c r="BI270" s="254">
        <v>0</v>
      </c>
      <c r="BJ270" s="254">
        <v>0</v>
      </c>
      <c r="BK270" s="254">
        <v>0</v>
      </c>
      <c r="BL270" s="254">
        <v>0</v>
      </c>
      <c r="BM270" s="254">
        <v>0</v>
      </c>
      <c r="BN270" s="254">
        <v>0</v>
      </c>
      <c r="BO270" s="254">
        <v>0</v>
      </c>
      <c r="BP270" s="254">
        <v>0</v>
      </c>
      <c r="BQ270" s="254">
        <v>0</v>
      </c>
      <c r="BR270" s="254">
        <v>0</v>
      </c>
      <c r="BS270" s="254">
        <v>0</v>
      </c>
      <c r="BT270" s="254">
        <v>0</v>
      </c>
      <c r="BU270" s="254">
        <v>0</v>
      </c>
      <c r="BV270" s="254">
        <v>0</v>
      </c>
      <c r="BW270" s="254">
        <v>0</v>
      </c>
      <c r="BX270" s="254">
        <v>0</v>
      </c>
      <c r="BY270" s="254">
        <v>0</v>
      </c>
      <c r="BZ270" s="254">
        <v>0</v>
      </c>
      <c r="CA270" s="254">
        <v>0</v>
      </c>
      <c r="CB270" s="254">
        <v>0</v>
      </c>
      <c r="CC270" s="254">
        <v>0</v>
      </c>
      <c r="CD270" s="254">
        <v>0</v>
      </c>
      <c r="CE270" s="254">
        <v>0</v>
      </c>
      <c r="CF270" s="254">
        <v>0</v>
      </c>
      <c r="CG270" s="254">
        <v>0</v>
      </c>
      <c r="CH270" s="254">
        <v>0</v>
      </c>
      <c r="CI270" s="254">
        <v>0</v>
      </c>
      <c r="CJ270" s="254">
        <v>0</v>
      </c>
      <c r="CK270" s="254">
        <v>0</v>
      </c>
      <c r="CL270" s="254">
        <v>0</v>
      </c>
      <c r="CM270" s="254">
        <v>0</v>
      </c>
      <c r="CN270" s="254">
        <v>0</v>
      </c>
      <c r="CO270" s="254">
        <v>0</v>
      </c>
      <c r="CP270" s="254">
        <v>0</v>
      </c>
      <c r="CQ270" s="116"/>
      <c r="CR270" s="255">
        <v>0</v>
      </c>
      <c r="CS270" s="255">
        <v>0</v>
      </c>
      <c r="CT270" s="255">
        <v>0</v>
      </c>
      <c r="CU270" s="255">
        <v>0</v>
      </c>
      <c r="CV270" s="255">
        <v>0</v>
      </c>
      <c r="CW270" s="255">
        <v>0</v>
      </c>
      <c r="CX270" s="255">
        <v>0</v>
      </c>
      <c r="CY270" s="255">
        <v>0</v>
      </c>
      <c r="CZ270" s="255">
        <v>0</v>
      </c>
      <c r="DA270" s="255">
        <v>0</v>
      </c>
      <c r="DB270" s="255">
        <v>0</v>
      </c>
      <c r="DC270" s="255">
        <v>0</v>
      </c>
      <c r="DD270" s="255">
        <v>0</v>
      </c>
      <c r="DE270" s="255">
        <v>0</v>
      </c>
      <c r="DF270" s="255">
        <v>0</v>
      </c>
      <c r="DG270" s="255">
        <v>0</v>
      </c>
      <c r="DH270" s="255">
        <v>0</v>
      </c>
      <c r="DI270" s="255">
        <v>0</v>
      </c>
      <c r="DJ270" s="255">
        <v>0</v>
      </c>
      <c r="DK270" s="255">
        <v>0</v>
      </c>
      <c r="DL270" s="255">
        <v>0</v>
      </c>
      <c r="DM270" s="255">
        <v>0</v>
      </c>
      <c r="DN270" s="255">
        <v>0</v>
      </c>
      <c r="DO270" s="255">
        <v>0</v>
      </c>
      <c r="DP270" s="255">
        <v>0</v>
      </c>
      <c r="DQ270" s="255">
        <v>14702.8</v>
      </c>
      <c r="DR270" s="255">
        <v>7575.05</v>
      </c>
      <c r="DS270" s="255">
        <v>0</v>
      </c>
      <c r="DT270" s="255">
        <v>0</v>
      </c>
      <c r="DU270" s="255">
        <v>0</v>
      </c>
      <c r="DV270" s="255">
        <v>0</v>
      </c>
      <c r="DW270" s="255">
        <v>0</v>
      </c>
      <c r="DX270" s="255">
        <v>0</v>
      </c>
      <c r="DY270" s="255">
        <v>0</v>
      </c>
      <c r="DZ270" s="255">
        <v>0</v>
      </c>
      <c r="EA270" s="255">
        <v>0</v>
      </c>
      <c r="EB270" s="255">
        <v>0</v>
      </c>
      <c r="EC270" s="255">
        <v>0</v>
      </c>
      <c r="ED270" s="255">
        <v>0</v>
      </c>
      <c r="EE270" s="255">
        <v>0</v>
      </c>
      <c r="EF270" s="255">
        <v>0</v>
      </c>
      <c r="EG270" s="255">
        <v>0</v>
      </c>
      <c r="EH270" s="255">
        <v>34314.28</v>
      </c>
      <c r="EI270" s="255">
        <v>0</v>
      </c>
      <c r="EJ270" s="255">
        <v>0</v>
      </c>
      <c r="EK270" s="255">
        <v>15597.4</v>
      </c>
      <c r="EL270" s="255">
        <v>15597.4</v>
      </c>
      <c r="EM270" s="255">
        <v>0</v>
      </c>
      <c r="EN270" s="255">
        <v>0</v>
      </c>
      <c r="EO270" s="255">
        <v>0</v>
      </c>
      <c r="EP270" s="255">
        <v>0</v>
      </c>
      <c r="EQ270" s="255">
        <v>0</v>
      </c>
      <c r="ER270" s="255">
        <v>0</v>
      </c>
      <c r="ES270" s="255">
        <v>0</v>
      </c>
      <c r="ET270" s="255">
        <v>0</v>
      </c>
      <c r="EU270" s="255">
        <v>0</v>
      </c>
      <c r="EV270" s="255">
        <v>0</v>
      </c>
      <c r="EW270" s="255">
        <v>0</v>
      </c>
      <c r="EX270" s="255">
        <v>0</v>
      </c>
      <c r="EY270" s="255">
        <v>0</v>
      </c>
      <c r="EZ270" s="255">
        <v>0</v>
      </c>
      <c r="FA270" s="255">
        <v>0</v>
      </c>
      <c r="FB270" s="255">
        <v>0</v>
      </c>
      <c r="FC270" s="255">
        <v>0</v>
      </c>
      <c r="FD270" s="255">
        <v>0</v>
      </c>
      <c r="FE270" s="255">
        <v>0</v>
      </c>
      <c r="FF270" s="255">
        <v>0</v>
      </c>
      <c r="FG270" s="255">
        <v>0</v>
      </c>
      <c r="FH270" s="255">
        <v>0</v>
      </c>
      <c r="FI270" s="255">
        <v>0</v>
      </c>
      <c r="FJ270" s="255">
        <v>0</v>
      </c>
      <c r="FK270" s="255">
        <v>0</v>
      </c>
      <c r="FL270" s="255">
        <v>0</v>
      </c>
      <c r="FM270" s="255">
        <v>0</v>
      </c>
      <c r="FN270" s="255">
        <v>0</v>
      </c>
      <c r="FO270" s="255">
        <v>0</v>
      </c>
      <c r="FP270" s="255">
        <v>0</v>
      </c>
      <c r="FQ270" s="255">
        <v>0</v>
      </c>
      <c r="FR270" s="255">
        <v>0</v>
      </c>
      <c r="FS270" s="255">
        <v>0</v>
      </c>
      <c r="FT270" s="255">
        <v>0</v>
      </c>
      <c r="FU270" s="255">
        <v>0</v>
      </c>
      <c r="FV270" s="255">
        <v>0</v>
      </c>
      <c r="FW270" s="255">
        <v>0</v>
      </c>
      <c r="FX270" s="116"/>
    </row>
    <row r="271" spans="2:180" x14ac:dyDescent="0.2">
      <c r="B271" s="253" t="s">
        <v>216</v>
      </c>
      <c r="C271" s="253" t="s">
        <v>326</v>
      </c>
      <c r="D271" s="253" t="s">
        <v>258</v>
      </c>
      <c r="E271" s="253" t="s">
        <v>127</v>
      </c>
      <c r="F271" s="253">
        <v>0</v>
      </c>
      <c r="G271" s="253" t="s">
        <v>322</v>
      </c>
      <c r="H271" s="237">
        <v>210.04</v>
      </c>
      <c r="I271" s="126">
        <f t="shared" si="89"/>
        <v>65951.099999999991</v>
      </c>
      <c r="J271" s="116"/>
      <c r="K271" s="254">
        <v>0</v>
      </c>
      <c r="L271" s="254">
        <v>0</v>
      </c>
      <c r="M271" s="254">
        <v>0</v>
      </c>
      <c r="N271" s="254">
        <v>0</v>
      </c>
      <c r="O271" s="254">
        <v>0</v>
      </c>
      <c r="P271" s="254">
        <v>0</v>
      </c>
      <c r="Q271" s="254">
        <v>0</v>
      </c>
      <c r="R271" s="254">
        <v>0</v>
      </c>
      <c r="S271" s="254">
        <v>0</v>
      </c>
      <c r="T271" s="254">
        <v>0</v>
      </c>
      <c r="U271" s="254">
        <v>0</v>
      </c>
      <c r="V271" s="254">
        <v>0</v>
      </c>
      <c r="W271" s="254">
        <v>0</v>
      </c>
      <c r="X271" s="254">
        <v>0</v>
      </c>
      <c r="Y271" s="254">
        <v>0</v>
      </c>
      <c r="Z271" s="254">
        <v>0</v>
      </c>
      <c r="AA271" s="254">
        <v>0</v>
      </c>
      <c r="AB271" s="254">
        <v>0</v>
      </c>
      <c r="AC271" s="254">
        <v>0</v>
      </c>
      <c r="AD271" s="254">
        <v>0</v>
      </c>
      <c r="AE271" s="254">
        <v>0</v>
      </c>
      <c r="AF271" s="254">
        <v>0</v>
      </c>
      <c r="AG271" s="254">
        <v>0</v>
      </c>
      <c r="AH271" s="254">
        <v>0</v>
      </c>
      <c r="AI271" s="254">
        <v>0</v>
      </c>
      <c r="AJ271" s="254">
        <v>0.21428571428571427</v>
      </c>
      <c r="AK271" s="254">
        <v>7.1428571428571425E-2</v>
      </c>
      <c r="AL271" s="254">
        <v>0</v>
      </c>
      <c r="AM271" s="254">
        <v>0</v>
      </c>
      <c r="AN271" s="254">
        <v>0</v>
      </c>
      <c r="AO271" s="254">
        <v>0</v>
      </c>
      <c r="AP271" s="254">
        <v>0</v>
      </c>
      <c r="AQ271" s="254">
        <v>0</v>
      </c>
      <c r="AR271" s="254">
        <v>0</v>
      </c>
      <c r="AS271" s="254">
        <v>0</v>
      </c>
      <c r="AT271" s="254">
        <v>0</v>
      </c>
      <c r="AU271" s="254">
        <v>0</v>
      </c>
      <c r="AV271" s="254">
        <v>0</v>
      </c>
      <c r="AW271" s="254">
        <v>0</v>
      </c>
      <c r="AX271" s="254">
        <v>0</v>
      </c>
      <c r="AY271" s="254">
        <v>0</v>
      </c>
      <c r="AZ271" s="254">
        <v>0</v>
      </c>
      <c r="BA271" s="254">
        <v>0.35714285714285715</v>
      </c>
      <c r="BB271" s="254">
        <v>0</v>
      </c>
      <c r="BC271" s="254">
        <v>0</v>
      </c>
      <c r="BD271" s="254">
        <v>0.21428571428571427</v>
      </c>
      <c r="BE271" s="254">
        <v>0.21428571428571427</v>
      </c>
      <c r="BF271" s="254">
        <v>0</v>
      </c>
      <c r="BG271" s="254">
        <v>0</v>
      </c>
      <c r="BH271" s="254">
        <v>0</v>
      </c>
      <c r="BI271" s="254">
        <v>0</v>
      </c>
      <c r="BJ271" s="254">
        <v>0</v>
      </c>
      <c r="BK271" s="254">
        <v>0</v>
      </c>
      <c r="BL271" s="254">
        <v>0</v>
      </c>
      <c r="BM271" s="254">
        <v>0</v>
      </c>
      <c r="BN271" s="254">
        <v>0</v>
      </c>
      <c r="BO271" s="254">
        <v>0</v>
      </c>
      <c r="BP271" s="254">
        <v>0</v>
      </c>
      <c r="BQ271" s="254">
        <v>0</v>
      </c>
      <c r="BR271" s="254">
        <v>0</v>
      </c>
      <c r="BS271" s="254">
        <v>0</v>
      </c>
      <c r="BT271" s="254">
        <v>0</v>
      </c>
      <c r="BU271" s="254">
        <v>0</v>
      </c>
      <c r="BV271" s="254">
        <v>0</v>
      </c>
      <c r="BW271" s="254">
        <v>0</v>
      </c>
      <c r="BX271" s="254">
        <v>0</v>
      </c>
      <c r="BY271" s="254">
        <v>0</v>
      </c>
      <c r="BZ271" s="254">
        <v>0</v>
      </c>
      <c r="CA271" s="254">
        <v>0</v>
      </c>
      <c r="CB271" s="254">
        <v>0</v>
      </c>
      <c r="CC271" s="254">
        <v>0</v>
      </c>
      <c r="CD271" s="254">
        <v>0</v>
      </c>
      <c r="CE271" s="254">
        <v>0</v>
      </c>
      <c r="CF271" s="254">
        <v>0</v>
      </c>
      <c r="CG271" s="254">
        <v>0</v>
      </c>
      <c r="CH271" s="254">
        <v>0</v>
      </c>
      <c r="CI271" s="254">
        <v>0</v>
      </c>
      <c r="CJ271" s="254">
        <v>0</v>
      </c>
      <c r="CK271" s="254">
        <v>0</v>
      </c>
      <c r="CL271" s="254">
        <v>0</v>
      </c>
      <c r="CM271" s="254">
        <v>0</v>
      </c>
      <c r="CN271" s="254">
        <v>0</v>
      </c>
      <c r="CO271" s="254">
        <v>0</v>
      </c>
      <c r="CP271" s="254">
        <v>0</v>
      </c>
      <c r="CQ271" s="116"/>
      <c r="CR271" s="255">
        <v>0</v>
      </c>
      <c r="CS271" s="255">
        <v>0</v>
      </c>
      <c r="CT271" s="255">
        <v>0</v>
      </c>
      <c r="CU271" s="255">
        <v>0</v>
      </c>
      <c r="CV271" s="255">
        <v>0</v>
      </c>
      <c r="CW271" s="255">
        <v>0</v>
      </c>
      <c r="CX271" s="255">
        <v>0</v>
      </c>
      <c r="CY271" s="255">
        <v>0</v>
      </c>
      <c r="CZ271" s="255">
        <v>0</v>
      </c>
      <c r="DA271" s="255">
        <v>0</v>
      </c>
      <c r="DB271" s="255">
        <v>0</v>
      </c>
      <c r="DC271" s="255">
        <v>0</v>
      </c>
      <c r="DD271" s="255">
        <v>0</v>
      </c>
      <c r="DE271" s="255">
        <v>0</v>
      </c>
      <c r="DF271" s="255">
        <v>0</v>
      </c>
      <c r="DG271" s="255">
        <v>0</v>
      </c>
      <c r="DH271" s="255">
        <v>0</v>
      </c>
      <c r="DI271" s="255">
        <v>0</v>
      </c>
      <c r="DJ271" s="255">
        <v>0</v>
      </c>
      <c r="DK271" s="255">
        <v>0</v>
      </c>
      <c r="DL271" s="255">
        <v>0</v>
      </c>
      <c r="DM271" s="255">
        <v>0</v>
      </c>
      <c r="DN271" s="255">
        <v>0</v>
      </c>
      <c r="DO271" s="255">
        <v>0</v>
      </c>
      <c r="DP271" s="255">
        <v>0</v>
      </c>
      <c r="DQ271" s="255">
        <v>12602.1</v>
      </c>
      <c r="DR271" s="255">
        <v>4328.6000000000004</v>
      </c>
      <c r="DS271" s="255">
        <v>0</v>
      </c>
      <c r="DT271" s="255">
        <v>0</v>
      </c>
      <c r="DU271" s="255">
        <v>0</v>
      </c>
      <c r="DV271" s="255">
        <v>0</v>
      </c>
      <c r="DW271" s="255">
        <v>0</v>
      </c>
      <c r="DX271" s="255">
        <v>0</v>
      </c>
      <c r="DY271" s="255">
        <v>0</v>
      </c>
      <c r="DZ271" s="255">
        <v>0</v>
      </c>
      <c r="EA271" s="255">
        <v>0</v>
      </c>
      <c r="EB271" s="255">
        <v>0</v>
      </c>
      <c r="EC271" s="255">
        <v>0</v>
      </c>
      <c r="ED271" s="255">
        <v>0</v>
      </c>
      <c r="EE271" s="255">
        <v>0</v>
      </c>
      <c r="EF271" s="255">
        <v>0</v>
      </c>
      <c r="EG271" s="255">
        <v>0</v>
      </c>
      <c r="EH271" s="255">
        <v>22282</v>
      </c>
      <c r="EI271" s="255">
        <v>0</v>
      </c>
      <c r="EJ271" s="255">
        <v>0</v>
      </c>
      <c r="EK271" s="255">
        <v>13369.199999999999</v>
      </c>
      <c r="EL271" s="255">
        <v>13369.199999999999</v>
      </c>
      <c r="EM271" s="255">
        <v>0</v>
      </c>
      <c r="EN271" s="255">
        <v>0</v>
      </c>
      <c r="EO271" s="255">
        <v>0</v>
      </c>
      <c r="EP271" s="255">
        <v>0</v>
      </c>
      <c r="EQ271" s="255">
        <v>0</v>
      </c>
      <c r="ER271" s="255">
        <v>0</v>
      </c>
      <c r="ES271" s="255">
        <v>0</v>
      </c>
      <c r="ET271" s="255">
        <v>0</v>
      </c>
      <c r="EU271" s="255">
        <v>0</v>
      </c>
      <c r="EV271" s="255">
        <v>0</v>
      </c>
      <c r="EW271" s="255">
        <v>0</v>
      </c>
      <c r="EX271" s="255">
        <v>0</v>
      </c>
      <c r="EY271" s="255">
        <v>0</v>
      </c>
      <c r="EZ271" s="255">
        <v>0</v>
      </c>
      <c r="FA271" s="255">
        <v>0</v>
      </c>
      <c r="FB271" s="255">
        <v>0</v>
      </c>
      <c r="FC271" s="255">
        <v>0</v>
      </c>
      <c r="FD271" s="255">
        <v>0</v>
      </c>
      <c r="FE271" s="255">
        <v>0</v>
      </c>
      <c r="FF271" s="255">
        <v>0</v>
      </c>
      <c r="FG271" s="255">
        <v>0</v>
      </c>
      <c r="FH271" s="255">
        <v>0</v>
      </c>
      <c r="FI271" s="255">
        <v>0</v>
      </c>
      <c r="FJ271" s="255">
        <v>0</v>
      </c>
      <c r="FK271" s="255">
        <v>0</v>
      </c>
      <c r="FL271" s="255">
        <v>0</v>
      </c>
      <c r="FM271" s="255">
        <v>0</v>
      </c>
      <c r="FN271" s="255">
        <v>0</v>
      </c>
      <c r="FO271" s="255">
        <v>0</v>
      </c>
      <c r="FP271" s="255">
        <v>0</v>
      </c>
      <c r="FQ271" s="255">
        <v>0</v>
      </c>
      <c r="FR271" s="255">
        <v>0</v>
      </c>
      <c r="FS271" s="255">
        <v>0</v>
      </c>
      <c r="FT271" s="255">
        <v>0</v>
      </c>
      <c r="FU271" s="255">
        <v>0</v>
      </c>
      <c r="FV271" s="255">
        <v>0</v>
      </c>
      <c r="FW271" s="255">
        <v>0</v>
      </c>
      <c r="FX271" s="116"/>
    </row>
    <row r="272" spans="2:180" x14ac:dyDescent="0.2">
      <c r="B272" s="253" t="s">
        <v>216</v>
      </c>
      <c r="C272" s="253" t="s">
        <v>327</v>
      </c>
      <c r="D272" s="253" t="s">
        <v>258</v>
      </c>
      <c r="E272" s="253" t="s">
        <v>127</v>
      </c>
      <c r="F272" s="253" t="s">
        <v>259</v>
      </c>
      <c r="G272" s="253" t="s">
        <v>260</v>
      </c>
      <c r="H272" s="237">
        <v>221.91</v>
      </c>
      <c r="I272" s="126">
        <f t="shared" si="89"/>
        <v>331631.44</v>
      </c>
      <c r="J272" s="116"/>
      <c r="K272" s="254">
        <v>0</v>
      </c>
      <c r="L272" s="254">
        <v>0</v>
      </c>
      <c r="M272" s="254">
        <v>0</v>
      </c>
      <c r="N272" s="254">
        <v>0</v>
      </c>
      <c r="O272" s="254">
        <v>0</v>
      </c>
      <c r="P272" s="254">
        <v>0</v>
      </c>
      <c r="Q272" s="254">
        <v>0</v>
      </c>
      <c r="R272" s="254">
        <v>0</v>
      </c>
      <c r="S272" s="254">
        <v>0</v>
      </c>
      <c r="T272" s="254">
        <v>0</v>
      </c>
      <c r="U272" s="254">
        <v>0</v>
      </c>
      <c r="V272" s="254">
        <v>0</v>
      </c>
      <c r="W272" s="254">
        <v>0</v>
      </c>
      <c r="X272" s="254">
        <v>0</v>
      </c>
      <c r="Y272" s="254">
        <v>0</v>
      </c>
      <c r="Z272" s="254">
        <v>0</v>
      </c>
      <c r="AA272" s="254">
        <v>0</v>
      </c>
      <c r="AB272" s="254">
        <v>0</v>
      </c>
      <c r="AC272" s="254">
        <v>0</v>
      </c>
      <c r="AD272" s="254">
        <v>0</v>
      </c>
      <c r="AE272" s="254">
        <v>0</v>
      </c>
      <c r="AF272" s="254">
        <v>0</v>
      </c>
      <c r="AG272" s="254">
        <v>0</v>
      </c>
      <c r="AH272" s="254">
        <v>0</v>
      </c>
      <c r="AI272" s="254">
        <v>0</v>
      </c>
      <c r="AJ272" s="254">
        <v>0.5</v>
      </c>
      <c r="AK272" s="254">
        <v>0.5</v>
      </c>
      <c r="AL272" s="254">
        <v>1.5333333333333334</v>
      </c>
      <c r="AM272" s="254">
        <v>0.96710526315789469</v>
      </c>
      <c r="AN272" s="254">
        <v>0.92105263157894735</v>
      </c>
      <c r="AO272" s="254">
        <v>0</v>
      </c>
      <c r="AP272" s="254">
        <v>0</v>
      </c>
      <c r="AQ272" s="254">
        <v>0</v>
      </c>
      <c r="AR272" s="254">
        <v>0</v>
      </c>
      <c r="AS272" s="254">
        <v>0</v>
      </c>
      <c r="AT272" s="254">
        <v>0</v>
      </c>
      <c r="AU272" s="254">
        <v>0</v>
      </c>
      <c r="AV272" s="254">
        <v>0</v>
      </c>
      <c r="AW272" s="254">
        <v>0</v>
      </c>
      <c r="AX272" s="254">
        <v>0</v>
      </c>
      <c r="AY272" s="254">
        <v>0</v>
      </c>
      <c r="AZ272" s="254">
        <v>0</v>
      </c>
      <c r="BA272" s="254">
        <v>1.6</v>
      </c>
      <c r="BB272" s="254">
        <v>1.1000000000000001</v>
      </c>
      <c r="BC272" s="254">
        <v>1.05</v>
      </c>
      <c r="BD272" s="254">
        <v>1.1000000000000001</v>
      </c>
      <c r="BE272" s="254">
        <v>1.1499999999999999</v>
      </c>
      <c r="BF272" s="254">
        <v>0</v>
      </c>
      <c r="BG272" s="254">
        <v>0</v>
      </c>
      <c r="BH272" s="254">
        <v>0</v>
      </c>
      <c r="BI272" s="254">
        <v>0</v>
      </c>
      <c r="BJ272" s="254">
        <v>0</v>
      </c>
      <c r="BK272" s="254">
        <v>0</v>
      </c>
      <c r="BL272" s="254">
        <v>0</v>
      </c>
      <c r="BM272" s="254">
        <v>0</v>
      </c>
      <c r="BN272" s="254">
        <v>0</v>
      </c>
      <c r="BO272" s="254">
        <v>0</v>
      </c>
      <c r="BP272" s="254">
        <v>0</v>
      </c>
      <c r="BQ272" s="254">
        <v>0</v>
      </c>
      <c r="BR272" s="254">
        <v>0</v>
      </c>
      <c r="BS272" s="254">
        <v>0</v>
      </c>
      <c r="BT272" s="254">
        <v>0</v>
      </c>
      <c r="BU272" s="254">
        <v>0</v>
      </c>
      <c r="BV272" s="254">
        <v>0</v>
      </c>
      <c r="BW272" s="254">
        <v>0</v>
      </c>
      <c r="BX272" s="254">
        <v>0</v>
      </c>
      <c r="BY272" s="254">
        <v>0</v>
      </c>
      <c r="BZ272" s="254">
        <v>0</v>
      </c>
      <c r="CA272" s="254">
        <v>0</v>
      </c>
      <c r="CB272" s="254">
        <v>0</v>
      </c>
      <c r="CC272" s="254">
        <v>0</v>
      </c>
      <c r="CD272" s="254">
        <v>0</v>
      </c>
      <c r="CE272" s="254">
        <v>0</v>
      </c>
      <c r="CF272" s="254">
        <v>0</v>
      </c>
      <c r="CG272" s="254">
        <v>0</v>
      </c>
      <c r="CH272" s="254">
        <v>0</v>
      </c>
      <c r="CI272" s="254">
        <v>0</v>
      </c>
      <c r="CJ272" s="254">
        <v>0</v>
      </c>
      <c r="CK272" s="254">
        <v>0</v>
      </c>
      <c r="CL272" s="254">
        <v>0</v>
      </c>
      <c r="CM272" s="254">
        <v>0</v>
      </c>
      <c r="CN272" s="254">
        <v>0</v>
      </c>
      <c r="CO272" s="254">
        <v>0</v>
      </c>
      <c r="CP272" s="254">
        <v>0</v>
      </c>
      <c r="CQ272" s="116"/>
      <c r="CR272" s="255">
        <v>0</v>
      </c>
      <c r="CS272" s="255">
        <v>0</v>
      </c>
      <c r="CT272" s="255">
        <v>0</v>
      </c>
      <c r="CU272" s="255">
        <v>0</v>
      </c>
      <c r="CV272" s="255">
        <v>0</v>
      </c>
      <c r="CW272" s="255">
        <v>0</v>
      </c>
      <c r="CX272" s="255">
        <v>0</v>
      </c>
      <c r="CY272" s="255">
        <v>0</v>
      </c>
      <c r="CZ272" s="255">
        <v>0</v>
      </c>
      <c r="DA272" s="255">
        <v>0</v>
      </c>
      <c r="DB272" s="255">
        <v>0</v>
      </c>
      <c r="DC272" s="255">
        <v>0</v>
      </c>
      <c r="DD272" s="255">
        <v>0</v>
      </c>
      <c r="DE272" s="255">
        <v>0</v>
      </c>
      <c r="DF272" s="255">
        <v>0</v>
      </c>
      <c r="DG272" s="255">
        <v>0</v>
      </c>
      <c r="DH272" s="255">
        <v>0</v>
      </c>
      <c r="DI272" s="255">
        <v>0</v>
      </c>
      <c r="DJ272" s="255">
        <v>0</v>
      </c>
      <c r="DK272" s="255">
        <v>0</v>
      </c>
      <c r="DL272" s="255">
        <v>0</v>
      </c>
      <c r="DM272" s="255">
        <v>0</v>
      </c>
      <c r="DN272" s="255">
        <v>0</v>
      </c>
      <c r="DO272" s="255">
        <v>0</v>
      </c>
      <c r="DP272" s="255">
        <v>0</v>
      </c>
      <c r="DQ272" s="255">
        <v>15533.699999999999</v>
      </c>
      <c r="DR272" s="255">
        <v>15997.1</v>
      </c>
      <c r="DS272" s="255">
        <v>36793.33</v>
      </c>
      <c r="DT272" s="255">
        <v>33593.910000000003</v>
      </c>
      <c r="DU272" s="255">
        <v>31994.2</v>
      </c>
      <c r="DV272" s="255">
        <v>0</v>
      </c>
      <c r="DW272" s="255">
        <v>0</v>
      </c>
      <c r="DX272" s="255">
        <v>0</v>
      </c>
      <c r="DY272" s="255">
        <v>0</v>
      </c>
      <c r="DZ272" s="255">
        <v>0</v>
      </c>
      <c r="EA272" s="255">
        <v>0</v>
      </c>
      <c r="EB272" s="255">
        <v>0</v>
      </c>
      <c r="EC272" s="255">
        <v>0</v>
      </c>
      <c r="ED272" s="255">
        <v>0</v>
      </c>
      <c r="EE272" s="255">
        <v>0</v>
      </c>
      <c r="EF272" s="255">
        <v>0</v>
      </c>
      <c r="EG272" s="255">
        <v>0</v>
      </c>
      <c r="EH272" s="255">
        <v>52725.119999999995</v>
      </c>
      <c r="EI272" s="255">
        <v>36248.519999999997</v>
      </c>
      <c r="EJ272" s="255">
        <v>34600.86</v>
      </c>
      <c r="EK272" s="255">
        <v>36248.519999999997</v>
      </c>
      <c r="EL272" s="255">
        <v>37896.18</v>
      </c>
      <c r="EM272" s="255">
        <v>0</v>
      </c>
      <c r="EN272" s="255">
        <v>0</v>
      </c>
      <c r="EO272" s="255">
        <v>0</v>
      </c>
      <c r="EP272" s="255">
        <v>0</v>
      </c>
      <c r="EQ272" s="255">
        <v>0</v>
      </c>
      <c r="ER272" s="255">
        <v>0</v>
      </c>
      <c r="ES272" s="255">
        <v>0</v>
      </c>
      <c r="ET272" s="255">
        <v>0</v>
      </c>
      <c r="EU272" s="255">
        <v>0</v>
      </c>
      <c r="EV272" s="255">
        <v>0</v>
      </c>
      <c r="EW272" s="255">
        <v>0</v>
      </c>
      <c r="EX272" s="255">
        <v>0</v>
      </c>
      <c r="EY272" s="255">
        <v>0</v>
      </c>
      <c r="EZ272" s="255">
        <v>0</v>
      </c>
      <c r="FA272" s="255">
        <v>0</v>
      </c>
      <c r="FB272" s="255">
        <v>0</v>
      </c>
      <c r="FC272" s="255">
        <v>0</v>
      </c>
      <c r="FD272" s="255">
        <v>0</v>
      </c>
      <c r="FE272" s="255">
        <v>0</v>
      </c>
      <c r="FF272" s="255">
        <v>0</v>
      </c>
      <c r="FG272" s="255">
        <v>0</v>
      </c>
      <c r="FH272" s="255">
        <v>0</v>
      </c>
      <c r="FI272" s="255">
        <v>0</v>
      </c>
      <c r="FJ272" s="255">
        <v>0</v>
      </c>
      <c r="FK272" s="255">
        <v>0</v>
      </c>
      <c r="FL272" s="255">
        <v>0</v>
      </c>
      <c r="FM272" s="255">
        <v>0</v>
      </c>
      <c r="FN272" s="255">
        <v>0</v>
      </c>
      <c r="FO272" s="255">
        <v>0</v>
      </c>
      <c r="FP272" s="255">
        <v>0</v>
      </c>
      <c r="FQ272" s="255">
        <v>0</v>
      </c>
      <c r="FR272" s="255">
        <v>0</v>
      </c>
      <c r="FS272" s="255">
        <v>0</v>
      </c>
      <c r="FT272" s="255">
        <v>0</v>
      </c>
      <c r="FU272" s="255">
        <v>0</v>
      </c>
      <c r="FV272" s="255">
        <v>0</v>
      </c>
      <c r="FW272" s="255">
        <v>0</v>
      </c>
      <c r="FX272" s="116"/>
    </row>
    <row r="273" spans="1:180" x14ac:dyDescent="0.2">
      <c r="B273" s="253" t="s">
        <v>216</v>
      </c>
      <c r="C273" s="253" t="s">
        <v>327</v>
      </c>
      <c r="D273" s="253" t="s">
        <v>258</v>
      </c>
      <c r="E273" s="253" t="s">
        <v>127</v>
      </c>
      <c r="F273" s="253">
        <v>0</v>
      </c>
      <c r="G273" s="253" t="s">
        <v>322</v>
      </c>
      <c r="H273" s="237">
        <v>221.91</v>
      </c>
      <c r="I273" s="126">
        <f t="shared" si="89"/>
        <v>227395.4</v>
      </c>
      <c r="J273" s="116"/>
      <c r="K273" s="254">
        <v>0</v>
      </c>
      <c r="L273" s="254">
        <v>0</v>
      </c>
      <c r="M273" s="254">
        <v>0</v>
      </c>
      <c r="N273" s="254">
        <v>0</v>
      </c>
      <c r="O273" s="254">
        <v>0</v>
      </c>
      <c r="P273" s="254">
        <v>0</v>
      </c>
      <c r="Q273" s="254">
        <v>0</v>
      </c>
      <c r="R273" s="254">
        <v>0</v>
      </c>
      <c r="S273" s="254">
        <v>0</v>
      </c>
      <c r="T273" s="254">
        <v>0</v>
      </c>
      <c r="U273" s="254">
        <v>0</v>
      </c>
      <c r="V273" s="254">
        <v>0</v>
      </c>
      <c r="W273" s="254">
        <v>0</v>
      </c>
      <c r="X273" s="254">
        <v>0</v>
      </c>
      <c r="Y273" s="254">
        <v>0</v>
      </c>
      <c r="Z273" s="254">
        <v>0</v>
      </c>
      <c r="AA273" s="254">
        <v>0</v>
      </c>
      <c r="AB273" s="254">
        <v>0</v>
      </c>
      <c r="AC273" s="254">
        <v>0</v>
      </c>
      <c r="AD273" s="254">
        <v>0</v>
      </c>
      <c r="AE273" s="254">
        <v>0</v>
      </c>
      <c r="AF273" s="254">
        <v>0</v>
      </c>
      <c r="AG273" s="254">
        <v>0</v>
      </c>
      <c r="AH273" s="254">
        <v>0</v>
      </c>
      <c r="AI273" s="254">
        <v>0</v>
      </c>
      <c r="AJ273" s="254">
        <v>0.21428571428571427</v>
      </c>
      <c r="AK273" s="254">
        <v>0.21428571428571427</v>
      </c>
      <c r="AL273" s="254">
        <v>0.47619047619047616</v>
      </c>
      <c r="AM273" s="254">
        <v>0.32894736842105265</v>
      </c>
      <c r="AN273" s="254">
        <v>0.32894736842105265</v>
      </c>
      <c r="AO273" s="254">
        <v>0</v>
      </c>
      <c r="AP273" s="254">
        <v>0</v>
      </c>
      <c r="AQ273" s="254">
        <v>0</v>
      </c>
      <c r="AR273" s="254">
        <v>0</v>
      </c>
      <c r="AS273" s="254">
        <v>0</v>
      </c>
      <c r="AT273" s="254">
        <v>0</v>
      </c>
      <c r="AU273" s="254">
        <v>0</v>
      </c>
      <c r="AV273" s="254">
        <v>0</v>
      </c>
      <c r="AW273" s="254">
        <v>0</v>
      </c>
      <c r="AX273" s="254">
        <v>0</v>
      </c>
      <c r="AY273" s="254">
        <v>0</v>
      </c>
      <c r="AZ273" s="254">
        <v>0</v>
      </c>
      <c r="BA273" s="254">
        <v>0.5714285714285714</v>
      </c>
      <c r="BB273" s="254">
        <v>0.35714285714285715</v>
      </c>
      <c r="BC273" s="254">
        <v>0.35714285714285715</v>
      </c>
      <c r="BD273" s="254">
        <v>0.35714285714285715</v>
      </c>
      <c r="BE273" s="254">
        <v>0.35714285714285715</v>
      </c>
      <c r="BF273" s="254">
        <v>0</v>
      </c>
      <c r="BG273" s="254">
        <v>0</v>
      </c>
      <c r="BH273" s="254">
        <v>0</v>
      </c>
      <c r="BI273" s="254">
        <v>0</v>
      </c>
      <c r="BJ273" s="254">
        <v>0</v>
      </c>
      <c r="BK273" s="254">
        <v>0</v>
      </c>
      <c r="BL273" s="254">
        <v>0</v>
      </c>
      <c r="BM273" s="254">
        <v>0</v>
      </c>
      <c r="BN273" s="254">
        <v>0</v>
      </c>
      <c r="BO273" s="254">
        <v>0</v>
      </c>
      <c r="BP273" s="254">
        <v>0</v>
      </c>
      <c r="BQ273" s="254">
        <v>0</v>
      </c>
      <c r="BR273" s="254">
        <v>0</v>
      </c>
      <c r="BS273" s="254">
        <v>0</v>
      </c>
      <c r="BT273" s="254">
        <v>0</v>
      </c>
      <c r="BU273" s="254">
        <v>0</v>
      </c>
      <c r="BV273" s="254">
        <v>0</v>
      </c>
      <c r="BW273" s="254">
        <v>0</v>
      </c>
      <c r="BX273" s="254">
        <v>0</v>
      </c>
      <c r="BY273" s="254">
        <v>0</v>
      </c>
      <c r="BZ273" s="254">
        <v>0</v>
      </c>
      <c r="CA273" s="254">
        <v>0</v>
      </c>
      <c r="CB273" s="254">
        <v>0</v>
      </c>
      <c r="CC273" s="254">
        <v>0</v>
      </c>
      <c r="CD273" s="254">
        <v>0</v>
      </c>
      <c r="CE273" s="254">
        <v>0</v>
      </c>
      <c r="CF273" s="254">
        <v>0</v>
      </c>
      <c r="CG273" s="254">
        <v>0</v>
      </c>
      <c r="CH273" s="254">
        <v>0</v>
      </c>
      <c r="CI273" s="254">
        <v>0</v>
      </c>
      <c r="CJ273" s="254">
        <v>0</v>
      </c>
      <c r="CK273" s="254">
        <v>0</v>
      </c>
      <c r="CL273" s="254">
        <v>0</v>
      </c>
      <c r="CM273" s="254">
        <v>0</v>
      </c>
      <c r="CN273" s="254">
        <v>0</v>
      </c>
      <c r="CO273" s="254">
        <v>0</v>
      </c>
      <c r="CP273" s="254">
        <v>0</v>
      </c>
      <c r="CQ273" s="116"/>
      <c r="CR273" s="255">
        <v>0</v>
      </c>
      <c r="CS273" s="255">
        <v>0</v>
      </c>
      <c r="CT273" s="255">
        <v>0</v>
      </c>
      <c r="CU273" s="255">
        <v>0</v>
      </c>
      <c r="CV273" s="255">
        <v>0</v>
      </c>
      <c r="CW273" s="255">
        <v>0</v>
      </c>
      <c r="CX273" s="255">
        <v>0</v>
      </c>
      <c r="CY273" s="255">
        <v>0</v>
      </c>
      <c r="CZ273" s="255">
        <v>0</v>
      </c>
      <c r="DA273" s="255">
        <v>0</v>
      </c>
      <c r="DB273" s="255">
        <v>0</v>
      </c>
      <c r="DC273" s="255">
        <v>0</v>
      </c>
      <c r="DD273" s="255">
        <v>0</v>
      </c>
      <c r="DE273" s="255">
        <v>0</v>
      </c>
      <c r="DF273" s="255">
        <v>0</v>
      </c>
      <c r="DG273" s="255">
        <v>0</v>
      </c>
      <c r="DH273" s="255">
        <v>0</v>
      </c>
      <c r="DI273" s="255">
        <v>0</v>
      </c>
      <c r="DJ273" s="255">
        <v>0</v>
      </c>
      <c r="DK273" s="255">
        <v>0</v>
      </c>
      <c r="DL273" s="255">
        <v>0</v>
      </c>
      <c r="DM273" s="255">
        <v>0</v>
      </c>
      <c r="DN273" s="255">
        <v>0</v>
      </c>
      <c r="DO273" s="255">
        <v>0</v>
      </c>
      <c r="DP273" s="255">
        <v>0</v>
      </c>
      <c r="DQ273" s="255">
        <v>13314.6</v>
      </c>
      <c r="DR273" s="255">
        <v>13711.8</v>
      </c>
      <c r="DS273" s="255">
        <v>22853</v>
      </c>
      <c r="DT273" s="255">
        <v>22853</v>
      </c>
      <c r="DU273" s="255">
        <v>22853</v>
      </c>
      <c r="DV273" s="255">
        <v>0</v>
      </c>
      <c r="DW273" s="255">
        <v>0</v>
      </c>
      <c r="DX273" s="255">
        <v>0</v>
      </c>
      <c r="DY273" s="255">
        <v>0</v>
      </c>
      <c r="DZ273" s="255">
        <v>0</v>
      </c>
      <c r="EA273" s="255">
        <v>0</v>
      </c>
      <c r="EB273" s="255">
        <v>0</v>
      </c>
      <c r="EC273" s="255">
        <v>0</v>
      </c>
      <c r="ED273" s="255">
        <v>0</v>
      </c>
      <c r="EE273" s="255">
        <v>0</v>
      </c>
      <c r="EF273" s="255">
        <v>0</v>
      </c>
      <c r="EG273" s="255">
        <v>0</v>
      </c>
      <c r="EH273" s="255">
        <v>37660</v>
      </c>
      <c r="EI273" s="255">
        <v>23537.5</v>
      </c>
      <c r="EJ273" s="255">
        <v>23537.5</v>
      </c>
      <c r="EK273" s="255">
        <v>23537.5</v>
      </c>
      <c r="EL273" s="255">
        <v>23537.5</v>
      </c>
      <c r="EM273" s="255">
        <v>0</v>
      </c>
      <c r="EN273" s="255">
        <v>0</v>
      </c>
      <c r="EO273" s="255">
        <v>0</v>
      </c>
      <c r="EP273" s="255">
        <v>0</v>
      </c>
      <c r="EQ273" s="255">
        <v>0</v>
      </c>
      <c r="ER273" s="255">
        <v>0</v>
      </c>
      <c r="ES273" s="255">
        <v>0</v>
      </c>
      <c r="ET273" s="255">
        <v>0</v>
      </c>
      <c r="EU273" s="255">
        <v>0</v>
      </c>
      <c r="EV273" s="255">
        <v>0</v>
      </c>
      <c r="EW273" s="255">
        <v>0</v>
      </c>
      <c r="EX273" s="255">
        <v>0</v>
      </c>
      <c r="EY273" s="255">
        <v>0</v>
      </c>
      <c r="EZ273" s="255">
        <v>0</v>
      </c>
      <c r="FA273" s="255">
        <v>0</v>
      </c>
      <c r="FB273" s="255">
        <v>0</v>
      </c>
      <c r="FC273" s="255">
        <v>0</v>
      </c>
      <c r="FD273" s="255">
        <v>0</v>
      </c>
      <c r="FE273" s="255">
        <v>0</v>
      </c>
      <c r="FF273" s="255">
        <v>0</v>
      </c>
      <c r="FG273" s="255">
        <v>0</v>
      </c>
      <c r="FH273" s="255">
        <v>0</v>
      </c>
      <c r="FI273" s="255">
        <v>0</v>
      </c>
      <c r="FJ273" s="255">
        <v>0</v>
      </c>
      <c r="FK273" s="255">
        <v>0</v>
      </c>
      <c r="FL273" s="255">
        <v>0</v>
      </c>
      <c r="FM273" s="255">
        <v>0</v>
      </c>
      <c r="FN273" s="255">
        <v>0</v>
      </c>
      <c r="FO273" s="255">
        <v>0</v>
      </c>
      <c r="FP273" s="255">
        <v>0</v>
      </c>
      <c r="FQ273" s="255">
        <v>0</v>
      </c>
      <c r="FR273" s="255">
        <v>0</v>
      </c>
      <c r="FS273" s="255">
        <v>0</v>
      </c>
      <c r="FT273" s="255">
        <v>0</v>
      </c>
      <c r="FU273" s="255">
        <v>0</v>
      </c>
      <c r="FV273" s="255">
        <v>0</v>
      </c>
      <c r="FW273" s="255">
        <v>0</v>
      </c>
      <c r="FX273" s="116"/>
    </row>
    <row r="274" spans="1:180" x14ac:dyDescent="0.2">
      <c r="B274" s="253" t="s">
        <v>216</v>
      </c>
      <c r="C274" s="253" t="s">
        <v>328</v>
      </c>
      <c r="D274" s="253" t="s">
        <v>258</v>
      </c>
      <c r="E274" s="253" t="s">
        <v>127</v>
      </c>
      <c r="F274" s="253" t="s">
        <v>259</v>
      </c>
      <c r="G274" s="253" t="s">
        <v>260</v>
      </c>
      <c r="H274" s="237">
        <v>202.73</v>
      </c>
      <c r="I274" s="126">
        <f t="shared" si="89"/>
        <v>76382.179999999964</v>
      </c>
      <c r="J274" s="116"/>
      <c r="K274" s="254">
        <v>0</v>
      </c>
      <c r="L274" s="254">
        <v>0</v>
      </c>
      <c r="M274" s="254">
        <v>0</v>
      </c>
      <c r="N274" s="254">
        <v>0</v>
      </c>
      <c r="O274" s="254">
        <v>0</v>
      </c>
      <c r="P274" s="254">
        <v>0</v>
      </c>
      <c r="Q274" s="254">
        <v>0</v>
      </c>
      <c r="R274" s="254">
        <v>0</v>
      </c>
      <c r="S274" s="254">
        <v>0</v>
      </c>
      <c r="T274" s="254">
        <v>0</v>
      </c>
      <c r="U274" s="254">
        <v>0</v>
      </c>
      <c r="V274" s="254">
        <v>0</v>
      </c>
      <c r="W274" s="254">
        <v>0</v>
      </c>
      <c r="X274" s="254">
        <v>0</v>
      </c>
      <c r="Y274" s="254">
        <v>0</v>
      </c>
      <c r="Z274" s="254">
        <v>0</v>
      </c>
      <c r="AA274" s="254">
        <v>0</v>
      </c>
      <c r="AB274" s="254">
        <v>0</v>
      </c>
      <c r="AC274" s="254">
        <v>0</v>
      </c>
      <c r="AD274" s="254">
        <v>0</v>
      </c>
      <c r="AE274" s="254">
        <v>0</v>
      </c>
      <c r="AF274" s="254">
        <v>0.1</v>
      </c>
      <c r="AG274" s="254">
        <v>0.1</v>
      </c>
      <c r="AH274" s="254">
        <v>0.13333333333333333</v>
      </c>
      <c r="AI274" s="254">
        <v>0.13333333333333333</v>
      </c>
      <c r="AJ274" s="254">
        <v>0.1</v>
      </c>
      <c r="AK274" s="254">
        <v>0.1</v>
      </c>
      <c r="AL274" s="254">
        <v>0.13333333333333333</v>
      </c>
      <c r="AM274" s="254">
        <v>9.2105263157894732E-2</v>
      </c>
      <c r="AN274" s="254">
        <v>9.2105263157894732E-2</v>
      </c>
      <c r="AO274" s="254">
        <v>0.1</v>
      </c>
      <c r="AP274" s="254">
        <v>0.1</v>
      </c>
      <c r="AQ274" s="254">
        <v>0.1</v>
      </c>
      <c r="AR274" s="254">
        <v>0.1</v>
      </c>
      <c r="AS274" s="254">
        <v>0.1</v>
      </c>
      <c r="AT274" s="254">
        <v>0.13333333333333333</v>
      </c>
      <c r="AU274" s="254">
        <v>0.13333333333333333</v>
      </c>
      <c r="AV274" s="254">
        <v>0.1</v>
      </c>
      <c r="AW274" s="254">
        <v>0.1</v>
      </c>
      <c r="AX274" s="254">
        <v>0.13333333333333333</v>
      </c>
      <c r="AY274" s="254">
        <v>9.2105263157894732E-2</v>
      </c>
      <c r="AZ274" s="254">
        <v>9.2105263157894732E-2</v>
      </c>
      <c r="BA274" s="254">
        <v>0.1</v>
      </c>
      <c r="BB274" s="254">
        <v>0.1</v>
      </c>
      <c r="BC274" s="254">
        <v>0.1</v>
      </c>
      <c r="BD274" s="254">
        <v>0.1</v>
      </c>
      <c r="BE274" s="254">
        <v>0.1</v>
      </c>
      <c r="BF274" s="254">
        <v>0</v>
      </c>
      <c r="BG274" s="254">
        <v>0</v>
      </c>
      <c r="BH274" s="254">
        <v>0</v>
      </c>
      <c r="BI274" s="254">
        <v>0</v>
      </c>
      <c r="BJ274" s="254">
        <v>0</v>
      </c>
      <c r="BK274" s="254">
        <v>0</v>
      </c>
      <c r="BL274" s="254">
        <v>0</v>
      </c>
      <c r="BM274" s="254">
        <v>0</v>
      </c>
      <c r="BN274" s="254">
        <v>0</v>
      </c>
      <c r="BO274" s="254">
        <v>0</v>
      </c>
      <c r="BP274" s="254">
        <v>0</v>
      </c>
      <c r="BQ274" s="254">
        <v>0</v>
      </c>
      <c r="BR274" s="254">
        <v>0</v>
      </c>
      <c r="BS274" s="254">
        <v>0</v>
      </c>
      <c r="BT274" s="254">
        <v>0</v>
      </c>
      <c r="BU274" s="254">
        <v>0</v>
      </c>
      <c r="BV274" s="254">
        <v>0</v>
      </c>
      <c r="BW274" s="254">
        <v>0</v>
      </c>
      <c r="BX274" s="254">
        <v>0</v>
      </c>
      <c r="BY274" s="254">
        <v>0</v>
      </c>
      <c r="BZ274" s="254">
        <v>0</v>
      </c>
      <c r="CA274" s="254">
        <v>0</v>
      </c>
      <c r="CB274" s="254">
        <v>0</v>
      </c>
      <c r="CC274" s="254">
        <v>0</v>
      </c>
      <c r="CD274" s="254">
        <v>0</v>
      </c>
      <c r="CE274" s="254">
        <v>0</v>
      </c>
      <c r="CF274" s="254">
        <v>0</v>
      </c>
      <c r="CG274" s="254">
        <v>0</v>
      </c>
      <c r="CH274" s="254">
        <v>0</v>
      </c>
      <c r="CI274" s="254">
        <v>0</v>
      </c>
      <c r="CJ274" s="254">
        <v>0</v>
      </c>
      <c r="CK274" s="254">
        <v>0</v>
      </c>
      <c r="CL274" s="254">
        <v>0</v>
      </c>
      <c r="CM274" s="254">
        <v>0</v>
      </c>
      <c r="CN274" s="254">
        <v>0</v>
      </c>
      <c r="CO274" s="254">
        <v>0</v>
      </c>
      <c r="CP274" s="254">
        <v>0</v>
      </c>
      <c r="CQ274" s="116"/>
      <c r="CR274" s="255">
        <v>0</v>
      </c>
      <c r="CS274" s="255">
        <v>0</v>
      </c>
      <c r="CT274" s="255">
        <v>0</v>
      </c>
      <c r="CU274" s="255">
        <v>0</v>
      </c>
      <c r="CV274" s="255">
        <v>0</v>
      </c>
      <c r="CW274" s="255">
        <v>0</v>
      </c>
      <c r="CX274" s="255">
        <v>0</v>
      </c>
      <c r="CY274" s="255">
        <v>0</v>
      </c>
      <c r="CZ274" s="255">
        <v>0</v>
      </c>
      <c r="DA274" s="255">
        <v>0</v>
      </c>
      <c r="DB274" s="255">
        <v>0</v>
      </c>
      <c r="DC274" s="255">
        <v>0</v>
      </c>
      <c r="DD274" s="255">
        <v>0</v>
      </c>
      <c r="DE274" s="255">
        <v>0</v>
      </c>
      <c r="DF274" s="255">
        <v>0</v>
      </c>
      <c r="DG274" s="255">
        <v>0</v>
      </c>
      <c r="DH274" s="255">
        <v>0</v>
      </c>
      <c r="DI274" s="255">
        <v>0</v>
      </c>
      <c r="DJ274" s="255">
        <v>0</v>
      </c>
      <c r="DK274" s="255">
        <v>0</v>
      </c>
      <c r="DL274" s="255">
        <v>0</v>
      </c>
      <c r="DM274" s="255">
        <v>2838.22</v>
      </c>
      <c r="DN274" s="255">
        <v>2838.22</v>
      </c>
      <c r="DO274" s="255">
        <v>2838.22</v>
      </c>
      <c r="DP274" s="255">
        <v>2838.22</v>
      </c>
      <c r="DQ274" s="255">
        <v>2838.22</v>
      </c>
      <c r="DR274" s="255">
        <v>2924.46</v>
      </c>
      <c r="DS274" s="255">
        <v>2924.46</v>
      </c>
      <c r="DT274" s="255">
        <v>2924.46</v>
      </c>
      <c r="DU274" s="255">
        <v>2924.46</v>
      </c>
      <c r="DV274" s="255">
        <v>2924.46</v>
      </c>
      <c r="DW274" s="255">
        <v>2924.46</v>
      </c>
      <c r="DX274" s="255">
        <v>2924.46</v>
      </c>
      <c r="DY274" s="255">
        <v>2924.46</v>
      </c>
      <c r="DZ274" s="255">
        <v>2924.46</v>
      </c>
      <c r="EA274" s="255">
        <v>2924.46</v>
      </c>
      <c r="EB274" s="255">
        <v>2924.46</v>
      </c>
      <c r="EC274" s="255">
        <v>2924.46</v>
      </c>
      <c r="ED274" s="255">
        <v>3010.84</v>
      </c>
      <c r="EE274" s="255">
        <v>3010.84</v>
      </c>
      <c r="EF274" s="255">
        <v>3010.84</v>
      </c>
      <c r="EG274" s="255">
        <v>3010.84</v>
      </c>
      <c r="EH274" s="255">
        <v>3010.84</v>
      </c>
      <c r="EI274" s="255">
        <v>3010.84</v>
      </c>
      <c r="EJ274" s="255">
        <v>3010.84</v>
      </c>
      <c r="EK274" s="255">
        <v>3010.84</v>
      </c>
      <c r="EL274" s="255">
        <v>3010.84</v>
      </c>
      <c r="EM274" s="255">
        <v>0</v>
      </c>
      <c r="EN274" s="255">
        <v>0</v>
      </c>
      <c r="EO274" s="255">
        <v>0</v>
      </c>
      <c r="EP274" s="255">
        <v>0</v>
      </c>
      <c r="EQ274" s="255">
        <v>0</v>
      </c>
      <c r="ER274" s="255">
        <v>0</v>
      </c>
      <c r="ES274" s="255">
        <v>0</v>
      </c>
      <c r="ET274" s="255">
        <v>0</v>
      </c>
      <c r="EU274" s="255">
        <v>0</v>
      </c>
      <c r="EV274" s="255">
        <v>0</v>
      </c>
      <c r="EW274" s="255">
        <v>0</v>
      </c>
      <c r="EX274" s="255">
        <v>0</v>
      </c>
      <c r="EY274" s="255">
        <v>0</v>
      </c>
      <c r="EZ274" s="255">
        <v>0</v>
      </c>
      <c r="FA274" s="255">
        <v>0</v>
      </c>
      <c r="FB274" s="255">
        <v>0</v>
      </c>
      <c r="FC274" s="255">
        <v>0</v>
      </c>
      <c r="FD274" s="255">
        <v>0</v>
      </c>
      <c r="FE274" s="255">
        <v>0</v>
      </c>
      <c r="FF274" s="255">
        <v>0</v>
      </c>
      <c r="FG274" s="255">
        <v>0</v>
      </c>
      <c r="FH274" s="255">
        <v>0</v>
      </c>
      <c r="FI274" s="255">
        <v>0</v>
      </c>
      <c r="FJ274" s="255">
        <v>0</v>
      </c>
      <c r="FK274" s="255">
        <v>0</v>
      </c>
      <c r="FL274" s="255">
        <v>0</v>
      </c>
      <c r="FM274" s="255">
        <v>0</v>
      </c>
      <c r="FN274" s="255">
        <v>0</v>
      </c>
      <c r="FO274" s="255">
        <v>0</v>
      </c>
      <c r="FP274" s="255">
        <v>0</v>
      </c>
      <c r="FQ274" s="255">
        <v>0</v>
      </c>
      <c r="FR274" s="255">
        <v>0</v>
      </c>
      <c r="FS274" s="255">
        <v>0</v>
      </c>
      <c r="FT274" s="255">
        <v>0</v>
      </c>
      <c r="FU274" s="255">
        <v>0</v>
      </c>
      <c r="FV274" s="255">
        <v>0</v>
      </c>
      <c r="FW274" s="255">
        <v>0</v>
      </c>
      <c r="FX274" s="116"/>
    </row>
    <row r="275" spans="1:180" x14ac:dyDescent="0.2">
      <c r="B275" s="253" t="s">
        <v>216</v>
      </c>
      <c r="C275" s="253" t="s">
        <v>271</v>
      </c>
      <c r="D275" s="253" t="s">
        <v>258</v>
      </c>
      <c r="E275" s="253" t="s">
        <v>127</v>
      </c>
      <c r="F275" s="253" t="s">
        <v>259</v>
      </c>
      <c r="G275" s="253" t="s">
        <v>260</v>
      </c>
      <c r="H275" s="237">
        <v>202.73</v>
      </c>
      <c r="I275" s="126">
        <f t="shared" si="89"/>
        <v>205362.85000000006</v>
      </c>
      <c r="J275" s="116"/>
      <c r="K275" s="254">
        <v>0</v>
      </c>
      <c r="L275" s="254">
        <v>0</v>
      </c>
      <c r="M275" s="254">
        <v>0</v>
      </c>
      <c r="N275" s="254">
        <v>0</v>
      </c>
      <c r="O275" s="254">
        <v>0</v>
      </c>
      <c r="P275" s="254">
        <v>0</v>
      </c>
      <c r="Q275" s="254">
        <v>0</v>
      </c>
      <c r="R275" s="254">
        <v>0</v>
      </c>
      <c r="S275" s="254">
        <v>0</v>
      </c>
      <c r="T275" s="254">
        <v>0</v>
      </c>
      <c r="U275" s="254">
        <v>0</v>
      </c>
      <c r="V275" s="254">
        <v>0</v>
      </c>
      <c r="W275" s="254">
        <v>0</v>
      </c>
      <c r="X275" s="254">
        <v>0</v>
      </c>
      <c r="Y275" s="254">
        <v>0</v>
      </c>
      <c r="Z275" s="254">
        <v>0</v>
      </c>
      <c r="AA275" s="254">
        <v>0</v>
      </c>
      <c r="AB275" s="254">
        <v>0</v>
      </c>
      <c r="AC275" s="254">
        <v>0</v>
      </c>
      <c r="AD275" s="254">
        <v>0</v>
      </c>
      <c r="AE275" s="254">
        <v>0</v>
      </c>
      <c r="AF275" s="254">
        <v>0.5</v>
      </c>
      <c r="AG275" s="254">
        <v>0.5</v>
      </c>
      <c r="AH275" s="254">
        <v>0.66666666666666663</v>
      </c>
      <c r="AI275" s="254">
        <v>0.66666666666666663</v>
      </c>
      <c r="AJ275" s="254">
        <v>0</v>
      </c>
      <c r="AK275" s="254">
        <v>0</v>
      </c>
      <c r="AL275" s="254">
        <v>0.33333333333333331</v>
      </c>
      <c r="AM275" s="254">
        <v>0.23026315789473684</v>
      </c>
      <c r="AN275" s="254">
        <v>0.23026315789473684</v>
      </c>
      <c r="AO275" s="254">
        <v>0</v>
      </c>
      <c r="AP275" s="254">
        <v>0</v>
      </c>
      <c r="AQ275" s="254">
        <v>0</v>
      </c>
      <c r="AR275" s="254">
        <v>0</v>
      </c>
      <c r="AS275" s="254">
        <v>0</v>
      </c>
      <c r="AT275" s="254">
        <v>0.66666666666666663</v>
      </c>
      <c r="AU275" s="254">
        <v>0.66666666666666663</v>
      </c>
      <c r="AV275" s="254">
        <v>0.5</v>
      </c>
      <c r="AW275" s="254">
        <v>0.5</v>
      </c>
      <c r="AX275" s="254">
        <v>0.66666666666666663</v>
      </c>
      <c r="AY275" s="254">
        <v>0.46052631578947367</v>
      </c>
      <c r="AZ275" s="254">
        <v>0</v>
      </c>
      <c r="BA275" s="254">
        <v>0.25</v>
      </c>
      <c r="BB275" s="254">
        <v>0.25</v>
      </c>
      <c r="BC275" s="254">
        <v>0.25</v>
      </c>
      <c r="BD275" s="254">
        <v>0.25</v>
      </c>
      <c r="BE275" s="254">
        <v>0.25</v>
      </c>
      <c r="BF275" s="254">
        <v>0</v>
      </c>
      <c r="BG275" s="254">
        <v>0</v>
      </c>
      <c r="BH275" s="254">
        <v>0</v>
      </c>
      <c r="BI275" s="254">
        <v>0</v>
      </c>
      <c r="BJ275" s="254">
        <v>0</v>
      </c>
      <c r="BK275" s="254">
        <v>0</v>
      </c>
      <c r="BL275" s="254">
        <v>0</v>
      </c>
      <c r="BM275" s="254">
        <v>0</v>
      </c>
      <c r="BN275" s="254">
        <v>0</v>
      </c>
      <c r="BO275" s="254">
        <v>0</v>
      </c>
      <c r="BP275" s="254">
        <v>0</v>
      </c>
      <c r="BQ275" s="254">
        <v>0</v>
      </c>
      <c r="BR275" s="254">
        <v>0</v>
      </c>
      <c r="BS275" s="254">
        <v>0</v>
      </c>
      <c r="BT275" s="254">
        <v>0</v>
      </c>
      <c r="BU275" s="254">
        <v>0</v>
      </c>
      <c r="BV275" s="254">
        <v>0</v>
      </c>
      <c r="BW275" s="254">
        <v>0</v>
      </c>
      <c r="BX275" s="254">
        <v>0</v>
      </c>
      <c r="BY275" s="254">
        <v>0</v>
      </c>
      <c r="BZ275" s="254">
        <v>0</v>
      </c>
      <c r="CA275" s="254">
        <v>0</v>
      </c>
      <c r="CB275" s="254">
        <v>0</v>
      </c>
      <c r="CC275" s="254">
        <v>0</v>
      </c>
      <c r="CD275" s="254">
        <v>0</v>
      </c>
      <c r="CE275" s="254">
        <v>0</v>
      </c>
      <c r="CF275" s="254">
        <v>0</v>
      </c>
      <c r="CG275" s="254">
        <v>0</v>
      </c>
      <c r="CH275" s="254">
        <v>0</v>
      </c>
      <c r="CI275" s="254">
        <v>0</v>
      </c>
      <c r="CJ275" s="254">
        <v>0</v>
      </c>
      <c r="CK275" s="254">
        <v>0</v>
      </c>
      <c r="CL275" s="254">
        <v>0</v>
      </c>
      <c r="CM275" s="254">
        <v>0</v>
      </c>
      <c r="CN275" s="254">
        <v>0</v>
      </c>
      <c r="CO275" s="254">
        <v>0</v>
      </c>
      <c r="CP275" s="254">
        <v>0</v>
      </c>
      <c r="CQ275" s="116"/>
      <c r="CR275" s="255">
        <v>0</v>
      </c>
      <c r="CS275" s="255">
        <v>0</v>
      </c>
      <c r="CT275" s="255">
        <v>0</v>
      </c>
      <c r="CU275" s="255">
        <v>0</v>
      </c>
      <c r="CV275" s="255">
        <v>0</v>
      </c>
      <c r="CW275" s="255">
        <v>0</v>
      </c>
      <c r="CX275" s="255">
        <v>0</v>
      </c>
      <c r="CY275" s="255">
        <v>0</v>
      </c>
      <c r="CZ275" s="255">
        <v>0</v>
      </c>
      <c r="DA275" s="255">
        <v>0</v>
      </c>
      <c r="DB275" s="255">
        <v>0</v>
      </c>
      <c r="DC275" s="255">
        <v>0</v>
      </c>
      <c r="DD275" s="255">
        <v>0</v>
      </c>
      <c r="DE275" s="255">
        <v>0</v>
      </c>
      <c r="DF275" s="255">
        <v>0</v>
      </c>
      <c r="DG275" s="255">
        <v>0</v>
      </c>
      <c r="DH275" s="255">
        <v>0</v>
      </c>
      <c r="DI275" s="255">
        <v>0</v>
      </c>
      <c r="DJ275" s="255">
        <v>0</v>
      </c>
      <c r="DK275" s="255">
        <v>0</v>
      </c>
      <c r="DL275" s="255">
        <v>0</v>
      </c>
      <c r="DM275" s="255">
        <v>14191.099999999999</v>
      </c>
      <c r="DN275" s="255">
        <v>14191.099999999999</v>
      </c>
      <c r="DO275" s="255">
        <v>14191.099999999999</v>
      </c>
      <c r="DP275" s="255">
        <v>14191.099999999999</v>
      </c>
      <c r="DQ275" s="255">
        <v>0</v>
      </c>
      <c r="DR275" s="255">
        <v>0</v>
      </c>
      <c r="DS275" s="255">
        <v>7311.15</v>
      </c>
      <c r="DT275" s="255">
        <v>7311.15</v>
      </c>
      <c r="DU275" s="255">
        <v>7311.15</v>
      </c>
      <c r="DV275" s="255">
        <v>0</v>
      </c>
      <c r="DW275" s="255">
        <v>0</v>
      </c>
      <c r="DX275" s="255">
        <v>0</v>
      </c>
      <c r="DY275" s="255">
        <v>0</v>
      </c>
      <c r="DZ275" s="255">
        <v>0</v>
      </c>
      <c r="EA275" s="255">
        <v>14622.3</v>
      </c>
      <c r="EB275" s="255">
        <v>14622.3</v>
      </c>
      <c r="EC275" s="255">
        <v>14622.3</v>
      </c>
      <c r="ED275" s="255">
        <v>15054.2</v>
      </c>
      <c r="EE275" s="255">
        <v>15054.2</v>
      </c>
      <c r="EF275" s="255">
        <v>15054.2</v>
      </c>
      <c r="EG275" s="255">
        <v>0</v>
      </c>
      <c r="EH275" s="255">
        <v>7527.1</v>
      </c>
      <c r="EI275" s="255">
        <v>7527.1</v>
      </c>
      <c r="EJ275" s="255">
        <v>7527.1</v>
      </c>
      <c r="EK275" s="255">
        <v>7527.1</v>
      </c>
      <c r="EL275" s="255">
        <v>7527.1</v>
      </c>
      <c r="EM275" s="255">
        <v>0</v>
      </c>
      <c r="EN275" s="255">
        <v>0</v>
      </c>
      <c r="EO275" s="255">
        <v>0</v>
      </c>
      <c r="EP275" s="255">
        <v>0</v>
      </c>
      <c r="EQ275" s="255">
        <v>0</v>
      </c>
      <c r="ER275" s="255">
        <v>0</v>
      </c>
      <c r="ES275" s="255">
        <v>0</v>
      </c>
      <c r="ET275" s="255">
        <v>0</v>
      </c>
      <c r="EU275" s="255">
        <v>0</v>
      </c>
      <c r="EV275" s="255">
        <v>0</v>
      </c>
      <c r="EW275" s="255">
        <v>0</v>
      </c>
      <c r="EX275" s="255">
        <v>0</v>
      </c>
      <c r="EY275" s="255">
        <v>0</v>
      </c>
      <c r="EZ275" s="255">
        <v>0</v>
      </c>
      <c r="FA275" s="255">
        <v>0</v>
      </c>
      <c r="FB275" s="255">
        <v>0</v>
      </c>
      <c r="FC275" s="255">
        <v>0</v>
      </c>
      <c r="FD275" s="255">
        <v>0</v>
      </c>
      <c r="FE275" s="255">
        <v>0</v>
      </c>
      <c r="FF275" s="255">
        <v>0</v>
      </c>
      <c r="FG275" s="255">
        <v>0</v>
      </c>
      <c r="FH275" s="255">
        <v>0</v>
      </c>
      <c r="FI275" s="255">
        <v>0</v>
      </c>
      <c r="FJ275" s="255">
        <v>0</v>
      </c>
      <c r="FK275" s="255">
        <v>0</v>
      </c>
      <c r="FL275" s="255">
        <v>0</v>
      </c>
      <c r="FM275" s="255">
        <v>0</v>
      </c>
      <c r="FN275" s="255">
        <v>0</v>
      </c>
      <c r="FO275" s="255">
        <v>0</v>
      </c>
      <c r="FP275" s="255">
        <v>0</v>
      </c>
      <c r="FQ275" s="255">
        <v>0</v>
      </c>
      <c r="FR275" s="255">
        <v>0</v>
      </c>
      <c r="FS275" s="255">
        <v>0</v>
      </c>
      <c r="FT275" s="255">
        <v>0</v>
      </c>
      <c r="FU275" s="255">
        <v>0</v>
      </c>
      <c r="FV275" s="255">
        <v>0</v>
      </c>
      <c r="FW275" s="255">
        <v>0</v>
      </c>
      <c r="FX275" s="116"/>
    </row>
    <row r="276" spans="1:180" x14ac:dyDescent="0.2">
      <c r="B276" s="253" t="s">
        <v>216</v>
      </c>
      <c r="C276" s="253" t="s">
        <v>329</v>
      </c>
      <c r="D276" s="253" t="s">
        <v>258</v>
      </c>
      <c r="E276" s="253" t="s">
        <v>127</v>
      </c>
      <c r="F276" s="253" t="s">
        <v>259</v>
      </c>
      <c r="G276" s="253" t="s">
        <v>260</v>
      </c>
      <c r="H276" s="237">
        <v>195.66</v>
      </c>
      <c r="I276" s="126">
        <f t="shared" si="89"/>
        <v>220964.94</v>
      </c>
      <c r="J276" s="116"/>
      <c r="K276" s="254">
        <v>0</v>
      </c>
      <c r="L276" s="254">
        <v>0</v>
      </c>
      <c r="M276" s="254">
        <v>0</v>
      </c>
      <c r="N276" s="254">
        <v>0</v>
      </c>
      <c r="O276" s="254">
        <v>0</v>
      </c>
      <c r="P276" s="254">
        <v>0</v>
      </c>
      <c r="Q276" s="254">
        <v>0</v>
      </c>
      <c r="R276" s="254">
        <v>0</v>
      </c>
      <c r="S276" s="254">
        <v>0</v>
      </c>
      <c r="T276" s="254">
        <v>0</v>
      </c>
      <c r="U276" s="254">
        <v>0</v>
      </c>
      <c r="V276" s="254">
        <v>0</v>
      </c>
      <c r="W276" s="254">
        <v>0</v>
      </c>
      <c r="X276" s="254">
        <v>0</v>
      </c>
      <c r="Y276" s="254">
        <v>0</v>
      </c>
      <c r="Z276" s="254">
        <v>0</v>
      </c>
      <c r="AA276" s="254">
        <v>0</v>
      </c>
      <c r="AB276" s="254">
        <v>0</v>
      </c>
      <c r="AC276" s="254">
        <v>0</v>
      </c>
      <c r="AD276" s="254">
        <v>0</v>
      </c>
      <c r="AE276" s="254">
        <v>0</v>
      </c>
      <c r="AF276" s="254">
        <v>0</v>
      </c>
      <c r="AG276" s="254">
        <v>0</v>
      </c>
      <c r="AH276" s="254">
        <v>0</v>
      </c>
      <c r="AI276" s="254">
        <v>0</v>
      </c>
      <c r="AJ276" s="254">
        <v>1.1000000000000001</v>
      </c>
      <c r="AK276" s="254">
        <v>1.55</v>
      </c>
      <c r="AL276" s="254">
        <v>0</v>
      </c>
      <c r="AM276" s="254">
        <v>1.4276315789473684</v>
      </c>
      <c r="AN276" s="254">
        <v>1.381578947368421</v>
      </c>
      <c r="AO276" s="254">
        <v>0</v>
      </c>
      <c r="AP276" s="254">
        <v>0</v>
      </c>
      <c r="AQ276" s="254">
        <v>0</v>
      </c>
      <c r="AR276" s="254">
        <v>0</v>
      </c>
      <c r="AS276" s="254">
        <v>0</v>
      </c>
      <c r="AT276" s="254">
        <v>0</v>
      </c>
      <c r="AU276" s="254">
        <v>0</v>
      </c>
      <c r="AV276" s="254">
        <v>0</v>
      </c>
      <c r="AW276" s="254">
        <v>0</v>
      </c>
      <c r="AX276" s="254">
        <v>0</v>
      </c>
      <c r="AY276" s="254">
        <v>0</v>
      </c>
      <c r="AZ276" s="254">
        <v>0</v>
      </c>
      <c r="BA276" s="254">
        <v>1.1000000000000001</v>
      </c>
      <c r="BB276" s="254">
        <v>0.5</v>
      </c>
      <c r="BC276" s="254">
        <v>0.5</v>
      </c>
      <c r="BD276" s="254">
        <v>0</v>
      </c>
      <c r="BE276" s="254">
        <v>0</v>
      </c>
      <c r="BF276" s="254">
        <v>0</v>
      </c>
      <c r="BG276" s="254">
        <v>0</v>
      </c>
      <c r="BH276" s="254">
        <v>0</v>
      </c>
      <c r="BI276" s="254">
        <v>0</v>
      </c>
      <c r="BJ276" s="254">
        <v>0</v>
      </c>
      <c r="BK276" s="254">
        <v>0</v>
      </c>
      <c r="BL276" s="254">
        <v>0</v>
      </c>
      <c r="BM276" s="254">
        <v>0</v>
      </c>
      <c r="BN276" s="254">
        <v>0</v>
      </c>
      <c r="BO276" s="254">
        <v>0</v>
      </c>
      <c r="BP276" s="254">
        <v>0</v>
      </c>
      <c r="BQ276" s="254">
        <v>0</v>
      </c>
      <c r="BR276" s="254">
        <v>0</v>
      </c>
      <c r="BS276" s="254">
        <v>0</v>
      </c>
      <c r="BT276" s="254">
        <v>0</v>
      </c>
      <c r="BU276" s="254">
        <v>0</v>
      </c>
      <c r="BV276" s="254">
        <v>0</v>
      </c>
      <c r="BW276" s="254">
        <v>0</v>
      </c>
      <c r="BX276" s="254">
        <v>0</v>
      </c>
      <c r="BY276" s="254">
        <v>0</v>
      </c>
      <c r="BZ276" s="254">
        <v>0</v>
      </c>
      <c r="CA276" s="254">
        <v>0</v>
      </c>
      <c r="CB276" s="254">
        <v>0</v>
      </c>
      <c r="CC276" s="254">
        <v>0</v>
      </c>
      <c r="CD276" s="254">
        <v>0</v>
      </c>
      <c r="CE276" s="254">
        <v>0</v>
      </c>
      <c r="CF276" s="254">
        <v>0</v>
      </c>
      <c r="CG276" s="254">
        <v>0</v>
      </c>
      <c r="CH276" s="254">
        <v>0</v>
      </c>
      <c r="CI276" s="254">
        <v>0</v>
      </c>
      <c r="CJ276" s="254">
        <v>0</v>
      </c>
      <c r="CK276" s="254">
        <v>0</v>
      </c>
      <c r="CL276" s="254">
        <v>0</v>
      </c>
      <c r="CM276" s="254">
        <v>0</v>
      </c>
      <c r="CN276" s="254">
        <v>0</v>
      </c>
      <c r="CO276" s="254">
        <v>0</v>
      </c>
      <c r="CP276" s="254">
        <v>0</v>
      </c>
      <c r="CQ276" s="116"/>
      <c r="CR276" s="255">
        <v>0</v>
      </c>
      <c r="CS276" s="255">
        <v>0</v>
      </c>
      <c r="CT276" s="255">
        <v>0</v>
      </c>
      <c r="CU276" s="255">
        <v>0</v>
      </c>
      <c r="CV276" s="255">
        <v>0</v>
      </c>
      <c r="CW276" s="255">
        <v>0</v>
      </c>
      <c r="CX276" s="255">
        <v>0</v>
      </c>
      <c r="CY276" s="255">
        <v>0</v>
      </c>
      <c r="CZ276" s="255">
        <v>0</v>
      </c>
      <c r="DA276" s="255">
        <v>0</v>
      </c>
      <c r="DB276" s="255">
        <v>0</v>
      </c>
      <c r="DC276" s="255">
        <v>0</v>
      </c>
      <c r="DD276" s="255">
        <v>0</v>
      </c>
      <c r="DE276" s="255">
        <v>0</v>
      </c>
      <c r="DF276" s="255">
        <v>0</v>
      </c>
      <c r="DG276" s="255">
        <v>0</v>
      </c>
      <c r="DH276" s="255">
        <v>0</v>
      </c>
      <c r="DI276" s="255">
        <v>0</v>
      </c>
      <c r="DJ276" s="255">
        <v>0</v>
      </c>
      <c r="DK276" s="255">
        <v>0</v>
      </c>
      <c r="DL276" s="255">
        <v>0</v>
      </c>
      <c r="DM276" s="255">
        <v>0</v>
      </c>
      <c r="DN276" s="255">
        <v>0</v>
      </c>
      <c r="DO276" s="255">
        <v>0</v>
      </c>
      <c r="DP276" s="255">
        <v>0</v>
      </c>
      <c r="DQ276" s="255">
        <v>30130.100000000002</v>
      </c>
      <c r="DR276" s="255">
        <v>43745.03</v>
      </c>
      <c r="DS276" s="255">
        <v>0</v>
      </c>
      <c r="DT276" s="255">
        <v>43745.03</v>
      </c>
      <c r="DU276" s="255">
        <v>42333.9</v>
      </c>
      <c r="DV276" s="255">
        <v>0</v>
      </c>
      <c r="DW276" s="255">
        <v>0</v>
      </c>
      <c r="DX276" s="255">
        <v>0</v>
      </c>
      <c r="DY276" s="255">
        <v>0</v>
      </c>
      <c r="DZ276" s="255">
        <v>0</v>
      </c>
      <c r="EA276" s="255">
        <v>0</v>
      </c>
      <c r="EB276" s="255">
        <v>0</v>
      </c>
      <c r="EC276" s="255">
        <v>0</v>
      </c>
      <c r="ED276" s="255">
        <v>0</v>
      </c>
      <c r="EE276" s="255">
        <v>0</v>
      </c>
      <c r="EF276" s="255">
        <v>0</v>
      </c>
      <c r="EG276" s="255">
        <v>0</v>
      </c>
      <c r="EH276" s="255">
        <v>31958.080000000002</v>
      </c>
      <c r="EI276" s="255">
        <v>14526.400000000001</v>
      </c>
      <c r="EJ276" s="255">
        <v>14526.400000000001</v>
      </c>
      <c r="EK276" s="255">
        <v>0</v>
      </c>
      <c r="EL276" s="255">
        <v>0</v>
      </c>
      <c r="EM276" s="255">
        <v>0</v>
      </c>
      <c r="EN276" s="255">
        <v>0</v>
      </c>
      <c r="EO276" s="255">
        <v>0</v>
      </c>
      <c r="EP276" s="255">
        <v>0</v>
      </c>
      <c r="EQ276" s="255">
        <v>0</v>
      </c>
      <c r="ER276" s="255">
        <v>0</v>
      </c>
      <c r="ES276" s="255">
        <v>0</v>
      </c>
      <c r="ET276" s="255">
        <v>0</v>
      </c>
      <c r="EU276" s="255">
        <v>0</v>
      </c>
      <c r="EV276" s="255">
        <v>0</v>
      </c>
      <c r="EW276" s="255">
        <v>0</v>
      </c>
      <c r="EX276" s="255">
        <v>0</v>
      </c>
      <c r="EY276" s="255">
        <v>0</v>
      </c>
      <c r="EZ276" s="255">
        <v>0</v>
      </c>
      <c r="FA276" s="255">
        <v>0</v>
      </c>
      <c r="FB276" s="255">
        <v>0</v>
      </c>
      <c r="FC276" s="255">
        <v>0</v>
      </c>
      <c r="FD276" s="255">
        <v>0</v>
      </c>
      <c r="FE276" s="255">
        <v>0</v>
      </c>
      <c r="FF276" s="255">
        <v>0</v>
      </c>
      <c r="FG276" s="255">
        <v>0</v>
      </c>
      <c r="FH276" s="255">
        <v>0</v>
      </c>
      <c r="FI276" s="255">
        <v>0</v>
      </c>
      <c r="FJ276" s="255">
        <v>0</v>
      </c>
      <c r="FK276" s="255">
        <v>0</v>
      </c>
      <c r="FL276" s="255">
        <v>0</v>
      </c>
      <c r="FM276" s="255">
        <v>0</v>
      </c>
      <c r="FN276" s="255">
        <v>0</v>
      </c>
      <c r="FO276" s="255">
        <v>0</v>
      </c>
      <c r="FP276" s="255">
        <v>0</v>
      </c>
      <c r="FQ276" s="255">
        <v>0</v>
      </c>
      <c r="FR276" s="255">
        <v>0</v>
      </c>
      <c r="FS276" s="255">
        <v>0</v>
      </c>
      <c r="FT276" s="255">
        <v>0</v>
      </c>
      <c r="FU276" s="255">
        <v>0</v>
      </c>
      <c r="FV276" s="255">
        <v>0</v>
      </c>
      <c r="FW276" s="255">
        <v>0</v>
      </c>
      <c r="FX276" s="116"/>
    </row>
    <row r="277" spans="1:180" x14ac:dyDescent="0.2">
      <c r="B277" s="253" t="s">
        <v>216</v>
      </c>
      <c r="C277" s="253" t="s">
        <v>329</v>
      </c>
      <c r="D277" s="253" t="s">
        <v>258</v>
      </c>
      <c r="E277" s="253" t="s">
        <v>127</v>
      </c>
      <c r="F277" s="253">
        <v>0</v>
      </c>
      <c r="G277" s="253" t="s">
        <v>322</v>
      </c>
      <c r="H277" s="237">
        <v>195.66</v>
      </c>
      <c r="I277" s="126">
        <f t="shared" si="89"/>
        <v>133761.60000000001</v>
      </c>
      <c r="J277" s="116"/>
      <c r="K277" s="254">
        <v>0</v>
      </c>
      <c r="L277" s="254">
        <v>0</v>
      </c>
      <c r="M277" s="254">
        <v>0</v>
      </c>
      <c r="N277" s="254">
        <v>0</v>
      </c>
      <c r="O277" s="254">
        <v>0</v>
      </c>
      <c r="P277" s="254">
        <v>0</v>
      </c>
      <c r="Q277" s="254">
        <v>0</v>
      </c>
      <c r="R277" s="254">
        <v>0</v>
      </c>
      <c r="S277" s="254">
        <v>0</v>
      </c>
      <c r="T277" s="254">
        <v>0</v>
      </c>
      <c r="U277" s="254">
        <v>0</v>
      </c>
      <c r="V277" s="254">
        <v>0</v>
      </c>
      <c r="W277" s="254">
        <v>0</v>
      </c>
      <c r="X277" s="254">
        <v>0</v>
      </c>
      <c r="Y277" s="254">
        <v>0</v>
      </c>
      <c r="Z277" s="254">
        <v>0</v>
      </c>
      <c r="AA277" s="254">
        <v>0</v>
      </c>
      <c r="AB277" s="254">
        <v>0</v>
      </c>
      <c r="AC277" s="254">
        <v>0</v>
      </c>
      <c r="AD277" s="254">
        <v>0</v>
      </c>
      <c r="AE277" s="254">
        <v>0</v>
      </c>
      <c r="AF277" s="254">
        <v>0</v>
      </c>
      <c r="AG277" s="254">
        <v>0</v>
      </c>
      <c r="AH277" s="254">
        <v>0</v>
      </c>
      <c r="AI277" s="254">
        <v>0</v>
      </c>
      <c r="AJ277" s="254">
        <v>0.35714285714285715</v>
      </c>
      <c r="AK277" s="254">
        <v>0.35714285714285715</v>
      </c>
      <c r="AL277" s="254">
        <v>0</v>
      </c>
      <c r="AM277" s="254">
        <v>0.39473684210526316</v>
      </c>
      <c r="AN277" s="254">
        <v>0.39473684210526316</v>
      </c>
      <c r="AO277" s="254">
        <v>0</v>
      </c>
      <c r="AP277" s="254">
        <v>0</v>
      </c>
      <c r="AQ277" s="254">
        <v>0</v>
      </c>
      <c r="AR277" s="254">
        <v>0</v>
      </c>
      <c r="AS277" s="254">
        <v>0</v>
      </c>
      <c r="AT277" s="254">
        <v>0</v>
      </c>
      <c r="AU277" s="254">
        <v>0</v>
      </c>
      <c r="AV277" s="254">
        <v>0</v>
      </c>
      <c r="AW277" s="254">
        <v>0</v>
      </c>
      <c r="AX277" s="254">
        <v>0</v>
      </c>
      <c r="AY277" s="254">
        <v>0</v>
      </c>
      <c r="AZ277" s="254">
        <v>0</v>
      </c>
      <c r="BA277" s="254">
        <v>0.35714285714285715</v>
      </c>
      <c r="BB277" s="254">
        <v>0.21428571428571427</v>
      </c>
      <c r="BC277" s="254">
        <v>0.21428571428571427</v>
      </c>
      <c r="BD277" s="254">
        <v>0</v>
      </c>
      <c r="BE277" s="254">
        <v>0</v>
      </c>
      <c r="BF277" s="254">
        <v>0</v>
      </c>
      <c r="BG277" s="254">
        <v>0</v>
      </c>
      <c r="BH277" s="254">
        <v>0</v>
      </c>
      <c r="BI277" s="254">
        <v>0</v>
      </c>
      <c r="BJ277" s="254">
        <v>0</v>
      </c>
      <c r="BK277" s="254">
        <v>0</v>
      </c>
      <c r="BL277" s="254">
        <v>0</v>
      </c>
      <c r="BM277" s="254">
        <v>0</v>
      </c>
      <c r="BN277" s="254">
        <v>0</v>
      </c>
      <c r="BO277" s="254">
        <v>0</v>
      </c>
      <c r="BP277" s="254">
        <v>0</v>
      </c>
      <c r="BQ277" s="254">
        <v>0</v>
      </c>
      <c r="BR277" s="254">
        <v>0</v>
      </c>
      <c r="BS277" s="254">
        <v>0</v>
      </c>
      <c r="BT277" s="254">
        <v>0</v>
      </c>
      <c r="BU277" s="254">
        <v>0</v>
      </c>
      <c r="BV277" s="254">
        <v>0</v>
      </c>
      <c r="BW277" s="254">
        <v>0</v>
      </c>
      <c r="BX277" s="254">
        <v>0</v>
      </c>
      <c r="BY277" s="254">
        <v>0</v>
      </c>
      <c r="BZ277" s="254">
        <v>0</v>
      </c>
      <c r="CA277" s="254">
        <v>0</v>
      </c>
      <c r="CB277" s="254">
        <v>0</v>
      </c>
      <c r="CC277" s="254">
        <v>0</v>
      </c>
      <c r="CD277" s="254">
        <v>0</v>
      </c>
      <c r="CE277" s="254">
        <v>0</v>
      </c>
      <c r="CF277" s="254">
        <v>0</v>
      </c>
      <c r="CG277" s="254">
        <v>0</v>
      </c>
      <c r="CH277" s="254">
        <v>0</v>
      </c>
      <c r="CI277" s="254">
        <v>0</v>
      </c>
      <c r="CJ277" s="254">
        <v>0</v>
      </c>
      <c r="CK277" s="254">
        <v>0</v>
      </c>
      <c r="CL277" s="254">
        <v>0</v>
      </c>
      <c r="CM277" s="254">
        <v>0</v>
      </c>
      <c r="CN277" s="254">
        <v>0</v>
      </c>
      <c r="CO277" s="254">
        <v>0</v>
      </c>
      <c r="CP277" s="254">
        <v>0</v>
      </c>
      <c r="CQ277" s="116"/>
      <c r="CR277" s="255">
        <v>0</v>
      </c>
      <c r="CS277" s="255">
        <v>0</v>
      </c>
      <c r="CT277" s="255">
        <v>0</v>
      </c>
      <c r="CU277" s="255">
        <v>0</v>
      </c>
      <c r="CV277" s="255">
        <v>0</v>
      </c>
      <c r="CW277" s="255">
        <v>0</v>
      </c>
      <c r="CX277" s="255">
        <v>0</v>
      </c>
      <c r="CY277" s="255">
        <v>0</v>
      </c>
      <c r="CZ277" s="255">
        <v>0</v>
      </c>
      <c r="DA277" s="255">
        <v>0</v>
      </c>
      <c r="DB277" s="255">
        <v>0</v>
      </c>
      <c r="DC277" s="255">
        <v>0</v>
      </c>
      <c r="DD277" s="255">
        <v>0</v>
      </c>
      <c r="DE277" s="255">
        <v>0</v>
      </c>
      <c r="DF277" s="255">
        <v>0</v>
      </c>
      <c r="DG277" s="255">
        <v>0</v>
      </c>
      <c r="DH277" s="255">
        <v>0</v>
      </c>
      <c r="DI277" s="255">
        <v>0</v>
      </c>
      <c r="DJ277" s="255">
        <v>0</v>
      </c>
      <c r="DK277" s="255">
        <v>0</v>
      </c>
      <c r="DL277" s="255">
        <v>0</v>
      </c>
      <c r="DM277" s="255">
        <v>0</v>
      </c>
      <c r="DN277" s="255">
        <v>0</v>
      </c>
      <c r="DO277" s="255">
        <v>0</v>
      </c>
      <c r="DP277" s="255">
        <v>0</v>
      </c>
      <c r="DQ277" s="255">
        <v>19565.5</v>
      </c>
      <c r="DR277" s="255">
        <v>20159</v>
      </c>
      <c r="DS277" s="255">
        <v>0</v>
      </c>
      <c r="DT277" s="255">
        <v>24190.799999999999</v>
      </c>
      <c r="DU277" s="255">
        <v>24190.799999999999</v>
      </c>
      <c r="DV277" s="255">
        <v>0</v>
      </c>
      <c r="DW277" s="255">
        <v>0</v>
      </c>
      <c r="DX277" s="255">
        <v>0</v>
      </c>
      <c r="DY277" s="255">
        <v>0</v>
      </c>
      <c r="DZ277" s="255">
        <v>0</v>
      </c>
      <c r="EA277" s="255">
        <v>0</v>
      </c>
      <c r="EB277" s="255">
        <v>0</v>
      </c>
      <c r="EC277" s="255">
        <v>0</v>
      </c>
      <c r="ED277" s="255">
        <v>0</v>
      </c>
      <c r="EE277" s="255">
        <v>0</v>
      </c>
      <c r="EF277" s="255">
        <v>0</v>
      </c>
      <c r="EG277" s="255">
        <v>0</v>
      </c>
      <c r="EH277" s="255">
        <v>20752.5</v>
      </c>
      <c r="EI277" s="255">
        <v>12451.5</v>
      </c>
      <c r="EJ277" s="255">
        <v>12451.5</v>
      </c>
      <c r="EK277" s="255">
        <v>0</v>
      </c>
      <c r="EL277" s="255">
        <v>0</v>
      </c>
      <c r="EM277" s="255">
        <v>0</v>
      </c>
      <c r="EN277" s="255">
        <v>0</v>
      </c>
      <c r="EO277" s="255">
        <v>0</v>
      </c>
      <c r="EP277" s="255">
        <v>0</v>
      </c>
      <c r="EQ277" s="255">
        <v>0</v>
      </c>
      <c r="ER277" s="255">
        <v>0</v>
      </c>
      <c r="ES277" s="255">
        <v>0</v>
      </c>
      <c r="ET277" s="255">
        <v>0</v>
      </c>
      <c r="EU277" s="255">
        <v>0</v>
      </c>
      <c r="EV277" s="255">
        <v>0</v>
      </c>
      <c r="EW277" s="255">
        <v>0</v>
      </c>
      <c r="EX277" s="255">
        <v>0</v>
      </c>
      <c r="EY277" s="255">
        <v>0</v>
      </c>
      <c r="EZ277" s="255">
        <v>0</v>
      </c>
      <c r="FA277" s="255">
        <v>0</v>
      </c>
      <c r="FB277" s="255">
        <v>0</v>
      </c>
      <c r="FC277" s="255">
        <v>0</v>
      </c>
      <c r="FD277" s="255">
        <v>0</v>
      </c>
      <c r="FE277" s="255">
        <v>0</v>
      </c>
      <c r="FF277" s="255">
        <v>0</v>
      </c>
      <c r="FG277" s="255">
        <v>0</v>
      </c>
      <c r="FH277" s="255">
        <v>0</v>
      </c>
      <c r="FI277" s="255">
        <v>0</v>
      </c>
      <c r="FJ277" s="255">
        <v>0</v>
      </c>
      <c r="FK277" s="255">
        <v>0</v>
      </c>
      <c r="FL277" s="255">
        <v>0</v>
      </c>
      <c r="FM277" s="255">
        <v>0</v>
      </c>
      <c r="FN277" s="255">
        <v>0</v>
      </c>
      <c r="FO277" s="255">
        <v>0</v>
      </c>
      <c r="FP277" s="255">
        <v>0</v>
      </c>
      <c r="FQ277" s="255">
        <v>0</v>
      </c>
      <c r="FR277" s="255">
        <v>0</v>
      </c>
      <c r="FS277" s="255">
        <v>0</v>
      </c>
      <c r="FT277" s="255">
        <v>0</v>
      </c>
      <c r="FU277" s="255">
        <v>0</v>
      </c>
      <c r="FV277" s="255">
        <v>0</v>
      </c>
      <c r="FW277" s="255">
        <v>0</v>
      </c>
      <c r="FX277" s="116"/>
    </row>
    <row r="278" spans="1:180" x14ac:dyDescent="0.2">
      <c r="B278" s="253" t="s">
        <v>216</v>
      </c>
      <c r="C278" s="253" t="s">
        <v>330</v>
      </c>
      <c r="D278" s="253" t="s">
        <v>258</v>
      </c>
      <c r="E278" s="253" t="s">
        <v>127</v>
      </c>
      <c r="F278" s="253" t="s">
        <v>259</v>
      </c>
      <c r="G278" s="253" t="s">
        <v>260</v>
      </c>
      <c r="H278" s="237">
        <v>157.53</v>
      </c>
      <c r="I278" s="126">
        <f t="shared" si="89"/>
        <v>838412.52000000025</v>
      </c>
      <c r="J278" s="116"/>
      <c r="K278" s="254">
        <v>0</v>
      </c>
      <c r="L278" s="254">
        <v>0</v>
      </c>
      <c r="M278" s="254">
        <v>0</v>
      </c>
      <c r="N278" s="254">
        <v>0</v>
      </c>
      <c r="O278" s="254">
        <v>0</v>
      </c>
      <c r="P278" s="254">
        <v>0</v>
      </c>
      <c r="Q278" s="254">
        <v>0</v>
      </c>
      <c r="R278" s="254">
        <v>0</v>
      </c>
      <c r="S278" s="254">
        <v>0</v>
      </c>
      <c r="T278" s="254">
        <v>0</v>
      </c>
      <c r="U278" s="254">
        <v>0</v>
      </c>
      <c r="V278" s="254">
        <v>0</v>
      </c>
      <c r="W278" s="254">
        <v>0</v>
      </c>
      <c r="X278" s="254">
        <v>0</v>
      </c>
      <c r="Y278" s="254">
        <v>0</v>
      </c>
      <c r="Z278" s="254">
        <v>0</v>
      </c>
      <c r="AA278" s="254">
        <v>0</v>
      </c>
      <c r="AB278" s="254">
        <v>0</v>
      </c>
      <c r="AC278" s="254">
        <v>0</v>
      </c>
      <c r="AD278" s="254">
        <v>0</v>
      </c>
      <c r="AE278" s="254">
        <v>0</v>
      </c>
      <c r="AF278" s="254">
        <v>0</v>
      </c>
      <c r="AG278" s="254">
        <v>0</v>
      </c>
      <c r="AH278" s="254">
        <v>0</v>
      </c>
      <c r="AI278" s="254">
        <v>0</v>
      </c>
      <c r="AJ278" s="254">
        <v>1.2</v>
      </c>
      <c r="AK278" s="254">
        <v>1.2</v>
      </c>
      <c r="AL278" s="254">
        <v>1.9</v>
      </c>
      <c r="AM278" s="254">
        <v>1.243421052631579</v>
      </c>
      <c r="AN278" s="254">
        <v>1.174342105263158</v>
      </c>
      <c r="AO278" s="254">
        <v>1.35</v>
      </c>
      <c r="AP278" s="254">
        <v>1.2749999999999999</v>
      </c>
      <c r="AQ278" s="254">
        <v>1.35</v>
      </c>
      <c r="AR278" s="254">
        <v>1.35</v>
      </c>
      <c r="AS278" s="254">
        <v>1.2749999999999999</v>
      </c>
      <c r="AT278" s="254">
        <v>1.6</v>
      </c>
      <c r="AU278" s="254">
        <v>1.9</v>
      </c>
      <c r="AV278" s="254">
        <v>1.2</v>
      </c>
      <c r="AW278" s="254">
        <v>1.425</v>
      </c>
      <c r="AX278" s="254">
        <v>1.6</v>
      </c>
      <c r="AY278" s="254">
        <v>1.3125</v>
      </c>
      <c r="AZ278" s="254">
        <v>1.3125</v>
      </c>
      <c r="BA278" s="254">
        <v>1.2</v>
      </c>
      <c r="BB278" s="254">
        <v>1.35</v>
      </c>
      <c r="BC278" s="254">
        <v>1.2749999999999999</v>
      </c>
      <c r="BD278" s="254">
        <v>1.35</v>
      </c>
      <c r="BE278" s="254">
        <v>1.35</v>
      </c>
      <c r="BF278" s="254">
        <v>1.4</v>
      </c>
      <c r="BG278" s="254">
        <v>8.5714285714285712</v>
      </c>
      <c r="BH278" s="254">
        <v>0</v>
      </c>
      <c r="BI278" s="254">
        <v>0</v>
      </c>
      <c r="BJ278" s="254">
        <v>0</v>
      </c>
      <c r="BK278" s="254">
        <v>0</v>
      </c>
      <c r="BL278" s="254">
        <v>0</v>
      </c>
      <c r="BM278" s="254">
        <v>0</v>
      </c>
      <c r="BN278" s="254">
        <v>0</v>
      </c>
      <c r="BO278" s="254">
        <v>0</v>
      </c>
      <c r="BP278" s="254">
        <v>0</v>
      </c>
      <c r="BQ278" s="254">
        <v>0</v>
      </c>
      <c r="BR278" s="254">
        <v>0</v>
      </c>
      <c r="BS278" s="254">
        <v>0</v>
      </c>
      <c r="BT278" s="254">
        <v>0</v>
      </c>
      <c r="BU278" s="254">
        <v>0</v>
      </c>
      <c r="BV278" s="254">
        <v>0</v>
      </c>
      <c r="BW278" s="254">
        <v>0</v>
      </c>
      <c r="BX278" s="254">
        <v>0</v>
      </c>
      <c r="BY278" s="254">
        <v>0</v>
      </c>
      <c r="BZ278" s="254">
        <v>0</v>
      </c>
      <c r="CA278" s="254">
        <v>0</v>
      </c>
      <c r="CB278" s="254">
        <v>0</v>
      </c>
      <c r="CC278" s="254">
        <v>0</v>
      </c>
      <c r="CD278" s="254">
        <v>0</v>
      </c>
      <c r="CE278" s="254">
        <v>0</v>
      </c>
      <c r="CF278" s="254">
        <v>0</v>
      </c>
      <c r="CG278" s="254">
        <v>0</v>
      </c>
      <c r="CH278" s="254">
        <v>0</v>
      </c>
      <c r="CI278" s="254">
        <v>0</v>
      </c>
      <c r="CJ278" s="254">
        <v>0</v>
      </c>
      <c r="CK278" s="254">
        <v>0</v>
      </c>
      <c r="CL278" s="254">
        <v>0</v>
      </c>
      <c r="CM278" s="254">
        <v>0</v>
      </c>
      <c r="CN278" s="254">
        <v>0</v>
      </c>
      <c r="CO278" s="254">
        <v>0</v>
      </c>
      <c r="CP278" s="254">
        <v>0</v>
      </c>
      <c r="CQ278" s="116"/>
      <c r="CR278" s="255">
        <v>0</v>
      </c>
      <c r="CS278" s="255">
        <v>0</v>
      </c>
      <c r="CT278" s="255">
        <v>0</v>
      </c>
      <c r="CU278" s="255">
        <v>0</v>
      </c>
      <c r="CV278" s="255">
        <v>0</v>
      </c>
      <c r="CW278" s="255">
        <v>0</v>
      </c>
      <c r="CX278" s="255">
        <v>0</v>
      </c>
      <c r="CY278" s="255">
        <v>0</v>
      </c>
      <c r="CZ278" s="255">
        <v>0</v>
      </c>
      <c r="DA278" s="255">
        <v>0</v>
      </c>
      <c r="DB278" s="255">
        <v>0</v>
      </c>
      <c r="DC278" s="255">
        <v>0</v>
      </c>
      <c r="DD278" s="255">
        <v>0</v>
      </c>
      <c r="DE278" s="255">
        <v>0</v>
      </c>
      <c r="DF278" s="255">
        <v>0</v>
      </c>
      <c r="DG278" s="255">
        <v>0</v>
      </c>
      <c r="DH278" s="255">
        <v>0</v>
      </c>
      <c r="DI278" s="255">
        <v>0</v>
      </c>
      <c r="DJ278" s="255">
        <v>0</v>
      </c>
      <c r="DK278" s="255">
        <v>0</v>
      </c>
      <c r="DL278" s="255">
        <v>0</v>
      </c>
      <c r="DM278" s="255">
        <v>0</v>
      </c>
      <c r="DN278" s="255">
        <v>0</v>
      </c>
      <c r="DO278" s="255">
        <v>0</v>
      </c>
      <c r="DP278" s="255">
        <v>0</v>
      </c>
      <c r="DQ278" s="255">
        <v>26465.040000000001</v>
      </c>
      <c r="DR278" s="255">
        <v>27269.759999999998</v>
      </c>
      <c r="DS278" s="255">
        <v>32382.84</v>
      </c>
      <c r="DT278" s="255">
        <v>30678.48</v>
      </c>
      <c r="DU278" s="255">
        <v>28974.12</v>
      </c>
      <c r="DV278" s="255">
        <v>30678.48</v>
      </c>
      <c r="DW278" s="255">
        <v>28974.12</v>
      </c>
      <c r="DX278" s="255">
        <v>30678.48</v>
      </c>
      <c r="DY278" s="255">
        <v>30678.48</v>
      </c>
      <c r="DZ278" s="255">
        <v>28974.12</v>
      </c>
      <c r="EA278" s="255">
        <v>27269.759999999998</v>
      </c>
      <c r="EB278" s="255">
        <v>32382.84</v>
      </c>
      <c r="EC278" s="255">
        <v>27269.759999999998</v>
      </c>
      <c r="ED278" s="255">
        <v>33340.44</v>
      </c>
      <c r="EE278" s="255">
        <v>28076.16</v>
      </c>
      <c r="EF278" s="255">
        <v>33340.44</v>
      </c>
      <c r="EG278" s="255">
        <v>33340.44</v>
      </c>
      <c r="EH278" s="255">
        <v>28076.16</v>
      </c>
      <c r="EI278" s="255">
        <v>31585.68</v>
      </c>
      <c r="EJ278" s="255">
        <v>29830.920000000002</v>
      </c>
      <c r="EK278" s="255">
        <v>31585.68</v>
      </c>
      <c r="EL278" s="255">
        <v>31585.68</v>
      </c>
      <c r="EM278" s="255">
        <v>24566.639999999999</v>
      </c>
      <c r="EN278" s="255">
        <v>150408</v>
      </c>
      <c r="EO278" s="255">
        <v>0</v>
      </c>
      <c r="EP278" s="255">
        <v>0</v>
      </c>
      <c r="EQ278" s="255">
        <v>0</v>
      </c>
      <c r="ER278" s="255">
        <v>0</v>
      </c>
      <c r="ES278" s="255">
        <v>0</v>
      </c>
      <c r="ET278" s="255">
        <v>0</v>
      </c>
      <c r="EU278" s="255">
        <v>0</v>
      </c>
      <c r="EV278" s="255">
        <v>0</v>
      </c>
      <c r="EW278" s="255">
        <v>0</v>
      </c>
      <c r="EX278" s="255">
        <v>0</v>
      </c>
      <c r="EY278" s="255">
        <v>0</v>
      </c>
      <c r="EZ278" s="255">
        <v>0</v>
      </c>
      <c r="FA278" s="255">
        <v>0</v>
      </c>
      <c r="FB278" s="255">
        <v>0</v>
      </c>
      <c r="FC278" s="255">
        <v>0</v>
      </c>
      <c r="FD278" s="255">
        <v>0</v>
      </c>
      <c r="FE278" s="255">
        <v>0</v>
      </c>
      <c r="FF278" s="255">
        <v>0</v>
      </c>
      <c r="FG278" s="255">
        <v>0</v>
      </c>
      <c r="FH278" s="255">
        <v>0</v>
      </c>
      <c r="FI278" s="255">
        <v>0</v>
      </c>
      <c r="FJ278" s="255">
        <v>0</v>
      </c>
      <c r="FK278" s="255">
        <v>0</v>
      </c>
      <c r="FL278" s="255">
        <v>0</v>
      </c>
      <c r="FM278" s="255">
        <v>0</v>
      </c>
      <c r="FN278" s="255">
        <v>0</v>
      </c>
      <c r="FO278" s="255">
        <v>0</v>
      </c>
      <c r="FP278" s="255">
        <v>0</v>
      </c>
      <c r="FQ278" s="255">
        <v>0</v>
      </c>
      <c r="FR278" s="255">
        <v>0</v>
      </c>
      <c r="FS278" s="255">
        <v>0</v>
      </c>
      <c r="FT278" s="255">
        <v>0</v>
      </c>
      <c r="FU278" s="255">
        <v>0</v>
      </c>
      <c r="FV278" s="255">
        <v>0</v>
      </c>
      <c r="FW278" s="255">
        <v>0</v>
      </c>
      <c r="FX278" s="116"/>
    </row>
    <row r="279" spans="1:180" x14ac:dyDescent="0.2">
      <c r="B279" s="253" t="s">
        <v>216</v>
      </c>
      <c r="C279" s="253" t="s">
        <v>330</v>
      </c>
      <c r="D279" s="253" t="s">
        <v>258</v>
      </c>
      <c r="E279" s="253" t="s">
        <v>127</v>
      </c>
      <c r="F279" s="253">
        <v>0</v>
      </c>
      <c r="G279" s="253" t="s">
        <v>322</v>
      </c>
      <c r="H279" s="237">
        <v>157.53</v>
      </c>
      <c r="I279" s="126">
        <f t="shared" si="89"/>
        <v>1180966.4099999999</v>
      </c>
      <c r="J279" s="116"/>
      <c r="K279" s="254">
        <v>0</v>
      </c>
      <c r="L279" s="254">
        <v>0</v>
      </c>
      <c r="M279" s="254">
        <v>0</v>
      </c>
      <c r="N279" s="254">
        <v>0</v>
      </c>
      <c r="O279" s="254">
        <v>0</v>
      </c>
      <c r="P279" s="254">
        <v>0</v>
      </c>
      <c r="Q279" s="254">
        <v>0</v>
      </c>
      <c r="R279" s="254">
        <v>0</v>
      </c>
      <c r="S279" s="254">
        <v>0</v>
      </c>
      <c r="T279" s="254">
        <v>0</v>
      </c>
      <c r="U279" s="254">
        <v>0</v>
      </c>
      <c r="V279" s="254">
        <v>0</v>
      </c>
      <c r="W279" s="254">
        <v>0</v>
      </c>
      <c r="X279" s="254">
        <v>0</v>
      </c>
      <c r="Y279" s="254">
        <v>0</v>
      </c>
      <c r="Z279" s="254">
        <v>0</v>
      </c>
      <c r="AA279" s="254">
        <v>0</v>
      </c>
      <c r="AB279" s="254">
        <v>0</v>
      </c>
      <c r="AC279" s="254">
        <v>0</v>
      </c>
      <c r="AD279" s="254">
        <v>0</v>
      </c>
      <c r="AE279" s="254">
        <v>0</v>
      </c>
      <c r="AF279" s="254">
        <v>0</v>
      </c>
      <c r="AG279" s="254">
        <v>0</v>
      </c>
      <c r="AH279" s="254">
        <v>0</v>
      </c>
      <c r="AI279" s="254">
        <v>0</v>
      </c>
      <c r="AJ279" s="254">
        <v>1.0285714285714285</v>
      </c>
      <c r="AK279" s="254">
        <v>1.0285714285714285</v>
      </c>
      <c r="AL279" s="254">
        <v>1.5</v>
      </c>
      <c r="AM279" s="254">
        <v>1.125</v>
      </c>
      <c r="AN279" s="254">
        <v>1.0953947368421053</v>
      </c>
      <c r="AO279" s="254">
        <v>1.0928571428571427</v>
      </c>
      <c r="AP279" s="254">
        <v>1.0607142857142857</v>
      </c>
      <c r="AQ279" s="254">
        <v>1.0928571428571427</v>
      </c>
      <c r="AR279" s="254">
        <v>1.0928571428571427</v>
      </c>
      <c r="AS279" s="254">
        <v>1.3178571428571428</v>
      </c>
      <c r="AT279" s="254">
        <v>1.0285714285714285</v>
      </c>
      <c r="AU279" s="254">
        <v>1.8428571428571427</v>
      </c>
      <c r="AV279" s="254">
        <v>1.0285714285714285</v>
      </c>
      <c r="AW279" s="254">
        <v>1.125</v>
      </c>
      <c r="AX279" s="254">
        <v>1.3714285714285714</v>
      </c>
      <c r="AY279" s="254">
        <v>1.2730263157894737</v>
      </c>
      <c r="AZ279" s="254">
        <v>1.2730263157894737</v>
      </c>
      <c r="BA279" s="254">
        <v>1.0285714285714285</v>
      </c>
      <c r="BB279" s="254">
        <v>1.0928571428571427</v>
      </c>
      <c r="BC279" s="254">
        <v>1.0607142857142857</v>
      </c>
      <c r="BD279" s="254">
        <v>1.0928571428571427</v>
      </c>
      <c r="BE279" s="254">
        <v>1.35</v>
      </c>
      <c r="BF279" s="254">
        <v>0.94285714285714284</v>
      </c>
      <c r="BG279" s="254">
        <v>0</v>
      </c>
      <c r="BH279" s="254">
        <v>0</v>
      </c>
      <c r="BI279" s="254">
        <v>0</v>
      </c>
      <c r="BJ279" s="254">
        <v>0</v>
      </c>
      <c r="BK279" s="254">
        <v>0</v>
      </c>
      <c r="BL279" s="254">
        <v>0</v>
      </c>
      <c r="BM279" s="254">
        <v>0</v>
      </c>
      <c r="BN279" s="254">
        <v>0</v>
      </c>
      <c r="BO279" s="254">
        <v>0</v>
      </c>
      <c r="BP279" s="254">
        <v>0</v>
      </c>
      <c r="BQ279" s="254">
        <v>0</v>
      </c>
      <c r="BR279" s="254">
        <v>0</v>
      </c>
      <c r="BS279" s="254">
        <v>0</v>
      </c>
      <c r="BT279" s="254">
        <v>0</v>
      </c>
      <c r="BU279" s="254">
        <v>0</v>
      </c>
      <c r="BV279" s="254">
        <v>0</v>
      </c>
      <c r="BW279" s="254">
        <v>0</v>
      </c>
      <c r="BX279" s="254">
        <v>0</v>
      </c>
      <c r="BY279" s="254">
        <v>0</v>
      </c>
      <c r="BZ279" s="254">
        <v>0</v>
      </c>
      <c r="CA279" s="254">
        <v>0</v>
      </c>
      <c r="CB279" s="254">
        <v>0</v>
      </c>
      <c r="CC279" s="254">
        <v>0</v>
      </c>
      <c r="CD279" s="254">
        <v>0</v>
      </c>
      <c r="CE279" s="254">
        <v>0</v>
      </c>
      <c r="CF279" s="254">
        <v>0</v>
      </c>
      <c r="CG279" s="254">
        <v>0</v>
      </c>
      <c r="CH279" s="254">
        <v>0</v>
      </c>
      <c r="CI279" s="254">
        <v>0</v>
      </c>
      <c r="CJ279" s="254">
        <v>0</v>
      </c>
      <c r="CK279" s="254">
        <v>0</v>
      </c>
      <c r="CL279" s="254">
        <v>0</v>
      </c>
      <c r="CM279" s="254">
        <v>0</v>
      </c>
      <c r="CN279" s="254">
        <v>0</v>
      </c>
      <c r="CO279" s="254">
        <v>0</v>
      </c>
      <c r="CP279" s="254">
        <v>0</v>
      </c>
      <c r="CQ279" s="116"/>
      <c r="CR279" s="255">
        <v>0</v>
      </c>
      <c r="CS279" s="255">
        <v>0</v>
      </c>
      <c r="CT279" s="255">
        <v>0</v>
      </c>
      <c r="CU279" s="255">
        <v>0</v>
      </c>
      <c r="CV279" s="255">
        <v>0</v>
      </c>
      <c r="CW279" s="255">
        <v>0</v>
      </c>
      <c r="CX279" s="255">
        <v>0</v>
      </c>
      <c r="CY279" s="255">
        <v>0</v>
      </c>
      <c r="CZ279" s="255">
        <v>0</v>
      </c>
      <c r="DA279" s="255">
        <v>0</v>
      </c>
      <c r="DB279" s="255">
        <v>0</v>
      </c>
      <c r="DC279" s="255">
        <v>0</v>
      </c>
      <c r="DD279" s="255">
        <v>0</v>
      </c>
      <c r="DE279" s="255">
        <v>0</v>
      </c>
      <c r="DF279" s="255">
        <v>0</v>
      </c>
      <c r="DG279" s="255">
        <v>0</v>
      </c>
      <c r="DH279" s="255">
        <v>0</v>
      </c>
      <c r="DI279" s="255">
        <v>0</v>
      </c>
      <c r="DJ279" s="255">
        <v>0</v>
      </c>
      <c r="DK279" s="255">
        <v>0</v>
      </c>
      <c r="DL279" s="255">
        <v>0</v>
      </c>
      <c r="DM279" s="255">
        <v>0</v>
      </c>
      <c r="DN279" s="255">
        <v>0</v>
      </c>
      <c r="DO279" s="255">
        <v>0</v>
      </c>
      <c r="DP279" s="255">
        <v>0</v>
      </c>
      <c r="DQ279" s="255">
        <v>45367.200000000004</v>
      </c>
      <c r="DR279" s="255">
        <v>46748.159999999996</v>
      </c>
      <c r="DS279" s="255">
        <v>51130.799999999996</v>
      </c>
      <c r="DT279" s="255">
        <v>55513.439999999995</v>
      </c>
      <c r="DU279" s="255">
        <v>54052.56</v>
      </c>
      <c r="DV279" s="255">
        <v>49669.919999999998</v>
      </c>
      <c r="DW279" s="255">
        <v>48209.04</v>
      </c>
      <c r="DX279" s="255">
        <v>49669.919999999998</v>
      </c>
      <c r="DY279" s="255">
        <v>49669.919999999998</v>
      </c>
      <c r="DZ279" s="255">
        <v>59896.079999999994</v>
      </c>
      <c r="EA279" s="255">
        <v>35061.119999999995</v>
      </c>
      <c r="EB279" s="255">
        <v>62817.84</v>
      </c>
      <c r="EC279" s="255">
        <v>46748.159999999996</v>
      </c>
      <c r="ED279" s="255">
        <v>52641.225000000006</v>
      </c>
      <c r="EE279" s="255">
        <v>48129.120000000003</v>
      </c>
      <c r="EF279" s="255">
        <v>64673.505000000005</v>
      </c>
      <c r="EG279" s="255">
        <v>64673.505000000005</v>
      </c>
      <c r="EH279" s="255">
        <v>48129.120000000003</v>
      </c>
      <c r="EI279" s="255">
        <v>51137.19</v>
      </c>
      <c r="EJ279" s="255">
        <v>49633.155000000006</v>
      </c>
      <c r="EK279" s="255">
        <v>51137.19</v>
      </c>
      <c r="EL279" s="255">
        <v>63169.47</v>
      </c>
      <c r="EM279" s="255">
        <v>33088.770000000004</v>
      </c>
      <c r="EN279" s="255">
        <v>0</v>
      </c>
      <c r="EO279" s="255">
        <v>0</v>
      </c>
      <c r="EP279" s="255">
        <v>0</v>
      </c>
      <c r="EQ279" s="255">
        <v>0</v>
      </c>
      <c r="ER279" s="255">
        <v>0</v>
      </c>
      <c r="ES279" s="255">
        <v>0</v>
      </c>
      <c r="ET279" s="255">
        <v>0</v>
      </c>
      <c r="EU279" s="255">
        <v>0</v>
      </c>
      <c r="EV279" s="255">
        <v>0</v>
      </c>
      <c r="EW279" s="255">
        <v>0</v>
      </c>
      <c r="EX279" s="255">
        <v>0</v>
      </c>
      <c r="EY279" s="255">
        <v>0</v>
      </c>
      <c r="EZ279" s="255">
        <v>0</v>
      </c>
      <c r="FA279" s="255">
        <v>0</v>
      </c>
      <c r="FB279" s="255">
        <v>0</v>
      </c>
      <c r="FC279" s="255">
        <v>0</v>
      </c>
      <c r="FD279" s="255">
        <v>0</v>
      </c>
      <c r="FE279" s="255">
        <v>0</v>
      </c>
      <c r="FF279" s="255">
        <v>0</v>
      </c>
      <c r="FG279" s="255">
        <v>0</v>
      </c>
      <c r="FH279" s="255">
        <v>0</v>
      </c>
      <c r="FI279" s="255">
        <v>0</v>
      </c>
      <c r="FJ279" s="255">
        <v>0</v>
      </c>
      <c r="FK279" s="255">
        <v>0</v>
      </c>
      <c r="FL279" s="255">
        <v>0</v>
      </c>
      <c r="FM279" s="255">
        <v>0</v>
      </c>
      <c r="FN279" s="255">
        <v>0</v>
      </c>
      <c r="FO279" s="255">
        <v>0</v>
      </c>
      <c r="FP279" s="255">
        <v>0</v>
      </c>
      <c r="FQ279" s="255">
        <v>0</v>
      </c>
      <c r="FR279" s="255">
        <v>0</v>
      </c>
      <c r="FS279" s="255">
        <v>0</v>
      </c>
      <c r="FT279" s="255">
        <v>0</v>
      </c>
      <c r="FU279" s="255">
        <v>0</v>
      </c>
      <c r="FV279" s="255">
        <v>0</v>
      </c>
      <c r="FW279" s="255">
        <v>0</v>
      </c>
      <c r="FX279" s="116"/>
    </row>
    <row r="280" spans="1:180" x14ac:dyDescent="0.2">
      <c r="B280" s="253" t="s">
        <v>216</v>
      </c>
      <c r="C280" s="253" t="s">
        <v>270</v>
      </c>
      <c r="D280" s="253" t="s">
        <v>258</v>
      </c>
      <c r="E280" s="253" t="s">
        <v>127</v>
      </c>
      <c r="F280" s="253" t="s">
        <v>259</v>
      </c>
      <c r="G280" s="253" t="s">
        <v>260</v>
      </c>
      <c r="H280" s="237">
        <v>240.85</v>
      </c>
      <c r="I280" s="126">
        <f t="shared" si="89"/>
        <v>53697</v>
      </c>
      <c r="J280" s="116"/>
      <c r="K280" s="254">
        <v>0</v>
      </c>
      <c r="L280" s="254">
        <v>0</v>
      </c>
      <c r="M280" s="254">
        <v>0</v>
      </c>
      <c r="N280" s="254">
        <v>0</v>
      </c>
      <c r="O280" s="254">
        <v>0</v>
      </c>
      <c r="P280" s="254">
        <v>0</v>
      </c>
      <c r="Q280" s="254">
        <v>0</v>
      </c>
      <c r="R280" s="254">
        <v>0</v>
      </c>
      <c r="S280" s="254">
        <v>0</v>
      </c>
      <c r="T280" s="254">
        <v>0</v>
      </c>
      <c r="U280" s="254">
        <v>0</v>
      </c>
      <c r="V280" s="254">
        <v>0</v>
      </c>
      <c r="W280" s="254">
        <v>0</v>
      </c>
      <c r="X280" s="254">
        <v>0</v>
      </c>
      <c r="Y280" s="254">
        <v>0</v>
      </c>
      <c r="Z280" s="254">
        <v>0</v>
      </c>
      <c r="AA280" s="254">
        <v>0</v>
      </c>
      <c r="AB280" s="254">
        <v>0</v>
      </c>
      <c r="AC280" s="254">
        <v>0</v>
      </c>
      <c r="AD280" s="254">
        <v>0</v>
      </c>
      <c r="AE280" s="254">
        <v>0</v>
      </c>
      <c r="AF280" s="254">
        <v>0</v>
      </c>
      <c r="AG280" s="254">
        <v>0</v>
      </c>
      <c r="AH280" s="254">
        <v>0</v>
      </c>
      <c r="AI280" s="254">
        <v>0</v>
      </c>
      <c r="AJ280" s="254">
        <v>0</v>
      </c>
      <c r="AK280" s="254">
        <v>0</v>
      </c>
      <c r="AL280" s="254">
        <v>0</v>
      </c>
      <c r="AM280" s="254">
        <v>0</v>
      </c>
      <c r="AN280" s="254">
        <v>0</v>
      </c>
      <c r="AO280" s="254">
        <v>0</v>
      </c>
      <c r="AP280" s="254">
        <v>0</v>
      </c>
      <c r="AQ280" s="254">
        <v>0</v>
      </c>
      <c r="AR280" s="254">
        <v>0</v>
      </c>
      <c r="AS280" s="254">
        <v>0</v>
      </c>
      <c r="AT280" s="254">
        <v>0</v>
      </c>
      <c r="AU280" s="254">
        <v>0</v>
      </c>
      <c r="AV280" s="254">
        <v>0</v>
      </c>
      <c r="AW280" s="254">
        <v>0</v>
      </c>
      <c r="AX280" s="254">
        <v>0</v>
      </c>
      <c r="AY280" s="254">
        <v>0</v>
      </c>
      <c r="AZ280" s="254">
        <v>0</v>
      </c>
      <c r="BA280" s="254">
        <v>0</v>
      </c>
      <c r="BB280" s="254">
        <v>0</v>
      </c>
      <c r="BC280" s="254">
        <v>0.5</v>
      </c>
      <c r="BD280" s="254">
        <v>0.5</v>
      </c>
      <c r="BE280" s="254">
        <v>0.5</v>
      </c>
      <c r="BF280" s="254">
        <v>0</v>
      </c>
      <c r="BG280" s="254">
        <v>0</v>
      </c>
      <c r="BH280" s="254">
        <v>0</v>
      </c>
      <c r="BI280" s="254">
        <v>0</v>
      </c>
      <c r="BJ280" s="254">
        <v>0</v>
      </c>
      <c r="BK280" s="254">
        <v>0</v>
      </c>
      <c r="BL280" s="254">
        <v>0</v>
      </c>
      <c r="BM280" s="254">
        <v>0</v>
      </c>
      <c r="BN280" s="254">
        <v>0</v>
      </c>
      <c r="BO280" s="254">
        <v>0</v>
      </c>
      <c r="BP280" s="254">
        <v>0</v>
      </c>
      <c r="BQ280" s="254">
        <v>0</v>
      </c>
      <c r="BR280" s="254">
        <v>0</v>
      </c>
      <c r="BS280" s="254">
        <v>0</v>
      </c>
      <c r="BT280" s="254">
        <v>0</v>
      </c>
      <c r="BU280" s="254">
        <v>0</v>
      </c>
      <c r="BV280" s="254">
        <v>0</v>
      </c>
      <c r="BW280" s="254">
        <v>0</v>
      </c>
      <c r="BX280" s="254">
        <v>0</v>
      </c>
      <c r="BY280" s="254">
        <v>0</v>
      </c>
      <c r="BZ280" s="254">
        <v>0</v>
      </c>
      <c r="CA280" s="254">
        <v>0</v>
      </c>
      <c r="CB280" s="254">
        <v>0</v>
      </c>
      <c r="CC280" s="254">
        <v>0</v>
      </c>
      <c r="CD280" s="254">
        <v>0</v>
      </c>
      <c r="CE280" s="254">
        <v>0</v>
      </c>
      <c r="CF280" s="254">
        <v>0</v>
      </c>
      <c r="CG280" s="254">
        <v>0</v>
      </c>
      <c r="CH280" s="254">
        <v>0</v>
      </c>
      <c r="CI280" s="254">
        <v>0</v>
      </c>
      <c r="CJ280" s="254">
        <v>0</v>
      </c>
      <c r="CK280" s="254">
        <v>0</v>
      </c>
      <c r="CL280" s="254">
        <v>0</v>
      </c>
      <c r="CM280" s="254">
        <v>0</v>
      </c>
      <c r="CN280" s="254">
        <v>0</v>
      </c>
      <c r="CO280" s="254">
        <v>0</v>
      </c>
      <c r="CP280" s="254">
        <v>0</v>
      </c>
      <c r="CQ280" s="116"/>
      <c r="CR280" s="255">
        <v>0</v>
      </c>
      <c r="CS280" s="255">
        <v>0</v>
      </c>
      <c r="CT280" s="255">
        <v>0</v>
      </c>
      <c r="CU280" s="255">
        <v>0</v>
      </c>
      <c r="CV280" s="255">
        <v>0</v>
      </c>
      <c r="CW280" s="255">
        <v>0</v>
      </c>
      <c r="CX280" s="255">
        <v>0</v>
      </c>
      <c r="CY280" s="255">
        <v>0</v>
      </c>
      <c r="CZ280" s="255">
        <v>0</v>
      </c>
      <c r="DA280" s="255">
        <v>0</v>
      </c>
      <c r="DB280" s="255">
        <v>0</v>
      </c>
      <c r="DC280" s="255">
        <v>0</v>
      </c>
      <c r="DD280" s="255">
        <v>0</v>
      </c>
      <c r="DE280" s="255">
        <v>0</v>
      </c>
      <c r="DF280" s="255">
        <v>0</v>
      </c>
      <c r="DG280" s="255">
        <v>0</v>
      </c>
      <c r="DH280" s="255">
        <v>0</v>
      </c>
      <c r="DI280" s="255">
        <v>0</v>
      </c>
      <c r="DJ280" s="255">
        <v>0</v>
      </c>
      <c r="DK280" s="255">
        <v>0</v>
      </c>
      <c r="DL280" s="255">
        <v>0</v>
      </c>
      <c r="DM280" s="255">
        <v>0</v>
      </c>
      <c r="DN280" s="255">
        <v>0</v>
      </c>
      <c r="DO280" s="255">
        <v>0</v>
      </c>
      <c r="DP280" s="255">
        <v>0</v>
      </c>
      <c r="DQ280" s="255">
        <v>0</v>
      </c>
      <c r="DR280" s="255">
        <v>0</v>
      </c>
      <c r="DS280" s="255">
        <v>0</v>
      </c>
      <c r="DT280" s="255">
        <v>0</v>
      </c>
      <c r="DU280" s="255">
        <v>0</v>
      </c>
      <c r="DV280" s="255">
        <v>0</v>
      </c>
      <c r="DW280" s="255">
        <v>0</v>
      </c>
      <c r="DX280" s="255">
        <v>0</v>
      </c>
      <c r="DY280" s="255">
        <v>0</v>
      </c>
      <c r="DZ280" s="255">
        <v>0</v>
      </c>
      <c r="EA280" s="255">
        <v>0</v>
      </c>
      <c r="EB280" s="255">
        <v>0</v>
      </c>
      <c r="EC280" s="255">
        <v>0</v>
      </c>
      <c r="ED280" s="255">
        <v>0</v>
      </c>
      <c r="EE280" s="255">
        <v>0</v>
      </c>
      <c r="EF280" s="255">
        <v>0</v>
      </c>
      <c r="EG280" s="255">
        <v>0</v>
      </c>
      <c r="EH280" s="255">
        <v>0</v>
      </c>
      <c r="EI280" s="255">
        <v>0</v>
      </c>
      <c r="EJ280" s="255">
        <v>17899</v>
      </c>
      <c r="EK280" s="255">
        <v>17899</v>
      </c>
      <c r="EL280" s="255">
        <v>17899</v>
      </c>
      <c r="EM280" s="255">
        <v>0</v>
      </c>
      <c r="EN280" s="255">
        <v>0</v>
      </c>
      <c r="EO280" s="255">
        <v>0</v>
      </c>
      <c r="EP280" s="255">
        <v>0</v>
      </c>
      <c r="EQ280" s="255">
        <v>0</v>
      </c>
      <c r="ER280" s="255">
        <v>0</v>
      </c>
      <c r="ES280" s="255">
        <v>0</v>
      </c>
      <c r="ET280" s="255">
        <v>0</v>
      </c>
      <c r="EU280" s="255">
        <v>0</v>
      </c>
      <c r="EV280" s="255">
        <v>0</v>
      </c>
      <c r="EW280" s="255">
        <v>0</v>
      </c>
      <c r="EX280" s="255">
        <v>0</v>
      </c>
      <c r="EY280" s="255">
        <v>0</v>
      </c>
      <c r="EZ280" s="255">
        <v>0</v>
      </c>
      <c r="FA280" s="255">
        <v>0</v>
      </c>
      <c r="FB280" s="255">
        <v>0</v>
      </c>
      <c r="FC280" s="255">
        <v>0</v>
      </c>
      <c r="FD280" s="255">
        <v>0</v>
      </c>
      <c r="FE280" s="255">
        <v>0</v>
      </c>
      <c r="FF280" s="255">
        <v>0</v>
      </c>
      <c r="FG280" s="255">
        <v>0</v>
      </c>
      <c r="FH280" s="255">
        <v>0</v>
      </c>
      <c r="FI280" s="255">
        <v>0</v>
      </c>
      <c r="FJ280" s="255">
        <v>0</v>
      </c>
      <c r="FK280" s="255">
        <v>0</v>
      </c>
      <c r="FL280" s="255">
        <v>0</v>
      </c>
      <c r="FM280" s="255">
        <v>0</v>
      </c>
      <c r="FN280" s="255">
        <v>0</v>
      </c>
      <c r="FO280" s="255">
        <v>0</v>
      </c>
      <c r="FP280" s="255">
        <v>0</v>
      </c>
      <c r="FQ280" s="255">
        <v>0</v>
      </c>
      <c r="FR280" s="255">
        <v>0</v>
      </c>
      <c r="FS280" s="255">
        <v>0</v>
      </c>
      <c r="FT280" s="255">
        <v>0</v>
      </c>
      <c r="FU280" s="255">
        <v>0</v>
      </c>
      <c r="FV280" s="255">
        <v>0</v>
      </c>
      <c r="FW280" s="255">
        <v>0</v>
      </c>
      <c r="FX280" s="116"/>
    </row>
    <row r="281" spans="1:180" x14ac:dyDescent="0.2">
      <c r="B281" s="253" t="s">
        <v>216</v>
      </c>
      <c r="C281" s="253" t="s">
        <v>270</v>
      </c>
      <c r="D281" s="253" t="s">
        <v>258</v>
      </c>
      <c r="E281" s="253" t="s">
        <v>127</v>
      </c>
      <c r="F281" s="253" t="s">
        <v>259</v>
      </c>
      <c r="G281" s="253" t="s">
        <v>260</v>
      </c>
      <c r="H281" s="237">
        <v>240.85</v>
      </c>
      <c r="I281" s="126">
        <f t="shared" si="89"/>
        <v>53697</v>
      </c>
      <c r="J281" s="116"/>
      <c r="K281" s="254">
        <v>0</v>
      </c>
      <c r="L281" s="254">
        <v>0</v>
      </c>
      <c r="M281" s="254">
        <v>0</v>
      </c>
      <c r="N281" s="254">
        <v>0</v>
      </c>
      <c r="O281" s="254">
        <v>0</v>
      </c>
      <c r="P281" s="254">
        <v>0</v>
      </c>
      <c r="Q281" s="254">
        <v>0</v>
      </c>
      <c r="R281" s="254">
        <v>0</v>
      </c>
      <c r="S281" s="254">
        <v>0</v>
      </c>
      <c r="T281" s="254">
        <v>0</v>
      </c>
      <c r="U281" s="254">
        <v>0</v>
      </c>
      <c r="V281" s="254">
        <v>0</v>
      </c>
      <c r="W281" s="254">
        <v>0</v>
      </c>
      <c r="X281" s="254">
        <v>0</v>
      </c>
      <c r="Y281" s="254">
        <v>0</v>
      </c>
      <c r="Z281" s="254">
        <v>0</v>
      </c>
      <c r="AA281" s="254">
        <v>0</v>
      </c>
      <c r="AB281" s="254">
        <v>0</v>
      </c>
      <c r="AC281" s="254">
        <v>0</v>
      </c>
      <c r="AD281" s="254">
        <v>0</v>
      </c>
      <c r="AE281" s="254">
        <v>0</v>
      </c>
      <c r="AF281" s="254">
        <v>0</v>
      </c>
      <c r="AG281" s="254">
        <v>0</v>
      </c>
      <c r="AH281" s="254">
        <v>0</v>
      </c>
      <c r="AI281" s="254">
        <v>0</v>
      </c>
      <c r="AJ281" s="254">
        <v>0</v>
      </c>
      <c r="AK281" s="254">
        <v>0</v>
      </c>
      <c r="AL281" s="254">
        <v>0</v>
      </c>
      <c r="AM281" s="254">
        <v>0</v>
      </c>
      <c r="AN281" s="254">
        <v>0</v>
      </c>
      <c r="AO281" s="254">
        <v>0</v>
      </c>
      <c r="AP281" s="254">
        <v>0</v>
      </c>
      <c r="AQ281" s="254">
        <v>0</v>
      </c>
      <c r="AR281" s="254">
        <v>0</v>
      </c>
      <c r="AS281" s="254">
        <v>0</v>
      </c>
      <c r="AT281" s="254">
        <v>0</v>
      </c>
      <c r="AU281" s="254">
        <v>0</v>
      </c>
      <c r="AV281" s="254">
        <v>0</v>
      </c>
      <c r="AW281" s="254">
        <v>0</v>
      </c>
      <c r="AX281" s="254">
        <v>0</v>
      </c>
      <c r="AY281" s="254">
        <v>0</v>
      </c>
      <c r="AZ281" s="254">
        <v>0</v>
      </c>
      <c r="BA281" s="254">
        <v>0</v>
      </c>
      <c r="BB281" s="254">
        <v>0</v>
      </c>
      <c r="BC281" s="254">
        <v>0.5</v>
      </c>
      <c r="BD281" s="254">
        <v>0.5</v>
      </c>
      <c r="BE281" s="254">
        <v>0.5</v>
      </c>
      <c r="BF281" s="254">
        <v>0</v>
      </c>
      <c r="BG281" s="254">
        <v>0</v>
      </c>
      <c r="BH281" s="254">
        <v>0</v>
      </c>
      <c r="BI281" s="254">
        <v>0</v>
      </c>
      <c r="BJ281" s="254">
        <v>0</v>
      </c>
      <c r="BK281" s="254">
        <v>0</v>
      </c>
      <c r="BL281" s="254">
        <v>0</v>
      </c>
      <c r="BM281" s="254">
        <v>0</v>
      </c>
      <c r="BN281" s="254">
        <v>0</v>
      </c>
      <c r="BO281" s="254">
        <v>0</v>
      </c>
      <c r="BP281" s="254">
        <v>0</v>
      </c>
      <c r="BQ281" s="254">
        <v>0</v>
      </c>
      <c r="BR281" s="254">
        <v>0</v>
      </c>
      <c r="BS281" s="254">
        <v>0</v>
      </c>
      <c r="BT281" s="254">
        <v>0</v>
      </c>
      <c r="BU281" s="254">
        <v>0</v>
      </c>
      <c r="BV281" s="254">
        <v>0</v>
      </c>
      <c r="BW281" s="254">
        <v>0</v>
      </c>
      <c r="BX281" s="254">
        <v>0</v>
      </c>
      <c r="BY281" s="254">
        <v>0</v>
      </c>
      <c r="BZ281" s="254">
        <v>0</v>
      </c>
      <c r="CA281" s="254">
        <v>0</v>
      </c>
      <c r="CB281" s="254">
        <v>0</v>
      </c>
      <c r="CC281" s="254">
        <v>0</v>
      </c>
      <c r="CD281" s="254">
        <v>0</v>
      </c>
      <c r="CE281" s="254">
        <v>0</v>
      </c>
      <c r="CF281" s="254">
        <v>0</v>
      </c>
      <c r="CG281" s="254">
        <v>0</v>
      </c>
      <c r="CH281" s="254">
        <v>0</v>
      </c>
      <c r="CI281" s="254">
        <v>0</v>
      </c>
      <c r="CJ281" s="254">
        <v>0</v>
      </c>
      <c r="CK281" s="254">
        <v>0</v>
      </c>
      <c r="CL281" s="254">
        <v>0</v>
      </c>
      <c r="CM281" s="254">
        <v>0</v>
      </c>
      <c r="CN281" s="254">
        <v>0</v>
      </c>
      <c r="CO281" s="254">
        <v>0</v>
      </c>
      <c r="CP281" s="254">
        <v>0</v>
      </c>
      <c r="CQ281" s="116"/>
      <c r="CR281" s="255">
        <v>0</v>
      </c>
      <c r="CS281" s="255">
        <v>0</v>
      </c>
      <c r="CT281" s="255">
        <v>0</v>
      </c>
      <c r="CU281" s="255">
        <v>0</v>
      </c>
      <c r="CV281" s="255">
        <v>0</v>
      </c>
      <c r="CW281" s="255">
        <v>0</v>
      </c>
      <c r="CX281" s="255">
        <v>0</v>
      </c>
      <c r="CY281" s="255">
        <v>0</v>
      </c>
      <c r="CZ281" s="255">
        <v>0</v>
      </c>
      <c r="DA281" s="255">
        <v>0</v>
      </c>
      <c r="DB281" s="255">
        <v>0</v>
      </c>
      <c r="DC281" s="255">
        <v>0</v>
      </c>
      <c r="DD281" s="255">
        <v>0</v>
      </c>
      <c r="DE281" s="255">
        <v>0</v>
      </c>
      <c r="DF281" s="255">
        <v>0</v>
      </c>
      <c r="DG281" s="255">
        <v>0</v>
      </c>
      <c r="DH281" s="255">
        <v>0</v>
      </c>
      <c r="DI281" s="255">
        <v>0</v>
      </c>
      <c r="DJ281" s="255">
        <v>0</v>
      </c>
      <c r="DK281" s="255">
        <v>0</v>
      </c>
      <c r="DL281" s="255">
        <v>0</v>
      </c>
      <c r="DM281" s="255">
        <v>0</v>
      </c>
      <c r="DN281" s="255">
        <v>0</v>
      </c>
      <c r="DO281" s="255">
        <v>0</v>
      </c>
      <c r="DP281" s="255">
        <v>0</v>
      </c>
      <c r="DQ281" s="255">
        <v>0</v>
      </c>
      <c r="DR281" s="255">
        <v>0</v>
      </c>
      <c r="DS281" s="255">
        <v>0</v>
      </c>
      <c r="DT281" s="255">
        <v>0</v>
      </c>
      <c r="DU281" s="255">
        <v>0</v>
      </c>
      <c r="DV281" s="255">
        <v>0</v>
      </c>
      <c r="DW281" s="255">
        <v>0</v>
      </c>
      <c r="DX281" s="255">
        <v>0</v>
      </c>
      <c r="DY281" s="255">
        <v>0</v>
      </c>
      <c r="DZ281" s="255">
        <v>0</v>
      </c>
      <c r="EA281" s="255">
        <v>0</v>
      </c>
      <c r="EB281" s="255">
        <v>0</v>
      </c>
      <c r="EC281" s="255">
        <v>0</v>
      </c>
      <c r="ED281" s="255">
        <v>0</v>
      </c>
      <c r="EE281" s="255">
        <v>0</v>
      </c>
      <c r="EF281" s="255">
        <v>0</v>
      </c>
      <c r="EG281" s="255">
        <v>0</v>
      </c>
      <c r="EH281" s="255">
        <v>0</v>
      </c>
      <c r="EI281" s="255">
        <v>0</v>
      </c>
      <c r="EJ281" s="255">
        <v>17899</v>
      </c>
      <c r="EK281" s="255">
        <v>17899</v>
      </c>
      <c r="EL281" s="255">
        <v>17899</v>
      </c>
      <c r="EM281" s="255">
        <v>0</v>
      </c>
      <c r="EN281" s="255">
        <v>0</v>
      </c>
      <c r="EO281" s="255">
        <v>0</v>
      </c>
      <c r="EP281" s="255">
        <v>0</v>
      </c>
      <c r="EQ281" s="255">
        <v>0</v>
      </c>
      <c r="ER281" s="255">
        <v>0</v>
      </c>
      <c r="ES281" s="255">
        <v>0</v>
      </c>
      <c r="ET281" s="255">
        <v>0</v>
      </c>
      <c r="EU281" s="255">
        <v>0</v>
      </c>
      <c r="EV281" s="255">
        <v>0</v>
      </c>
      <c r="EW281" s="255">
        <v>0</v>
      </c>
      <c r="EX281" s="255">
        <v>0</v>
      </c>
      <c r="EY281" s="255">
        <v>0</v>
      </c>
      <c r="EZ281" s="255">
        <v>0</v>
      </c>
      <c r="FA281" s="255">
        <v>0</v>
      </c>
      <c r="FB281" s="255">
        <v>0</v>
      </c>
      <c r="FC281" s="255">
        <v>0</v>
      </c>
      <c r="FD281" s="255">
        <v>0</v>
      </c>
      <c r="FE281" s="255">
        <v>0</v>
      </c>
      <c r="FF281" s="255">
        <v>0</v>
      </c>
      <c r="FG281" s="255">
        <v>0</v>
      </c>
      <c r="FH281" s="255">
        <v>0</v>
      </c>
      <c r="FI281" s="255">
        <v>0</v>
      </c>
      <c r="FJ281" s="255">
        <v>0</v>
      </c>
      <c r="FK281" s="255">
        <v>0</v>
      </c>
      <c r="FL281" s="255">
        <v>0</v>
      </c>
      <c r="FM281" s="255">
        <v>0</v>
      </c>
      <c r="FN281" s="255">
        <v>0</v>
      </c>
      <c r="FO281" s="255">
        <v>0</v>
      </c>
      <c r="FP281" s="255">
        <v>0</v>
      </c>
      <c r="FQ281" s="255">
        <v>0</v>
      </c>
      <c r="FR281" s="255">
        <v>0</v>
      </c>
      <c r="FS281" s="255">
        <v>0</v>
      </c>
      <c r="FT281" s="255">
        <v>0</v>
      </c>
      <c r="FU281" s="255">
        <v>0</v>
      </c>
      <c r="FV281" s="255">
        <v>0</v>
      </c>
      <c r="FW281" s="255">
        <v>0</v>
      </c>
      <c r="FX281" s="116"/>
    </row>
    <row r="282" spans="1:180" x14ac:dyDescent="0.2">
      <c r="B282" s="253" t="s">
        <v>216</v>
      </c>
      <c r="C282" s="253" t="s">
        <v>331</v>
      </c>
      <c r="D282" s="253" t="s">
        <v>258</v>
      </c>
      <c r="E282" s="253" t="s">
        <v>127</v>
      </c>
      <c r="F282" s="253" t="s">
        <v>259</v>
      </c>
      <c r="G282" s="253" t="s">
        <v>260</v>
      </c>
      <c r="H282" s="237">
        <v>233.78</v>
      </c>
      <c r="I282" s="126">
        <f t="shared" si="89"/>
        <v>120065.4</v>
      </c>
      <c r="J282" s="116"/>
      <c r="K282" s="254">
        <v>0</v>
      </c>
      <c r="L282" s="254">
        <v>0</v>
      </c>
      <c r="M282" s="254">
        <v>0</v>
      </c>
      <c r="N282" s="254">
        <v>0</v>
      </c>
      <c r="O282" s="254">
        <v>0</v>
      </c>
      <c r="P282" s="254">
        <v>0</v>
      </c>
      <c r="Q282" s="254">
        <v>0</v>
      </c>
      <c r="R282" s="254">
        <v>0</v>
      </c>
      <c r="S282" s="254">
        <v>0</v>
      </c>
      <c r="T282" s="254">
        <v>0</v>
      </c>
      <c r="U282" s="254">
        <v>0</v>
      </c>
      <c r="V282" s="254">
        <v>0</v>
      </c>
      <c r="W282" s="254">
        <v>0</v>
      </c>
      <c r="X282" s="254">
        <v>0</v>
      </c>
      <c r="Y282" s="254">
        <v>0</v>
      </c>
      <c r="Z282" s="254">
        <v>0</v>
      </c>
      <c r="AA282" s="254">
        <v>0</v>
      </c>
      <c r="AB282" s="254">
        <v>0</v>
      </c>
      <c r="AC282" s="254">
        <v>0</v>
      </c>
      <c r="AD282" s="254">
        <v>0</v>
      </c>
      <c r="AE282" s="254">
        <v>0</v>
      </c>
      <c r="AF282" s="254">
        <v>0</v>
      </c>
      <c r="AG282" s="254">
        <v>0</v>
      </c>
      <c r="AH282" s="254">
        <v>0</v>
      </c>
      <c r="AI282" s="254">
        <v>0</v>
      </c>
      <c r="AJ282" s="254">
        <v>0</v>
      </c>
      <c r="AK282" s="254">
        <v>0</v>
      </c>
      <c r="AL282" s="254">
        <v>0</v>
      </c>
      <c r="AM282" s="254">
        <v>0</v>
      </c>
      <c r="AN282" s="254">
        <v>0</v>
      </c>
      <c r="AO282" s="254">
        <v>0</v>
      </c>
      <c r="AP282" s="254">
        <v>0</v>
      </c>
      <c r="AQ282" s="254">
        <v>0</v>
      </c>
      <c r="AR282" s="254">
        <v>0</v>
      </c>
      <c r="AS282" s="254">
        <v>0.5</v>
      </c>
      <c r="AT282" s="254">
        <v>0.66666666666666663</v>
      </c>
      <c r="AU282" s="254">
        <v>0.66666666666666663</v>
      </c>
      <c r="AV282" s="254">
        <v>0</v>
      </c>
      <c r="AW282" s="254">
        <v>0</v>
      </c>
      <c r="AX282" s="254">
        <v>0</v>
      </c>
      <c r="AY282" s="254">
        <v>0</v>
      </c>
      <c r="AZ282" s="254">
        <v>0</v>
      </c>
      <c r="BA282" s="254">
        <v>0</v>
      </c>
      <c r="BB282" s="254">
        <v>0.5</v>
      </c>
      <c r="BC282" s="254">
        <v>0.5</v>
      </c>
      <c r="BD282" s="254">
        <v>0.5</v>
      </c>
      <c r="BE282" s="254">
        <v>0.5</v>
      </c>
      <c r="BF282" s="254">
        <v>0</v>
      </c>
      <c r="BG282" s="254">
        <v>0</v>
      </c>
      <c r="BH282" s="254">
        <v>0</v>
      </c>
      <c r="BI282" s="254">
        <v>0</v>
      </c>
      <c r="BJ282" s="254">
        <v>0</v>
      </c>
      <c r="BK282" s="254">
        <v>0</v>
      </c>
      <c r="BL282" s="254">
        <v>0</v>
      </c>
      <c r="BM282" s="254">
        <v>0</v>
      </c>
      <c r="BN282" s="254">
        <v>0</v>
      </c>
      <c r="BO282" s="254">
        <v>0</v>
      </c>
      <c r="BP282" s="254">
        <v>0</v>
      </c>
      <c r="BQ282" s="254">
        <v>0</v>
      </c>
      <c r="BR282" s="254">
        <v>0</v>
      </c>
      <c r="BS282" s="254">
        <v>0</v>
      </c>
      <c r="BT282" s="254">
        <v>0</v>
      </c>
      <c r="BU282" s="254">
        <v>0</v>
      </c>
      <c r="BV282" s="254">
        <v>0</v>
      </c>
      <c r="BW282" s="254">
        <v>0</v>
      </c>
      <c r="BX282" s="254">
        <v>0</v>
      </c>
      <c r="BY282" s="254">
        <v>0</v>
      </c>
      <c r="BZ282" s="254">
        <v>0</v>
      </c>
      <c r="CA282" s="254">
        <v>0</v>
      </c>
      <c r="CB282" s="254">
        <v>0</v>
      </c>
      <c r="CC282" s="254">
        <v>0</v>
      </c>
      <c r="CD282" s="254">
        <v>0</v>
      </c>
      <c r="CE282" s="254">
        <v>0</v>
      </c>
      <c r="CF282" s="254">
        <v>0</v>
      </c>
      <c r="CG282" s="254">
        <v>0</v>
      </c>
      <c r="CH282" s="254">
        <v>0</v>
      </c>
      <c r="CI282" s="254">
        <v>0</v>
      </c>
      <c r="CJ282" s="254">
        <v>0</v>
      </c>
      <c r="CK282" s="254">
        <v>0</v>
      </c>
      <c r="CL282" s="254">
        <v>0</v>
      </c>
      <c r="CM282" s="254">
        <v>0</v>
      </c>
      <c r="CN282" s="254">
        <v>0</v>
      </c>
      <c r="CO282" s="254">
        <v>0</v>
      </c>
      <c r="CP282" s="254">
        <v>0</v>
      </c>
      <c r="CQ282" s="116"/>
      <c r="CR282" s="255">
        <v>0</v>
      </c>
      <c r="CS282" s="255">
        <v>0</v>
      </c>
      <c r="CT282" s="255">
        <v>0</v>
      </c>
      <c r="CU282" s="255">
        <v>0</v>
      </c>
      <c r="CV282" s="255">
        <v>0</v>
      </c>
      <c r="CW282" s="255">
        <v>0</v>
      </c>
      <c r="CX282" s="255">
        <v>0</v>
      </c>
      <c r="CY282" s="255">
        <v>0</v>
      </c>
      <c r="CZ282" s="255">
        <v>0</v>
      </c>
      <c r="DA282" s="255">
        <v>0</v>
      </c>
      <c r="DB282" s="255">
        <v>0</v>
      </c>
      <c r="DC282" s="255">
        <v>0</v>
      </c>
      <c r="DD282" s="255">
        <v>0</v>
      </c>
      <c r="DE282" s="255">
        <v>0</v>
      </c>
      <c r="DF282" s="255">
        <v>0</v>
      </c>
      <c r="DG282" s="255">
        <v>0</v>
      </c>
      <c r="DH282" s="255">
        <v>0</v>
      </c>
      <c r="DI282" s="255">
        <v>0</v>
      </c>
      <c r="DJ282" s="255">
        <v>0</v>
      </c>
      <c r="DK282" s="255">
        <v>0</v>
      </c>
      <c r="DL282" s="255">
        <v>0</v>
      </c>
      <c r="DM282" s="255">
        <v>0</v>
      </c>
      <c r="DN282" s="255">
        <v>0</v>
      </c>
      <c r="DO282" s="255">
        <v>0</v>
      </c>
      <c r="DP282" s="255">
        <v>0</v>
      </c>
      <c r="DQ282" s="255">
        <v>0</v>
      </c>
      <c r="DR282" s="255">
        <v>0</v>
      </c>
      <c r="DS282" s="255">
        <v>0</v>
      </c>
      <c r="DT282" s="255">
        <v>0</v>
      </c>
      <c r="DU282" s="255">
        <v>0</v>
      </c>
      <c r="DV282" s="255">
        <v>0</v>
      </c>
      <c r="DW282" s="255">
        <v>0</v>
      </c>
      <c r="DX282" s="255">
        <v>0</v>
      </c>
      <c r="DY282" s="255">
        <v>0</v>
      </c>
      <c r="DZ282" s="255">
        <v>16860.2</v>
      </c>
      <c r="EA282" s="255">
        <v>16860.2</v>
      </c>
      <c r="EB282" s="255">
        <v>16860.2</v>
      </c>
      <c r="EC282" s="255">
        <v>0</v>
      </c>
      <c r="ED282" s="255">
        <v>0</v>
      </c>
      <c r="EE282" s="255">
        <v>0</v>
      </c>
      <c r="EF282" s="255">
        <v>0</v>
      </c>
      <c r="EG282" s="255">
        <v>0</v>
      </c>
      <c r="EH282" s="255">
        <v>0</v>
      </c>
      <c r="EI282" s="255">
        <v>17371.2</v>
      </c>
      <c r="EJ282" s="255">
        <v>17371.2</v>
      </c>
      <c r="EK282" s="255">
        <v>17371.2</v>
      </c>
      <c r="EL282" s="255">
        <v>17371.2</v>
      </c>
      <c r="EM282" s="255">
        <v>0</v>
      </c>
      <c r="EN282" s="255">
        <v>0</v>
      </c>
      <c r="EO282" s="255">
        <v>0</v>
      </c>
      <c r="EP282" s="255">
        <v>0</v>
      </c>
      <c r="EQ282" s="255">
        <v>0</v>
      </c>
      <c r="ER282" s="255">
        <v>0</v>
      </c>
      <c r="ES282" s="255">
        <v>0</v>
      </c>
      <c r="ET282" s="255">
        <v>0</v>
      </c>
      <c r="EU282" s="255">
        <v>0</v>
      </c>
      <c r="EV282" s="255">
        <v>0</v>
      </c>
      <c r="EW282" s="255">
        <v>0</v>
      </c>
      <c r="EX282" s="255">
        <v>0</v>
      </c>
      <c r="EY282" s="255">
        <v>0</v>
      </c>
      <c r="EZ282" s="255">
        <v>0</v>
      </c>
      <c r="FA282" s="255">
        <v>0</v>
      </c>
      <c r="FB282" s="255">
        <v>0</v>
      </c>
      <c r="FC282" s="255">
        <v>0</v>
      </c>
      <c r="FD282" s="255">
        <v>0</v>
      </c>
      <c r="FE282" s="255">
        <v>0</v>
      </c>
      <c r="FF282" s="255">
        <v>0</v>
      </c>
      <c r="FG282" s="255">
        <v>0</v>
      </c>
      <c r="FH282" s="255">
        <v>0</v>
      </c>
      <c r="FI282" s="255">
        <v>0</v>
      </c>
      <c r="FJ282" s="255">
        <v>0</v>
      </c>
      <c r="FK282" s="255">
        <v>0</v>
      </c>
      <c r="FL282" s="255">
        <v>0</v>
      </c>
      <c r="FM282" s="255">
        <v>0</v>
      </c>
      <c r="FN282" s="255">
        <v>0</v>
      </c>
      <c r="FO282" s="255">
        <v>0</v>
      </c>
      <c r="FP282" s="255">
        <v>0</v>
      </c>
      <c r="FQ282" s="255">
        <v>0</v>
      </c>
      <c r="FR282" s="255">
        <v>0</v>
      </c>
      <c r="FS282" s="255">
        <v>0</v>
      </c>
      <c r="FT282" s="255">
        <v>0</v>
      </c>
      <c r="FU282" s="255">
        <v>0</v>
      </c>
      <c r="FV282" s="255">
        <v>0</v>
      </c>
      <c r="FW282" s="255">
        <v>0</v>
      </c>
      <c r="FX282" s="116"/>
    </row>
    <row r="283" spans="1:180" x14ac:dyDescent="0.2">
      <c r="B283" s="253" t="s">
        <v>216</v>
      </c>
      <c r="C283" s="253" t="s">
        <v>332</v>
      </c>
      <c r="D283" s="253" t="s">
        <v>258</v>
      </c>
      <c r="E283" s="253" t="s">
        <v>127</v>
      </c>
      <c r="F283" s="253" t="s">
        <v>259</v>
      </c>
      <c r="G283" s="253" t="s">
        <v>260</v>
      </c>
      <c r="H283" s="237">
        <v>188.58</v>
      </c>
      <c r="I283" s="126">
        <f t="shared" si="89"/>
        <v>85803.900000000009</v>
      </c>
      <c r="J283" s="116"/>
      <c r="K283" s="254">
        <v>0</v>
      </c>
      <c r="L283" s="254">
        <v>0</v>
      </c>
      <c r="M283" s="254">
        <v>0</v>
      </c>
      <c r="N283" s="254">
        <v>0</v>
      </c>
      <c r="O283" s="254">
        <v>0</v>
      </c>
      <c r="P283" s="254">
        <v>0</v>
      </c>
      <c r="Q283" s="254">
        <v>0</v>
      </c>
      <c r="R283" s="254">
        <v>0</v>
      </c>
      <c r="S283" s="254">
        <v>0</v>
      </c>
      <c r="T283" s="254">
        <v>0</v>
      </c>
      <c r="U283" s="254">
        <v>0</v>
      </c>
      <c r="V283" s="254">
        <v>0</v>
      </c>
      <c r="W283" s="254">
        <v>0</v>
      </c>
      <c r="X283" s="254">
        <v>0</v>
      </c>
      <c r="Y283" s="254">
        <v>0</v>
      </c>
      <c r="Z283" s="254">
        <v>0</v>
      </c>
      <c r="AA283" s="254">
        <v>0</v>
      </c>
      <c r="AB283" s="254">
        <v>0</v>
      </c>
      <c r="AC283" s="254">
        <v>0</v>
      </c>
      <c r="AD283" s="254">
        <v>0</v>
      </c>
      <c r="AE283" s="254">
        <v>0</v>
      </c>
      <c r="AF283" s="254">
        <v>0</v>
      </c>
      <c r="AG283" s="254">
        <v>0</v>
      </c>
      <c r="AH283" s="254">
        <v>1.4</v>
      </c>
      <c r="AI283" s="254">
        <v>1.4666666666666666</v>
      </c>
      <c r="AJ283" s="254">
        <v>1.1000000000000001</v>
      </c>
      <c r="AK283" s="254">
        <v>0</v>
      </c>
      <c r="AL283" s="254">
        <v>0</v>
      </c>
      <c r="AM283" s="254">
        <v>0</v>
      </c>
      <c r="AN283" s="254">
        <v>0</v>
      </c>
      <c r="AO283" s="254">
        <v>0</v>
      </c>
      <c r="AP283" s="254">
        <v>0</v>
      </c>
      <c r="AQ283" s="254">
        <v>0</v>
      </c>
      <c r="AR283" s="254">
        <v>0</v>
      </c>
      <c r="AS283" s="254">
        <v>0</v>
      </c>
      <c r="AT283" s="254">
        <v>0</v>
      </c>
      <c r="AU283" s="254">
        <v>0</v>
      </c>
      <c r="AV283" s="254">
        <v>0</v>
      </c>
      <c r="AW283" s="254">
        <v>0</v>
      </c>
      <c r="AX283" s="254">
        <v>0</v>
      </c>
      <c r="AY283" s="254">
        <v>0</v>
      </c>
      <c r="AZ283" s="254">
        <v>0</v>
      </c>
      <c r="BA283" s="254">
        <v>0</v>
      </c>
      <c r="BB283" s="254">
        <v>0</v>
      </c>
      <c r="BC283" s="254">
        <v>0</v>
      </c>
      <c r="BD283" s="254">
        <v>0</v>
      </c>
      <c r="BE283" s="254">
        <v>0</v>
      </c>
      <c r="BF283" s="254">
        <v>0</v>
      </c>
      <c r="BG283" s="254">
        <v>0</v>
      </c>
      <c r="BH283" s="254">
        <v>0</v>
      </c>
      <c r="BI283" s="254">
        <v>0</v>
      </c>
      <c r="BJ283" s="254">
        <v>0</v>
      </c>
      <c r="BK283" s="254">
        <v>0</v>
      </c>
      <c r="BL283" s="254">
        <v>0</v>
      </c>
      <c r="BM283" s="254">
        <v>0</v>
      </c>
      <c r="BN283" s="254">
        <v>0</v>
      </c>
      <c r="BO283" s="254">
        <v>0</v>
      </c>
      <c r="BP283" s="254">
        <v>0</v>
      </c>
      <c r="BQ283" s="254">
        <v>0</v>
      </c>
      <c r="BR283" s="254">
        <v>0</v>
      </c>
      <c r="BS283" s="254">
        <v>0</v>
      </c>
      <c r="BT283" s="254">
        <v>0</v>
      </c>
      <c r="BU283" s="254">
        <v>0</v>
      </c>
      <c r="BV283" s="254">
        <v>0</v>
      </c>
      <c r="BW283" s="254">
        <v>0</v>
      </c>
      <c r="BX283" s="254">
        <v>0</v>
      </c>
      <c r="BY283" s="254">
        <v>0</v>
      </c>
      <c r="BZ283" s="254">
        <v>0</v>
      </c>
      <c r="CA283" s="254">
        <v>0</v>
      </c>
      <c r="CB283" s="254">
        <v>0</v>
      </c>
      <c r="CC283" s="254">
        <v>0</v>
      </c>
      <c r="CD283" s="254">
        <v>0</v>
      </c>
      <c r="CE283" s="254">
        <v>0</v>
      </c>
      <c r="CF283" s="254">
        <v>0</v>
      </c>
      <c r="CG283" s="254">
        <v>0</v>
      </c>
      <c r="CH283" s="254">
        <v>0</v>
      </c>
      <c r="CI283" s="254">
        <v>0</v>
      </c>
      <c r="CJ283" s="254">
        <v>0</v>
      </c>
      <c r="CK283" s="254">
        <v>0</v>
      </c>
      <c r="CL283" s="254">
        <v>0</v>
      </c>
      <c r="CM283" s="254">
        <v>0</v>
      </c>
      <c r="CN283" s="254">
        <v>0</v>
      </c>
      <c r="CO283" s="254">
        <v>0</v>
      </c>
      <c r="CP283" s="254">
        <v>0</v>
      </c>
      <c r="CQ283" s="116"/>
      <c r="CR283" s="255">
        <v>0</v>
      </c>
      <c r="CS283" s="255">
        <v>0</v>
      </c>
      <c r="CT283" s="255">
        <v>0</v>
      </c>
      <c r="CU283" s="255">
        <v>0</v>
      </c>
      <c r="CV283" s="255">
        <v>0</v>
      </c>
      <c r="CW283" s="255">
        <v>0</v>
      </c>
      <c r="CX283" s="255">
        <v>0</v>
      </c>
      <c r="CY283" s="255">
        <v>0</v>
      </c>
      <c r="CZ283" s="255">
        <v>0</v>
      </c>
      <c r="DA283" s="255">
        <v>0</v>
      </c>
      <c r="DB283" s="255">
        <v>0</v>
      </c>
      <c r="DC283" s="255">
        <v>0</v>
      </c>
      <c r="DD283" s="255">
        <v>0</v>
      </c>
      <c r="DE283" s="255">
        <v>0</v>
      </c>
      <c r="DF283" s="255">
        <v>0</v>
      </c>
      <c r="DG283" s="255">
        <v>0</v>
      </c>
      <c r="DH283" s="255">
        <v>0</v>
      </c>
      <c r="DI283" s="255">
        <v>0</v>
      </c>
      <c r="DJ283" s="255">
        <v>0</v>
      </c>
      <c r="DK283" s="255">
        <v>0</v>
      </c>
      <c r="DL283" s="255">
        <v>0</v>
      </c>
      <c r="DM283" s="255">
        <v>0</v>
      </c>
      <c r="DN283" s="255">
        <v>0</v>
      </c>
      <c r="DO283" s="255">
        <v>27721.260000000002</v>
      </c>
      <c r="DP283" s="255">
        <v>29041.320000000003</v>
      </c>
      <c r="DQ283" s="255">
        <v>29041.320000000003</v>
      </c>
      <c r="DR283" s="255">
        <v>0</v>
      </c>
      <c r="DS283" s="255">
        <v>0</v>
      </c>
      <c r="DT283" s="255">
        <v>0</v>
      </c>
      <c r="DU283" s="255">
        <v>0</v>
      </c>
      <c r="DV283" s="255">
        <v>0</v>
      </c>
      <c r="DW283" s="255">
        <v>0</v>
      </c>
      <c r="DX283" s="255">
        <v>0</v>
      </c>
      <c r="DY283" s="255">
        <v>0</v>
      </c>
      <c r="DZ283" s="255">
        <v>0</v>
      </c>
      <c r="EA283" s="255">
        <v>0</v>
      </c>
      <c r="EB283" s="255">
        <v>0</v>
      </c>
      <c r="EC283" s="255">
        <v>0</v>
      </c>
      <c r="ED283" s="255">
        <v>0</v>
      </c>
      <c r="EE283" s="255">
        <v>0</v>
      </c>
      <c r="EF283" s="255">
        <v>0</v>
      </c>
      <c r="EG283" s="255">
        <v>0</v>
      </c>
      <c r="EH283" s="255">
        <v>0</v>
      </c>
      <c r="EI283" s="255">
        <v>0</v>
      </c>
      <c r="EJ283" s="255">
        <v>0</v>
      </c>
      <c r="EK283" s="255">
        <v>0</v>
      </c>
      <c r="EL283" s="255">
        <v>0</v>
      </c>
      <c r="EM283" s="255">
        <v>0</v>
      </c>
      <c r="EN283" s="255">
        <v>0</v>
      </c>
      <c r="EO283" s="255">
        <v>0</v>
      </c>
      <c r="EP283" s="255">
        <v>0</v>
      </c>
      <c r="EQ283" s="255">
        <v>0</v>
      </c>
      <c r="ER283" s="255">
        <v>0</v>
      </c>
      <c r="ES283" s="255">
        <v>0</v>
      </c>
      <c r="ET283" s="255">
        <v>0</v>
      </c>
      <c r="EU283" s="255">
        <v>0</v>
      </c>
      <c r="EV283" s="255">
        <v>0</v>
      </c>
      <c r="EW283" s="255">
        <v>0</v>
      </c>
      <c r="EX283" s="255">
        <v>0</v>
      </c>
      <c r="EY283" s="255">
        <v>0</v>
      </c>
      <c r="EZ283" s="255">
        <v>0</v>
      </c>
      <c r="FA283" s="255">
        <v>0</v>
      </c>
      <c r="FB283" s="255">
        <v>0</v>
      </c>
      <c r="FC283" s="255">
        <v>0</v>
      </c>
      <c r="FD283" s="255">
        <v>0</v>
      </c>
      <c r="FE283" s="255">
        <v>0</v>
      </c>
      <c r="FF283" s="255">
        <v>0</v>
      </c>
      <c r="FG283" s="255">
        <v>0</v>
      </c>
      <c r="FH283" s="255">
        <v>0</v>
      </c>
      <c r="FI283" s="255">
        <v>0</v>
      </c>
      <c r="FJ283" s="255">
        <v>0</v>
      </c>
      <c r="FK283" s="255">
        <v>0</v>
      </c>
      <c r="FL283" s="255">
        <v>0</v>
      </c>
      <c r="FM283" s="255">
        <v>0</v>
      </c>
      <c r="FN283" s="255">
        <v>0</v>
      </c>
      <c r="FO283" s="255">
        <v>0</v>
      </c>
      <c r="FP283" s="255">
        <v>0</v>
      </c>
      <c r="FQ283" s="255">
        <v>0</v>
      </c>
      <c r="FR283" s="255">
        <v>0</v>
      </c>
      <c r="FS283" s="255">
        <v>0</v>
      </c>
      <c r="FT283" s="255">
        <v>0</v>
      </c>
      <c r="FU283" s="255">
        <v>0</v>
      </c>
      <c r="FV283" s="255">
        <v>0</v>
      </c>
      <c r="FW283" s="255">
        <v>0</v>
      </c>
      <c r="FX283" s="116"/>
    </row>
    <row r="284" spans="1:180" x14ac:dyDescent="0.2">
      <c r="B284" s="253" t="s">
        <v>216</v>
      </c>
      <c r="C284" s="253" t="s">
        <v>332</v>
      </c>
      <c r="D284" s="253" t="s">
        <v>258</v>
      </c>
      <c r="E284" s="253" t="s">
        <v>127</v>
      </c>
      <c r="F284" s="253">
        <v>0</v>
      </c>
      <c r="G284" s="253" t="s">
        <v>322</v>
      </c>
      <c r="H284" s="237">
        <v>188.58</v>
      </c>
      <c r="I284" s="126">
        <f t="shared" si="89"/>
        <v>45258</v>
      </c>
      <c r="J284" s="116"/>
      <c r="K284" s="254">
        <v>0</v>
      </c>
      <c r="L284" s="254">
        <v>0</v>
      </c>
      <c r="M284" s="254">
        <v>0</v>
      </c>
      <c r="N284" s="254">
        <v>0</v>
      </c>
      <c r="O284" s="254">
        <v>0</v>
      </c>
      <c r="P284" s="254">
        <v>0</v>
      </c>
      <c r="Q284" s="254">
        <v>0</v>
      </c>
      <c r="R284" s="254">
        <v>0</v>
      </c>
      <c r="S284" s="254">
        <v>0</v>
      </c>
      <c r="T284" s="254">
        <v>0</v>
      </c>
      <c r="U284" s="254">
        <v>0</v>
      </c>
      <c r="V284" s="254">
        <v>0</v>
      </c>
      <c r="W284" s="254">
        <v>0</v>
      </c>
      <c r="X284" s="254">
        <v>0</v>
      </c>
      <c r="Y284" s="254">
        <v>0</v>
      </c>
      <c r="Z284" s="254">
        <v>0</v>
      </c>
      <c r="AA284" s="254">
        <v>0</v>
      </c>
      <c r="AB284" s="254">
        <v>0</v>
      </c>
      <c r="AC284" s="254">
        <v>0</v>
      </c>
      <c r="AD284" s="254">
        <v>0</v>
      </c>
      <c r="AE284" s="254">
        <v>0</v>
      </c>
      <c r="AF284" s="254">
        <v>0</v>
      </c>
      <c r="AG284" s="254">
        <v>0</v>
      </c>
      <c r="AH284" s="254">
        <v>0.38095238095238093</v>
      </c>
      <c r="AI284" s="254">
        <v>0.38095238095238093</v>
      </c>
      <c r="AJ284" s="254">
        <v>0.2857142857142857</v>
      </c>
      <c r="AK284" s="254">
        <v>0</v>
      </c>
      <c r="AL284" s="254">
        <v>0</v>
      </c>
      <c r="AM284" s="254">
        <v>0</v>
      </c>
      <c r="AN284" s="254">
        <v>0</v>
      </c>
      <c r="AO284" s="254">
        <v>0</v>
      </c>
      <c r="AP284" s="254">
        <v>0</v>
      </c>
      <c r="AQ284" s="254">
        <v>0</v>
      </c>
      <c r="AR284" s="254">
        <v>0</v>
      </c>
      <c r="AS284" s="254">
        <v>0</v>
      </c>
      <c r="AT284" s="254">
        <v>0</v>
      </c>
      <c r="AU284" s="254">
        <v>0</v>
      </c>
      <c r="AV284" s="254">
        <v>0</v>
      </c>
      <c r="AW284" s="254">
        <v>0</v>
      </c>
      <c r="AX284" s="254">
        <v>0</v>
      </c>
      <c r="AY284" s="254">
        <v>0</v>
      </c>
      <c r="AZ284" s="254">
        <v>0</v>
      </c>
      <c r="BA284" s="254">
        <v>0</v>
      </c>
      <c r="BB284" s="254">
        <v>0</v>
      </c>
      <c r="BC284" s="254">
        <v>0</v>
      </c>
      <c r="BD284" s="254">
        <v>0</v>
      </c>
      <c r="BE284" s="254">
        <v>0</v>
      </c>
      <c r="BF284" s="254">
        <v>0</v>
      </c>
      <c r="BG284" s="254">
        <v>0</v>
      </c>
      <c r="BH284" s="254">
        <v>0</v>
      </c>
      <c r="BI284" s="254">
        <v>0</v>
      </c>
      <c r="BJ284" s="254">
        <v>0</v>
      </c>
      <c r="BK284" s="254">
        <v>0</v>
      </c>
      <c r="BL284" s="254">
        <v>0</v>
      </c>
      <c r="BM284" s="254">
        <v>0</v>
      </c>
      <c r="BN284" s="254">
        <v>0</v>
      </c>
      <c r="BO284" s="254">
        <v>0</v>
      </c>
      <c r="BP284" s="254">
        <v>0</v>
      </c>
      <c r="BQ284" s="254">
        <v>0</v>
      </c>
      <c r="BR284" s="254">
        <v>0</v>
      </c>
      <c r="BS284" s="254">
        <v>0</v>
      </c>
      <c r="BT284" s="254">
        <v>0</v>
      </c>
      <c r="BU284" s="254">
        <v>0</v>
      </c>
      <c r="BV284" s="254">
        <v>0</v>
      </c>
      <c r="BW284" s="254">
        <v>0</v>
      </c>
      <c r="BX284" s="254">
        <v>0</v>
      </c>
      <c r="BY284" s="254">
        <v>0</v>
      </c>
      <c r="BZ284" s="254">
        <v>0</v>
      </c>
      <c r="CA284" s="254">
        <v>0</v>
      </c>
      <c r="CB284" s="254">
        <v>0</v>
      </c>
      <c r="CC284" s="254">
        <v>0</v>
      </c>
      <c r="CD284" s="254">
        <v>0</v>
      </c>
      <c r="CE284" s="254">
        <v>0</v>
      </c>
      <c r="CF284" s="254">
        <v>0</v>
      </c>
      <c r="CG284" s="254">
        <v>0</v>
      </c>
      <c r="CH284" s="254">
        <v>0</v>
      </c>
      <c r="CI284" s="254">
        <v>0</v>
      </c>
      <c r="CJ284" s="254">
        <v>0</v>
      </c>
      <c r="CK284" s="254">
        <v>0</v>
      </c>
      <c r="CL284" s="254">
        <v>0</v>
      </c>
      <c r="CM284" s="254">
        <v>0</v>
      </c>
      <c r="CN284" s="254">
        <v>0</v>
      </c>
      <c r="CO284" s="254">
        <v>0</v>
      </c>
      <c r="CP284" s="254">
        <v>0</v>
      </c>
      <c r="CQ284" s="116"/>
      <c r="CR284" s="255">
        <v>0</v>
      </c>
      <c r="CS284" s="255">
        <v>0</v>
      </c>
      <c r="CT284" s="255">
        <v>0</v>
      </c>
      <c r="CU284" s="255">
        <v>0</v>
      </c>
      <c r="CV284" s="255">
        <v>0</v>
      </c>
      <c r="CW284" s="255">
        <v>0</v>
      </c>
      <c r="CX284" s="255">
        <v>0</v>
      </c>
      <c r="CY284" s="255">
        <v>0</v>
      </c>
      <c r="CZ284" s="255">
        <v>0</v>
      </c>
      <c r="DA284" s="255">
        <v>0</v>
      </c>
      <c r="DB284" s="255">
        <v>0</v>
      </c>
      <c r="DC284" s="255">
        <v>0</v>
      </c>
      <c r="DD284" s="255">
        <v>0</v>
      </c>
      <c r="DE284" s="255">
        <v>0</v>
      </c>
      <c r="DF284" s="255">
        <v>0</v>
      </c>
      <c r="DG284" s="255">
        <v>0</v>
      </c>
      <c r="DH284" s="255">
        <v>0</v>
      </c>
      <c r="DI284" s="255">
        <v>0</v>
      </c>
      <c r="DJ284" s="255">
        <v>0</v>
      </c>
      <c r="DK284" s="255">
        <v>0</v>
      </c>
      <c r="DL284" s="255">
        <v>0</v>
      </c>
      <c r="DM284" s="255">
        <v>0</v>
      </c>
      <c r="DN284" s="255">
        <v>0</v>
      </c>
      <c r="DO284" s="255">
        <v>15086</v>
      </c>
      <c r="DP284" s="255">
        <v>15086</v>
      </c>
      <c r="DQ284" s="255">
        <v>15086</v>
      </c>
      <c r="DR284" s="255">
        <v>0</v>
      </c>
      <c r="DS284" s="255">
        <v>0</v>
      </c>
      <c r="DT284" s="255">
        <v>0</v>
      </c>
      <c r="DU284" s="255">
        <v>0</v>
      </c>
      <c r="DV284" s="255">
        <v>0</v>
      </c>
      <c r="DW284" s="255">
        <v>0</v>
      </c>
      <c r="DX284" s="255">
        <v>0</v>
      </c>
      <c r="DY284" s="255">
        <v>0</v>
      </c>
      <c r="DZ284" s="255">
        <v>0</v>
      </c>
      <c r="EA284" s="255">
        <v>0</v>
      </c>
      <c r="EB284" s="255">
        <v>0</v>
      </c>
      <c r="EC284" s="255">
        <v>0</v>
      </c>
      <c r="ED284" s="255">
        <v>0</v>
      </c>
      <c r="EE284" s="255">
        <v>0</v>
      </c>
      <c r="EF284" s="255">
        <v>0</v>
      </c>
      <c r="EG284" s="255">
        <v>0</v>
      </c>
      <c r="EH284" s="255">
        <v>0</v>
      </c>
      <c r="EI284" s="255">
        <v>0</v>
      </c>
      <c r="EJ284" s="255">
        <v>0</v>
      </c>
      <c r="EK284" s="255">
        <v>0</v>
      </c>
      <c r="EL284" s="255">
        <v>0</v>
      </c>
      <c r="EM284" s="255">
        <v>0</v>
      </c>
      <c r="EN284" s="255">
        <v>0</v>
      </c>
      <c r="EO284" s="255">
        <v>0</v>
      </c>
      <c r="EP284" s="255">
        <v>0</v>
      </c>
      <c r="EQ284" s="255">
        <v>0</v>
      </c>
      <c r="ER284" s="255">
        <v>0</v>
      </c>
      <c r="ES284" s="255">
        <v>0</v>
      </c>
      <c r="ET284" s="255">
        <v>0</v>
      </c>
      <c r="EU284" s="255">
        <v>0</v>
      </c>
      <c r="EV284" s="255">
        <v>0</v>
      </c>
      <c r="EW284" s="255">
        <v>0</v>
      </c>
      <c r="EX284" s="255">
        <v>0</v>
      </c>
      <c r="EY284" s="255">
        <v>0</v>
      </c>
      <c r="EZ284" s="255">
        <v>0</v>
      </c>
      <c r="FA284" s="255">
        <v>0</v>
      </c>
      <c r="FB284" s="255">
        <v>0</v>
      </c>
      <c r="FC284" s="255">
        <v>0</v>
      </c>
      <c r="FD284" s="255">
        <v>0</v>
      </c>
      <c r="FE284" s="255">
        <v>0</v>
      </c>
      <c r="FF284" s="255">
        <v>0</v>
      </c>
      <c r="FG284" s="255">
        <v>0</v>
      </c>
      <c r="FH284" s="255">
        <v>0</v>
      </c>
      <c r="FI284" s="255">
        <v>0</v>
      </c>
      <c r="FJ284" s="255">
        <v>0</v>
      </c>
      <c r="FK284" s="255">
        <v>0</v>
      </c>
      <c r="FL284" s="255">
        <v>0</v>
      </c>
      <c r="FM284" s="255">
        <v>0</v>
      </c>
      <c r="FN284" s="255">
        <v>0</v>
      </c>
      <c r="FO284" s="255">
        <v>0</v>
      </c>
      <c r="FP284" s="255">
        <v>0</v>
      </c>
      <c r="FQ284" s="255">
        <v>0</v>
      </c>
      <c r="FR284" s="255">
        <v>0</v>
      </c>
      <c r="FS284" s="255">
        <v>0</v>
      </c>
      <c r="FT284" s="255">
        <v>0</v>
      </c>
      <c r="FU284" s="255">
        <v>0</v>
      </c>
      <c r="FV284" s="255">
        <v>0</v>
      </c>
      <c r="FW284" s="255">
        <v>0</v>
      </c>
      <c r="FX284" s="116"/>
    </row>
    <row r="285" spans="1:180" x14ac:dyDescent="0.2">
      <c r="B285" s="253" t="s">
        <v>216</v>
      </c>
      <c r="C285" s="253" t="s">
        <v>272</v>
      </c>
      <c r="D285" s="253" t="s">
        <v>258</v>
      </c>
      <c r="E285" s="253" t="s">
        <v>127</v>
      </c>
      <c r="F285" s="253" t="s">
        <v>259</v>
      </c>
      <c r="G285" s="253" t="s">
        <v>260</v>
      </c>
      <c r="H285" s="237">
        <v>254.01</v>
      </c>
      <c r="I285" s="126">
        <f t="shared" si="89"/>
        <v>231702.65999999995</v>
      </c>
      <c r="J285" s="116"/>
      <c r="K285" s="254">
        <v>0</v>
      </c>
      <c r="L285" s="254">
        <v>0</v>
      </c>
      <c r="M285" s="254">
        <v>0</v>
      </c>
      <c r="N285" s="254">
        <v>0</v>
      </c>
      <c r="O285" s="254">
        <v>0</v>
      </c>
      <c r="P285" s="254">
        <v>0</v>
      </c>
      <c r="Q285" s="254">
        <v>0</v>
      </c>
      <c r="R285" s="254">
        <v>0</v>
      </c>
      <c r="S285" s="254">
        <v>0</v>
      </c>
      <c r="T285" s="254">
        <v>0</v>
      </c>
      <c r="U285" s="254">
        <v>0</v>
      </c>
      <c r="V285" s="254">
        <v>0</v>
      </c>
      <c r="W285" s="254">
        <v>0</v>
      </c>
      <c r="X285" s="254">
        <v>0</v>
      </c>
      <c r="Y285" s="254">
        <v>0.2</v>
      </c>
      <c r="Z285" s="254">
        <v>0.2</v>
      </c>
      <c r="AA285" s="254">
        <v>0.18421052631578946</v>
      </c>
      <c r="AB285" s="254">
        <v>0.18421052631578946</v>
      </c>
      <c r="AC285" s="254">
        <v>0.2</v>
      </c>
      <c r="AD285" s="254">
        <v>0.2</v>
      </c>
      <c r="AE285" s="254">
        <v>0.2</v>
      </c>
      <c r="AF285" s="254">
        <v>0.2</v>
      </c>
      <c r="AG285" s="254">
        <v>0.2</v>
      </c>
      <c r="AH285" s="254">
        <v>0.2</v>
      </c>
      <c r="AI285" s="254">
        <v>0.2</v>
      </c>
      <c r="AJ285" s="254">
        <v>0.2</v>
      </c>
      <c r="AK285" s="254">
        <v>0.2</v>
      </c>
      <c r="AL285" s="254">
        <v>0.2</v>
      </c>
      <c r="AM285" s="254">
        <v>0.18421052631578946</v>
      </c>
      <c r="AN285" s="254">
        <v>0.18421052631578946</v>
      </c>
      <c r="AO285" s="254">
        <v>0.2</v>
      </c>
      <c r="AP285" s="254">
        <v>0.2</v>
      </c>
      <c r="AQ285" s="254">
        <v>0.2</v>
      </c>
      <c r="AR285" s="254">
        <v>0.2</v>
      </c>
      <c r="AS285" s="254">
        <v>0.2</v>
      </c>
      <c r="AT285" s="254">
        <v>0.2</v>
      </c>
      <c r="AU285" s="254">
        <v>0.2</v>
      </c>
      <c r="AV285" s="254">
        <v>0.2</v>
      </c>
      <c r="AW285" s="254">
        <v>0.2</v>
      </c>
      <c r="AX285" s="254">
        <v>0.2</v>
      </c>
      <c r="AY285" s="254">
        <v>0.18421052631578946</v>
      </c>
      <c r="AZ285" s="254">
        <v>0.18421052631578946</v>
      </c>
      <c r="BA285" s="254">
        <v>0.2</v>
      </c>
      <c r="BB285" s="254">
        <v>0.2</v>
      </c>
      <c r="BC285" s="254">
        <v>0.2</v>
      </c>
      <c r="BD285" s="254">
        <v>0.2</v>
      </c>
      <c r="BE285" s="254">
        <v>0.2</v>
      </c>
      <c r="BF285" s="254">
        <v>0.2</v>
      </c>
      <c r="BG285" s="254">
        <v>0</v>
      </c>
      <c r="BH285" s="254">
        <v>0</v>
      </c>
      <c r="BI285" s="254">
        <v>0</v>
      </c>
      <c r="BJ285" s="254">
        <v>0</v>
      </c>
      <c r="BK285" s="254">
        <v>0</v>
      </c>
      <c r="BL285" s="254">
        <v>0</v>
      </c>
      <c r="BM285" s="254">
        <v>0</v>
      </c>
      <c r="BN285" s="254">
        <v>0</v>
      </c>
      <c r="BO285" s="254">
        <v>0</v>
      </c>
      <c r="BP285" s="254">
        <v>0</v>
      </c>
      <c r="BQ285" s="254">
        <v>0</v>
      </c>
      <c r="BR285" s="254">
        <v>0</v>
      </c>
      <c r="BS285" s="254">
        <v>0</v>
      </c>
      <c r="BT285" s="254">
        <v>0</v>
      </c>
      <c r="BU285" s="254">
        <v>0</v>
      </c>
      <c r="BV285" s="254">
        <v>0</v>
      </c>
      <c r="BW285" s="254">
        <v>0</v>
      </c>
      <c r="BX285" s="254">
        <v>0</v>
      </c>
      <c r="BY285" s="254">
        <v>0</v>
      </c>
      <c r="BZ285" s="254">
        <v>0</v>
      </c>
      <c r="CA285" s="254">
        <v>0</v>
      </c>
      <c r="CB285" s="254">
        <v>0</v>
      </c>
      <c r="CC285" s="254">
        <v>0</v>
      </c>
      <c r="CD285" s="254">
        <v>0</v>
      </c>
      <c r="CE285" s="254">
        <v>0</v>
      </c>
      <c r="CF285" s="254">
        <v>0</v>
      </c>
      <c r="CG285" s="254">
        <v>0</v>
      </c>
      <c r="CH285" s="254">
        <v>0</v>
      </c>
      <c r="CI285" s="254">
        <v>0</v>
      </c>
      <c r="CJ285" s="254">
        <v>0</v>
      </c>
      <c r="CK285" s="254">
        <v>0</v>
      </c>
      <c r="CL285" s="254">
        <v>0</v>
      </c>
      <c r="CM285" s="254">
        <v>0</v>
      </c>
      <c r="CN285" s="254">
        <v>0</v>
      </c>
      <c r="CO285" s="254">
        <v>0</v>
      </c>
      <c r="CP285" s="254">
        <v>0</v>
      </c>
      <c r="CQ285" s="116"/>
      <c r="CR285" s="255">
        <v>0</v>
      </c>
      <c r="CS285" s="255">
        <v>0</v>
      </c>
      <c r="CT285" s="255">
        <v>0</v>
      </c>
      <c r="CU285" s="255">
        <v>0</v>
      </c>
      <c r="CV285" s="255">
        <v>0</v>
      </c>
      <c r="CW285" s="255">
        <v>0</v>
      </c>
      <c r="CX285" s="255">
        <v>0</v>
      </c>
      <c r="CY285" s="255">
        <v>0</v>
      </c>
      <c r="CZ285" s="255">
        <v>0</v>
      </c>
      <c r="DA285" s="255">
        <v>0</v>
      </c>
      <c r="DB285" s="255">
        <v>0</v>
      </c>
      <c r="DC285" s="255">
        <v>0</v>
      </c>
      <c r="DD285" s="255">
        <v>0</v>
      </c>
      <c r="DE285" s="255">
        <v>0</v>
      </c>
      <c r="DF285" s="255">
        <v>6905.6399999999994</v>
      </c>
      <c r="DG285" s="255">
        <v>5179.2299999999996</v>
      </c>
      <c r="DH285" s="255">
        <v>6905.6399999999994</v>
      </c>
      <c r="DI285" s="255">
        <v>6905.6399999999994</v>
      </c>
      <c r="DJ285" s="255">
        <v>7112.28</v>
      </c>
      <c r="DK285" s="255">
        <v>7112.28</v>
      </c>
      <c r="DL285" s="255">
        <v>7112.28</v>
      </c>
      <c r="DM285" s="255">
        <v>7112.28</v>
      </c>
      <c r="DN285" s="255">
        <v>7112.28</v>
      </c>
      <c r="DO285" s="255">
        <v>5334.21</v>
      </c>
      <c r="DP285" s="255">
        <v>5334.21</v>
      </c>
      <c r="DQ285" s="255">
        <v>7112.28</v>
      </c>
      <c r="DR285" s="255">
        <v>7112.28</v>
      </c>
      <c r="DS285" s="255">
        <v>5334.21</v>
      </c>
      <c r="DT285" s="255">
        <v>7112.28</v>
      </c>
      <c r="DU285" s="255">
        <v>7112.28</v>
      </c>
      <c r="DV285" s="255">
        <v>7325.3600000000006</v>
      </c>
      <c r="DW285" s="255">
        <v>7325.3600000000006</v>
      </c>
      <c r="DX285" s="255">
        <v>7325.3600000000006</v>
      </c>
      <c r="DY285" s="255">
        <v>7325.3600000000006</v>
      </c>
      <c r="DZ285" s="255">
        <v>7325.3600000000006</v>
      </c>
      <c r="EA285" s="255">
        <v>5494.02</v>
      </c>
      <c r="EB285" s="255">
        <v>5494.02</v>
      </c>
      <c r="EC285" s="255">
        <v>7325.3600000000006</v>
      </c>
      <c r="ED285" s="255">
        <v>7325.3600000000006</v>
      </c>
      <c r="EE285" s="255">
        <v>5494.02</v>
      </c>
      <c r="EF285" s="255">
        <v>7325.3600000000006</v>
      </c>
      <c r="EG285" s="255">
        <v>7325.3600000000006</v>
      </c>
      <c r="EH285" s="255">
        <v>7544.8799999999992</v>
      </c>
      <c r="EI285" s="255">
        <v>7544.8799999999992</v>
      </c>
      <c r="EJ285" s="255">
        <v>7544.8799999999992</v>
      </c>
      <c r="EK285" s="255">
        <v>7544.8799999999992</v>
      </c>
      <c r="EL285" s="255">
        <v>7544.8799999999992</v>
      </c>
      <c r="EM285" s="255">
        <v>5658.66</v>
      </c>
      <c r="EN285" s="255">
        <v>0</v>
      </c>
      <c r="EO285" s="255">
        <v>0</v>
      </c>
      <c r="EP285" s="255">
        <v>0</v>
      </c>
      <c r="EQ285" s="255">
        <v>0</v>
      </c>
      <c r="ER285" s="255">
        <v>0</v>
      </c>
      <c r="ES285" s="255">
        <v>0</v>
      </c>
      <c r="ET285" s="255">
        <v>0</v>
      </c>
      <c r="EU285" s="255">
        <v>0</v>
      </c>
      <c r="EV285" s="255">
        <v>0</v>
      </c>
      <c r="EW285" s="255">
        <v>0</v>
      </c>
      <c r="EX285" s="255">
        <v>0</v>
      </c>
      <c r="EY285" s="255">
        <v>0</v>
      </c>
      <c r="EZ285" s="255">
        <v>0</v>
      </c>
      <c r="FA285" s="255">
        <v>0</v>
      </c>
      <c r="FB285" s="255">
        <v>0</v>
      </c>
      <c r="FC285" s="255">
        <v>0</v>
      </c>
      <c r="FD285" s="255">
        <v>0</v>
      </c>
      <c r="FE285" s="255">
        <v>0</v>
      </c>
      <c r="FF285" s="255">
        <v>0</v>
      </c>
      <c r="FG285" s="255">
        <v>0</v>
      </c>
      <c r="FH285" s="255">
        <v>0</v>
      </c>
      <c r="FI285" s="255">
        <v>0</v>
      </c>
      <c r="FJ285" s="255">
        <v>0</v>
      </c>
      <c r="FK285" s="255">
        <v>0</v>
      </c>
      <c r="FL285" s="255">
        <v>0</v>
      </c>
      <c r="FM285" s="255">
        <v>0</v>
      </c>
      <c r="FN285" s="255">
        <v>0</v>
      </c>
      <c r="FO285" s="255">
        <v>0</v>
      </c>
      <c r="FP285" s="255">
        <v>0</v>
      </c>
      <c r="FQ285" s="255">
        <v>0</v>
      </c>
      <c r="FR285" s="255">
        <v>0</v>
      </c>
      <c r="FS285" s="255">
        <v>0</v>
      </c>
      <c r="FT285" s="255">
        <v>0</v>
      </c>
      <c r="FU285" s="255">
        <v>0</v>
      </c>
      <c r="FV285" s="255">
        <v>0</v>
      </c>
      <c r="FW285" s="255">
        <v>0</v>
      </c>
      <c r="FX285" s="116"/>
    </row>
    <row r="286" spans="1:180" x14ac:dyDescent="0.2">
      <c r="B286" s="253" t="s">
        <v>216</v>
      </c>
      <c r="C286" s="253" t="s">
        <v>272</v>
      </c>
      <c r="D286" s="253" t="s">
        <v>258</v>
      </c>
      <c r="E286" s="253" t="s">
        <v>127</v>
      </c>
      <c r="F286" s="253" t="s">
        <v>259</v>
      </c>
      <c r="G286" s="253" t="s">
        <v>260</v>
      </c>
      <c r="H286" s="237">
        <v>254.01</v>
      </c>
      <c r="I286" s="126">
        <f t="shared" si="89"/>
        <v>132905.64000000004</v>
      </c>
      <c r="J286" s="116"/>
      <c r="K286" s="254">
        <v>0</v>
      </c>
      <c r="L286" s="254">
        <v>0</v>
      </c>
      <c r="M286" s="254">
        <v>0</v>
      </c>
      <c r="N286" s="254">
        <v>0</v>
      </c>
      <c r="O286" s="254">
        <v>0</v>
      </c>
      <c r="P286" s="254">
        <v>0</v>
      </c>
      <c r="Q286" s="254">
        <v>0</v>
      </c>
      <c r="R286" s="254">
        <v>0</v>
      </c>
      <c r="S286" s="254">
        <v>0</v>
      </c>
      <c r="T286" s="254">
        <v>0</v>
      </c>
      <c r="U286" s="254">
        <v>0</v>
      </c>
      <c r="V286" s="254">
        <v>0</v>
      </c>
      <c r="W286" s="254">
        <v>0</v>
      </c>
      <c r="X286" s="254">
        <v>0</v>
      </c>
      <c r="Y286" s="254">
        <v>0</v>
      </c>
      <c r="Z286" s="254">
        <v>0</v>
      </c>
      <c r="AA286" s="254">
        <v>0</v>
      </c>
      <c r="AB286" s="254">
        <v>0</v>
      </c>
      <c r="AC286" s="254">
        <v>0</v>
      </c>
      <c r="AD286" s="254">
        <v>0</v>
      </c>
      <c r="AE286" s="254">
        <v>0</v>
      </c>
      <c r="AF286" s="254">
        <v>0</v>
      </c>
      <c r="AG286" s="254">
        <v>0</v>
      </c>
      <c r="AH286" s="254">
        <v>0</v>
      </c>
      <c r="AI286" s="254">
        <v>0</v>
      </c>
      <c r="AJ286" s="254">
        <v>0</v>
      </c>
      <c r="AK286" s="254">
        <v>0</v>
      </c>
      <c r="AL286" s="254">
        <v>0</v>
      </c>
      <c r="AM286" s="254">
        <v>0</v>
      </c>
      <c r="AN286" s="254">
        <v>0.18421052631578946</v>
      </c>
      <c r="AO286" s="254">
        <v>0.2</v>
      </c>
      <c r="AP286" s="254">
        <v>0.2</v>
      </c>
      <c r="AQ286" s="254">
        <v>0.2</v>
      </c>
      <c r="AR286" s="254">
        <v>0.2</v>
      </c>
      <c r="AS286" s="254">
        <v>0.2</v>
      </c>
      <c r="AT286" s="254">
        <v>0.2</v>
      </c>
      <c r="AU286" s="254">
        <v>0.2</v>
      </c>
      <c r="AV286" s="254">
        <v>0.2</v>
      </c>
      <c r="AW286" s="254">
        <v>0.2</v>
      </c>
      <c r="AX286" s="254">
        <v>0.2</v>
      </c>
      <c r="AY286" s="254">
        <v>0.18421052631578946</v>
      </c>
      <c r="AZ286" s="254">
        <v>0.18421052631578946</v>
      </c>
      <c r="BA286" s="254">
        <v>0.2</v>
      </c>
      <c r="BB286" s="254">
        <v>0.2</v>
      </c>
      <c r="BC286" s="254">
        <v>0.2</v>
      </c>
      <c r="BD286" s="254">
        <v>0.2</v>
      </c>
      <c r="BE286" s="254">
        <v>0.2</v>
      </c>
      <c r="BF286" s="254">
        <v>0.2</v>
      </c>
      <c r="BG286" s="254">
        <v>0</v>
      </c>
      <c r="BH286" s="254">
        <v>0</v>
      </c>
      <c r="BI286" s="254">
        <v>0</v>
      </c>
      <c r="BJ286" s="254">
        <v>0</v>
      </c>
      <c r="BK286" s="254">
        <v>0</v>
      </c>
      <c r="BL286" s="254">
        <v>0</v>
      </c>
      <c r="BM286" s="254">
        <v>0</v>
      </c>
      <c r="BN286" s="254">
        <v>0</v>
      </c>
      <c r="BO286" s="254">
        <v>0</v>
      </c>
      <c r="BP286" s="254">
        <v>0</v>
      </c>
      <c r="BQ286" s="254">
        <v>0</v>
      </c>
      <c r="BR286" s="254">
        <v>0</v>
      </c>
      <c r="BS286" s="254">
        <v>0</v>
      </c>
      <c r="BT286" s="254">
        <v>0</v>
      </c>
      <c r="BU286" s="254">
        <v>0</v>
      </c>
      <c r="BV286" s="254">
        <v>0</v>
      </c>
      <c r="BW286" s="254">
        <v>0</v>
      </c>
      <c r="BX286" s="254">
        <v>0</v>
      </c>
      <c r="BY286" s="254">
        <v>0</v>
      </c>
      <c r="BZ286" s="254">
        <v>0</v>
      </c>
      <c r="CA286" s="254">
        <v>0</v>
      </c>
      <c r="CB286" s="254">
        <v>0</v>
      </c>
      <c r="CC286" s="254">
        <v>0</v>
      </c>
      <c r="CD286" s="254">
        <v>0</v>
      </c>
      <c r="CE286" s="254">
        <v>0</v>
      </c>
      <c r="CF286" s="254">
        <v>0</v>
      </c>
      <c r="CG286" s="254">
        <v>0</v>
      </c>
      <c r="CH286" s="254">
        <v>0</v>
      </c>
      <c r="CI286" s="254">
        <v>0</v>
      </c>
      <c r="CJ286" s="254">
        <v>0</v>
      </c>
      <c r="CK286" s="254">
        <v>0</v>
      </c>
      <c r="CL286" s="254">
        <v>0</v>
      </c>
      <c r="CM286" s="254">
        <v>0</v>
      </c>
      <c r="CN286" s="254">
        <v>0</v>
      </c>
      <c r="CO286" s="254">
        <v>0</v>
      </c>
      <c r="CP286" s="254">
        <v>0</v>
      </c>
      <c r="CQ286" s="116"/>
      <c r="CR286" s="255">
        <v>0</v>
      </c>
      <c r="CS286" s="255">
        <v>0</v>
      </c>
      <c r="CT286" s="255">
        <v>0</v>
      </c>
      <c r="CU286" s="255">
        <v>0</v>
      </c>
      <c r="CV286" s="255">
        <v>0</v>
      </c>
      <c r="CW286" s="255">
        <v>0</v>
      </c>
      <c r="CX286" s="255">
        <v>0</v>
      </c>
      <c r="CY286" s="255">
        <v>0</v>
      </c>
      <c r="CZ286" s="255">
        <v>0</v>
      </c>
      <c r="DA286" s="255">
        <v>0</v>
      </c>
      <c r="DB286" s="255">
        <v>0</v>
      </c>
      <c r="DC286" s="255">
        <v>0</v>
      </c>
      <c r="DD286" s="255">
        <v>0</v>
      </c>
      <c r="DE286" s="255">
        <v>0</v>
      </c>
      <c r="DF286" s="255">
        <v>0</v>
      </c>
      <c r="DG286" s="255">
        <v>0</v>
      </c>
      <c r="DH286" s="255">
        <v>0</v>
      </c>
      <c r="DI286" s="255">
        <v>0</v>
      </c>
      <c r="DJ286" s="255">
        <v>0</v>
      </c>
      <c r="DK286" s="255">
        <v>0</v>
      </c>
      <c r="DL286" s="255">
        <v>0</v>
      </c>
      <c r="DM286" s="255">
        <v>0</v>
      </c>
      <c r="DN286" s="255">
        <v>0</v>
      </c>
      <c r="DO286" s="255">
        <v>0</v>
      </c>
      <c r="DP286" s="255">
        <v>0</v>
      </c>
      <c r="DQ286" s="255">
        <v>0</v>
      </c>
      <c r="DR286" s="255">
        <v>0</v>
      </c>
      <c r="DS286" s="255">
        <v>0</v>
      </c>
      <c r="DT286" s="255">
        <v>0</v>
      </c>
      <c r="DU286" s="255">
        <v>7112.28</v>
      </c>
      <c r="DV286" s="255">
        <v>7325.3600000000006</v>
      </c>
      <c r="DW286" s="255">
        <v>7325.3600000000006</v>
      </c>
      <c r="DX286" s="255">
        <v>7325.3600000000006</v>
      </c>
      <c r="DY286" s="255">
        <v>7325.3600000000006</v>
      </c>
      <c r="DZ286" s="255">
        <v>7325.3600000000006</v>
      </c>
      <c r="EA286" s="255">
        <v>5494.02</v>
      </c>
      <c r="EB286" s="255">
        <v>5494.02</v>
      </c>
      <c r="EC286" s="255">
        <v>7325.3600000000006</v>
      </c>
      <c r="ED286" s="255">
        <v>7325.3600000000006</v>
      </c>
      <c r="EE286" s="255">
        <v>5494.02</v>
      </c>
      <c r="EF286" s="255">
        <v>7325.3600000000006</v>
      </c>
      <c r="EG286" s="255">
        <v>7325.3600000000006</v>
      </c>
      <c r="EH286" s="255">
        <v>7544.8799999999992</v>
      </c>
      <c r="EI286" s="255">
        <v>7544.8799999999992</v>
      </c>
      <c r="EJ286" s="255">
        <v>7544.8799999999992</v>
      </c>
      <c r="EK286" s="255">
        <v>7544.8799999999992</v>
      </c>
      <c r="EL286" s="255">
        <v>7544.8799999999992</v>
      </c>
      <c r="EM286" s="255">
        <v>5658.66</v>
      </c>
      <c r="EN286" s="255">
        <v>0</v>
      </c>
      <c r="EO286" s="255">
        <v>0</v>
      </c>
      <c r="EP286" s="255">
        <v>0</v>
      </c>
      <c r="EQ286" s="255">
        <v>0</v>
      </c>
      <c r="ER286" s="255">
        <v>0</v>
      </c>
      <c r="ES286" s="255">
        <v>0</v>
      </c>
      <c r="ET286" s="255">
        <v>0</v>
      </c>
      <c r="EU286" s="255">
        <v>0</v>
      </c>
      <c r="EV286" s="255">
        <v>0</v>
      </c>
      <c r="EW286" s="255">
        <v>0</v>
      </c>
      <c r="EX286" s="255">
        <v>0</v>
      </c>
      <c r="EY286" s="255">
        <v>0</v>
      </c>
      <c r="EZ286" s="255">
        <v>0</v>
      </c>
      <c r="FA286" s="255">
        <v>0</v>
      </c>
      <c r="FB286" s="255">
        <v>0</v>
      </c>
      <c r="FC286" s="255">
        <v>0</v>
      </c>
      <c r="FD286" s="255">
        <v>0</v>
      </c>
      <c r="FE286" s="255">
        <v>0</v>
      </c>
      <c r="FF286" s="255">
        <v>0</v>
      </c>
      <c r="FG286" s="255">
        <v>0</v>
      </c>
      <c r="FH286" s="255">
        <v>0</v>
      </c>
      <c r="FI286" s="255">
        <v>0</v>
      </c>
      <c r="FJ286" s="255">
        <v>0</v>
      </c>
      <c r="FK286" s="255">
        <v>0</v>
      </c>
      <c r="FL286" s="255">
        <v>0</v>
      </c>
      <c r="FM286" s="255">
        <v>0</v>
      </c>
      <c r="FN286" s="255">
        <v>0</v>
      </c>
      <c r="FO286" s="255">
        <v>0</v>
      </c>
      <c r="FP286" s="255">
        <v>0</v>
      </c>
      <c r="FQ286" s="255">
        <v>0</v>
      </c>
      <c r="FR286" s="255">
        <v>0</v>
      </c>
      <c r="FS286" s="255">
        <v>0</v>
      </c>
      <c r="FT286" s="255">
        <v>0</v>
      </c>
      <c r="FU286" s="255">
        <v>0</v>
      </c>
      <c r="FV286" s="255">
        <v>0</v>
      </c>
      <c r="FW286" s="255">
        <v>0</v>
      </c>
      <c r="FX286" s="116"/>
    </row>
    <row r="287" spans="1:180" x14ac:dyDescent="0.2">
      <c r="B287" s="114"/>
      <c r="C287" s="114"/>
      <c r="D287" s="114"/>
      <c r="E287" s="114"/>
      <c r="F287" s="114"/>
      <c r="G287" s="114"/>
      <c r="H287" s="116"/>
      <c r="I287" s="114"/>
      <c r="J287" s="116"/>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6"/>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16"/>
    </row>
    <row r="288" spans="1:180" ht="26.25" customHeight="1" x14ac:dyDescent="0.2">
      <c r="A288" s="72"/>
      <c r="B288" s="160"/>
      <c r="C288" s="152"/>
      <c r="D288" s="152"/>
      <c r="E288" s="199"/>
      <c r="F288" s="199"/>
      <c r="G288" s="199"/>
      <c r="H288" s="199"/>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c r="BP288" s="152"/>
      <c r="BQ288" s="152"/>
      <c r="BR288" s="152"/>
      <c r="BS288" s="152"/>
      <c r="BT288" s="152"/>
      <c r="BU288" s="152"/>
      <c r="BV288" s="152"/>
      <c r="BW288" s="152"/>
      <c r="BX288" s="152"/>
      <c r="BY288" s="152"/>
      <c r="BZ288" s="152"/>
      <c r="CA288" s="152"/>
      <c r="CB288" s="152"/>
      <c r="CC288" s="152"/>
      <c r="CD288" s="152"/>
      <c r="CE288" s="152"/>
      <c r="CF288" s="152"/>
      <c r="CG288" s="152"/>
      <c r="CH288" s="152"/>
      <c r="CI288" s="152"/>
      <c r="CJ288" s="152"/>
      <c r="CK288" s="152"/>
      <c r="CL288" s="152"/>
      <c r="CM288" s="152"/>
      <c r="CN288" s="152"/>
      <c r="CO288" s="152"/>
      <c r="CP288" s="152"/>
      <c r="CQ288" s="152"/>
      <c r="CR288" s="152"/>
      <c r="CS288" s="152"/>
      <c r="CT288" s="152"/>
      <c r="CU288" s="152"/>
      <c r="CV288" s="152"/>
      <c r="CW288" s="152"/>
      <c r="CX288" s="152"/>
      <c r="CY288" s="152"/>
      <c r="CZ288" s="152"/>
      <c r="DA288" s="152"/>
      <c r="DB288" s="152"/>
      <c r="DC288" s="152"/>
      <c r="DD288" s="152"/>
      <c r="DE288" s="152"/>
      <c r="DF288" s="152"/>
      <c r="DG288" s="152"/>
      <c r="DH288" s="152"/>
      <c r="DI288" s="152"/>
      <c r="DJ288" s="152"/>
      <c r="DK288" s="152"/>
      <c r="DL288" s="152"/>
      <c r="DM288" s="152"/>
      <c r="DN288" s="152"/>
      <c r="DO288" s="152"/>
      <c r="DP288" s="152"/>
      <c r="DQ288" s="152"/>
      <c r="DR288" s="152"/>
      <c r="DS288" s="152"/>
      <c r="DT288" s="152"/>
      <c r="DU288" s="152"/>
      <c r="DV288" s="152"/>
      <c r="DW288" s="152"/>
      <c r="DX288" s="152"/>
      <c r="DY288" s="152"/>
      <c r="DZ288" s="152"/>
      <c r="EA288" s="152"/>
      <c r="EB288" s="152"/>
      <c r="EC288" s="152"/>
      <c r="ED288" s="152"/>
      <c r="EE288" s="152"/>
      <c r="EF288" s="152"/>
      <c r="EG288" s="152"/>
      <c r="EH288" s="152"/>
      <c r="EI288" s="152"/>
      <c r="EJ288" s="152"/>
      <c r="EK288" s="152"/>
      <c r="EL288" s="152"/>
      <c r="EM288" s="152"/>
      <c r="EN288" s="152"/>
      <c r="EO288" s="152"/>
      <c r="EP288" s="152"/>
      <c r="EQ288" s="152"/>
      <c r="ER288" s="152"/>
      <c r="ES288" s="152"/>
      <c r="ET288" s="152"/>
      <c r="EU288" s="152"/>
      <c r="EV288" s="152"/>
      <c r="EW288" s="152"/>
      <c r="EX288" s="152"/>
      <c r="EY288" s="152"/>
      <c r="EZ288" s="152"/>
      <c r="FA288" s="152"/>
      <c r="FB288" s="152"/>
      <c r="FC288" s="152"/>
      <c r="FD288" s="152"/>
      <c r="FE288" s="152"/>
      <c r="FF288" s="152"/>
      <c r="FG288" s="152"/>
      <c r="FH288" s="152"/>
      <c r="FI288" s="152"/>
      <c r="FJ288" s="152"/>
      <c r="FK288" s="152"/>
      <c r="FL288" s="152"/>
      <c r="FM288" s="152"/>
      <c r="FN288" s="152"/>
      <c r="FO288" s="152"/>
      <c r="FP288" s="152"/>
      <c r="FQ288" s="152"/>
      <c r="FR288" s="152"/>
      <c r="FS288" s="152"/>
      <c r="FT288" s="152"/>
      <c r="FU288" s="152"/>
      <c r="FV288" s="152"/>
      <c r="FW288" s="152"/>
      <c r="FX288" s="71"/>
    </row>
    <row r="289" spans="2:180" x14ac:dyDescent="0.2">
      <c r="B289" s="114"/>
      <c r="C289" s="114"/>
      <c r="D289" s="114"/>
      <c r="E289" s="114"/>
      <c r="F289" s="114"/>
      <c r="G289" s="114"/>
      <c r="H289" s="116"/>
      <c r="J289" s="116"/>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6"/>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16"/>
    </row>
    <row r="290" spans="2:180" x14ac:dyDescent="0.2">
      <c r="B290" s="114"/>
      <c r="C290" s="114"/>
      <c r="D290" s="114"/>
      <c r="E290" s="114"/>
      <c r="F290" s="114"/>
      <c r="G290" s="114"/>
      <c r="H290" s="116"/>
      <c r="J290" s="116"/>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6"/>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16"/>
    </row>
    <row r="291" spans="2:180" x14ac:dyDescent="0.2">
      <c r="B291" s="114"/>
      <c r="C291" s="114"/>
      <c r="D291" s="114"/>
      <c r="E291" s="114"/>
      <c r="F291" s="114"/>
      <c r="G291" s="114"/>
      <c r="H291" s="116"/>
      <c r="J291" s="116"/>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6"/>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16"/>
    </row>
    <row r="292" spans="2:180" x14ac:dyDescent="0.2">
      <c r="B292" s="114"/>
      <c r="C292" s="114"/>
      <c r="D292" s="114"/>
      <c r="E292" s="114"/>
      <c r="F292" s="114"/>
      <c r="G292" s="114"/>
      <c r="H292" s="116"/>
      <c r="J292" s="116"/>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6"/>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16"/>
    </row>
    <row r="293" spans="2:180" x14ac:dyDescent="0.2">
      <c r="B293" s="114"/>
      <c r="C293" s="114"/>
      <c r="D293" s="114"/>
      <c r="E293" s="114"/>
      <c r="F293" s="114"/>
      <c r="G293" s="114"/>
      <c r="H293" s="116"/>
      <c r="J293" s="116"/>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6"/>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16"/>
    </row>
    <row r="294" spans="2:180" x14ac:dyDescent="0.2">
      <c r="B294" s="114"/>
      <c r="C294" s="114"/>
      <c r="D294" s="114"/>
      <c r="E294" s="114"/>
      <c r="F294" s="114"/>
      <c r="G294" s="114"/>
      <c r="H294" s="116"/>
      <c r="J294" s="116"/>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6"/>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16"/>
    </row>
    <row r="295" spans="2:180" x14ac:dyDescent="0.2">
      <c r="B295" s="114"/>
      <c r="C295" s="114"/>
      <c r="D295" s="114"/>
      <c r="E295" s="114"/>
      <c r="F295" s="114"/>
      <c r="G295" s="114"/>
      <c r="H295" s="116"/>
      <c r="J295" s="116"/>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6"/>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16"/>
    </row>
    <row r="296" spans="2:180" x14ac:dyDescent="0.2">
      <c r="B296" s="114"/>
      <c r="C296" s="114"/>
      <c r="D296" s="114"/>
      <c r="E296" s="114"/>
      <c r="F296" s="114"/>
      <c r="G296" s="114"/>
      <c r="H296" s="116"/>
      <c r="J296" s="116"/>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6"/>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16"/>
    </row>
    <row r="297" spans="2:180" x14ac:dyDescent="0.2">
      <c r="B297" s="114"/>
      <c r="C297" s="114"/>
      <c r="D297" s="114"/>
      <c r="E297" s="114"/>
      <c r="F297" s="114"/>
      <c r="G297" s="114"/>
      <c r="H297" s="116"/>
      <c r="J297" s="116"/>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6"/>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16"/>
    </row>
    <row r="298" spans="2:180" x14ac:dyDescent="0.2">
      <c r="B298" s="114"/>
      <c r="C298" s="114"/>
      <c r="D298" s="114"/>
      <c r="E298" s="114"/>
      <c r="F298" s="114"/>
      <c r="G298" s="114"/>
      <c r="H298" s="116"/>
      <c r="J298" s="116"/>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6"/>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16"/>
    </row>
    <row r="299" spans="2:180" x14ac:dyDescent="0.2">
      <c r="B299" s="114"/>
      <c r="C299" s="114"/>
      <c r="D299" s="114"/>
      <c r="E299" s="114"/>
      <c r="F299" s="114"/>
      <c r="G299" s="114"/>
      <c r="H299" s="116"/>
      <c r="J299" s="116"/>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6"/>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16"/>
    </row>
    <row r="300" spans="2:180" x14ac:dyDescent="0.2">
      <c r="B300" s="114"/>
      <c r="C300" s="114"/>
      <c r="D300" s="114"/>
      <c r="E300" s="114"/>
      <c r="F300" s="114"/>
      <c r="G300" s="114"/>
      <c r="H300" s="116"/>
      <c r="J300" s="116"/>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6"/>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16"/>
    </row>
    <row r="301" spans="2:180" x14ac:dyDescent="0.2">
      <c r="B301" s="114"/>
      <c r="C301" s="114"/>
      <c r="D301" s="114"/>
      <c r="E301" s="114"/>
      <c r="F301" s="114"/>
      <c r="G301" s="114"/>
      <c r="H301" s="116"/>
      <c r="J301" s="116"/>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6"/>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16"/>
    </row>
    <row r="302" spans="2:180" x14ac:dyDescent="0.2">
      <c r="B302" s="114"/>
      <c r="C302" s="114"/>
      <c r="D302" s="114"/>
      <c r="E302" s="114"/>
      <c r="F302" s="114"/>
      <c r="G302" s="114"/>
      <c r="H302" s="116"/>
      <c r="J302" s="116"/>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6"/>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16"/>
    </row>
    <row r="303" spans="2:180" x14ac:dyDescent="0.2">
      <c r="B303" s="114"/>
      <c r="C303" s="114"/>
      <c r="D303" s="114"/>
      <c r="E303" s="114"/>
      <c r="F303" s="114"/>
      <c r="G303" s="114"/>
      <c r="H303" s="116"/>
      <c r="J303" s="116"/>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6"/>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16"/>
    </row>
    <row r="304" spans="2:180" x14ac:dyDescent="0.2">
      <c r="B304" s="114"/>
      <c r="C304" s="114"/>
      <c r="D304" s="114"/>
      <c r="E304" s="114"/>
      <c r="F304" s="114"/>
      <c r="G304" s="114"/>
      <c r="H304" s="116"/>
      <c r="J304" s="116"/>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6"/>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16"/>
    </row>
    <row r="305" spans="2:180" x14ac:dyDescent="0.2">
      <c r="B305" s="114"/>
      <c r="C305" s="114"/>
      <c r="D305" s="114"/>
      <c r="E305" s="114"/>
      <c r="F305" s="114"/>
      <c r="G305" s="114"/>
      <c r="H305" s="116"/>
      <c r="J305" s="116"/>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6"/>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16"/>
    </row>
    <row r="306" spans="2:180" x14ac:dyDescent="0.2">
      <c r="B306" s="114"/>
      <c r="C306" s="114"/>
      <c r="D306" s="114"/>
      <c r="E306" s="114"/>
      <c r="F306" s="114"/>
      <c r="G306" s="114"/>
      <c r="H306" s="116"/>
      <c r="J306" s="116"/>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6"/>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16"/>
    </row>
    <row r="307" spans="2:180" x14ac:dyDescent="0.2">
      <c r="B307" s="114"/>
      <c r="C307" s="114"/>
      <c r="D307" s="114"/>
      <c r="E307" s="114"/>
      <c r="F307" s="114"/>
      <c r="G307" s="114"/>
      <c r="H307" s="116"/>
      <c r="J307" s="116"/>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6"/>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16"/>
    </row>
    <row r="308" spans="2:180" x14ac:dyDescent="0.2">
      <c r="B308" s="114"/>
      <c r="C308" s="114"/>
      <c r="D308" s="114"/>
      <c r="E308" s="114"/>
      <c r="F308" s="114"/>
      <c r="G308" s="114"/>
      <c r="H308" s="116"/>
      <c r="J308" s="116"/>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6"/>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16"/>
    </row>
    <row r="309" spans="2:180" x14ac:dyDescent="0.2">
      <c r="B309" s="114"/>
      <c r="C309" s="114"/>
      <c r="D309" s="114"/>
      <c r="E309" s="114"/>
      <c r="F309" s="114"/>
      <c r="G309" s="114"/>
      <c r="H309" s="116"/>
      <c r="J309" s="116"/>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6"/>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16"/>
    </row>
    <row r="310" spans="2:180" x14ac:dyDescent="0.2">
      <c r="B310" s="114"/>
      <c r="C310" s="114"/>
      <c r="D310" s="114"/>
      <c r="E310" s="114"/>
      <c r="F310" s="114"/>
      <c r="G310" s="114"/>
      <c r="H310" s="116"/>
      <c r="J310" s="116"/>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6"/>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16"/>
    </row>
    <row r="311" spans="2:180" x14ac:dyDescent="0.2">
      <c r="B311" s="114"/>
      <c r="C311" s="114"/>
      <c r="D311" s="114"/>
      <c r="E311" s="114"/>
      <c r="F311" s="114"/>
      <c r="G311" s="114"/>
      <c r="H311" s="116"/>
      <c r="J311" s="116"/>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6"/>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16"/>
    </row>
    <row r="312" spans="2:180" x14ac:dyDescent="0.2">
      <c r="B312" s="114"/>
      <c r="C312" s="114"/>
      <c r="D312" s="114"/>
      <c r="E312" s="114"/>
      <c r="F312" s="114"/>
      <c r="G312" s="114"/>
      <c r="H312" s="116"/>
      <c r="J312" s="116"/>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6"/>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16"/>
    </row>
    <row r="313" spans="2:180" x14ac:dyDescent="0.2">
      <c r="B313" s="114"/>
      <c r="C313" s="114"/>
      <c r="D313" s="114"/>
      <c r="E313" s="114"/>
      <c r="F313" s="114"/>
      <c r="G313" s="114"/>
      <c r="H313" s="116"/>
      <c r="J313" s="116"/>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6"/>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16"/>
    </row>
    <row r="314" spans="2:180" x14ac:dyDescent="0.2">
      <c r="B314" s="114"/>
      <c r="C314" s="114"/>
      <c r="D314" s="114"/>
      <c r="E314" s="114"/>
      <c r="F314" s="114"/>
      <c r="G314" s="114"/>
      <c r="H314" s="116"/>
      <c r="J314" s="116"/>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6"/>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16"/>
    </row>
    <row r="315" spans="2:180" x14ac:dyDescent="0.2">
      <c r="B315" s="114"/>
      <c r="C315" s="114"/>
      <c r="D315" s="114"/>
      <c r="E315" s="114"/>
      <c r="F315" s="114"/>
      <c r="G315" s="114"/>
      <c r="H315" s="116"/>
      <c r="J315" s="116"/>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6"/>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16"/>
    </row>
    <row r="316" spans="2:180" x14ac:dyDescent="0.2">
      <c r="B316" s="114"/>
      <c r="C316" s="114"/>
      <c r="D316" s="114"/>
      <c r="E316" s="114"/>
      <c r="F316" s="114"/>
      <c r="G316" s="114"/>
      <c r="H316" s="116"/>
      <c r="J316" s="116"/>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6"/>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16"/>
    </row>
    <row r="317" spans="2:180" x14ac:dyDescent="0.2">
      <c r="B317" s="114"/>
      <c r="C317" s="114"/>
      <c r="D317" s="114"/>
      <c r="E317" s="114"/>
      <c r="F317" s="114"/>
      <c r="G317" s="114"/>
      <c r="H317" s="116"/>
      <c r="J317" s="116"/>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6"/>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16"/>
    </row>
    <row r="318" spans="2:180" x14ac:dyDescent="0.2">
      <c r="B318" s="114"/>
      <c r="C318" s="114"/>
      <c r="D318" s="114"/>
      <c r="E318" s="114"/>
      <c r="F318" s="114"/>
      <c r="G318" s="114"/>
      <c r="H318" s="116"/>
      <c r="J318" s="116"/>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6"/>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16"/>
    </row>
    <row r="319" spans="2:180" x14ac:dyDescent="0.2">
      <c r="B319" s="114"/>
      <c r="C319" s="114"/>
      <c r="D319" s="114"/>
      <c r="E319" s="114"/>
      <c r="F319" s="114"/>
      <c r="G319" s="114"/>
      <c r="H319" s="116"/>
      <c r="J319" s="116"/>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6"/>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16"/>
    </row>
    <row r="320" spans="2:180" x14ac:dyDescent="0.2">
      <c r="B320" s="114"/>
      <c r="C320" s="114"/>
      <c r="D320" s="114"/>
      <c r="E320" s="114"/>
      <c r="F320" s="114"/>
      <c r="G320" s="114"/>
      <c r="H320" s="116"/>
      <c r="J320" s="116"/>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6"/>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16"/>
    </row>
    <row r="321" spans="2:180" x14ac:dyDescent="0.2">
      <c r="B321" s="114"/>
      <c r="C321" s="114"/>
      <c r="D321" s="114"/>
      <c r="E321" s="114"/>
      <c r="F321" s="114"/>
      <c r="G321" s="114"/>
      <c r="H321" s="116"/>
      <c r="J321" s="116"/>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6"/>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16"/>
    </row>
    <row r="322" spans="2:180" x14ac:dyDescent="0.2">
      <c r="B322" s="114"/>
      <c r="C322" s="114"/>
      <c r="D322" s="114"/>
      <c r="E322" s="114"/>
      <c r="F322" s="114"/>
      <c r="G322" s="114"/>
      <c r="H322" s="116"/>
      <c r="J322" s="116"/>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6"/>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16"/>
    </row>
    <row r="323" spans="2:180" x14ac:dyDescent="0.2">
      <c r="B323" s="114"/>
      <c r="C323" s="114"/>
      <c r="D323" s="114"/>
      <c r="E323" s="114"/>
      <c r="F323" s="114"/>
      <c r="G323" s="114"/>
      <c r="H323" s="116"/>
      <c r="J323" s="116"/>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6"/>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16"/>
    </row>
    <row r="324" spans="2:180" x14ac:dyDescent="0.2">
      <c r="B324" s="114"/>
      <c r="C324" s="114"/>
      <c r="D324" s="114"/>
      <c r="E324" s="114"/>
      <c r="F324" s="114"/>
      <c r="G324" s="114"/>
      <c r="H324" s="116"/>
      <c r="J324" s="116"/>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6"/>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16"/>
    </row>
    <row r="325" spans="2:180" x14ac:dyDescent="0.2">
      <c r="B325" s="114"/>
      <c r="C325" s="114"/>
      <c r="D325" s="114"/>
      <c r="E325" s="114"/>
      <c r="F325" s="114"/>
      <c r="G325" s="114"/>
      <c r="H325" s="116"/>
      <c r="J325" s="116"/>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6"/>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16"/>
    </row>
    <row r="326" spans="2:180" x14ac:dyDescent="0.2">
      <c r="B326" s="114"/>
      <c r="C326" s="114"/>
      <c r="D326" s="114"/>
      <c r="E326" s="114"/>
      <c r="F326" s="114"/>
      <c r="G326" s="114"/>
      <c r="H326" s="116"/>
      <c r="J326" s="116"/>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6"/>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16"/>
    </row>
    <row r="327" spans="2:180" x14ac:dyDescent="0.2">
      <c r="B327" s="114"/>
      <c r="C327" s="114"/>
      <c r="D327" s="114"/>
      <c r="E327" s="114"/>
      <c r="F327" s="114"/>
      <c r="G327" s="114"/>
      <c r="H327" s="116"/>
      <c r="J327" s="116"/>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6"/>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16"/>
    </row>
    <row r="328" spans="2:180" x14ac:dyDescent="0.2">
      <c r="B328" s="114"/>
      <c r="C328" s="114"/>
      <c r="D328" s="114"/>
      <c r="E328" s="114"/>
      <c r="F328" s="114"/>
      <c r="G328" s="114"/>
      <c r="H328" s="116"/>
      <c r="J328" s="116"/>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6"/>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16"/>
    </row>
    <row r="329" spans="2:180" x14ac:dyDescent="0.2">
      <c r="B329" s="114"/>
      <c r="C329" s="114"/>
      <c r="D329" s="114"/>
      <c r="E329" s="114"/>
      <c r="F329" s="114"/>
      <c r="G329" s="114"/>
      <c r="H329" s="116"/>
      <c r="J329" s="116"/>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6"/>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16"/>
    </row>
    <row r="330" spans="2:180" x14ac:dyDescent="0.2">
      <c r="B330" s="114"/>
      <c r="C330" s="114"/>
      <c r="D330" s="114"/>
      <c r="E330" s="114"/>
      <c r="F330" s="114"/>
      <c r="G330" s="114"/>
      <c r="H330" s="116"/>
      <c r="J330" s="116"/>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6"/>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16"/>
    </row>
    <row r="331" spans="2:180" x14ac:dyDescent="0.2">
      <c r="B331" s="114"/>
      <c r="C331" s="114"/>
      <c r="D331" s="114"/>
      <c r="E331" s="114"/>
      <c r="F331" s="114"/>
      <c r="G331" s="114"/>
      <c r="H331" s="116"/>
      <c r="J331" s="116"/>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6"/>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16"/>
    </row>
    <row r="332" spans="2:180" x14ac:dyDescent="0.2">
      <c r="B332" s="114"/>
      <c r="C332" s="114"/>
      <c r="D332" s="114"/>
      <c r="E332" s="114"/>
      <c r="F332" s="114"/>
      <c r="G332" s="114"/>
      <c r="H332" s="116"/>
      <c r="J332" s="116"/>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6"/>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16"/>
    </row>
    <row r="333" spans="2:180" x14ac:dyDescent="0.2">
      <c r="B333" s="114"/>
      <c r="C333" s="114"/>
      <c r="D333" s="114"/>
      <c r="E333" s="114"/>
      <c r="F333" s="114"/>
      <c r="G333" s="114"/>
      <c r="H333" s="116"/>
      <c r="J333" s="116"/>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6"/>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16"/>
    </row>
    <row r="334" spans="2:180" x14ac:dyDescent="0.2">
      <c r="B334" s="114"/>
      <c r="C334" s="114"/>
      <c r="D334" s="114"/>
      <c r="E334" s="114"/>
      <c r="F334" s="114"/>
      <c r="G334" s="114"/>
      <c r="H334" s="116"/>
      <c r="J334" s="116"/>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6"/>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16"/>
    </row>
    <row r="335" spans="2:180" x14ac:dyDescent="0.2">
      <c r="B335" s="114"/>
      <c r="C335" s="114"/>
      <c r="D335" s="114"/>
      <c r="E335" s="114"/>
      <c r="F335" s="114"/>
      <c r="G335" s="114"/>
      <c r="H335" s="116"/>
      <c r="J335" s="116"/>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6"/>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16"/>
    </row>
    <row r="336" spans="2:180" x14ac:dyDescent="0.2">
      <c r="B336" s="114"/>
      <c r="C336" s="114"/>
      <c r="D336" s="114"/>
      <c r="E336" s="114"/>
      <c r="F336" s="114"/>
      <c r="G336" s="114"/>
      <c r="H336" s="116"/>
      <c r="J336" s="116"/>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6"/>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16"/>
    </row>
    <row r="337" spans="2:180" x14ac:dyDescent="0.2">
      <c r="B337" s="114"/>
      <c r="C337" s="114"/>
      <c r="D337" s="114"/>
      <c r="E337" s="114"/>
      <c r="F337" s="114"/>
      <c r="G337" s="114"/>
      <c r="H337" s="116"/>
      <c r="J337" s="116"/>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6"/>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16"/>
    </row>
    <row r="338" spans="2:180" x14ac:dyDescent="0.2">
      <c r="B338" s="114"/>
      <c r="C338" s="114"/>
      <c r="D338" s="114"/>
      <c r="E338" s="114"/>
      <c r="F338" s="114"/>
      <c r="G338" s="114"/>
      <c r="H338" s="116"/>
      <c r="J338" s="116"/>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6"/>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16"/>
    </row>
    <row r="339" spans="2:180" x14ac:dyDescent="0.2">
      <c r="B339" s="114"/>
      <c r="C339" s="114"/>
      <c r="D339" s="114"/>
      <c r="E339" s="114"/>
      <c r="F339" s="114"/>
      <c r="G339" s="114"/>
      <c r="H339" s="116"/>
      <c r="J339" s="116"/>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6"/>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16"/>
    </row>
    <row r="340" spans="2:180" x14ac:dyDescent="0.2">
      <c r="B340" s="114"/>
      <c r="C340" s="114"/>
      <c r="D340" s="114"/>
      <c r="E340" s="114"/>
      <c r="F340" s="114"/>
      <c r="G340" s="114"/>
      <c r="H340" s="116"/>
      <c r="J340" s="116"/>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6"/>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16"/>
    </row>
    <row r="341" spans="2:180" x14ac:dyDescent="0.2">
      <c r="B341" s="114"/>
      <c r="C341" s="114"/>
      <c r="D341" s="114"/>
      <c r="E341" s="114"/>
      <c r="F341" s="114"/>
      <c r="G341" s="114"/>
      <c r="H341" s="116"/>
      <c r="J341" s="116"/>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6"/>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16"/>
    </row>
    <row r="342" spans="2:180" x14ac:dyDescent="0.2">
      <c r="B342" s="114"/>
      <c r="C342" s="114"/>
      <c r="D342" s="114"/>
      <c r="E342" s="114"/>
      <c r="F342" s="114"/>
      <c r="G342" s="114"/>
      <c r="H342" s="116"/>
      <c r="J342" s="116"/>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6"/>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16"/>
    </row>
    <row r="343" spans="2:180" x14ac:dyDescent="0.2">
      <c r="B343" s="114"/>
      <c r="C343" s="114"/>
      <c r="D343" s="114"/>
      <c r="E343" s="114"/>
      <c r="F343" s="114"/>
      <c r="G343" s="114"/>
      <c r="H343" s="116"/>
      <c r="J343" s="116"/>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6"/>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16"/>
    </row>
    <row r="344" spans="2:180" x14ac:dyDescent="0.2">
      <c r="B344" s="114"/>
      <c r="C344" s="114"/>
      <c r="D344" s="114"/>
      <c r="E344" s="114"/>
      <c r="F344" s="114"/>
      <c r="G344" s="114"/>
      <c r="H344" s="116"/>
      <c r="J344" s="116"/>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6"/>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16"/>
    </row>
    <row r="345" spans="2:180" x14ac:dyDescent="0.2">
      <c r="B345" s="114"/>
      <c r="C345" s="114"/>
      <c r="D345" s="114"/>
      <c r="E345" s="114"/>
      <c r="F345" s="114"/>
      <c r="G345" s="114"/>
      <c r="H345" s="116"/>
      <c r="J345" s="116"/>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6"/>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16"/>
    </row>
    <row r="346" spans="2:180" x14ac:dyDescent="0.2">
      <c r="B346" s="114"/>
      <c r="C346" s="114"/>
      <c r="D346" s="114"/>
      <c r="E346" s="114"/>
      <c r="F346" s="114"/>
      <c r="G346" s="114"/>
      <c r="H346" s="116"/>
      <c r="J346" s="116"/>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6"/>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16"/>
    </row>
    <row r="347" spans="2:180" x14ac:dyDescent="0.2">
      <c r="B347" s="114"/>
      <c r="C347" s="114"/>
      <c r="D347" s="114"/>
      <c r="E347" s="114"/>
      <c r="F347" s="114"/>
      <c r="G347" s="114"/>
      <c r="H347" s="116"/>
      <c r="J347" s="116"/>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6"/>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16"/>
    </row>
    <row r="348" spans="2:180" x14ac:dyDescent="0.2">
      <c r="B348" s="114"/>
      <c r="C348" s="114"/>
      <c r="D348" s="114"/>
      <c r="E348" s="114"/>
      <c r="F348" s="114"/>
      <c r="G348" s="114"/>
      <c r="H348" s="116"/>
      <c r="J348" s="116"/>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6"/>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16"/>
    </row>
    <row r="349" spans="2:180" x14ac:dyDescent="0.2">
      <c r="B349" s="114"/>
      <c r="C349" s="114"/>
      <c r="D349" s="114"/>
      <c r="E349" s="114"/>
      <c r="F349" s="114"/>
      <c r="G349" s="114"/>
      <c r="H349" s="116"/>
      <c r="J349" s="116"/>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6"/>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16"/>
    </row>
    <row r="350" spans="2:180" x14ac:dyDescent="0.2">
      <c r="B350" s="114"/>
      <c r="C350" s="114"/>
      <c r="D350" s="114"/>
      <c r="E350" s="114"/>
      <c r="F350" s="114"/>
      <c r="G350" s="114"/>
      <c r="H350" s="116"/>
      <c r="J350" s="116"/>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6"/>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16"/>
    </row>
    <row r="351" spans="2:180" x14ac:dyDescent="0.2">
      <c r="B351" s="114"/>
      <c r="C351" s="114"/>
      <c r="D351" s="114"/>
      <c r="E351" s="114"/>
      <c r="F351" s="114"/>
      <c r="G351" s="114"/>
      <c r="H351" s="116"/>
      <c r="J351" s="116"/>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6"/>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16"/>
    </row>
    <row r="352" spans="2:180" x14ac:dyDescent="0.2">
      <c r="B352" s="114"/>
      <c r="C352" s="114"/>
      <c r="D352" s="114"/>
      <c r="E352" s="114"/>
      <c r="F352" s="114"/>
      <c r="G352" s="114"/>
      <c r="H352" s="116"/>
      <c r="J352" s="116"/>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6"/>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16"/>
    </row>
    <row r="353" spans="2:180" x14ac:dyDescent="0.2">
      <c r="B353" s="114"/>
      <c r="C353" s="114"/>
      <c r="D353" s="114"/>
      <c r="E353" s="114"/>
      <c r="F353" s="114"/>
      <c r="G353" s="114"/>
      <c r="H353" s="116"/>
      <c r="J353" s="116"/>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6"/>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16"/>
    </row>
    <row r="354" spans="2:180" x14ac:dyDescent="0.2">
      <c r="B354" s="114"/>
      <c r="C354" s="114"/>
      <c r="D354" s="114"/>
      <c r="E354" s="114"/>
      <c r="F354" s="114"/>
      <c r="G354" s="114"/>
      <c r="H354" s="116"/>
      <c r="J354" s="116"/>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6"/>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16"/>
    </row>
    <row r="355" spans="2:180" x14ac:dyDescent="0.2">
      <c r="B355" s="114"/>
      <c r="C355" s="114"/>
      <c r="D355" s="114"/>
      <c r="E355" s="114"/>
      <c r="F355" s="114"/>
      <c r="G355" s="114"/>
      <c r="H355" s="116"/>
      <c r="J355" s="116"/>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6"/>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16"/>
    </row>
    <row r="356" spans="2:180" x14ac:dyDescent="0.2">
      <c r="B356" s="114"/>
      <c r="C356" s="114"/>
      <c r="D356" s="114"/>
      <c r="E356" s="114"/>
      <c r="F356" s="114"/>
      <c r="G356" s="114"/>
      <c r="H356" s="116"/>
      <c r="J356" s="116"/>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6"/>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16"/>
    </row>
    <row r="357" spans="2:180" x14ac:dyDescent="0.2">
      <c r="B357" s="114"/>
      <c r="C357" s="114"/>
      <c r="D357" s="114"/>
      <c r="E357" s="114"/>
      <c r="F357" s="114"/>
      <c r="G357" s="114"/>
      <c r="H357" s="116"/>
      <c r="J357" s="116"/>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6"/>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16"/>
    </row>
    <row r="358" spans="2:180" x14ac:dyDescent="0.2">
      <c r="B358" s="114"/>
      <c r="C358" s="114"/>
      <c r="D358" s="114"/>
      <c r="E358" s="114"/>
      <c r="F358" s="114"/>
      <c r="G358" s="114"/>
      <c r="H358" s="116"/>
      <c r="J358" s="116"/>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6"/>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16"/>
    </row>
    <row r="359" spans="2:180" x14ac:dyDescent="0.2">
      <c r="B359" s="114"/>
      <c r="C359" s="114"/>
      <c r="D359" s="114"/>
      <c r="E359" s="114"/>
      <c r="F359" s="114"/>
      <c r="G359" s="114"/>
      <c r="H359" s="116"/>
      <c r="J359" s="116"/>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6"/>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16"/>
    </row>
    <row r="360" spans="2:180" x14ac:dyDescent="0.2">
      <c r="B360" s="114"/>
      <c r="C360" s="114"/>
      <c r="D360" s="114"/>
      <c r="E360" s="114"/>
      <c r="F360" s="114"/>
      <c r="G360" s="114"/>
      <c r="H360" s="116"/>
      <c r="J360" s="116"/>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6"/>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16"/>
    </row>
    <row r="361" spans="2:180" x14ac:dyDescent="0.2">
      <c r="B361" s="114"/>
      <c r="C361" s="114"/>
      <c r="D361" s="114"/>
      <c r="E361" s="114"/>
      <c r="F361" s="114"/>
      <c r="G361" s="114"/>
      <c r="H361" s="116"/>
      <c r="J361" s="116"/>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6"/>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16"/>
    </row>
    <row r="362" spans="2:180" x14ac:dyDescent="0.2">
      <c r="B362" s="114"/>
      <c r="C362" s="114"/>
      <c r="D362" s="114"/>
      <c r="E362" s="114"/>
      <c r="F362" s="114"/>
      <c r="G362" s="114"/>
      <c r="H362" s="116"/>
      <c r="J362" s="116"/>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6"/>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16"/>
    </row>
    <row r="363" spans="2:180" x14ac:dyDescent="0.2">
      <c r="B363" s="114"/>
      <c r="C363" s="114"/>
      <c r="D363" s="114"/>
      <c r="E363" s="114"/>
      <c r="F363" s="114"/>
      <c r="G363" s="114"/>
      <c r="H363" s="116"/>
      <c r="J363" s="116"/>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6"/>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16"/>
    </row>
    <row r="364" spans="2:180" x14ac:dyDescent="0.2">
      <c r="B364" s="114"/>
      <c r="C364" s="114"/>
      <c r="D364" s="114"/>
      <c r="E364" s="114"/>
      <c r="F364" s="114"/>
      <c r="G364" s="114"/>
      <c r="H364" s="116"/>
      <c r="J364" s="116"/>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6"/>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16"/>
    </row>
    <row r="365" spans="2:180" x14ac:dyDescent="0.2">
      <c r="B365" s="114"/>
      <c r="C365" s="114"/>
      <c r="D365" s="114"/>
      <c r="E365" s="114"/>
      <c r="F365" s="114"/>
      <c r="G365" s="114"/>
      <c r="H365" s="116"/>
      <c r="J365" s="116"/>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6"/>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16"/>
    </row>
    <row r="366" spans="2:180" x14ac:dyDescent="0.2">
      <c r="B366" s="114"/>
      <c r="C366" s="114"/>
      <c r="D366" s="114"/>
      <c r="E366" s="114"/>
      <c r="F366" s="114"/>
      <c r="G366" s="114"/>
      <c r="H366" s="116"/>
      <c r="J366" s="116"/>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6"/>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16"/>
    </row>
    <row r="367" spans="2:180" x14ac:dyDescent="0.2">
      <c r="B367" s="114"/>
      <c r="C367" s="114"/>
      <c r="D367" s="114"/>
      <c r="E367" s="114"/>
      <c r="F367" s="114"/>
      <c r="G367" s="114"/>
      <c r="H367" s="116"/>
      <c r="J367" s="116"/>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6"/>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16"/>
    </row>
    <row r="368" spans="2:180" x14ac:dyDescent="0.2">
      <c r="B368" s="114"/>
      <c r="C368" s="114"/>
      <c r="D368" s="114"/>
      <c r="E368" s="114"/>
      <c r="F368" s="114"/>
      <c r="G368" s="114"/>
      <c r="H368" s="116"/>
      <c r="J368" s="116"/>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6"/>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16"/>
    </row>
    <row r="369" spans="2:180" x14ac:dyDescent="0.2">
      <c r="B369" s="114"/>
      <c r="C369" s="114"/>
      <c r="D369" s="114"/>
      <c r="E369" s="114"/>
      <c r="F369" s="114"/>
      <c r="G369" s="114"/>
      <c r="H369" s="116"/>
      <c r="J369" s="116"/>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6"/>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16"/>
    </row>
    <row r="370" spans="2:180" x14ac:dyDescent="0.2">
      <c r="B370" s="114"/>
      <c r="C370" s="114"/>
      <c r="D370" s="114"/>
      <c r="E370" s="114"/>
      <c r="F370" s="114"/>
      <c r="G370" s="114"/>
      <c r="H370" s="116"/>
      <c r="J370" s="116"/>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6"/>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16"/>
    </row>
    <row r="371" spans="2:180" x14ac:dyDescent="0.2">
      <c r="B371" s="114"/>
      <c r="C371" s="114"/>
      <c r="D371" s="114"/>
      <c r="E371" s="114"/>
      <c r="F371" s="114"/>
      <c r="G371" s="114"/>
      <c r="H371" s="116"/>
      <c r="J371" s="116"/>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6"/>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16"/>
    </row>
    <row r="372" spans="2:180" x14ac:dyDescent="0.2">
      <c r="B372" s="114"/>
      <c r="C372" s="114"/>
      <c r="D372" s="114"/>
      <c r="E372" s="114"/>
      <c r="F372" s="114"/>
      <c r="G372" s="114"/>
      <c r="H372" s="116"/>
      <c r="J372" s="116"/>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6"/>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16"/>
    </row>
    <row r="373" spans="2:180" x14ac:dyDescent="0.2">
      <c r="B373" s="114"/>
      <c r="C373" s="114"/>
      <c r="D373" s="114"/>
      <c r="E373" s="114"/>
      <c r="F373" s="114"/>
      <c r="G373" s="114"/>
      <c r="H373" s="116"/>
      <c r="J373" s="116"/>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6"/>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16"/>
    </row>
    <row r="374" spans="2:180" x14ac:dyDescent="0.2">
      <c r="B374" s="114"/>
      <c r="C374" s="114"/>
      <c r="D374" s="114"/>
      <c r="E374" s="114"/>
      <c r="F374" s="114"/>
      <c r="G374" s="114"/>
      <c r="H374" s="116"/>
      <c r="J374" s="116"/>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6"/>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16"/>
    </row>
    <row r="375" spans="2:180" x14ac:dyDescent="0.2">
      <c r="B375" s="114"/>
      <c r="C375" s="114"/>
      <c r="D375" s="114"/>
      <c r="E375" s="114"/>
      <c r="F375" s="114"/>
      <c r="G375" s="114"/>
      <c r="H375" s="116"/>
      <c r="J375" s="116"/>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6"/>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16"/>
    </row>
    <row r="376" spans="2:180" x14ac:dyDescent="0.2">
      <c r="B376" s="114"/>
      <c r="C376" s="114"/>
      <c r="D376" s="114"/>
      <c r="E376" s="114"/>
      <c r="F376" s="114"/>
      <c r="G376" s="114"/>
      <c r="H376" s="116"/>
      <c r="J376" s="116"/>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6"/>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16"/>
    </row>
    <row r="377" spans="2:180" x14ac:dyDescent="0.2">
      <c r="B377" s="114"/>
      <c r="C377" s="114"/>
      <c r="D377" s="114"/>
      <c r="E377" s="114"/>
      <c r="F377" s="114"/>
      <c r="G377" s="114"/>
      <c r="H377" s="116"/>
      <c r="J377" s="116"/>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6"/>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16"/>
    </row>
    <row r="378" spans="2:180" x14ac:dyDescent="0.2">
      <c r="B378" s="114"/>
      <c r="C378" s="114"/>
      <c r="D378" s="114"/>
      <c r="E378" s="114"/>
      <c r="F378" s="114"/>
      <c r="G378" s="114"/>
      <c r="H378" s="116"/>
      <c r="J378" s="116"/>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6"/>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16"/>
    </row>
    <row r="379" spans="2:180" x14ac:dyDescent="0.2">
      <c r="B379" s="114"/>
      <c r="C379" s="114"/>
      <c r="D379" s="114"/>
      <c r="E379" s="114"/>
      <c r="F379" s="114"/>
      <c r="G379" s="114"/>
      <c r="H379" s="116"/>
      <c r="J379" s="116"/>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6"/>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16"/>
    </row>
    <row r="380" spans="2:180" x14ac:dyDescent="0.2">
      <c r="B380" s="114"/>
      <c r="C380" s="114"/>
      <c r="D380" s="114"/>
      <c r="E380" s="114"/>
      <c r="F380" s="114"/>
      <c r="G380" s="114"/>
      <c r="H380" s="116"/>
      <c r="J380" s="116"/>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6"/>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16"/>
    </row>
    <row r="381" spans="2:180" x14ac:dyDescent="0.2">
      <c r="B381" s="114"/>
      <c r="C381" s="114"/>
      <c r="D381" s="114"/>
      <c r="E381" s="114"/>
      <c r="F381" s="114"/>
      <c r="G381" s="114"/>
      <c r="H381" s="116"/>
      <c r="J381" s="116"/>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6"/>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16"/>
    </row>
    <row r="382" spans="2:180" x14ac:dyDescent="0.2">
      <c r="B382" s="114"/>
      <c r="C382" s="114"/>
      <c r="D382" s="114"/>
      <c r="E382" s="114"/>
      <c r="F382" s="114"/>
      <c r="G382" s="114"/>
      <c r="H382" s="116"/>
      <c r="J382" s="116"/>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6"/>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16"/>
    </row>
    <row r="383" spans="2:180" x14ac:dyDescent="0.2">
      <c r="B383" s="114"/>
      <c r="C383" s="114"/>
      <c r="D383" s="114"/>
      <c r="E383" s="114"/>
      <c r="F383" s="114"/>
      <c r="G383" s="114"/>
      <c r="H383" s="116"/>
      <c r="J383" s="116"/>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6"/>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16"/>
    </row>
    <row r="384" spans="2:180" x14ac:dyDescent="0.2">
      <c r="B384" s="114"/>
      <c r="C384" s="114"/>
      <c r="D384" s="114"/>
      <c r="E384" s="114"/>
      <c r="F384" s="114"/>
      <c r="G384" s="114"/>
      <c r="H384" s="116"/>
      <c r="J384" s="116"/>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6"/>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16"/>
    </row>
    <row r="385" spans="2:180" x14ac:dyDescent="0.2">
      <c r="B385" s="114"/>
      <c r="C385" s="114"/>
      <c r="D385" s="114"/>
      <c r="E385" s="114"/>
      <c r="F385" s="114"/>
      <c r="G385" s="114"/>
      <c r="H385" s="116"/>
      <c r="J385" s="116"/>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6"/>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16"/>
    </row>
    <row r="386" spans="2:180" x14ac:dyDescent="0.2">
      <c r="B386" s="114"/>
      <c r="C386" s="114"/>
      <c r="D386" s="114"/>
      <c r="E386" s="114"/>
      <c r="F386" s="114"/>
      <c r="G386" s="114"/>
      <c r="H386" s="116"/>
      <c r="J386" s="116"/>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6"/>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16"/>
    </row>
    <row r="387" spans="2:180" x14ac:dyDescent="0.2">
      <c r="B387" s="114"/>
      <c r="C387" s="114"/>
      <c r="D387" s="114"/>
      <c r="E387" s="114"/>
      <c r="F387" s="114"/>
      <c r="G387" s="114"/>
      <c r="H387" s="116"/>
      <c r="J387" s="116"/>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6"/>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16"/>
    </row>
    <row r="388" spans="2:180" x14ac:dyDescent="0.2">
      <c r="B388" s="114"/>
      <c r="C388" s="114"/>
      <c r="D388" s="114"/>
      <c r="E388" s="114"/>
      <c r="F388" s="114"/>
      <c r="G388" s="114"/>
      <c r="H388" s="116"/>
      <c r="J388" s="116"/>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6"/>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16"/>
    </row>
    <row r="389" spans="2:180" x14ac:dyDescent="0.2">
      <c r="B389" s="114"/>
      <c r="C389" s="114"/>
      <c r="D389" s="114"/>
      <c r="E389" s="114"/>
      <c r="F389" s="114"/>
      <c r="G389" s="114"/>
      <c r="H389" s="116"/>
      <c r="J389" s="116"/>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6"/>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16"/>
    </row>
    <row r="390" spans="2:180" x14ac:dyDescent="0.2">
      <c r="B390" s="114"/>
      <c r="C390" s="114"/>
      <c r="D390" s="114"/>
      <c r="E390" s="114"/>
      <c r="F390" s="114"/>
      <c r="G390" s="114"/>
      <c r="H390" s="116"/>
      <c r="J390" s="116"/>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6"/>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16"/>
    </row>
    <row r="391" spans="2:180" x14ac:dyDescent="0.2">
      <c r="B391" s="114"/>
      <c r="C391" s="114"/>
      <c r="D391" s="114"/>
      <c r="E391" s="114"/>
      <c r="F391" s="114"/>
      <c r="G391" s="114"/>
      <c r="H391" s="116"/>
      <c r="J391" s="116"/>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6"/>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16"/>
    </row>
    <row r="392" spans="2:180" x14ac:dyDescent="0.2">
      <c r="B392" s="114"/>
      <c r="C392" s="114"/>
      <c r="D392" s="114"/>
      <c r="E392" s="114"/>
      <c r="F392" s="114"/>
      <c r="G392" s="114"/>
      <c r="H392" s="116"/>
      <c r="J392" s="116"/>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6"/>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16"/>
    </row>
    <row r="393" spans="2:180" x14ac:dyDescent="0.2">
      <c r="B393" s="114"/>
      <c r="C393" s="114"/>
      <c r="D393" s="114"/>
      <c r="E393" s="114"/>
      <c r="F393" s="114"/>
      <c r="G393" s="114"/>
      <c r="H393" s="116"/>
      <c r="J393" s="116"/>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6"/>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16"/>
    </row>
    <row r="394" spans="2:180" x14ac:dyDescent="0.2">
      <c r="B394" s="114"/>
      <c r="C394" s="114"/>
      <c r="D394" s="114"/>
      <c r="E394" s="114"/>
      <c r="F394" s="114"/>
      <c r="G394" s="114"/>
      <c r="H394" s="116"/>
      <c r="J394" s="116"/>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6"/>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16"/>
    </row>
    <row r="395" spans="2:180" x14ac:dyDescent="0.2">
      <c r="B395" s="114"/>
      <c r="C395" s="114"/>
      <c r="D395" s="114"/>
      <c r="E395" s="114"/>
      <c r="F395" s="114"/>
      <c r="G395" s="114"/>
      <c r="H395" s="116"/>
      <c r="J395" s="116"/>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6"/>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16"/>
    </row>
    <row r="396" spans="2:180" x14ac:dyDescent="0.2">
      <c r="B396" s="114"/>
      <c r="C396" s="114"/>
      <c r="D396" s="114"/>
      <c r="E396" s="114"/>
      <c r="F396" s="114"/>
      <c r="G396" s="114"/>
      <c r="H396" s="116"/>
      <c r="J396" s="116"/>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6"/>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16"/>
    </row>
    <row r="397" spans="2:180" x14ac:dyDescent="0.2">
      <c r="B397" s="114"/>
      <c r="C397" s="114"/>
      <c r="D397" s="114"/>
      <c r="E397" s="114"/>
      <c r="F397" s="114"/>
      <c r="G397" s="114"/>
      <c r="H397" s="116"/>
      <c r="J397" s="116"/>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6"/>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16"/>
    </row>
    <row r="398" spans="2:180" x14ac:dyDescent="0.2">
      <c r="B398" s="114"/>
      <c r="C398" s="114"/>
      <c r="D398" s="114"/>
      <c r="E398" s="114"/>
      <c r="F398" s="114"/>
      <c r="G398" s="114"/>
      <c r="H398" s="116"/>
      <c r="J398" s="116"/>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6"/>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16"/>
    </row>
    <row r="399" spans="2:180" x14ac:dyDescent="0.2">
      <c r="B399" s="114"/>
      <c r="C399" s="114"/>
      <c r="D399" s="114"/>
      <c r="E399" s="114"/>
      <c r="F399" s="114"/>
      <c r="G399" s="114"/>
      <c r="H399" s="116"/>
      <c r="J399" s="116"/>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6"/>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16"/>
    </row>
    <row r="400" spans="2:180" x14ac:dyDescent="0.2">
      <c r="B400" s="114"/>
      <c r="C400" s="114"/>
      <c r="D400" s="114"/>
      <c r="E400" s="114"/>
      <c r="F400" s="114"/>
      <c r="G400" s="114"/>
      <c r="H400" s="116"/>
      <c r="J400" s="116"/>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6"/>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16"/>
    </row>
    <row r="401" spans="2:180" x14ac:dyDescent="0.2">
      <c r="B401" s="114"/>
      <c r="C401" s="114"/>
      <c r="D401" s="114"/>
      <c r="E401" s="114"/>
      <c r="F401" s="114"/>
      <c r="G401" s="114"/>
      <c r="H401" s="116"/>
      <c r="J401" s="116"/>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6"/>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16"/>
    </row>
    <row r="402" spans="2:180" x14ac:dyDescent="0.2">
      <c r="B402" s="114"/>
      <c r="C402" s="114"/>
      <c r="D402" s="114"/>
      <c r="E402" s="114"/>
      <c r="F402" s="114"/>
      <c r="G402" s="114"/>
      <c r="H402" s="116"/>
      <c r="J402" s="116"/>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6"/>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16"/>
    </row>
    <row r="403" spans="2:180" x14ac:dyDescent="0.2">
      <c r="B403" s="114"/>
      <c r="C403" s="114"/>
      <c r="D403" s="114"/>
      <c r="E403" s="114"/>
      <c r="F403" s="114"/>
      <c r="G403" s="114"/>
      <c r="H403" s="116"/>
      <c r="J403" s="116"/>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6"/>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16"/>
    </row>
    <row r="404" spans="2:180" x14ac:dyDescent="0.2">
      <c r="B404" s="114"/>
      <c r="C404" s="114"/>
      <c r="D404" s="114"/>
      <c r="E404" s="114"/>
      <c r="F404" s="114"/>
      <c r="G404" s="114"/>
      <c r="H404" s="116"/>
      <c r="J404" s="116"/>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6"/>
      <c r="CR404" s="104"/>
      <c r="CS404" s="104"/>
      <c r="CT404" s="104"/>
      <c r="CU404" s="104"/>
      <c r="CV404" s="104"/>
      <c r="CW404" s="104"/>
      <c r="CX404" s="104"/>
      <c r="CY404" s="104"/>
      <c r="CZ404" s="104"/>
      <c r="DA404" s="104"/>
      <c r="DB404" s="104"/>
      <c r="DC404" s="104"/>
      <c r="DD404" s="104"/>
      <c r="DE404" s="104"/>
      <c r="DF404" s="104"/>
      <c r="DG404" s="104"/>
      <c r="DH404" s="104"/>
      <c r="DI404" s="104"/>
      <c r="DJ404" s="104"/>
      <c r="DK404" s="104"/>
      <c r="DL404" s="104"/>
      <c r="DM404" s="104"/>
      <c r="DN404" s="104"/>
      <c r="DO404" s="104"/>
      <c r="DP404" s="104"/>
      <c r="DQ404" s="104"/>
      <c r="DR404" s="104"/>
      <c r="DS404" s="104"/>
      <c r="DT404" s="104"/>
      <c r="DU404" s="104"/>
      <c r="DV404" s="104"/>
      <c r="DW404" s="104"/>
      <c r="DX404" s="104"/>
      <c r="DY404" s="104"/>
      <c r="DZ404" s="104"/>
      <c r="EA404" s="104"/>
      <c r="EB404" s="104"/>
      <c r="EC404" s="104"/>
      <c r="ED404" s="104"/>
      <c r="EE404" s="104"/>
      <c r="EF404" s="104"/>
      <c r="EG404" s="104"/>
      <c r="EH404" s="104"/>
      <c r="EI404" s="104"/>
      <c r="EJ404" s="104"/>
      <c r="EK404" s="104"/>
      <c r="EL404" s="104"/>
      <c r="EM404" s="104"/>
      <c r="EN404" s="104"/>
      <c r="EO404" s="104"/>
      <c r="EP404" s="104"/>
      <c r="EQ404" s="104"/>
      <c r="ER404" s="104"/>
      <c r="ES404" s="104"/>
      <c r="ET404" s="104"/>
      <c r="EU404" s="104"/>
      <c r="EV404" s="104"/>
      <c r="EW404" s="104"/>
      <c r="EX404" s="104"/>
      <c r="EY404" s="104"/>
      <c r="EZ404" s="104"/>
      <c r="FA404" s="104"/>
      <c r="FB404" s="104"/>
      <c r="FC404" s="104"/>
      <c r="FD404" s="104"/>
      <c r="FE404" s="104"/>
      <c r="FF404" s="104"/>
      <c r="FG404" s="104"/>
      <c r="FH404" s="104"/>
      <c r="FI404" s="104"/>
      <c r="FJ404" s="104"/>
      <c r="FK404" s="104"/>
      <c r="FL404" s="104"/>
      <c r="FM404" s="104"/>
      <c r="FN404" s="104"/>
      <c r="FO404" s="104"/>
      <c r="FP404" s="104"/>
      <c r="FQ404" s="104"/>
      <c r="FR404" s="104"/>
      <c r="FS404" s="104"/>
      <c r="FT404" s="104"/>
      <c r="FU404" s="104"/>
      <c r="FV404" s="104"/>
      <c r="FW404" s="104"/>
      <c r="FX404" s="116"/>
    </row>
    <row r="405" spans="2:180" x14ac:dyDescent="0.2">
      <c r="B405" s="114"/>
      <c r="C405" s="114"/>
      <c r="D405" s="114"/>
      <c r="E405" s="114"/>
      <c r="F405" s="114"/>
      <c r="G405" s="114"/>
      <c r="H405" s="116"/>
      <c r="J405" s="116"/>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6"/>
      <c r="CR405" s="104"/>
      <c r="CS405" s="104"/>
      <c r="CT405" s="104"/>
      <c r="CU405" s="104"/>
      <c r="CV405" s="104"/>
      <c r="CW405" s="104"/>
      <c r="CX405" s="104"/>
      <c r="CY405" s="104"/>
      <c r="CZ405" s="104"/>
      <c r="DA405" s="104"/>
      <c r="DB405" s="104"/>
      <c r="DC405" s="104"/>
      <c r="DD405" s="104"/>
      <c r="DE405" s="104"/>
      <c r="DF405" s="104"/>
      <c r="DG405" s="104"/>
      <c r="DH405" s="104"/>
      <c r="DI405" s="104"/>
      <c r="DJ405" s="104"/>
      <c r="DK405" s="104"/>
      <c r="DL405" s="104"/>
      <c r="DM405" s="104"/>
      <c r="DN405" s="104"/>
      <c r="DO405" s="104"/>
      <c r="DP405" s="104"/>
      <c r="DQ405" s="104"/>
      <c r="DR405" s="104"/>
      <c r="DS405" s="104"/>
      <c r="DT405" s="104"/>
      <c r="DU405" s="104"/>
      <c r="DV405" s="104"/>
      <c r="DW405" s="104"/>
      <c r="DX405" s="104"/>
      <c r="DY405" s="104"/>
      <c r="DZ405" s="104"/>
      <c r="EA405" s="104"/>
      <c r="EB405" s="104"/>
      <c r="EC405" s="104"/>
      <c r="ED405" s="104"/>
      <c r="EE405" s="104"/>
      <c r="EF405" s="104"/>
      <c r="EG405" s="104"/>
      <c r="EH405" s="104"/>
      <c r="EI405" s="104"/>
      <c r="EJ405" s="104"/>
      <c r="EK405" s="104"/>
      <c r="EL405" s="104"/>
      <c r="EM405" s="104"/>
      <c r="EN405" s="104"/>
      <c r="EO405" s="104"/>
      <c r="EP405" s="104"/>
      <c r="EQ405" s="104"/>
      <c r="ER405" s="104"/>
      <c r="ES405" s="104"/>
      <c r="ET405" s="104"/>
      <c r="EU405" s="104"/>
      <c r="EV405" s="104"/>
      <c r="EW405" s="104"/>
      <c r="EX405" s="104"/>
      <c r="EY405" s="104"/>
      <c r="EZ405" s="104"/>
      <c r="FA405" s="104"/>
      <c r="FB405" s="104"/>
      <c r="FC405" s="104"/>
      <c r="FD405" s="104"/>
      <c r="FE405" s="104"/>
      <c r="FF405" s="104"/>
      <c r="FG405" s="104"/>
      <c r="FH405" s="104"/>
      <c r="FI405" s="104"/>
      <c r="FJ405" s="104"/>
      <c r="FK405" s="104"/>
      <c r="FL405" s="104"/>
      <c r="FM405" s="104"/>
      <c r="FN405" s="104"/>
      <c r="FO405" s="104"/>
      <c r="FP405" s="104"/>
      <c r="FQ405" s="104"/>
      <c r="FR405" s="104"/>
      <c r="FS405" s="104"/>
      <c r="FT405" s="104"/>
      <c r="FU405" s="104"/>
      <c r="FV405" s="104"/>
      <c r="FW405" s="104"/>
      <c r="FX405" s="116"/>
    </row>
    <row r="406" spans="2:180" x14ac:dyDescent="0.2">
      <c r="B406" s="114"/>
      <c r="C406" s="114"/>
      <c r="D406" s="114"/>
      <c r="E406" s="114"/>
      <c r="F406" s="114"/>
      <c r="G406" s="114"/>
      <c r="H406" s="116"/>
      <c r="J406" s="116"/>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6"/>
      <c r="CR406" s="104"/>
      <c r="CS406" s="104"/>
      <c r="CT406" s="104"/>
      <c r="CU406" s="104"/>
      <c r="CV406" s="104"/>
      <c r="CW406" s="104"/>
      <c r="CX406" s="104"/>
      <c r="CY406" s="104"/>
      <c r="CZ406" s="104"/>
      <c r="DA406" s="104"/>
      <c r="DB406" s="104"/>
      <c r="DC406" s="104"/>
      <c r="DD406" s="104"/>
      <c r="DE406" s="104"/>
      <c r="DF406" s="104"/>
      <c r="DG406" s="104"/>
      <c r="DH406" s="104"/>
      <c r="DI406" s="104"/>
      <c r="DJ406" s="104"/>
      <c r="DK406" s="104"/>
      <c r="DL406" s="104"/>
      <c r="DM406" s="104"/>
      <c r="DN406" s="104"/>
      <c r="DO406" s="104"/>
      <c r="DP406" s="104"/>
      <c r="DQ406" s="104"/>
      <c r="DR406" s="104"/>
      <c r="DS406" s="104"/>
      <c r="DT406" s="104"/>
      <c r="DU406" s="104"/>
      <c r="DV406" s="104"/>
      <c r="DW406" s="104"/>
      <c r="DX406" s="104"/>
      <c r="DY406" s="104"/>
      <c r="DZ406" s="104"/>
      <c r="EA406" s="104"/>
      <c r="EB406" s="104"/>
      <c r="EC406" s="104"/>
      <c r="ED406" s="104"/>
      <c r="EE406" s="104"/>
      <c r="EF406" s="104"/>
      <c r="EG406" s="104"/>
      <c r="EH406" s="104"/>
      <c r="EI406" s="104"/>
      <c r="EJ406" s="104"/>
      <c r="EK406" s="104"/>
      <c r="EL406" s="104"/>
      <c r="EM406" s="104"/>
      <c r="EN406" s="104"/>
      <c r="EO406" s="104"/>
      <c r="EP406" s="104"/>
      <c r="EQ406" s="104"/>
      <c r="ER406" s="104"/>
      <c r="ES406" s="104"/>
      <c r="ET406" s="104"/>
      <c r="EU406" s="104"/>
      <c r="EV406" s="104"/>
      <c r="EW406" s="104"/>
      <c r="EX406" s="104"/>
      <c r="EY406" s="104"/>
      <c r="EZ406" s="104"/>
      <c r="FA406" s="104"/>
      <c r="FB406" s="104"/>
      <c r="FC406" s="104"/>
      <c r="FD406" s="104"/>
      <c r="FE406" s="104"/>
      <c r="FF406" s="104"/>
      <c r="FG406" s="104"/>
      <c r="FH406" s="104"/>
      <c r="FI406" s="104"/>
      <c r="FJ406" s="104"/>
      <c r="FK406" s="104"/>
      <c r="FL406" s="104"/>
      <c r="FM406" s="104"/>
      <c r="FN406" s="104"/>
      <c r="FO406" s="104"/>
      <c r="FP406" s="104"/>
      <c r="FQ406" s="104"/>
      <c r="FR406" s="104"/>
      <c r="FS406" s="104"/>
      <c r="FT406" s="104"/>
      <c r="FU406" s="104"/>
      <c r="FV406" s="104"/>
      <c r="FW406" s="104"/>
      <c r="FX406" s="116"/>
    </row>
    <row r="407" spans="2:180" x14ac:dyDescent="0.2">
      <c r="B407" s="114"/>
      <c r="C407" s="114"/>
      <c r="D407" s="114"/>
      <c r="E407" s="114"/>
      <c r="F407" s="114"/>
      <c r="G407" s="114"/>
      <c r="H407" s="116"/>
      <c r="J407" s="116"/>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6"/>
      <c r="CR407" s="104"/>
      <c r="CS407" s="104"/>
      <c r="CT407" s="104"/>
      <c r="CU407" s="104"/>
      <c r="CV407" s="104"/>
      <c r="CW407" s="104"/>
      <c r="CX407" s="104"/>
      <c r="CY407" s="104"/>
      <c r="CZ407" s="104"/>
      <c r="DA407" s="104"/>
      <c r="DB407" s="104"/>
      <c r="DC407" s="104"/>
      <c r="DD407" s="104"/>
      <c r="DE407" s="104"/>
      <c r="DF407" s="104"/>
      <c r="DG407" s="104"/>
      <c r="DH407" s="104"/>
      <c r="DI407" s="104"/>
      <c r="DJ407" s="104"/>
      <c r="DK407" s="104"/>
      <c r="DL407" s="104"/>
      <c r="DM407" s="104"/>
      <c r="DN407" s="104"/>
      <c r="DO407" s="104"/>
      <c r="DP407" s="104"/>
      <c r="DQ407" s="104"/>
      <c r="DR407" s="104"/>
      <c r="DS407" s="104"/>
      <c r="DT407" s="104"/>
      <c r="DU407" s="104"/>
      <c r="DV407" s="104"/>
      <c r="DW407" s="104"/>
      <c r="DX407" s="104"/>
      <c r="DY407" s="104"/>
      <c r="DZ407" s="104"/>
      <c r="EA407" s="104"/>
      <c r="EB407" s="104"/>
      <c r="EC407" s="104"/>
      <c r="ED407" s="104"/>
      <c r="EE407" s="104"/>
      <c r="EF407" s="104"/>
      <c r="EG407" s="104"/>
      <c r="EH407" s="104"/>
      <c r="EI407" s="104"/>
      <c r="EJ407" s="104"/>
      <c r="EK407" s="104"/>
      <c r="EL407" s="104"/>
      <c r="EM407" s="104"/>
      <c r="EN407" s="104"/>
      <c r="EO407" s="104"/>
      <c r="EP407" s="104"/>
      <c r="EQ407" s="104"/>
      <c r="ER407" s="104"/>
      <c r="ES407" s="104"/>
      <c r="ET407" s="104"/>
      <c r="EU407" s="104"/>
      <c r="EV407" s="104"/>
      <c r="EW407" s="104"/>
      <c r="EX407" s="104"/>
      <c r="EY407" s="104"/>
      <c r="EZ407" s="104"/>
      <c r="FA407" s="104"/>
      <c r="FB407" s="104"/>
      <c r="FC407" s="104"/>
      <c r="FD407" s="104"/>
      <c r="FE407" s="104"/>
      <c r="FF407" s="104"/>
      <c r="FG407" s="104"/>
      <c r="FH407" s="104"/>
      <c r="FI407" s="104"/>
      <c r="FJ407" s="104"/>
      <c r="FK407" s="104"/>
      <c r="FL407" s="104"/>
      <c r="FM407" s="104"/>
      <c r="FN407" s="104"/>
      <c r="FO407" s="104"/>
      <c r="FP407" s="104"/>
      <c r="FQ407" s="104"/>
      <c r="FR407" s="104"/>
      <c r="FS407" s="104"/>
      <c r="FT407" s="104"/>
      <c r="FU407" s="104"/>
      <c r="FV407" s="104"/>
      <c r="FW407" s="104"/>
      <c r="FX407" s="116"/>
    </row>
    <row r="408" spans="2:180" x14ac:dyDescent="0.2">
      <c r="B408" s="114"/>
      <c r="C408" s="114"/>
      <c r="D408" s="114"/>
      <c r="E408" s="114"/>
      <c r="F408" s="114"/>
      <c r="G408" s="114"/>
      <c r="H408" s="116"/>
      <c r="J408" s="116"/>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6"/>
      <c r="CR408" s="104"/>
      <c r="CS408" s="104"/>
      <c r="CT408" s="104"/>
      <c r="CU408" s="104"/>
      <c r="CV408" s="104"/>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04"/>
      <c r="EE408" s="104"/>
      <c r="EF408" s="104"/>
      <c r="EG408" s="104"/>
      <c r="EH408" s="104"/>
      <c r="EI408" s="104"/>
      <c r="EJ408" s="104"/>
      <c r="EK408" s="104"/>
      <c r="EL408" s="104"/>
      <c r="EM408" s="104"/>
      <c r="EN408" s="104"/>
      <c r="EO408" s="104"/>
      <c r="EP408" s="104"/>
      <c r="EQ408" s="104"/>
      <c r="ER408" s="104"/>
      <c r="ES408" s="104"/>
      <c r="ET408" s="104"/>
      <c r="EU408" s="104"/>
      <c r="EV408" s="104"/>
      <c r="EW408" s="104"/>
      <c r="EX408" s="104"/>
      <c r="EY408" s="104"/>
      <c r="EZ408" s="104"/>
      <c r="FA408" s="104"/>
      <c r="FB408" s="104"/>
      <c r="FC408" s="104"/>
      <c r="FD408" s="104"/>
      <c r="FE408" s="104"/>
      <c r="FF408" s="104"/>
      <c r="FG408" s="104"/>
      <c r="FH408" s="104"/>
      <c r="FI408" s="104"/>
      <c r="FJ408" s="104"/>
      <c r="FK408" s="104"/>
      <c r="FL408" s="104"/>
      <c r="FM408" s="104"/>
      <c r="FN408" s="104"/>
      <c r="FO408" s="104"/>
      <c r="FP408" s="104"/>
      <c r="FQ408" s="104"/>
      <c r="FR408" s="104"/>
      <c r="FS408" s="104"/>
      <c r="FT408" s="104"/>
      <c r="FU408" s="104"/>
      <c r="FV408" s="104"/>
      <c r="FW408" s="104"/>
      <c r="FX408" s="116"/>
    </row>
    <row r="409" spans="2:180" x14ac:dyDescent="0.2">
      <c r="B409" s="114"/>
      <c r="C409" s="114"/>
      <c r="D409" s="114"/>
      <c r="E409" s="114"/>
      <c r="F409" s="114"/>
      <c r="G409" s="114"/>
      <c r="H409" s="116"/>
      <c r="J409" s="116"/>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6"/>
      <c r="CR409" s="104"/>
      <c r="CS409" s="104"/>
      <c r="CT409" s="104"/>
      <c r="CU409" s="104"/>
      <c r="CV409" s="104"/>
      <c r="CW409" s="104"/>
      <c r="CX409" s="104"/>
      <c r="CY409" s="104"/>
      <c r="CZ409" s="104"/>
      <c r="DA409" s="104"/>
      <c r="DB409" s="104"/>
      <c r="DC409" s="104"/>
      <c r="DD409" s="104"/>
      <c r="DE409" s="104"/>
      <c r="DF409" s="104"/>
      <c r="DG409" s="104"/>
      <c r="DH409" s="104"/>
      <c r="DI409" s="104"/>
      <c r="DJ409" s="104"/>
      <c r="DK409" s="104"/>
      <c r="DL409" s="104"/>
      <c r="DM409" s="104"/>
      <c r="DN409" s="104"/>
      <c r="DO409" s="104"/>
      <c r="DP409" s="104"/>
      <c r="DQ409" s="104"/>
      <c r="DR409" s="104"/>
      <c r="DS409" s="104"/>
      <c r="DT409" s="104"/>
      <c r="DU409" s="104"/>
      <c r="DV409" s="104"/>
      <c r="DW409" s="104"/>
      <c r="DX409" s="104"/>
      <c r="DY409" s="104"/>
      <c r="DZ409" s="104"/>
      <c r="EA409" s="104"/>
      <c r="EB409" s="104"/>
      <c r="EC409" s="104"/>
      <c r="ED409" s="104"/>
      <c r="EE409" s="104"/>
      <c r="EF409" s="104"/>
      <c r="EG409" s="104"/>
      <c r="EH409" s="104"/>
      <c r="EI409" s="104"/>
      <c r="EJ409" s="104"/>
      <c r="EK409" s="104"/>
      <c r="EL409" s="104"/>
      <c r="EM409" s="104"/>
      <c r="EN409" s="104"/>
      <c r="EO409" s="104"/>
      <c r="EP409" s="104"/>
      <c r="EQ409" s="104"/>
      <c r="ER409" s="104"/>
      <c r="ES409" s="104"/>
      <c r="ET409" s="104"/>
      <c r="EU409" s="104"/>
      <c r="EV409" s="104"/>
      <c r="EW409" s="104"/>
      <c r="EX409" s="104"/>
      <c r="EY409" s="104"/>
      <c r="EZ409" s="104"/>
      <c r="FA409" s="104"/>
      <c r="FB409" s="104"/>
      <c r="FC409" s="104"/>
      <c r="FD409" s="104"/>
      <c r="FE409" s="104"/>
      <c r="FF409" s="104"/>
      <c r="FG409" s="104"/>
      <c r="FH409" s="104"/>
      <c r="FI409" s="104"/>
      <c r="FJ409" s="104"/>
      <c r="FK409" s="104"/>
      <c r="FL409" s="104"/>
      <c r="FM409" s="104"/>
      <c r="FN409" s="104"/>
      <c r="FO409" s="104"/>
      <c r="FP409" s="104"/>
      <c r="FQ409" s="104"/>
      <c r="FR409" s="104"/>
      <c r="FS409" s="104"/>
      <c r="FT409" s="104"/>
      <c r="FU409" s="104"/>
      <c r="FV409" s="104"/>
      <c r="FW409" s="104"/>
      <c r="FX409" s="116"/>
    </row>
    <row r="410" spans="2:180" x14ac:dyDescent="0.2">
      <c r="B410" s="114"/>
      <c r="C410" s="114"/>
      <c r="D410" s="114"/>
      <c r="E410" s="114"/>
      <c r="F410" s="114"/>
      <c r="G410" s="114"/>
      <c r="H410" s="116"/>
      <c r="J410" s="116"/>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6"/>
      <c r="CR410" s="104"/>
      <c r="CS410" s="104"/>
      <c r="CT410" s="104"/>
      <c r="CU410" s="104"/>
      <c r="CV410" s="104"/>
      <c r="CW410" s="104"/>
      <c r="CX410" s="104"/>
      <c r="CY410" s="104"/>
      <c r="CZ410" s="104"/>
      <c r="DA410" s="104"/>
      <c r="DB410" s="104"/>
      <c r="DC410" s="104"/>
      <c r="DD410" s="104"/>
      <c r="DE410" s="104"/>
      <c r="DF410" s="104"/>
      <c r="DG410" s="104"/>
      <c r="DH410" s="104"/>
      <c r="DI410" s="104"/>
      <c r="DJ410" s="104"/>
      <c r="DK410" s="104"/>
      <c r="DL410" s="104"/>
      <c r="DM410" s="104"/>
      <c r="DN410" s="104"/>
      <c r="DO410" s="104"/>
      <c r="DP410" s="104"/>
      <c r="DQ410" s="104"/>
      <c r="DR410" s="104"/>
      <c r="DS410" s="104"/>
      <c r="DT410" s="104"/>
      <c r="DU410" s="104"/>
      <c r="DV410" s="104"/>
      <c r="DW410" s="104"/>
      <c r="DX410" s="104"/>
      <c r="DY410" s="104"/>
      <c r="DZ410" s="104"/>
      <c r="EA410" s="104"/>
      <c r="EB410" s="104"/>
      <c r="EC410" s="104"/>
      <c r="ED410" s="104"/>
      <c r="EE410" s="104"/>
      <c r="EF410" s="104"/>
      <c r="EG410" s="104"/>
      <c r="EH410" s="104"/>
      <c r="EI410" s="104"/>
      <c r="EJ410" s="104"/>
      <c r="EK410" s="104"/>
      <c r="EL410" s="104"/>
      <c r="EM410" s="104"/>
      <c r="EN410" s="104"/>
      <c r="EO410" s="104"/>
      <c r="EP410" s="104"/>
      <c r="EQ410" s="104"/>
      <c r="ER410" s="104"/>
      <c r="ES410" s="104"/>
      <c r="ET410" s="104"/>
      <c r="EU410" s="104"/>
      <c r="EV410" s="104"/>
      <c r="EW410" s="104"/>
      <c r="EX410" s="104"/>
      <c r="EY410" s="104"/>
      <c r="EZ410" s="104"/>
      <c r="FA410" s="104"/>
      <c r="FB410" s="104"/>
      <c r="FC410" s="104"/>
      <c r="FD410" s="104"/>
      <c r="FE410" s="104"/>
      <c r="FF410" s="104"/>
      <c r="FG410" s="104"/>
      <c r="FH410" s="104"/>
      <c r="FI410" s="104"/>
      <c r="FJ410" s="104"/>
      <c r="FK410" s="104"/>
      <c r="FL410" s="104"/>
      <c r="FM410" s="104"/>
      <c r="FN410" s="104"/>
      <c r="FO410" s="104"/>
      <c r="FP410" s="104"/>
      <c r="FQ410" s="104"/>
      <c r="FR410" s="104"/>
      <c r="FS410" s="104"/>
      <c r="FT410" s="104"/>
      <c r="FU410" s="104"/>
      <c r="FV410" s="104"/>
      <c r="FW410" s="104"/>
      <c r="FX410" s="116"/>
    </row>
    <row r="411" spans="2:180" x14ac:dyDescent="0.2">
      <c r="B411" s="114"/>
      <c r="C411" s="114"/>
      <c r="D411" s="114"/>
      <c r="E411" s="114"/>
      <c r="F411" s="114"/>
      <c r="G411" s="114"/>
      <c r="H411" s="116"/>
      <c r="J411" s="116"/>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6"/>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4"/>
      <c r="FU411" s="104"/>
      <c r="FV411" s="104"/>
      <c r="FW411" s="104"/>
      <c r="FX411" s="116"/>
    </row>
    <row r="412" spans="2:180" x14ac:dyDescent="0.2">
      <c r="B412" s="114"/>
      <c r="C412" s="114"/>
      <c r="D412" s="114"/>
      <c r="E412" s="114"/>
      <c r="F412" s="114"/>
      <c r="G412" s="114"/>
      <c r="H412" s="116"/>
      <c r="J412" s="116"/>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6"/>
      <c r="CR412" s="104"/>
      <c r="CS412" s="104"/>
      <c r="CT412" s="104"/>
      <c r="CU412" s="104"/>
      <c r="CV412" s="104"/>
      <c r="CW412" s="104"/>
      <c r="CX412" s="104"/>
      <c r="CY412" s="104"/>
      <c r="CZ412" s="104"/>
      <c r="DA412" s="104"/>
      <c r="DB412" s="104"/>
      <c r="DC412" s="104"/>
      <c r="DD412" s="104"/>
      <c r="DE412" s="104"/>
      <c r="DF412" s="104"/>
      <c r="DG412" s="104"/>
      <c r="DH412" s="104"/>
      <c r="DI412" s="104"/>
      <c r="DJ412" s="104"/>
      <c r="DK412" s="104"/>
      <c r="DL412" s="104"/>
      <c r="DM412" s="104"/>
      <c r="DN412" s="104"/>
      <c r="DO412" s="104"/>
      <c r="DP412" s="104"/>
      <c r="DQ412" s="104"/>
      <c r="DR412" s="104"/>
      <c r="DS412" s="104"/>
      <c r="DT412" s="104"/>
      <c r="DU412" s="104"/>
      <c r="DV412" s="104"/>
      <c r="DW412" s="104"/>
      <c r="DX412" s="104"/>
      <c r="DY412" s="104"/>
      <c r="DZ412" s="104"/>
      <c r="EA412" s="104"/>
      <c r="EB412" s="104"/>
      <c r="EC412" s="104"/>
      <c r="ED412" s="104"/>
      <c r="EE412" s="104"/>
      <c r="EF412" s="104"/>
      <c r="EG412" s="104"/>
      <c r="EH412" s="104"/>
      <c r="EI412" s="104"/>
      <c r="EJ412" s="104"/>
      <c r="EK412" s="104"/>
      <c r="EL412" s="104"/>
      <c r="EM412" s="104"/>
      <c r="EN412" s="104"/>
      <c r="EO412" s="104"/>
      <c r="EP412" s="104"/>
      <c r="EQ412" s="104"/>
      <c r="ER412" s="104"/>
      <c r="ES412" s="104"/>
      <c r="ET412" s="104"/>
      <c r="EU412" s="104"/>
      <c r="EV412" s="104"/>
      <c r="EW412" s="104"/>
      <c r="EX412" s="104"/>
      <c r="EY412" s="104"/>
      <c r="EZ412" s="104"/>
      <c r="FA412" s="104"/>
      <c r="FB412" s="104"/>
      <c r="FC412" s="104"/>
      <c r="FD412" s="104"/>
      <c r="FE412" s="104"/>
      <c r="FF412" s="104"/>
      <c r="FG412" s="104"/>
      <c r="FH412" s="104"/>
      <c r="FI412" s="104"/>
      <c r="FJ412" s="104"/>
      <c r="FK412" s="104"/>
      <c r="FL412" s="104"/>
      <c r="FM412" s="104"/>
      <c r="FN412" s="104"/>
      <c r="FO412" s="104"/>
      <c r="FP412" s="104"/>
      <c r="FQ412" s="104"/>
      <c r="FR412" s="104"/>
      <c r="FS412" s="104"/>
      <c r="FT412" s="104"/>
      <c r="FU412" s="104"/>
      <c r="FV412" s="104"/>
      <c r="FW412" s="104"/>
      <c r="FX412" s="116"/>
    </row>
    <row r="413" spans="2:180" x14ac:dyDescent="0.2">
      <c r="B413" s="114"/>
      <c r="C413" s="114"/>
      <c r="D413" s="114"/>
      <c r="E413" s="114"/>
      <c r="F413" s="114"/>
      <c r="G413" s="114"/>
      <c r="H413" s="116"/>
      <c r="J413" s="116"/>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6"/>
      <c r="CR413" s="104"/>
      <c r="CS413" s="104"/>
      <c r="CT413" s="104"/>
      <c r="CU413" s="104"/>
      <c r="CV413" s="104"/>
      <c r="CW413" s="104"/>
      <c r="CX413" s="104"/>
      <c r="CY413" s="104"/>
      <c r="CZ413" s="104"/>
      <c r="DA413" s="104"/>
      <c r="DB413" s="104"/>
      <c r="DC413" s="104"/>
      <c r="DD413" s="104"/>
      <c r="DE413" s="104"/>
      <c r="DF413" s="104"/>
      <c r="DG413" s="104"/>
      <c r="DH413" s="104"/>
      <c r="DI413" s="104"/>
      <c r="DJ413" s="104"/>
      <c r="DK413" s="104"/>
      <c r="DL413" s="104"/>
      <c r="DM413" s="104"/>
      <c r="DN413" s="104"/>
      <c r="DO413" s="104"/>
      <c r="DP413" s="104"/>
      <c r="DQ413" s="104"/>
      <c r="DR413" s="104"/>
      <c r="DS413" s="104"/>
      <c r="DT413" s="104"/>
      <c r="DU413" s="104"/>
      <c r="DV413" s="104"/>
      <c r="DW413" s="104"/>
      <c r="DX413" s="104"/>
      <c r="DY413" s="104"/>
      <c r="DZ413" s="104"/>
      <c r="EA413" s="104"/>
      <c r="EB413" s="104"/>
      <c r="EC413" s="104"/>
      <c r="ED413" s="104"/>
      <c r="EE413" s="104"/>
      <c r="EF413" s="104"/>
      <c r="EG413" s="104"/>
      <c r="EH413" s="104"/>
      <c r="EI413" s="104"/>
      <c r="EJ413" s="104"/>
      <c r="EK413" s="104"/>
      <c r="EL413" s="104"/>
      <c r="EM413" s="104"/>
      <c r="EN413" s="104"/>
      <c r="EO413" s="104"/>
      <c r="EP413" s="104"/>
      <c r="EQ413" s="104"/>
      <c r="ER413" s="104"/>
      <c r="ES413" s="104"/>
      <c r="ET413" s="104"/>
      <c r="EU413" s="104"/>
      <c r="EV413" s="104"/>
      <c r="EW413" s="104"/>
      <c r="EX413" s="104"/>
      <c r="EY413" s="104"/>
      <c r="EZ413" s="104"/>
      <c r="FA413" s="104"/>
      <c r="FB413" s="104"/>
      <c r="FC413" s="104"/>
      <c r="FD413" s="104"/>
      <c r="FE413" s="104"/>
      <c r="FF413" s="104"/>
      <c r="FG413" s="104"/>
      <c r="FH413" s="104"/>
      <c r="FI413" s="104"/>
      <c r="FJ413" s="104"/>
      <c r="FK413" s="104"/>
      <c r="FL413" s="104"/>
      <c r="FM413" s="104"/>
      <c r="FN413" s="104"/>
      <c r="FO413" s="104"/>
      <c r="FP413" s="104"/>
      <c r="FQ413" s="104"/>
      <c r="FR413" s="104"/>
      <c r="FS413" s="104"/>
      <c r="FT413" s="104"/>
      <c r="FU413" s="104"/>
      <c r="FV413" s="104"/>
      <c r="FW413" s="104"/>
      <c r="FX413" s="116"/>
    </row>
    <row r="414" spans="2:180" x14ac:dyDescent="0.2">
      <c r="B414" s="114"/>
      <c r="C414" s="114"/>
      <c r="D414" s="114"/>
      <c r="E414" s="114"/>
      <c r="F414" s="114"/>
      <c r="G414" s="114"/>
      <c r="H414" s="116"/>
      <c r="J414" s="116"/>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6"/>
      <c r="CR414" s="104"/>
      <c r="CS414" s="104"/>
      <c r="CT414" s="104"/>
      <c r="CU414" s="104"/>
      <c r="CV414" s="104"/>
      <c r="CW414" s="104"/>
      <c r="CX414" s="104"/>
      <c r="CY414" s="104"/>
      <c r="CZ414" s="104"/>
      <c r="DA414" s="104"/>
      <c r="DB414" s="104"/>
      <c r="DC414" s="104"/>
      <c r="DD414" s="104"/>
      <c r="DE414" s="104"/>
      <c r="DF414" s="104"/>
      <c r="DG414" s="104"/>
      <c r="DH414" s="104"/>
      <c r="DI414" s="104"/>
      <c r="DJ414" s="104"/>
      <c r="DK414" s="104"/>
      <c r="DL414" s="104"/>
      <c r="DM414" s="104"/>
      <c r="DN414" s="104"/>
      <c r="DO414" s="104"/>
      <c r="DP414" s="104"/>
      <c r="DQ414" s="104"/>
      <c r="DR414" s="104"/>
      <c r="DS414" s="104"/>
      <c r="DT414" s="104"/>
      <c r="DU414" s="104"/>
      <c r="DV414" s="104"/>
      <c r="DW414" s="104"/>
      <c r="DX414" s="104"/>
      <c r="DY414" s="104"/>
      <c r="DZ414" s="104"/>
      <c r="EA414" s="104"/>
      <c r="EB414" s="104"/>
      <c r="EC414" s="104"/>
      <c r="ED414" s="104"/>
      <c r="EE414" s="104"/>
      <c r="EF414" s="104"/>
      <c r="EG414" s="104"/>
      <c r="EH414" s="104"/>
      <c r="EI414" s="104"/>
      <c r="EJ414" s="104"/>
      <c r="EK414" s="104"/>
      <c r="EL414" s="104"/>
      <c r="EM414" s="104"/>
      <c r="EN414" s="104"/>
      <c r="EO414" s="104"/>
      <c r="EP414" s="104"/>
      <c r="EQ414" s="104"/>
      <c r="ER414" s="104"/>
      <c r="ES414" s="104"/>
      <c r="ET414" s="104"/>
      <c r="EU414" s="104"/>
      <c r="EV414" s="104"/>
      <c r="EW414" s="104"/>
      <c r="EX414" s="104"/>
      <c r="EY414" s="104"/>
      <c r="EZ414" s="104"/>
      <c r="FA414" s="104"/>
      <c r="FB414" s="104"/>
      <c r="FC414" s="104"/>
      <c r="FD414" s="104"/>
      <c r="FE414" s="104"/>
      <c r="FF414" s="104"/>
      <c r="FG414" s="104"/>
      <c r="FH414" s="104"/>
      <c r="FI414" s="104"/>
      <c r="FJ414" s="104"/>
      <c r="FK414" s="104"/>
      <c r="FL414" s="104"/>
      <c r="FM414" s="104"/>
      <c r="FN414" s="104"/>
      <c r="FO414" s="104"/>
      <c r="FP414" s="104"/>
      <c r="FQ414" s="104"/>
      <c r="FR414" s="104"/>
      <c r="FS414" s="104"/>
      <c r="FT414" s="104"/>
      <c r="FU414" s="104"/>
      <c r="FV414" s="104"/>
      <c r="FW414" s="104"/>
      <c r="FX414" s="116"/>
    </row>
    <row r="415" spans="2:180" x14ac:dyDescent="0.2">
      <c r="B415" s="114"/>
      <c r="C415" s="114"/>
      <c r="D415" s="114"/>
      <c r="E415" s="114"/>
      <c r="F415" s="114"/>
      <c r="G415" s="114"/>
      <c r="H415" s="116"/>
      <c r="J415" s="116"/>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6"/>
      <c r="CR415" s="104"/>
      <c r="CS415" s="104"/>
      <c r="CT415" s="104"/>
      <c r="CU415" s="104"/>
      <c r="CV415" s="104"/>
      <c r="CW415" s="104"/>
      <c r="CX415" s="104"/>
      <c r="CY415" s="104"/>
      <c r="CZ415" s="104"/>
      <c r="DA415" s="104"/>
      <c r="DB415" s="104"/>
      <c r="DC415" s="104"/>
      <c r="DD415" s="104"/>
      <c r="DE415" s="104"/>
      <c r="DF415" s="104"/>
      <c r="DG415" s="104"/>
      <c r="DH415" s="104"/>
      <c r="DI415" s="104"/>
      <c r="DJ415" s="104"/>
      <c r="DK415" s="104"/>
      <c r="DL415" s="104"/>
      <c r="DM415" s="104"/>
      <c r="DN415" s="104"/>
      <c r="DO415" s="104"/>
      <c r="DP415" s="104"/>
      <c r="DQ415" s="104"/>
      <c r="DR415" s="104"/>
      <c r="DS415" s="104"/>
      <c r="DT415" s="104"/>
      <c r="DU415" s="104"/>
      <c r="DV415" s="104"/>
      <c r="DW415" s="104"/>
      <c r="DX415" s="104"/>
      <c r="DY415" s="104"/>
      <c r="DZ415" s="104"/>
      <c r="EA415" s="104"/>
      <c r="EB415" s="104"/>
      <c r="EC415" s="104"/>
      <c r="ED415" s="104"/>
      <c r="EE415" s="104"/>
      <c r="EF415" s="104"/>
      <c r="EG415" s="104"/>
      <c r="EH415" s="104"/>
      <c r="EI415" s="104"/>
      <c r="EJ415" s="104"/>
      <c r="EK415" s="104"/>
      <c r="EL415" s="104"/>
      <c r="EM415" s="104"/>
      <c r="EN415" s="104"/>
      <c r="EO415" s="104"/>
      <c r="EP415" s="104"/>
      <c r="EQ415" s="104"/>
      <c r="ER415" s="104"/>
      <c r="ES415" s="104"/>
      <c r="ET415" s="104"/>
      <c r="EU415" s="104"/>
      <c r="EV415" s="104"/>
      <c r="EW415" s="104"/>
      <c r="EX415" s="104"/>
      <c r="EY415" s="104"/>
      <c r="EZ415" s="104"/>
      <c r="FA415" s="104"/>
      <c r="FB415" s="104"/>
      <c r="FC415" s="104"/>
      <c r="FD415" s="104"/>
      <c r="FE415" s="104"/>
      <c r="FF415" s="104"/>
      <c r="FG415" s="104"/>
      <c r="FH415" s="104"/>
      <c r="FI415" s="104"/>
      <c r="FJ415" s="104"/>
      <c r="FK415" s="104"/>
      <c r="FL415" s="104"/>
      <c r="FM415" s="104"/>
      <c r="FN415" s="104"/>
      <c r="FO415" s="104"/>
      <c r="FP415" s="104"/>
      <c r="FQ415" s="104"/>
      <c r="FR415" s="104"/>
      <c r="FS415" s="104"/>
      <c r="FT415" s="104"/>
      <c r="FU415" s="104"/>
      <c r="FV415" s="104"/>
      <c r="FW415" s="104"/>
      <c r="FX415" s="116"/>
    </row>
    <row r="416" spans="2:180" x14ac:dyDescent="0.2">
      <c r="B416" s="114"/>
      <c r="C416" s="114"/>
      <c r="D416" s="114"/>
      <c r="E416" s="114"/>
      <c r="F416" s="114"/>
      <c r="G416" s="114"/>
      <c r="H416" s="116"/>
      <c r="J416" s="116"/>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6"/>
      <c r="CR416" s="104"/>
      <c r="CS416" s="104"/>
      <c r="CT416" s="104"/>
      <c r="CU416" s="104"/>
      <c r="CV416" s="104"/>
      <c r="CW416" s="104"/>
      <c r="CX416" s="104"/>
      <c r="CY416" s="104"/>
      <c r="CZ416" s="104"/>
      <c r="DA416" s="104"/>
      <c r="DB416" s="104"/>
      <c r="DC416" s="104"/>
      <c r="DD416" s="104"/>
      <c r="DE416" s="104"/>
      <c r="DF416" s="104"/>
      <c r="DG416" s="104"/>
      <c r="DH416" s="104"/>
      <c r="DI416" s="104"/>
      <c r="DJ416" s="104"/>
      <c r="DK416" s="104"/>
      <c r="DL416" s="104"/>
      <c r="DM416" s="104"/>
      <c r="DN416" s="104"/>
      <c r="DO416" s="104"/>
      <c r="DP416" s="104"/>
      <c r="DQ416" s="104"/>
      <c r="DR416" s="104"/>
      <c r="DS416" s="104"/>
      <c r="DT416" s="104"/>
      <c r="DU416" s="104"/>
      <c r="DV416" s="104"/>
      <c r="DW416" s="104"/>
      <c r="DX416" s="104"/>
      <c r="DY416" s="104"/>
      <c r="DZ416" s="104"/>
      <c r="EA416" s="104"/>
      <c r="EB416" s="104"/>
      <c r="EC416" s="104"/>
      <c r="ED416" s="104"/>
      <c r="EE416" s="104"/>
      <c r="EF416" s="104"/>
      <c r="EG416" s="104"/>
      <c r="EH416" s="104"/>
      <c r="EI416" s="104"/>
      <c r="EJ416" s="104"/>
      <c r="EK416" s="104"/>
      <c r="EL416" s="104"/>
      <c r="EM416" s="104"/>
      <c r="EN416" s="104"/>
      <c r="EO416" s="104"/>
      <c r="EP416" s="104"/>
      <c r="EQ416" s="104"/>
      <c r="ER416" s="104"/>
      <c r="ES416" s="104"/>
      <c r="ET416" s="104"/>
      <c r="EU416" s="104"/>
      <c r="EV416" s="104"/>
      <c r="EW416" s="104"/>
      <c r="EX416" s="104"/>
      <c r="EY416" s="104"/>
      <c r="EZ416" s="104"/>
      <c r="FA416" s="104"/>
      <c r="FB416" s="104"/>
      <c r="FC416" s="104"/>
      <c r="FD416" s="104"/>
      <c r="FE416" s="104"/>
      <c r="FF416" s="104"/>
      <c r="FG416" s="104"/>
      <c r="FH416" s="104"/>
      <c r="FI416" s="104"/>
      <c r="FJ416" s="104"/>
      <c r="FK416" s="104"/>
      <c r="FL416" s="104"/>
      <c r="FM416" s="104"/>
      <c r="FN416" s="104"/>
      <c r="FO416" s="104"/>
      <c r="FP416" s="104"/>
      <c r="FQ416" s="104"/>
      <c r="FR416" s="104"/>
      <c r="FS416" s="104"/>
      <c r="FT416" s="104"/>
      <c r="FU416" s="104"/>
      <c r="FV416" s="104"/>
      <c r="FW416" s="104"/>
      <c r="FX416" s="116"/>
    </row>
    <row r="417" spans="2:180" x14ac:dyDescent="0.2">
      <c r="B417" s="114"/>
      <c r="C417" s="114"/>
      <c r="D417" s="114"/>
      <c r="E417" s="114"/>
      <c r="F417" s="114"/>
      <c r="G417" s="114"/>
      <c r="H417" s="116"/>
      <c r="J417" s="116"/>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6"/>
      <c r="CR417" s="104"/>
      <c r="CS417" s="104"/>
      <c r="CT417" s="104"/>
      <c r="CU417" s="104"/>
      <c r="CV417" s="104"/>
      <c r="CW417" s="104"/>
      <c r="CX417" s="104"/>
      <c r="CY417" s="104"/>
      <c r="CZ417" s="104"/>
      <c r="DA417" s="104"/>
      <c r="DB417" s="104"/>
      <c r="DC417" s="104"/>
      <c r="DD417" s="104"/>
      <c r="DE417" s="104"/>
      <c r="DF417" s="104"/>
      <c r="DG417" s="104"/>
      <c r="DH417" s="104"/>
      <c r="DI417" s="104"/>
      <c r="DJ417" s="104"/>
      <c r="DK417" s="104"/>
      <c r="DL417" s="104"/>
      <c r="DM417" s="104"/>
      <c r="DN417" s="104"/>
      <c r="DO417" s="104"/>
      <c r="DP417" s="104"/>
      <c r="DQ417" s="104"/>
      <c r="DR417" s="104"/>
      <c r="DS417" s="104"/>
      <c r="DT417" s="104"/>
      <c r="DU417" s="104"/>
      <c r="DV417" s="104"/>
      <c r="DW417" s="104"/>
      <c r="DX417" s="104"/>
      <c r="DY417" s="104"/>
      <c r="DZ417" s="104"/>
      <c r="EA417" s="104"/>
      <c r="EB417" s="104"/>
      <c r="EC417" s="104"/>
      <c r="ED417" s="104"/>
      <c r="EE417" s="104"/>
      <c r="EF417" s="104"/>
      <c r="EG417" s="104"/>
      <c r="EH417" s="104"/>
      <c r="EI417" s="104"/>
      <c r="EJ417" s="104"/>
      <c r="EK417" s="104"/>
      <c r="EL417" s="104"/>
      <c r="EM417" s="104"/>
      <c r="EN417" s="104"/>
      <c r="EO417" s="104"/>
      <c r="EP417" s="104"/>
      <c r="EQ417" s="104"/>
      <c r="ER417" s="104"/>
      <c r="ES417" s="104"/>
      <c r="ET417" s="104"/>
      <c r="EU417" s="104"/>
      <c r="EV417" s="104"/>
      <c r="EW417" s="104"/>
      <c r="EX417" s="104"/>
      <c r="EY417" s="104"/>
      <c r="EZ417" s="104"/>
      <c r="FA417" s="104"/>
      <c r="FB417" s="104"/>
      <c r="FC417" s="104"/>
      <c r="FD417" s="104"/>
      <c r="FE417" s="104"/>
      <c r="FF417" s="104"/>
      <c r="FG417" s="104"/>
      <c r="FH417" s="104"/>
      <c r="FI417" s="104"/>
      <c r="FJ417" s="104"/>
      <c r="FK417" s="104"/>
      <c r="FL417" s="104"/>
      <c r="FM417" s="104"/>
      <c r="FN417" s="104"/>
      <c r="FO417" s="104"/>
      <c r="FP417" s="104"/>
      <c r="FQ417" s="104"/>
      <c r="FR417" s="104"/>
      <c r="FS417" s="104"/>
      <c r="FT417" s="104"/>
      <c r="FU417" s="104"/>
      <c r="FV417" s="104"/>
      <c r="FW417" s="104"/>
      <c r="FX417" s="116"/>
    </row>
    <row r="418" spans="2:180" x14ac:dyDescent="0.2">
      <c r="B418" s="114"/>
      <c r="C418" s="114"/>
      <c r="D418" s="114"/>
      <c r="E418" s="114"/>
      <c r="F418" s="114"/>
      <c r="G418" s="114"/>
      <c r="H418" s="116"/>
      <c r="J418" s="116"/>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6"/>
      <c r="CR418" s="104"/>
      <c r="CS418" s="104"/>
      <c r="CT418" s="104"/>
      <c r="CU418" s="104"/>
      <c r="CV418" s="104"/>
      <c r="CW418" s="104"/>
      <c r="CX418" s="104"/>
      <c r="CY418" s="104"/>
      <c r="CZ418" s="104"/>
      <c r="DA418" s="104"/>
      <c r="DB418" s="104"/>
      <c r="DC418" s="104"/>
      <c r="DD418" s="104"/>
      <c r="DE418" s="104"/>
      <c r="DF418" s="104"/>
      <c r="DG418" s="104"/>
      <c r="DH418" s="104"/>
      <c r="DI418" s="104"/>
      <c r="DJ418" s="104"/>
      <c r="DK418" s="104"/>
      <c r="DL418" s="104"/>
      <c r="DM418" s="104"/>
      <c r="DN418" s="104"/>
      <c r="DO418" s="104"/>
      <c r="DP418" s="104"/>
      <c r="DQ418" s="104"/>
      <c r="DR418" s="104"/>
      <c r="DS418" s="104"/>
      <c r="DT418" s="104"/>
      <c r="DU418" s="104"/>
      <c r="DV418" s="104"/>
      <c r="DW418" s="104"/>
      <c r="DX418" s="104"/>
      <c r="DY418" s="104"/>
      <c r="DZ418" s="104"/>
      <c r="EA418" s="104"/>
      <c r="EB418" s="104"/>
      <c r="EC418" s="104"/>
      <c r="ED418" s="104"/>
      <c r="EE418" s="104"/>
      <c r="EF418" s="104"/>
      <c r="EG418" s="104"/>
      <c r="EH418" s="104"/>
      <c r="EI418" s="104"/>
      <c r="EJ418" s="104"/>
      <c r="EK418" s="104"/>
      <c r="EL418" s="104"/>
      <c r="EM418" s="104"/>
      <c r="EN418" s="104"/>
      <c r="EO418" s="104"/>
      <c r="EP418" s="104"/>
      <c r="EQ418" s="104"/>
      <c r="ER418" s="104"/>
      <c r="ES418" s="104"/>
      <c r="ET418" s="104"/>
      <c r="EU418" s="104"/>
      <c r="EV418" s="104"/>
      <c r="EW418" s="104"/>
      <c r="EX418" s="104"/>
      <c r="EY418" s="104"/>
      <c r="EZ418" s="104"/>
      <c r="FA418" s="104"/>
      <c r="FB418" s="104"/>
      <c r="FC418" s="104"/>
      <c r="FD418" s="104"/>
      <c r="FE418" s="104"/>
      <c r="FF418" s="104"/>
      <c r="FG418" s="104"/>
      <c r="FH418" s="104"/>
      <c r="FI418" s="104"/>
      <c r="FJ418" s="104"/>
      <c r="FK418" s="104"/>
      <c r="FL418" s="104"/>
      <c r="FM418" s="104"/>
      <c r="FN418" s="104"/>
      <c r="FO418" s="104"/>
      <c r="FP418" s="104"/>
      <c r="FQ418" s="104"/>
      <c r="FR418" s="104"/>
      <c r="FS418" s="104"/>
      <c r="FT418" s="104"/>
      <c r="FU418" s="104"/>
      <c r="FV418" s="104"/>
      <c r="FW418" s="104"/>
      <c r="FX418" s="116"/>
    </row>
    <row r="419" spans="2:180" x14ac:dyDescent="0.2">
      <c r="B419" s="114"/>
      <c r="C419" s="114"/>
      <c r="D419" s="114"/>
      <c r="E419" s="114"/>
      <c r="F419" s="114"/>
      <c r="G419" s="114"/>
      <c r="H419" s="116"/>
      <c r="J419" s="116"/>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6"/>
      <c r="CR419" s="104"/>
      <c r="CS419" s="104"/>
      <c r="CT419" s="104"/>
      <c r="CU419" s="104"/>
      <c r="CV419" s="104"/>
      <c r="CW419" s="104"/>
      <c r="CX419" s="104"/>
      <c r="CY419" s="104"/>
      <c r="CZ419" s="104"/>
      <c r="DA419" s="104"/>
      <c r="DB419" s="104"/>
      <c r="DC419" s="104"/>
      <c r="DD419" s="104"/>
      <c r="DE419" s="104"/>
      <c r="DF419" s="104"/>
      <c r="DG419" s="104"/>
      <c r="DH419" s="104"/>
      <c r="DI419" s="104"/>
      <c r="DJ419" s="104"/>
      <c r="DK419" s="104"/>
      <c r="DL419" s="104"/>
      <c r="DM419" s="104"/>
      <c r="DN419" s="104"/>
      <c r="DO419" s="104"/>
      <c r="DP419" s="104"/>
      <c r="DQ419" s="104"/>
      <c r="DR419" s="104"/>
      <c r="DS419" s="104"/>
      <c r="DT419" s="104"/>
      <c r="DU419" s="104"/>
      <c r="DV419" s="104"/>
      <c r="DW419" s="104"/>
      <c r="DX419" s="104"/>
      <c r="DY419" s="104"/>
      <c r="DZ419" s="104"/>
      <c r="EA419" s="104"/>
      <c r="EB419" s="104"/>
      <c r="EC419" s="104"/>
      <c r="ED419" s="104"/>
      <c r="EE419" s="104"/>
      <c r="EF419" s="104"/>
      <c r="EG419" s="104"/>
      <c r="EH419" s="104"/>
      <c r="EI419" s="104"/>
      <c r="EJ419" s="104"/>
      <c r="EK419" s="104"/>
      <c r="EL419" s="104"/>
      <c r="EM419" s="104"/>
      <c r="EN419" s="104"/>
      <c r="EO419" s="104"/>
      <c r="EP419" s="104"/>
      <c r="EQ419" s="104"/>
      <c r="ER419" s="104"/>
      <c r="ES419" s="104"/>
      <c r="ET419" s="104"/>
      <c r="EU419" s="104"/>
      <c r="EV419" s="104"/>
      <c r="EW419" s="104"/>
      <c r="EX419" s="104"/>
      <c r="EY419" s="104"/>
      <c r="EZ419" s="104"/>
      <c r="FA419" s="104"/>
      <c r="FB419" s="104"/>
      <c r="FC419" s="104"/>
      <c r="FD419" s="104"/>
      <c r="FE419" s="104"/>
      <c r="FF419" s="104"/>
      <c r="FG419" s="104"/>
      <c r="FH419" s="104"/>
      <c r="FI419" s="104"/>
      <c r="FJ419" s="104"/>
      <c r="FK419" s="104"/>
      <c r="FL419" s="104"/>
      <c r="FM419" s="104"/>
      <c r="FN419" s="104"/>
      <c r="FO419" s="104"/>
      <c r="FP419" s="104"/>
      <c r="FQ419" s="104"/>
      <c r="FR419" s="104"/>
      <c r="FS419" s="104"/>
      <c r="FT419" s="104"/>
      <c r="FU419" s="104"/>
      <c r="FV419" s="104"/>
      <c r="FW419" s="104"/>
      <c r="FX419" s="116"/>
    </row>
    <row r="420" spans="2:180" x14ac:dyDescent="0.2">
      <c r="B420" s="114"/>
      <c r="C420" s="114"/>
      <c r="D420" s="114"/>
      <c r="E420" s="114"/>
      <c r="F420" s="114"/>
      <c r="G420" s="114"/>
      <c r="H420" s="116"/>
      <c r="J420" s="116"/>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6"/>
      <c r="CR420" s="104"/>
      <c r="CS420" s="104"/>
      <c r="CT420" s="104"/>
      <c r="CU420" s="104"/>
      <c r="CV420" s="104"/>
      <c r="CW420" s="104"/>
      <c r="CX420" s="104"/>
      <c r="CY420" s="104"/>
      <c r="CZ420" s="104"/>
      <c r="DA420" s="104"/>
      <c r="DB420" s="104"/>
      <c r="DC420" s="104"/>
      <c r="DD420" s="104"/>
      <c r="DE420" s="104"/>
      <c r="DF420" s="104"/>
      <c r="DG420" s="104"/>
      <c r="DH420" s="104"/>
      <c r="DI420" s="104"/>
      <c r="DJ420" s="104"/>
      <c r="DK420" s="104"/>
      <c r="DL420" s="104"/>
      <c r="DM420" s="104"/>
      <c r="DN420" s="104"/>
      <c r="DO420" s="104"/>
      <c r="DP420" s="104"/>
      <c r="DQ420" s="104"/>
      <c r="DR420" s="104"/>
      <c r="DS420" s="104"/>
      <c r="DT420" s="104"/>
      <c r="DU420" s="104"/>
      <c r="DV420" s="104"/>
      <c r="DW420" s="104"/>
      <c r="DX420" s="104"/>
      <c r="DY420" s="104"/>
      <c r="DZ420" s="104"/>
      <c r="EA420" s="104"/>
      <c r="EB420" s="104"/>
      <c r="EC420" s="104"/>
      <c r="ED420" s="104"/>
      <c r="EE420" s="104"/>
      <c r="EF420" s="104"/>
      <c r="EG420" s="104"/>
      <c r="EH420" s="104"/>
      <c r="EI420" s="104"/>
      <c r="EJ420" s="104"/>
      <c r="EK420" s="104"/>
      <c r="EL420" s="104"/>
      <c r="EM420" s="104"/>
      <c r="EN420" s="104"/>
      <c r="EO420" s="104"/>
      <c r="EP420" s="104"/>
      <c r="EQ420" s="104"/>
      <c r="ER420" s="104"/>
      <c r="ES420" s="104"/>
      <c r="ET420" s="104"/>
      <c r="EU420" s="104"/>
      <c r="EV420" s="104"/>
      <c r="EW420" s="104"/>
      <c r="EX420" s="104"/>
      <c r="EY420" s="104"/>
      <c r="EZ420" s="104"/>
      <c r="FA420" s="104"/>
      <c r="FB420" s="104"/>
      <c r="FC420" s="104"/>
      <c r="FD420" s="104"/>
      <c r="FE420" s="104"/>
      <c r="FF420" s="104"/>
      <c r="FG420" s="104"/>
      <c r="FH420" s="104"/>
      <c r="FI420" s="104"/>
      <c r="FJ420" s="104"/>
      <c r="FK420" s="104"/>
      <c r="FL420" s="104"/>
      <c r="FM420" s="104"/>
      <c r="FN420" s="104"/>
      <c r="FO420" s="104"/>
      <c r="FP420" s="104"/>
      <c r="FQ420" s="104"/>
      <c r="FR420" s="104"/>
      <c r="FS420" s="104"/>
      <c r="FT420" s="104"/>
      <c r="FU420" s="104"/>
      <c r="FV420" s="104"/>
      <c r="FW420" s="104"/>
      <c r="FX420" s="116"/>
    </row>
    <row r="421" spans="2:180" x14ac:dyDescent="0.2">
      <c r="B421" s="114"/>
      <c r="C421" s="114"/>
      <c r="D421" s="114"/>
      <c r="E421" s="114"/>
      <c r="F421" s="114"/>
      <c r="G421" s="114"/>
      <c r="H421" s="116"/>
      <c r="J421" s="116"/>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6"/>
      <c r="CR421" s="104"/>
      <c r="CS421" s="104"/>
      <c r="CT421" s="104"/>
      <c r="CU421" s="104"/>
      <c r="CV421" s="104"/>
      <c r="CW421" s="104"/>
      <c r="CX421" s="104"/>
      <c r="CY421" s="104"/>
      <c r="CZ421" s="104"/>
      <c r="DA421" s="104"/>
      <c r="DB421" s="104"/>
      <c r="DC421" s="104"/>
      <c r="DD421" s="104"/>
      <c r="DE421" s="104"/>
      <c r="DF421" s="104"/>
      <c r="DG421" s="104"/>
      <c r="DH421" s="104"/>
      <c r="DI421" s="104"/>
      <c r="DJ421" s="104"/>
      <c r="DK421" s="104"/>
      <c r="DL421" s="104"/>
      <c r="DM421" s="104"/>
      <c r="DN421" s="104"/>
      <c r="DO421" s="104"/>
      <c r="DP421" s="104"/>
      <c r="DQ421" s="104"/>
      <c r="DR421" s="104"/>
      <c r="DS421" s="104"/>
      <c r="DT421" s="104"/>
      <c r="DU421" s="104"/>
      <c r="DV421" s="104"/>
      <c r="DW421" s="104"/>
      <c r="DX421" s="104"/>
      <c r="DY421" s="104"/>
      <c r="DZ421" s="104"/>
      <c r="EA421" s="104"/>
      <c r="EB421" s="104"/>
      <c r="EC421" s="104"/>
      <c r="ED421" s="104"/>
      <c r="EE421" s="104"/>
      <c r="EF421" s="104"/>
      <c r="EG421" s="104"/>
      <c r="EH421" s="104"/>
      <c r="EI421" s="104"/>
      <c r="EJ421" s="104"/>
      <c r="EK421" s="104"/>
      <c r="EL421" s="104"/>
      <c r="EM421" s="104"/>
      <c r="EN421" s="104"/>
      <c r="EO421" s="104"/>
      <c r="EP421" s="104"/>
      <c r="EQ421" s="104"/>
      <c r="ER421" s="104"/>
      <c r="ES421" s="104"/>
      <c r="ET421" s="104"/>
      <c r="EU421" s="104"/>
      <c r="EV421" s="104"/>
      <c r="EW421" s="104"/>
      <c r="EX421" s="104"/>
      <c r="EY421" s="104"/>
      <c r="EZ421" s="104"/>
      <c r="FA421" s="104"/>
      <c r="FB421" s="104"/>
      <c r="FC421" s="104"/>
      <c r="FD421" s="104"/>
      <c r="FE421" s="104"/>
      <c r="FF421" s="104"/>
      <c r="FG421" s="104"/>
      <c r="FH421" s="104"/>
      <c r="FI421" s="104"/>
      <c r="FJ421" s="104"/>
      <c r="FK421" s="104"/>
      <c r="FL421" s="104"/>
      <c r="FM421" s="104"/>
      <c r="FN421" s="104"/>
      <c r="FO421" s="104"/>
      <c r="FP421" s="104"/>
      <c r="FQ421" s="104"/>
      <c r="FR421" s="104"/>
      <c r="FS421" s="104"/>
      <c r="FT421" s="104"/>
      <c r="FU421" s="104"/>
      <c r="FV421" s="104"/>
      <c r="FW421" s="104"/>
      <c r="FX421" s="116"/>
    </row>
    <row r="422" spans="2:180" x14ac:dyDescent="0.2">
      <c r="B422" s="114"/>
      <c r="C422" s="114"/>
      <c r="D422" s="114"/>
      <c r="E422" s="114"/>
      <c r="F422" s="114"/>
      <c r="G422" s="114"/>
      <c r="H422" s="116"/>
      <c r="J422" s="116"/>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6"/>
      <c r="CR422" s="104"/>
      <c r="CS422" s="104"/>
      <c r="CT422" s="104"/>
      <c r="CU422" s="104"/>
      <c r="CV422" s="104"/>
      <c r="CW422" s="104"/>
      <c r="CX422" s="104"/>
      <c r="CY422" s="104"/>
      <c r="CZ422" s="104"/>
      <c r="DA422" s="104"/>
      <c r="DB422" s="104"/>
      <c r="DC422" s="104"/>
      <c r="DD422" s="104"/>
      <c r="DE422" s="104"/>
      <c r="DF422" s="104"/>
      <c r="DG422" s="104"/>
      <c r="DH422" s="104"/>
      <c r="DI422" s="104"/>
      <c r="DJ422" s="104"/>
      <c r="DK422" s="104"/>
      <c r="DL422" s="104"/>
      <c r="DM422" s="104"/>
      <c r="DN422" s="104"/>
      <c r="DO422" s="104"/>
      <c r="DP422" s="104"/>
      <c r="DQ422" s="104"/>
      <c r="DR422" s="104"/>
      <c r="DS422" s="104"/>
      <c r="DT422" s="104"/>
      <c r="DU422" s="104"/>
      <c r="DV422" s="104"/>
      <c r="DW422" s="104"/>
      <c r="DX422" s="104"/>
      <c r="DY422" s="104"/>
      <c r="DZ422" s="104"/>
      <c r="EA422" s="104"/>
      <c r="EB422" s="104"/>
      <c r="EC422" s="104"/>
      <c r="ED422" s="104"/>
      <c r="EE422" s="104"/>
      <c r="EF422" s="104"/>
      <c r="EG422" s="104"/>
      <c r="EH422" s="104"/>
      <c r="EI422" s="104"/>
      <c r="EJ422" s="104"/>
      <c r="EK422" s="104"/>
      <c r="EL422" s="104"/>
      <c r="EM422" s="104"/>
      <c r="EN422" s="104"/>
      <c r="EO422" s="104"/>
      <c r="EP422" s="104"/>
      <c r="EQ422" s="104"/>
      <c r="ER422" s="104"/>
      <c r="ES422" s="104"/>
      <c r="ET422" s="104"/>
      <c r="EU422" s="104"/>
      <c r="EV422" s="104"/>
      <c r="EW422" s="104"/>
      <c r="EX422" s="104"/>
      <c r="EY422" s="104"/>
      <c r="EZ422" s="104"/>
      <c r="FA422" s="104"/>
      <c r="FB422" s="104"/>
      <c r="FC422" s="104"/>
      <c r="FD422" s="104"/>
      <c r="FE422" s="104"/>
      <c r="FF422" s="104"/>
      <c r="FG422" s="104"/>
      <c r="FH422" s="104"/>
      <c r="FI422" s="104"/>
      <c r="FJ422" s="104"/>
      <c r="FK422" s="104"/>
      <c r="FL422" s="104"/>
      <c r="FM422" s="104"/>
      <c r="FN422" s="104"/>
      <c r="FO422" s="104"/>
      <c r="FP422" s="104"/>
      <c r="FQ422" s="104"/>
      <c r="FR422" s="104"/>
      <c r="FS422" s="104"/>
      <c r="FT422" s="104"/>
      <c r="FU422" s="104"/>
      <c r="FV422" s="104"/>
      <c r="FW422" s="104"/>
      <c r="FX422" s="116"/>
    </row>
    <row r="423" spans="2:180" x14ac:dyDescent="0.2">
      <c r="B423" s="114"/>
      <c r="C423" s="114"/>
      <c r="D423" s="114"/>
      <c r="E423" s="114"/>
      <c r="F423" s="114"/>
      <c r="G423" s="114"/>
      <c r="H423" s="116"/>
      <c r="J423" s="116"/>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6"/>
      <c r="CR423" s="104"/>
      <c r="CS423" s="104"/>
      <c r="CT423" s="104"/>
      <c r="CU423" s="104"/>
      <c r="CV423" s="104"/>
      <c r="CW423" s="104"/>
      <c r="CX423" s="104"/>
      <c r="CY423" s="104"/>
      <c r="CZ423" s="104"/>
      <c r="DA423" s="104"/>
      <c r="DB423" s="104"/>
      <c r="DC423" s="104"/>
      <c r="DD423" s="104"/>
      <c r="DE423" s="104"/>
      <c r="DF423" s="104"/>
      <c r="DG423" s="104"/>
      <c r="DH423" s="104"/>
      <c r="DI423" s="104"/>
      <c r="DJ423" s="104"/>
      <c r="DK423" s="104"/>
      <c r="DL423" s="104"/>
      <c r="DM423" s="104"/>
      <c r="DN423" s="104"/>
      <c r="DO423" s="104"/>
      <c r="DP423" s="104"/>
      <c r="DQ423" s="104"/>
      <c r="DR423" s="104"/>
      <c r="DS423" s="104"/>
      <c r="DT423" s="104"/>
      <c r="DU423" s="104"/>
      <c r="DV423" s="104"/>
      <c r="DW423" s="104"/>
      <c r="DX423" s="104"/>
      <c r="DY423" s="104"/>
      <c r="DZ423" s="104"/>
      <c r="EA423" s="104"/>
      <c r="EB423" s="104"/>
      <c r="EC423" s="104"/>
      <c r="ED423" s="104"/>
      <c r="EE423" s="104"/>
      <c r="EF423" s="104"/>
      <c r="EG423" s="104"/>
      <c r="EH423" s="104"/>
      <c r="EI423" s="104"/>
      <c r="EJ423" s="104"/>
      <c r="EK423" s="104"/>
      <c r="EL423" s="104"/>
      <c r="EM423" s="104"/>
      <c r="EN423" s="104"/>
      <c r="EO423" s="104"/>
      <c r="EP423" s="104"/>
      <c r="EQ423" s="104"/>
      <c r="ER423" s="104"/>
      <c r="ES423" s="104"/>
      <c r="ET423" s="104"/>
      <c r="EU423" s="104"/>
      <c r="EV423" s="104"/>
      <c r="EW423" s="104"/>
      <c r="EX423" s="104"/>
      <c r="EY423" s="104"/>
      <c r="EZ423" s="104"/>
      <c r="FA423" s="104"/>
      <c r="FB423" s="104"/>
      <c r="FC423" s="104"/>
      <c r="FD423" s="104"/>
      <c r="FE423" s="104"/>
      <c r="FF423" s="104"/>
      <c r="FG423" s="104"/>
      <c r="FH423" s="104"/>
      <c r="FI423" s="104"/>
      <c r="FJ423" s="104"/>
      <c r="FK423" s="104"/>
      <c r="FL423" s="104"/>
      <c r="FM423" s="104"/>
      <c r="FN423" s="104"/>
      <c r="FO423" s="104"/>
      <c r="FP423" s="104"/>
      <c r="FQ423" s="104"/>
      <c r="FR423" s="104"/>
      <c r="FS423" s="104"/>
      <c r="FT423" s="104"/>
      <c r="FU423" s="104"/>
      <c r="FV423" s="104"/>
      <c r="FW423" s="104"/>
      <c r="FX423" s="116"/>
    </row>
    <row r="424" spans="2:180" x14ac:dyDescent="0.2">
      <c r="B424" s="114"/>
      <c r="C424" s="114"/>
      <c r="D424" s="114"/>
      <c r="E424" s="114"/>
      <c r="F424" s="114"/>
      <c r="G424" s="114"/>
      <c r="H424" s="116"/>
      <c r="J424" s="116"/>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6"/>
      <c r="CR424" s="104"/>
      <c r="CS424" s="104"/>
      <c r="CT424" s="104"/>
      <c r="CU424" s="104"/>
      <c r="CV424" s="104"/>
      <c r="CW424" s="104"/>
      <c r="CX424" s="104"/>
      <c r="CY424" s="104"/>
      <c r="CZ424" s="104"/>
      <c r="DA424" s="104"/>
      <c r="DB424" s="104"/>
      <c r="DC424" s="104"/>
      <c r="DD424" s="104"/>
      <c r="DE424" s="104"/>
      <c r="DF424" s="104"/>
      <c r="DG424" s="104"/>
      <c r="DH424" s="104"/>
      <c r="DI424" s="104"/>
      <c r="DJ424" s="104"/>
      <c r="DK424" s="104"/>
      <c r="DL424" s="104"/>
      <c r="DM424" s="104"/>
      <c r="DN424" s="104"/>
      <c r="DO424" s="104"/>
      <c r="DP424" s="104"/>
      <c r="DQ424" s="104"/>
      <c r="DR424" s="104"/>
      <c r="DS424" s="104"/>
      <c r="DT424" s="104"/>
      <c r="DU424" s="104"/>
      <c r="DV424" s="104"/>
      <c r="DW424" s="104"/>
      <c r="DX424" s="104"/>
      <c r="DY424" s="104"/>
      <c r="DZ424" s="104"/>
      <c r="EA424" s="104"/>
      <c r="EB424" s="104"/>
      <c r="EC424" s="104"/>
      <c r="ED424" s="104"/>
      <c r="EE424" s="104"/>
      <c r="EF424" s="104"/>
      <c r="EG424" s="104"/>
      <c r="EH424" s="104"/>
      <c r="EI424" s="104"/>
      <c r="EJ424" s="104"/>
      <c r="EK424" s="104"/>
      <c r="EL424" s="104"/>
      <c r="EM424" s="104"/>
      <c r="EN424" s="104"/>
      <c r="EO424" s="104"/>
      <c r="EP424" s="104"/>
      <c r="EQ424" s="104"/>
      <c r="ER424" s="104"/>
      <c r="ES424" s="104"/>
      <c r="ET424" s="104"/>
      <c r="EU424" s="104"/>
      <c r="EV424" s="104"/>
      <c r="EW424" s="104"/>
      <c r="EX424" s="104"/>
      <c r="EY424" s="104"/>
      <c r="EZ424" s="104"/>
      <c r="FA424" s="104"/>
      <c r="FB424" s="104"/>
      <c r="FC424" s="104"/>
      <c r="FD424" s="104"/>
      <c r="FE424" s="104"/>
      <c r="FF424" s="104"/>
      <c r="FG424" s="104"/>
      <c r="FH424" s="104"/>
      <c r="FI424" s="104"/>
      <c r="FJ424" s="104"/>
      <c r="FK424" s="104"/>
      <c r="FL424" s="104"/>
      <c r="FM424" s="104"/>
      <c r="FN424" s="104"/>
      <c r="FO424" s="104"/>
      <c r="FP424" s="104"/>
      <c r="FQ424" s="104"/>
      <c r="FR424" s="104"/>
      <c r="FS424" s="104"/>
      <c r="FT424" s="104"/>
      <c r="FU424" s="104"/>
      <c r="FV424" s="104"/>
      <c r="FW424" s="104"/>
      <c r="FX424" s="116"/>
    </row>
    <row r="425" spans="2:180" x14ac:dyDescent="0.2">
      <c r="B425" s="114"/>
      <c r="C425" s="114"/>
      <c r="D425" s="114"/>
      <c r="E425" s="114"/>
      <c r="F425" s="114"/>
      <c r="G425" s="114"/>
      <c r="H425" s="116"/>
      <c r="J425" s="116"/>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6"/>
      <c r="CR425" s="104"/>
      <c r="CS425" s="104"/>
      <c r="CT425" s="104"/>
      <c r="CU425" s="104"/>
      <c r="CV425" s="104"/>
      <c r="CW425" s="104"/>
      <c r="CX425" s="104"/>
      <c r="CY425" s="104"/>
      <c r="CZ425" s="104"/>
      <c r="DA425" s="104"/>
      <c r="DB425" s="104"/>
      <c r="DC425" s="104"/>
      <c r="DD425" s="104"/>
      <c r="DE425" s="104"/>
      <c r="DF425" s="104"/>
      <c r="DG425" s="104"/>
      <c r="DH425" s="104"/>
      <c r="DI425" s="104"/>
      <c r="DJ425" s="104"/>
      <c r="DK425" s="104"/>
      <c r="DL425" s="104"/>
      <c r="DM425" s="104"/>
      <c r="DN425" s="104"/>
      <c r="DO425" s="104"/>
      <c r="DP425" s="104"/>
      <c r="DQ425" s="104"/>
      <c r="DR425" s="104"/>
      <c r="DS425" s="104"/>
      <c r="DT425" s="104"/>
      <c r="DU425" s="104"/>
      <c r="DV425" s="104"/>
      <c r="DW425" s="104"/>
      <c r="DX425" s="104"/>
      <c r="DY425" s="104"/>
      <c r="DZ425" s="104"/>
      <c r="EA425" s="104"/>
      <c r="EB425" s="104"/>
      <c r="EC425" s="104"/>
      <c r="ED425" s="104"/>
      <c r="EE425" s="104"/>
      <c r="EF425" s="104"/>
      <c r="EG425" s="104"/>
      <c r="EH425" s="104"/>
      <c r="EI425" s="104"/>
      <c r="EJ425" s="104"/>
      <c r="EK425" s="104"/>
      <c r="EL425" s="104"/>
      <c r="EM425" s="104"/>
      <c r="EN425" s="104"/>
      <c r="EO425" s="104"/>
      <c r="EP425" s="104"/>
      <c r="EQ425" s="104"/>
      <c r="ER425" s="104"/>
      <c r="ES425" s="104"/>
      <c r="ET425" s="104"/>
      <c r="EU425" s="104"/>
      <c r="EV425" s="104"/>
      <c r="EW425" s="104"/>
      <c r="EX425" s="104"/>
      <c r="EY425" s="104"/>
      <c r="EZ425" s="104"/>
      <c r="FA425" s="104"/>
      <c r="FB425" s="104"/>
      <c r="FC425" s="104"/>
      <c r="FD425" s="104"/>
      <c r="FE425" s="104"/>
      <c r="FF425" s="104"/>
      <c r="FG425" s="104"/>
      <c r="FH425" s="104"/>
      <c r="FI425" s="104"/>
      <c r="FJ425" s="104"/>
      <c r="FK425" s="104"/>
      <c r="FL425" s="104"/>
      <c r="FM425" s="104"/>
      <c r="FN425" s="104"/>
      <c r="FO425" s="104"/>
      <c r="FP425" s="104"/>
      <c r="FQ425" s="104"/>
      <c r="FR425" s="104"/>
      <c r="FS425" s="104"/>
      <c r="FT425" s="104"/>
      <c r="FU425" s="104"/>
      <c r="FV425" s="104"/>
      <c r="FW425" s="104"/>
      <c r="FX425" s="116"/>
    </row>
    <row r="426" spans="2:180" x14ac:dyDescent="0.2">
      <c r="B426" s="114"/>
      <c r="C426" s="114"/>
      <c r="D426" s="114"/>
      <c r="E426" s="114"/>
      <c r="F426" s="114"/>
      <c r="G426" s="114"/>
      <c r="H426" s="116"/>
      <c r="J426" s="116"/>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6"/>
      <c r="CR426" s="104"/>
      <c r="CS426" s="104"/>
      <c r="CT426" s="104"/>
      <c r="CU426" s="104"/>
      <c r="CV426" s="104"/>
      <c r="CW426" s="104"/>
      <c r="CX426" s="104"/>
      <c r="CY426" s="104"/>
      <c r="CZ426" s="104"/>
      <c r="DA426" s="104"/>
      <c r="DB426" s="104"/>
      <c r="DC426" s="104"/>
      <c r="DD426" s="104"/>
      <c r="DE426" s="104"/>
      <c r="DF426" s="104"/>
      <c r="DG426" s="104"/>
      <c r="DH426" s="104"/>
      <c r="DI426" s="104"/>
      <c r="DJ426" s="104"/>
      <c r="DK426" s="104"/>
      <c r="DL426" s="104"/>
      <c r="DM426" s="104"/>
      <c r="DN426" s="104"/>
      <c r="DO426" s="104"/>
      <c r="DP426" s="104"/>
      <c r="DQ426" s="104"/>
      <c r="DR426" s="104"/>
      <c r="DS426" s="104"/>
      <c r="DT426" s="104"/>
      <c r="DU426" s="104"/>
      <c r="DV426" s="104"/>
      <c r="DW426" s="104"/>
      <c r="DX426" s="104"/>
      <c r="DY426" s="104"/>
      <c r="DZ426" s="104"/>
      <c r="EA426" s="104"/>
      <c r="EB426" s="104"/>
      <c r="EC426" s="104"/>
      <c r="ED426" s="104"/>
      <c r="EE426" s="104"/>
      <c r="EF426" s="104"/>
      <c r="EG426" s="104"/>
      <c r="EH426" s="104"/>
      <c r="EI426" s="104"/>
      <c r="EJ426" s="104"/>
      <c r="EK426" s="104"/>
      <c r="EL426" s="104"/>
      <c r="EM426" s="104"/>
      <c r="EN426" s="104"/>
      <c r="EO426" s="104"/>
      <c r="EP426" s="104"/>
      <c r="EQ426" s="104"/>
      <c r="ER426" s="104"/>
      <c r="ES426" s="104"/>
      <c r="ET426" s="104"/>
      <c r="EU426" s="104"/>
      <c r="EV426" s="104"/>
      <c r="EW426" s="104"/>
      <c r="EX426" s="104"/>
      <c r="EY426" s="104"/>
      <c r="EZ426" s="104"/>
      <c r="FA426" s="104"/>
      <c r="FB426" s="104"/>
      <c r="FC426" s="104"/>
      <c r="FD426" s="104"/>
      <c r="FE426" s="104"/>
      <c r="FF426" s="104"/>
      <c r="FG426" s="104"/>
      <c r="FH426" s="104"/>
      <c r="FI426" s="104"/>
      <c r="FJ426" s="104"/>
      <c r="FK426" s="104"/>
      <c r="FL426" s="104"/>
      <c r="FM426" s="104"/>
      <c r="FN426" s="104"/>
      <c r="FO426" s="104"/>
      <c r="FP426" s="104"/>
      <c r="FQ426" s="104"/>
      <c r="FR426" s="104"/>
      <c r="FS426" s="104"/>
      <c r="FT426" s="104"/>
      <c r="FU426" s="104"/>
      <c r="FV426" s="104"/>
      <c r="FW426" s="104"/>
      <c r="FX426" s="116"/>
    </row>
    <row r="427" spans="2:180" x14ac:dyDescent="0.2">
      <c r="B427" s="114"/>
      <c r="C427" s="114"/>
      <c r="D427" s="114"/>
      <c r="E427" s="114"/>
      <c r="F427" s="114"/>
      <c r="G427" s="114"/>
      <c r="H427" s="116"/>
      <c r="J427" s="116"/>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6"/>
      <c r="CR427" s="104"/>
      <c r="CS427" s="104"/>
      <c r="CT427" s="104"/>
      <c r="CU427" s="104"/>
      <c r="CV427" s="104"/>
      <c r="CW427" s="104"/>
      <c r="CX427" s="104"/>
      <c r="CY427" s="104"/>
      <c r="CZ427" s="104"/>
      <c r="DA427" s="104"/>
      <c r="DB427" s="104"/>
      <c r="DC427" s="104"/>
      <c r="DD427" s="104"/>
      <c r="DE427" s="104"/>
      <c r="DF427" s="104"/>
      <c r="DG427" s="104"/>
      <c r="DH427" s="104"/>
      <c r="DI427" s="104"/>
      <c r="DJ427" s="104"/>
      <c r="DK427" s="104"/>
      <c r="DL427" s="104"/>
      <c r="DM427" s="104"/>
      <c r="DN427" s="104"/>
      <c r="DO427" s="104"/>
      <c r="DP427" s="104"/>
      <c r="DQ427" s="104"/>
      <c r="DR427" s="104"/>
      <c r="DS427" s="104"/>
      <c r="DT427" s="104"/>
      <c r="DU427" s="104"/>
      <c r="DV427" s="104"/>
      <c r="DW427" s="104"/>
      <c r="DX427" s="104"/>
      <c r="DY427" s="104"/>
      <c r="DZ427" s="104"/>
      <c r="EA427" s="104"/>
      <c r="EB427" s="104"/>
      <c r="EC427" s="104"/>
      <c r="ED427" s="104"/>
      <c r="EE427" s="104"/>
      <c r="EF427" s="104"/>
      <c r="EG427" s="104"/>
      <c r="EH427" s="104"/>
      <c r="EI427" s="104"/>
      <c r="EJ427" s="104"/>
      <c r="EK427" s="104"/>
      <c r="EL427" s="104"/>
      <c r="EM427" s="104"/>
      <c r="EN427" s="104"/>
      <c r="EO427" s="104"/>
      <c r="EP427" s="104"/>
      <c r="EQ427" s="104"/>
      <c r="ER427" s="104"/>
      <c r="ES427" s="104"/>
      <c r="ET427" s="104"/>
      <c r="EU427" s="104"/>
      <c r="EV427" s="104"/>
      <c r="EW427" s="104"/>
      <c r="EX427" s="104"/>
      <c r="EY427" s="104"/>
      <c r="EZ427" s="104"/>
      <c r="FA427" s="104"/>
      <c r="FB427" s="104"/>
      <c r="FC427" s="104"/>
      <c r="FD427" s="104"/>
      <c r="FE427" s="104"/>
      <c r="FF427" s="104"/>
      <c r="FG427" s="104"/>
      <c r="FH427" s="104"/>
      <c r="FI427" s="104"/>
      <c r="FJ427" s="104"/>
      <c r="FK427" s="104"/>
      <c r="FL427" s="104"/>
      <c r="FM427" s="104"/>
      <c r="FN427" s="104"/>
      <c r="FO427" s="104"/>
      <c r="FP427" s="104"/>
      <c r="FQ427" s="104"/>
      <c r="FR427" s="104"/>
      <c r="FS427" s="104"/>
      <c r="FT427" s="104"/>
      <c r="FU427" s="104"/>
      <c r="FV427" s="104"/>
      <c r="FW427" s="104"/>
      <c r="FX427" s="116"/>
    </row>
    <row r="428" spans="2:180" x14ac:dyDescent="0.2">
      <c r="B428" s="114"/>
      <c r="C428" s="114"/>
      <c r="D428" s="114"/>
      <c r="E428" s="114"/>
      <c r="F428" s="114"/>
      <c r="G428" s="114"/>
      <c r="H428" s="116"/>
      <c r="J428" s="116"/>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6"/>
      <c r="CR428" s="104"/>
      <c r="CS428" s="104"/>
      <c r="CT428" s="104"/>
      <c r="CU428" s="104"/>
      <c r="CV428" s="104"/>
      <c r="CW428" s="104"/>
      <c r="CX428" s="104"/>
      <c r="CY428" s="104"/>
      <c r="CZ428" s="104"/>
      <c r="DA428" s="104"/>
      <c r="DB428" s="104"/>
      <c r="DC428" s="104"/>
      <c r="DD428" s="104"/>
      <c r="DE428" s="104"/>
      <c r="DF428" s="104"/>
      <c r="DG428" s="104"/>
      <c r="DH428" s="104"/>
      <c r="DI428" s="104"/>
      <c r="DJ428" s="104"/>
      <c r="DK428" s="104"/>
      <c r="DL428" s="104"/>
      <c r="DM428" s="104"/>
      <c r="DN428" s="104"/>
      <c r="DO428" s="104"/>
      <c r="DP428" s="104"/>
      <c r="DQ428" s="104"/>
      <c r="DR428" s="104"/>
      <c r="DS428" s="104"/>
      <c r="DT428" s="104"/>
      <c r="DU428" s="104"/>
      <c r="DV428" s="104"/>
      <c r="DW428" s="104"/>
      <c r="DX428" s="104"/>
      <c r="DY428" s="104"/>
      <c r="DZ428" s="104"/>
      <c r="EA428" s="104"/>
      <c r="EB428" s="104"/>
      <c r="EC428" s="104"/>
      <c r="ED428" s="104"/>
      <c r="EE428" s="104"/>
      <c r="EF428" s="104"/>
      <c r="EG428" s="104"/>
      <c r="EH428" s="104"/>
      <c r="EI428" s="104"/>
      <c r="EJ428" s="104"/>
      <c r="EK428" s="104"/>
      <c r="EL428" s="104"/>
      <c r="EM428" s="104"/>
      <c r="EN428" s="104"/>
      <c r="EO428" s="104"/>
      <c r="EP428" s="104"/>
      <c r="EQ428" s="104"/>
      <c r="ER428" s="104"/>
      <c r="ES428" s="104"/>
      <c r="ET428" s="104"/>
      <c r="EU428" s="104"/>
      <c r="EV428" s="104"/>
      <c r="EW428" s="104"/>
      <c r="EX428" s="104"/>
      <c r="EY428" s="104"/>
      <c r="EZ428" s="104"/>
      <c r="FA428" s="104"/>
      <c r="FB428" s="104"/>
      <c r="FC428" s="104"/>
      <c r="FD428" s="104"/>
      <c r="FE428" s="104"/>
      <c r="FF428" s="104"/>
      <c r="FG428" s="104"/>
      <c r="FH428" s="104"/>
      <c r="FI428" s="104"/>
      <c r="FJ428" s="104"/>
      <c r="FK428" s="104"/>
      <c r="FL428" s="104"/>
      <c r="FM428" s="104"/>
      <c r="FN428" s="104"/>
      <c r="FO428" s="104"/>
      <c r="FP428" s="104"/>
      <c r="FQ428" s="104"/>
      <c r="FR428" s="104"/>
      <c r="FS428" s="104"/>
      <c r="FT428" s="104"/>
      <c r="FU428" s="104"/>
      <c r="FV428" s="104"/>
      <c r="FW428" s="104"/>
      <c r="FX428" s="116"/>
    </row>
    <row r="429" spans="2:180" x14ac:dyDescent="0.2">
      <c r="B429" s="114"/>
      <c r="C429" s="114"/>
      <c r="D429" s="114"/>
      <c r="E429" s="114"/>
      <c r="F429" s="114"/>
      <c r="G429" s="114"/>
      <c r="H429" s="116"/>
      <c r="J429" s="116"/>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6"/>
      <c r="CR429" s="104"/>
      <c r="CS429" s="104"/>
      <c r="CT429" s="104"/>
      <c r="CU429" s="104"/>
      <c r="CV429" s="104"/>
      <c r="CW429" s="104"/>
      <c r="CX429" s="104"/>
      <c r="CY429" s="104"/>
      <c r="CZ429" s="104"/>
      <c r="DA429" s="104"/>
      <c r="DB429" s="104"/>
      <c r="DC429" s="104"/>
      <c r="DD429" s="104"/>
      <c r="DE429" s="104"/>
      <c r="DF429" s="104"/>
      <c r="DG429" s="104"/>
      <c r="DH429" s="104"/>
      <c r="DI429" s="104"/>
      <c r="DJ429" s="104"/>
      <c r="DK429" s="104"/>
      <c r="DL429" s="104"/>
      <c r="DM429" s="104"/>
      <c r="DN429" s="104"/>
      <c r="DO429" s="104"/>
      <c r="DP429" s="104"/>
      <c r="DQ429" s="104"/>
      <c r="DR429" s="104"/>
      <c r="DS429" s="104"/>
      <c r="DT429" s="104"/>
      <c r="DU429" s="104"/>
      <c r="DV429" s="104"/>
      <c r="DW429" s="104"/>
      <c r="DX429" s="104"/>
      <c r="DY429" s="104"/>
      <c r="DZ429" s="104"/>
      <c r="EA429" s="104"/>
      <c r="EB429" s="104"/>
      <c r="EC429" s="104"/>
      <c r="ED429" s="104"/>
      <c r="EE429" s="104"/>
      <c r="EF429" s="104"/>
      <c r="EG429" s="104"/>
      <c r="EH429" s="104"/>
      <c r="EI429" s="104"/>
      <c r="EJ429" s="104"/>
      <c r="EK429" s="104"/>
      <c r="EL429" s="104"/>
      <c r="EM429" s="104"/>
      <c r="EN429" s="104"/>
      <c r="EO429" s="104"/>
      <c r="EP429" s="104"/>
      <c r="EQ429" s="104"/>
      <c r="ER429" s="104"/>
      <c r="ES429" s="104"/>
      <c r="ET429" s="104"/>
      <c r="EU429" s="104"/>
      <c r="EV429" s="104"/>
      <c r="EW429" s="104"/>
      <c r="EX429" s="104"/>
      <c r="EY429" s="104"/>
      <c r="EZ429" s="104"/>
      <c r="FA429" s="104"/>
      <c r="FB429" s="104"/>
      <c r="FC429" s="104"/>
      <c r="FD429" s="104"/>
      <c r="FE429" s="104"/>
      <c r="FF429" s="104"/>
      <c r="FG429" s="104"/>
      <c r="FH429" s="104"/>
      <c r="FI429" s="104"/>
      <c r="FJ429" s="104"/>
      <c r="FK429" s="104"/>
      <c r="FL429" s="104"/>
      <c r="FM429" s="104"/>
      <c r="FN429" s="104"/>
      <c r="FO429" s="104"/>
      <c r="FP429" s="104"/>
      <c r="FQ429" s="104"/>
      <c r="FR429" s="104"/>
      <c r="FS429" s="104"/>
      <c r="FT429" s="104"/>
      <c r="FU429" s="104"/>
      <c r="FV429" s="104"/>
      <c r="FW429" s="104"/>
      <c r="FX429" s="116"/>
    </row>
    <row r="430" spans="2:180" x14ac:dyDescent="0.2">
      <c r="B430" s="114"/>
      <c r="C430" s="114"/>
      <c r="D430" s="114"/>
      <c r="E430" s="114"/>
      <c r="F430" s="114"/>
      <c r="G430" s="114"/>
      <c r="H430" s="116"/>
      <c r="J430" s="116"/>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6"/>
      <c r="CR430" s="104"/>
      <c r="CS430" s="104"/>
      <c r="CT430" s="104"/>
      <c r="CU430" s="104"/>
      <c r="CV430" s="104"/>
      <c r="CW430" s="104"/>
      <c r="CX430" s="104"/>
      <c r="CY430" s="104"/>
      <c r="CZ430" s="104"/>
      <c r="DA430" s="104"/>
      <c r="DB430" s="104"/>
      <c r="DC430" s="104"/>
      <c r="DD430" s="104"/>
      <c r="DE430" s="104"/>
      <c r="DF430" s="104"/>
      <c r="DG430" s="104"/>
      <c r="DH430" s="104"/>
      <c r="DI430" s="104"/>
      <c r="DJ430" s="104"/>
      <c r="DK430" s="104"/>
      <c r="DL430" s="104"/>
      <c r="DM430" s="104"/>
      <c r="DN430" s="104"/>
      <c r="DO430" s="104"/>
      <c r="DP430" s="104"/>
      <c r="DQ430" s="104"/>
      <c r="DR430" s="104"/>
      <c r="DS430" s="104"/>
      <c r="DT430" s="104"/>
      <c r="DU430" s="104"/>
      <c r="DV430" s="104"/>
      <c r="DW430" s="104"/>
      <c r="DX430" s="104"/>
      <c r="DY430" s="104"/>
      <c r="DZ430" s="104"/>
      <c r="EA430" s="104"/>
      <c r="EB430" s="104"/>
      <c r="EC430" s="104"/>
      <c r="ED430" s="104"/>
      <c r="EE430" s="104"/>
      <c r="EF430" s="104"/>
      <c r="EG430" s="104"/>
      <c r="EH430" s="104"/>
      <c r="EI430" s="104"/>
      <c r="EJ430" s="104"/>
      <c r="EK430" s="104"/>
      <c r="EL430" s="104"/>
      <c r="EM430" s="104"/>
      <c r="EN430" s="104"/>
      <c r="EO430" s="104"/>
      <c r="EP430" s="104"/>
      <c r="EQ430" s="104"/>
      <c r="ER430" s="104"/>
      <c r="ES430" s="104"/>
      <c r="ET430" s="104"/>
      <c r="EU430" s="104"/>
      <c r="EV430" s="104"/>
      <c r="EW430" s="104"/>
      <c r="EX430" s="104"/>
      <c r="EY430" s="104"/>
      <c r="EZ430" s="104"/>
      <c r="FA430" s="104"/>
      <c r="FB430" s="104"/>
      <c r="FC430" s="104"/>
      <c r="FD430" s="104"/>
      <c r="FE430" s="104"/>
      <c r="FF430" s="104"/>
      <c r="FG430" s="104"/>
      <c r="FH430" s="104"/>
      <c r="FI430" s="104"/>
      <c r="FJ430" s="104"/>
      <c r="FK430" s="104"/>
      <c r="FL430" s="104"/>
      <c r="FM430" s="104"/>
      <c r="FN430" s="104"/>
      <c r="FO430" s="104"/>
      <c r="FP430" s="104"/>
      <c r="FQ430" s="104"/>
      <c r="FR430" s="104"/>
      <c r="FS430" s="104"/>
      <c r="FT430" s="104"/>
      <c r="FU430" s="104"/>
      <c r="FV430" s="104"/>
      <c r="FW430" s="104"/>
      <c r="FX430" s="116"/>
    </row>
    <row r="431" spans="2:180" x14ac:dyDescent="0.2">
      <c r="B431" s="114"/>
      <c r="C431" s="114"/>
      <c r="D431" s="114"/>
      <c r="E431" s="114"/>
      <c r="F431" s="114"/>
      <c r="G431" s="114"/>
      <c r="H431" s="116"/>
      <c r="J431" s="116"/>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6"/>
      <c r="CR431" s="104"/>
      <c r="CS431" s="104"/>
      <c r="CT431" s="104"/>
      <c r="CU431" s="104"/>
      <c r="CV431" s="104"/>
      <c r="CW431" s="104"/>
      <c r="CX431" s="104"/>
      <c r="CY431" s="104"/>
      <c r="CZ431" s="104"/>
      <c r="DA431" s="104"/>
      <c r="DB431" s="104"/>
      <c r="DC431" s="104"/>
      <c r="DD431" s="104"/>
      <c r="DE431" s="104"/>
      <c r="DF431" s="104"/>
      <c r="DG431" s="104"/>
      <c r="DH431" s="104"/>
      <c r="DI431" s="104"/>
      <c r="DJ431" s="104"/>
      <c r="DK431" s="104"/>
      <c r="DL431" s="104"/>
      <c r="DM431" s="104"/>
      <c r="DN431" s="104"/>
      <c r="DO431" s="104"/>
      <c r="DP431" s="104"/>
      <c r="DQ431" s="104"/>
      <c r="DR431" s="104"/>
      <c r="DS431" s="104"/>
      <c r="DT431" s="104"/>
      <c r="DU431" s="104"/>
      <c r="DV431" s="104"/>
      <c r="DW431" s="104"/>
      <c r="DX431" s="104"/>
      <c r="DY431" s="104"/>
      <c r="DZ431" s="104"/>
      <c r="EA431" s="104"/>
      <c r="EB431" s="104"/>
      <c r="EC431" s="104"/>
      <c r="ED431" s="104"/>
      <c r="EE431" s="104"/>
      <c r="EF431" s="104"/>
      <c r="EG431" s="104"/>
      <c r="EH431" s="104"/>
      <c r="EI431" s="104"/>
      <c r="EJ431" s="104"/>
      <c r="EK431" s="104"/>
      <c r="EL431" s="104"/>
      <c r="EM431" s="104"/>
      <c r="EN431" s="104"/>
      <c r="EO431" s="104"/>
      <c r="EP431" s="104"/>
      <c r="EQ431" s="104"/>
      <c r="ER431" s="104"/>
      <c r="ES431" s="104"/>
      <c r="ET431" s="104"/>
      <c r="EU431" s="104"/>
      <c r="EV431" s="104"/>
      <c r="EW431" s="104"/>
      <c r="EX431" s="104"/>
      <c r="EY431" s="104"/>
      <c r="EZ431" s="104"/>
      <c r="FA431" s="104"/>
      <c r="FB431" s="104"/>
      <c r="FC431" s="104"/>
      <c r="FD431" s="104"/>
      <c r="FE431" s="104"/>
      <c r="FF431" s="104"/>
      <c r="FG431" s="104"/>
      <c r="FH431" s="104"/>
      <c r="FI431" s="104"/>
      <c r="FJ431" s="104"/>
      <c r="FK431" s="104"/>
      <c r="FL431" s="104"/>
      <c r="FM431" s="104"/>
      <c r="FN431" s="104"/>
      <c r="FO431" s="104"/>
      <c r="FP431" s="104"/>
      <c r="FQ431" s="104"/>
      <c r="FR431" s="104"/>
      <c r="FS431" s="104"/>
      <c r="FT431" s="104"/>
      <c r="FU431" s="104"/>
      <c r="FV431" s="104"/>
      <c r="FW431" s="104"/>
      <c r="FX431" s="116"/>
    </row>
    <row r="432" spans="2:180" x14ac:dyDescent="0.2">
      <c r="B432" s="114"/>
      <c r="C432" s="114"/>
      <c r="D432" s="114"/>
      <c r="E432" s="114"/>
      <c r="F432" s="114"/>
      <c r="G432" s="114"/>
      <c r="H432" s="116"/>
      <c r="J432" s="116"/>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6"/>
      <c r="CR432" s="104"/>
      <c r="CS432" s="104"/>
      <c r="CT432" s="104"/>
      <c r="CU432" s="104"/>
      <c r="CV432" s="104"/>
      <c r="CW432" s="104"/>
      <c r="CX432" s="104"/>
      <c r="CY432" s="104"/>
      <c r="CZ432" s="104"/>
      <c r="DA432" s="104"/>
      <c r="DB432" s="104"/>
      <c r="DC432" s="104"/>
      <c r="DD432" s="104"/>
      <c r="DE432" s="104"/>
      <c r="DF432" s="104"/>
      <c r="DG432" s="104"/>
      <c r="DH432" s="104"/>
      <c r="DI432" s="104"/>
      <c r="DJ432" s="104"/>
      <c r="DK432" s="104"/>
      <c r="DL432" s="104"/>
      <c r="DM432" s="104"/>
      <c r="DN432" s="104"/>
      <c r="DO432" s="104"/>
      <c r="DP432" s="104"/>
      <c r="DQ432" s="104"/>
      <c r="DR432" s="104"/>
      <c r="DS432" s="104"/>
      <c r="DT432" s="104"/>
      <c r="DU432" s="104"/>
      <c r="DV432" s="104"/>
      <c r="DW432" s="104"/>
      <c r="DX432" s="104"/>
      <c r="DY432" s="104"/>
      <c r="DZ432" s="104"/>
      <c r="EA432" s="104"/>
      <c r="EB432" s="104"/>
      <c r="EC432" s="104"/>
      <c r="ED432" s="104"/>
      <c r="EE432" s="104"/>
      <c r="EF432" s="104"/>
      <c r="EG432" s="104"/>
      <c r="EH432" s="104"/>
      <c r="EI432" s="104"/>
      <c r="EJ432" s="104"/>
      <c r="EK432" s="104"/>
      <c r="EL432" s="104"/>
      <c r="EM432" s="104"/>
      <c r="EN432" s="104"/>
      <c r="EO432" s="104"/>
      <c r="EP432" s="104"/>
      <c r="EQ432" s="104"/>
      <c r="ER432" s="104"/>
      <c r="ES432" s="104"/>
      <c r="ET432" s="104"/>
      <c r="EU432" s="104"/>
      <c r="EV432" s="104"/>
      <c r="EW432" s="104"/>
      <c r="EX432" s="104"/>
      <c r="EY432" s="104"/>
      <c r="EZ432" s="104"/>
      <c r="FA432" s="104"/>
      <c r="FB432" s="104"/>
      <c r="FC432" s="104"/>
      <c r="FD432" s="104"/>
      <c r="FE432" s="104"/>
      <c r="FF432" s="104"/>
      <c r="FG432" s="104"/>
      <c r="FH432" s="104"/>
      <c r="FI432" s="104"/>
      <c r="FJ432" s="104"/>
      <c r="FK432" s="104"/>
      <c r="FL432" s="104"/>
      <c r="FM432" s="104"/>
      <c r="FN432" s="104"/>
      <c r="FO432" s="104"/>
      <c r="FP432" s="104"/>
      <c r="FQ432" s="104"/>
      <c r="FR432" s="104"/>
      <c r="FS432" s="104"/>
      <c r="FT432" s="104"/>
      <c r="FU432" s="104"/>
      <c r="FV432" s="104"/>
      <c r="FW432" s="104"/>
      <c r="FX432" s="116"/>
    </row>
    <row r="433" spans="2:180" x14ac:dyDescent="0.2">
      <c r="B433" s="114"/>
      <c r="C433" s="114"/>
      <c r="D433" s="114"/>
      <c r="E433" s="114"/>
      <c r="F433" s="114"/>
      <c r="G433" s="114"/>
      <c r="H433" s="116"/>
      <c r="J433" s="116"/>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6"/>
      <c r="CR433" s="104"/>
      <c r="CS433" s="104"/>
      <c r="CT433" s="104"/>
      <c r="CU433" s="104"/>
      <c r="CV433" s="104"/>
      <c r="CW433" s="104"/>
      <c r="CX433" s="104"/>
      <c r="CY433" s="104"/>
      <c r="CZ433" s="104"/>
      <c r="DA433" s="104"/>
      <c r="DB433" s="104"/>
      <c r="DC433" s="104"/>
      <c r="DD433" s="104"/>
      <c r="DE433" s="104"/>
      <c r="DF433" s="104"/>
      <c r="DG433" s="104"/>
      <c r="DH433" s="104"/>
      <c r="DI433" s="104"/>
      <c r="DJ433" s="104"/>
      <c r="DK433" s="104"/>
      <c r="DL433" s="104"/>
      <c r="DM433" s="104"/>
      <c r="DN433" s="104"/>
      <c r="DO433" s="104"/>
      <c r="DP433" s="104"/>
      <c r="DQ433" s="104"/>
      <c r="DR433" s="104"/>
      <c r="DS433" s="104"/>
      <c r="DT433" s="104"/>
      <c r="DU433" s="104"/>
      <c r="DV433" s="104"/>
      <c r="DW433" s="104"/>
      <c r="DX433" s="104"/>
      <c r="DY433" s="104"/>
      <c r="DZ433" s="104"/>
      <c r="EA433" s="104"/>
      <c r="EB433" s="104"/>
      <c r="EC433" s="104"/>
      <c r="ED433" s="104"/>
      <c r="EE433" s="104"/>
      <c r="EF433" s="104"/>
      <c r="EG433" s="104"/>
      <c r="EH433" s="104"/>
      <c r="EI433" s="104"/>
      <c r="EJ433" s="104"/>
      <c r="EK433" s="104"/>
      <c r="EL433" s="104"/>
      <c r="EM433" s="104"/>
      <c r="EN433" s="104"/>
      <c r="EO433" s="104"/>
      <c r="EP433" s="104"/>
      <c r="EQ433" s="104"/>
      <c r="ER433" s="104"/>
      <c r="ES433" s="104"/>
      <c r="ET433" s="104"/>
      <c r="EU433" s="104"/>
      <c r="EV433" s="104"/>
      <c r="EW433" s="104"/>
      <c r="EX433" s="104"/>
      <c r="EY433" s="104"/>
      <c r="EZ433" s="104"/>
      <c r="FA433" s="104"/>
      <c r="FB433" s="104"/>
      <c r="FC433" s="104"/>
      <c r="FD433" s="104"/>
      <c r="FE433" s="104"/>
      <c r="FF433" s="104"/>
      <c r="FG433" s="104"/>
      <c r="FH433" s="104"/>
      <c r="FI433" s="104"/>
      <c r="FJ433" s="104"/>
      <c r="FK433" s="104"/>
      <c r="FL433" s="104"/>
      <c r="FM433" s="104"/>
      <c r="FN433" s="104"/>
      <c r="FO433" s="104"/>
      <c r="FP433" s="104"/>
      <c r="FQ433" s="104"/>
      <c r="FR433" s="104"/>
      <c r="FS433" s="104"/>
      <c r="FT433" s="104"/>
      <c r="FU433" s="104"/>
      <c r="FV433" s="104"/>
      <c r="FW433" s="104"/>
      <c r="FX433" s="116"/>
    </row>
    <row r="434" spans="2:180" x14ac:dyDescent="0.2">
      <c r="B434" s="114"/>
      <c r="C434" s="114"/>
      <c r="D434" s="114"/>
      <c r="E434" s="114"/>
      <c r="F434" s="114"/>
      <c r="G434" s="114"/>
      <c r="H434" s="116"/>
      <c r="J434" s="116"/>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6"/>
      <c r="CR434" s="104"/>
      <c r="CS434" s="104"/>
      <c r="CT434" s="104"/>
      <c r="CU434" s="104"/>
      <c r="CV434" s="104"/>
      <c r="CW434" s="104"/>
      <c r="CX434" s="104"/>
      <c r="CY434" s="104"/>
      <c r="CZ434" s="104"/>
      <c r="DA434" s="104"/>
      <c r="DB434" s="104"/>
      <c r="DC434" s="104"/>
      <c r="DD434" s="104"/>
      <c r="DE434" s="104"/>
      <c r="DF434" s="104"/>
      <c r="DG434" s="104"/>
      <c r="DH434" s="104"/>
      <c r="DI434" s="104"/>
      <c r="DJ434" s="104"/>
      <c r="DK434" s="104"/>
      <c r="DL434" s="104"/>
      <c r="DM434" s="104"/>
      <c r="DN434" s="104"/>
      <c r="DO434" s="104"/>
      <c r="DP434" s="104"/>
      <c r="DQ434" s="104"/>
      <c r="DR434" s="104"/>
      <c r="DS434" s="104"/>
      <c r="DT434" s="104"/>
      <c r="DU434" s="104"/>
      <c r="DV434" s="104"/>
      <c r="DW434" s="104"/>
      <c r="DX434" s="104"/>
      <c r="DY434" s="104"/>
      <c r="DZ434" s="104"/>
      <c r="EA434" s="104"/>
      <c r="EB434" s="104"/>
      <c r="EC434" s="104"/>
      <c r="ED434" s="104"/>
      <c r="EE434" s="104"/>
      <c r="EF434" s="104"/>
      <c r="EG434" s="104"/>
      <c r="EH434" s="104"/>
      <c r="EI434" s="104"/>
      <c r="EJ434" s="104"/>
      <c r="EK434" s="104"/>
      <c r="EL434" s="104"/>
      <c r="EM434" s="104"/>
      <c r="EN434" s="104"/>
      <c r="EO434" s="104"/>
      <c r="EP434" s="104"/>
      <c r="EQ434" s="104"/>
      <c r="ER434" s="104"/>
      <c r="ES434" s="104"/>
      <c r="ET434" s="104"/>
      <c r="EU434" s="104"/>
      <c r="EV434" s="104"/>
      <c r="EW434" s="104"/>
      <c r="EX434" s="104"/>
      <c r="EY434" s="104"/>
      <c r="EZ434" s="104"/>
      <c r="FA434" s="104"/>
      <c r="FB434" s="104"/>
      <c r="FC434" s="104"/>
      <c r="FD434" s="104"/>
      <c r="FE434" s="104"/>
      <c r="FF434" s="104"/>
      <c r="FG434" s="104"/>
      <c r="FH434" s="104"/>
      <c r="FI434" s="104"/>
      <c r="FJ434" s="104"/>
      <c r="FK434" s="104"/>
      <c r="FL434" s="104"/>
      <c r="FM434" s="104"/>
      <c r="FN434" s="104"/>
      <c r="FO434" s="104"/>
      <c r="FP434" s="104"/>
      <c r="FQ434" s="104"/>
      <c r="FR434" s="104"/>
      <c r="FS434" s="104"/>
      <c r="FT434" s="104"/>
      <c r="FU434" s="104"/>
      <c r="FV434" s="104"/>
      <c r="FW434" s="104"/>
      <c r="FX434" s="116"/>
    </row>
    <row r="435" spans="2:180" x14ac:dyDescent="0.2">
      <c r="B435" s="114"/>
      <c r="C435" s="114"/>
      <c r="D435" s="114"/>
      <c r="E435" s="114"/>
      <c r="F435" s="114"/>
      <c r="G435" s="114"/>
      <c r="H435" s="116"/>
      <c r="J435" s="116"/>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6"/>
      <c r="CR435" s="104"/>
      <c r="CS435" s="104"/>
      <c r="CT435" s="104"/>
      <c r="CU435" s="104"/>
      <c r="CV435" s="104"/>
      <c r="CW435" s="104"/>
      <c r="CX435" s="104"/>
      <c r="CY435" s="104"/>
      <c r="CZ435" s="104"/>
      <c r="DA435" s="104"/>
      <c r="DB435" s="104"/>
      <c r="DC435" s="104"/>
      <c r="DD435" s="104"/>
      <c r="DE435" s="104"/>
      <c r="DF435" s="104"/>
      <c r="DG435" s="104"/>
      <c r="DH435" s="104"/>
      <c r="DI435" s="104"/>
      <c r="DJ435" s="104"/>
      <c r="DK435" s="104"/>
      <c r="DL435" s="104"/>
      <c r="DM435" s="104"/>
      <c r="DN435" s="104"/>
      <c r="DO435" s="104"/>
      <c r="DP435" s="104"/>
      <c r="DQ435" s="104"/>
      <c r="DR435" s="104"/>
      <c r="DS435" s="104"/>
      <c r="DT435" s="104"/>
      <c r="DU435" s="104"/>
      <c r="DV435" s="104"/>
      <c r="DW435" s="104"/>
      <c r="DX435" s="104"/>
      <c r="DY435" s="104"/>
      <c r="DZ435" s="104"/>
      <c r="EA435" s="104"/>
      <c r="EB435" s="104"/>
      <c r="EC435" s="104"/>
      <c r="ED435" s="104"/>
      <c r="EE435" s="104"/>
      <c r="EF435" s="104"/>
      <c r="EG435" s="104"/>
      <c r="EH435" s="104"/>
      <c r="EI435" s="104"/>
      <c r="EJ435" s="104"/>
      <c r="EK435" s="104"/>
      <c r="EL435" s="104"/>
      <c r="EM435" s="104"/>
      <c r="EN435" s="104"/>
      <c r="EO435" s="104"/>
      <c r="EP435" s="104"/>
      <c r="EQ435" s="104"/>
      <c r="ER435" s="104"/>
      <c r="ES435" s="104"/>
      <c r="ET435" s="104"/>
      <c r="EU435" s="104"/>
      <c r="EV435" s="104"/>
      <c r="EW435" s="104"/>
      <c r="EX435" s="104"/>
      <c r="EY435" s="104"/>
      <c r="EZ435" s="104"/>
      <c r="FA435" s="104"/>
      <c r="FB435" s="104"/>
      <c r="FC435" s="104"/>
      <c r="FD435" s="104"/>
      <c r="FE435" s="104"/>
      <c r="FF435" s="104"/>
      <c r="FG435" s="104"/>
      <c r="FH435" s="104"/>
      <c r="FI435" s="104"/>
      <c r="FJ435" s="104"/>
      <c r="FK435" s="104"/>
      <c r="FL435" s="104"/>
      <c r="FM435" s="104"/>
      <c r="FN435" s="104"/>
      <c r="FO435" s="104"/>
      <c r="FP435" s="104"/>
      <c r="FQ435" s="104"/>
      <c r="FR435" s="104"/>
      <c r="FS435" s="104"/>
      <c r="FT435" s="104"/>
      <c r="FU435" s="104"/>
      <c r="FV435" s="104"/>
      <c r="FW435" s="104"/>
      <c r="FX435" s="116"/>
    </row>
    <row r="436" spans="2:180" x14ac:dyDescent="0.2">
      <c r="B436" s="114"/>
      <c r="C436" s="114"/>
      <c r="D436" s="114"/>
      <c r="E436" s="114"/>
      <c r="F436" s="114"/>
      <c r="G436" s="114"/>
      <c r="H436" s="116"/>
      <c r="J436" s="116"/>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6"/>
      <c r="CR436" s="104"/>
      <c r="CS436" s="104"/>
      <c r="CT436" s="104"/>
      <c r="CU436" s="104"/>
      <c r="CV436" s="104"/>
      <c r="CW436" s="104"/>
      <c r="CX436" s="104"/>
      <c r="CY436" s="104"/>
      <c r="CZ436" s="104"/>
      <c r="DA436" s="104"/>
      <c r="DB436" s="104"/>
      <c r="DC436" s="104"/>
      <c r="DD436" s="104"/>
      <c r="DE436" s="104"/>
      <c r="DF436" s="104"/>
      <c r="DG436" s="104"/>
      <c r="DH436" s="104"/>
      <c r="DI436" s="104"/>
      <c r="DJ436" s="104"/>
      <c r="DK436" s="104"/>
      <c r="DL436" s="104"/>
      <c r="DM436" s="104"/>
      <c r="DN436" s="104"/>
      <c r="DO436" s="104"/>
      <c r="DP436" s="104"/>
      <c r="DQ436" s="104"/>
      <c r="DR436" s="104"/>
      <c r="DS436" s="104"/>
      <c r="DT436" s="104"/>
      <c r="DU436" s="104"/>
      <c r="DV436" s="104"/>
      <c r="DW436" s="104"/>
      <c r="DX436" s="104"/>
      <c r="DY436" s="104"/>
      <c r="DZ436" s="104"/>
      <c r="EA436" s="104"/>
      <c r="EB436" s="104"/>
      <c r="EC436" s="104"/>
      <c r="ED436" s="104"/>
      <c r="EE436" s="104"/>
      <c r="EF436" s="104"/>
      <c r="EG436" s="104"/>
      <c r="EH436" s="104"/>
      <c r="EI436" s="104"/>
      <c r="EJ436" s="104"/>
      <c r="EK436" s="104"/>
      <c r="EL436" s="104"/>
      <c r="EM436" s="104"/>
      <c r="EN436" s="104"/>
      <c r="EO436" s="104"/>
      <c r="EP436" s="104"/>
      <c r="EQ436" s="104"/>
      <c r="ER436" s="104"/>
      <c r="ES436" s="104"/>
      <c r="ET436" s="104"/>
      <c r="EU436" s="104"/>
      <c r="EV436" s="104"/>
      <c r="EW436" s="104"/>
      <c r="EX436" s="104"/>
      <c r="EY436" s="104"/>
      <c r="EZ436" s="104"/>
      <c r="FA436" s="104"/>
      <c r="FB436" s="104"/>
      <c r="FC436" s="104"/>
      <c r="FD436" s="104"/>
      <c r="FE436" s="104"/>
      <c r="FF436" s="104"/>
      <c r="FG436" s="104"/>
      <c r="FH436" s="104"/>
      <c r="FI436" s="104"/>
      <c r="FJ436" s="104"/>
      <c r="FK436" s="104"/>
      <c r="FL436" s="104"/>
      <c r="FM436" s="104"/>
      <c r="FN436" s="104"/>
      <c r="FO436" s="104"/>
      <c r="FP436" s="104"/>
      <c r="FQ436" s="104"/>
      <c r="FR436" s="104"/>
      <c r="FS436" s="104"/>
      <c r="FT436" s="104"/>
      <c r="FU436" s="104"/>
      <c r="FV436" s="104"/>
      <c r="FW436" s="104"/>
      <c r="FX436" s="116"/>
    </row>
    <row r="437" spans="2:180" x14ac:dyDescent="0.2">
      <c r="B437" s="114"/>
      <c r="C437" s="114"/>
      <c r="D437" s="114"/>
      <c r="E437" s="114"/>
      <c r="F437" s="114"/>
      <c r="G437" s="114"/>
      <c r="H437" s="116"/>
      <c r="J437" s="116"/>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6"/>
      <c r="CR437" s="104"/>
      <c r="CS437" s="104"/>
      <c r="CT437" s="104"/>
      <c r="CU437" s="104"/>
      <c r="CV437" s="104"/>
      <c r="CW437" s="104"/>
      <c r="CX437" s="104"/>
      <c r="CY437" s="104"/>
      <c r="CZ437" s="104"/>
      <c r="DA437" s="104"/>
      <c r="DB437" s="104"/>
      <c r="DC437" s="104"/>
      <c r="DD437" s="104"/>
      <c r="DE437" s="104"/>
      <c r="DF437" s="104"/>
      <c r="DG437" s="104"/>
      <c r="DH437" s="104"/>
      <c r="DI437" s="104"/>
      <c r="DJ437" s="104"/>
      <c r="DK437" s="104"/>
      <c r="DL437" s="104"/>
      <c r="DM437" s="104"/>
      <c r="DN437" s="104"/>
      <c r="DO437" s="104"/>
      <c r="DP437" s="104"/>
      <c r="DQ437" s="104"/>
      <c r="DR437" s="104"/>
      <c r="DS437" s="104"/>
      <c r="DT437" s="104"/>
      <c r="DU437" s="104"/>
      <c r="DV437" s="104"/>
      <c r="DW437" s="104"/>
      <c r="DX437" s="104"/>
      <c r="DY437" s="104"/>
      <c r="DZ437" s="104"/>
      <c r="EA437" s="104"/>
      <c r="EB437" s="104"/>
      <c r="EC437" s="104"/>
      <c r="ED437" s="104"/>
      <c r="EE437" s="104"/>
      <c r="EF437" s="104"/>
      <c r="EG437" s="104"/>
      <c r="EH437" s="104"/>
      <c r="EI437" s="104"/>
      <c r="EJ437" s="104"/>
      <c r="EK437" s="104"/>
      <c r="EL437" s="104"/>
      <c r="EM437" s="104"/>
      <c r="EN437" s="104"/>
      <c r="EO437" s="104"/>
      <c r="EP437" s="104"/>
      <c r="EQ437" s="104"/>
      <c r="ER437" s="104"/>
      <c r="ES437" s="104"/>
      <c r="ET437" s="104"/>
      <c r="EU437" s="104"/>
      <c r="EV437" s="104"/>
      <c r="EW437" s="104"/>
      <c r="EX437" s="104"/>
      <c r="EY437" s="104"/>
      <c r="EZ437" s="104"/>
      <c r="FA437" s="104"/>
      <c r="FB437" s="104"/>
      <c r="FC437" s="104"/>
      <c r="FD437" s="104"/>
      <c r="FE437" s="104"/>
      <c r="FF437" s="104"/>
      <c r="FG437" s="104"/>
      <c r="FH437" s="104"/>
      <c r="FI437" s="104"/>
      <c r="FJ437" s="104"/>
      <c r="FK437" s="104"/>
      <c r="FL437" s="104"/>
      <c r="FM437" s="104"/>
      <c r="FN437" s="104"/>
      <c r="FO437" s="104"/>
      <c r="FP437" s="104"/>
      <c r="FQ437" s="104"/>
      <c r="FR437" s="104"/>
      <c r="FS437" s="104"/>
      <c r="FT437" s="104"/>
      <c r="FU437" s="104"/>
      <c r="FV437" s="104"/>
      <c r="FW437" s="104"/>
      <c r="FX437" s="116"/>
    </row>
    <row r="438" spans="2:180" x14ac:dyDescent="0.2">
      <c r="B438" s="114"/>
      <c r="C438" s="114"/>
      <c r="D438" s="114"/>
      <c r="E438" s="114"/>
      <c r="F438" s="114"/>
      <c r="G438" s="114"/>
      <c r="H438" s="116"/>
      <c r="J438" s="116"/>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6"/>
      <c r="CR438" s="104"/>
      <c r="CS438" s="104"/>
      <c r="CT438" s="104"/>
      <c r="CU438" s="104"/>
      <c r="CV438" s="104"/>
      <c r="CW438" s="104"/>
      <c r="CX438" s="104"/>
      <c r="CY438" s="104"/>
      <c r="CZ438" s="104"/>
      <c r="DA438" s="104"/>
      <c r="DB438" s="104"/>
      <c r="DC438" s="104"/>
      <c r="DD438" s="104"/>
      <c r="DE438" s="104"/>
      <c r="DF438" s="104"/>
      <c r="DG438" s="104"/>
      <c r="DH438" s="104"/>
      <c r="DI438" s="104"/>
      <c r="DJ438" s="104"/>
      <c r="DK438" s="104"/>
      <c r="DL438" s="104"/>
      <c r="DM438" s="104"/>
      <c r="DN438" s="104"/>
      <c r="DO438" s="104"/>
      <c r="DP438" s="104"/>
      <c r="DQ438" s="104"/>
      <c r="DR438" s="104"/>
      <c r="DS438" s="104"/>
      <c r="DT438" s="104"/>
      <c r="DU438" s="104"/>
      <c r="DV438" s="104"/>
      <c r="DW438" s="104"/>
      <c r="DX438" s="104"/>
      <c r="DY438" s="104"/>
      <c r="DZ438" s="104"/>
      <c r="EA438" s="104"/>
      <c r="EB438" s="104"/>
      <c r="EC438" s="104"/>
      <c r="ED438" s="104"/>
      <c r="EE438" s="104"/>
      <c r="EF438" s="104"/>
      <c r="EG438" s="104"/>
      <c r="EH438" s="104"/>
      <c r="EI438" s="104"/>
      <c r="EJ438" s="104"/>
      <c r="EK438" s="104"/>
      <c r="EL438" s="104"/>
      <c r="EM438" s="104"/>
      <c r="EN438" s="104"/>
      <c r="EO438" s="104"/>
      <c r="EP438" s="104"/>
      <c r="EQ438" s="104"/>
      <c r="ER438" s="104"/>
      <c r="ES438" s="104"/>
      <c r="ET438" s="104"/>
      <c r="EU438" s="104"/>
      <c r="EV438" s="104"/>
      <c r="EW438" s="104"/>
      <c r="EX438" s="104"/>
      <c r="EY438" s="104"/>
      <c r="EZ438" s="104"/>
      <c r="FA438" s="104"/>
      <c r="FB438" s="104"/>
      <c r="FC438" s="104"/>
      <c r="FD438" s="104"/>
      <c r="FE438" s="104"/>
      <c r="FF438" s="104"/>
      <c r="FG438" s="104"/>
      <c r="FH438" s="104"/>
      <c r="FI438" s="104"/>
      <c r="FJ438" s="104"/>
      <c r="FK438" s="104"/>
      <c r="FL438" s="104"/>
      <c r="FM438" s="104"/>
      <c r="FN438" s="104"/>
      <c r="FO438" s="104"/>
      <c r="FP438" s="104"/>
      <c r="FQ438" s="104"/>
      <c r="FR438" s="104"/>
      <c r="FS438" s="104"/>
      <c r="FT438" s="104"/>
      <c r="FU438" s="104"/>
      <c r="FV438" s="104"/>
      <c r="FW438" s="104"/>
      <c r="FX438" s="116"/>
    </row>
    <row r="439" spans="2:180" x14ac:dyDescent="0.2">
      <c r="B439" s="114"/>
      <c r="C439" s="114"/>
      <c r="D439" s="114"/>
      <c r="E439" s="114"/>
      <c r="F439" s="114"/>
      <c r="G439" s="114"/>
      <c r="H439" s="116"/>
      <c r="J439" s="116"/>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6"/>
      <c r="CR439" s="104"/>
      <c r="CS439" s="104"/>
      <c r="CT439" s="104"/>
      <c r="CU439" s="104"/>
      <c r="CV439" s="104"/>
      <c r="CW439" s="104"/>
      <c r="CX439" s="104"/>
      <c r="CY439" s="104"/>
      <c r="CZ439" s="104"/>
      <c r="DA439" s="104"/>
      <c r="DB439" s="104"/>
      <c r="DC439" s="104"/>
      <c r="DD439" s="104"/>
      <c r="DE439" s="104"/>
      <c r="DF439" s="104"/>
      <c r="DG439" s="104"/>
      <c r="DH439" s="104"/>
      <c r="DI439" s="104"/>
      <c r="DJ439" s="104"/>
      <c r="DK439" s="104"/>
      <c r="DL439" s="104"/>
      <c r="DM439" s="104"/>
      <c r="DN439" s="104"/>
      <c r="DO439" s="104"/>
      <c r="DP439" s="104"/>
      <c r="DQ439" s="104"/>
      <c r="DR439" s="104"/>
      <c r="DS439" s="104"/>
      <c r="DT439" s="104"/>
      <c r="DU439" s="104"/>
      <c r="DV439" s="104"/>
      <c r="DW439" s="104"/>
      <c r="DX439" s="104"/>
      <c r="DY439" s="104"/>
      <c r="DZ439" s="104"/>
      <c r="EA439" s="104"/>
      <c r="EB439" s="104"/>
      <c r="EC439" s="104"/>
      <c r="ED439" s="104"/>
      <c r="EE439" s="104"/>
      <c r="EF439" s="104"/>
      <c r="EG439" s="104"/>
      <c r="EH439" s="104"/>
      <c r="EI439" s="104"/>
      <c r="EJ439" s="104"/>
      <c r="EK439" s="104"/>
      <c r="EL439" s="104"/>
      <c r="EM439" s="104"/>
      <c r="EN439" s="104"/>
      <c r="EO439" s="104"/>
      <c r="EP439" s="104"/>
      <c r="EQ439" s="104"/>
      <c r="ER439" s="104"/>
      <c r="ES439" s="104"/>
      <c r="ET439" s="104"/>
      <c r="EU439" s="104"/>
      <c r="EV439" s="104"/>
      <c r="EW439" s="104"/>
      <c r="EX439" s="104"/>
      <c r="EY439" s="104"/>
      <c r="EZ439" s="104"/>
      <c r="FA439" s="104"/>
      <c r="FB439" s="104"/>
      <c r="FC439" s="104"/>
      <c r="FD439" s="104"/>
      <c r="FE439" s="104"/>
      <c r="FF439" s="104"/>
      <c r="FG439" s="104"/>
      <c r="FH439" s="104"/>
      <c r="FI439" s="104"/>
      <c r="FJ439" s="104"/>
      <c r="FK439" s="104"/>
      <c r="FL439" s="104"/>
      <c r="FM439" s="104"/>
      <c r="FN439" s="104"/>
      <c r="FO439" s="104"/>
      <c r="FP439" s="104"/>
      <c r="FQ439" s="104"/>
      <c r="FR439" s="104"/>
      <c r="FS439" s="104"/>
      <c r="FT439" s="104"/>
      <c r="FU439" s="104"/>
      <c r="FV439" s="104"/>
      <c r="FW439" s="104"/>
      <c r="FX439" s="116"/>
    </row>
    <row r="440" spans="2:180" x14ac:dyDescent="0.2">
      <c r="B440" s="114"/>
      <c r="C440" s="114"/>
      <c r="D440" s="114"/>
      <c r="E440" s="114"/>
      <c r="F440" s="114"/>
      <c r="G440" s="114"/>
      <c r="H440" s="116"/>
      <c r="J440" s="116"/>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6"/>
      <c r="CR440" s="104"/>
      <c r="CS440" s="104"/>
      <c r="CT440" s="104"/>
      <c r="CU440" s="104"/>
      <c r="CV440" s="104"/>
      <c r="CW440" s="104"/>
      <c r="CX440" s="104"/>
      <c r="CY440" s="104"/>
      <c r="CZ440" s="104"/>
      <c r="DA440" s="104"/>
      <c r="DB440" s="104"/>
      <c r="DC440" s="104"/>
      <c r="DD440" s="104"/>
      <c r="DE440" s="104"/>
      <c r="DF440" s="104"/>
      <c r="DG440" s="104"/>
      <c r="DH440" s="104"/>
      <c r="DI440" s="104"/>
      <c r="DJ440" s="104"/>
      <c r="DK440" s="104"/>
      <c r="DL440" s="104"/>
      <c r="DM440" s="104"/>
      <c r="DN440" s="104"/>
      <c r="DO440" s="104"/>
      <c r="DP440" s="104"/>
      <c r="DQ440" s="104"/>
      <c r="DR440" s="104"/>
      <c r="DS440" s="104"/>
      <c r="DT440" s="104"/>
      <c r="DU440" s="104"/>
      <c r="DV440" s="104"/>
      <c r="DW440" s="104"/>
      <c r="DX440" s="104"/>
      <c r="DY440" s="104"/>
      <c r="DZ440" s="104"/>
      <c r="EA440" s="104"/>
      <c r="EB440" s="104"/>
      <c r="EC440" s="104"/>
      <c r="ED440" s="104"/>
      <c r="EE440" s="104"/>
      <c r="EF440" s="104"/>
      <c r="EG440" s="104"/>
      <c r="EH440" s="104"/>
      <c r="EI440" s="104"/>
      <c r="EJ440" s="104"/>
      <c r="EK440" s="104"/>
      <c r="EL440" s="104"/>
      <c r="EM440" s="104"/>
      <c r="EN440" s="104"/>
      <c r="EO440" s="104"/>
      <c r="EP440" s="104"/>
      <c r="EQ440" s="104"/>
      <c r="ER440" s="104"/>
      <c r="ES440" s="104"/>
      <c r="ET440" s="104"/>
      <c r="EU440" s="104"/>
      <c r="EV440" s="104"/>
      <c r="EW440" s="104"/>
      <c r="EX440" s="104"/>
      <c r="EY440" s="104"/>
      <c r="EZ440" s="104"/>
      <c r="FA440" s="104"/>
      <c r="FB440" s="104"/>
      <c r="FC440" s="104"/>
      <c r="FD440" s="104"/>
      <c r="FE440" s="104"/>
      <c r="FF440" s="104"/>
      <c r="FG440" s="104"/>
      <c r="FH440" s="104"/>
      <c r="FI440" s="104"/>
      <c r="FJ440" s="104"/>
      <c r="FK440" s="104"/>
      <c r="FL440" s="104"/>
      <c r="FM440" s="104"/>
      <c r="FN440" s="104"/>
      <c r="FO440" s="104"/>
      <c r="FP440" s="104"/>
      <c r="FQ440" s="104"/>
      <c r="FR440" s="104"/>
      <c r="FS440" s="104"/>
      <c r="FT440" s="104"/>
      <c r="FU440" s="104"/>
      <c r="FV440" s="104"/>
      <c r="FW440" s="104"/>
      <c r="FX440" s="116"/>
    </row>
    <row r="441" spans="2:180" x14ac:dyDescent="0.2">
      <c r="B441" s="114"/>
      <c r="C441" s="114"/>
      <c r="D441" s="114"/>
      <c r="E441" s="114"/>
      <c r="F441" s="114"/>
      <c r="G441" s="114"/>
      <c r="H441" s="116"/>
      <c r="J441" s="116"/>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6"/>
      <c r="CR441" s="104"/>
      <c r="CS441" s="104"/>
      <c r="CT441" s="104"/>
      <c r="CU441" s="104"/>
      <c r="CV441" s="104"/>
      <c r="CW441" s="104"/>
      <c r="CX441" s="104"/>
      <c r="CY441" s="104"/>
      <c r="CZ441" s="104"/>
      <c r="DA441" s="104"/>
      <c r="DB441" s="104"/>
      <c r="DC441" s="104"/>
      <c r="DD441" s="104"/>
      <c r="DE441" s="104"/>
      <c r="DF441" s="104"/>
      <c r="DG441" s="104"/>
      <c r="DH441" s="104"/>
      <c r="DI441" s="104"/>
      <c r="DJ441" s="104"/>
      <c r="DK441" s="104"/>
      <c r="DL441" s="104"/>
      <c r="DM441" s="104"/>
      <c r="DN441" s="104"/>
      <c r="DO441" s="104"/>
      <c r="DP441" s="104"/>
      <c r="DQ441" s="104"/>
      <c r="DR441" s="104"/>
      <c r="DS441" s="104"/>
      <c r="DT441" s="104"/>
      <c r="DU441" s="104"/>
      <c r="DV441" s="104"/>
      <c r="DW441" s="104"/>
      <c r="DX441" s="104"/>
      <c r="DY441" s="104"/>
      <c r="DZ441" s="104"/>
      <c r="EA441" s="104"/>
      <c r="EB441" s="104"/>
      <c r="EC441" s="104"/>
      <c r="ED441" s="104"/>
      <c r="EE441" s="104"/>
      <c r="EF441" s="104"/>
      <c r="EG441" s="104"/>
      <c r="EH441" s="104"/>
      <c r="EI441" s="104"/>
      <c r="EJ441" s="104"/>
      <c r="EK441" s="104"/>
      <c r="EL441" s="104"/>
      <c r="EM441" s="104"/>
      <c r="EN441" s="104"/>
      <c r="EO441" s="104"/>
      <c r="EP441" s="104"/>
      <c r="EQ441" s="104"/>
      <c r="ER441" s="104"/>
      <c r="ES441" s="104"/>
      <c r="ET441" s="104"/>
      <c r="EU441" s="104"/>
      <c r="EV441" s="104"/>
      <c r="EW441" s="104"/>
      <c r="EX441" s="104"/>
      <c r="EY441" s="104"/>
      <c r="EZ441" s="104"/>
      <c r="FA441" s="104"/>
      <c r="FB441" s="104"/>
      <c r="FC441" s="104"/>
      <c r="FD441" s="104"/>
      <c r="FE441" s="104"/>
      <c r="FF441" s="104"/>
      <c r="FG441" s="104"/>
      <c r="FH441" s="104"/>
      <c r="FI441" s="104"/>
      <c r="FJ441" s="104"/>
      <c r="FK441" s="104"/>
      <c r="FL441" s="104"/>
      <c r="FM441" s="104"/>
      <c r="FN441" s="104"/>
      <c r="FO441" s="104"/>
      <c r="FP441" s="104"/>
      <c r="FQ441" s="104"/>
      <c r="FR441" s="104"/>
      <c r="FS441" s="104"/>
      <c r="FT441" s="104"/>
      <c r="FU441" s="104"/>
      <c r="FV441" s="104"/>
      <c r="FW441" s="104"/>
      <c r="FX441" s="116"/>
    </row>
    <row r="442" spans="2:180" x14ac:dyDescent="0.2">
      <c r="B442" s="114"/>
      <c r="C442" s="114"/>
      <c r="D442" s="114"/>
      <c r="E442" s="114"/>
      <c r="F442" s="114"/>
      <c r="G442" s="114"/>
      <c r="H442" s="116"/>
      <c r="J442" s="116"/>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6"/>
      <c r="CR442" s="104"/>
      <c r="CS442" s="104"/>
      <c r="CT442" s="104"/>
      <c r="CU442" s="104"/>
      <c r="CV442" s="104"/>
      <c r="CW442" s="104"/>
      <c r="CX442" s="104"/>
      <c r="CY442" s="104"/>
      <c r="CZ442" s="104"/>
      <c r="DA442" s="104"/>
      <c r="DB442" s="104"/>
      <c r="DC442" s="104"/>
      <c r="DD442" s="104"/>
      <c r="DE442" s="104"/>
      <c r="DF442" s="104"/>
      <c r="DG442" s="104"/>
      <c r="DH442" s="104"/>
      <c r="DI442" s="104"/>
      <c r="DJ442" s="104"/>
      <c r="DK442" s="104"/>
      <c r="DL442" s="104"/>
      <c r="DM442" s="104"/>
      <c r="DN442" s="104"/>
      <c r="DO442" s="104"/>
      <c r="DP442" s="104"/>
      <c r="DQ442" s="104"/>
      <c r="DR442" s="104"/>
      <c r="DS442" s="104"/>
      <c r="DT442" s="104"/>
      <c r="DU442" s="104"/>
      <c r="DV442" s="104"/>
      <c r="DW442" s="104"/>
      <c r="DX442" s="104"/>
      <c r="DY442" s="104"/>
      <c r="DZ442" s="104"/>
      <c r="EA442" s="104"/>
      <c r="EB442" s="104"/>
      <c r="EC442" s="104"/>
      <c r="ED442" s="104"/>
      <c r="EE442" s="104"/>
      <c r="EF442" s="104"/>
      <c r="EG442" s="104"/>
      <c r="EH442" s="104"/>
      <c r="EI442" s="104"/>
      <c r="EJ442" s="104"/>
      <c r="EK442" s="104"/>
      <c r="EL442" s="104"/>
      <c r="EM442" s="104"/>
      <c r="EN442" s="104"/>
      <c r="EO442" s="104"/>
      <c r="EP442" s="104"/>
      <c r="EQ442" s="104"/>
      <c r="ER442" s="104"/>
      <c r="ES442" s="104"/>
      <c r="ET442" s="104"/>
      <c r="EU442" s="104"/>
      <c r="EV442" s="104"/>
      <c r="EW442" s="104"/>
      <c r="EX442" s="104"/>
      <c r="EY442" s="104"/>
      <c r="EZ442" s="104"/>
      <c r="FA442" s="104"/>
      <c r="FB442" s="104"/>
      <c r="FC442" s="104"/>
      <c r="FD442" s="104"/>
      <c r="FE442" s="104"/>
      <c r="FF442" s="104"/>
      <c r="FG442" s="104"/>
      <c r="FH442" s="104"/>
      <c r="FI442" s="104"/>
      <c r="FJ442" s="104"/>
      <c r="FK442" s="104"/>
      <c r="FL442" s="104"/>
      <c r="FM442" s="104"/>
      <c r="FN442" s="104"/>
      <c r="FO442" s="104"/>
      <c r="FP442" s="104"/>
      <c r="FQ442" s="104"/>
      <c r="FR442" s="104"/>
      <c r="FS442" s="104"/>
      <c r="FT442" s="104"/>
      <c r="FU442" s="104"/>
      <c r="FV442" s="104"/>
      <c r="FW442" s="104"/>
      <c r="FX442" s="116"/>
    </row>
    <row r="443" spans="2:180" x14ac:dyDescent="0.2">
      <c r="B443" s="114"/>
      <c r="C443" s="114"/>
      <c r="D443" s="114"/>
      <c r="E443" s="114"/>
      <c r="F443" s="114"/>
      <c r="G443" s="114"/>
      <c r="H443" s="116"/>
      <c r="J443" s="116"/>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6"/>
      <c r="CR443" s="104"/>
      <c r="CS443" s="104"/>
      <c r="CT443" s="104"/>
      <c r="CU443" s="104"/>
      <c r="CV443" s="104"/>
      <c r="CW443" s="104"/>
      <c r="CX443" s="104"/>
      <c r="CY443" s="104"/>
      <c r="CZ443" s="104"/>
      <c r="DA443" s="104"/>
      <c r="DB443" s="104"/>
      <c r="DC443" s="104"/>
      <c r="DD443" s="104"/>
      <c r="DE443" s="104"/>
      <c r="DF443" s="104"/>
      <c r="DG443" s="104"/>
      <c r="DH443" s="104"/>
      <c r="DI443" s="104"/>
      <c r="DJ443" s="104"/>
      <c r="DK443" s="104"/>
      <c r="DL443" s="104"/>
      <c r="DM443" s="104"/>
      <c r="DN443" s="104"/>
      <c r="DO443" s="104"/>
      <c r="DP443" s="104"/>
      <c r="DQ443" s="104"/>
      <c r="DR443" s="104"/>
      <c r="DS443" s="104"/>
      <c r="DT443" s="104"/>
      <c r="DU443" s="104"/>
      <c r="DV443" s="104"/>
      <c r="DW443" s="104"/>
      <c r="DX443" s="104"/>
      <c r="DY443" s="104"/>
      <c r="DZ443" s="104"/>
      <c r="EA443" s="104"/>
      <c r="EB443" s="104"/>
      <c r="EC443" s="104"/>
      <c r="ED443" s="104"/>
      <c r="EE443" s="104"/>
      <c r="EF443" s="104"/>
      <c r="EG443" s="104"/>
      <c r="EH443" s="104"/>
      <c r="EI443" s="104"/>
      <c r="EJ443" s="104"/>
      <c r="EK443" s="104"/>
      <c r="EL443" s="104"/>
      <c r="EM443" s="104"/>
      <c r="EN443" s="104"/>
      <c r="EO443" s="104"/>
      <c r="EP443" s="104"/>
      <c r="EQ443" s="104"/>
      <c r="ER443" s="104"/>
      <c r="ES443" s="104"/>
      <c r="ET443" s="104"/>
      <c r="EU443" s="104"/>
      <c r="EV443" s="104"/>
      <c r="EW443" s="104"/>
      <c r="EX443" s="104"/>
      <c r="EY443" s="104"/>
      <c r="EZ443" s="104"/>
      <c r="FA443" s="104"/>
      <c r="FB443" s="104"/>
      <c r="FC443" s="104"/>
      <c r="FD443" s="104"/>
      <c r="FE443" s="104"/>
      <c r="FF443" s="104"/>
      <c r="FG443" s="104"/>
      <c r="FH443" s="104"/>
      <c r="FI443" s="104"/>
      <c r="FJ443" s="104"/>
      <c r="FK443" s="104"/>
      <c r="FL443" s="104"/>
      <c r="FM443" s="104"/>
      <c r="FN443" s="104"/>
      <c r="FO443" s="104"/>
      <c r="FP443" s="104"/>
      <c r="FQ443" s="104"/>
      <c r="FR443" s="104"/>
      <c r="FS443" s="104"/>
      <c r="FT443" s="104"/>
      <c r="FU443" s="104"/>
      <c r="FV443" s="104"/>
      <c r="FW443" s="104"/>
      <c r="FX443" s="116"/>
    </row>
    <row r="444" spans="2:180" x14ac:dyDescent="0.2">
      <c r="B444" s="114"/>
      <c r="C444" s="114"/>
      <c r="D444" s="114"/>
      <c r="E444" s="114"/>
      <c r="F444" s="114"/>
      <c r="G444" s="114"/>
      <c r="H444" s="116"/>
      <c r="J444" s="116"/>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6"/>
      <c r="CR444" s="104"/>
      <c r="CS444" s="104"/>
      <c r="CT444" s="104"/>
      <c r="CU444" s="104"/>
      <c r="CV444" s="104"/>
      <c r="CW444" s="104"/>
      <c r="CX444" s="104"/>
      <c r="CY444" s="104"/>
      <c r="CZ444" s="104"/>
      <c r="DA444" s="104"/>
      <c r="DB444" s="104"/>
      <c r="DC444" s="104"/>
      <c r="DD444" s="104"/>
      <c r="DE444" s="104"/>
      <c r="DF444" s="104"/>
      <c r="DG444" s="104"/>
      <c r="DH444" s="104"/>
      <c r="DI444" s="104"/>
      <c r="DJ444" s="104"/>
      <c r="DK444" s="104"/>
      <c r="DL444" s="104"/>
      <c r="DM444" s="104"/>
      <c r="DN444" s="104"/>
      <c r="DO444" s="104"/>
      <c r="DP444" s="104"/>
      <c r="DQ444" s="104"/>
      <c r="DR444" s="104"/>
      <c r="DS444" s="104"/>
      <c r="DT444" s="104"/>
      <c r="DU444" s="104"/>
      <c r="DV444" s="104"/>
      <c r="DW444" s="104"/>
      <c r="DX444" s="104"/>
      <c r="DY444" s="104"/>
      <c r="DZ444" s="104"/>
      <c r="EA444" s="104"/>
      <c r="EB444" s="104"/>
      <c r="EC444" s="104"/>
      <c r="ED444" s="104"/>
      <c r="EE444" s="104"/>
      <c r="EF444" s="104"/>
      <c r="EG444" s="104"/>
      <c r="EH444" s="104"/>
      <c r="EI444" s="104"/>
      <c r="EJ444" s="104"/>
      <c r="EK444" s="104"/>
      <c r="EL444" s="104"/>
      <c r="EM444" s="104"/>
      <c r="EN444" s="104"/>
      <c r="EO444" s="104"/>
      <c r="EP444" s="104"/>
      <c r="EQ444" s="104"/>
      <c r="ER444" s="104"/>
      <c r="ES444" s="104"/>
      <c r="ET444" s="104"/>
      <c r="EU444" s="104"/>
      <c r="EV444" s="104"/>
      <c r="EW444" s="104"/>
      <c r="EX444" s="104"/>
      <c r="EY444" s="104"/>
      <c r="EZ444" s="104"/>
      <c r="FA444" s="104"/>
      <c r="FB444" s="104"/>
      <c r="FC444" s="104"/>
      <c r="FD444" s="104"/>
      <c r="FE444" s="104"/>
      <c r="FF444" s="104"/>
      <c r="FG444" s="104"/>
      <c r="FH444" s="104"/>
      <c r="FI444" s="104"/>
      <c r="FJ444" s="104"/>
      <c r="FK444" s="104"/>
      <c r="FL444" s="104"/>
      <c r="FM444" s="104"/>
      <c r="FN444" s="104"/>
      <c r="FO444" s="104"/>
      <c r="FP444" s="104"/>
      <c r="FQ444" s="104"/>
      <c r="FR444" s="104"/>
      <c r="FS444" s="104"/>
      <c r="FT444" s="104"/>
      <c r="FU444" s="104"/>
      <c r="FV444" s="104"/>
      <c r="FW444" s="104"/>
      <c r="FX444" s="116"/>
    </row>
    <row r="445" spans="2:180" x14ac:dyDescent="0.2">
      <c r="B445" s="114"/>
      <c r="C445" s="114"/>
      <c r="D445" s="114"/>
      <c r="E445" s="114"/>
      <c r="F445" s="114"/>
      <c r="G445" s="114"/>
      <c r="H445" s="116"/>
      <c r="J445" s="116"/>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6"/>
      <c r="CR445" s="104"/>
      <c r="CS445" s="104"/>
      <c r="CT445" s="104"/>
      <c r="CU445" s="104"/>
      <c r="CV445" s="104"/>
      <c r="CW445" s="104"/>
      <c r="CX445" s="104"/>
      <c r="CY445" s="104"/>
      <c r="CZ445" s="104"/>
      <c r="DA445" s="104"/>
      <c r="DB445" s="104"/>
      <c r="DC445" s="104"/>
      <c r="DD445" s="104"/>
      <c r="DE445" s="104"/>
      <c r="DF445" s="104"/>
      <c r="DG445" s="104"/>
      <c r="DH445" s="104"/>
      <c r="DI445" s="104"/>
      <c r="DJ445" s="104"/>
      <c r="DK445" s="104"/>
      <c r="DL445" s="104"/>
      <c r="DM445" s="104"/>
      <c r="DN445" s="104"/>
      <c r="DO445" s="104"/>
      <c r="DP445" s="104"/>
      <c r="DQ445" s="104"/>
      <c r="DR445" s="104"/>
      <c r="DS445" s="104"/>
      <c r="DT445" s="104"/>
      <c r="DU445" s="104"/>
      <c r="DV445" s="104"/>
      <c r="DW445" s="104"/>
      <c r="DX445" s="104"/>
      <c r="DY445" s="104"/>
      <c r="DZ445" s="104"/>
      <c r="EA445" s="104"/>
      <c r="EB445" s="104"/>
      <c r="EC445" s="104"/>
      <c r="ED445" s="104"/>
      <c r="EE445" s="104"/>
      <c r="EF445" s="104"/>
      <c r="EG445" s="104"/>
      <c r="EH445" s="104"/>
      <c r="EI445" s="104"/>
      <c r="EJ445" s="104"/>
      <c r="EK445" s="104"/>
      <c r="EL445" s="104"/>
      <c r="EM445" s="104"/>
      <c r="EN445" s="104"/>
      <c r="EO445" s="104"/>
      <c r="EP445" s="104"/>
      <c r="EQ445" s="104"/>
      <c r="ER445" s="104"/>
      <c r="ES445" s="104"/>
      <c r="ET445" s="104"/>
      <c r="EU445" s="104"/>
      <c r="EV445" s="104"/>
      <c r="EW445" s="104"/>
      <c r="EX445" s="104"/>
      <c r="EY445" s="104"/>
      <c r="EZ445" s="104"/>
      <c r="FA445" s="104"/>
      <c r="FB445" s="104"/>
      <c r="FC445" s="104"/>
      <c r="FD445" s="104"/>
      <c r="FE445" s="104"/>
      <c r="FF445" s="104"/>
      <c r="FG445" s="104"/>
      <c r="FH445" s="104"/>
      <c r="FI445" s="104"/>
      <c r="FJ445" s="104"/>
      <c r="FK445" s="104"/>
      <c r="FL445" s="104"/>
      <c r="FM445" s="104"/>
      <c r="FN445" s="104"/>
      <c r="FO445" s="104"/>
      <c r="FP445" s="104"/>
      <c r="FQ445" s="104"/>
      <c r="FR445" s="104"/>
      <c r="FS445" s="104"/>
      <c r="FT445" s="104"/>
      <c r="FU445" s="104"/>
      <c r="FV445" s="104"/>
      <c r="FW445" s="104"/>
      <c r="FX445" s="116"/>
    </row>
    <row r="446" spans="2:180" x14ac:dyDescent="0.2">
      <c r="B446" s="114"/>
      <c r="C446" s="114"/>
      <c r="D446" s="114"/>
      <c r="E446" s="114"/>
      <c r="F446" s="114"/>
      <c r="G446" s="114"/>
      <c r="H446" s="116"/>
      <c r="J446" s="116"/>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6"/>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16"/>
    </row>
    <row r="447" spans="2:180" x14ac:dyDescent="0.2">
      <c r="B447" s="114"/>
      <c r="C447" s="114"/>
      <c r="D447" s="114"/>
      <c r="E447" s="114"/>
      <c r="F447" s="114"/>
      <c r="G447" s="114"/>
      <c r="H447" s="116"/>
      <c r="J447" s="116"/>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6"/>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16"/>
    </row>
    <row r="448" spans="2:180" x14ac:dyDescent="0.2">
      <c r="B448" s="114"/>
      <c r="C448" s="114"/>
      <c r="D448" s="114"/>
      <c r="E448" s="114"/>
      <c r="F448" s="114"/>
      <c r="G448" s="114"/>
      <c r="H448" s="116"/>
      <c r="J448" s="116"/>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6"/>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16"/>
    </row>
    <row r="449" spans="2:180" x14ac:dyDescent="0.2">
      <c r="B449" s="114"/>
      <c r="C449" s="114"/>
      <c r="D449" s="114"/>
      <c r="E449" s="114"/>
      <c r="F449" s="114"/>
      <c r="G449" s="114"/>
      <c r="H449" s="116"/>
      <c r="J449" s="116"/>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6"/>
      <c r="CR449" s="104"/>
      <c r="CS449" s="104"/>
      <c r="CT449" s="104"/>
      <c r="CU449" s="104"/>
      <c r="CV449" s="104"/>
      <c r="CW449" s="104"/>
      <c r="CX449" s="104"/>
      <c r="CY449" s="104"/>
      <c r="CZ449" s="104"/>
      <c r="DA449" s="104"/>
      <c r="DB449" s="104"/>
      <c r="DC449" s="104"/>
      <c r="DD449" s="104"/>
      <c r="DE449" s="104"/>
      <c r="DF449" s="104"/>
      <c r="DG449" s="104"/>
      <c r="DH449" s="104"/>
      <c r="DI449" s="104"/>
      <c r="DJ449" s="104"/>
      <c r="DK449" s="104"/>
      <c r="DL449" s="104"/>
      <c r="DM449" s="104"/>
      <c r="DN449" s="104"/>
      <c r="DO449" s="104"/>
      <c r="DP449" s="104"/>
      <c r="DQ449" s="104"/>
      <c r="DR449" s="104"/>
      <c r="DS449" s="104"/>
      <c r="DT449" s="104"/>
      <c r="DU449" s="104"/>
      <c r="DV449" s="104"/>
      <c r="DW449" s="104"/>
      <c r="DX449" s="104"/>
      <c r="DY449" s="104"/>
      <c r="DZ449" s="104"/>
      <c r="EA449" s="104"/>
      <c r="EB449" s="104"/>
      <c r="EC449" s="104"/>
      <c r="ED449" s="104"/>
      <c r="EE449" s="104"/>
      <c r="EF449" s="104"/>
      <c r="EG449" s="104"/>
      <c r="EH449" s="104"/>
      <c r="EI449" s="104"/>
      <c r="EJ449" s="104"/>
      <c r="EK449" s="104"/>
      <c r="EL449" s="104"/>
      <c r="EM449" s="104"/>
      <c r="EN449" s="104"/>
      <c r="EO449" s="104"/>
      <c r="EP449" s="104"/>
      <c r="EQ449" s="104"/>
      <c r="ER449" s="104"/>
      <c r="ES449" s="104"/>
      <c r="ET449" s="104"/>
      <c r="EU449" s="104"/>
      <c r="EV449" s="104"/>
      <c r="EW449" s="104"/>
      <c r="EX449" s="104"/>
      <c r="EY449" s="104"/>
      <c r="EZ449" s="104"/>
      <c r="FA449" s="104"/>
      <c r="FB449" s="104"/>
      <c r="FC449" s="104"/>
      <c r="FD449" s="104"/>
      <c r="FE449" s="104"/>
      <c r="FF449" s="104"/>
      <c r="FG449" s="104"/>
      <c r="FH449" s="104"/>
      <c r="FI449" s="104"/>
      <c r="FJ449" s="104"/>
      <c r="FK449" s="104"/>
      <c r="FL449" s="104"/>
      <c r="FM449" s="104"/>
      <c r="FN449" s="104"/>
      <c r="FO449" s="104"/>
      <c r="FP449" s="104"/>
      <c r="FQ449" s="104"/>
      <c r="FR449" s="104"/>
      <c r="FS449" s="104"/>
      <c r="FT449" s="104"/>
      <c r="FU449" s="104"/>
      <c r="FV449" s="104"/>
      <c r="FW449" s="104"/>
      <c r="FX449" s="116"/>
    </row>
    <row r="450" spans="2:180" x14ac:dyDescent="0.2">
      <c r="B450" s="114"/>
      <c r="C450" s="114"/>
      <c r="D450" s="114"/>
      <c r="E450" s="114"/>
      <c r="F450" s="114"/>
      <c r="G450" s="114"/>
      <c r="H450" s="116"/>
      <c r="J450" s="116"/>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6"/>
      <c r="CR450" s="104"/>
      <c r="CS450" s="104"/>
      <c r="CT450" s="104"/>
      <c r="CU450" s="104"/>
      <c r="CV450" s="104"/>
      <c r="CW450" s="104"/>
      <c r="CX450" s="104"/>
      <c r="CY450" s="104"/>
      <c r="CZ450" s="104"/>
      <c r="DA450" s="104"/>
      <c r="DB450" s="104"/>
      <c r="DC450" s="104"/>
      <c r="DD450" s="104"/>
      <c r="DE450" s="104"/>
      <c r="DF450" s="104"/>
      <c r="DG450" s="104"/>
      <c r="DH450" s="104"/>
      <c r="DI450" s="104"/>
      <c r="DJ450" s="104"/>
      <c r="DK450" s="104"/>
      <c r="DL450" s="104"/>
      <c r="DM450" s="104"/>
      <c r="DN450" s="104"/>
      <c r="DO450" s="104"/>
      <c r="DP450" s="104"/>
      <c r="DQ450" s="104"/>
      <c r="DR450" s="104"/>
      <c r="DS450" s="104"/>
      <c r="DT450" s="104"/>
      <c r="DU450" s="104"/>
      <c r="DV450" s="104"/>
      <c r="DW450" s="104"/>
      <c r="DX450" s="104"/>
      <c r="DY450" s="104"/>
      <c r="DZ450" s="104"/>
      <c r="EA450" s="104"/>
      <c r="EB450" s="104"/>
      <c r="EC450" s="104"/>
      <c r="ED450" s="104"/>
      <c r="EE450" s="104"/>
      <c r="EF450" s="104"/>
      <c r="EG450" s="104"/>
      <c r="EH450" s="104"/>
      <c r="EI450" s="104"/>
      <c r="EJ450" s="104"/>
      <c r="EK450" s="104"/>
      <c r="EL450" s="104"/>
      <c r="EM450" s="104"/>
      <c r="EN450" s="104"/>
      <c r="EO450" s="104"/>
      <c r="EP450" s="104"/>
      <c r="EQ450" s="104"/>
      <c r="ER450" s="104"/>
      <c r="ES450" s="104"/>
      <c r="ET450" s="104"/>
      <c r="EU450" s="104"/>
      <c r="EV450" s="104"/>
      <c r="EW450" s="104"/>
      <c r="EX450" s="104"/>
      <c r="EY450" s="104"/>
      <c r="EZ450" s="104"/>
      <c r="FA450" s="104"/>
      <c r="FB450" s="104"/>
      <c r="FC450" s="104"/>
      <c r="FD450" s="104"/>
      <c r="FE450" s="104"/>
      <c r="FF450" s="104"/>
      <c r="FG450" s="104"/>
      <c r="FH450" s="104"/>
      <c r="FI450" s="104"/>
      <c r="FJ450" s="104"/>
      <c r="FK450" s="104"/>
      <c r="FL450" s="104"/>
      <c r="FM450" s="104"/>
      <c r="FN450" s="104"/>
      <c r="FO450" s="104"/>
      <c r="FP450" s="104"/>
      <c r="FQ450" s="104"/>
      <c r="FR450" s="104"/>
      <c r="FS450" s="104"/>
      <c r="FT450" s="104"/>
      <c r="FU450" s="104"/>
      <c r="FV450" s="104"/>
      <c r="FW450" s="104"/>
      <c r="FX450" s="116"/>
    </row>
    <row r="451" spans="2:180" x14ac:dyDescent="0.2">
      <c r="B451" s="114"/>
      <c r="C451" s="114"/>
      <c r="D451" s="114"/>
      <c r="E451" s="114"/>
      <c r="F451" s="114"/>
      <c r="G451" s="114"/>
      <c r="H451" s="116"/>
      <c r="J451" s="116"/>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6"/>
      <c r="CR451" s="104"/>
      <c r="CS451" s="104"/>
      <c r="CT451" s="104"/>
      <c r="CU451" s="104"/>
      <c r="CV451" s="104"/>
      <c r="CW451" s="104"/>
      <c r="CX451" s="104"/>
      <c r="CY451" s="104"/>
      <c r="CZ451" s="104"/>
      <c r="DA451" s="104"/>
      <c r="DB451" s="104"/>
      <c r="DC451" s="104"/>
      <c r="DD451" s="104"/>
      <c r="DE451" s="104"/>
      <c r="DF451" s="104"/>
      <c r="DG451" s="104"/>
      <c r="DH451" s="104"/>
      <c r="DI451" s="104"/>
      <c r="DJ451" s="104"/>
      <c r="DK451" s="104"/>
      <c r="DL451" s="104"/>
      <c r="DM451" s="104"/>
      <c r="DN451" s="104"/>
      <c r="DO451" s="104"/>
      <c r="DP451" s="104"/>
      <c r="DQ451" s="104"/>
      <c r="DR451" s="104"/>
      <c r="DS451" s="104"/>
      <c r="DT451" s="104"/>
      <c r="DU451" s="104"/>
      <c r="DV451" s="104"/>
      <c r="DW451" s="104"/>
      <c r="DX451" s="104"/>
      <c r="DY451" s="104"/>
      <c r="DZ451" s="104"/>
      <c r="EA451" s="104"/>
      <c r="EB451" s="104"/>
      <c r="EC451" s="104"/>
      <c r="ED451" s="104"/>
      <c r="EE451" s="104"/>
      <c r="EF451" s="104"/>
      <c r="EG451" s="104"/>
      <c r="EH451" s="104"/>
      <c r="EI451" s="104"/>
      <c r="EJ451" s="104"/>
      <c r="EK451" s="104"/>
      <c r="EL451" s="104"/>
      <c r="EM451" s="104"/>
      <c r="EN451" s="104"/>
      <c r="EO451" s="104"/>
      <c r="EP451" s="104"/>
      <c r="EQ451" s="104"/>
      <c r="ER451" s="104"/>
      <c r="ES451" s="104"/>
      <c r="ET451" s="104"/>
      <c r="EU451" s="104"/>
      <c r="EV451" s="104"/>
      <c r="EW451" s="104"/>
      <c r="EX451" s="104"/>
      <c r="EY451" s="104"/>
      <c r="EZ451" s="104"/>
      <c r="FA451" s="104"/>
      <c r="FB451" s="104"/>
      <c r="FC451" s="104"/>
      <c r="FD451" s="104"/>
      <c r="FE451" s="104"/>
      <c r="FF451" s="104"/>
      <c r="FG451" s="104"/>
      <c r="FH451" s="104"/>
      <c r="FI451" s="104"/>
      <c r="FJ451" s="104"/>
      <c r="FK451" s="104"/>
      <c r="FL451" s="104"/>
      <c r="FM451" s="104"/>
      <c r="FN451" s="104"/>
      <c r="FO451" s="104"/>
      <c r="FP451" s="104"/>
      <c r="FQ451" s="104"/>
      <c r="FR451" s="104"/>
      <c r="FS451" s="104"/>
      <c r="FT451" s="104"/>
      <c r="FU451" s="104"/>
      <c r="FV451" s="104"/>
      <c r="FW451" s="104"/>
      <c r="FX451" s="116"/>
    </row>
    <row r="452" spans="2:180" x14ac:dyDescent="0.2">
      <c r="B452" s="114"/>
      <c r="C452" s="114"/>
      <c r="D452" s="114"/>
      <c r="E452" s="114"/>
      <c r="F452" s="114"/>
      <c r="G452" s="114"/>
      <c r="H452" s="116"/>
      <c r="J452" s="116"/>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6"/>
      <c r="CR452" s="104"/>
      <c r="CS452" s="104"/>
      <c r="CT452" s="104"/>
      <c r="CU452" s="104"/>
      <c r="CV452" s="104"/>
      <c r="CW452" s="104"/>
      <c r="CX452" s="104"/>
      <c r="CY452" s="104"/>
      <c r="CZ452" s="104"/>
      <c r="DA452" s="104"/>
      <c r="DB452" s="104"/>
      <c r="DC452" s="104"/>
      <c r="DD452" s="104"/>
      <c r="DE452" s="104"/>
      <c r="DF452" s="104"/>
      <c r="DG452" s="104"/>
      <c r="DH452" s="104"/>
      <c r="DI452" s="104"/>
      <c r="DJ452" s="104"/>
      <c r="DK452" s="104"/>
      <c r="DL452" s="104"/>
      <c r="DM452" s="104"/>
      <c r="DN452" s="104"/>
      <c r="DO452" s="104"/>
      <c r="DP452" s="104"/>
      <c r="DQ452" s="104"/>
      <c r="DR452" s="104"/>
      <c r="DS452" s="104"/>
      <c r="DT452" s="104"/>
      <c r="DU452" s="104"/>
      <c r="DV452" s="104"/>
      <c r="DW452" s="104"/>
      <c r="DX452" s="104"/>
      <c r="DY452" s="104"/>
      <c r="DZ452" s="104"/>
      <c r="EA452" s="104"/>
      <c r="EB452" s="104"/>
      <c r="EC452" s="104"/>
      <c r="ED452" s="104"/>
      <c r="EE452" s="104"/>
      <c r="EF452" s="104"/>
      <c r="EG452" s="104"/>
      <c r="EH452" s="104"/>
      <c r="EI452" s="104"/>
      <c r="EJ452" s="104"/>
      <c r="EK452" s="104"/>
      <c r="EL452" s="104"/>
      <c r="EM452" s="104"/>
      <c r="EN452" s="104"/>
      <c r="EO452" s="104"/>
      <c r="EP452" s="104"/>
      <c r="EQ452" s="104"/>
      <c r="ER452" s="104"/>
      <c r="ES452" s="104"/>
      <c r="ET452" s="104"/>
      <c r="EU452" s="104"/>
      <c r="EV452" s="104"/>
      <c r="EW452" s="104"/>
      <c r="EX452" s="104"/>
      <c r="EY452" s="104"/>
      <c r="EZ452" s="104"/>
      <c r="FA452" s="104"/>
      <c r="FB452" s="104"/>
      <c r="FC452" s="104"/>
      <c r="FD452" s="104"/>
      <c r="FE452" s="104"/>
      <c r="FF452" s="104"/>
      <c r="FG452" s="104"/>
      <c r="FH452" s="104"/>
      <c r="FI452" s="104"/>
      <c r="FJ452" s="104"/>
      <c r="FK452" s="104"/>
      <c r="FL452" s="104"/>
      <c r="FM452" s="104"/>
      <c r="FN452" s="104"/>
      <c r="FO452" s="104"/>
      <c r="FP452" s="104"/>
      <c r="FQ452" s="104"/>
      <c r="FR452" s="104"/>
      <c r="FS452" s="104"/>
      <c r="FT452" s="104"/>
      <c r="FU452" s="104"/>
      <c r="FV452" s="104"/>
      <c r="FW452" s="104"/>
      <c r="FX452" s="116"/>
    </row>
    <row r="453" spans="2:180" x14ac:dyDescent="0.2">
      <c r="B453" s="114"/>
      <c r="C453" s="114"/>
      <c r="D453" s="114"/>
      <c r="E453" s="114"/>
      <c r="F453" s="114"/>
      <c r="G453" s="114"/>
      <c r="H453" s="116"/>
      <c r="J453" s="116"/>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6"/>
      <c r="CR453" s="104"/>
      <c r="CS453" s="104"/>
      <c r="CT453" s="104"/>
      <c r="CU453" s="104"/>
      <c r="CV453" s="104"/>
      <c r="CW453" s="104"/>
      <c r="CX453" s="104"/>
      <c r="CY453" s="104"/>
      <c r="CZ453" s="104"/>
      <c r="DA453" s="104"/>
      <c r="DB453" s="104"/>
      <c r="DC453" s="104"/>
      <c r="DD453" s="104"/>
      <c r="DE453" s="104"/>
      <c r="DF453" s="104"/>
      <c r="DG453" s="104"/>
      <c r="DH453" s="104"/>
      <c r="DI453" s="104"/>
      <c r="DJ453" s="104"/>
      <c r="DK453" s="104"/>
      <c r="DL453" s="104"/>
      <c r="DM453" s="104"/>
      <c r="DN453" s="104"/>
      <c r="DO453" s="104"/>
      <c r="DP453" s="104"/>
      <c r="DQ453" s="104"/>
      <c r="DR453" s="104"/>
      <c r="DS453" s="104"/>
      <c r="DT453" s="104"/>
      <c r="DU453" s="104"/>
      <c r="DV453" s="104"/>
      <c r="DW453" s="104"/>
      <c r="DX453" s="104"/>
      <c r="DY453" s="104"/>
      <c r="DZ453" s="104"/>
      <c r="EA453" s="104"/>
      <c r="EB453" s="104"/>
      <c r="EC453" s="104"/>
      <c r="ED453" s="104"/>
      <c r="EE453" s="104"/>
      <c r="EF453" s="104"/>
      <c r="EG453" s="104"/>
      <c r="EH453" s="104"/>
      <c r="EI453" s="104"/>
      <c r="EJ453" s="104"/>
      <c r="EK453" s="104"/>
      <c r="EL453" s="104"/>
      <c r="EM453" s="104"/>
      <c r="EN453" s="104"/>
      <c r="EO453" s="104"/>
      <c r="EP453" s="104"/>
      <c r="EQ453" s="104"/>
      <c r="ER453" s="104"/>
      <c r="ES453" s="104"/>
      <c r="ET453" s="104"/>
      <c r="EU453" s="104"/>
      <c r="EV453" s="104"/>
      <c r="EW453" s="104"/>
      <c r="EX453" s="104"/>
      <c r="EY453" s="104"/>
      <c r="EZ453" s="104"/>
      <c r="FA453" s="104"/>
      <c r="FB453" s="104"/>
      <c r="FC453" s="104"/>
      <c r="FD453" s="104"/>
      <c r="FE453" s="104"/>
      <c r="FF453" s="104"/>
      <c r="FG453" s="104"/>
      <c r="FH453" s="104"/>
      <c r="FI453" s="104"/>
      <c r="FJ453" s="104"/>
      <c r="FK453" s="104"/>
      <c r="FL453" s="104"/>
      <c r="FM453" s="104"/>
      <c r="FN453" s="104"/>
      <c r="FO453" s="104"/>
      <c r="FP453" s="104"/>
      <c r="FQ453" s="104"/>
      <c r="FR453" s="104"/>
      <c r="FS453" s="104"/>
      <c r="FT453" s="104"/>
      <c r="FU453" s="104"/>
      <c r="FV453" s="104"/>
      <c r="FW453" s="104"/>
      <c r="FX453" s="116"/>
    </row>
    <row r="454" spans="2:180" x14ac:dyDescent="0.2">
      <c r="B454" s="114"/>
      <c r="C454" s="114"/>
      <c r="D454" s="114"/>
      <c r="E454" s="114"/>
      <c r="F454" s="114"/>
      <c r="G454" s="114"/>
      <c r="H454" s="116"/>
      <c r="J454" s="116"/>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6"/>
      <c r="CR454" s="104"/>
      <c r="CS454" s="104"/>
      <c r="CT454" s="104"/>
      <c r="CU454" s="104"/>
      <c r="CV454" s="104"/>
      <c r="CW454" s="104"/>
      <c r="CX454" s="104"/>
      <c r="CY454" s="104"/>
      <c r="CZ454" s="104"/>
      <c r="DA454" s="104"/>
      <c r="DB454" s="104"/>
      <c r="DC454" s="104"/>
      <c r="DD454" s="104"/>
      <c r="DE454" s="104"/>
      <c r="DF454" s="104"/>
      <c r="DG454" s="104"/>
      <c r="DH454" s="104"/>
      <c r="DI454" s="104"/>
      <c r="DJ454" s="104"/>
      <c r="DK454" s="104"/>
      <c r="DL454" s="104"/>
      <c r="DM454" s="104"/>
      <c r="DN454" s="104"/>
      <c r="DO454" s="104"/>
      <c r="DP454" s="104"/>
      <c r="DQ454" s="104"/>
      <c r="DR454" s="104"/>
      <c r="DS454" s="104"/>
      <c r="DT454" s="104"/>
      <c r="DU454" s="104"/>
      <c r="DV454" s="104"/>
      <c r="DW454" s="104"/>
      <c r="DX454" s="104"/>
      <c r="DY454" s="104"/>
      <c r="DZ454" s="104"/>
      <c r="EA454" s="104"/>
      <c r="EB454" s="104"/>
      <c r="EC454" s="104"/>
      <c r="ED454" s="104"/>
      <c r="EE454" s="104"/>
      <c r="EF454" s="104"/>
      <c r="EG454" s="104"/>
      <c r="EH454" s="104"/>
      <c r="EI454" s="104"/>
      <c r="EJ454" s="104"/>
      <c r="EK454" s="104"/>
      <c r="EL454" s="104"/>
      <c r="EM454" s="104"/>
      <c r="EN454" s="104"/>
      <c r="EO454" s="104"/>
      <c r="EP454" s="104"/>
      <c r="EQ454" s="104"/>
      <c r="ER454" s="104"/>
      <c r="ES454" s="104"/>
      <c r="ET454" s="104"/>
      <c r="EU454" s="104"/>
      <c r="EV454" s="104"/>
      <c r="EW454" s="104"/>
      <c r="EX454" s="104"/>
      <c r="EY454" s="104"/>
      <c r="EZ454" s="104"/>
      <c r="FA454" s="104"/>
      <c r="FB454" s="104"/>
      <c r="FC454" s="104"/>
      <c r="FD454" s="104"/>
      <c r="FE454" s="104"/>
      <c r="FF454" s="104"/>
      <c r="FG454" s="104"/>
      <c r="FH454" s="104"/>
      <c r="FI454" s="104"/>
      <c r="FJ454" s="104"/>
      <c r="FK454" s="104"/>
      <c r="FL454" s="104"/>
      <c r="FM454" s="104"/>
      <c r="FN454" s="104"/>
      <c r="FO454" s="104"/>
      <c r="FP454" s="104"/>
      <c r="FQ454" s="104"/>
      <c r="FR454" s="104"/>
      <c r="FS454" s="104"/>
      <c r="FT454" s="104"/>
      <c r="FU454" s="104"/>
      <c r="FV454" s="104"/>
      <c r="FW454" s="104"/>
      <c r="FX454" s="116"/>
    </row>
    <row r="455" spans="2:180" x14ac:dyDescent="0.2">
      <c r="B455" s="114"/>
      <c r="C455" s="114"/>
      <c r="D455" s="114"/>
      <c r="E455" s="114"/>
      <c r="F455" s="114"/>
      <c r="G455" s="114"/>
      <c r="H455" s="116"/>
      <c r="J455" s="116"/>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6"/>
      <c r="CR455" s="104"/>
      <c r="CS455" s="104"/>
      <c r="CT455" s="104"/>
      <c r="CU455" s="104"/>
      <c r="CV455" s="104"/>
      <c r="CW455" s="104"/>
      <c r="CX455" s="104"/>
      <c r="CY455" s="104"/>
      <c r="CZ455" s="104"/>
      <c r="DA455" s="104"/>
      <c r="DB455" s="104"/>
      <c r="DC455" s="104"/>
      <c r="DD455" s="104"/>
      <c r="DE455" s="104"/>
      <c r="DF455" s="104"/>
      <c r="DG455" s="104"/>
      <c r="DH455" s="104"/>
      <c r="DI455" s="104"/>
      <c r="DJ455" s="104"/>
      <c r="DK455" s="104"/>
      <c r="DL455" s="104"/>
      <c r="DM455" s="104"/>
      <c r="DN455" s="104"/>
      <c r="DO455" s="104"/>
      <c r="DP455" s="104"/>
      <c r="DQ455" s="104"/>
      <c r="DR455" s="104"/>
      <c r="DS455" s="104"/>
      <c r="DT455" s="104"/>
      <c r="DU455" s="104"/>
      <c r="DV455" s="104"/>
      <c r="DW455" s="104"/>
      <c r="DX455" s="104"/>
      <c r="DY455" s="104"/>
      <c r="DZ455" s="104"/>
      <c r="EA455" s="104"/>
      <c r="EB455" s="104"/>
      <c r="EC455" s="104"/>
      <c r="ED455" s="104"/>
      <c r="EE455" s="104"/>
      <c r="EF455" s="104"/>
      <c r="EG455" s="104"/>
      <c r="EH455" s="104"/>
      <c r="EI455" s="104"/>
      <c r="EJ455" s="104"/>
      <c r="EK455" s="104"/>
      <c r="EL455" s="104"/>
      <c r="EM455" s="104"/>
      <c r="EN455" s="104"/>
      <c r="EO455" s="104"/>
      <c r="EP455" s="104"/>
      <c r="EQ455" s="104"/>
      <c r="ER455" s="104"/>
      <c r="ES455" s="104"/>
      <c r="ET455" s="104"/>
      <c r="EU455" s="104"/>
      <c r="EV455" s="104"/>
      <c r="EW455" s="104"/>
      <c r="EX455" s="104"/>
      <c r="EY455" s="104"/>
      <c r="EZ455" s="104"/>
      <c r="FA455" s="104"/>
      <c r="FB455" s="104"/>
      <c r="FC455" s="104"/>
      <c r="FD455" s="104"/>
      <c r="FE455" s="104"/>
      <c r="FF455" s="104"/>
      <c r="FG455" s="104"/>
      <c r="FH455" s="104"/>
      <c r="FI455" s="104"/>
      <c r="FJ455" s="104"/>
      <c r="FK455" s="104"/>
      <c r="FL455" s="104"/>
      <c r="FM455" s="104"/>
      <c r="FN455" s="104"/>
      <c r="FO455" s="104"/>
      <c r="FP455" s="104"/>
      <c r="FQ455" s="104"/>
      <c r="FR455" s="104"/>
      <c r="FS455" s="104"/>
      <c r="FT455" s="104"/>
      <c r="FU455" s="104"/>
      <c r="FV455" s="104"/>
      <c r="FW455" s="104"/>
      <c r="FX455" s="116"/>
    </row>
    <row r="456" spans="2:180" x14ac:dyDescent="0.2">
      <c r="B456" s="114"/>
      <c r="C456" s="114"/>
      <c r="D456" s="114"/>
      <c r="E456" s="114"/>
      <c r="F456" s="114"/>
      <c r="G456" s="114"/>
      <c r="H456" s="116"/>
      <c r="J456" s="116"/>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6"/>
      <c r="CR456" s="104"/>
      <c r="CS456" s="104"/>
      <c r="CT456" s="104"/>
      <c r="CU456" s="104"/>
      <c r="CV456" s="104"/>
      <c r="CW456" s="104"/>
      <c r="CX456" s="104"/>
      <c r="CY456" s="104"/>
      <c r="CZ456" s="104"/>
      <c r="DA456" s="104"/>
      <c r="DB456" s="104"/>
      <c r="DC456" s="104"/>
      <c r="DD456" s="104"/>
      <c r="DE456" s="104"/>
      <c r="DF456" s="104"/>
      <c r="DG456" s="104"/>
      <c r="DH456" s="104"/>
      <c r="DI456" s="104"/>
      <c r="DJ456" s="104"/>
      <c r="DK456" s="104"/>
      <c r="DL456" s="104"/>
      <c r="DM456" s="104"/>
      <c r="DN456" s="104"/>
      <c r="DO456" s="104"/>
      <c r="DP456" s="104"/>
      <c r="DQ456" s="104"/>
      <c r="DR456" s="104"/>
      <c r="DS456" s="104"/>
      <c r="DT456" s="104"/>
      <c r="DU456" s="104"/>
      <c r="DV456" s="104"/>
      <c r="DW456" s="104"/>
      <c r="DX456" s="104"/>
      <c r="DY456" s="104"/>
      <c r="DZ456" s="104"/>
      <c r="EA456" s="104"/>
      <c r="EB456" s="104"/>
      <c r="EC456" s="104"/>
      <c r="ED456" s="104"/>
      <c r="EE456" s="104"/>
      <c r="EF456" s="104"/>
      <c r="EG456" s="104"/>
      <c r="EH456" s="104"/>
      <c r="EI456" s="104"/>
      <c r="EJ456" s="104"/>
      <c r="EK456" s="104"/>
      <c r="EL456" s="104"/>
      <c r="EM456" s="104"/>
      <c r="EN456" s="104"/>
      <c r="EO456" s="104"/>
      <c r="EP456" s="104"/>
      <c r="EQ456" s="104"/>
      <c r="ER456" s="104"/>
      <c r="ES456" s="104"/>
      <c r="ET456" s="104"/>
      <c r="EU456" s="104"/>
      <c r="EV456" s="104"/>
      <c r="EW456" s="104"/>
      <c r="EX456" s="104"/>
      <c r="EY456" s="104"/>
      <c r="EZ456" s="104"/>
      <c r="FA456" s="104"/>
      <c r="FB456" s="104"/>
      <c r="FC456" s="104"/>
      <c r="FD456" s="104"/>
      <c r="FE456" s="104"/>
      <c r="FF456" s="104"/>
      <c r="FG456" s="104"/>
      <c r="FH456" s="104"/>
      <c r="FI456" s="104"/>
      <c r="FJ456" s="104"/>
      <c r="FK456" s="104"/>
      <c r="FL456" s="104"/>
      <c r="FM456" s="104"/>
      <c r="FN456" s="104"/>
      <c r="FO456" s="104"/>
      <c r="FP456" s="104"/>
      <c r="FQ456" s="104"/>
      <c r="FR456" s="104"/>
      <c r="FS456" s="104"/>
      <c r="FT456" s="104"/>
      <c r="FU456" s="104"/>
      <c r="FV456" s="104"/>
      <c r="FW456" s="104"/>
      <c r="FX456" s="116"/>
    </row>
    <row r="457" spans="2:180" x14ac:dyDescent="0.2">
      <c r="B457" s="114"/>
      <c r="C457" s="114"/>
      <c r="D457" s="114"/>
      <c r="E457" s="114"/>
      <c r="F457" s="114"/>
      <c r="G457" s="114"/>
      <c r="H457" s="116"/>
      <c r="J457" s="116"/>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6"/>
      <c r="CR457" s="104"/>
      <c r="CS457" s="104"/>
      <c r="CT457" s="104"/>
      <c r="CU457" s="104"/>
      <c r="CV457" s="104"/>
      <c r="CW457" s="104"/>
      <c r="CX457" s="104"/>
      <c r="CY457" s="104"/>
      <c r="CZ457" s="104"/>
      <c r="DA457" s="104"/>
      <c r="DB457" s="104"/>
      <c r="DC457" s="104"/>
      <c r="DD457" s="104"/>
      <c r="DE457" s="104"/>
      <c r="DF457" s="104"/>
      <c r="DG457" s="104"/>
      <c r="DH457" s="104"/>
      <c r="DI457" s="104"/>
      <c r="DJ457" s="104"/>
      <c r="DK457" s="104"/>
      <c r="DL457" s="104"/>
      <c r="DM457" s="104"/>
      <c r="DN457" s="104"/>
      <c r="DO457" s="104"/>
      <c r="DP457" s="104"/>
      <c r="DQ457" s="104"/>
      <c r="DR457" s="104"/>
      <c r="DS457" s="104"/>
      <c r="DT457" s="104"/>
      <c r="DU457" s="104"/>
      <c r="DV457" s="104"/>
      <c r="DW457" s="104"/>
      <c r="DX457" s="104"/>
      <c r="DY457" s="104"/>
      <c r="DZ457" s="104"/>
      <c r="EA457" s="104"/>
      <c r="EB457" s="104"/>
      <c r="EC457" s="104"/>
      <c r="ED457" s="104"/>
      <c r="EE457" s="104"/>
      <c r="EF457" s="104"/>
      <c r="EG457" s="104"/>
      <c r="EH457" s="104"/>
      <c r="EI457" s="104"/>
      <c r="EJ457" s="104"/>
      <c r="EK457" s="104"/>
      <c r="EL457" s="104"/>
      <c r="EM457" s="104"/>
      <c r="EN457" s="104"/>
      <c r="EO457" s="104"/>
      <c r="EP457" s="104"/>
      <c r="EQ457" s="104"/>
      <c r="ER457" s="104"/>
      <c r="ES457" s="104"/>
      <c r="ET457" s="104"/>
      <c r="EU457" s="104"/>
      <c r="EV457" s="104"/>
      <c r="EW457" s="104"/>
      <c r="EX457" s="104"/>
      <c r="EY457" s="104"/>
      <c r="EZ457" s="104"/>
      <c r="FA457" s="104"/>
      <c r="FB457" s="104"/>
      <c r="FC457" s="104"/>
      <c r="FD457" s="104"/>
      <c r="FE457" s="104"/>
      <c r="FF457" s="104"/>
      <c r="FG457" s="104"/>
      <c r="FH457" s="104"/>
      <c r="FI457" s="104"/>
      <c r="FJ457" s="104"/>
      <c r="FK457" s="104"/>
      <c r="FL457" s="104"/>
      <c r="FM457" s="104"/>
      <c r="FN457" s="104"/>
      <c r="FO457" s="104"/>
      <c r="FP457" s="104"/>
      <c r="FQ457" s="104"/>
      <c r="FR457" s="104"/>
      <c r="FS457" s="104"/>
      <c r="FT457" s="104"/>
      <c r="FU457" s="104"/>
      <c r="FV457" s="104"/>
      <c r="FW457" s="104"/>
      <c r="FX457" s="116"/>
    </row>
    <row r="458" spans="2:180" x14ac:dyDescent="0.2">
      <c r="B458" s="114"/>
      <c r="C458" s="114"/>
      <c r="D458" s="114"/>
      <c r="E458" s="114"/>
      <c r="F458" s="114"/>
      <c r="G458" s="114"/>
      <c r="H458" s="116"/>
      <c r="J458" s="116"/>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6"/>
      <c r="CR458" s="104"/>
      <c r="CS458" s="104"/>
      <c r="CT458" s="104"/>
      <c r="CU458" s="104"/>
      <c r="CV458" s="104"/>
      <c r="CW458" s="104"/>
      <c r="CX458" s="104"/>
      <c r="CY458" s="104"/>
      <c r="CZ458" s="104"/>
      <c r="DA458" s="104"/>
      <c r="DB458" s="104"/>
      <c r="DC458" s="104"/>
      <c r="DD458" s="104"/>
      <c r="DE458" s="104"/>
      <c r="DF458" s="104"/>
      <c r="DG458" s="104"/>
      <c r="DH458" s="104"/>
      <c r="DI458" s="104"/>
      <c r="DJ458" s="104"/>
      <c r="DK458" s="104"/>
      <c r="DL458" s="104"/>
      <c r="DM458" s="104"/>
      <c r="DN458" s="104"/>
      <c r="DO458" s="104"/>
      <c r="DP458" s="104"/>
      <c r="DQ458" s="104"/>
      <c r="DR458" s="104"/>
      <c r="DS458" s="104"/>
      <c r="DT458" s="104"/>
      <c r="DU458" s="104"/>
      <c r="DV458" s="104"/>
      <c r="DW458" s="104"/>
      <c r="DX458" s="104"/>
      <c r="DY458" s="104"/>
      <c r="DZ458" s="104"/>
      <c r="EA458" s="104"/>
      <c r="EB458" s="104"/>
      <c r="EC458" s="104"/>
      <c r="ED458" s="104"/>
      <c r="EE458" s="104"/>
      <c r="EF458" s="104"/>
      <c r="EG458" s="104"/>
      <c r="EH458" s="104"/>
      <c r="EI458" s="104"/>
      <c r="EJ458" s="104"/>
      <c r="EK458" s="104"/>
      <c r="EL458" s="104"/>
      <c r="EM458" s="104"/>
      <c r="EN458" s="104"/>
      <c r="EO458" s="104"/>
      <c r="EP458" s="104"/>
      <c r="EQ458" s="104"/>
      <c r="ER458" s="104"/>
      <c r="ES458" s="104"/>
      <c r="ET458" s="104"/>
      <c r="EU458" s="104"/>
      <c r="EV458" s="104"/>
      <c r="EW458" s="104"/>
      <c r="EX458" s="104"/>
      <c r="EY458" s="104"/>
      <c r="EZ458" s="104"/>
      <c r="FA458" s="104"/>
      <c r="FB458" s="104"/>
      <c r="FC458" s="104"/>
      <c r="FD458" s="104"/>
      <c r="FE458" s="104"/>
      <c r="FF458" s="104"/>
      <c r="FG458" s="104"/>
      <c r="FH458" s="104"/>
      <c r="FI458" s="104"/>
      <c r="FJ458" s="104"/>
      <c r="FK458" s="104"/>
      <c r="FL458" s="104"/>
      <c r="FM458" s="104"/>
      <c r="FN458" s="104"/>
      <c r="FO458" s="104"/>
      <c r="FP458" s="104"/>
      <c r="FQ458" s="104"/>
      <c r="FR458" s="104"/>
      <c r="FS458" s="104"/>
      <c r="FT458" s="104"/>
      <c r="FU458" s="104"/>
      <c r="FV458" s="104"/>
      <c r="FW458" s="104"/>
      <c r="FX458" s="116"/>
    </row>
    <row r="459" spans="2:180" x14ac:dyDescent="0.2">
      <c r="B459" s="114"/>
      <c r="C459" s="114"/>
      <c r="D459" s="114"/>
      <c r="E459" s="114"/>
      <c r="F459" s="114"/>
      <c r="G459" s="114"/>
      <c r="H459" s="116"/>
      <c r="J459" s="116"/>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6"/>
      <c r="CR459" s="104"/>
      <c r="CS459" s="104"/>
      <c r="CT459" s="104"/>
      <c r="CU459" s="104"/>
      <c r="CV459" s="104"/>
      <c r="CW459" s="104"/>
      <c r="CX459" s="104"/>
      <c r="CY459" s="104"/>
      <c r="CZ459" s="104"/>
      <c r="DA459" s="104"/>
      <c r="DB459" s="104"/>
      <c r="DC459" s="104"/>
      <c r="DD459" s="104"/>
      <c r="DE459" s="104"/>
      <c r="DF459" s="104"/>
      <c r="DG459" s="104"/>
      <c r="DH459" s="104"/>
      <c r="DI459" s="104"/>
      <c r="DJ459" s="104"/>
      <c r="DK459" s="104"/>
      <c r="DL459" s="104"/>
      <c r="DM459" s="104"/>
      <c r="DN459" s="104"/>
      <c r="DO459" s="104"/>
      <c r="DP459" s="104"/>
      <c r="DQ459" s="104"/>
      <c r="DR459" s="104"/>
      <c r="DS459" s="104"/>
      <c r="DT459" s="104"/>
      <c r="DU459" s="104"/>
      <c r="DV459" s="104"/>
      <c r="DW459" s="104"/>
      <c r="DX459" s="104"/>
      <c r="DY459" s="104"/>
      <c r="DZ459" s="104"/>
      <c r="EA459" s="104"/>
      <c r="EB459" s="104"/>
      <c r="EC459" s="104"/>
      <c r="ED459" s="104"/>
      <c r="EE459" s="104"/>
      <c r="EF459" s="104"/>
      <c r="EG459" s="104"/>
      <c r="EH459" s="104"/>
      <c r="EI459" s="104"/>
      <c r="EJ459" s="104"/>
      <c r="EK459" s="104"/>
      <c r="EL459" s="104"/>
      <c r="EM459" s="104"/>
      <c r="EN459" s="104"/>
      <c r="EO459" s="104"/>
      <c r="EP459" s="104"/>
      <c r="EQ459" s="104"/>
      <c r="ER459" s="104"/>
      <c r="ES459" s="104"/>
      <c r="ET459" s="104"/>
      <c r="EU459" s="104"/>
      <c r="EV459" s="104"/>
      <c r="EW459" s="104"/>
      <c r="EX459" s="104"/>
      <c r="EY459" s="104"/>
      <c r="EZ459" s="104"/>
      <c r="FA459" s="104"/>
      <c r="FB459" s="104"/>
      <c r="FC459" s="104"/>
      <c r="FD459" s="104"/>
      <c r="FE459" s="104"/>
      <c r="FF459" s="104"/>
      <c r="FG459" s="104"/>
      <c r="FH459" s="104"/>
      <c r="FI459" s="104"/>
      <c r="FJ459" s="104"/>
      <c r="FK459" s="104"/>
      <c r="FL459" s="104"/>
      <c r="FM459" s="104"/>
      <c r="FN459" s="104"/>
      <c r="FO459" s="104"/>
      <c r="FP459" s="104"/>
      <c r="FQ459" s="104"/>
      <c r="FR459" s="104"/>
      <c r="FS459" s="104"/>
      <c r="FT459" s="104"/>
      <c r="FU459" s="104"/>
      <c r="FV459" s="104"/>
      <c r="FW459" s="104"/>
      <c r="FX459" s="116"/>
    </row>
    <row r="460" spans="2:180" x14ac:dyDescent="0.2">
      <c r="B460" s="114"/>
      <c r="C460" s="114"/>
      <c r="D460" s="114"/>
      <c r="E460" s="114"/>
      <c r="F460" s="114"/>
      <c r="G460" s="114"/>
      <c r="H460" s="116"/>
      <c r="J460" s="116"/>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6"/>
      <c r="CR460" s="104"/>
      <c r="CS460" s="104"/>
      <c r="CT460" s="104"/>
      <c r="CU460" s="104"/>
      <c r="CV460" s="104"/>
      <c r="CW460" s="104"/>
      <c r="CX460" s="104"/>
      <c r="CY460" s="104"/>
      <c r="CZ460" s="104"/>
      <c r="DA460" s="104"/>
      <c r="DB460" s="104"/>
      <c r="DC460" s="104"/>
      <c r="DD460" s="104"/>
      <c r="DE460" s="104"/>
      <c r="DF460" s="104"/>
      <c r="DG460" s="104"/>
      <c r="DH460" s="104"/>
      <c r="DI460" s="104"/>
      <c r="DJ460" s="104"/>
      <c r="DK460" s="104"/>
      <c r="DL460" s="104"/>
      <c r="DM460" s="104"/>
      <c r="DN460" s="104"/>
      <c r="DO460" s="104"/>
      <c r="DP460" s="104"/>
      <c r="DQ460" s="104"/>
      <c r="DR460" s="104"/>
      <c r="DS460" s="104"/>
      <c r="DT460" s="104"/>
      <c r="DU460" s="104"/>
      <c r="DV460" s="104"/>
      <c r="DW460" s="104"/>
      <c r="DX460" s="104"/>
      <c r="DY460" s="104"/>
      <c r="DZ460" s="104"/>
      <c r="EA460" s="104"/>
      <c r="EB460" s="104"/>
      <c r="EC460" s="104"/>
      <c r="ED460" s="104"/>
      <c r="EE460" s="104"/>
      <c r="EF460" s="104"/>
      <c r="EG460" s="104"/>
      <c r="EH460" s="104"/>
      <c r="EI460" s="104"/>
      <c r="EJ460" s="104"/>
      <c r="EK460" s="104"/>
      <c r="EL460" s="104"/>
      <c r="EM460" s="104"/>
      <c r="EN460" s="104"/>
      <c r="EO460" s="104"/>
      <c r="EP460" s="104"/>
      <c r="EQ460" s="104"/>
      <c r="ER460" s="104"/>
      <c r="ES460" s="104"/>
      <c r="ET460" s="104"/>
      <c r="EU460" s="104"/>
      <c r="EV460" s="104"/>
      <c r="EW460" s="104"/>
      <c r="EX460" s="104"/>
      <c r="EY460" s="104"/>
      <c r="EZ460" s="104"/>
      <c r="FA460" s="104"/>
      <c r="FB460" s="104"/>
      <c r="FC460" s="104"/>
      <c r="FD460" s="104"/>
      <c r="FE460" s="104"/>
      <c r="FF460" s="104"/>
      <c r="FG460" s="104"/>
      <c r="FH460" s="104"/>
      <c r="FI460" s="104"/>
      <c r="FJ460" s="104"/>
      <c r="FK460" s="104"/>
      <c r="FL460" s="104"/>
      <c r="FM460" s="104"/>
      <c r="FN460" s="104"/>
      <c r="FO460" s="104"/>
      <c r="FP460" s="104"/>
      <c r="FQ460" s="104"/>
      <c r="FR460" s="104"/>
      <c r="FS460" s="104"/>
      <c r="FT460" s="104"/>
      <c r="FU460" s="104"/>
      <c r="FV460" s="104"/>
      <c r="FW460" s="104"/>
      <c r="FX460" s="116"/>
    </row>
    <row r="461" spans="2:180" x14ac:dyDescent="0.2">
      <c r="B461" s="114"/>
      <c r="C461" s="114"/>
      <c r="D461" s="114"/>
      <c r="E461" s="114"/>
      <c r="F461" s="114"/>
      <c r="G461" s="114"/>
      <c r="H461" s="116"/>
      <c r="J461" s="116"/>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6"/>
      <c r="CR461" s="104"/>
      <c r="CS461" s="104"/>
      <c r="CT461" s="104"/>
      <c r="CU461" s="104"/>
      <c r="CV461" s="104"/>
      <c r="CW461" s="104"/>
      <c r="CX461" s="104"/>
      <c r="CY461" s="104"/>
      <c r="CZ461" s="104"/>
      <c r="DA461" s="104"/>
      <c r="DB461" s="104"/>
      <c r="DC461" s="104"/>
      <c r="DD461" s="104"/>
      <c r="DE461" s="104"/>
      <c r="DF461" s="104"/>
      <c r="DG461" s="104"/>
      <c r="DH461" s="104"/>
      <c r="DI461" s="104"/>
      <c r="DJ461" s="104"/>
      <c r="DK461" s="104"/>
      <c r="DL461" s="104"/>
      <c r="DM461" s="104"/>
      <c r="DN461" s="104"/>
      <c r="DO461" s="104"/>
      <c r="DP461" s="104"/>
      <c r="DQ461" s="104"/>
      <c r="DR461" s="104"/>
      <c r="DS461" s="104"/>
      <c r="DT461" s="104"/>
      <c r="DU461" s="104"/>
      <c r="DV461" s="104"/>
      <c r="DW461" s="104"/>
      <c r="DX461" s="104"/>
      <c r="DY461" s="104"/>
      <c r="DZ461" s="104"/>
      <c r="EA461" s="104"/>
      <c r="EB461" s="104"/>
      <c r="EC461" s="104"/>
      <c r="ED461" s="104"/>
      <c r="EE461" s="104"/>
      <c r="EF461" s="104"/>
      <c r="EG461" s="104"/>
      <c r="EH461" s="104"/>
      <c r="EI461" s="104"/>
      <c r="EJ461" s="104"/>
      <c r="EK461" s="104"/>
      <c r="EL461" s="104"/>
      <c r="EM461" s="104"/>
      <c r="EN461" s="104"/>
      <c r="EO461" s="104"/>
      <c r="EP461" s="104"/>
      <c r="EQ461" s="104"/>
      <c r="ER461" s="104"/>
      <c r="ES461" s="104"/>
      <c r="ET461" s="104"/>
      <c r="EU461" s="104"/>
      <c r="EV461" s="104"/>
      <c r="EW461" s="104"/>
      <c r="EX461" s="104"/>
      <c r="EY461" s="104"/>
      <c r="EZ461" s="104"/>
      <c r="FA461" s="104"/>
      <c r="FB461" s="104"/>
      <c r="FC461" s="104"/>
      <c r="FD461" s="104"/>
      <c r="FE461" s="104"/>
      <c r="FF461" s="104"/>
      <c r="FG461" s="104"/>
      <c r="FH461" s="104"/>
      <c r="FI461" s="104"/>
      <c r="FJ461" s="104"/>
      <c r="FK461" s="104"/>
      <c r="FL461" s="104"/>
      <c r="FM461" s="104"/>
      <c r="FN461" s="104"/>
      <c r="FO461" s="104"/>
      <c r="FP461" s="104"/>
      <c r="FQ461" s="104"/>
      <c r="FR461" s="104"/>
      <c r="FS461" s="104"/>
      <c r="FT461" s="104"/>
      <c r="FU461" s="104"/>
      <c r="FV461" s="104"/>
      <c r="FW461" s="104"/>
      <c r="FX461" s="116"/>
    </row>
    <row r="462" spans="2:180" x14ac:dyDescent="0.2">
      <c r="B462" s="114"/>
      <c r="C462" s="114"/>
      <c r="D462" s="114"/>
      <c r="E462" s="114"/>
      <c r="F462" s="114"/>
      <c r="G462" s="114"/>
      <c r="H462" s="116"/>
      <c r="J462" s="116"/>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6"/>
      <c r="CR462" s="104"/>
      <c r="CS462" s="104"/>
      <c r="CT462" s="104"/>
      <c r="CU462" s="104"/>
      <c r="CV462" s="104"/>
      <c r="CW462" s="104"/>
      <c r="CX462" s="104"/>
      <c r="CY462" s="104"/>
      <c r="CZ462" s="104"/>
      <c r="DA462" s="104"/>
      <c r="DB462" s="104"/>
      <c r="DC462" s="104"/>
      <c r="DD462" s="104"/>
      <c r="DE462" s="104"/>
      <c r="DF462" s="104"/>
      <c r="DG462" s="104"/>
      <c r="DH462" s="104"/>
      <c r="DI462" s="104"/>
      <c r="DJ462" s="104"/>
      <c r="DK462" s="104"/>
      <c r="DL462" s="104"/>
      <c r="DM462" s="104"/>
      <c r="DN462" s="104"/>
      <c r="DO462" s="104"/>
      <c r="DP462" s="104"/>
      <c r="DQ462" s="104"/>
      <c r="DR462" s="104"/>
      <c r="DS462" s="104"/>
      <c r="DT462" s="104"/>
      <c r="DU462" s="104"/>
      <c r="DV462" s="104"/>
      <c r="DW462" s="104"/>
      <c r="DX462" s="104"/>
      <c r="DY462" s="104"/>
      <c r="DZ462" s="104"/>
      <c r="EA462" s="104"/>
      <c r="EB462" s="104"/>
      <c r="EC462" s="104"/>
      <c r="ED462" s="104"/>
      <c r="EE462" s="104"/>
      <c r="EF462" s="104"/>
      <c r="EG462" s="104"/>
      <c r="EH462" s="104"/>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4"/>
      <c r="FU462" s="104"/>
      <c r="FV462" s="104"/>
      <c r="FW462" s="104"/>
      <c r="FX462" s="116"/>
    </row>
    <row r="463" spans="2:180" x14ac:dyDescent="0.2">
      <c r="B463" s="114"/>
      <c r="C463" s="114"/>
      <c r="D463" s="114"/>
      <c r="E463" s="114"/>
      <c r="F463" s="114"/>
      <c r="G463" s="114"/>
      <c r="H463" s="116"/>
      <c r="J463" s="116"/>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6"/>
      <c r="CR463" s="104"/>
      <c r="CS463" s="104"/>
      <c r="CT463" s="104"/>
      <c r="CU463" s="104"/>
      <c r="CV463" s="104"/>
      <c r="CW463" s="104"/>
      <c r="CX463" s="104"/>
      <c r="CY463" s="104"/>
      <c r="CZ463" s="104"/>
      <c r="DA463" s="104"/>
      <c r="DB463" s="104"/>
      <c r="DC463" s="104"/>
      <c r="DD463" s="104"/>
      <c r="DE463" s="104"/>
      <c r="DF463" s="104"/>
      <c r="DG463" s="104"/>
      <c r="DH463" s="104"/>
      <c r="DI463" s="104"/>
      <c r="DJ463" s="104"/>
      <c r="DK463" s="104"/>
      <c r="DL463" s="104"/>
      <c r="DM463" s="104"/>
      <c r="DN463" s="104"/>
      <c r="DO463" s="104"/>
      <c r="DP463" s="104"/>
      <c r="DQ463" s="104"/>
      <c r="DR463" s="104"/>
      <c r="DS463" s="104"/>
      <c r="DT463" s="104"/>
      <c r="DU463" s="104"/>
      <c r="DV463" s="104"/>
      <c r="DW463" s="104"/>
      <c r="DX463" s="104"/>
      <c r="DY463" s="104"/>
      <c r="DZ463" s="104"/>
      <c r="EA463" s="104"/>
      <c r="EB463" s="104"/>
      <c r="EC463" s="104"/>
      <c r="ED463" s="104"/>
      <c r="EE463" s="104"/>
      <c r="EF463" s="104"/>
      <c r="EG463" s="104"/>
      <c r="EH463" s="104"/>
      <c r="EI463" s="104"/>
      <c r="EJ463" s="104"/>
      <c r="EK463" s="104"/>
      <c r="EL463" s="104"/>
      <c r="EM463" s="104"/>
      <c r="EN463" s="104"/>
      <c r="EO463" s="104"/>
      <c r="EP463" s="104"/>
      <c r="EQ463" s="104"/>
      <c r="ER463" s="104"/>
      <c r="ES463" s="104"/>
      <c r="ET463" s="104"/>
      <c r="EU463" s="104"/>
      <c r="EV463" s="104"/>
      <c r="EW463" s="104"/>
      <c r="EX463" s="104"/>
      <c r="EY463" s="104"/>
      <c r="EZ463" s="104"/>
      <c r="FA463" s="104"/>
      <c r="FB463" s="104"/>
      <c r="FC463" s="104"/>
      <c r="FD463" s="104"/>
      <c r="FE463" s="104"/>
      <c r="FF463" s="104"/>
      <c r="FG463" s="104"/>
      <c r="FH463" s="104"/>
      <c r="FI463" s="104"/>
      <c r="FJ463" s="104"/>
      <c r="FK463" s="104"/>
      <c r="FL463" s="104"/>
      <c r="FM463" s="104"/>
      <c r="FN463" s="104"/>
      <c r="FO463" s="104"/>
      <c r="FP463" s="104"/>
      <c r="FQ463" s="104"/>
      <c r="FR463" s="104"/>
      <c r="FS463" s="104"/>
      <c r="FT463" s="104"/>
      <c r="FU463" s="104"/>
      <c r="FV463" s="104"/>
      <c r="FW463" s="104"/>
      <c r="FX463" s="116"/>
    </row>
    <row r="464" spans="2:180" x14ac:dyDescent="0.2">
      <c r="B464" s="114"/>
      <c r="C464" s="114"/>
      <c r="D464" s="114"/>
      <c r="E464" s="114"/>
      <c r="F464" s="114"/>
      <c r="G464" s="114"/>
      <c r="H464" s="116"/>
      <c r="J464" s="116"/>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6"/>
      <c r="CR464" s="104"/>
      <c r="CS464" s="104"/>
      <c r="CT464" s="104"/>
      <c r="CU464" s="104"/>
      <c r="CV464" s="104"/>
      <c r="CW464" s="104"/>
      <c r="CX464" s="104"/>
      <c r="CY464" s="104"/>
      <c r="CZ464" s="104"/>
      <c r="DA464" s="104"/>
      <c r="DB464" s="104"/>
      <c r="DC464" s="104"/>
      <c r="DD464" s="104"/>
      <c r="DE464" s="104"/>
      <c r="DF464" s="104"/>
      <c r="DG464" s="104"/>
      <c r="DH464" s="104"/>
      <c r="DI464" s="104"/>
      <c r="DJ464" s="104"/>
      <c r="DK464" s="104"/>
      <c r="DL464" s="104"/>
      <c r="DM464" s="104"/>
      <c r="DN464" s="104"/>
      <c r="DO464" s="104"/>
      <c r="DP464" s="104"/>
      <c r="DQ464" s="104"/>
      <c r="DR464" s="104"/>
      <c r="DS464" s="104"/>
      <c r="DT464" s="104"/>
      <c r="DU464" s="104"/>
      <c r="DV464" s="104"/>
      <c r="DW464" s="104"/>
      <c r="DX464" s="104"/>
      <c r="DY464" s="104"/>
      <c r="DZ464" s="104"/>
      <c r="EA464" s="104"/>
      <c r="EB464" s="104"/>
      <c r="EC464" s="104"/>
      <c r="ED464" s="104"/>
      <c r="EE464" s="104"/>
      <c r="EF464" s="104"/>
      <c r="EG464" s="104"/>
      <c r="EH464" s="104"/>
      <c r="EI464" s="104"/>
      <c r="EJ464" s="104"/>
      <c r="EK464" s="104"/>
      <c r="EL464" s="104"/>
      <c r="EM464" s="104"/>
      <c r="EN464" s="104"/>
      <c r="EO464" s="104"/>
      <c r="EP464" s="104"/>
      <c r="EQ464" s="104"/>
      <c r="ER464" s="104"/>
      <c r="ES464" s="104"/>
      <c r="ET464" s="104"/>
      <c r="EU464" s="104"/>
      <c r="EV464" s="104"/>
      <c r="EW464" s="104"/>
      <c r="EX464" s="104"/>
      <c r="EY464" s="104"/>
      <c r="EZ464" s="104"/>
      <c r="FA464" s="104"/>
      <c r="FB464" s="104"/>
      <c r="FC464" s="104"/>
      <c r="FD464" s="104"/>
      <c r="FE464" s="104"/>
      <c r="FF464" s="104"/>
      <c r="FG464" s="104"/>
      <c r="FH464" s="104"/>
      <c r="FI464" s="104"/>
      <c r="FJ464" s="104"/>
      <c r="FK464" s="104"/>
      <c r="FL464" s="104"/>
      <c r="FM464" s="104"/>
      <c r="FN464" s="104"/>
      <c r="FO464" s="104"/>
      <c r="FP464" s="104"/>
      <c r="FQ464" s="104"/>
      <c r="FR464" s="104"/>
      <c r="FS464" s="104"/>
      <c r="FT464" s="104"/>
      <c r="FU464" s="104"/>
      <c r="FV464" s="104"/>
      <c r="FW464" s="104"/>
      <c r="FX464" s="116"/>
    </row>
    <row r="465" spans="2:180" x14ac:dyDescent="0.2">
      <c r="B465" s="114"/>
      <c r="C465" s="114"/>
      <c r="D465" s="114"/>
      <c r="E465" s="114"/>
      <c r="F465" s="114"/>
      <c r="G465" s="114"/>
      <c r="H465" s="116"/>
      <c r="J465" s="116"/>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6"/>
      <c r="CR465" s="104"/>
      <c r="CS465" s="104"/>
      <c r="CT465" s="104"/>
      <c r="CU465" s="104"/>
      <c r="CV465" s="104"/>
      <c r="CW465" s="104"/>
      <c r="CX465" s="104"/>
      <c r="CY465" s="104"/>
      <c r="CZ465" s="104"/>
      <c r="DA465" s="104"/>
      <c r="DB465" s="104"/>
      <c r="DC465" s="104"/>
      <c r="DD465" s="104"/>
      <c r="DE465" s="104"/>
      <c r="DF465" s="104"/>
      <c r="DG465" s="104"/>
      <c r="DH465" s="104"/>
      <c r="DI465" s="104"/>
      <c r="DJ465" s="104"/>
      <c r="DK465" s="104"/>
      <c r="DL465" s="104"/>
      <c r="DM465" s="104"/>
      <c r="DN465" s="104"/>
      <c r="DO465" s="104"/>
      <c r="DP465" s="104"/>
      <c r="DQ465" s="104"/>
      <c r="DR465" s="104"/>
      <c r="DS465" s="104"/>
      <c r="DT465" s="104"/>
      <c r="DU465" s="104"/>
      <c r="DV465" s="104"/>
      <c r="DW465" s="104"/>
      <c r="DX465" s="104"/>
      <c r="DY465" s="104"/>
      <c r="DZ465" s="104"/>
      <c r="EA465" s="104"/>
      <c r="EB465" s="104"/>
      <c r="EC465" s="104"/>
      <c r="ED465" s="104"/>
      <c r="EE465" s="104"/>
      <c r="EF465" s="104"/>
      <c r="EG465" s="104"/>
      <c r="EH465" s="104"/>
      <c r="EI465" s="104"/>
      <c r="EJ465" s="104"/>
      <c r="EK465" s="104"/>
      <c r="EL465" s="104"/>
      <c r="EM465" s="104"/>
      <c r="EN465" s="104"/>
      <c r="EO465" s="104"/>
      <c r="EP465" s="104"/>
      <c r="EQ465" s="104"/>
      <c r="ER465" s="104"/>
      <c r="ES465" s="104"/>
      <c r="ET465" s="104"/>
      <c r="EU465" s="104"/>
      <c r="EV465" s="104"/>
      <c r="EW465" s="104"/>
      <c r="EX465" s="104"/>
      <c r="EY465" s="104"/>
      <c r="EZ465" s="104"/>
      <c r="FA465" s="104"/>
      <c r="FB465" s="104"/>
      <c r="FC465" s="104"/>
      <c r="FD465" s="104"/>
      <c r="FE465" s="104"/>
      <c r="FF465" s="104"/>
      <c r="FG465" s="104"/>
      <c r="FH465" s="104"/>
      <c r="FI465" s="104"/>
      <c r="FJ465" s="104"/>
      <c r="FK465" s="104"/>
      <c r="FL465" s="104"/>
      <c r="FM465" s="104"/>
      <c r="FN465" s="104"/>
      <c r="FO465" s="104"/>
      <c r="FP465" s="104"/>
      <c r="FQ465" s="104"/>
      <c r="FR465" s="104"/>
      <c r="FS465" s="104"/>
      <c r="FT465" s="104"/>
      <c r="FU465" s="104"/>
      <c r="FV465" s="104"/>
      <c r="FW465" s="104"/>
      <c r="FX465" s="116"/>
    </row>
    <row r="466" spans="2:180" x14ac:dyDescent="0.2">
      <c r="B466" s="114"/>
      <c r="C466" s="114"/>
      <c r="D466" s="114"/>
      <c r="E466" s="114"/>
      <c r="F466" s="114"/>
      <c r="G466" s="114"/>
      <c r="H466" s="116"/>
      <c r="J466" s="116"/>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6"/>
      <c r="CR466" s="104"/>
      <c r="CS466" s="104"/>
      <c r="CT466" s="104"/>
      <c r="CU466" s="104"/>
      <c r="CV466" s="104"/>
      <c r="CW466" s="104"/>
      <c r="CX466" s="104"/>
      <c r="CY466" s="104"/>
      <c r="CZ466" s="104"/>
      <c r="DA466" s="104"/>
      <c r="DB466" s="104"/>
      <c r="DC466" s="104"/>
      <c r="DD466" s="104"/>
      <c r="DE466" s="104"/>
      <c r="DF466" s="104"/>
      <c r="DG466" s="104"/>
      <c r="DH466" s="104"/>
      <c r="DI466" s="104"/>
      <c r="DJ466" s="104"/>
      <c r="DK466" s="104"/>
      <c r="DL466" s="104"/>
      <c r="DM466" s="104"/>
      <c r="DN466" s="104"/>
      <c r="DO466" s="104"/>
      <c r="DP466" s="104"/>
      <c r="DQ466" s="104"/>
      <c r="DR466" s="104"/>
      <c r="DS466" s="104"/>
      <c r="DT466" s="104"/>
      <c r="DU466" s="104"/>
      <c r="DV466" s="104"/>
      <c r="DW466" s="104"/>
      <c r="DX466" s="104"/>
      <c r="DY466" s="104"/>
      <c r="DZ466" s="104"/>
      <c r="EA466" s="104"/>
      <c r="EB466" s="104"/>
      <c r="EC466" s="104"/>
      <c r="ED466" s="104"/>
      <c r="EE466" s="104"/>
      <c r="EF466" s="104"/>
      <c r="EG466" s="104"/>
      <c r="EH466" s="104"/>
      <c r="EI466" s="104"/>
      <c r="EJ466" s="104"/>
      <c r="EK466" s="104"/>
      <c r="EL466" s="104"/>
      <c r="EM466" s="104"/>
      <c r="EN466" s="104"/>
      <c r="EO466" s="104"/>
      <c r="EP466" s="104"/>
      <c r="EQ466" s="104"/>
      <c r="ER466" s="104"/>
      <c r="ES466" s="104"/>
      <c r="ET466" s="104"/>
      <c r="EU466" s="104"/>
      <c r="EV466" s="104"/>
      <c r="EW466" s="104"/>
      <c r="EX466" s="104"/>
      <c r="EY466" s="104"/>
      <c r="EZ466" s="104"/>
      <c r="FA466" s="104"/>
      <c r="FB466" s="104"/>
      <c r="FC466" s="104"/>
      <c r="FD466" s="104"/>
      <c r="FE466" s="104"/>
      <c r="FF466" s="104"/>
      <c r="FG466" s="104"/>
      <c r="FH466" s="104"/>
      <c r="FI466" s="104"/>
      <c r="FJ466" s="104"/>
      <c r="FK466" s="104"/>
      <c r="FL466" s="104"/>
      <c r="FM466" s="104"/>
      <c r="FN466" s="104"/>
      <c r="FO466" s="104"/>
      <c r="FP466" s="104"/>
      <c r="FQ466" s="104"/>
      <c r="FR466" s="104"/>
      <c r="FS466" s="104"/>
      <c r="FT466" s="104"/>
      <c r="FU466" s="104"/>
      <c r="FV466" s="104"/>
      <c r="FW466" s="104"/>
      <c r="FX466" s="116"/>
    </row>
    <row r="467" spans="2:180" x14ac:dyDescent="0.2">
      <c r="B467" s="114"/>
      <c r="C467" s="114"/>
      <c r="D467" s="114"/>
      <c r="E467" s="114"/>
      <c r="F467" s="114"/>
      <c r="G467" s="114"/>
      <c r="H467" s="116"/>
      <c r="J467" s="116"/>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6"/>
      <c r="CR467" s="104"/>
      <c r="CS467" s="104"/>
      <c r="CT467" s="104"/>
      <c r="CU467" s="104"/>
      <c r="CV467" s="104"/>
      <c r="CW467" s="104"/>
      <c r="CX467" s="104"/>
      <c r="CY467" s="104"/>
      <c r="CZ467" s="104"/>
      <c r="DA467" s="104"/>
      <c r="DB467" s="104"/>
      <c r="DC467" s="104"/>
      <c r="DD467" s="104"/>
      <c r="DE467" s="104"/>
      <c r="DF467" s="104"/>
      <c r="DG467" s="104"/>
      <c r="DH467" s="104"/>
      <c r="DI467" s="104"/>
      <c r="DJ467" s="104"/>
      <c r="DK467" s="104"/>
      <c r="DL467" s="104"/>
      <c r="DM467" s="104"/>
      <c r="DN467" s="104"/>
      <c r="DO467" s="104"/>
      <c r="DP467" s="104"/>
      <c r="DQ467" s="104"/>
      <c r="DR467" s="104"/>
      <c r="DS467" s="104"/>
      <c r="DT467" s="104"/>
      <c r="DU467" s="104"/>
      <c r="DV467" s="104"/>
      <c r="DW467" s="104"/>
      <c r="DX467" s="104"/>
      <c r="DY467" s="104"/>
      <c r="DZ467" s="104"/>
      <c r="EA467" s="104"/>
      <c r="EB467" s="104"/>
      <c r="EC467" s="104"/>
      <c r="ED467" s="104"/>
      <c r="EE467" s="104"/>
      <c r="EF467" s="104"/>
      <c r="EG467" s="104"/>
      <c r="EH467" s="104"/>
      <c r="EI467" s="104"/>
      <c r="EJ467" s="104"/>
      <c r="EK467" s="104"/>
      <c r="EL467" s="104"/>
      <c r="EM467" s="104"/>
      <c r="EN467" s="104"/>
      <c r="EO467" s="104"/>
      <c r="EP467" s="104"/>
      <c r="EQ467" s="104"/>
      <c r="ER467" s="104"/>
      <c r="ES467" s="104"/>
      <c r="ET467" s="104"/>
      <c r="EU467" s="104"/>
      <c r="EV467" s="104"/>
      <c r="EW467" s="104"/>
      <c r="EX467" s="104"/>
      <c r="EY467" s="104"/>
      <c r="EZ467" s="104"/>
      <c r="FA467" s="104"/>
      <c r="FB467" s="104"/>
      <c r="FC467" s="104"/>
      <c r="FD467" s="104"/>
      <c r="FE467" s="104"/>
      <c r="FF467" s="104"/>
      <c r="FG467" s="104"/>
      <c r="FH467" s="104"/>
      <c r="FI467" s="104"/>
      <c r="FJ467" s="104"/>
      <c r="FK467" s="104"/>
      <c r="FL467" s="104"/>
      <c r="FM467" s="104"/>
      <c r="FN467" s="104"/>
      <c r="FO467" s="104"/>
      <c r="FP467" s="104"/>
      <c r="FQ467" s="104"/>
      <c r="FR467" s="104"/>
      <c r="FS467" s="104"/>
      <c r="FT467" s="104"/>
      <c r="FU467" s="104"/>
      <c r="FV467" s="104"/>
      <c r="FW467" s="104"/>
      <c r="FX467" s="116"/>
    </row>
    <row r="468" spans="2:180" x14ac:dyDescent="0.2">
      <c r="B468" s="114"/>
      <c r="C468" s="114"/>
      <c r="D468" s="114"/>
      <c r="E468" s="114"/>
      <c r="F468" s="114"/>
      <c r="G468" s="114"/>
      <c r="H468" s="116"/>
      <c r="J468" s="116"/>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6"/>
      <c r="CR468" s="104"/>
      <c r="CS468" s="104"/>
      <c r="CT468" s="104"/>
      <c r="CU468" s="104"/>
      <c r="CV468" s="104"/>
      <c r="CW468" s="104"/>
      <c r="CX468" s="104"/>
      <c r="CY468" s="104"/>
      <c r="CZ468" s="104"/>
      <c r="DA468" s="104"/>
      <c r="DB468" s="104"/>
      <c r="DC468" s="104"/>
      <c r="DD468" s="104"/>
      <c r="DE468" s="104"/>
      <c r="DF468" s="104"/>
      <c r="DG468" s="104"/>
      <c r="DH468" s="104"/>
      <c r="DI468" s="104"/>
      <c r="DJ468" s="104"/>
      <c r="DK468" s="104"/>
      <c r="DL468" s="104"/>
      <c r="DM468" s="104"/>
      <c r="DN468" s="104"/>
      <c r="DO468" s="104"/>
      <c r="DP468" s="104"/>
      <c r="DQ468" s="104"/>
      <c r="DR468" s="104"/>
      <c r="DS468" s="104"/>
      <c r="DT468" s="104"/>
      <c r="DU468" s="104"/>
      <c r="DV468" s="104"/>
      <c r="DW468" s="104"/>
      <c r="DX468" s="104"/>
      <c r="DY468" s="104"/>
      <c r="DZ468" s="104"/>
      <c r="EA468" s="104"/>
      <c r="EB468" s="104"/>
      <c r="EC468" s="104"/>
      <c r="ED468" s="104"/>
      <c r="EE468" s="104"/>
      <c r="EF468" s="104"/>
      <c r="EG468" s="104"/>
      <c r="EH468" s="104"/>
      <c r="EI468" s="104"/>
      <c r="EJ468" s="104"/>
      <c r="EK468" s="104"/>
      <c r="EL468" s="104"/>
      <c r="EM468" s="104"/>
      <c r="EN468" s="104"/>
      <c r="EO468" s="104"/>
      <c r="EP468" s="104"/>
      <c r="EQ468" s="104"/>
      <c r="ER468" s="104"/>
      <c r="ES468" s="104"/>
      <c r="ET468" s="104"/>
      <c r="EU468" s="104"/>
      <c r="EV468" s="104"/>
      <c r="EW468" s="104"/>
      <c r="EX468" s="104"/>
      <c r="EY468" s="104"/>
      <c r="EZ468" s="104"/>
      <c r="FA468" s="104"/>
      <c r="FB468" s="104"/>
      <c r="FC468" s="104"/>
      <c r="FD468" s="104"/>
      <c r="FE468" s="104"/>
      <c r="FF468" s="104"/>
      <c r="FG468" s="104"/>
      <c r="FH468" s="104"/>
      <c r="FI468" s="104"/>
      <c r="FJ468" s="104"/>
      <c r="FK468" s="104"/>
      <c r="FL468" s="104"/>
      <c r="FM468" s="104"/>
      <c r="FN468" s="104"/>
      <c r="FO468" s="104"/>
      <c r="FP468" s="104"/>
      <c r="FQ468" s="104"/>
      <c r="FR468" s="104"/>
      <c r="FS468" s="104"/>
      <c r="FT468" s="104"/>
      <c r="FU468" s="104"/>
      <c r="FV468" s="104"/>
      <c r="FW468" s="104"/>
      <c r="FX468" s="116"/>
    </row>
    <row r="469" spans="2:180" x14ac:dyDescent="0.2">
      <c r="B469" s="114"/>
      <c r="C469" s="114"/>
      <c r="D469" s="114"/>
      <c r="E469" s="114"/>
      <c r="F469" s="114"/>
      <c r="G469" s="114"/>
      <c r="H469" s="116"/>
      <c r="J469" s="116"/>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6"/>
      <c r="CR469" s="104"/>
      <c r="CS469" s="104"/>
      <c r="CT469" s="104"/>
      <c r="CU469" s="104"/>
      <c r="CV469" s="104"/>
      <c r="CW469" s="104"/>
      <c r="CX469" s="104"/>
      <c r="CY469" s="104"/>
      <c r="CZ469" s="104"/>
      <c r="DA469" s="104"/>
      <c r="DB469" s="104"/>
      <c r="DC469" s="104"/>
      <c r="DD469" s="104"/>
      <c r="DE469" s="104"/>
      <c r="DF469" s="104"/>
      <c r="DG469" s="104"/>
      <c r="DH469" s="104"/>
      <c r="DI469" s="104"/>
      <c r="DJ469" s="104"/>
      <c r="DK469" s="104"/>
      <c r="DL469" s="104"/>
      <c r="DM469" s="104"/>
      <c r="DN469" s="104"/>
      <c r="DO469" s="104"/>
      <c r="DP469" s="104"/>
      <c r="DQ469" s="104"/>
      <c r="DR469" s="104"/>
      <c r="DS469" s="104"/>
      <c r="DT469" s="104"/>
      <c r="DU469" s="104"/>
      <c r="DV469" s="104"/>
      <c r="DW469" s="104"/>
      <c r="DX469" s="104"/>
      <c r="DY469" s="104"/>
      <c r="DZ469" s="104"/>
      <c r="EA469" s="104"/>
      <c r="EB469" s="104"/>
      <c r="EC469" s="104"/>
      <c r="ED469" s="104"/>
      <c r="EE469" s="104"/>
      <c r="EF469" s="104"/>
      <c r="EG469" s="104"/>
      <c r="EH469" s="104"/>
      <c r="EI469" s="104"/>
      <c r="EJ469" s="104"/>
      <c r="EK469" s="104"/>
      <c r="EL469" s="104"/>
      <c r="EM469" s="104"/>
      <c r="EN469" s="104"/>
      <c r="EO469" s="104"/>
      <c r="EP469" s="104"/>
      <c r="EQ469" s="104"/>
      <c r="ER469" s="104"/>
      <c r="ES469" s="104"/>
      <c r="ET469" s="104"/>
      <c r="EU469" s="104"/>
      <c r="EV469" s="104"/>
      <c r="EW469" s="104"/>
      <c r="EX469" s="104"/>
      <c r="EY469" s="104"/>
      <c r="EZ469" s="104"/>
      <c r="FA469" s="104"/>
      <c r="FB469" s="104"/>
      <c r="FC469" s="104"/>
      <c r="FD469" s="104"/>
      <c r="FE469" s="104"/>
      <c r="FF469" s="104"/>
      <c r="FG469" s="104"/>
      <c r="FH469" s="104"/>
      <c r="FI469" s="104"/>
      <c r="FJ469" s="104"/>
      <c r="FK469" s="104"/>
      <c r="FL469" s="104"/>
      <c r="FM469" s="104"/>
      <c r="FN469" s="104"/>
      <c r="FO469" s="104"/>
      <c r="FP469" s="104"/>
      <c r="FQ469" s="104"/>
      <c r="FR469" s="104"/>
      <c r="FS469" s="104"/>
      <c r="FT469" s="104"/>
      <c r="FU469" s="104"/>
      <c r="FV469" s="104"/>
      <c r="FW469" s="104"/>
      <c r="FX469" s="116"/>
    </row>
    <row r="470" spans="2:180" x14ac:dyDescent="0.2">
      <c r="B470" s="114"/>
      <c r="C470" s="114"/>
      <c r="D470" s="114"/>
      <c r="E470" s="114"/>
      <c r="F470" s="114"/>
      <c r="G470" s="114"/>
      <c r="H470" s="116"/>
      <c r="J470" s="116"/>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6"/>
      <c r="CR470" s="104"/>
      <c r="CS470" s="104"/>
      <c r="CT470" s="104"/>
      <c r="CU470" s="104"/>
      <c r="CV470" s="104"/>
      <c r="CW470" s="104"/>
      <c r="CX470" s="104"/>
      <c r="CY470" s="104"/>
      <c r="CZ470" s="104"/>
      <c r="DA470" s="104"/>
      <c r="DB470" s="104"/>
      <c r="DC470" s="104"/>
      <c r="DD470" s="104"/>
      <c r="DE470" s="104"/>
      <c r="DF470" s="104"/>
      <c r="DG470" s="104"/>
      <c r="DH470" s="104"/>
      <c r="DI470" s="104"/>
      <c r="DJ470" s="104"/>
      <c r="DK470" s="104"/>
      <c r="DL470" s="104"/>
      <c r="DM470" s="104"/>
      <c r="DN470" s="104"/>
      <c r="DO470" s="104"/>
      <c r="DP470" s="104"/>
      <c r="DQ470" s="104"/>
      <c r="DR470" s="104"/>
      <c r="DS470" s="104"/>
      <c r="DT470" s="104"/>
      <c r="DU470" s="104"/>
      <c r="DV470" s="104"/>
      <c r="DW470" s="104"/>
      <c r="DX470" s="104"/>
      <c r="DY470" s="104"/>
      <c r="DZ470" s="104"/>
      <c r="EA470" s="104"/>
      <c r="EB470" s="104"/>
      <c r="EC470" s="104"/>
      <c r="ED470" s="104"/>
      <c r="EE470" s="104"/>
      <c r="EF470" s="104"/>
      <c r="EG470" s="104"/>
      <c r="EH470" s="104"/>
      <c r="EI470" s="104"/>
      <c r="EJ470" s="104"/>
      <c r="EK470" s="104"/>
      <c r="EL470" s="104"/>
      <c r="EM470" s="104"/>
      <c r="EN470" s="104"/>
      <c r="EO470" s="104"/>
      <c r="EP470" s="104"/>
      <c r="EQ470" s="104"/>
      <c r="ER470" s="104"/>
      <c r="ES470" s="104"/>
      <c r="ET470" s="104"/>
      <c r="EU470" s="104"/>
      <c r="EV470" s="104"/>
      <c r="EW470" s="104"/>
      <c r="EX470" s="104"/>
      <c r="EY470" s="104"/>
      <c r="EZ470" s="104"/>
      <c r="FA470" s="104"/>
      <c r="FB470" s="104"/>
      <c r="FC470" s="104"/>
      <c r="FD470" s="104"/>
      <c r="FE470" s="104"/>
      <c r="FF470" s="104"/>
      <c r="FG470" s="104"/>
      <c r="FH470" s="104"/>
      <c r="FI470" s="104"/>
      <c r="FJ470" s="104"/>
      <c r="FK470" s="104"/>
      <c r="FL470" s="104"/>
      <c r="FM470" s="104"/>
      <c r="FN470" s="104"/>
      <c r="FO470" s="104"/>
      <c r="FP470" s="104"/>
      <c r="FQ470" s="104"/>
      <c r="FR470" s="104"/>
      <c r="FS470" s="104"/>
      <c r="FT470" s="104"/>
      <c r="FU470" s="104"/>
      <c r="FV470" s="104"/>
      <c r="FW470" s="104"/>
      <c r="FX470" s="116"/>
    </row>
    <row r="471" spans="2:180" x14ac:dyDescent="0.2">
      <c r="B471" s="114"/>
      <c r="C471" s="114"/>
      <c r="D471" s="114"/>
      <c r="E471" s="114"/>
      <c r="F471" s="114"/>
      <c r="G471" s="114"/>
      <c r="H471" s="116"/>
      <c r="J471" s="116"/>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6"/>
      <c r="CR471" s="104"/>
      <c r="CS471" s="104"/>
      <c r="CT471" s="104"/>
      <c r="CU471" s="104"/>
      <c r="CV471" s="104"/>
      <c r="CW471" s="104"/>
      <c r="CX471" s="104"/>
      <c r="CY471" s="104"/>
      <c r="CZ471" s="104"/>
      <c r="DA471" s="104"/>
      <c r="DB471" s="104"/>
      <c r="DC471" s="104"/>
      <c r="DD471" s="104"/>
      <c r="DE471" s="104"/>
      <c r="DF471" s="104"/>
      <c r="DG471" s="104"/>
      <c r="DH471" s="104"/>
      <c r="DI471" s="104"/>
      <c r="DJ471" s="104"/>
      <c r="DK471" s="104"/>
      <c r="DL471" s="104"/>
      <c r="DM471" s="104"/>
      <c r="DN471" s="104"/>
      <c r="DO471" s="104"/>
      <c r="DP471" s="104"/>
      <c r="DQ471" s="104"/>
      <c r="DR471" s="104"/>
      <c r="DS471" s="104"/>
      <c r="DT471" s="104"/>
      <c r="DU471" s="104"/>
      <c r="DV471" s="104"/>
      <c r="DW471" s="104"/>
      <c r="DX471" s="104"/>
      <c r="DY471" s="104"/>
      <c r="DZ471" s="104"/>
      <c r="EA471" s="104"/>
      <c r="EB471" s="104"/>
      <c r="EC471" s="104"/>
      <c r="ED471" s="104"/>
      <c r="EE471" s="104"/>
      <c r="EF471" s="104"/>
      <c r="EG471" s="104"/>
      <c r="EH471" s="104"/>
      <c r="EI471" s="104"/>
      <c r="EJ471" s="104"/>
      <c r="EK471" s="104"/>
      <c r="EL471" s="104"/>
      <c r="EM471" s="104"/>
      <c r="EN471" s="104"/>
      <c r="EO471" s="104"/>
      <c r="EP471" s="104"/>
      <c r="EQ471" s="104"/>
      <c r="ER471" s="104"/>
      <c r="ES471" s="104"/>
      <c r="ET471" s="104"/>
      <c r="EU471" s="104"/>
      <c r="EV471" s="104"/>
      <c r="EW471" s="104"/>
      <c r="EX471" s="104"/>
      <c r="EY471" s="104"/>
      <c r="EZ471" s="104"/>
      <c r="FA471" s="104"/>
      <c r="FB471" s="104"/>
      <c r="FC471" s="104"/>
      <c r="FD471" s="104"/>
      <c r="FE471" s="104"/>
      <c r="FF471" s="104"/>
      <c r="FG471" s="104"/>
      <c r="FH471" s="104"/>
      <c r="FI471" s="104"/>
      <c r="FJ471" s="104"/>
      <c r="FK471" s="104"/>
      <c r="FL471" s="104"/>
      <c r="FM471" s="104"/>
      <c r="FN471" s="104"/>
      <c r="FO471" s="104"/>
      <c r="FP471" s="104"/>
      <c r="FQ471" s="104"/>
      <c r="FR471" s="104"/>
      <c r="FS471" s="104"/>
      <c r="FT471" s="104"/>
      <c r="FU471" s="104"/>
      <c r="FV471" s="104"/>
      <c r="FW471" s="104"/>
      <c r="FX471" s="116"/>
    </row>
    <row r="472" spans="2:180" x14ac:dyDescent="0.2">
      <c r="B472" s="114"/>
      <c r="C472" s="114"/>
      <c r="D472" s="114"/>
      <c r="E472" s="114"/>
      <c r="F472" s="114"/>
      <c r="G472" s="114"/>
      <c r="H472" s="116"/>
      <c r="J472" s="116"/>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6"/>
      <c r="CR472" s="104"/>
      <c r="CS472" s="104"/>
      <c r="CT472" s="104"/>
      <c r="CU472" s="104"/>
      <c r="CV472" s="104"/>
      <c r="CW472" s="104"/>
      <c r="CX472" s="104"/>
      <c r="CY472" s="104"/>
      <c r="CZ472" s="104"/>
      <c r="DA472" s="104"/>
      <c r="DB472" s="104"/>
      <c r="DC472" s="104"/>
      <c r="DD472" s="104"/>
      <c r="DE472" s="104"/>
      <c r="DF472" s="104"/>
      <c r="DG472" s="104"/>
      <c r="DH472" s="104"/>
      <c r="DI472" s="104"/>
      <c r="DJ472" s="104"/>
      <c r="DK472" s="104"/>
      <c r="DL472" s="104"/>
      <c r="DM472" s="104"/>
      <c r="DN472" s="104"/>
      <c r="DO472" s="104"/>
      <c r="DP472" s="104"/>
      <c r="DQ472" s="104"/>
      <c r="DR472" s="104"/>
      <c r="DS472" s="104"/>
      <c r="DT472" s="104"/>
      <c r="DU472" s="104"/>
      <c r="DV472" s="104"/>
      <c r="DW472" s="104"/>
      <c r="DX472" s="104"/>
      <c r="DY472" s="104"/>
      <c r="DZ472" s="104"/>
      <c r="EA472" s="104"/>
      <c r="EB472" s="104"/>
      <c r="EC472" s="104"/>
      <c r="ED472" s="104"/>
      <c r="EE472" s="104"/>
      <c r="EF472" s="104"/>
      <c r="EG472" s="104"/>
      <c r="EH472" s="104"/>
      <c r="EI472" s="104"/>
      <c r="EJ472" s="104"/>
      <c r="EK472" s="104"/>
      <c r="EL472" s="104"/>
      <c r="EM472" s="104"/>
      <c r="EN472" s="104"/>
      <c r="EO472" s="104"/>
      <c r="EP472" s="104"/>
      <c r="EQ472" s="104"/>
      <c r="ER472" s="104"/>
      <c r="ES472" s="104"/>
      <c r="ET472" s="104"/>
      <c r="EU472" s="104"/>
      <c r="EV472" s="104"/>
      <c r="EW472" s="104"/>
      <c r="EX472" s="104"/>
      <c r="EY472" s="104"/>
      <c r="EZ472" s="104"/>
      <c r="FA472" s="104"/>
      <c r="FB472" s="104"/>
      <c r="FC472" s="104"/>
      <c r="FD472" s="104"/>
      <c r="FE472" s="104"/>
      <c r="FF472" s="104"/>
      <c r="FG472" s="104"/>
      <c r="FH472" s="104"/>
      <c r="FI472" s="104"/>
      <c r="FJ472" s="104"/>
      <c r="FK472" s="104"/>
      <c r="FL472" s="104"/>
      <c r="FM472" s="104"/>
      <c r="FN472" s="104"/>
      <c r="FO472" s="104"/>
      <c r="FP472" s="104"/>
      <c r="FQ472" s="104"/>
      <c r="FR472" s="104"/>
      <c r="FS472" s="104"/>
      <c r="FT472" s="104"/>
      <c r="FU472" s="104"/>
      <c r="FV472" s="104"/>
      <c r="FW472" s="104"/>
      <c r="FX472" s="116"/>
    </row>
    <row r="473" spans="2:180" x14ac:dyDescent="0.2">
      <c r="B473" s="114"/>
      <c r="C473" s="114"/>
      <c r="D473" s="114"/>
      <c r="E473" s="114"/>
      <c r="F473" s="114"/>
      <c r="G473" s="114"/>
      <c r="H473" s="116"/>
      <c r="J473" s="116"/>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6"/>
      <c r="CR473" s="104"/>
      <c r="CS473" s="104"/>
      <c r="CT473" s="104"/>
      <c r="CU473" s="104"/>
      <c r="CV473" s="104"/>
      <c r="CW473" s="104"/>
      <c r="CX473" s="104"/>
      <c r="CY473" s="104"/>
      <c r="CZ473" s="104"/>
      <c r="DA473" s="104"/>
      <c r="DB473" s="104"/>
      <c r="DC473" s="104"/>
      <c r="DD473" s="104"/>
      <c r="DE473" s="104"/>
      <c r="DF473" s="104"/>
      <c r="DG473" s="104"/>
      <c r="DH473" s="104"/>
      <c r="DI473" s="104"/>
      <c r="DJ473" s="104"/>
      <c r="DK473" s="104"/>
      <c r="DL473" s="104"/>
      <c r="DM473" s="104"/>
      <c r="DN473" s="104"/>
      <c r="DO473" s="104"/>
      <c r="DP473" s="104"/>
      <c r="DQ473" s="104"/>
      <c r="DR473" s="104"/>
      <c r="DS473" s="104"/>
      <c r="DT473" s="104"/>
      <c r="DU473" s="104"/>
      <c r="DV473" s="104"/>
      <c r="DW473" s="104"/>
      <c r="DX473" s="104"/>
      <c r="DY473" s="104"/>
      <c r="DZ473" s="104"/>
      <c r="EA473" s="104"/>
      <c r="EB473" s="104"/>
      <c r="EC473" s="104"/>
      <c r="ED473" s="104"/>
      <c r="EE473" s="104"/>
      <c r="EF473" s="104"/>
      <c r="EG473" s="104"/>
      <c r="EH473" s="104"/>
      <c r="EI473" s="104"/>
      <c r="EJ473" s="104"/>
      <c r="EK473" s="104"/>
      <c r="EL473" s="104"/>
      <c r="EM473" s="104"/>
      <c r="EN473" s="104"/>
      <c r="EO473" s="104"/>
      <c r="EP473" s="104"/>
      <c r="EQ473" s="104"/>
      <c r="ER473" s="104"/>
      <c r="ES473" s="104"/>
      <c r="ET473" s="104"/>
      <c r="EU473" s="104"/>
      <c r="EV473" s="104"/>
      <c r="EW473" s="104"/>
      <c r="EX473" s="104"/>
      <c r="EY473" s="104"/>
      <c r="EZ473" s="104"/>
      <c r="FA473" s="104"/>
      <c r="FB473" s="104"/>
      <c r="FC473" s="104"/>
      <c r="FD473" s="104"/>
      <c r="FE473" s="104"/>
      <c r="FF473" s="104"/>
      <c r="FG473" s="104"/>
      <c r="FH473" s="104"/>
      <c r="FI473" s="104"/>
      <c r="FJ473" s="104"/>
      <c r="FK473" s="104"/>
      <c r="FL473" s="104"/>
      <c r="FM473" s="104"/>
      <c r="FN473" s="104"/>
      <c r="FO473" s="104"/>
      <c r="FP473" s="104"/>
      <c r="FQ473" s="104"/>
      <c r="FR473" s="104"/>
      <c r="FS473" s="104"/>
      <c r="FT473" s="104"/>
      <c r="FU473" s="104"/>
      <c r="FV473" s="104"/>
      <c r="FW473" s="104"/>
      <c r="FX473" s="116"/>
    </row>
    <row r="474" spans="2:180" x14ac:dyDescent="0.2">
      <c r="B474" s="114"/>
      <c r="C474" s="114"/>
      <c r="D474" s="114"/>
      <c r="E474" s="114"/>
      <c r="F474" s="114"/>
      <c r="G474" s="114"/>
      <c r="H474" s="116"/>
      <c r="J474" s="116"/>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6"/>
      <c r="CR474" s="104"/>
      <c r="CS474" s="104"/>
      <c r="CT474" s="104"/>
      <c r="CU474" s="104"/>
      <c r="CV474" s="104"/>
      <c r="CW474" s="104"/>
      <c r="CX474" s="104"/>
      <c r="CY474" s="104"/>
      <c r="CZ474" s="104"/>
      <c r="DA474" s="104"/>
      <c r="DB474" s="104"/>
      <c r="DC474" s="104"/>
      <c r="DD474" s="104"/>
      <c r="DE474" s="104"/>
      <c r="DF474" s="104"/>
      <c r="DG474" s="104"/>
      <c r="DH474" s="104"/>
      <c r="DI474" s="104"/>
      <c r="DJ474" s="104"/>
      <c r="DK474" s="104"/>
      <c r="DL474" s="104"/>
      <c r="DM474" s="104"/>
      <c r="DN474" s="104"/>
      <c r="DO474" s="104"/>
      <c r="DP474" s="104"/>
      <c r="DQ474" s="104"/>
      <c r="DR474" s="104"/>
      <c r="DS474" s="104"/>
      <c r="DT474" s="104"/>
      <c r="DU474" s="104"/>
      <c r="DV474" s="104"/>
      <c r="DW474" s="104"/>
      <c r="DX474" s="104"/>
      <c r="DY474" s="104"/>
      <c r="DZ474" s="104"/>
      <c r="EA474" s="104"/>
      <c r="EB474" s="104"/>
      <c r="EC474" s="104"/>
      <c r="ED474" s="104"/>
      <c r="EE474" s="104"/>
      <c r="EF474" s="104"/>
      <c r="EG474" s="104"/>
      <c r="EH474" s="104"/>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4"/>
      <c r="FU474" s="104"/>
      <c r="FV474" s="104"/>
      <c r="FW474" s="104"/>
      <c r="FX474" s="116"/>
    </row>
    <row r="475" spans="2:180" x14ac:dyDescent="0.2">
      <c r="B475" s="114"/>
      <c r="C475" s="114"/>
      <c r="D475" s="114"/>
      <c r="E475" s="114"/>
      <c r="F475" s="114"/>
      <c r="G475" s="114"/>
      <c r="H475" s="116"/>
      <c r="J475" s="116"/>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6"/>
      <c r="CR475" s="104"/>
      <c r="CS475" s="104"/>
      <c r="CT475" s="104"/>
      <c r="CU475" s="104"/>
      <c r="CV475" s="104"/>
      <c r="CW475" s="104"/>
      <c r="CX475" s="104"/>
      <c r="CY475" s="104"/>
      <c r="CZ475" s="104"/>
      <c r="DA475" s="104"/>
      <c r="DB475" s="104"/>
      <c r="DC475" s="104"/>
      <c r="DD475" s="104"/>
      <c r="DE475" s="104"/>
      <c r="DF475" s="104"/>
      <c r="DG475" s="104"/>
      <c r="DH475" s="104"/>
      <c r="DI475" s="104"/>
      <c r="DJ475" s="104"/>
      <c r="DK475" s="104"/>
      <c r="DL475" s="104"/>
      <c r="DM475" s="104"/>
      <c r="DN475" s="104"/>
      <c r="DO475" s="104"/>
      <c r="DP475" s="104"/>
      <c r="DQ475" s="104"/>
      <c r="DR475" s="104"/>
      <c r="DS475" s="104"/>
      <c r="DT475" s="104"/>
      <c r="DU475" s="104"/>
      <c r="DV475" s="104"/>
      <c r="DW475" s="104"/>
      <c r="DX475" s="104"/>
      <c r="DY475" s="104"/>
      <c r="DZ475" s="104"/>
      <c r="EA475" s="104"/>
      <c r="EB475" s="104"/>
      <c r="EC475" s="104"/>
      <c r="ED475" s="104"/>
      <c r="EE475" s="104"/>
      <c r="EF475" s="104"/>
      <c r="EG475" s="104"/>
      <c r="EH475" s="104"/>
      <c r="EI475" s="104"/>
      <c r="EJ475" s="104"/>
      <c r="EK475" s="104"/>
      <c r="EL475" s="104"/>
      <c r="EM475" s="104"/>
      <c r="EN475" s="104"/>
      <c r="EO475" s="104"/>
      <c r="EP475" s="104"/>
      <c r="EQ475" s="104"/>
      <c r="ER475" s="104"/>
      <c r="ES475" s="104"/>
      <c r="ET475" s="104"/>
      <c r="EU475" s="104"/>
      <c r="EV475" s="104"/>
      <c r="EW475" s="104"/>
      <c r="EX475" s="104"/>
      <c r="EY475" s="104"/>
      <c r="EZ475" s="104"/>
      <c r="FA475" s="104"/>
      <c r="FB475" s="104"/>
      <c r="FC475" s="104"/>
      <c r="FD475" s="104"/>
      <c r="FE475" s="104"/>
      <c r="FF475" s="104"/>
      <c r="FG475" s="104"/>
      <c r="FH475" s="104"/>
      <c r="FI475" s="104"/>
      <c r="FJ475" s="104"/>
      <c r="FK475" s="104"/>
      <c r="FL475" s="104"/>
      <c r="FM475" s="104"/>
      <c r="FN475" s="104"/>
      <c r="FO475" s="104"/>
      <c r="FP475" s="104"/>
      <c r="FQ475" s="104"/>
      <c r="FR475" s="104"/>
      <c r="FS475" s="104"/>
      <c r="FT475" s="104"/>
      <c r="FU475" s="104"/>
      <c r="FV475" s="104"/>
      <c r="FW475" s="104"/>
      <c r="FX475" s="116"/>
    </row>
    <row r="476" spans="2:180" x14ac:dyDescent="0.2">
      <c r="B476" s="114"/>
      <c r="C476" s="114"/>
      <c r="D476" s="114"/>
      <c r="E476" s="114"/>
      <c r="F476" s="114"/>
      <c r="G476" s="114"/>
      <c r="H476" s="116"/>
      <c r="J476" s="116"/>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6"/>
      <c r="CR476" s="104"/>
      <c r="CS476" s="104"/>
      <c r="CT476" s="104"/>
      <c r="CU476" s="104"/>
      <c r="CV476" s="104"/>
      <c r="CW476" s="104"/>
      <c r="CX476" s="104"/>
      <c r="CY476" s="104"/>
      <c r="CZ476" s="104"/>
      <c r="DA476" s="104"/>
      <c r="DB476" s="104"/>
      <c r="DC476" s="104"/>
      <c r="DD476" s="104"/>
      <c r="DE476" s="104"/>
      <c r="DF476" s="104"/>
      <c r="DG476" s="104"/>
      <c r="DH476" s="104"/>
      <c r="DI476" s="104"/>
      <c r="DJ476" s="104"/>
      <c r="DK476" s="104"/>
      <c r="DL476" s="104"/>
      <c r="DM476" s="104"/>
      <c r="DN476" s="104"/>
      <c r="DO476" s="104"/>
      <c r="DP476" s="104"/>
      <c r="DQ476" s="104"/>
      <c r="DR476" s="104"/>
      <c r="DS476" s="104"/>
      <c r="DT476" s="104"/>
      <c r="DU476" s="104"/>
      <c r="DV476" s="104"/>
      <c r="DW476" s="104"/>
      <c r="DX476" s="104"/>
      <c r="DY476" s="104"/>
      <c r="DZ476" s="104"/>
      <c r="EA476" s="104"/>
      <c r="EB476" s="104"/>
      <c r="EC476" s="104"/>
      <c r="ED476" s="104"/>
      <c r="EE476" s="104"/>
      <c r="EF476" s="104"/>
      <c r="EG476" s="104"/>
      <c r="EH476" s="104"/>
      <c r="EI476" s="104"/>
      <c r="EJ476" s="104"/>
      <c r="EK476" s="104"/>
      <c r="EL476" s="104"/>
      <c r="EM476" s="104"/>
      <c r="EN476" s="104"/>
      <c r="EO476" s="104"/>
      <c r="EP476" s="104"/>
      <c r="EQ476" s="104"/>
      <c r="ER476" s="104"/>
      <c r="ES476" s="104"/>
      <c r="ET476" s="104"/>
      <c r="EU476" s="104"/>
      <c r="EV476" s="104"/>
      <c r="EW476" s="104"/>
      <c r="EX476" s="104"/>
      <c r="EY476" s="104"/>
      <c r="EZ476" s="104"/>
      <c r="FA476" s="104"/>
      <c r="FB476" s="104"/>
      <c r="FC476" s="104"/>
      <c r="FD476" s="104"/>
      <c r="FE476" s="104"/>
      <c r="FF476" s="104"/>
      <c r="FG476" s="104"/>
      <c r="FH476" s="104"/>
      <c r="FI476" s="104"/>
      <c r="FJ476" s="104"/>
      <c r="FK476" s="104"/>
      <c r="FL476" s="104"/>
      <c r="FM476" s="104"/>
      <c r="FN476" s="104"/>
      <c r="FO476" s="104"/>
      <c r="FP476" s="104"/>
      <c r="FQ476" s="104"/>
      <c r="FR476" s="104"/>
      <c r="FS476" s="104"/>
      <c r="FT476" s="104"/>
      <c r="FU476" s="104"/>
      <c r="FV476" s="104"/>
      <c r="FW476" s="104"/>
      <c r="FX476" s="116"/>
    </row>
    <row r="477" spans="2:180" x14ac:dyDescent="0.2">
      <c r="B477" s="114"/>
      <c r="C477" s="114"/>
      <c r="D477" s="114"/>
      <c r="E477" s="114"/>
      <c r="F477" s="114"/>
      <c r="G477" s="114"/>
      <c r="H477" s="116"/>
      <c r="J477" s="116"/>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6"/>
      <c r="CR477" s="104"/>
      <c r="CS477" s="104"/>
      <c r="CT477" s="104"/>
      <c r="CU477" s="104"/>
      <c r="CV477" s="104"/>
      <c r="CW477" s="104"/>
      <c r="CX477" s="104"/>
      <c r="CY477" s="104"/>
      <c r="CZ477" s="104"/>
      <c r="DA477" s="104"/>
      <c r="DB477" s="104"/>
      <c r="DC477" s="104"/>
      <c r="DD477" s="104"/>
      <c r="DE477" s="104"/>
      <c r="DF477" s="104"/>
      <c r="DG477" s="104"/>
      <c r="DH477" s="104"/>
      <c r="DI477" s="104"/>
      <c r="DJ477" s="104"/>
      <c r="DK477" s="104"/>
      <c r="DL477" s="104"/>
      <c r="DM477" s="104"/>
      <c r="DN477" s="104"/>
      <c r="DO477" s="104"/>
      <c r="DP477" s="104"/>
      <c r="DQ477" s="104"/>
      <c r="DR477" s="104"/>
      <c r="DS477" s="104"/>
      <c r="DT477" s="104"/>
      <c r="DU477" s="104"/>
      <c r="DV477" s="104"/>
      <c r="DW477" s="104"/>
      <c r="DX477" s="104"/>
      <c r="DY477" s="104"/>
      <c r="DZ477" s="104"/>
      <c r="EA477" s="104"/>
      <c r="EB477" s="104"/>
      <c r="EC477" s="104"/>
      <c r="ED477" s="104"/>
      <c r="EE477" s="104"/>
      <c r="EF477" s="104"/>
      <c r="EG477" s="104"/>
      <c r="EH477" s="104"/>
      <c r="EI477" s="104"/>
      <c r="EJ477" s="104"/>
      <c r="EK477" s="104"/>
      <c r="EL477" s="104"/>
      <c r="EM477" s="104"/>
      <c r="EN477" s="104"/>
      <c r="EO477" s="104"/>
      <c r="EP477" s="104"/>
      <c r="EQ477" s="104"/>
      <c r="ER477" s="104"/>
      <c r="ES477" s="104"/>
      <c r="ET477" s="104"/>
      <c r="EU477" s="104"/>
      <c r="EV477" s="104"/>
      <c r="EW477" s="104"/>
      <c r="EX477" s="104"/>
      <c r="EY477" s="104"/>
      <c r="EZ477" s="104"/>
      <c r="FA477" s="104"/>
      <c r="FB477" s="104"/>
      <c r="FC477" s="104"/>
      <c r="FD477" s="104"/>
      <c r="FE477" s="104"/>
      <c r="FF477" s="104"/>
      <c r="FG477" s="104"/>
      <c r="FH477" s="104"/>
      <c r="FI477" s="104"/>
      <c r="FJ477" s="104"/>
      <c r="FK477" s="104"/>
      <c r="FL477" s="104"/>
      <c r="FM477" s="104"/>
      <c r="FN477" s="104"/>
      <c r="FO477" s="104"/>
      <c r="FP477" s="104"/>
      <c r="FQ477" s="104"/>
      <c r="FR477" s="104"/>
      <c r="FS477" s="104"/>
      <c r="FT477" s="104"/>
      <c r="FU477" s="104"/>
      <c r="FV477" s="104"/>
      <c r="FW477" s="104"/>
      <c r="FX477" s="116"/>
    </row>
    <row r="478" spans="2:180" x14ac:dyDescent="0.2">
      <c r="B478" s="114"/>
      <c r="C478" s="114"/>
      <c r="D478" s="114"/>
      <c r="E478" s="114"/>
      <c r="F478" s="114"/>
      <c r="G478" s="114"/>
      <c r="H478" s="116"/>
      <c r="J478" s="116"/>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6"/>
      <c r="CR478" s="104"/>
      <c r="CS478" s="104"/>
      <c r="CT478" s="104"/>
      <c r="CU478" s="104"/>
      <c r="CV478" s="104"/>
      <c r="CW478" s="104"/>
      <c r="CX478" s="104"/>
      <c r="CY478" s="104"/>
      <c r="CZ478" s="104"/>
      <c r="DA478" s="104"/>
      <c r="DB478" s="104"/>
      <c r="DC478" s="104"/>
      <c r="DD478" s="104"/>
      <c r="DE478" s="104"/>
      <c r="DF478" s="104"/>
      <c r="DG478" s="104"/>
      <c r="DH478" s="104"/>
      <c r="DI478" s="104"/>
      <c r="DJ478" s="104"/>
      <c r="DK478" s="104"/>
      <c r="DL478" s="104"/>
      <c r="DM478" s="104"/>
      <c r="DN478" s="104"/>
      <c r="DO478" s="104"/>
      <c r="DP478" s="104"/>
      <c r="DQ478" s="104"/>
      <c r="DR478" s="104"/>
      <c r="DS478" s="104"/>
      <c r="DT478" s="104"/>
      <c r="DU478" s="104"/>
      <c r="DV478" s="104"/>
      <c r="DW478" s="104"/>
      <c r="DX478" s="104"/>
      <c r="DY478" s="104"/>
      <c r="DZ478" s="104"/>
      <c r="EA478" s="104"/>
      <c r="EB478" s="104"/>
      <c r="EC478" s="104"/>
      <c r="ED478" s="104"/>
      <c r="EE478" s="104"/>
      <c r="EF478" s="104"/>
      <c r="EG478" s="104"/>
      <c r="EH478" s="104"/>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4"/>
      <c r="FU478" s="104"/>
      <c r="FV478" s="104"/>
      <c r="FW478" s="104"/>
      <c r="FX478" s="116"/>
    </row>
    <row r="479" spans="2:180" x14ac:dyDescent="0.2">
      <c r="B479" s="114"/>
      <c r="C479" s="114"/>
      <c r="D479" s="114"/>
      <c r="E479" s="114"/>
      <c r="F479" s="114"/>
      <c r="G479" s="114"/>
      <c r="H479" s="116"/>
      <c r="J479" s="116"/>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6"/>
      <c r="CR479" s="104"/>
      <c r="CS479" s="104"/>
      <c r="CT479" s="104"/>
      <c r="CU479" s="104"/>
      <c r="CV479" s="104"/>
      <c r="CW479" s="104"/>
      <c r="CX479" s="104"/>
      <c r="CY479" s="104"/>
      <c r="CZ479" s="104"/>
      <c r="DA479" s="104"/>
      <c r="DB479" s="104"/>
      <c r="DC479" s="104"/>
      <c r="DD479" s="104"/>
      <c r="DE479" s="104"/>
      <c r="DF479" s="104"/>
      <c r="DG479" s="104"/>
      <c r="DH479" s="104"/>
      <c r="DI479" s="104"/>
      <c r="DJ479" s="104"/>
      <c r="DK479" s="104"/>
      <c r="DL479" s="104"/>
      <c r="DM479" s="104"/>
      <c r="DN479" s="104"/>
      <c r="DO479" s="104"/>
      <c r="DP479" s="104"/>
      <c r="DQ479" s="104"/>
      <c r="DR479" s="104"/>
      <c r="DS479" s="104"/>
      <c r="DT479" s="104"/>
      <c r="DU479" s="104"/>
      <c r="DV479" s="104"/>
      <c r="DW479" s="104"/>
      <c r="DX479" s="104"/>
      <c r="DY479" s="104"/>
      <c r="DZ479" s="104"/>
      <c r="EA479" s="104"/>
      <c r="EB479" s="104"/>
      <c r="EC479" s="104"/>
      <c r="ED479" s="104"/>
      <c r="EE479" s="104"/>
      <c r="EF479" s="104"/>
      <c r="EG479" s="104"/>
      <c r="EH479" s="104"/>
      <c r="EI479" s="104"/>
      <c r="EJ479" s="104"/>
      <c r="EK479" s="104"/>
      <c r="EL479" s="104"/>
      <c r="EM479" s="104"/>
      <c r="EN479" s="104"/>
      <c r="EO479" s="104"/>
      <c r="EP479" s="104"/>
      <c r="EQ479" s="104"/>
      <c r="ER479" s="104"/>
      <c r="ES479" s="104"/>
      <c r="ET479" s="104"/>
      <c r="EU479" s="104"/>
      <c r="EV479" s="104"/>
      <c r="EW479" s="104"/>
      <c r="EX479" s="104"/>
      <c r="EY479" s="104"/>
      <c r="EZ479" s="104"/>
      <c r="FA479" s="104"/>
      <c r="FB479" s="104"/>
      <c r="FC479" s="104"/>
      <c r="FD479" s="104"/>
      <c r="FE479" s="104"/>
      <c r="FF479" s="104"/>
      <c r="FG479" s="104"/>
      <c r="FH479" s="104"/>
      <c r="FI479" s="104"/>
      <c r="FJ479" s="104"/>
      <c r="FK479" s="104"/>
      <c r="FL479" s="104"/>
      <c r="FM479" s="104"/>
      <c r="FN479" s="104"/>
      <c r="FO479" s="104"/>
      <c r="FP479" s="104"/>
      <c r="FQ479" s="104"/>
      <c r="FR479" s="104"/>
      <c r="FS479" s="104"/>
      <c r="FT479" s="104"/>
      <c r="FU479" s="104"/>
      <c r="FV479" s="104"/>
      <c r="FW479" s="104"/>
      <c r="FX479" s="116"/>
    </row>
    <row r="480" spans="2:180" x14ac:dyDescent="0.2">
      <c r="B480" s="114"/>
      <c r="C480" s="114"/>
      <c r="D480" s="114"/>
      <c r="E480" s="114"/>
      <c r="F480" s="114"/>
      <c r="G480" s="114"/>
      <c r="H480" s="116"/>
      <c r="J480" s="116"/>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6"/>
      <c r="CR480" s="104"/>
      <c r="CS480" s="104"/>
      <c r="CT480" s="104"/>
      <c r="CU480" s="104"/>
      <c r="CV480" s="104"/>
      <c r="CW480" s="104"/>
      <c r="CX480" s="104"/>
      <c r="CY480" s="104"/>
      <c r="CZ480" s="104"/>
      <c r="DA480" s="104"/>
      <c r="DB480" s="104"/>
      <c r="DC480" s="104"/>
      <c r="DD480" s="104"/>
      <c r="DE480" s="104"/>
      <c r="DF480" s="104"/>
      <c r="DG480" s="104"/>
      <c r="DH480" s="104"/>
      <c r="DI480" s="104"/>
      <c r="DJ480" s="104"/>
      <c r="DK480" s="104"/>
      <c r="DL480" s="104"/>
      <c r="DM480" s="104"/>
      <c r="DN480" s="104"/>
      <c r="DO480" s="104"/>
      <c r="DP480" s="104"/>
      <c r="DQ480" s="104"/>
      <c r="DR480" s="104"/>
      <c r="DS480" s="104"/>
      <c r="DT480" s="104"/>
      <c r="DU480" s="104"/>
      <c r="DV480" s="104"/>
      <c r="DW480" s="104"/>
      <c r="DX480" s="104"/>
      <c r="DY480" s="104"/>
      <c r="DZ480" s="104"/>
      <c r="EA480" s="104"/>
      <c r="EB480" s="104"/>
      <c r="EC480" s="104"/>
      <c r="ED480" s="104"/>
      <c r="EE480" s="104"/>
      <c r="EF480" s="104"/>
      <c r="EG480" s="104"/>
      <c r="EH480" s="104"/>
      <c r="EI480" s="104"/>
      <c r="EJ480" s="104"/>
      <c r="EK480" s="104"/>
      <c r="EL480" s="104"/>
      <c r="EM480" s="104"/>
      <c r="EN480" s="104"/>
      <c r="EO480" s="104"/>
      <c r="EP480" s="104"/>
      <c r="EQ480" s="104"/>
      <c r="ER480" s="104"/>
      <c r="ES480" s="104"/>
      <c r="ET480" s="104"/>
      <c r="EU480" s="104"/>
      <c r="EV480" s="104"/>
      <c r="EW480" s="104"/>
      <c r="EX480" s="104"/>
      <c r="EY480" s="104"/>
      <c r="EZ480" s="104"/>
      <c r="FA480" s="104"/>
      <c r="FB480" s="104"/>
      <c r="FC480" s="104"/>
      <c r="FD480" s="104"/>
      <c r="FE480" s="104"/>
      <c r="FF480" s="104"/>
      <c r="FG480" s="104"/>
      <c r="FH480" s="104"/>
      <c r="FI480" s="104"/>
      <c r="FJ480" s="104"/>
      <c r="FK480" s="104"/>
      <c r="FL480" s="104"/>
      <c r="FM480" s="104"/>
      <c r="FN480" s="104"/>
      <c r="FO480" s="104"/>
      <c r="FP480" s="104"/>
      <c r="FQ480" s="104"/>
      <c r="FR480" s="104"/>
      <c r="FS480" s="104"/>
      <c r="FT480" s="104"/>
      <c r="FU480" s="104"/>
      <c r="FV480" s="104"/>
      <c r="FW480" s="104"/>
      <c r="FX480" s="116"/>
    </row>
    <row r="481" spans="2:180" x14ac:dyDescent="0.2">
      <c r="B481" s="114"/>
      <c r="C481" s="114"/>
      <c r="D481" s="114"/>
      <c r="E481" s="114"/>
      <c r="F481" s="114"/>
      <c r="G481" s="114"/>
      <c r="H481" s="116"/>
      <c r="J481" s="116"/>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6"/>
      <c r="CR481" s="104"/>
      <c r="CS481" s="104"/>
      <c r="CT481" s="104"/>
      <c r="CU481" s="104"/>
      <c r="CV481" s="104"/>
      <c r="CW481" s="104"/>
      <c r="CX481" s="104"/>
      <c r="CY481" s="104"/>
      <c r="CZ481" s="104"/>
      <c r="DA481" s="104"/>
      <c r="DB481" s="104"/>
      <c r="DC481" s="104"/>
      <c r="DD481" s="104"/>
      <c r="DE481" s="104"/>
      <c r="DF481" s="104"/>
      <c r="DG481" s="104"/>
      <c r="DH481" s="104"/>
      <c r="DI481" s="104"/>
      <c r="DJ481" s="104"/>
      <c r="DK481" s="104"/>
      <c r="DL481" s="104"/>
      <c r="DM481" s="104"/>
      <c r="DN481" s="104"/>
      <c r="DO481" s="104"/>
      <c r="DP481" s="104"/>
      <c r="DQ481" s="104"/>
      <c r="DR481" s="104"/>
      <c r="DS481" s="104"/>
      <c r="DT481" s="104"/>
      <c r="DU481" s="104"/>
      <c r="DV481" s="104"/>
      <c r="DW481" s="104"/>
      <c r="DX481" s="104"/>
      <c r="DY481" s="104"/>
      <c r="DZ481" s="104"/>
      <c r="EA481" s="104"/>
      <c r="EB481" s="104"/>
      <c r="EC481" s="104"/>
      <c r="ED481" s="104"/>
      <c r="EE481" s="104"/>
      <c r="EF481" s="104"/>
      <c r="EG481" s="104"/>
      <c r="EH481" s="104"/>
      <c r="EI481" s="104"/>
      <c r="EJ481" s="104"/>
      <c r="EK481" s="104"/>
      <c r="EL481" s="104"/>
      <c r="EM481" s="104"/>
      <c r="EN481" s="104"/>
      <c r="EO481" s="104"/>
      <c r="EP481" s="104"/>
      <c r="EQ481" s="104"/>
      <c r="ER481" s="104"/>
      <c r="ES481" s="104"/>
      <c r="ET481" s="104"/>
      <c r="EU481" s="104"/>
      <c r="EV481" s="104"/>
      <c r="EW481" s="104"/>
      <c r="EX481" s="104"/>
      <c r="EY481" s="104"/>
      <c r="EZ481" s="104"/>
      <c r="FA481" s="104"/>
      <c r="FB481" s="104"/>
      <c r="FC481" s="104"/>
      <c r="FD481" s="104"/>
      <c r="FE481" s="104"/>
      <c r="FF481" s="104"/>
      <c r="FG481" s="104"/>
      <c r="FH481" s="104"/>
      <c r="FI481" s="104"/>
      <c r="FJ481" s="104"/>
      <c r="FK481" s="104"/>
      <c r="FL481" s="104"/>
      <c r="FM481" s="104"/>
      <c r="FN481" s="104"/>
      <c r="FO481" s="104"/>
      <c r="FP481" s="104"/>
      <c r="FQ481" s="104"/>
      <c r="FR481" s="104"/>
      <c r="FS481" s="104"/>
      <c r="FT481" s="104"/>
      <c r="FU481" s="104"/>
      <c r="FV481" s="104"/>
      <c r="FW481" s="104"/>
      <c r="FX481" s="116"/>
    </row>
    <row r="482" spans="2:180" x14ac:dyDescent="0.2">
      <c r="B482" s="114"/>
      <c r="C482" s="114"/>
      <c r="D482" s="114"/>
      <c r="E482" s="114"/>
      <c r="F482" s="114"/>
      <c r="G482" s="114"/>
      <c r="H482" s="116"/>
      <c r="J482" s="116"/>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6"/>
      <c r="CR482" s="104"/>
      <c r="CS482" s="104"/>
      <c r="CT482" s="104"/>
      <c r="CU482" s="104"/>
      <c r="CV482" s="104"/>
      <c r="CW482" s="104"/>
      <c r="CX482" s="104"/>
      <c r="CY482" s="104"/>
      <c r="CZ482" s="104"/>
      <c r="DA482" s="104"/>
      <c r="DB482" s="104"/>
      <c r="DC482" s="104"/>
      <c r="DD482" s="104"/>
      <c r="DE482" s="104"/>
      <c r="DF482" s="104"/>
      <c r="DG482" s="104"/>
      <c r="DH482" s="104"/>
      <c r="DI482" s="104"/>
      <c r="DJ482" s="104"/>
      <c r="DK482" s="104"/>
      <c r="DL482" s="104"/>
      <c r="DM482" s="104"/>
      <c r="DN482" s="104"/>
      <c r="DO482" s="104"/>
      <c r="DP482" s="104"/>
      <c r="DQ482" s="104"/>
      <c r="DR482" s="104"/>
      <c r="DS482" s="104"/>
      <c r="DT482" s="104"/>
      <c r="DU482" s="104"/>
      <c r="DV482" s="104"/>
      <c r="DW482" s="104"/>
      <c r="DX482" s="104"/>
      <c r="DY482" s="104"/>
      <c r="DZ482" s="104"/>
      <c r="EA482" s="104"/>
      <c r="EB482" s="104"/>
      <c r="EC482" s="104"/>
      <c r="ED482" s="104"/>
      <c r="EE482" s="104"/>
      <c r="EF482" s="104"/>
      <c r="EG482" s="104"/>
      <c r="EH482" s="104"/>
      <c r="EI482" s="104"/>
      <c r="EJ482" s="104"/>
      <c r="EK482" s="104"/>
      <c r="EL482" s="104"/>
      <c r="EM482" s="104"/>
      <c r="EN482" s="104"/>
      <c r="EO482" s="104"/>
      <c r="EP482" s="104"/>
      <c r="EQ482" s="104"/>
      <c r="ER482" s="104"/>
      <c r="ES482" s="104"/>
      <c r="ET482" s="104"/>
      <c r="EU482" s="104"/>
      <c r="EV482" s="104"/>
      <c r="EW482" s="104"/>
      <c r="EX482" s="104"/>
      <c r="EY482" s="104"/>
      <c r="EZ482" s="104"/>
      <c r="FA482" s="104"/>
      <c r="FB482" s="104"/>
      <c r="FC482" s="104"/>
      <c r="FD482" s="104"/>
      <c r="FE482" s="104"/>
      <c r="FF482" s="104"/>
      <c r="FG482" s="104"/>
      <c r="FH482" s="104"/>
      <c r="FI482" s="104"/>
      <c r="FJ482" s="104"/>
      <c r="FK482" s="104"/>
      <c r="FL482" s="104"/>
      <c r="FM482" s="104"/>
      <c r="FN482" s="104"/>
      <c r="FO482" s="104"/>
      <c r="FP482" s="104"/>
      <c r="FQ482" s="104"/>
      <c r="FR482" s="104"/>
      <c r="FS482" s="104"/>
      <c r="FT482" s="104"/>
      <c r="FU482" s="104"/>
      <c r="FV482" s="104"/>
      <c r="FW482" s="104"/>
      <c r="FX482" s="116"/>
    </row>
    <row r="483" spans="2:180" x14ac:dyDescent="0.2">
      <c r="B483" s="114"/>
      <c r="C483" s="114"/>
      <c r="D483" s="114"/>
      <c r="E483" s="114"/>
      <c r="F483" s="114"/>
      <c r="G483" s="114"/>
      <c r="H483" s="116"/>
      <c r="J483" s="116"/>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6"/>
      <c r="CR483" s="104"/>
      <c r="CS483" s="104"/>
      <c r="CT483" s="104"/>
      <c r="CU483" s="104"/>
      <c r="CV483" s="104"/>
      <c r="CW483" s="104"/>
      <c r="CX483" s="104"/>
      <c r="CY483" s="104"/>
      <c r="CZ483" s="104"/>
      <c r="DA483" s="104"/>
      <c r="DB483" s="104"/>
      <c r="DC483" s="104"/>
      <c r="DD483" s="104"/>
      <c r="DE483" s="104"/>
      <c r="DF483" s="104"/>
      <c r="DG483" s="104"/>
      <c r="DH483" s="104"/>
      <c r="DI483" s="104"/>
      <c r="DJ483" s="104"/>
      <c r="DK483" s="104"/>
      <c r="DL483" s="104"/>
      <c r="DM483" s="104"/>
      <c r="DN483" s="104"/>
      <c r="DO483" s="104"/>
      <c r="DP483" s="104"/>
      <c r="DQ483" s="104"/>
      <c r="DR483" s="104"/>
      <c r="DS483" s="104"/>
      <c r="DT483" s="104"/>
      <c r="DU483" s="104"/>
      <c r="DV483" s="104"/>
      <c r="DW483" s="104"/>
      <c r="DX483" s="104"/>
      <c r="DY483" s="104"/>
      <c r="DZ483" s="104"/>
      <c r="EA483" s="104"/>
      <c r="EB483" s="104"/>
      <c r="EC483" s="104"/>
      <c r="ED483" s="104"/>
      <c r="EE483" s="104"/>
      <c r="EF483" s="104"/>
      <c r="EG483" s="104"/>
      <c r="EH483" s="104"/>
      <c r="EI483" s="104"/>
      <c r="EJ483" s="104"/>
      <c r="EK483" s="104"/>
      <c r="EL483" s="104"/>
      <c r="EM483" s="104"/>
      <c r="EN483" s="104"/>
      <c r="EO483" s="104"/>
      <c r="EP483" s="104"/>
      <c r="EQ483" s="104"/>
      <c r="ER483" s="104"/>
      <c r="ES483" s="104"/>
      <c r="ET483" s="104"/>
      <c r="EU483" s="104"/>
      <c r="EV483" s="104"/>
      <c r="EW483" s="104"/>
      <c r="EX483" s="104"/>
      <c r="EY483" s="104"/>
      <c r="EZ483" s="104"/>
      <c r="FA483" s="104"/>
      <c r="FB483" s="104"/>
      <c r="FC483" s="104"/>
      <c r="FD483" s="104"/>
      <c r="FE483" s="104"/>
      <c r="FF483" s="104"/>
      <c r="FG483" s="104"/>
      <c r="FH483" s="104"/>
      <c r="FI483" s="104"/>
      <c r="FJ483" s="104"/>
      <c r="FK483" s="104"/>
      <c r="FL483" s="104"/>
      <c r="FM483" s="104"/>
      <c r="FN483" s="104"/>
      <c r="FO483" s="104"/>
      <c r="FP483" s="104"/>
      <c r="FQ483" s="104"/>
      <c r="FR483" s="104"/>
      <c r="FS483" s="104"/>
      <c r="FT483" s="104"/>
      <c r="FU483" s="104"/>
      <c r="FV483" s="104"/>
      <c r="FW483" s="104"/>
      <c r="FX483" s="116"/>
    </row>
    <row r="484" spans="2:180" x14ac:dyDescent="0.2">
      <c r="B484" s="114"/>
      <c r="C484" s="114"/>
      <c r="D484" s="114"/>
      <c r="E484" s="114"/>
      <c r="F484" s="114"/>
      <c r="G484" s="114"/>
      <c r="H484" s="116"/>
      <c r="J484" s="116"/>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6"/>
      <c r="CR484" s="104"/>
      <c r="CS484" s="104"/>
      <c r="CT484" s="104"/>
      <c r="CU484" s="104"/>
      <c r="CV484" s="104"/>
      <c r="CW484" s="104"/>
      <c r="CX484" s="104"/>
      <c r="CY484" s="104"/>
      <c r="CZ484" s="104"/>
      <c r="DA484" s="104"/>
      <c r="DB484" s="104"/>
      <c r="DC484" s="104"/>
      <c r="DD484" s="104"/>
      <c r="DE484" s="104"/>
      <c r="DF484" s="104"/>
      <c r="DG484" s="104"/>
      <c r="DH484" s="104"/>
      <c r="DI484" s="104"/>
      <c r="DJ484" s="104"/>
      <c r="DK484" s="104"/>
      <c r="DL484" s="104"/>
      <c r="DM484" s="104"/>
      <c r="DN484" s="104"/>
      <c r="DO484" s="104"/>
      <c r="DP484" s="104"/>
      <c r="DQ484" s="104"/>
      <c r="DR484" s="104"/>
      <c r="DS484" s="104"/>
      <c r="DT484" s="104"/>
      <c r="DU484" s="104"/>
      <c r="DV484" s="104"/>
      <c r="DW484" s="104"/>
      <c r="DX484" s="104"/>
      <c r="DY484" s="104"/>
      <c r="DZ484" s="104"/>
      <c r="EA484" s="104"/>
      <c r="EB484" s="104"/>
      <c r="EC484" s="104"/>
      <c r="ED484" s="104"/>
      <c r="EE484" s="104"/>
      <c r="EF484" s="104"/>
      <c r="EG484" s="104"/>
      <c r="EH484" s="104"/>
      <c r="EI484" s="104"/>
      <c r="EJ484" s="104"/>
      <c r="EK484" s="104"/>
      <c r="EL484" s="104"/>
      <c r="EM484" s="104"/>
      <c r="EN484" s="104"/>
      <c r="EO484" s="104"/>
      <c r="EP484" s="104"/>
      <c r="EQ484" s="104"/>
      <c r="ER484" s="104"/>
      <c r="ES484" s="104"/>
      <c r="ET484" s="104"/>
      <c r="EU484" s="104"/>
      <c r="EV484" s="104"/>
      <c r="EW484" s="104"/>
      <c r="EX484" s="104"/>
      <c r="EY484" s="104"/>
      <c r="EZ484" s="104"/>
      <c r="FA484" s="104"/>
      <c r="FB484" s="104"/>
      <c r="FC484" s="104"/>
      <c r="FD484" s="104"/>
      <c r="FE484" s="104"/>
      <c r="FF484" s="104"/>
      <c r="FG484" s="104"/>
      <c r="FH484" s="104"/>
      <c r="FI484" s="104"/>
      <c r="FJ484" s="104"/>
      <c r="FK484" s="104"/>
      <c r="FL484" s="104"/>
      <c r="FM484" s="104"/>
      <c r="FN484" s="104"/>
      <c r="FO484" s="104"/>
      <c r="FP484" s="104"/>
      <c r="FQ484" s="104"/>
      <c r="FR484" s="104"/>
      <c r="FS484" s="104"/>
      <c r="FT484" s="104"/>
      <c r="FU484" s="104"/>
      <c r="FV484" s="104"/>
      <c r="FW484" s="104"/>
      <c r="FX484" s="116"/>
    </row>
    <row r="485" spans="2:180" x14ac:dyDescent="0.2">
      <c r="B485" s="114"/>
      <c r="C485" s="114"/>
      <c r="D485" s="114"/>
      <c r="E485" s="114"/>
      <c r="F485" s="114"/>
      <c r="G485" s="114"/>
      <c r="H485" s="116"/>
      <c r="J485" s="116"/>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6"/>
      <c r="CR485" s="104"/>
      <c r="CS485" s="104"/>
      <c r="CT485" s="104"/>
      <c r="CU485" s="104"/>
      <c r="CV485" s="104"/>
      <c r="CW485" s="104"/>
      <c r="CX485" s="104"/>
      <c r="CY485" s="104"/>
      <c r="CZ485" s="104"/>
      <c r="DA485" s="104"/>
      <c r="DB485" s="104"/>
      <c r="DC485" s="104"/>
      <c r="DD485" s="104"/>
      <c r="DE485" s="104"/>
      <c r="DF485" s="104"/>
      <c r="DG485" s="104"/>
      <c r="DH485" s="104"/>
      <c r="DI485" s="104"/>
      <c r="DJ485" s="104"/>
      <c r="DK485" s="104"/>
      <c r="DL485" s="104"/>
      <c r="DM485" s="104"/>
      <c r="DN485" s="104"/>
      <c r="DO485" s="104"/>
      <c r="DP485" s="104"/>
      <c r="DQ485" s="104"/>
      <c r="DR485" s="104"/>
      <c r="DS485" s="104"/>
      <c r="DT485" s="104"/>
      <c r="DU485" s="104"/>
      <c r="DV485" s="104"/>
      <c r="DW485" s="104"/>
      <c r="DX485" s="104"/>
      <c r="DY485" s="104"/>
      <c r="DZ485" s="104"/>
      <c r="EA485" s="104"/>
      <c r="EB485" s="104"/>
      <c r="EC485" s="104"/>
      <c r="ED485" s="104"/>
      <c r="EE485" s="104"/>
      <c r="EF485" s="104"/>
      <c r="EG485" s="104"/>
      <c r="EH485" s="104"/>
      <c r="EI485" s="104"/>
      <c r="EJ485" s="104"/>
      <c r="EK485" s="104"/>
      <c r="EL485" s="104"/>
      <c r="EM485" s="104"/>
      <c r="EN485" s="104"/>
      <c r="EO485" s="104"/>
      <c r="EP485" s="104"/>
      <c r="EQ485" s="104"/>
      <c r="ER485" s="104"/>
      <c r="ES485" s="104"/>
      <c r="ET485" s="104"/>
      <c r="EU485" s="104"/>
      <c r="EV485" s="104"/>
      <c r="EW485" s="104"/>
      <c r="EX485" s="104"/>
      <c r="EY485" s="104"/>
      <c r="EZ485" s="104"/>
      <c r="FA485" s="104"/>
      <c r="FB485" s="104"/>
      <c r="FC485" s="104"/>
      <c r="FD485" s="104"/>
      <c r="FE485" s="104"/>
      <c r="FF485" s="104"/>
      <c r="FG485" s="104"/>
      <c r="FH485" s="104"/>
      <c r="FI485" s="104"/>
      <c r="FJ485" s="104"/>
      <c r="FK485" s="104"/>
      <c r="FL485" s="104"/>
      <c r="FM485" s="104"/>
      <c r="FN485" s="104"/>
      <c r="FO485" s="104"/>
      <c r="FP485" s="104"/>
      <c r="FQ485" s="104"/>
      <c r="FR485" s="104"/>
      <c r="FS485" s="104"/>
      <c r="FT485" s="104"/>
      <c r="FU485" s="104"/>
      <c r="FV485" s="104"/>
      <c r="FW485" s="104"/>
      <c r="FX485" s="116"/>
    </row>
    <row r="486" spans="2:180" x14ac:dyDescent="0.2">
      <c r="B486" s="114"/>
      <c r="C486" s="114"/>
      <c r="D486" s="114"/>
      <c r="E486" s="114"/>
      <c r="F486" s="114"/>
      <c r="G486" s="114"/>
      <c r="H486" s="116"/>
      <c r="J486" s="116"/>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6"/>
      <c r="CR486" s="104"/>
      <c r="CS486" s="104"/>
      <c r="CT486" s="104"/>
      <c r="CU486" s="104"/>
      <c r="CV486" s="104"/>
      <c r="CW486" s="104"/>
      <c r="CX486" s="104"/>
      <c r="CY486" s="104"/>
      <c r="CZ486" s="104"/>
      <c r="DA486" s="104"/>
      <c r="DB486" s="104"/>
      <c r="DC486" s="104"/>
      <c r="DD486" s="104"/>
      <c r="DE486" s="104"/>
      <c r="DF486" s="104"/>
      <c r="DG486" s="104"/>
      <c r="DH486" s="104"/>
      <c r="DI486" s="104"/>
      <c r="DJ486" s="104"/>
      <c r="DK486" s="104"/>
      <c r="DL486" s="104"/>
      <c r="DM486" s="104"/>
      <c r="DN486" s="104"/>
      <c r="DO486" s="104"/>
      <c r="DP486" s="104"/>
      <c r="DQ486" s="104"/>
      <c r="DR486" s="104"/>
      <c r="DS486" s="104"/>
      <c r="DT486" s="104"/>
      <c r="DU486" s="104"/>
      <c r="DV486" s="104"/>
      <c r="DW486" s="104"/>
      <c r="DX486" s="104"/>
      <c r="DY486" s="104"/>
      <c r="DZ486" s="104"/>
      <c r="EA486" s="104"/>
      <c r="EB486" s="104"/>
      <c r="EC486" s="104"/>
      <c r="ED486" s="104"/>
      <c r="EE486" s="104"/>
      <c r="EF486" s="104"/>
      <c r="EG486" s="104"/>
      <c r="EH486" s="104"/>
      <c r="EI486" s="104"/>
      <c r="EJ486" s="104"/>
      <c r="EK486" s="104"/>
      <c r="EL486" s="104"/>
      <c r="EM486" s="104"/>
      <c r="EN486" s="104"/>
      <c r="EO486" s="104"/>
      <c r="EP486" s="104"/>
      <c r="EQ486" s="104"/>
      <c r="ER486" s="104"/>
      <c r="ES486" s="104"/>
      <c r="ET486" s="104"/>
      <c r="EU486" s="104"/>
      <c r="EV486" s="104"/>
      <c r="EW486" s="104"/>
      <c r="EX486" s="104"/>
      <c r="EY486" s="104"/>
      <c r="EZ486" s="104"/>
      <c r="FA486" s="104"/>
      <c r="FB486" s="104"/>
      <c r="FC486" s="104"/>
      <c r="FD486" s="104"/>
      <c r="FE486" s="104"/>
      <c r="FF486" s="104"/>
      <c r="FG486" s="104"/>
      <c r="FH486" s="104"/>
      <c r="FI486" s="104"/>
      <c r="FJ486" s="104"/>
      <c r="FK486" s="104"/>
      <c r="FL486" s="104"/>
      <c r="FM486" s="104"/>
      <c r="FN486" s="104"/>
      <c r="FO486" s="104"/>
      <c r="FP486" s="104"/>
      <c r="FQ486" s="104"/>
      <c r="FR486" s="104"/>
      <c r="FS486" s="104"/>
      <c r="FT486" s="104"/>
      <c r="FU486" s="104"/>
      <c r="FV486" s="104"/>
      <c r="FW486" s="104"/>
      <c r="FX486" s="116"/>
    </row>
    <row r="487" spans="2:180" x14ac:dyDescent="0.2">
      <c r="B487" s="114"/>
      <c r="C487" s="114"/>
      <c r="D487" s="114"/>
      <c r="E487" s="114"/>
      <c r="F487" s="114"/>
      <c r="G487" s="114"/>
      <c r="H487" s="116"/>
      <c r="J487" s="116"/>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6"/>
      <c r="CR487" s="104"/>
      <c r="CS487" s="104"/>
      <c r="CT487" s="104"/>
      <c r="CU487" s="104"/>
      <c r="CV487" s="104"/>
      <c r="CW487" s="104"/>
      <c r="CX487" s="104"/>
      <c r="CY487" s="104"/>
      <c r="CZ487" s="104"/>
      <c r="DA487" s="104"/>
      <c r="DB487" s="104"/>
      <c r="DC487" s="104"/>
      <c r="DD487" s="104"/>
      <c r="DE487" s="104"/>
      <c r="DF487" s="104"/>
      <c r="DG487" s="104"/>
      <c r="DH487" s="104"/>
      <c r="DI487" s="104"/>
      <c r="DJ487" s="104"/>
      <c r="DK487" s="104"/>
      <c r="DL487" s="104"/>
      <c r="DM487" s="104"/>
      <c r="DN487" s="104"/>
      <c r="DO487" s="104"/>
      <c r="DP487" s="104"/>
      <c r="DQ487" s="104"/>
      <c r="DR487" s="104"/>
      <c r="DS487" s="104"/>
      <c r="DT487" s="104"/>
      <c r="DU487" s="104"/>
      <c r="DV487" s="104"/>
      <c r="DW487" s="104"/>
      <c r="DX487" s="104"/>
      <c r="DY487" s="104"/>
      <c r="DZ487" s="104"/>
      <c r="EA487" s="104"/>
      <c r="EB487" s="104"/>
      <c r="EC487" s="104"/>
      <c r="ED487" s="104"/>
      <c r="EE487" s="104"/>
      <c r="EF487" s="104"/>
      <c r="EG487" s="104"/>
      <c r="EH487" s="104"/>
      <c r="EI487" s="104"/>
      <c r="EJ487" s="104"/>
      <c r="EK487" s="104"/>
      <c r="EL487" s="104"/>
      <c r="EM487" s="104"/>
      <c r="EN487" s="104"/>
      <c r="EO487" s="104"/>
      <c r="EP487" s="104"/>
      <c r="EQ487" s="104"/>
      <c r="ER487" s="104"/>
      <c r="ES487" s="104"/>
      <c r="ET487" s="104"/>
      <c r="EU487" s="104"/>
      <c r="EV487" s="104"/>
      <c r="EW487" s="104"/>
      <c r="EX487" s="104"/>
      <c r="EY487" s="104"/>
      <c r="EZ487" s="104"/>
      <c r="FA487" s="104"/>
      <c r="FB487" s="104"/>
      <c r="FC487" s="104"/>
      <c r="FD487" s="104"/>
      <c r="FE487" s="104"/>
      <c r="FF487" s="104"/>
      <c r="FG487" s="104"/>
      <c r="FH487" s="104"/>
      <c r="FI487" s="104"/>
      <c r="FJ487" s="104"/>
      <c r="FK487" s="104"/>
      <c r="FL487" s="104"/>
      <c r="FM487" s="104"/>
      <c r="FN487" s="104"/>
      <c r="FO487" s="104"/>
      <c r="FP487" s="104"/>
      <c r="FQ487" s="104"/>
      <c r="FR487" s="104"/>
      <c r="FS487" s="104"/>
      <c r="FT487" s="104"/>
      <c r="FU487" s="104"/>
      <c r="FV487" s="104"/>
      <c r="FW487" s="104"/>
      <c r="FX487" s="116"/>
    </row>
    <row r="488" spans="2:180" x14ac:dyDescent="0.2">
      <c r="B488" s="114"/>
      <c r="C488" s="114"/>
      <c r="D488" s="114"/>
      <c r="E488" s="114"/>
      <c r="F488" s="114"/>
      <c r="G488" s="114"/>
      <c r="H488" s="116"/>
      <c r="J488" s="116"/>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6"/>
      <c r="CR488" s="104"/>
      <c r="CS488" s="104"/>
      <c r="CT488" s="104"/>
      <c r="CU488" s="104"/>
      <c r="CV488" s="104"/>
      <c r="CW488" s="104"/>
      <c r="CX488" s="104"/>
      <c r="CY488" s="104"/>
      <c r="CZ488" s="104"/>
      <c r="DA488" s="104"/>
      <c r="DB488" s="104"/>
      <c r="DC488" s="104"/>
      <c r="DD488" s="104"/>
      <c r="DE488" s="104"/>
      <c r="DF488" s="104"/>
      <c r="DG488" s="104"/>
      <c r="DH488" s="104"/>
      <c r="DI488" s="104"/>
      <c r="DJ488" s="104"/>
      <c r="DK488" s="104"/>
      <c r="DL488" s="104"/>
      <c r="DM488" s="104"/>
      <c r="DN488" s="104"/>
      <c r="DO488" s="104"/>
      <c r="DP488" s="104"/>
      <c r="DQ488" s="104"/>
      <c r="DR488" s="104"/>
      <c r="DS488" s="104"/>
      <c r="DT488" s="104"/>
      <c r="DU488" s="104"/>
      <c r="DV488" s="104"/>
      <c r="DW488" s="104"/>
      <c r="DX488" s="104"/>
      <c r="DY488" s="104"/>
      <c r="DZ488" s="104"/>
      <c r="EA488" s="104"/>
      <c r="EB488" s="104"/>
      <c r="EC488" s="104"/>
      <c r="ED488" s="104"/>
      <c r="EE488" s="104"/>
      <c r="EF488" s="104"/>
      <c r="EG488" s="104"/>
      <c r="EH488" s="104"/>
      <c r="EI488" s="104"/>
      <c r="EJ488" s="104"/>
      <c r="EK488" s="104"/>
      <c r="EL488" s="104"/>
      <c r="EM488" s="104"/>
      <c r="EN488" s="104"/>
      <c r="EO488" s="104"/>
      <c r="EP488" s="104"/>
      <c r="EQ488" s="104"/>
      <c r="ER488" s="104"/>
      <c r="ES488" s="104"/>
      <c r="ET488" s="104"/>
      <c r="EU488" s="104"/>
      <c r="EV488" s="104"/>
      <c r="EW488" s="104"/>
      <c r="EX488" s="104"/>
      <c r="EY488" s="104"/>
      <c r="EZ488" s="104"/>
      <c r="FA488" s="104"/>
      <c r="FB488" s="104"/>
      <c r="FC488" s="104"/>
      <c r="FD488" s="104"/>
      <c r="FE488" s="104"/>
      <c r="FF488" s="104"/>
      <c r="FG488" s="104"/>
      <c r="FH488" s="104"/>
      <c r="FI488" s="104"/>
      <c r="FJ488" s="104"/>
      <c r="FK488" s="104"/>
      <c r="FL488" s="104"/>
      <c r="FM488" s="104"/>
      <c r="FN488" s="104"/>
      <c r="FO488" s="104"/>
      <c r="FP488" s="104"/>
      <c r="FQ488" s="104"/>
      <c r="FR488" s="104"/>
      <c r="FS488" s="104"/>
      <c r="FT488" s="104"/>
      <c r="FU488" s="104"/>
      <c r="FV488" s="104"/>
      <c r="FW488" s="104"/>
      <c r="FX488" s="116"/>
    </row>
    <row r="489" spans="2:180" x14ac:dyDescent="0.2">
      <c r="B489" s="114"/>
      <c r="C489" s="114"/>
      <c r="D489" s="114"/>
      <c r="E489" s="114"/>
      <c r="F489" s="114"/>
      <c r="G489" s="114"/>
      <c r="H489" s="116"/>
      <c r="J489" s="116"/>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6"/>
      <c r="CR489" s="104"/>
      <c r="CS489" s="104"/>
      <c r="CT489" s="104"/>
      <c r="CU489" s="104"/>
      <c r="CV489" s="104"/>
      <c r="CW489" s="104"/>
      <c r="CX489" s="104"/>
      <c r="CY489" s="104"/>
      <c r="CZ489" s="104"/>
      <c r="DA489" s="104"/>
      <c r="DB489" s="104"/>
      <c r="DC489" s="104"/>
      <c r="DD489" s="104"/>
      <c r="DE489" s="104"/>
      <c r="DF489" s="104"/>
      <c r="DG489" s="104"/>
      <c r="DH489" s="104"/>
      <c r="DI489" s="104"/>
      <c r="DJ489" s="104"/>
      <c r="DK489" s="104"/>
      <c r="DL489" s="104"/>
      <c r="DM489" s="104"/>
      <c r="DN489" s="104"/>
      <c r="DO489" s="104"/>
      <c r="DP489" s="104"/>
      <c r="DQ489" s="104"/>
      <c r="DR489" s="104"/>
      <c r="DS489" s="104"/>
      <c r="DT489" s="104"/>
      <c r="DU489" s="104"/>
      <c r="DV489" s="104"/>
      <c r="DW489" s="104"/>
      <c r="DX489" s="104"/>
      <c r="DY489" s="104"/>
      <c r="DZ489" s="104"/>
      <c r="EA489" s="104"/>
      <c r="EB489" s="104"/>
      <c r="EC489" s="104"/>
      <c r="ED489" s="104"/>
      <c r="EE489" s="104"/>
      <c r="EF489" s="104"/>
      <c r="EG489" s="104"/>
      <c r="EH489" s="104"/>
      <c r="EI489" s="104"/>
      <c r="EJ489" s="104"/>
      <c r="EK489" s="104"/>
      <c r="EL489" s="104"/>
      <c r="EM489" s="104"/>
      <c r="EN489" s="104"/>
      <c r="EO489" s="104"/>
      <c r="EP489" s="104"/>
      <c r="EQ489" s="104"/>
      <c r="ER489" s="104"/>
      <c r="ES489" s="104"/>
      <c r="ET489" s="104"/>
      <c r="EU489" s="104"/>
      <c r="EV489" s="104"/>
      <c r="EW489" s="104"/>
      <c r="EX489" s="104"/>
      <c r="EY489" s="104"/>
      <c r="EZ489" s="104"/>
      <c r="FA489" s="104"/>
      <c r="FB489" s="104"/>
      <c r="FC489" s="104"/>
      <c r="FD489" s="104"/>
      <c r="FE489" s="104"/>
      <c r="FF489" s="104"/>
      <c r="FG489" s="104"/>
      <c r="FH489" s="104"/>
      <c r="FI489" s="104"/>
      <c r="FJ489" s="104"/>
      <c r="FK489" s="104"/>
      <c r="FL489" s="104"/>
      <c r="FM489" s="104"/>
      <c r="FN489" s="104"/>
      <c r="FO489" s="104"/>
      <c r="FP489" s="104"/>
      <c r="FQ489" s="104"/>
      <c r="FR489" s="104"/>
      <c r="FS489" s="104"/>
      <c r="FT489" s="104"/>
      <c r="FU489" s="104"/>
      <c r="FV489" s="104"/>
      <c r="FW489" s="104"/>
      <c r="FX489" s="116"/>
    </row>
    <row r="490" spans="2:180" x14ac:dyDescent="0.2">
      <c r="B490" s="114"/>
      <c r="C490" s="114"/>
      <c r="D490" s="114"/>
      <c r="E490" s="114"/>
      <c r="F490" s="114"/>
      <c r="G490" s="114"/>
      <c r="H490" s="116"/>
      <c r="J490" s="116"/>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6"/>
      <c r="CR490" s="104"/>
      <c r="CS490" s="104"/>
      <c r="CT490" s="104"/>
      <c r="CU490" s="104"/>
      <c r="CV490" s="104"/>
      <c r="CW490" s="104"/>
      <c r="CX490" s="104"/>
      <c r="CY490" s="104"/>
      <c r="CZ490" s="104"/>
      <c r="DA490" s="104"/>
      <c r="DB490" s="104"/>
      <c r="DC490" s="104"/>
      <c r="DD490" s="104"/>
      <c r="DE490" s="104"/>
      <c r="DF490" s="104"/>
      <c r="DG490" s="104"/>
      <c r="DH490" s="104"/>
      <c r="DI490" s="104"/>
      <c r="DJ490" s="104"/>
      <c r="DK490" s="104"/>
      <c r="DL490" s="104"/>
      <c r="DM490" s="104"/>
      <c r="DN490" s="104"/>
      <c r="DO490" s="104"/>
      <c r="DP490" s="104"/>
      <c r="DQ490" s="104"/>
      <c r="DR490" s="104"/>
      <c r="DS490" s="104"/>
      <c r="DT490" s="104"/>
      <c r="DU490" s="104"/>
      <c r="DV490" s="104"/>
      <c r="DW490" s="104"/>
      <c r="DX490" s="104"/>
      <c r="DY490" s="104"/>
      <c r="DZ490" s="104"/>
      <c r="EA490" s="104"/>
      <c r="EB490" s="104"/>
      <c r="EC490" s="104"/>
      <c r="ED490" s="104"/>
      <c r="EE490" s="104"/>
      <c r="EF490" s="104"/>
      <c r="EG490" s="104"/>
      <c r="EH490" s="104"/>
      <c r="EI490" s="104"/>
      <c r="EJ490" s="104"/>
      <c r="EK490" s="104"/>
      <c r="EL490" s="104"/>
      <c r="EM490" s="104"/>
      <c r="EN490" s="104"/>
      <c r="EO490" s="104"/>
      <c r="EP490" s="104"/>
      <c r="EQ490" s="104"/>
      <c r="ER490" s="104"/>
      <c r="ES490" s="104"/>
      <c r="ET490" s="104"/>
      <c r="EU490" s="104"/>
      <c r="EV490" s="104"/>
      <c r="EW490" s="104"/>
      <c r="EX490" s="104"/>
      <c r="EY490" s="104"/>
      <c r="EZ490" s="104"/>
      <c r="FA490" s="104"/>
      <c r="FB490" s="104"/>
      <c r="FC490" s="104"/>
      <c r="FD490" s="104"/>
      <c r="FE490" s="104"/>
      <c r="FF490" s="104"/>
      <c r="FG490" s="104"/>
      <c r="FH490" s="104"/>
      <c r="FI490" s="104"/>
      <c r="FJ490" s="104"/>
      <c r="FK490" s="104"/>
      <c r="FL490" s="104"/>
      <c r="FM490" s="104"/>
      <c r="FN490" s="104"/>
      <c r="FO490" s="104"/>
      <c r="FP490" s="104"/>
      <c r="FQ490" s="104"/>
      <c r="FR490" s="104"/>
      <c r="FS490" s="104"/>
      <c r="FT490" s="104"/>
      <c r="FU490" s="104"/>
      <c r="FV490" s="104"/>
      <c r="FW490" s="104"/>
      <c r="FX490" s="116"/>
    </row>
    <row r="491" spans="2:180" x14ac:dyDescent="0.2">
      <c r="B491" s="114"/>
      <c r="C491" s="114"/>
      <c r="D491" s="114"/>
      <c r="E491" s="114"/>
      <c r="F491" s="114"/>
      <c r="G491" s="114"/>
      <c r="H491" s="116"/>
      <c r="J491" s="116"/>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6"/>
      <c r="CR491" s="104"/>
      <c r="CS491" s="104"/>
      <c r="CT491" s="104"/>
      <c r="CU491" s="104"/>
      <c r="CV491" s="104"/>
      <c r="CW491" s="104"/>
      <c r="CX491" s="104"/>
      <c r="CY491" s="104"/>
      <c r="CZ491" s="104"/>
      <c r="DA491" s="104"/>
      <c r="DB491" s="104"/>
      <c r="DC491" s="104"/>
      <c r="DD491" s="104"/>
      <c r="DE491" s="104"/>
      <c r="DF491" s="104"/>
      <c r="DG491" s="104"/>
      <c r="DH491" s="104"/>
      <c r="DI491" s="104"/>
      <c r="DJ491" s="104"/>
      <c r="DK491" s="104"/>
      <c r="DL491" s="104"/>
      <c r="DM491" s="104"/>
      <c r="DN491" s="104"/>
      <c r="DO491" s="104"/>
      <c r="DP491" s="104"/>
      <c r="DQ491" s="104"/>
      <c r="DR491" s="104"/>
      <c r="DS491" s="104"/>
      <c r="DT491" s="104"/>
      <c r="DU491" s="104"/>
      <c r="DV491" s="104"/>
      <c r="DW491" s="104"/>
      <c r="DX491" s="104"/>
      <c r="DY491" s="104"/>
      <c r="DZ491" s="104"/>
      <c r="EA491" s="104"/>
      <c r="EB491" s="104"/>
      <c r="EC491" s="104"/>
      <c r="ED491" s="104"/>
      <c r="EE491" s="104"/>
      <c r="EF491" s="104"/>
      <c r="EG491" s="104"/>
      <c r="EH491" s="104"/>
      <c r="EI491" s="104"/>
      <c r="EJ491" s="104"/>
      <c r="EK491" s="104"/>
      <c r="EL491" s="104"/>
      <c r="EM491" s="104"/>
      <c r="EN491" s="104"/>
      <c r="EO491" s="104"/>
      <c r="EP491" s="104"/>
      <c r="EQ491" s="104"/>
      <c r="ER491" s="104"/>
      <c r="ES491" s="104"/>
      <c r="ET491" s="104"/>
      <c r="EU491" s="104"/>
      <c r="EV491" s="104"/>
      <c r="EW491" s="104"/>
      <c r="EX491" s="104"/>
      <c r="EY491" s="104"/>
      <c r="EZ491" s="104"/>
      <c r="FA491" s="104"/>
      <c r="FB491" s="104"/>
      <c r="FC491" s="104"/>
      <c r="FD491" s="104"/>
      <c r="FE491" s="104"/>
      <c r="FF491" s="104"/>
      <c r="FG491" s="104"/>
      <c r="FH491" s="104"/>
      <c r="FI491" s="104"/>
      <c r="FJ491" s="104"/>
      <c r="FK491" s="104"/>
      <c r="FL491" s="104"/>
      <c r="FM491" s="104"/>
      <c r="FN491" s="104"/>
      <c r="FO491" s="104"/>
      <c r="FP491" s="104"/>
      <c r="FQ491" s="104"/>
      <c r="FR491" s="104"/>
      <c r="FS491" s="104"/>
      <c r="FT491" s="104"/>
      <c r="FU491" s="104"/>
      <c r="FV491" s="104"/>
      <c r="FW491" s="104"/>
      <c r="FX491" s="116"/>
    </row>
    <row r="492" spans="2:180" x14ac:dyDescent="0.2">
      <c r="B492" s="114"/>
      <c r="C492" s="114"/>
      <c r="D492" s="114"/>
      <c r="E492" s="114"/>
      <c r="F492" s="114"/>
      <c r="G492" s="114"/>
      <c r="H492" s="116"/>
      <c r="J492" s="116"/>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6"/>
      <c r="CR492" s="104"/>
      <c r="CS492" s="104"/>
      <c r="CT492" s="104"/>
      <c r="CU492" s="104"/>
      <c r="CV492" s="104"/>
      <c r="CW492" s="104"/>
      <c r="CX492" s="104"/>
      <c r="CY492" s="104"/>
      <c r="CZ492" s="104"/>
      <c r="DA492" s="104"/>
      <c r="DB492" s="104"/>
      <c r="DC492" s="104"/>
      <c r="DD492" s="104"/>
      <c r="DE492" s="104"/>
      <c r="DF492" s="104"/>
      <c r="DG492" s="104"/>
      <c r="DH492" s="104"/>
      <c r="DI492" s="104"/>
      <c r="DJ492" s="104"/>
      <c r="DK492" s="104"/>
      <c r="DL492" s="104"/>
      <c r="DM492" s="104"/>
      <c r="DN492" s="104"/>
      <c r="DO492" s="104"/>
      <c r="DP492" s="104"/>
      <c r="DQ492" s="104"/>
      <c r="DR492" s="104"/>
      <c r="DS492" s="104"/>
      <c r="DT492" s="104"/>
      <c r="DU492" s="104"/>
      <c r="DV492" s="104"/>
      <c r="DW492" s="104"/>
      <c r="DX492" s="104"/>
      <c r="DY492" s="104"/>
      <c r="DZ492" s="104"/>
      <c r="EA492" s="104"/>
      <c r="EB492" s="104"/>
      <c r="EC492" s="104"/>
      <c r="ED492" s="104"/>
      <c r="EE492" s="104"/>
      <c r="EF492" s="104"/>
      <c r="EG492" s="104"/>
      <c r="EH492" s="104"/>
      <c r="EI492" s="104"/>
      <c r="EJ492" s="104"/>
      <c r="EK492" s="104"/>
      <c r="EL492" s="104"/>
      <c r="EM492" s="104"/>
      <c r="EN492" s="104"/>
      <c r="EO492" s="104"/>
      <c r="EP492" s="104"/>
      <c r="EQ492" s="104"/>
      <c r="ER492" s="104"/>
      <c r="ES492" s="104"/>
      <c r="ET492" s="104"/>
      <c r="EU492" s="104"/>
      <c r="EV492" s="104"/>
      <c r="EW492" s="104"/>
      <c r="EX492" s="104"/>
      <c r="EY492" s="104"/>
      <c r="EZ492" s="104"/>
      <c r="FA492" s="104"/>
      <c r="FB492" s="104"/>
      <c r="FC492" s="104"/>
      <c r="FD492" s="104"/>
      <c r="FE492" s="104"/>
      <c r="FF492" s="104"/>
      <c r="FG492" s="104"/>
      <c r="FH492" s="104"/>
      <c r="FI492" s="104"/>
      <c r="FJ492" s="104"/>
      <c r="FK492" s="104"/>
      <c r="FL492" s="104"/>
      <c r="FM492" s="104"/>
      <c r="FN492" s="104"/>
      <c r="FO492" s="104"/>
      <c r="FP492" s="104"/>
      <c r="FQ492" s="104"/>
      <c r="FR492" s="104"/>
      <c r="FS492" s="104"/>
      <c r="FT492" s="104"/>
      <c r="FU492" s="104"/>
      <c r="FV492" s="104"/>
      <c r="FW492" s="104"/>
      <c r="FX492" s="116"/>
    </row>
    <row r="493" spans="2:180" x14ac:dyDescent="0.2">
      <c r="B493" s="114"/>
      <c r="C493" s="114"/>
      <c r="D493" s="114"/>
      <c r="E493" s="114"/>
      <c r="F493" s="114"/>
      <c r="G493" s="114"/>
      <c r="H493" s="116"/>
      <c r="J493" s="116"/>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6"/>
      <c r="CR493" s="104"/>
      <c r="CS493" s="104"/>
      <c r="CT493" s="104"/>
      <c r="CU493" s="104"/>
      <c r="CV493" s="104"/>
      <c r="CW493" s="104"/>
      <c r="CX493" s="104"/>
      <c r="CY493" s="104"/>
      <c r="CZ493" s="104"/>
      <c r="DA493" s="104"/>
      <c r="DB493" s="104"/>
      <c r="DC493" s="104"/>
      <c r="DD493" s="104"/>
      <c r="DE493" s="104"/>
      <c r="DF493" s="104"/>
      <c r="DG493" s="104"/>
      <c r="DH493" s="104"/>
      <c r="DI493" s="104"/>
      <c r="DJ493" s="104"/>
      <c r="DK493" s="104"/>
      <c r="DL493" s="104"/>
      <c r="DM493" s="104"/>
      <c r="DN493" s="104"/>
      <c r="DO493" s="104"/>
      <c r="DP493" s="104"/>
      <c r="DQ493" s="104"/>
      <c r="DR493" s="104"/>
      <c r="DS493" s="104"/>
      <c r="DT493" s="104"/>
      <c r="DU493" s="104"/>
      <c r="DV493" s="104"/>
      <c r="DW493" s="104"/>
      <c r="DX493" s="104"/>
      <c r="DY493" s="104"/>
      <c r="DZ493" s="104"/>
      <c r="EA493" s="104"/>
      <c r="EB493" s="104"/>
      <c r="EC493" s="104"/>
      <c r="ED493" s="104"/>
      <c r="EE493" s="104"/>
      <c r="EF493" s="104"/>
      <c r="EG493" s="104"/>
      <c r="EH493" s="104"/>
      <c r="EI493" s="104"/>
      <c r="EJ493" s="104"/>
      <c r="EK493" s="104"/>
      <c r="EL493" s="104"/>
      <c r="EM493" s="104"/>
      <c r="EN493" s="104"/>
      <c r="EO493" s="104"/>
      <c r="EP493" s="104"/>
      <c r="EQ493" s="104"/>
      <c r="ER493" s="104"/>
      <c r="ES493" s="104"/>
      <c r="ET493" s="104"/>
      <c r="EU493" s="104"/>
      <c r="EV493" s="104"/>
      <c r="EW493" s="104"/>
      <c r="EX493" s="104"/>
      <c r="EY493" s="104"/>
      <c r="EZ493" s="104"/>
      <c r="FA493" s="104"/>
      <c r="FB493" s="104"/>
      <c r="FC493" s="104"/>
      <c r="FD493" s="104"/>
      <c r="FE493" s="104"/>
      <c r="FF493" s="104"/>
      <c r="FG493" s="104"/>
      <c r="FH493" s="104"/>
      <c r="FI493" s="104"/>
      <c r="FJ493" s="104"/>
      <c r="FK493" s="104"/>
      <c r="FL493" s="104"/>
      <c r="FM493" s="104"/>
      <c r="FN493" s="104"/>
      <c r="FO493" s="104"/>
      <c r="FP493" s="104"/>
      <c r="FQ493" s="104"/>
      <c r="FR493" s="104"/>
      <c r="FS493" s="104"/>
      <c r="FT493" s="104"/>
      <c r="FU493" s="104"/>
      <c r="FV493" s="104"/>
      <c r="FW493" s="104"/>
      <c r="FX493" s="116"/>
    </row>
    <row r="494" spans="2:180" x14ac:dyDescent="0.2">
      <c r="B494" s="114"/>
      <c r="C494" s="114"/>
      <c r="D494" s="114"/>
      <c r="E494" s="114"/>
      <c r="F494" s="114"/>
      <c r="G494" s="114"/>
      <c r="H494" s="116"/>
      <c r="J494" s="116"/>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6"/>
      <c r="CR494" s="104"/>
      <c r="CS494" s="104"/>
      <c r="CT494" s="104"/>
      <c r="CU494" s="104"/>
      <c r="CV494" s="104"/>
      <c r="CW494" s="104"/>
      <c r="CX494" s="104"/>
      <c r="CY494" s="104"/>
      <c r="CZ494" s="104"/>
      <c r="DA494" s="104"/>
      <c r="DB494" s="104"/>
      <c r="DC494" s="104"/>
      <c r="DD494" s="104"/>
      <c r="DE494" s="104"/>
      <c r="DF494" s="104"/>
      <c r="DG494" s="104"/>
      <c r="DH494" s="104"/>
      <c r="DI494" s="104"/>
      <c r="DJ494" s="104"/>
      <c r="DK494" s="104"/>
      <c r="DL494" s="104"/>
      <c r="DM494" s="104"/>
      <c r="DN494" s="104"/>
      <c r="DO494" s="104"/>
      <c r="DP494" s="104"/>
      <c r="DQ494" s="104"/>
      <c r="DR494" s="104"/>
      <c r="DS494" s="104"/>
      <c r="DT494" s="104"/>
      <c r="DU494" s="104"/>
      <c r="DV494" s="104"/>
      <c r="DW494" s="104"/>
      <c r="DX494" s="104"/>
      <c r="DY494" s="104"/>
      <c r="DZ494" s="104"/>
      <c r="EA494" s="104"/>
      <c r="EB494" s="104"/>
      <c r="EC494" s="104"/>
      <c r="ED494" s="104"/>
      <c r="EE494" s="104"/>
      <c r="EF494" s="104"/>
      <c r="EG494" s="104"/>
      <c r="EH494" s="104"/>
      <c r="EI494" s="104"/>
      <c r="EJ494" s="104"/>
      <c r="EK494" s="104"/>
      <c r="EL494" s="104"/>
      <c r="EM494" s="104"/>
      <c r="EN494" s="104"/>
      <c r="EO494" s="104"/>
      <c r="EP494" s="104"/>
      <c r="EQ494" s="104"/>
      <c r="ER494" s="104"/>
      <c r="ES494" s="104"/>
      <c r="ET494" s="104"/>
      <c r="EU494" s="104"/>
      <c r="EV494" s="104"/>
      <c r="EW494" s="104"/>
      <c r="EX494" s="104"/>
      <c r="EY494" s="104"/>
      <c r="EZ494" s="104"/>
      <c r="FA494" s="104"/>
      <c r="FB494" s="104"/>
      <c r="FC494" s="104"/>
      <c r="FD494" s="104"/>
      <c r="FE494" s="104"/>
      <c r="FF494" s="104"/>
      <c r="FG494" s="104"/>
      <c r="FH494" s="104"/>
      <c r="FI494" s="104"/>
      <c r="FJ494" s="104"/>
      <c r="FK494" s="104"/>
      <c r="FL494" s="104"/>
      <c r="FM494" s="104"/>
      <c r="FN494" s="104"/>
      <c r="FO494" s="104"/>
      <c r="FP494" s="104"/>
      <c r="FQ494" s="104"/>
      <c r="FR494" s="104"/>
      <c r="FS494" s="104"/>
      <c r="FT494" s="104"/>
      <c r="FU494" s="104"/>
      <c r="FV494" s="104"/>
      <c r="FW494" s="104"/>
      <c r="FX494" s="116"/>
    </row>
    <row r="495" spans="2:180" x14ac:dyDescent="0.2">
      <c r="B495" s="114"/>
      <c r="C495" s="114"/>
      <c r="D495" s="114"/>
      <c r="E495" s="114"/>
      <c r="F495" s="114"/>
      <c r="G495" s="114"/>
      <c r="H495" s="116"/>
      <c r="J495" s="116"/>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6"/>
      <c r="CR495" s="104"/>
      <c r="CS495" s="104"/>
      <c r="CT495" s="104"/>
      <c r="CU495" s="104"/>
      <c r="CV495" s="104"/>
      <c r="CW495" s="104"/>
      <c r="CX495" s="104"/>
      <c r="CY495" s="104"/>
      <c r="CZ495" s="104"/>
      <c r="DA495" s="104"/>
      <c r="DB495" s="104"/>
      <c r="DC495" s="104"/>
      <c r="DD495" s="104"/>
      <c r="DE495" s="104"/>
      <c r="DF495" s="104"/>
      <c r="DG495" s="104"/>
      <c r="DH495" s="104"/>
      <c r="DI495" s="104"/>
      <c r="DJ495" s="104"/>
      <c r="DK495" s="104"/>
      <c r="DL495" s="104"/>
      <c r="DM495" s="104"/>
      <c r="DN495" s="104"/>
      <c r="DO495" s="104"/>
      <c r="DP495" s="104"/>
      <c r="DQ495" s="104"/>
      <c r="DR495" s="104"/>
      <c r="DS495" s="104"/>
      <c r="DT495" s="104"/>
      <c r="DU495" s="104"/>
      <c r="DV495" s="104"/>
      <c r="DW495" s="104"/>
      <c r="DX495" s="104"/>
      <c r="DY495" s="104"/>
      <c r="DZ495" s="104"/>
      <c r="EA495" s="104"/>
      <c r="EB495" s="104"/>
      <c r="EC495" s="104"/>
      <c r="ED495" s="104"/>
      <c r="EE495" s="104"/>
      <c r="EF495" s="104"/>
      <c r="EG495" s="104"/>
      <c r="EH495" s="104"/>
      <c r="EI495" s="104"/>
      <c r="EJ495" s="104"/>
      <c r="EK495" s="104"/>
      <c r="EL495" s="104"/>
      <c r="EM495" s="104"/>
      <c r="EN495" s="104"/>
      <c r="EO495" s="104"/>
      <c r="EP495" s="104"/>
      <c r="EQ495" s="104"/>
      <c r="ER495" s="104"/>
      <c r="ES495" s="104"/>
      <c r="ET495" s="104"/>
      <c r="EU495" s="104"/>
      <c r="EV495" s="104"/>
      <c r="EW495" s="104"/>
      <c r="EX495" s="104"/>
      <c r="EY495" s="104"/>
      <c r="EZ495" s="104"/>
      <c r="FA495" s="104"/>
      <c r="FB495" s="104"/>
      <c r="FC495" s="104"/>
      <c r="FD495" s="104"/>
      <c r="FE495" s="104"/>
      <c r="FF495" s="104"/>
      <c r="FG495" s="104"/>
      <c r="FH495" s="104"/>
      <c r="FI495" s="104"/>
      <c r="FJ495" s="104"/>
      <c r="FK495" s="104"/>
      <c r="FL495" s="104"/>
      <c r="FM495" s="104"/>
      <c r="FN495" s="104"/>
      <c r="FO495" s="104"/>
      <c r="FP495" s="104"/>
      <c r="FQ495" s="104"/>
      <c r="FR495" s="104"/>
      <c r="FS495" s="104"/>
      <c r="FT495" s="104"/>
      <c r="FU495" s="104"/>
      <c r="FV495" s="104"/>
      <c r="FW495" s="104"/>
      <c r="FX495" s="116"/>
    </row>
    <row r="496" spans="2:180" x14ac:dyDescent="0.2">
      <c r="B496" s="114"/>
      <c r="C496" s="114"/>
      <c r="D496" s="114"/>
      <c r="E496" s="114"/>
      <c r="F496" s="114"/>
      <c r="G496" s="114"/>
      <c r="H496" s="116"/>
      <c r="J496" s="116"/>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6"/>
      <c r="CR496" s="104"/>
      <c r="CS496" s="104"/>
      <c r="CT496" s="104"/>
      <c r="CU496" s="104"/>
      <c r="CV496" s="104"/>
      <c r="CW496" s="104"/>
      <c r="CX496" s="104"/>
      <c r="CY496" s="104"/>
      <c r="CZ496" s="104"/>
      <c r="DA496" s="104"/>
      <c r="DB496" s="104"/>
      <c r="DC496" s="104"/>
      <c r="DD496" s="104"/>
      <c r="DE496" s="104"/>
      <c r="DF496" s="104"/>
      <c r="DG496" s="104"/>
      <c r="DH496" s="104"/>
      <c r="DI496" s="104"/>
      <c r="DJ496" s="104"/>
      <c r="DK496" s="104"/>
      <c r="DL496" s="104"/>
      <c r="DM496" s="104"/>
      <c r="DN496" s="104"/>
      <c r="DO496" s="104"/>
      <c r="DP496" s="104"/>
      <c r="DQ496" s="104"/>
      <c r="DR496" s="104"/>
      <c r="DS496" s="104"/>
      <c r="DT496" s="104"/>
      <c r="DU496" s="104"/>
      <c r="DV496" s="104"/>
      <c r="DW496" s="104"/>
      <c r="DX496" s="104"/>
      <c r="DY496" s="104"/>
      <c r="DZ496" s="104"/>
      <c r="EA496" s="104"/>
      <c r="EB496" s="104"/>
      <c r="EC496" s="104"/>
      <c r="ED496" s="104"/>
      <c r="EE496" s="104"/>
      <c r="EF496" s="104"/>
      <c r="EG496" s="104"/>
      <c r="EH496" s="104"/>
      <c r="EI496" s="104"/>
      <c r="EJ496" s="104"/>
      <c r="EK496" s="104"/>
      <c r="EL496" s="104"/>
      <c r="EM496" s="104"/>
      <c r="EN496" s="104"/>
      <c r="EO496" s="104"/>
      <c r="EP496" s="104"/>
      <c r="EQ496" s="104"/>
      <c r="ER496" s="104"/>
      <c r="ES496" s="104"/>
      <c r="ET496" s="104"/>
      <c r="EU496" s="104"/>
      <c r="EV496" s="104"/>
      <c r="EW496" s="104"/>
      <c r="EX496" s="104"/>
      <c r="EY496" s="104"/>
      <c r="EZ496" s="104"/>
      <c r="FA496" s="104"/>
      <c r="FB496" s="104"/>
      <c r="FC496" s="104"/>
      <c r="FD496" s="104"/>
      <c r="FE496" s="104"/>
      <c r="FF496" s="104"/>
      <c r="FG496" s="104"/>
      <c r="FH496" s="104"/>
      <c r="FI496" s="104"/>
      <c r="FJ496" s="104"/>
      <c r="FK496" s="104"/>
      <c r="FL496" s="104"/>
      <c r="FM496" s="104"/>
      <c r="FN496" s="104"/>
      <c r="FO496" s="104"/>
      <c r="FP496" s="104"/>
      <c r="FQ496" s="104"/>
      <c r="FR496" s="104"/>
      <c r="FS496" s="104"/>
      <c r="FT496" s="104"/>
      <c r="FU496" s="104"/>
      <c r="FV496" s="104"/>
      <c r="FW496" s="104"/>
      <c r="FX496" s="116"/>
    </row>
    <row r="497" spans="2:180" x14ac:dyDescent="0.2">
      <c r="B497" s="114"/>
      <c r="C497" s="114"/>
      <c r="D497" s="114"/>
      <c r="E497" s="114"/>
      <c r="F497" s="114"/>
      <c r="G497" s="114"/>
      <c r="H497" s="116"/>
      <c r="J497" s="116"/>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6"/>
      <c r="CR497" s="104"/>
      <c r="CS497" s="104"/>
      <c r="CT497" s="104"/>
      <c r="CU497" s="104"/>
      <c r="CV497" s="104"/>
      <c r="CW497" s="104"/>
      <c r="CX497" s="104"/>
      <c r="CY497" s="104"/>
      <c r="CZ497" s="104"/>
      <c r="DA497" s="104"/>
      <c r="DB497" s="104"/>
      <c r="DC497" s="104"/>
      <c r="DD497" s="104"/>
      <c r="DE497" s="104"/>
      <c r="DF497" s="104"/>
      <c r="DG497" s="104"/>
      <c r="DH497" s="104"/>
      <c r="DI497" s="104"/>
      <c r="DJ497" s="104"/>
      <c r="DK497" s="104"/>
      <c r="DL497" s="104"/>
      <c r="DM497" s="104"/>
      <c r="DN497" s="104"/>
      <c r="DO497" s="104"/>
      <c r="DP497" s="104"/>
      <c r="DQ497" s="104"/>
      <c r="DR497" s="104"/>
      <c r="DS497" s="104"/>
      <c r="DT497" s="104"/>
      <c r="DU497" s="104"/>
      <c r="DV497" s="104"/>
      <c r="DW497" s="104"/>
      <c r="DX497" s="104"/>
      <c r="DY497" s="104"/>
      <c r="DZ497" s="104"/>
      <c r="EA497" s="104"/>
      <c r="EB497" s="104"/>
      <c r="EC497" s="104"/>
      <c r="ED497" s="104"/>
      <c r="EE497" s="104"/>
      <c r="EF497" s="104"/>
      <c r="EG497" s="104"/>
      <c r="EH497" s="104"/>
      <c r="EI497" s="104"/>
      <c r="EJ497" s="104"/>
      <c r="EK497" s="104"/>
      <c r="EL497" s="104"/>
      <c r="EM497" s="104"/>
      <c r="EN497" s="104"/>
      <c r="EO497" s="104"/>
      <c r="EP497" s="104"/>
      <c r="EQ497" s="104"/>
      <c r="ER497" s="104"/>
      <c r="ES497" s="104"/>
      <c r="ET497" s="104"/>
      <c r="EU497" s="104"/>
      <c r="EV497" s="104"/>
      <c r="EW497" s="104"/>
      <c r="EX497" s="104"/>
      <c r="EY497" s="104"/>
      <c r="EZ497" s="104"/>
      <c r="FA497" s="104"/>
      <c r="FB497" s="104"/>
      <c r="FC497" s="104"/>
      <c r="FD497" s="104"/>
      <c r="FE497" s="104"/>
      <c r="FF497" s="104"/>
      <c r="FG497" s="104"/>
      <c r="FH497" s="104"/>
      <c r="FI497" s="104"/>
      <c r="FJ497" s="104"/>
      <c r="FK497" s="104"/>
      <c r="FL497" s="104"/>
      <c r="FM497" s="104"/>
      <c r="FN497" s="104"/>
      <c r="FO497" s="104"/>
      <c r="FP497" s="104"/>
      <c r="FQ497" s="104"/>
      <c r="FR497" s="104"/>
      <c r="FS497" s="104"/>
      <c r="FT497" s="104"/>
      <c r="FU497" s="104"/>
      <c r="FV497" s="104"/>
      <c r="FW497" s="104"/>
      <c r="FX497" s="116"/>
    </row>
    <row r="498" spans="2:180" x14ac:dyDescent="0.2">
      <c r="B498" s="114"/>
      <c r="C498" s="114"/>
      <c r="D498" s="114"/>
      <c r="E498" s="114"/>
      <c r="F498" s="114"/>
      <c r="G498" s="114"/>
      <c r="H498" s="116"/>
      <c r="J498" s="116"/>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6"/>
      <c r="CR498" s="104"/>
      <c r="CS498" s="104"/>
      <c r="CT498" s="104"/>
      <c r="CU498" s="104"/>
      <c r="CV498" s="104"/>
      <c r="CW498" s="104"/>
      <c r="CX498" s="104"/>
      <c r="CY498" s="104"/>
      <c r="CZ498" s="104"/>
      <c r="DA498" s="104"/>
      <c r="DB498" s="104"/>
      <c r="DC498" s="104"/>
      <c r="DD498" s="104"/>
      <c r="DE498" s="104"/>
      <c r="DF498" s="104"/>
      <c r="DG498" s="104"/>
      <c r="DH498" s="104"/>
      <c r="DI498" s="104"/>
      <c r="DJ498" s="104"/>
      <c r="DK498" s="104"/>
      <c r="DL498" s="104"/>
      <c r="DM498" s="104"/>
      <c r="DN498" s="104"/>
      <c r="DO498" s="104"/>
      <c r="DP498" s="104"/>
      <c r="DQ498" s="104"/>
      <c r="DR498" s="104"/>
      <c r="DS498" s="104"/>
      <c r="DT498" s="104"/>
      <c r="DU498" s="104"/>
      <c r="DV498" s="104"/>
      <c r="DW498" s="104"/>
      <c r="DX498" s="104"/>
      <c r="DY498" s="104"/>
      <c r="DZ498" s="104"/>
      <c r="EA498" s="104"/>
      <c r="EB498" s="104"/>
      <c r="EC498" s="104"/>
      <c r="ED498" s="104"/>
      <c r="EE498" s="104"/>
      <c r="EF498" s="104"/>
      <c r="EG498" s="104"/>
      <c r="EH498" s="104"/>
      <c r="EI498" s="104"/>
      <c r="EJ498" s="104"/>
      <c r="EK498" s="104"/>
      <c r="EL498" s="104"/>
      <c r="EM498" s="104"/>
      <c r="EN498" s="104"/>
      <c r="EO498" s="104"/>
      <c r="EP498" s="104"/>
      <c r="EQ498" s="104"/>
      <c r="ER498" s="104"/>
      <c r="ES498" s="104"/>
      <c r="ET498" s="104"/>
      <c r="EU498" s="104"/>
      <c r="EV498" s="104"/>
      <c r="EW498" s="104"/>
      <c r="EX498" s="104"/>
      <c r="EY498" s="104"/>
      <c r="EZ498" s="104"/>
      <c r="FA498" s="104"/>
      <c r="FB498" s="104"/>
      <c r="FC498" s="104"/>
      <c r="FD498" s="104"/>
      <c r="FE498" s="104"/>
      <c r="FF498" s="104"/>
      <c r="FG498" s="104"/>
      <c r="FH498" s="104"/>
      <c r="FI498" s="104"/>
      <c r="FJ498" s="104"/>
      <c r="FK498" s="104"/>
      <c r="FL498" s="104"/>
      <c r="FM498" s="104"/>
      <c r="FN498" s="104"/>
      <c r="FO498" s="104"/>
      <c r="FP498" s="104"/>
      <c r="FQ498" s="104"/>
      <c r="FR498" s="104"/>
      <c r="FS498" s="104"/>
      <c r="FT498" s="104"/>
      <c r="FU498" s="104"/>
      <c r="FV498" s="104"/>
      <c r="FW498" s="104"/>
      <c r="FX498" s="116"/>
    </row>
    <row r="499" spans="2:180" x14ac:dyDescent="0.2">
      <c r="B499" s="114"/>
      <c r="C499" s="114"/>
      <c r="D499" s="114"/>
      <c r="E499" s="114"/>
      <c r="F499" s="114"/>
      <c r="G499" s="114"/>
      <c r="H499" s="116"/>
      <c r="J499" s="116"/>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6"/>
      <c r="CR499" s="104"/>
      <c r="CS499" s="104"/>
      <c r="CT499" s="104"/>
      <c r="CU499" s="104"/>
      <c r="CV499" s="104"/>
      <c r="CW499" s="104"/>
      <c r="CX499" s="104"/>
      <c r="CY499" s="104"/>
      <c r="CZ499" s="104"/>
      <c r="DA499" s="104"/>
      <c r="DB499" s="104"/>
      <c r="DC499" s="104"/>
      <c r="DD499" s="104"/>
      <c r="DE499" s="104"/>
      <c r="DF499" s="104"/>
      <c r="DG499" s="104"/>
      <c r="DH499" s="104"/>
      <c r="DI499" s="104"/>
      <c r="DJ499" s="104"/>
      <c r="DK499" s="104"/>
      <c r="DL499" s="104"/>
      <c r="DM499" s="104"/>
      <c r="DN499" s="104"/>
      <c r="DO499" s="104"/>
      <c r="DP499" s="104"/>
      <c r="DQ499" s="104"/>
      <c r="DR499" s="104"/>
      <c r="DS499" s="104"/>
      <c r="DT499" s="104"/>
      <c r="DU499" s="104"/>
      <c r="DV499" s="104"/>
      <c r="DW499" s="104"/>
      <c r="DX499" s="104"/>
      <c r="DY499" s="104"/>
      <c r="DZ499" s="104"/>
      <c r="EA499" s="104"/>
      <c r="EB499" s="104"/>
      <c r="EC499" s="104"/>
      <c r="ED499" s="104"/>
      <c r="EE499" s="104"/>
      <c r="EF499" s="104"/>
      <c r="EG499" s="104"/>
      <c r="EH499" s="104"/>
      <c r="EI499" s="104"/>
      <c r="EJ499" s="104"/>
      <c r="EK499" s="104"/>
      <c r="EL499" s="104"/>
      <c r="EM499" s="104"/>
      <c r="EN499" s="104"/>
      <c r="EO499" s="104"/>
      <c r="EP499" s="104"/>
      <c r="EQ499" s="104"/>
      <c r="ER499" s="104"/>
      <c r="ES499" s="104"/>
      <c r="ET499" s="104"/>
      <c r="EU499" s="104"/>
      <c r="EV499" s="104"/>
      <c r="EW499" s="104"/>
      <c r="EX499" s="104"/>
      <c r="EY499" s="104"/>
      <c r="EZ499" s="104"/>
      <c r="FA499" s="104"/>
      <c r="FB499" s="104"/>
      <c r="FC499" s="104"/>
      <c r="FD499" s="104"/>
      <c r="FE499" s="104"/>
      <c r="FF499" s="104"/>
      <c r="FG499" s="104"/>
      <c r="FH499" s="104"/>
      <c r="FI499" s="104"/>
      <c r="FJ499" s="104"/>
      <c r="FK499" s="104"/>
      <c r="FL499" s="104"/>
      <c r="FM499" s="104"/>
      <c r="FN499" s="104"/>
      <c r="FO499" s="104"/>
      <c r="FP499" s="104"/>
      <c r="FQ499" s="104"/>
      <c r="FR499" s="104"/>
      <c r="FS499" s="104"/>
      <c r="FT499" s="104"/>
      <c r="FU499" s="104"/>
      <c r="FV499" s="104"/>
      <c r="FW499" s="104"/>
      <c r="FX499" s="116"/>
    </row>
    <row r="500" spans="2:180" x14ac:dyDescent="0.2">
      <c r="B500" s="114"/>
      <c r="C500" s="114"/>
      <c r="D500" s="114"/>
      <c r="E500" s="114"/>
      <c r="F500" s="114"/>
      <c r="G500" s="114"/>
      <c r="H500" s="116"/>
      <c r="J500" s="116"/>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6"/>
      <c r="CR500" s="104"/>
      <c r="CS500" s="104"/>
      <c r="CT500" s="104"/>
      <c r="CU500" s="104"/>
      <c r="CV500" s="104"/>
      <c r="CW500" s="104"/>
      <c r="CX500" s="104"/>
      <c r="CY500" s="104"/>
      <c r="CZ500" s="104"/>
      <c r="DA500" s="104"/>
      <c r="DB500" s="104"/>
      <c r="DC500" s="104"/>
      <c r="DD500" s="104"/>
      <c r="DE500" s="104"/>
      <c r="DF500" s="104"/>
      <c r="DG500" s="104"/>
      <c r="DH500" s="104"/>
      <c r="DI500" s="104"/>
      <c r="DJ500" s="104"/>
      <c r="DK500" s="104"/>
      <c r="DL500" s="104"/>
      <c r="DM500" s="104"/>
      <c r="DN500" s="104"/>
      <c r="DO500" s="104"/>
      <c r="DP500" s="104"/>
      <c r="DQ500" s="104"/>
      <c r="DR500" s="104"/>
      <c r="DS500" s="104"/>
      <c r="DT500" s="104"/>
      <c r="DU500" s="104"/>
      <c r="DV500" s="104"/>
      <c r="DW500" s="104"/>
      <c r="DX500" s="104"/>
      <c r="DY500" s="104"/>
      <c r="DZ500" s="104"/>
      <c r="EA500" s="104"/>
      <c r="EB500" s="104"/>
      <c r="EC500" s="104"/>
      <c r="ED500" s="104"/>
      <c r="EE500" s="104"/>
      <c r="EF500" s="104"/>
      <c r="EG500" s="104"/>
      <c r="EH500" s="104"/>
      <c r="EI500" s="104"/>
      <c r="EJ500" s="104"/>
      <c r="EK500" s="104"/>
      <c r="EL500" s="104"/>
      <c r="EM500" s="104"/>
      <c r="EN500" s="104"/>
      <c r="EO500" s="104"/>
      <c r="EP500" s="104"/>
      <c r="EQ500" s="104"/>
      <c r="ER500" s="104"/>
      <c r="ES500" s="104"/>
      <c r="ET500" s="104"/>
      <c r="EU500" s="104"/>
      <c r="EV500" s="104"/>
      <c r="EW500" s="104"/>
      <c r="EX500" s="104"/>
      <c r="EY500" s="104"/>
      <c r="EZ500" s="104"/>
      <c r="FA500" s="104"/>
      <c r="FB500" s="104"/>
      <c r="FC500" s="104"/>
      <c r="FD500" s="104"/>
      <c r="FE500" s="104"/>
      <c r="FF500" s="104"/>
      <c r="FG500" s="104"/>
      <c r="FH500" s="104"/>
      <c r="FI500" s="104"/>
      <c r="FJ500" s="104"/>
      <c r="FK500" s="104"/>
      <c r="FL500" s="104"/>
      <c r="FM500" s="104"/>
      <c r="FN500" s="104"/>
      <c r="FO500" s="104"/>
      <c r="FP500" s="104"/>
      <c r="FQ500" s="104"/>
      <c r="FR500" s="104"/>
      <c r="FS500" s="104"/>
      <c r="FT500" s="104"/>
      <c r="FU500" s="104"/>
      <c r="FV500" s="104"/>
      <c r="FW500" s="104"/>
      <c r="FX500" s="116"/>
    </row>
    <row r="501" spans="2:180" x14ac:dyDescent="0.2">
      <c r="B501" s="114"/>
      <c r="C501" s="114"/>
      <c r="D501" s="114"/>
      <c r="E501" s="114"/>
      <c r="F501" s="114"/>
      <c r="G501" s="114"/>
      <c r="H501" s="116"/>
      <c r="J501" s="116"/>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6"/>
      <c r="CR501" s="104"/>
      <c r="CS501" s="104"/>
      <c r="CT501" s="104"/>
      <c r="CU501" s="104"/>
      <c r="CV501" s="104"/>
      <c r="CW501" s="104"/>
      <c r="CX501" s="104"/>
      <c r="CY501" s="104"/>
      <c r="CZ501" s="104"/>
      <c r="DA501" s="104"/>
      <c r="DB501" s="104"/>
      <c r="DC501" s="104"/>
      <c r="DD501" s="104"/>
      <c r="DE501" s="104"/>
      <c r="DF501" s="104"/>
      <c r="DG501" s="104"/>
      <c r="DH501" s="104"/>
      <c r="DI501" s="104"/>
      <c r="DJ501" s="104"/>
      <c r="DK501" s="104"/>
      <c r="DL501" s="104"/>
      <c r="DM501" s="104"/>
      <c r="DN501" s="104"/>
      <c r="DO501" s="104"/>
      <c r="DP501" s="104"/>
      <c r="DQ501" s="104"/>
      <c r="DR501" s="104"/>
      <c r="DS501" s="104"/>
      <c r="DT501" s="104"/>
      <c r="DU501" s="104"/>
      <c r="DV501" s="104"/>
      <c r="DW501" s="104"/>
      <c r="DX501" s="104"/>
      <c r="DY501" s="104"/>
      <c r="DZ501" s="104"/>
      <c r="EA501" s="104"/>
      <c r="EB501" s="104"/>
      <c r="EC501" s="104"/>
      <c r="ED501" s="104"/>
      <c r="EE501" s="104"/>
      <c r="EF501" s="104"/>
      <c r="EG501" s="104"/>
      <c r="EH501" s="104"/>
      <c r="EI501" s="104"/>
      <c r="EJ501" s="104"/>
      <c r="EK501" s="104"/>
      <c r="EL501" s="104"/>
      <c r="EM501" s="104"/>
      <c r="EN501" s="104"/>
      <c r="EO501" s="104"/>
      <c r="EP501" s="104"/>
      <c r="EQ501" s="104"/>
      <c r="ER501" s="104"/>
      <c r="ES501" s="104"/>
      <c r="ET501" s="104"/>
      <c r="EU501" s="104"/>
      <c r="EV501" s="104"/>
      <c r="EW501" s="104"/>
      <c r="EX501" s="104"/>
      <c r="EY501" s="104"/>
      <c r="EZ501" s="104"/>
      <c r="FA501" s="104"/>
      <c r="FB501" s="104"/>
      <c r="FC501" s="104"/>
      <c r="FD501" s="104"/>
      <c r="FE501" s="104"/>
      <c r="FF501" s="104"/>
      <c r="FG501" s="104"/>
      <c r="FH501" s="104"/>
      <c r="FI501" s="104"/>
      <c r="FJ501" s="104"/>
      <c r="FK501" s="104"/>
      <c r="FL501" s="104"/>
      <c r="FM501" s="104"/>
      <c r="FN501" s="104"/>
      <c r="FO501" s="104"/>
      <c r="FP501" s="104"/>
      <c r="FQ501" s="104"/>
      <c r="FR501" s="104"/>
      <c r="FS501" s="104"/>
      <c r="FT501" s="104"/>
      <c r="FU501" s="104"/>
      <c r="FV501" s="104"/>
      <c r="FW501" s="104"/>
      <c r="FX501" s="116"/>
    </row>
    <row r="502" spans="2:180" x14ac:dyDescent="0.2">
      <c r="B502" s="114"/>
      <c r="C502" s="114"/>
      <c r="D502" s="114"/>
      <c r="E502" s="114"/>
      <c r="F502" s="114"/>
      <c r="G502" s="114"/>
      <c r="H502" s="116"/>
      <c r="J502" s="116"/>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6"/>
      <c r="CR502" s="104"/>
      <c r="CS502" s="104"/>
      <c r="CT502" s="104"/>
      <c r="CU502" s="104"/>
      <c r="CV502" s="104"/>
      <c r="CW502" s="104"/>
      <c r="CX502" s="104"/>
      <c r="CY502" s="104"/>
      <c r="CZ502" s="104"/>
      <c r="DA502" s="104"/>
      <c r="DB502" s="104"/>
      <c r="DC502" s="104"/>
      <c r="DD502" s="104"/>
      <c r="DE502" s="104"/>
      <c r="DF502" s="104"/>
      <c r="DG502" s="104"/>
      <c r="DH502" s="104"/>
      <c r="DI502" s="104"/>
      <c r="DJ502" s="104"/>
      <c r="DK502" s="104"/>
      <c r="DL502" s="104"/>
      <c r="DM502" s="104"/>
      <c r="DN502" s="104"/>
      <c r="DO502" s="104"/>
      <c r="DP502" s="104"/>
      <c r="DQ502" s="104"/>
      <c r="DR502" s="104"/>
      <c r="DS502" s="104"/>
      <c r="DT502" s="104"/>
      <c r="DU502" s="104"/>
      <c r="DV502" s="104"/>
      <c r="DW502" s="104"/>
      <c r="DX502" s="104"/>
      <c r="DY502" s="104"/>
      <c r="DZ502" s="104"/>
      <c r="EA502" s="104"/>
      <c r="EB502" s="104"/>
      <c r="EC502" s="104"/>
      <c r="ED502" s="104"/>
      <c r="EE502" s="104"/>
      <c r="EF502" s="104"/>
      <c r="EG502" s="104"/>
      <c r="EH502" s="104"/>
      <c r="EI502" s="104"/>
      <c r="EJ502" s="104"/>
      <c r="EK502" s="104"/>
      <c r="EL502" s="104"/>
      <c r="EM502" s="104"/>
      <c r="EN502" s="104"/>
      <c r="EO502" s="104"/>
      <c r="EP502" s="104"/>
      <c r="EQ502" s="104"/>
      <c r="ER502" s="104"/>
      <c r="ES502" s="104"/>
      <c r="ET502" s="104"/>
      <c r="EU502" s="104"/>
      <c r="EV502" s="104"/>
      <c r="EW502" s="104"/>
      <c r="EX502" s="104"/>
      <c r="EY502" s="104"/>
      <c r="EZ502" s="104"/>
      <c r="FA502" s="104"/>
      <c r="FB502" s="104"/>
      <c r="FC502" s="104"/>
      <c r="FD502" s="104"/>
      <c r="FE502" s="104"/>
      <c r="FF502" s="104"/>
      <c r="FG502" s="104"/>
      <c r="FH502" s="104"/>
      <c r="FI502" s="104"/>
      <c r="FJ502" s="104"/>
      <c r="FK502" s="104"/>
      <c r="FL502" s="104"/>
      <c r="FM502" s="104"/>
      <c r="FN502" s="104"/>
      <c r="FO502" s="104"/>
      <c r="FP502" s="104"/>
      <c r="FQ502" s="104"/>
      <c r="FR502" s="104"/>
      <c r="FS502" s="104"/>
      <c r="FT502" s="104"/>
      <c r="FU502" s="104"/>
      <c r="FV502" s="104"/>
      <c r="FW502" s="104"/>
      <c r="FX502" s="116"/>
    </row>
    <row r="503" spans="2:180" x14ac:dyDescent="0.2">
      <c r="B503" s="114"/>
      <c r="C503" s="114"/>
      <c r="D503" s="114"/>
      <c r="E503" s="114"/>
      <c r="F503" s="114"/>
      <c r="G503" s="114"/>
      <c r="H503" s="116"/>
      <c r="J503" s="116"/>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6"/>
      <c r="CR503" s="104"/>
      <c r="CS503" s="104"/>
      <c r="CT503" s="104"/>
      <c r="CU503" s="104"/>
      <c r="CV503" s="104"/>
      <c r="CW503" s="104"/>
      <c r="CX503" s="104"/>
      <c r="CY503" s="104"/>
      <c r="CZ503" s="104"/>
      <c r="DA503" s="104"/>
      <c r="DB503" s="104"/>
      <c r="DC503" s="104"/>
      <c r="DD503" s="104"/>
      <c r="DE503" s="104"/>
      <c r="DF503" s="104"/>
      <c r="DG503" s="104"/>
      <c r="DH503" s="104"/>
      <c r="DI503" s="104"/>
      <c r="DJ503" s="104"/>
      <c r="DK503" s="104"/>
      <c r="DL503" s="104"/>
      <c r="DM503" s="104"/>
      <c r="DN503" s="104"/>
      <c r="DO503" s="104"/>
      <c r="DP503" s="104"/>
      <c r="DQ503" s="104"/>
      <c r="DR503" s="104"/>
      <c r="DS503" s="104"/>
      <c r="DT503" s="104"/>
      <c r="DU503" s="104"/>
      <c r="DV503" s="104"/>
      <c r="DW503" s="104"/>
      <c r="DX503" s="104"/>
      <c r="DY503" s="104"/>
      <c r="DZ503" s="104"/>
      <c r="EA503" s="104"/>
      <c r="EB503" s="104"/>
      <c r="EC503" s="104"/>
      <c r="ED503" s="104"/>
      <c r="EE503" s="104"/>
      <c r="EF503" s="104"/>
      <c r="EG503" s="104"/>
      <c r="EH503" s="104"/>
      <c r="EI503" s="104"/>
      <c r="EJ503" s="104"/>
      <c r="EK503" s="104"/>
      <c r="EL503" s="104"/>
      <c r="EM503" s="104"/>
      <c r="EN503" s="104"/>
      <c r="EO503" s="104"/>
      <c r="EP503" s="104"/>
      <c r="EQ503" s="104"/>
      <c r="ER503" s="104"/>
      <c r="ES503" s="104"/>
      <c r="ET503" s="104"/>
      <c r="EU503" s="104"/>
      <c r="EV503" s="104"/>
      <c r="EW503" s="104"/>
      <c r="EX503" s="104"/>
      <c r="EY503" s="104"/>
      <c r="EZ503" s="104"/>
      <c r="FA503" s="104"/>
      <c r="FB503" s="104"/>
      <c r="FC503" s="104"/>
      <c r="FD503" s="104"/>
      <c r="FE503" s="104"/>
      <c r="FF503" s="104"/>
      <c r="FG503" s="104"/>
      <c r="FH503" s="104"/>
      <c r="FI503" s="104"/>
      <c r="FJ503" s="104"/>
      <c r="FK503" s="104"/>
      <c r="FL503" s="104"/>
      <c r="FM503" s="104"/>
      <c r="FN503" s="104"/>
      <c r="FO503" s="104"/>
      <c r="FP503" s="104"/>
      <c r="FQ503" s="104"/>
      <c r="FR503" s="104"/>
      <c r="FS503" s="104"/>
      <c r="FT503" s="104"/>
      <c r="FU503" s="104"/>
      <c r="FV503" s="104"/>
      <c r="FW503" s="104"/>
      <c r="FX503" s="116"/>
    </row>
  </sheetData>
  <autoFilter ref="B5:FW381" xr:uid="{990EE10D-A2AC-4404-B7A7-C53C06F8ECF7}"/>
  <conditionalFormatting sqref="C4:I4">
    <cfRule type="cellIs" dxfId="168" priority="10" operator="equal">
      <formula>"OK"</formula>
    </cfRule>
  </conditionalFormatting>
  <conditionalFormatting sqref="F6:F286">
    <cfRule type="expression" dxfId="167" priority="3">
      <formula>AND(D6="Internal labour",G6="Normal time",F6=0)</formula>
    </cfRule>
  </conditionalFormatting>
  <conditionalFormatting sqref="G6:G286">
    <cfRule type="expression" dxfId="166" priority="2">
      <formula>AND(D6="Internal labour",G6=0)</formula>
    </cfRule>
  </conditionalFormatting>
  <conditionalFormatting sqref="H6:H286">
    <cfRule type="expression" dxfId="165" priority="1">
      <formula>AND(D6="internal labour",H6=0)</formula>
    </cfRule>
  </conditionalFormatting>
  <pageMargins left="0.7" right="0.7" top="0.75" bottom="0.75" header="0.3" footer="0.3"/>
  <pageSetup orientation="portrait" r:id="rId1"/>
  <headerFooter>
    <oddFooter>&amp;L_x000D_&amp;1#&amp;"Aptos"&amp;10&amp;K000000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F39E1-4BDF-4228-BB43-B005768E9DB4}">
  <sheetPr codeName="Sheet6">
    <tabColor theme="5"/>
    <pageSetUpPr autoPageBreaks="0"/>
  </sheetPr>
  <dimension ref="A1:IG293"/>
  <sheetViews>
    <sheetView showGridLines="0" zoomScaleNormal="100" workbookViewId="0">
      <pane xSplit="3" ySplit="7" topLeftCell="GL8" activePane="bottomRight" state="frozen"/>
      <selection activeCell="A2" sqref="A2"/>
      <selection pane="topRight" activeCell="A2" sqref="A2"/>
      <selection pane="bottomLeft" activeCell="A2" sqref="A2"/>
      <selection pane="bottomRight"/>
    </sheetView>
  </sheetViews>
  <sheetFormatPr defaultColWidth="8.88671875" defaultRowHeight="12.75" outlineLevelCol="1" x14ac:dyDescent="0.2"/>
  <cols>
    <col min="1" max="1" width="3.88671875" style="65" customWidth="1"/>
    <col min="2" max="2" width="23.109375" style="65" customWidth="1"/>
    <col min="3" max="3" width="47.6640625" style="65" customWidth="1"/>
    <col min="4" max="4" width="10.33203125" style="65" customWidth="1"/>
    <col min="5" max="5" width="10.33203125" style="77" customWidth="1"/>
    <col min="6" max="8" width="10.33203125" style="77" customWidth="1" outlineLevel="1"/>
    <col min="9" max="9" width="10.33203125" style="79" customWidth="1"/>
    <col min="10" max="91" width="10.33203125" style="65" customWidth="1" outlineLevel="1"/>
    <col min="92" max="92" width="10.33203125" style="65" customWidth="1" outlineLevel="1" collapsed="1"/>
    <col min="93" max="175" width="10.33203125" style="65" customWidth="1" outlineLevel="1"/>
    <col min="176" max="176" width="10.33203125" style="65" customWidth="1" outlineLevel="1" collapsed="1"/>
    <col min="177" max="178" width="10.33203125" style="65" customWidth="1" outlineLevel="1"/>
    <col min="179" max="212" width="10.33203125" style="65" customWidth="1"/>
    <col min="213" max="216" width="10.33203125" style="77" customWidth="1"/>
    <col min="217" max="241" width="10.33203125" style="65" customWidth="1"/>
    <col min="242" max="16384" width="8.88671875" style="65"/>
  </cols>
  <sheetData>
    <row r="1" spans="1:241" ht="35.25" customHeight="1" x14ac:dyDescent="0.2">
      <c r="A1" s="67"/>
      <c r="B1" s="67" t="str">
        <f>Overview!$B$1</f>
        <v>Labour and overhead costs for Accelerated Syncons</v>
      </c>
      <c r="C1" s="68"/>
      <c r="D1" s="68"/>
      <c r="E1" s="70"/>
      <c r="F1" s="70"/>
      <c r="G1" s="70"/>
      <c r="H1" s="70"/>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70"/>
      <c r="HF1" s="70"/>
      <c r="HG1" s="70"/>
      <c r="HH1" s="70"/>
      <c r="HI1" s="68"/>
      <c r="HJ1" s="68"/>
      <c r="HK1" s="68"/>
      <c r="HL1" s="68"/>
      <c r="HM1" s="68"/>
      <c r="HN1" s="68"/>
      <c r="HO1" s="68"/>
      <c r="HP1" s="68"/>
      <c r="HQ1" s="68"/>
      <c r="HR1" s="68"/>
      <c r="HS1" s="68"/>
      <c r="HT1" s="68"/>
      <c r="HU1" s="68"/>
      <c r="HV1" s="68"/>
      <c r="HW1" s="68"/>
      <c r="HX1" s="68"/>
      <c r="HY1" s="68"/>
      <c r="HZ1" s="68"/>
      <c r="IA1" s="68"/>
      <c r="IB1" s="68"/>
      <c r="IC1" s="68"/>
      <c r="ID1" s="68"/>
      <c r="IE1" s="68"/>
      <c r="IF1" s="68"/>
      <c r="IG1" s="68"/>
    </row>
    <row r="2" spans="1:241" ht="26.25" customHeight="1" x14ac:dyDescent="0.2">
      <c r="A2" s="72"/>
      <c r="B2" s="72" t="s">
        <v>146</v>
      </c>
      <c r="C2" s="71"/>
      <c r="D2" s="71"/>
      <c r="E2" s="74"/>
      <c r="F2" s="74"/>
      <c r="G2" s="74"/>
      <c r="H2" s="74"/>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4"/>
      <c r="HF2" s="74"/>
      <c r="HG2" s="74"/>
      <c r="HH2" s="74"/>
      <c r="HI2" s="71"/>
      <c r="HJ2" s="71"/>
      <c r="HK2" s="71"/>
      <c r="HL2" s="71"/>
      <c r="HM2" s="71"/>
      <c r="HN2" s="71"/>
      <c r="HO2" s="71"/>
      <c r="HP2" s="71"/>
      <c r="HQ2" s="71"/>
      <c r="HR2" s="71"/>
      <c r="HS2" s="71"/>
      <c r="HT2" s="71"/>
      <c r="HU2" s="71"/>
      <c r="HV2" s="71"/>
      <c r="HW2" s="71"/>
      <c r="HX2" s="71"/>
      <c r="HY2" s="71"/>
      <c r="HZ2" s="71"/>
      <c r="IA2" s="71"/>
      <c r="IB2" s="71"/>
      <c r="IC2" s="71"/>
      <c r="ID2" s="71"/>
      <c r="IE2" s="71"/>
      <c r="IF2" s="71"/>
      <c r="IG2" s="71"/>
    </row>
    <row r="3" spans="1:241" x14ac:dyDescent="0.2">
      <c r="I3" s="65"/>
      <c r="FZ3" s="252"/>
      <c r="GP3" s="77"/>
      <c r="GQ3" s="77"/>
      <c r="GS3" s="77"/>
      <c r="HG3" s="264"/>
    </row>
    <row r="4" spans="1:241" s="87" customFormat="1" ht="16.5" customHeight="1" x14ac:dyDescent="0.2">
      <c r="B4" s="132" t="str" cm="1">
        <f t="array" ref="B4:FW4">dsheaders2</f>
        <v>Item details</v>
      </c>
      <c r="C4" s="133">
        <v>0</v>
      </c>
      <c r="D4" s="133">
        <v>0</v>
      </c>
      <c r="E4" s="133">
        <v>0</v>
      </c>
      <c r="F4" s="133">
        <v>0</v>
      </c>
      <c r="G4" s="133">
        <v>0</v>
      </c>
      <c r="H4" s="132">
        <v>0</v>
      </c>
      <c r="I4" s="132">
        <v>0</v>
      </c>
      <c r="J4" s="134" t="str">
        <v>blank</v>
      </c>
      <c r="K4" s="132" t="str">
        <v>FTEs (internal labour) / Proportions (non-labour and contracted labour)</v>
      </c>
      <c r="L4" s="132">
        <v>0</v>
      </c>
      <c r="M4" s="132">
        <v>0</v>
      </c>
      <c r="N4" s="132">
        <v>0</v>
      </c>
      <c r="O4" s="132">
        <v>0</v>
      </c>
      <c r="P4" s="132">
        <v>0</v>
      </c>
      <c r="Q4" s="132">
        <v>0</v>
      </c>
      <c r="R4" s="132">
        <v>0</v>
      </c>
      <c r="S4" s="132">
        <v>0</v>
      </c>
      <c r="T4" s="132">
        <v>0</v>
      </c>
      <c r="U4" s="132">
        <v>0</v>
      </c>
      <c r="V4" s="132">
        <v>0</v>
      </c>
      <c r="W4" s="132">
        <v>0</v>
      </c>
      <c r="X4" s="132">
        <v>0</v>
      </c>
      <c r="Y4" s="132">
        <v>0</v>
      </c>
      <c r="Z4" s="132">
        <v>0</v>
      </c>
      <c r="AA4" s="132">
        <v>0</v>
      </c>
      <c r="AB4" s="132">
        <v>0</v>
      </c>
      <c r="AC4" s="132">
        <v>0</v>
      </c>
      <c r="AD4" s="132">
        <v>0</v>
      </c>
      <c r="AE4" s="132">
        <v>0</v>
      </c>
      <c r="AF4" s="132">
        <v>0</v>
      </c>
      <c r="AG4" s="132">
        <v>0</v>
      </c>
      <c r="AH4" s="132">
        <v>0</v>
      </c>
      <c r="AI4" s="132">
        <v>0</v>
      </c>
      <c r="AJ4" s="132">
        <v>0</v>
      </c>
      <c r="AK4" s="132">
        <v>0</v>
      </c>
      <c r="AL4" s="132">
        <v>0</v>
      </c>
      <c r="AM4" s="132">
        <v>0</v>
      </c>
      <c r="AN4" s="132">
        <v>0</v>
      </c>
      <c r="AO4" s="132">
        <v>0</v>
      </c>
      <c r="AP4" s="132">
        <v>0</v>
      </c>
      <c r="AQ4" s="132">
        <v>0</v>
      </c>
      <c r="AR4" s="132">
        <v>0</v>
      </c>
      <c r="AS4" s="132">
        <v>0</v>
      </c>
      <c r="AT4" s="132">
        <v>0</v>
      </c>
      <c r="AU4" s="132">
        <v>0</v>
      </c>
      <c r="AV4" s="132">
        <v>0</v>
      </c>
      <c r="AW4" s="132">
        <v>0</v>
      </c>
      <c r="AX4" s="132">
        <v>0</v>
      </c>
      <c r="AY4" s="132">
        <v>0</v>
      </c>
      <c r="AZ4" s="132">
        <v>0</v>
      </c>
      <c r="BA4" s="132">
        <v>0</v>
      </c>
      <c r="BB4" s="132">
        <v>0</v>
      </c>
      <c r="BC4" s="132">
        <v>0</v>
      </c>
      <c r="BD4" s="132">
        <v>0</v>
      </c>
      <c r="BE4" s="132">
        <v>0</v>
      </c>
      <c r="BF4" s="132">
        <v>0</v>
      </c>
      <c r="BG4" s="132">
        <v>0</v>
      </c>
      <c r="BH4" s="132">
        <v>0</v>
      </c>
      <c r="BI4" s="132">
        <v>0</v>
      </c>
      <c r="BJ4" s="132">
        <v>0</v>
      </c>
      <c r="BK4" s="132">
        <v>0</v>
      </c>
      <c r="BL4" s="132">
        <v>0</v>
      </c>
      <c r="BM4" s="132">
        <v>0</v>
      </c>
      <c r="BN4" s="132">
        <v>0</v>
      </c>
      <c r="BO4" s="132">
        <v>0</v>
      </c>
      <c r="BP4" s="132">
        <v>0</v>
      </c>
      <c r="BQ4" s="132">
        <v>0</v>
      </c>
      <c r="BR4" s="132">
        <v>0</v>
      </c>
      <c r="BS4" s="132">
        <v>0</v>
      </c>
      <c r="BT4" s="132">
        <v>0</v>
      </c>
      <c r="BU4" s="132">
        <v>0</v>
      </c>
      <c r="BV4" s="132">
        <v>0</v>
      </c>
      <c r="BW4" s="132">
        <v>0</v>
      </c>
      <c r="BX4" s="132">
        <v>0</v>
      </c>
      <c r="BY4" s="132">
        <v>0</v>
      </c>
      <c r="BZ4" s="132">
        <v>0</v>
      </c>
      <c r="CA4" s="132">
        <v>0</v>
      </c>
      <c r="CB4" s="132">
        <v>0</v>
      </c>
      <c r="CC4" s="132">
        <v>0</v>
      </c>
      <c r="CD4" s="132">
        <v>0</v>
      </c>
      <c r="CE4" s="132">
        <v>0</v>
      </c>
      <c r="CF4" s="132">
        <v>0</v>
      </c>
      <c r="CG4" s="132">
        <v>0</v>
      </c>
      <c r="CH4" s="132">
        <v>0</v>
      </c>
      <c r="CI4" s="132">
        <v>0</v>
      </c>
      <c r="CJ4" s="132">
        <v>0</v>
      </c>
      <c r="CK4" s="132">
        <v>0</v>
      </c>
      <c r="CL4" s="132">
        <v>0</v>
      </c>
      <c r="CM4" s="132">
        <v>0</v>
      </c>
      <c r="CN4" s="132">
        <v>0</v>
      </c>
      <c r="CO4" s="132">
        <v>0</v>
      </c>
      <c r="CP4" s="132">
        <v>0</v>
      </c>
      <c r="CQ4" s="134" t="str">
        <v>blank</v>
      </c>
      <c r="CR4" s="132" t="str">
        <v>Costs</v>
      </c>
      <c r="CS4" s="132">
        <v>0</v>
      </c>
      <c r="CT4" s="132">
        <v>0</v>
      </c>
      <c r="CU4" s="132">
        <v>0</v>
      </c>
      <c r="CV4" s="132">
        <v>0</v>
      </c>
      <c r="CW4" s="132">
        <v>0</v>
      </c>
      <c r="CX4" s="132">
        <v>0</v>
      </c>
      <c r="CY4" s="132">
        <v>0</v>
      </c>
      <c r="CZ4" s="132">
        <v>0</v>
      </c>
      <c r="DA4" s="132">
        <v>0</v>
      </c>
      <c r="DB4" s="132">
        <v>0</v>
      </c>
      <c r="DC4" s="132">
        <v>0</v>
      </c>
      <c r="DD4" s="132">
        <v>0</v>
      </c>
      <c r="DE4" s="132">
        <v>0</v>
      </c>
      <c r="DF4" s="132">
        <v>0</v>
      </c>
      <c r="DG4" s="132">
        <v>0</v>
      </c>
      <c r="DH4" s="132">
        <v>0</v>
      </c>
      <c r="DI4" s="132">
        <v>0</v>
      </c>
      <c r="DJ4" s="132">
        <v>0</v>
      </c>
      <c r="DK4" s="132">
        <v>0</v>
      </c>
      <c r="DL4" s="132">
        <v>0</v>
      </c>
      <c r="DM4" s="132">
        <v>0</v>
      </c>
      <c r="DN4" s="132">
        <v>0</v>
      </c>
      <c r="DO4" s="132">
        <v>0</v>
      </c>
      <c r="DP4" s="132">
        <v>0</v>
      </c>
      <c r="DQ4" s="132">
        <v>0</v>
      </c>
      <c r="DR4" s="132">
        <v>0</v>
      </c>
      <c r="DS4" s="132">
        <v>0</v>
      </c>
      <c r="DT4" s="132">
        <v>0</v>
      </c>
      <c r="DU4" s="132">
        <v>0</v>
      </c>
      <c r="DV4" s="132">
        <v>0</v>
      </c>
      <c r="DW4" s="132">
        <v>0</v>
      </c>
      <c r="DX4" s="132">
        <v>0</v>
      </c>
      <c r="DY4" s="132">
        <v>0</v>
      </c>
      <c r="DZ4" s="132">
        <v>0</v>
      </c>
      <c r="EA4" s="132">
        <v>0</v>
      </c>
      <c r="EB4" s="132">
        <v>0</v>
      </c>
      <c r="EC4" s="132">
        <v>0</v>
      </c>
      <c r="ED4" s="132">
        <v>0</v>
      </c>
      <c r="EE4" s="132">
        <v>0</v>
      </c>
      <c r="EF4" s="132">
        <v>0</v>
      </c>
      <c r="EG4" s="132">
        <v>0</v>
      </c>
      <c r="EH4" s="132">
        <v>0</v>
      </c>
      <c r="EI4" s="132">
        <v>0</v>
      </c>
      <c r="EJ4" s="132">
        <v>0</v>
      </c>
      <c r="EK4" s="132">
        <v>0</v>
      </c>
      <c r="EL4" s="132">
        <v>0</v>
      </c>
      <c r="EM4" s="132">
        <v>0</v>
      </c>
      <c r="EN4" s="132">
        <v>0</v>
      </c>
      <c r="EO4" s="132">
        <v>0</v>
      </c>
      <c r="EP4" s="132">
        <v>0</v>
      </c>
      <c r="EQ4" s="132">
        <v>0</v>
      </c>
      <c r="ER4" s="132">
        <v>0</v>
      </c>
      <c r="ES4" s="132">
        <v>0</v>
      </c>
      <c r="ET4" s="132">
        <v>0</v>
      </c>
      <c r="EU4" s="132">
        <v>0</v>
      </c>
      <c r="EV4" s="132">
        <v>0</v>
      </c>
      <c r="EW4" s="132">
        <v>0</v>
      </c>
      <c r="EX4" s="132">
        <v>0</v>
      </c>
      <c r="EY4" s="132">
        <v>0</v>
      </c>
      <c r="EZ4" s="132">
        <v>0</v>
      </c>
      <c r="FA4" s="132">
        <v>0</v>
      </c>
      <c r="FB4" s="132">
        <v>0</v>
      </c>
      <c r="FC4" s="132">
        <v>0</v>
      </c>
      <c r="FD4" s="132">
        <v>0</v>
      </c>
      <c r="FE4" s="132">
        <v>0</v>
      </c>
      <c r="FF4" s="132">
        <v>0</v>
      </c>
      <c r="FG4" s="132">
        <v>0</v>
      </c>
      <c r="FH4" s="132">
        <v>0</v>
      </c>
      <c r="FI4" s="132">
        <v>0</v>
      </c>
      <c r="FJ4" s="132">
        <v>0</v>
      </c>
      <c r="FK4" s="132">
        <v>0</v>
      </c>
      <c r="FL4" s="132">
        <v>0</v>
      </c>
      <c r="FM4" s="132">
        <v>0</v>
      </c>
      <c r="FN4" s="132">
        <v>0</v>
      </c>
      <c r="FO4" s="132">
        <v>0</v>
      </c>
      <c r="FP4" s="132">
        <v>0</v>
      </c>
      <c r="FQ4" s="132">
        <v>0</v>
      </c>
      <c r="FR4" s="132">
        <v>0</v>
      </c>
      <c r="FS4" s="132">
        <v>0</v>
      </c>
      <c r="FT4" s="132">
        <v>0</v>
      </c>
      <c r="FU4" s="132">
        <v>0</v>
      </c>
      <c r="FV4" s="132">
        <v>0</v>
      </c>
      <c r="FW4" s="132">
        <v>0</v>
      </c>
      <c r="FX4" s="134"/>
      <c r="FY4" s="132" t="s">
        <v>147</v>
      </c>
      <c r="FZ4" s="132"/>
      <c r="GA4" s="132"/>
      <c r="GB4" s="132"/>
      <c r="GC4" s="132"/>
      <c r="GD4" s="132"/>
      <c r="GE4" s="132"/>
      <c r="GF4" s="132"/>
      <c r="GG4" s="134"/>
      <c r="GH4" s="132" t="s">
        <v>148</v>
      </c>
      <c r="GI4" s="132" t="str">
        <f>"(Real "&amp;'Key assumptions'!$D$11&amp;")"</f>
        <v>(Real $RY2026)</v>
      </c>
      <c r="GJ4" s="132"/>
      <c r="GK4" s="132"/>
      <c r="GL4" s="132"/>
      <c r="GM4" s="132"/>
      <c r="GN4" s="132"/>
      <c r="GO4" s="132"/>
      <c r="GP4" s="132"/>
      <c r="GR4" s="132"/>
      <c r="GT4" s="118" t="s">
        <v>149</v>
      </c>
      <c r="GU4" s="118"/>
      <c r="GV4" s="118"/>
      <c r="GW4" s="118"/>
      <c r="GX4" s="118"/>
      <c r="GY4" s="118"/>
      <c r="GZ4" s="118"/>
      <c r="HA4" s="118"/>
      <c r="HC4" s="118"/>
      <c r="HE4" s="118" t="s">
        <v>150</v>
      </c>
      <c r="HF4" s="118"/>
      <c r="HG4" s="132" t="str">
        <f>"(Real "&amp;'Key assumptions'!$D$11&amp;")"</f>
        <v>(Real $RY2026)</v>
      </c>
      <c r="HH4" s="118"/>
      <c r="HI4" s="118"/>
      <c r="HJ4" s="118"/>
      <c r="HK4" s="118"/>
      <c r="HL4" s="118"/>
      <c r="HM4" s="118"/>
      <c r="HN4" s="118"/>
      <c r="HO4" s="118"/>
      <c r="HP4" s="118"/>
      <c r="HQ4" s="118"/>
      <c r="HR4" s="118"/>
      <c r="HU4" s="118"/>
      <c r="HW4" s="118" t="s">
        <v>151</v>
      </c>
      <c r="HX4" s="118"/>
      <c r="HY4" s="118"/>
      <c r="HZ4" s="118"/>
      <c r="IA4" s="118"/>
      <c r="IB4" s="118"/>
      <c r="IC4" s="118"/>
      <c r="ID4" s="118"/>
      <c r="IF4" s="132" t="s">
        <v>255</v>
      </c>
    </row>
    <row r="5" spans="1:241" s="87" customFormat="1" ht="16.5" customHeight="1" x14ac:dyDescent="0.2">
      <c r="B5" s="138"/>
      <c r="C5" s="139"/>
      <c r="D5" s="139"/>
      <c r="E5" s="139"/>
      <c r="F5" s="139"/>
      <c r="G5" s="139"/>
      <c r="H5" s="138"/>
      <c r="I5" s="138"/>
      <c r="J5" s="134"/>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4"/>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4"/>
      <c r="FY5" s="137"/>
      <c r="FZ5" s="137"/>
      <c r="GA5" s="137"/>
      <c r="GB5" s="137"/>
      <c r="GC5" s="137"/>
      <c r="GD5" s="137"/>
      <c r="GE5" s="137"/>
      <c r="GF5" s="137"/>
      <c r="GG5" s="134"/>
      <c r="GH5" s="137" cm="1">
        <f t="array" ref="GH5:GN6">'Key assumptions'!$H$17:$N$18</f>
        <v>46054</v>
      </c>
      <c r="GI5" s="137">
        <v>46296</v>
      </c>
      <c r="GJ5" s="137">
        <v>46661</v>
      </c>
      <c r="GK5" s="137">
        <v>47027</v>
      </c>
      <c r="GL5" s="137">
        <v>47392</v>
      </c>
      <c r="GM5" s="137">
        <v>47757</v>
      </c>
      <c r="GN5" s="137">
        <v>48122</v>
      </c>
      <c r="GO5" s="137"/>
      <c r="GP5" s="137"/>
      <c r="GR5" s="137">
        <v>46054</v>
      </c>
      <c r="GT5" s="137" cm="1">
        <f t="array" ref="GT5:GZ6">'Key assumptions'!$H$17:$N$18</f>
        <v>46054</v>
      </c>
      <c r="GU5" s="137">
        <v>46296</v>
      </c>
      <c r="GV5" s="137">
        <v>46661</v>
      </c>
      <c r="GW5" s="137">
        <v>47027</v>
      </c>
      <c r="GX5" s="137">
        <v>47392</v>
      </c>
      <c r="GY5" s="137">
        <v>47757</v>
      </c>
      <c r="GZ5" s="137">
        <v>48122</v>
      </c>
      <c r="HA5" s="137"/>
      <c r="HC5" s="137">
        <v>46054</v>
      </c>
      <c r="HE5" s="185"/>
      <c r="HF5" s="185"/>
      <c r="HG5" s="185"/>
      <c r="HH5" s="185"/>
      <c r="HI5" s="185"/>
      <c r="HJ5" s="185"/>
      <c r="HK5" s="185"/>
      <c r="HL5" s="185"/>
      <c r="HM5" s="185"/>
      <c r="HN5" s="185"/>
      <c r="HO5" s="185"/>
      <c r="HP5" s="185"/>
      <c r="HQ5" s="185"/>
      <c r="HR5" s="185"/>
      <c r="HU5" s="185"/>
      <c r="HW5" s="185"/>
      <c r="HX5" s="185"/>
      <c r="HY5" s="185"/>
      <c r="HZ5" s="185"/>
      <c r="IA5" s="185"/>
      <c r="IB5" s="185"/>
      <c r="IC5" s="185"/>
      <c r="ID5" s="185"/>
      <c r="IF5" s="137">
        <v>46054</v>
      </c>
    </row>
    <row r="6" spans="1:241" s="87" customFormat="1" ht="16.5" customHeight="1" x14ac:dyDescent="0.2">
      <c r="B6" s="138"/>
      <c r="C6" s="139"/>
      <c r="D6" s="139"/>
      <c r="E6" s="139"/>
      <c r="F6" s="139"/>
      <c r="G6" s="139"/>
      <c r="H6" s="138"/>
      <c r="I6" s="138"/>
      <c r="J6" s="134"/>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4"/>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4"/>
      <c r="FY6" s="137"/>
      <c r="FZ6" s="137"/>
      <c r="GA6" s="137"/>
      <c r="GB6" s="137"/>
      <c r="GC6" s="137"/>
      <c r="GD6" s="137"/>
      <c r="GE6" s="137"/>
      <c r="GF6" s="137"/>
      <c r="GG6" s="134"/>
      <c r="GH6" s="137">
        <v>46295</v>
      </c>
      <c r="GI6" s="137">
        <v>46660</v>
      </c>
      <c r="GJ6" s="137">
        <v>47026</v>
      </c>
      <c r="GK6" s="137">
        <v>47391</v>
      </c>
      <c r="GL6" s="137">
        <v>47756</v>
      </c>
      <c r="GM6" s="137">
        <v>48121</v>
      </c>
      <c r="GN6" s="137">
        <v>48487</v>
      </c>
      <c r="GO6" s="137"/>
      <c r="GP6" s="137"/>
      <c r="GR6" s="137">
        <v>46203</v>
      </c>
      <c r="GT6" s="137">
        <v>46295</v>
      </c>
      <c r="GU6" s="137">
        <v>46660</v>
      </c>
      <c r="GV6" s="137">
        <v>47026</v>
      </c>
      <c r="GW6" s="137">
        <v>47391</v>
      </c>
      <c r="GX6" s="137">
        <v>47756</v>
      </c>
      <c r="GY6" s="137">
        <v>48121</v>
      </c>
      <c r="GZ6" s="137">
        <v>48487</v>
      </c>
      <c r="HA6" s="137"/>
      <c r="HC6" s="137">
        <v>46203</v>
      </c>
      <c r="HE6" s="185"/>
      <c r="HF6" s="185"/>
      <c r="HG6" s="185"/>
      <c r="HH6" s="185"/>
      <c r="HI6" s="185"/>
      <c r="HJ6" s="185"/>
      <c r="HK6" s="185"/>
      <c r="HL6" s="185"/>
      <c r="HM6" s="185"/>
      <c r="HN6" s="185"/>
      <c r="HO6" s="185"/>
      <c r="HP6" s="185"/>
      <c r="HQ6" s="185"/>
      <c r="HR6" s="185"/>
      <c r="HU6" s="185"/>
      <c r="HW6" s="185"/>
      <c r="HX6" s="185"/>
      <c r="HY6" s="185"/>
      <c r="HZ6" s="185"/>
      <c r="IA6" s="185"/>
      <c r="IB6" s="185"/>
      <c r="IC6" s="185"/>
      <c r="ID6" s="185"/>
      <c r="IF6" s="137">
        <v>46203</v>
      </c>
    </row>
    <row r="7" spans="1:241" s="153" customFormat="1" ht="37.5" customHeight="1" x14ac:dyDescent="0.2">
      <c r="B7" s="135" t="str" cm="1">
        <f t="array" ref="B7:FW7">ds_headers</f>
        <v>Broader cost category</v>
      </c>
      <c r="C7" s="135" t="str">
        <v>Item</v>
      </c>
      <c r="D7" s="135" t="str">
        <v>Internal or Non-Labour</v>
      </c>
      <c r="E7" s="135" t="str">
        <v>Dollar Basis (Nominal / Real FY)</v>
      </c>
      <c r="F7" s="135" t="str">
        <v>Existing or New</v>
      </c>
      <c r="G7" s="135" t="str">
        <v>Normal time / over time</v>
      </c>
      <c r="H7" s="136" t="str">
        <v>BaseRate</v>
      </c>
      <c r="I7" s="136" t="str">
        <v>Total cost</v>
      </c>
      <c r="J7" s="154">
        <v>0</v>
      </c>
      <c r="K7" s="156">
        <v>45658</v>
      </c>
      <c r="L7" s="156">
        <v>45689</v>
      </c>
      <c r="M7" s="156">
        <v>45717</v>
      </c>
      <c r="N7" s="156">
        <v>45748</v>
      </c>
      <c r="O7" s="156">
        <v>45778</v>
      </c>
      <c r="P7" s="156">
        <v>45809</v>
      </c>
      <c r="Q7" s="156">
        <v>45839</v>
      </c>
      <c r="R7" s="156">
        <v>45870</v>
      </c>
      <c r="S7" s="156">
        <v>45901</v>
      </c>
      <c r="T7" s="156">
        <v>45931</v>
      </c>
      <c r="U7" s="156">
        <v>45962</v>
      </c>
      <c r="V7" s="156">
        <v>45992</v>
      </c>
      <c r="W7" s="156">
        <v>46023</v>
      </c>
      <c r="X7" s="156">
        <v>46054</v>
      </c>
      <c r="Y7" s="156">
        <v>46082</v>
      </c>
      <c r="Z7" s="156">
        <v>46113</v>
      </c>
      <c r="AA7" s="156">
        <v>46143</v>
      </c>
      <c r="AB7" s="156">
        <v>46174</v>
      </c>
      <c r="AC7" s="156">
        <v>46204</v>
      </c>
      <c r="AD7" s="156">
        <v>46235</v>
      </c>
      <c r="AE7" s="156">
        <v>46266</v>
      </c>
      <c r="AF7" s="156">
        <v>46296</v>
      </c>
      <c r="AG7" s="156">
        <v>46327</v>
      </c>
      <c r="AH7" s="156">
        <v>46357</v>
      </c>
      <c r="AI7" s="156">
        <v>46388</v>
      </c>
      <c r="AJ7" s="156">
        <v>46419</v>
      </c>
      <c r="AK7" s="156">
        <v>46447</v>
      </c>
      <c r="AL7" s="156">
        <v>46478</v>
      </c>
      <c r="AM7" s="156">
        <v>46508</v>
      </c>
      <c r="AN7" s="156">
        <v>46539</v>
      </c>
      <c r="AO7" s="156">
        <v>46569</v>
      </c>
      <c r="AP7" s="156">
        <v>46600</v>
      </c>
      <c r="AQ7" s="156">
        <v>46631</v>
      </c>
      <c r="AR7" s="156">
        <v>46661</v>
      </c>
      <c r="AS7" s="156">
        <v>46692</v>
      </c>
      <c r="AT7" s="156">
        <v>46722</v>
      </c>
      <c r="AU7" s="156">
        <v>46753</v>
      </c>
      <c r="AV7" s="156">
        <v>46784</v>
      </c>
      <c r="AW7" s="156">
        <v>46813</v>
      </c>
      <c r="AX7" s="156">
        <v>46844</v>
      </c>
      <c r="AY7" s="156">
        <v>46874</v>
      </c>
      <c r="AZ7" s="156">
        <v>46905</v>
      </c>
      <c r="BA7" s="156">
        <v>46935</v>
      </c>
      <c r="BB7" s="156">
        <v>46966</v>
      </c>
      <c r="BC7" s="156">
        <v>46997</v>
      </c>
      <c r="BD7" s="156">
        <v>47027</v>
      </c>
      <c r="BE7" s="156">
        <v>47058</v>
      </c>
      <c r="BF7" s="156">
        <v>47088</v>
      </c>
      <c r="BG7" s="156">
        <v>47119</v>
      </c>
      <c r="BH7" s="156">
        <v>47150</v>
      </c>
      <c r="BI7" s="156">
        <v>47178</v>
      </c>
      <c r="BJ7" s="156">
        <v>47209</v>
      </c>
      <c r="BK7" s="156">
        <v>47239</v>
      </c>
      <c r="BL7" s="156">
        <v>47270</v>
      </c>
      <c r="BM7" s="156">
        <v>47300</v>
      </c>
      <c r="BN7" s="156">
        <v>47331</v>
      </c>
      <c r="BO7" s="156">
        <v>47362</v>
      </c>
      <c r="BP7" s="156">
        <v>47392</v>
      </c>
      <c r="BQ7" s="156">
        <v>47423</v>
      </c>
      <c r="BR7" s="156">
        <v>47453</v>
      </c>
      <c r="BS7" s="156">
        <v>47514</v>
      </c>
      <c r="BT7" s="156">
        <v>47542</v>
      </c>
      <c r="BU7" s="156">
        <v>47573</v>
      </c>
      <c r="BV7" s="156">
        <v>47603</v>
      </c>
      <c r="BW7" s="156">
        <v>47634</v>
      </c>
      <c r="BX7" s="156">
        <v>47664</v>
      </c>
      <c r="BY7" s="156">
        <v>47695</v>
      </c>
      <c r="BZ7" s="156">
        <v>47726</v>
      </c>
      <c r="CA7" s="156">
        <v>47756</v>
      </c>
      <c r="CB7" s="156">
        <v>47787</v>
      </c>
      <c r="CC7" s="156">
        <v>47817</v>
      </c>
      <c r="CD7" s="156">
        <v>47848</v>
      </c>
      <c r="CE7" s="156">
        <v>47879</v>
      </c>
      <c r="CF7" s="156">
        <v>47907</v>
      </c>
      <c r="CG7" s="156">
        <v>47938</v>
      </c>
      <c r="CH7" s="156">
        <v>47968</v>
      </c>
      <c r="CI7" s="156">
        <v>47999</v>
      </c>
      <c r="CJ7" s="156">
        <v>48029</v>
      </c>
      <c r="CK7" s="156">
        <v>48060</v>
      </c>
      <c r="CL7" s="156">
        <v>48091</v>
      </c>
      <c r="CM7" s="156">
        <v>48121</v>
      </c>
      <c r="CN7" s="156">
        <v>48152</v>
      </c>
      <c r="CO7" s="156">
        <v>48182</v>
      </c>
      <c r="CP7" s="156">
        <v>48213</v>
      </c>
      <c r="CQ7" s="154">
        <v>0</v>
      </c>
      <c r="CR7" s="156">
        <v>45658</v>
      </c>
      <c r="CS7" s="156">
        <v>45689</v>
      </c>
      <c r="CT7" s="156">
        <v>45717</v>
      </c>
      <c r="CU7" s="156">
        <v>45748</v>
      </c>
      <c r="CV7" s="156">
        <v>45778</v>
      </c>
      <c r="CW7" s="156">
        <v>45809</v>
      </c>
      <c r="CX7" s="156">
        <v>45839</v>
      </c>
      <c r="CY7" s="156">
        <v>45870</v>
      </c>
      <c r="CZ7" s="156">
        <v>45901</v>
      </c>
      <c r="DA7" s="156">
        <v>45931</v>
      </c>
      <c r="DB7" s="156">
        <v>45962</v>
      </c>
      <c r="DC7" s="156">
        <v>45992</v>
      </c>
      <c r="DD7" s="156">
        <v>46023</v>
      </c>
      <c r="DE7" s="156">
        <v>46054</v>
      </c>
      <c r="DF7" s="156">
        <v>46082</v>
      </c>
      <c r="DG7" s="156">
        <v>46113</v>
      </c>
      <c r="DH7" s="156">
        <v>46143</v>
      </c>
      <c r="DI7" s="156">
        <v>46174</v>
      </c>
      <c r="DJ7" s="156">
        <v>46204</v>
      </c>
      <c r="DK7" s="156">
        <v>46235</v>
      </c>
      <c r="DL7" s="156">
        <v>46266</v>
      </c>
      <c r="DM7" s="156">
        <v>46296</v>
      </c>
      <c r="DN7" s="156">
        <v>46327</v>
      </c>
      <c r="DO7" s="156">
        <v>46357</v>
      </c>
      <c r="DP7" s="156">
        <v>46388</v>
      </c>
      <c r="DQ7" s="156">
        <v>46419</v>
      </c>
      <c r="DR7" s="156">
        <v>46447</v>
      </c>
      <c r="DS7" s="156">
        <v>46478</v>
      </c>
      <c r="DT7" s="156">
        <v>46508</v>
      </c>
      <c r="DU7" s="156">
        <v>46539</v>
      </c>
      <c r="DV7" s="156">
        <v>46569</v>
      </c>
      <c r="DW7" s="156">
        <v>46600</v>
      </c>
      <c r="DX7" s="156">
        <v>46631</v>
      </c>
      <c r="DY7" s="156">
        <v>46661</v>
      </c>
      <c r="DZ7" s="156">
        <v>46692</v>
      </c>
      <c r="EA7" s="156">
        <v>46722</v>
      </c>
      <c r="EB7" s="156">
        <v>46753</v>
      </c>
      <c r="EC7" s="156">
        <v>46784</v>
      </c>
      <c r="ED7" s="156">
        <v>46813</v>
      </c>
      <c r="EE7" s="156">
        <v>46844</v>
      </c>
      <c r="EF7" s="156">
        <v>46874</v>
      </c>
      <c r="EG7" s="156">
        <v>46905</v>
      </c>
      <c r="EH7" s="156">
        <v>46935</v>
      </c>
      <c r="EI7" s="156">
        <v>46966</v>
      </c>
      <c r="EJ7" s="156">
        <v>46997</v>
      </c>
      <c r="EK7" s="156">
        <v>47027</v>
      </c>
      <c r="EL7" s="156">
        <v>47058</v>
      </c>
      <c r="EM7" s="156">
        <v>47088</v>
      </c>
      <c r="EN7" s="156">
        <v>47119</v>
      </c>
      <c r="EO7" s="156">
        <v>47150</v>
      </c>
      <c r="EP7" s="156">
        <v>47178</v>
      </c>
      <c r="EQ7" s="156">
        <v>47209</v>
      </c>
      <c r="ER7" s="156">
        <v>47239</v>
      </c>
      <c r="ES7" s="156">
        <v>47270</v>
      </c>
      <c r="ET7" s="156">
        <v>47300</v>
      </c>
      <c r="EU7" s="156">
        <v>47331</v>
      </c>
      <c r="EV7" s="156">
        <v>47362</v>
      </c>
      <c r="EW7" s="156">
        <v>47392</v>
      </c>
      <c r="EX7" s="156">
        <v>47423</v>
      </c>
      <c r="EY7" s="156">
        <v>47453</v>
      </c>
      <c r="EZ7" s="156">
        <v>47514</v>
      </c>
      <c r="FA7" s="156">
        <v>47542</v>
      </c>
      <c r="FB7" s="156">
        <v>47573</v>
      </c>
      <c r="FC7" s="156">
        <v>47603</v>
      </c>
      <c r="FD7" s="156">
        <v>47634</v>
      </c>
      <c r="FE7" s="156">
        <v>47664</v>
      </c>
      <c r="FF7" s="156">
        <v>47695</v>
      </c>
      <c r="FG7" s="156">
        <v>47726</v>
      </c>
      <c r="FH7" s="156">
        <v>47756</v>
      </c>
      <c r="FI7" s="156">
        <v>47787</v>
      </c>
      <c r="FJ7" s="156">
        <v>47817</v>
      </c>
      <c r="FK7" s="156">
        <v>47848</v>
      </c>
      <c r="FL7" s="156">
        <v>47879</v>
      </c>
      <c r="FM7" s="156">
        <v>47907</v>
      </c>
      <c r="FN7" s="156">
        <v>47938</v>
      </c>
      <c r="FO7" s="156">
        <v>47968</v>
      </c>
      <c r="FP7" s="156">
        <v>47999</v>
      </c>
      <c r="FQ7" s="156">
        <v>48029</v>
      </c>
      <c r="FR7" s="156">
        <v>48060</v>
      </c>
      <c r="FS7" s="156">
        <v>48091</v>
      </c>
      <c r="FT7" s="156">
        <v>48121</v>
      </c>
      <c r="FU7" s="156">
        <v>48152</v>
      </c>
      <c r="FV7" s="156">
        <v>48182</v>
      </c>
      <c r="FW7" s="156">
        <v>48213</v>
      </c>
      <c r="FX7" s="154"/>
      <c r="FY7" s="140" t="s">
        <v>50</v>
      </c>
      <c r="FZ7" s="161" t="str" cm="1">
        <f t="array" ref="FZ7:GF7">model_forecastperiod</f>
        <v>RY2026
01Feb-30Sep</v>
      </c>
      <c r="GA7" s="140" t="str">
        <v>RY2027</v>
      </c>
      <c r="GB7" s="140" t="str">
        <v>RY2028</v>
      </c>
      <c r="GC7" s="140" t="str">
        <v>RY2029</v>
      </c>
      <c r="GD7" s="140" t="str">
        <v>RY2030</v>
      </c>
      <c r="GE7" s="140" t="str">
        <v>RY2031</v>
      </c>
      <c r="GF7" s="140" t="str">
        <v>RY2032</v>
      </c>
      <c r="GG7" s="154"/>
      <c r="GH7" s="140" t="str" cm="1">
        <f t="array" ref="GH7:GN7">model_forecastperiod</f>
        <v>RY2026
01Feb-30Sep</v>
      </c>
      <c r="GI7" s="140" t="str">
        <v>RY2027</v>
      </c>
      <c r="GJ7" s="140" t="str">
        <v>RY2028</v>
      </c>
      <c r="GK7" s="140" t="str">
        <v>RY2029</v>
      </c>
      <c r="GL7" s="140" t="str">
        <v>RY2030</v>
      </c>
      <c r="GM7" s="140" t="str">
        <v>RY2031</v>
      </c>
      <c r="GN7" s="140" t="str">
        <v>RY2032</v>
      </c>
      <c r="GO7" s="140" t="s">
        <v>133</v>
      </c>
      <c r="GP7" s="215" t="str">
        <f>IF(ROUND(SUM(GH8:GN293),5)=ROUND(Internal_labour_calcs!J24,5),"OK","ERROR")</f>
        <v>OK</v>
      </c>
      <c r="GQ7" s="158"/>
      <c r="GR7" s="140" t="s">
        <v>254</v>
      </c>
      <c r="GS7" s="158"/>
      <c r="GT7" s="140" t="str" cm="1">
        <f t="array" ref="GT7:GZ7">model_forecastperiod</f>
        <v>RY2026
01Feb-30Sep</v>
      </c>
      <c r="GU7" s="140" t="str">
        <v>RY2027</v>
      </c>
      <c r="GV7" s="140" t="str">
        <v>RY2028</v>
      </c>
      <c r="GW7" s="140" t="str">
        <v>RY2029</v>
      </c>
      <c r="GX7" s="140" t="str">
        <v>RY2030</v>
      </c>
      <c r="GY7" s="140" t="str">
        <v>RY2031</v>
      </c>
      <c r="GZ7" s="140" t="str">
        <v>RY2032</v>
      </c>
      <c r="HA7" s="140" t="s">
        <v>133</v>
      </c>
      <c r="HC7" s="140" t="s">
        <v>254</v>
      </c>
      <c r="HE7" s="140" t="s">
        <v>152</v>
      </c>
      <c r="HF7" s="140" t="s">
        <v>153</v>
      </c>
      <c r="HG7" s="140" t="s">
        <v>154</v>
      </c>
      <c r="HH7" s="140" t="s">
        <v>155</v>
      </c>
      <c r="HI7" s="140" t="s">
        <v>156</v>
      </c>
      <c r="HJ7" s="140" t="s">
        <v>157</v>
      </c>
      <c r="HK7" s="140" t="str" cm="1">
        <f t="array" ref="HK7:HQ7">model_forecastperiod</f>
        <v>RY2026
01Feb-30Sep</v>
      </c>
      <c r="HL7" s="140" t="str">
        <v>RY2027</v>
      </c>
      <c r="HM7" s="140" t="str">
        <v>RY2028</v>
      </c>
      <c r="HN7" s="140" t="str">
        <v>RY2029</v>
      </c>
      <c r="HO7" s="140" t="str">
        <v>RY2030</v>
      </c>
      <c r="HP7" s="140" t="str">
        <v>RY2031</v>
      </c>
      <c r="HQ7" s="140" t="str">
        <v>RY2032</v>
      </c>
      <c r="HR7" s="140" t="s">
        <v>133</v>
      </c>
      <c r="HS7" s="215" t="str">
        <f>IF(SUM(HJ8:HJ288)-SUM(HR8:HR288)=0,"Ok","Error")</f>
        <v>Ok</v>
      </c>
      <c r="HU7" s="140" t="s">
        <v>254</v>
      </c>
      <c r="HW7" s="140" t="str" cm="1">
        <f t="array" ref="HW7:IC7">model_forecastperiod</f>
        <v>RY2026
01Feb-30Sep</v>
      </c>
      <c r="HX7" s="140" t="str">
        <v>RY2027</v>
      </c>
      <c r="HY7" s="140" t="str">
        <v>RY2028</v>
      </c>
      <c r="HZ7" s="140" t="str">
        <v>RY2029</v>
      </c>
      <c r="IA7" s="140" t="str">
        <v>RY2030</v>
      </c>
      <c r="IB7" s="140" t="str">
        <v>RY2031</v>
      </c>
      <c r="IC7" s="140" t="str">
        <v>RY2032</v>
      </c>
      <c r="ID7" s="140" t="s">
        <v>133</v>
      </c>
      <c r="IF7" s="140" t="s">
        <v>254</v>
      </c>
    </row>
    <row r="8" spans="1:241" x14ac:dyDescent="0.2">
      <c r="B8" s="141" t="str" cm="1">
        <f t="array" ref="B8:FW255">_xlfn._xlws.FILTER(data_source,ds_labourcat="Internal Labour")</f>
        <v>Project Delivery Management - Project Management</v>
      </c>
      <c r="C8" s="141" t="str">
        <v>Project Director (Delivery Projects - Prescribed)</v>
      </c>
      <c r="D8" s="141" t="str">
        <v>Internal Labour</v>
      </c>
      <c r="E8" s="141" t="str">
        <v>$ Nominal</v>
      </c>
      <c r="F8" s="141" t="str">
        <v>Existing</v>
      </c>
      <c r="G8" s="141" t="str">
        <v>Normal time</v>
      </c>
      <c r="H8" s="142">
        <v>505.79</v>
      </c>
      <c r="I8" s="126">
        <v>2590316.2099999986</v>
      </c>
      <c r="J8" s="143">
        <v>0</v>
      </c>
      <c r="K8" s="144">
        <v>0</v>
      </c>
      <c r="L8" s="144">
        <v>0</v>
      </c>
      <c r="M8" s="144">
        <v>0</v>
      </c>
      <c r="N8" s="144">
        <v>0</v>
      </c>
      <c r="O8" s="144">
        <v>0</v>
      </c>
      <c r="P8" s="144">
        <v>0</v>
      </c>
      <c r="Q8" s="144">
        <v>0</v>
      </c>
      <c r="R8" s="144">
        <v>0</v>
      </c>
      <c r="S8" s="144">
        <v>0</v>
      </c>
      <c r="T8" s="144">
        <v>0</v>
      </c>
      <c r="U8" s="144">
        <v>0</v>
      </c>
      <c r="V8" s="144">
        <v>0</v>
      </c>
      <c r="W8" s="144">
        <v>1.1333333333333333</v>
      </c>
      <c r="X8" s="144">
        <v>1</v>
      </c>
      <c r="Y8" s="144">
        <v>1</v>
      </c>
      <c r="Z8" s="144">
        <v>1</v>
      </c>
      <c r="AA8" s="144">
        <v>0.92105263157894735</v>
      </c>
      <c r="AB8" s="144">
        <v>0.92105263157894735</v>
      </c>
      <c r="AC8" s="144">
        <v>1</v>
      </c>
      <c r="AD8" s="144">
        <v>1</v>
      </c>
      <c r="AE8" s="144">
        <v>1</v>
      </c>
      <c r="AF8" s="144">
        <v>1</v>
      </c>
      <c r="AG8" s="144">
        <v>1</v>
      </c>
      <c r="AH8" s="144">
        <v>1</v>
      </c>
      <c r="AI8" s="144">
        <v>1</v>
      </c>
      <c r="AJ8" s="144">
        <v>1</v>
      </c>
      <c r="AK8" s="144">
        <v>1</v>
      </c>
      <c r="AL8" s="144">
        <v>1</v>
      </c>
      <c r="AM8" s="144">
        <v>1</v>
      </c>
      <c r="AN8" s="144">
        <v>1</v>
      </c>
      <c r="AO8" s="144">
        <v>1</v>
      </c>
      <c r="AP8" s="144">
        <v>1</v>
      </c>
      <c r="AQ8" s="144">
        <v>1</v>
      </c>
      <c r="AR8" s="144">
        <v>1</v>
      </c>
      <c r="AS8" s="144">
        <v>1</v>
      </c>
      <c r="AT8" s="144">
        <v>1</v>
      </c>
      <c r="AU8" s="144">
        <v>1</v>
      </c>
      <c r="AV8" s="144">
        <v>1</v>
      </c>
      <c r="AW8" s="144">
        <v>1</v>
      </c>
      <c r="AX8" s="144">
        <v>1</v>
      </c>
      <c r="AY8" s="144">
        <v>1</v>
      </c>
      <c r="AZ8" s="144">
        <v>1</v>
      </c>
      <c r="BA8" s="144">
        <v>1</v>
      </c>
      <c r="BB8" s="144">
        <v>1</v>
      </c>
      <c r="BC8" s="144">
        <v>1</v>
      </c>
      <c r="BD8" s="144">
        <v>1</v>
      </c>
      <c r="BE8" s="144">
        <v>1</v>
      </c>
      <c r="BF8" s="144">
        <v>1</v>
      </c>
      <c r="BG8" s="144">
        <v>1</v>
      </c>
      <c r="BH8" s="144">
        <v>1</v>
      </c>
      <c r="BI8" s="144">
        <v>0</v>
      </c>
      <c r="BJ8" s="144">
        <v>0</v>
      </c>
      <c r="BK8" s="144">
        <v>0</v>
      </c>
      <c r="BL8" s="144">
        <v>0</v>
      </c>
      <c r="BM8" s="144">
        <v>0</v>
      </c>
      <c r="BN8" s="144">
        <v>0</v>
      </c>
      <c r="BO8" s="144">
        <v>0</v>
      </c>
      <c r="BP8" s="144">
        <v>0</v>
      </c>
      <c r="BQ8" s="144">
        <v>0</v>
      </c>
      <c r="BR8" s="144">
        <v>0</v>
      </c>
      <c r="BS8" s="144">
        <v>0</v>
      </c>
      <c r="BT8" s="144">
        <v>0</v>
      </c>
      <c r="BU8" s="144">
        <v>0</v>
      </c>
      <c r="BV8" s="144">
        <v>0</v>
      </c>
      <c r="BW8" s="144">
        <v>0</v>
      </c>
      <c r="BX8" s="144">
        <v>0</v>
      </c>
      <c r="BY8" s="144">
        <v>0</v>
      </c>
      <c r="BZ8" s="144">
        <v>0</v>
      </c>
      <c r="CA8" s="144">
        <v>0</v>
      </c>
      <c r="CB8" s="144">
        <v>0</v>
      </c>
      <c r="CC8" s="144">
        <v>0</v>
      </c>
      <c r="CD8" s="144">
        <v>0</v>
      </c>
      <c r="CE8" s="144">
        <v>0</v>
      </c>
      <c r="CF8" s="144">
        <v>0</v>
      </c>
      <c r="CG8" s="144">
        <v>0</v>
      </c>
      <c r="CH8" s="144">
        <v>0</v>
      </c>
      <c r="CI8" s="144">
        <v>0</v>
      </c>
      <c r="CJ8" s="144">
        <v>0</v>
      </c>
      <c r="CK8" s="144">
        <v>0</v>
      </c>
      <c r="CL8" s="144">
        <v>0</v>
      </c>
      <c r="CM8" s="144">
        <v>0</v>
      </c>
      <c r="CN8" s="144">
        <v>0</v>
      </c>
      <c r="CO8" s="144">
        <v>0</v>
      </c>
      <c r="CP8" s="144">
        <v>0</v>
      </c>
      <c r="CQ8" s="143">
        <v>0</v>
      </c>
      <c r="CR8" s="145">
        <v>0</v>
      </c>
      <c r="CS8" s="145">
        <v>0</v>
      </c>
      <c r="CT8" s="145">
        <v>0</v>
      </c>
      <c r="CU8" s="145">
        <v>0</v>
      </c>
      <c r="CV8" s="145">
        <v>0</v>
      </c>
      <c r="CW8" s="145">
        <v>0</v>
      </c>
      <c r="CX8" s="145">
        <v>0</v>
      </c>
      <c r="CY8" s="145">
        <v>0</v>
      </c>
      <c r="CZ8" s="145">
        <v>0</v>
      </c>
      <c r="DA8" s="145">
        <v>0</v>
      </c>
      <c r="DB8" s="145">
        <v>0</v>
      </c>
      <c r="DC8" s="145">
        <v>0</v>
      </c>
      <c r="DD8" s="145">
        <v>58431.209999999992</v>
      </c>
      <c r="DE8" s="145">
        <v>68742.8</v>
      </c>
      <c r="DF8" s="145">
        <v>68742.8</v>
      </c>
      <c r="DG8" s="145">
        <v>51557.1</v>
      </c>
      <c r="DH8" s="145">
        <v>68742.8</v>
      </c>
      <c r="DI8" s="145">
        <v>68742.8</v>
      </c>
      <c r="DJ8" s="145">
        <v>70810.600000000006</v>
      </c>
      <c r="DK8" s="145">
        <v>70810.600000000006</v>
      </c>
      <c r="DL8" s="145">
        <v>70810.600000000006</v>
      </c>
      <c r="DM8" s="145">
        <v>70810.600000000006</v>
      </c>
      <c r="DN8" s="145">
        <v>70810.600000000006</v>
      </c>
      <c r="DO8" s="145">
        <v>53107.950000000004</v>
      </c>
      <c r="DP8" s="145">
        <v>53107.950000000004</v>
      </c>
      <c r="DQ8" s="145">
        <v>70810.600000000006</v>
      </c>
      <c r="DR8" s="145">
        <v>70810.600000000006</v>
      </c>
      <c r="DS8" s="145">
        <v>53107.950000000004</v>
      </c>
      <c r="DT8" s="145">
        <v>76880.08</v>
      </c>
      <c r="DU8" s="145">
        <v>76880.08</v>
      </c>
      <c r="DV8" s="145">
        <v>72941.399999999994</v>
      </c>
      <c r="DW8" s="145">
        <v>72941.399999999994</v>
      </c>
      <c r="DX8" s="145">
        <v>72941.399999999994</v>
      </c>
      <c r="DY8" s="145">
        <v>72941.399999999994</v>
      </c>
      <c r="DZ8" s="145">
        <v>72941.399999999994</v>
      </c>
      <c r="EA8" s="145">
        <v>54706.049999999996</v>
      </c>
      <c r="EB8" s="145">
        <v>54706.049999999996</v>
      </c>
      <c r="EC8" s="145">
        <v>72941.399999999994</v>
      </c>
      <c r="ED8" s="145">
        <v>72941.399999999994</v>
      </c>
      <c r="EE8" s="145">
        <v>54706.049999999996</v>
      </c>
      <c r="EF8" s="145">
        <v>79193.52</v>
      </c>
      <c r="EG8" s="145">
        <v>79193.52</v>
      </c>
      <c r="EH8" s="145">
        <v>75133.799999999988</v>
      </c>
      <c r="EI8" s="145">
        <v>75133.799999999988</v>
      </c>
      <c r="EJ8" s="145">
        <v>75133.799999999988</v>
      </c>
      <c r="EK8" s="145">
        <v>75133.799999999988</v>
      </c>
      <c r="EL8" s="145">
        <v>75133.799999999988</v>
      </c>
      <c r="EM8" s="145">
        <v>56350.349999999991</v>
      </c>
      <c r="EN8" s="145">
        <v>56350.349999999991</v>
      </c>
      <c r="EO8" s="145">
        <v>75133.799999999988</v>
      </c>
      <c r="EP8" s="145">
        <v>0</v>
      </c>
      <c r="EQ8" s="145">
        <v>0</v>
      </c>
      <c r="ER8" s="145">
        <v>0</v>
      </c>
      <c r="ES8" s="145">
        <v>0</v>
      </c>
      <c r="ET8" s="145">
        <v>0</v>
      </c>
      <c r="EU8" s="145">
        <v>0</v>
      </c>
      <c r="EV8" s="145">
        <v>0</v>
      </c>
      <c r="EW8" s="145">
        <v>0</v>
      </c>
      <c r="EX8" s="145">
        <v>0</v>
      </c>
      <c r="EY8" s="145">
        <v>0</v>
      </c>
      <c r="EZ8" s="145">
        <v>0</v>
      </c>
      <c r="FA8" s="145">
        <v>0</v>
      </c>
      <c r="FB8" s="145">
        <v>0</v>
      </c>
      <c r="FC8" s="145">
        <v>0</v>
      </c>
      <c r="FD8" s="145">
        <v>0</v>
      </c>
      <c r="FE8" s="145">
        <v>0</v>
      </c>
      <c r="FF8" s="145">
        <v>0</v>
      </c>
      <c r="FG8" s="145">
        <v>0</v>
      </c>
      <c r="FH8" s="145">
        <v>0</v>
      </c>
      <c r="FI8" s="145">
        <v>0</v>
      </c>
      <c r="FJ8" s="145">
        <v>0</v>
      </c>
      <c r="FK8" s="145">
        <v>0</v>
      </c>
      <c r="FL8" s="145">
        <v>0</v>
      </c>
      <c r="FM8" s="145">
        <v>0</v>
      </c>
      <c r="FN8" s="145">
        <v>0</v>
      </c>
      <c r="FO8" s="145">
        <v>0</v>
      </c>
      <c r="FP8" s="145">
        <v>0</v>
      </c>
      <c r="FQ8" s="145">
        <v>0</v>
      </c>
      <c r="FR8" s="145">
        <v>0</v>
      </c>
      <c r="FS8" s="145">
        <v>0</v>
      </c>
      <c r="FT8" s="145">
        <v>0</v>
      </c>
      <c r="FU8" s="145">
        <v>0</v>
      </c>
      <c r="FV8" s="145">
        <v>0</v>
      </c>
      <c r="FW8" s="145">
        <v>0</v>
      </c>
      <c r="FX8" s="143"/>
      <c r="FY8" s="146" t="str">
        <f>_xlfn.XLOOKUP($E8,'Key assumptions'!$B$112:$B$120,'Key assumptions'!$C$112:$C$120,0)</f>
        <v>Nominal</v>
      </c>
      <c r="FZ8" s="146" cm="1">
        <f t="array" ref="FZ8">IF($FY8=0,0,_xlfn.IFS($FY8='Key assumptions'!$C$120,_xlfn.XLOOKUP(LEFT(FZ$7,6),Inflation_Year,Inflation_NominaltoReal),TRUE,_xlfn.XLOOKUP($FY8,Inflation_Year,NominaltoReal)))</f>
        <v>1.0197075870962191</v>
      </c>
      <c r="GA8" s="146" cm="1">
        <f t="array" ref="GA8">IF($FY8=0,0,_xlfn.IFS($FY8='Key assumptions'!$C$120,_xlfn.XLOOKUP(LEFT(GA$7,6),Inflation_Year,Inflation_NominaltoReal),TRUE,_xlfn.XLOOKUP($FY8,Inflation_Year,NominaltoReal)))</f>
        <v>0.98700804022984445</v>
      </c>
      <c r="GB8" s="146" cm="1">
        <f t="array" ref="GB8">IF($FY8=0,0,_xlfn.IFS($FY8='Key assumptions'!$C$120,_xlfn.XLOOKUP(LEFT(GB$7,6),Inflation_Year,Inflation_NominaltoReal),TRUE,_xlfn.XLOOKUP($FY8,Inflation_Year,NominaltoReal)))</f>
        <v>0.96152830081941731</v>
      </c>
      <c r="GC8" s="146" cm="1">
        <f t="array" ref="GC8">IF($FY8=0,0,_xlfn.IFS($FY8='Key assumptions'!$C$120,_xlfn.XLOOKUP(LEFT(GC$7,6),Inflation_Year,Inflation_NominaltoReal),TRUE,_xlfn.XLOOKUP($FY8,Inflation_Year,NominaltoReal)))</f>
        <v>0.93670632415656829</v>
      </c>
      <c r="GD8" s="146" cm="1">
        <f t="array" ref="GD8">IF($FY8=0,0,_xlfn.IFS($FY8='Key assumptions'!$C$120,_xlfn.XLOOKUP(LEFT(GD$7,6),Inflation_Year,Inflation_NominaltoReal),TRUE,_xlfn.XLOOKUP($FY8,Inflation_Year,NominaltoReal)))</f>
        <v>0.91252513001143176</v>
      </c>
      <c r="GE8" s="146" cm="1">
        <f t="array" ref="GE8">IF($FY8=0,0,_xlfn.IFS($FY8='Key assumptions'!$C$120,_xlfn.XLOOKUP(LEFT(GE$7,6),Inflation_Year,Inflation_NominaltoReal),TRUE,_xlfn.XLOOKUP($FY8,Inflation_Year,NominaltoReal)))</f>
        <v>0.88896817650095872</v>
      </c>
      <c r="GF8" s="146" cm="1">
        <f t="array" ref="GF8">IF($FY8=0,0,_xlfn.IFS($FY8='Key assumptions'!$C$120,_xlfn.XLOOKUP(LEFT(GF$7,6),Inflation_Year,Inflation_NominaltoReal),TRUE,_xlfn.XLOOKUP($FY8,Inflation_Year,NominaltoReal)))</f>
        <v>0.86601934877293718</v>
      </c>
      <c r="GG8" s="143"/>
      <c r="GH8" s="145" cm="1">
        <f t="array" ref="GH8">SUMPRODUCT(--($CR$7:$FW$7&gt;=GH$5),--($CR$7:$FW$7&lt;=GH$6),$CR8:$FW8)*FZ8</f>
        <v>549581.70311213692</v>
      </c>
      <c r="GI8" s="145" cm="1">
        <f t="array" ref="GI8">SUMPRODUCT(--($CR$7:$FW$7&gt;=GI$5),--($CR$7:$FW$7&lt;=GI$6),$CR8:$FW8)*GA8</f>
        <v>804560.20606826234</v>
      </c>
      <c r="GJ8" s="145" cm="1">
        <f t="array" ref="GJ8">SUMPRODUCT(--($CR$7:$FW$7&gt;=GJ$5),--($CR$7:$FW$7&lt;=GJ$6),$CR8:$FW8)*GB8</f>
        <v>807368.57409601891</v>
      </c>
      <c r="GK8" s="145" cm="1">
        <f t="array" ref="GK8">SUMPRODUCT(--($CR$7:$FW$7&gt;=GK$5),--($CR$7:$FW$7&lt;=GK$6),$CR8:$FW8)*GC8</f>
        <v>316702.3752806164</v>
      </c>
      <c r="GL8" s="145" cm="1">
        <f t="array" ref="GL8">SUMPRODUCT(--($CR$7:$FW$7&gt;=GL$5),--($CR$7:$FW$7&lt;=GL$6),$CR8:$FW8)*GD8</f>
        <v>0</v>
      </c>
      <c r="GM8" s="145" cm="1">
        <f t="array" ref="GM8">SUMPRODUCT(--($CR$7:$FW$7&gt;=GM$5),--($CR$7:$FW$7&lt;=GM$6),$CR8:$FW8)*GE8</f>
        <v>0</v>
      </c>
      <c r="GN8" s="145" cm="1">
        <f t="array" ref="GN8">SUMPRODUCT(--($CR$7:$FW$7&gt;=GN$5),--($CR$7:$FW$7&lt;=GN$6),$CR8:$FW8)*GF8</f>
        <v>0</v>
      </c>
      <c r="GO8" s="145">
        <f>SUM(GH8:GN8)</f>
        <v>2478212.8585570347</v>
      </c>
      <c r="GP8" s="87"/>
      <c r="GQ8" s="89"/>
      <c r="GR8" s="145" cm="1">
        <f t="array" ref="GR8">SUMPRODUCT(--($CR$7:$FW$7&gt;=GR$5),--($CR$7:$FW$7&lt;=GR$6),$CR8:$FW8)</f>
        <v>326528.3</v>
      </c>
      <c r="GS8" s="89"/>
      <c r="GT8" s="214" cm="1">
        <f t="array" ref="GT8">--AND(MIN(IF($K8:$CP8&lt;&gt;0,$K$7:$CP$7))&gt;=GT$5,MIN(IF($K8:$CP8&lt;&gt;0,$K$7:$CP$7))&lt;=GT$6)</f>
        <v>0</v>
      </c>
      <c r="GU8" s="214" cm="1">
        <f t="array" ref="GU8">--AND(MIN(IF($K8:$CP8&lt;&gt;0,$K$7:$CP$7))&gt;=GU$5,MIN(IF($K8:$CP8&lt;&gt;0,$K$7:$CP$7))&lt;=GU$6)</f>
        <v>0</v>
      </c>
      <c r="GV8" s="214" cm="1">
        <f t="array" ref="GV8">--AND(MIN(IF($K8:$CP8&lt;&gt;0,$K$7:$CP$7))&gt;=GV$5,MIN(IF($K8:$CP8&lt;&gt;0,$K$7:$CP$7))&lt;=GV$6)</f>
        <v>0</v>
      </c>
      <c r="GW8" s="214" cm="1">
        <f t="array" ref="GW8">--AND(MIN(IF($K8:$CP8&lt;&gt;0,$K$7:$CP$7))&gt;=GW$5,MIN(IF($K8:$CP8&lt;&gt;0,$K$7:$CP$7))&lt;=GW$6)</f>
        <v>0</v>
      </c>
      <c r="GX8" s="214" cm="1">
        <f t="array" ref="GX8">--AND(MIN(IF($K8:$CP8&lt;&gt;0,$K$7:$CP$7))&gt;=GX$5,MIN(IF($K8:$CP8&lt;&gt;0,$K$7:$CP$7))&lt;=GX$6)</f>
        <v>0</v>
      </c>
      <c r="GY8" s="214" cm="1">
        <f t="array" ref="GY8">--AND(MIN(IF($K8:$CP8&lt;&gt;0,$K$7:$CP$7))&gt;=GY$5,MIN(IF($K8:$CP8&lt;&gt;0,$K$7:$CP$7))&lt;=GY$6)</f>
        <v>0</v>
      </c>
      <c r="GZ8" s="214" cm="1">
        <f t="array" ref="GZ8">--AND(MIN(IF($K8:$CP8&lt;&gt;0,$K$7:$CP$7))&gt;=GZ$5,MIN(IF($K8:$CP8&lt;&gt;0,$K$7:$CP$7))&lt;=GZ$6)</f>
        <v>0</v>
      </c>
      <c r="HA8" s="214">
        <f t="shared" ref="HA8:HA71" si="0">SUM(GT8:GZ8)</f>
        <v>0</v>
      </c>
      <c r="HC8" s="214" cm="1">
        <f t="array" ref="HC8">--AND(MIN(IF($K8:$CP8&lt;&gt;0,$K$7:$CP$7))&gt;=HC$5,MIN(IF($K8:$CP8&lt;&gt;0,$K$7:$CP$7))&lt;=HC$6)</f>
        <v>0</v>
      </c>
      <c r="HE8" s="147" t="str">
        <f>IF($F8="New","Yes","No")</f>
        <v>No</v>
      </c>
      <c r="HF8" s="147" t="str">
        <f>IF(G8="Overtime","Yes","No")</f>
        <v>No</v>
      </c>
      <c r="HG8" s="147">
        <f>IF($HF8="Yes",0,$H8*avg_hrs*12*'Key assumptions'!$D$87)</f>
        <v>904488.5823159361</v>
      </c>
      <c r="HH8" s="147">
        <f>IF(HE8="Yes",'Key assumptions'!$D$84*HG8,0)</f>
        <v>0</v>
      </c>
      <c r="HI8" s="144">
        <f>IFERROR(AVERAGEIFS($K8:$CP8,$K$7:$CP$7,"&gt;="&amp;'Key assumptions'!$D$24,$K$7:$CP$7,"&lt;="&amp;'Key assumptions'!$D$25),0)</f>
        <v>0.83732057416267935</v>
      </c>
      <c r="HJ8" s="147">
        <f>HH8*HI8</f>
        <v>0</v>
      </c>
      <c r="HK8" s="147">
        <f t="shared" ref="HK8:HK71" si="1">$HJ8*GT8</f>
        <v>0</v>
      </c>
      <c r="HL8" s="147">
        <f t="shared" ref="HL8:HL71" si="2">$HJ8*GU8</f>
        <v>0</v>
      </c>
      <c r="HM8" s="147">
        <f t="shared" ref="HM8:HM71" si="3">$HJ8*GV8</f>
        <v>0</v>
      </c>
      <c r="HN8" s="147">
        <f t="shared" ref="HN8:HN71" si="4">$HJ8*GW8</f>
        <v>0</v>
      </c>
      <c r="HO8" s="147">
        <f t="shared" ref="HO8:HO71" si="5">$HJ8*GX8</f>
        <v>0</v>
      </c>
      <c r="HP8" s="147">
        <f t="shared" ref="HP8:HP71" si="6">$HJ8*GY8</f>
        <v>0</v>
      </c>
      <c r="HQ8" s="147">
        <f t="shared" ref="HQ8:HQ71" si="7">$HJ8*GZ8</f>
        <v>0</v>
      </c>
      <c r="HR8" s="147">
        <f t="shared" ref="HR8:HR71" si="8">SUM(HK8:HQ8)</f>
        <v>0</v>
      </c>
      <c r="HS8" s="89"/>
      <c r="HU8" s="147">
        <f>$HJ8*HC8/(1+'Key assumptions'!G30)^0.75</f>
        <v>0</v>
      </c>
      <c r="HW8" s="216">
        <f t="shared" ref="HW8:HW71" si="9">$HI8*GT8</f>
        <v>0</v>
      </c>
      <c r="HX8" s="216">
        <f t="shared" ref="HX8:HX71" si="10">$HI8*GU8</f>
        <v>0</v>
      </c>
      <c r="HY8" s="216">
        <f t="shared" ref="HY8:HY71" si="11">$HI8*GV8</f>
        <v>0</v>
      </c>
      <c r="HZ8" s="216">
        <f t="shared" ref="HZ8:HZ71" si="12">$HI8*GW8</f>
        <v>0</v>
      </c>
      <c r="IA8" s="216">
        <f t="shared" ref="IA8:IA71" si="13">$HI8*GX8</f>
        <v>0</v>
      </c>
      <c r="IB8" s="216">
        <f t="shared" ref="IB8:IB71" si="14">$HI8*GY8</f>
        <v>0</v>
      </c>
      <c r="IC8" s="216">
        <f t="shared" ref="IC8:IC71" si="15">$HI8*GZ8</f>
        <v>0</v>
      </c>
      <c r="ID8" s="216">
        <f t="shared" ref="ID8:ID71" si="16">SUM(HW8:IC8)</f>
        <v>0</v>
      </c>
      <c r="IF8" s="216">
        <f t="shared" ref="IF8:IF71" si="17">$HI8*HC8</f>
        <v>0</v>
      </c>
    </row>
    <row r="9" spans="1:241" x14ac:dyDescent="0.2">
      <c r="B9" s="141" t="str">
        <v>Project Delivery Management - Project Management</v>
      </c>
      <c r="C9" s="141" t="str">
        <v>Project Manager - Senior (Network Projects)</v>
      </c>
      <c r="D9" s="141" t="str">
        <v>Internal Labour</v>
      </c>
      <c r="E9" s="141" t="str">
        <v>$ Nominal</v>
      </c>
      <c r="F9" s="141" t="str">
        <v>Existing</v>
      </c>
      <c r="G9" s="141" t="str">
        <v>Normal time</v>
      </c>
      <c r="H9" s="142">
        <v>316.45</v>
      </c>
      <c r="I9" s="126">
        <v>1586014.8399999999</v>
      </c>
      <c r="J9" s="143">
        <v>0</v>
      </c>
      <c r="K9" s="144">
        <v>0</v>
      </c>
      <c r="L9" s="144">
        <v>0</v>
      </c>
      <c r="M9" s="144">
        <v>0</v>
      </c>
      <c r="N9" s="144">
        <v>0</v>
      </c>
      <c r="O9" s="144">
        <v>0</v>
      </c>
      <c r="P9" s="144">
        <v>0</v>
      </c>
      <c r="Q9" s="144">
        <v>0</v>
      </c>
      <c r="R9" s="144">
        <v>0</v>
      </c>
      <c r="S9" s="144">
        <v>0</v>
      </c>
      <c r="T9" s="144">
        <v>0</v>
      </c>
      <c r="U9" s="144">
        <v>0</v>
      </c>
      <c r="V9" s="144">
        <v>0</v>
      </c>
      <c r="W9" s="144">
        <v>6.6666666666666666E-2</v>
      </c>
      <c r="X9" s="144">
        <v>1</v>
      </c>
      <c r="Y9" s="144">
        <v>1</v>
      </c>
      <c r="Z9" s="144">
        <v>1</v>
      </c>
      <c r="AA9" s="144">
        <v>0.92105263157894735</v>
      </c>
      <c r="AB9" s="144">
        <v>0.92105263157894735</v>
      </c>
      <c r="AC9" s="144">
        <v>1</v>
      </c>
      <c r="AD9" s="144">
        <v>1</v>
      </c>
      <c r="AE9" s="144">
        <v>1</v>
      </c>
      <c r="AF9" s="144">
        <v>1</v>
      </c>
      <c r="AG9" s="144">
        <v>1</v>
      </c>
      <c r="AH9" s="144">
        <v>1</v>
      </c>
      <c r="AI9" s="144">
        <v>1</v>
      </c>
      <c r="AJ9" s="144">
        <v>1</v>
      </c>
      <c r="AK9" s="144">
        <v>1</v>
      </c>
      <c r="AL9" s="144">
        <v>1</v>
      </c>
      <c r="AM9" s="144">
        <v>1</v>
      </c>
      <c r="AN9" s="144">
        <v>1</v>
      </c>
      <c r="AO9" s="144">
        <v>1</v>
      </c>
      <c r="AP9" s="144">
        <v>1</v>
      </c>
      <c r="AQ9" s="144">
        <v>1</v>
      </c>
      <c r="AR9" s="144">
        <v>1</v>
      </c>
      <c r="AS9" s="144">
        <v>1</v>
      </c>
      <c r="AT9" s="144">
        <v>1</v>
      </c>
      <c r="AU9" s="144">
        <v>1</v>
      </c>
      <c r="AV9" s="144">
        <v>1</v>
      </c>
      <c r="AW9" s="144">
        <v>1</v>
      </c>
      <c r="AX9" s="144">
        <v>1</v>
      </c>
      <c r="AY9" s="144">
        <v>1</v>
      </c>
      <c r="AZ9" s="144">
        <v>1</v>
      </c>
      <c r="BA9" s="144">
        <v>1</v>
      </c>
      <c r="BB9" s="144">
        <v>1</v>
      </c>
      <c r="BC9" s="144">
        <v>1</v>
      </c>
      <c r="BD9" s="144">
        <v>1</v>
      </c>
      <c r="BE9" s="144">
        <v>1</v>
      </c>
      <c r="BF9" s="144">
        <v>1</v>
      </c>
      <c r="BG9" s="144">
        <v>1</v>
      </c>
      <c r="BH9" s="144">
        <v>1</v>
      </c>
      <c r="BI9" s="144">
        <v>0</v>
      </c>
      <c r="BJ9" s="144">
        <v>0</v>
      </c>
      <c r="BK9" s="144">
        <v>0</v>
      </c>
      <c r="BL9" s="144">
        <v>0</v>
      </c>
      <c r="BM9" s="144">
        <v>0</v>
      </c>
      <c r="BN9" s="144">
        <v>0</v>
      </c>
      <c r="BO9" s="144">
        <v>0</v>
      </c>
      <c r="BP9" s="144">
        <v>0</v>
      </c>
      <c r="BQ9" s="144">
        <v>0</v>
      </c>
      <c r="BR9" s="144">
        <v>0</v>
      </c>
      <c r="BS9" s="144">
        <v>0</v>
      </c>
      <c r="BT9" s="144">
        <v>0</v>
      </c>
      <c r="BU9" s="144">
        <v>0</v>
      </c>
      <c r="BV9" s="144">
        <v>0</v>
      </c>
      <c r="BW9" s="144">
        <v>0</v>
      </c>
      <c r="BX9" s="144">
        <v>0</v>
      </c>
      <c r="BY9" s="144">
        <v>0</v>
      </c>
      <c r="BZ9" s="144">
        <v>0</v>
      </c>
      <c r="CA9" s="144">
        <v>0</v>
      </c>
      <c r="CB9" s="144">
        <v>0</v>
      </c>
      <c r="CC9" s="144">
        <v>0</v>
      </c>
      <c r="CD9" s="144">
        <v>0</v>
      </c>
      <c r="CE9" s="144">
        <v>0</v>
      </c>
      <c r="CF9" s="144">
        <v>0</v>
      </c>
      <c r="CG9" s="144">
        <v>0</v>
      </c>
      <c r="CH9" s="144">
        <v>0</v>
      </c>
      <c r="CI9" s="144">
        <v>0</v>
      </c>
      <c r="CJ9" s="144">
        <v>0</v>
      </c>
      <c r="CK9" s="144">
        <v>0</v>
      </c>
      <c r="CL9" s="144">
        <v>0</v>
      </c>
      <c r="CM9" s="144">
        <v>0</v>
      </c>
      <c r="CN9" s="144">
        <v>0</v>
      </c>
      <c r="CO9" s="144">
        <v>0</v>
      </c>
      <c r="CP9" s="144">
        <v>0</v>
      </c>
      <c r="CQ9" s="143">
        <v>0</v>
      </c>
      <c r="CR9" s="145">
        <v>0</v>
      </c>
      <c r="CS9" s="145">
        <v>0</v>
      </c>
      <c r="CT9" s="145">
        <v>0</v>
      </c>
      <c r="CU9" s="145">
        <v>0</v>
      </c>
      <c r="CV9" s="145">
        <v>0</v>
      </c>
      <c r="CW9" s="145">
        <v>0</v>
      </c>
      <c r="CX9" s="145">
        <v>0</v>
      </c>
      <c r="CY9" s="145">
        <v>0</v>
      </c>
      <c r="CZ9" s="145">
        <v>0</v>
      </c>
      <c r="DA9" s="145">
        <v>0</v>
      </c>
      <c r="DB9" s="145">
        <v>0</v>
      </c>
      <c r="DC9" s="145">
        <v>0</v>
      </c>
      <c r="DD9" s="145">
        <v>2150.94</v>
      </c>
      <c r="DE9" s="145">
        <v>43019.199999999997</v>
      </c>
      <c r="DF9" s="145">
        <v>43019.199999999997</v>
      </c>
      <c r="DG9" s="145">
        <v>32264.399999999998</v>
      </c>
      <c r="DH9" s="145">
        <v>43019.199999999997</v>
      </c>
      <c r="DI9" s="145">
        <v>43019.199999999997</v>
      </c>
      <c r="DJ9" s="145">
        <v>44303</v>
      </c>
      <c r="DK9" s="145">
        <v>44303</v>
      </c>
      <c r="DL9" s="145">
        <v>44303</v>
      </c>
      <c r="DM9" s="145">
        <v>44303</v>
      </c>
      <c r="DN9" s="145">
        <v>44303</v>
      </c>
      <c r="DO9" s="145">
        <v>33227.25</v>
      </c>
      <c r="DP9" s="145">
        <v>33227.25</v>
      </c>
      <c r="DQ9" s="145">
        <v>44303</v>
      </c>
      <c r="DR9" s="145">
        <v>44303</v>
      </c>
      <c r="DS9" s="145">
        <v>33227.25</v>
      </c>
      <c r="DT9" s="145">
        <v>48100.4</v>
      </c>
      <c r="DU9" s="145">
        <v>48100.4</v>
      </c>
      <c r="DV9" s="145">
        <v>45619</v>
      </c>
      <c r="DW9" s="145">
        <v>45619</v>
      </c>
      <c r="DX9" s="145">
        <v>45619</v>
      </c>
      <c r="DY9" s="145">
        <v>45619</v>
      </c>
      <c r="DZ9" s="145">
        <v>45619</v>
      </c>
      <c r="EA9" s="145">
        <v>34214.25</v>
      </c>
      <c r="EB9" s="145">
        <v>34214.25</v>
      </c>
      <c r="EC9" s="145">
        <v>45619</v>
      </c>
      <c r="ED9" s="145">
        <v>45619</v>
      </c>
      <c r="EE9" s="145">
        <v>34214.25</v>
      </c>
      <c r="EF9" s="145">
        <v>49529.200000000004</v>
      </c>
      <c r="EG9" s="145">
        <v>49529.200000000004</v>
      </c>
      <c r="EH9" s="145">
        <v>46998</v>
      </c>
      <c r="EI9" s="145">
        <v>46998</v>
      </c>
      <c r="EJ9" s="145">
        <v>46998</v>
      </c>
      <c r="EK9" s="145">
        <v>46998</v>
      </c>
      <c r="EL9" s="145">
        <v>46998</v>
      </c>
      <c r="EM9" s="145">
        <v>35248.5</v>
      </c>
      <c r="EN9" s="145">
        <v>35248.5</v>
      </c>
      <c r="EO9" s="145">
        <v>46998</v>
      </c>
      <c r="EP9" s="145">
        <v>0</v>
      </c>
      <c r="EQ9" s="145">
        <v>0</v>
      </c>
      <c r="ER9" s="145">
        <v>0</v>
      </c>
      <c r="ES9" s="145">
        <v>0</v>
      </c>
      <c r="ET9" s="145">
        <v>0</v>
      </c>
      <c r="EU9" s="145">
        <v>0</v>
      </c>
      <c r="EV9" s="145">
        <v>0</v>
      </c>
      <c r="EW9" s="145">
        <v>0</v>
      </c>
      <c r="EX9" s="145">
        <v>0</v>
      </c>
      <c r="EY9" s="145">
        <v>0</v>
      </c>
      <c r="EZ9" s="145">
        <v>0</v>
      </c>
      <c r="FA9" s="145">
        <v>0</v>
      </c>
      <c r="FB9" s="145">
        <v>0</v>
      </c>
      <c r="FC9" s="145">
        <v>0</v>
      </c>
      <c r="FD9" s="145">
        <v>0</v>
      </c>
      <c r="FE9" s="145">
        <v>0</v>
      </c>
      <c r="FF9" s="145">
        <v>0</v>
      </c>
      <c r="FG9" s="145">
        <v>0</v>
      </c>
      <c r="FH9" s="145">
        <v>0</v>
      </c>
      <c r="FI9" s="145">
        <v>0</v>
      </c>
      <c r="FJ9" s="145">
        <v>0</v>
      </c>
      <c r="FK9" s="145">
        <v>0</v>
      </c>
      <c r="FL9" s="145">
        <v>0</v>
      </c>
      <c r="FM9" s="145">
        <v>0</v>
      </c>
      <c r="FN9" s="145">
        <v>0</v>
      </c>
      <c r="FO9" s="145">
        <v>0</v>
      </c>
      <c r="FP9" s="145">
        <v>0</v>
      </c>
      <c r="FQ9" s="145">
        <v>0</v>
      </c>
      <c r="FR9" s="145">
        <v>0</v>
      </c>
      <c r="FS9" s="145">
        <v>0</v>
      </c>
      <c r="FT9" s="145">
        <v>0</v>
      </c>
      <c r="FU9" s="145">
        <v>0</v>
      </c>
      <c r="FV9" s="145">
        <v>0</v>
      </c>
      <c r="FW9" s="145">
        <v>0</v>
      </c>
      <c r="FX9" s="143"/>
      <c r="FY9" s="146" t="str">
        <f>_xlfn.XLOOKUP($E9,'Key assumptions'!$B$112:$B$120,'Key assumptions'!$C$112:$C$120,0)</f>
        <v>Nominal</v>
      </c>
      <c r="FZ9" s="146" cm="1">
        <f t="array" ref="FZ9">IF($FY9=0,0,_xlfn.IFS($FY9='Key assumptions'!$C$120,_xlfn.XLOOKUP(LEFT(FZ$7,6),Inflation_Year,Inflation_NominaltoReal),TRUE,_xlfn.XLOOKUP($FY9,Inflation_Year,NominaltoReal)))</f>
        <v>1.0197075870962191</v>
      </c>
      <c r="GA9" s="146" cm="1">
        <f t="array" ref="GA9">IF($FY9=0,0,_xlfn.IFS($FY9='Key assumptions'!$C$120,_xlfn.XLOOKUP(LEFT(GA$7,6),Inflation_Year,Inflation_NominaltoReal),TRUE,_xlfn.XLOOKUP($FY9,Inflation_Year,NominaltoReal)))</f>
        <v>0.98700804022984445</v>
      </c>
      <c r="GB9" s="146" cm="1">
        <f t="array" ref="GB9">IF($FY9=0,0,_xlfn.IFS($FY9='Key assumptions'!$C$120,_xlfn.XLOOKUP(LEFT(GB$7,6),Inflation_Year,Inflation_NominaltoReal),TRUE,_xlfn.XLOOKUP($FY9,Inflation_Year,NominaltoReal)))</f>
        <v>0.96152830081941731</v>
      </c>
      <c r="GC9" s="146" cm="1">
        <f t="array" ref="GC9">IF($FY9=0,0,_xlfn.IFS($FY9='Key assumptions'!$C$120,_xlfn.XLOOKUP(LEFT(GC$7,6),Inflation_Year,Inflation_NominaltoReal),TRUE,_xlfn.XLOOKUP($FY9,Inflation_Year,NominaltoReal)))</f>
        <v>0.93670632415656829</v>
      </c>
      <c r="GD9" s="146" cm="1">
        <f t="array" ref="GD9">IF($FY9=0,0,_xlfn.IFS($FY9='Key assumptions'!$C$120,_xlfn.XLOOKUP(LEFT(GD$7,6),Inflation_Year,Inflation_NominaltoReal),TRUE,_xlfn.XLOOKUP($FY9,Inflation_Year,NominaltoReal)))</f>
        <v>0.91252513001143176</v>
      </c>
      <c r="GE9" s="146" cm="1">
        <f t="array" ref="GE9">IF($FY9=0,0,_xlfn.IFS($FY9='Key assumptions'!$C$120,_xlfn.XLOOKUP(LEFT(GE$7,6),Inflation_Year,Inflation_NominaltoReal),TRUE,_xlfn.XLOOKUP($FY9,Inflation_Year,NominaltoReal)))</f>
        <v>0.88896817650095872</v>
      </c>
      <c r="GF9" s="146" cm="1">
        <f t="array" ref="GF9">IF($FY9=0,0,_xlfn.IFS($FY9='Key assumptions'!$C$120,_xlfn.XLOOKUP(LEFT(GF$7,6),Inflation_Year,Inflation_NominaltoReal),TRUE,_xlfn.XLOOKUP($FY9,Inflation_Year,NominaltoReal)))</f>
        <v>0.86601934877293718</v>
      </c>
      <c r="GG9" s="143"/>
      <c r="GH9" s="145" cm="1">
        <f t="array" ref="GH9">SUMPRODUCT(--($CR$7:$FW$7&gt;=GH$5),--($CR$7:$FW$7&lt;=GH$6),$CR9:$FW9)*FZ9</f>
        <v>343896.5876897173</v>
      </c>
      <c r="GI9" s="145" cm="1">
        <f t="array" ref="GI9">SUMPRODUCT(--($CR$7:$FW$7&gt;=GI$5),--($CR$7:$FW$7&lt;=GI$6),$CR9:$FW9)*GA9</f>
        <v>503326.27997767157</v>
      </c>
      <c r="GJ9" s="145" cm="1">
        <f t="array" ref="GJ9">SUMPRODUCT(--($CR$7:$FW$7&gt;=GJ$5),--($CR$7:$FW$7&lt;=GJ$6),$CR9:$FW9)*GB9</f>
        <v>504966.92349887936</v>
      </c>
      <c r="GK9" s="145" cm="1">
        <f t="array" ref="GK9">SUMPRODUCT(--($CR$7:$FW$7&gt;=GK$5),--($CR$7:$FW$7&lt;=GK$6),$CR9:$FW9)*GC9</f>
        <v>198104.95720219679</v>
      </c>
      <c r="GL9" s="145" cm="1">
        <f t="array" ref="GL9">SUMPRODUCT(--($CR$7:$FW$7&gt;=GL$5),--($CR$7:$FW$7&lt;=GL$6),$CR9:$FW9)*GD9</f>
        <v>0</v>
      </c>
      <c r="GM9" s="145" cm="1">
        <f t="array" ref="GM9">SUMPRODUCT(--($CR$7:$FW$7&gt;=GM$5),--($CR$7:$FW$7&lt;=GM$6),$CR9:$FW9)*GE9</f>
        <v>0</v>
      </c>
      <c r="GN9" s="145" cm="1">
        <f t="array" ref="GN9">SUMPRODUCT(--($CR$7:$FW$7&gt;=GN$5),--($CR$7:$FW$7&lt;=GN$6),$CR9:$FW9)*GF9</f>
        <v>0</v>
      </c>
      <c r="GO9" s="145">
        <f t="shared" ref="GO9:GO71" si="18">SUM(GH9:GN9)</f>
        <v>1550294.7483684651</v>
      </c>
      <c r="GP9" s="87"/>
      <c r="GQ9" s="89"/>
      <c r="GR9" s="145" cm="1">
        <f t="array" ref="GR9">SUMPRODUCT(--($CR$7:$FW$7&gt;=GR$5),--($CR$7:$FW$7&lt;=GR$6),$CR9:$FW9)</f>
        <v>204341.2</v>
      </c>
      <c r="GS9" s="89"/>
      <c r="GT9" s="214" cm="1">
        <f t="array" ref="GT9">--AND(MIN(IF($K9:$CP9&lt;&gt;0,$K$7:$CP$7))&gt;=GT$5,MIN(IF($K9:$CP9&lt;&gt;0,$K$7:$CP$7))&lt;=GT$6)</f>
        <v>0</v>
      </c>
      <c r="GU9" s="214" cm="1">
        <f t="array" ref="GU9">--AND(MIN(IF($K9:$CP9&lt;&gt;0,$K$7:$CP$7))&gt;=GU$5,MIN(IF($K9:$CP9&lt;&gt;0,$K$7:$CP$7))&lt;=GU$6)</f>
        <v>0</v>
      </c>
      <c r="GV9" s="214" cm="1">
        <f t="array" ref="GV9">--AND(MIN(IF($K9:$CP9&lt;&gt;0,$K$7:$CP$7))&gt;=GV$5,MIN(IF($K9:$CP9&lt;&gt;0,$K$7:$CP$7))&lt;=GV$6)</f>
        <v>0</v>
      </c>
      <c r="GW9" s="214" cm="1">
        <f t="array" ref="GW9">--AND(MIN(IF($K9:$CP9&lt;&gt;0,$K$7:$CP$7))&gt;=GW$5,MIN(IF($K9:$CP9&lt;&gt;0,$K$7:$CP$7))&lt;=GW$6)</f>
        <v>0</v>
      </c>
      <c r="GX9" s="214" cm="1">
        <f t="array" ref="GX9">--AND(MIN(IF($K9:$CP9&lt;&gt;0,$K$7:$CP$7))&gt;=GX$5,MIN(IF($K9:$CP9&lt;&gt;0,$K$7:$CP$7))&lt;=GX$6)</f>
        <v>0</v>
      </c>
      <c r="GY9" s="214" cm="1">
        <f t="array" ref="GY9">--AND(MIN(IF($K9:$CP9&lt;&gt;0,$K$7:$CP$7))&gt;=GY$5,MIN(IF($K9:$CP9&lt;&gt;0,$K$7:$CP$7))&lt;=GY$6)</f>
        <v>0</v>
      </c>
      <c r="GZ9" s="214" cm="1">
        <f t="array" ref="GZ9">--AND(MIN(IF($K9:$CP9&lt;&gt;0,$K$7:$CP$7))&gt;=GZ$5,MIN(IF($K9:$CP9&lt;&gt;0,$K$7:$CP$7))&lt;=GZ$6)</f>
        <v>0</v>
      </c>
      <c r="HA9" s="214">
        <f t="shared" si="0"/>
        <v>0</v>
      </c>
      <c r="HC9" s="214" cm="1">
        <f t="array" ref="HC9">--AND(MIN(IF($K9:$CP9&lt;&gt;0,$K$7:$CP$7))&gt;=HC$5,MIN(IF($K9:$CP9&lt;&gt;0,$K$7:$CP$7))&lt;=HC$6)</f>
        <v>0</v>
      </c>
      <c r="HE9" s="147" t="str">
        <f t="shared" ref="HE9:HE72" si="19">IF($F9="New","Yes","No")</f>
        <v>No</v>
      </c>
      <c r="HF9" s="147" t="str">
        <f t="shared" ref="HF9:HF72" si="20">IF(G9="Overtime","Yes","No")</f>
        <v>No</v>
      </c>
      <c r="HG9" s="147">
        <f>IF($HF9="Yes",0,$H9*avg_hrs*12*'Key assumptions'!$D$87)</f>
        <v>565897.7280568576</v>
      </c>
      <c r="HH9" s="147">
        <f>IF(HE9="Yes",'Key assumptions'!$D$84*HG9,0)</f>
        <v>0</v>
      </c>
      <c r="HI9" s="144">
        <f>IFERROR(AVERAGEIFS($K9:$CP9,$K$7:$CP$7,"&gt;="&amp;'Key assumptions'!$D$24,$K$7:$CP$7,"&lt;="&amp;'Key assumptions'!$D$25),0)</f>
        <v>0.83732057416267935</v>
      </c>
      <c r="HJ9" s="148">
        <f t="shared" ref="HJ9:HJ39" si="21">HH9*HI9</f>
        <v>0</v>
      </c>
      <c r="HK9" s="148">
        <f t="shared" si="1"/>
        <v>0</v>
      </c>
      <c r="HL9" s="148">
        <f t="shared" si="2"/>
        <v>0</v>
      </c>
      <c r="HM9" s="148">
        <f t="shared" si="3"/>
        <v>0</v>
      </c>
      <c r="HN9" s="148">
        <f t="shared" si="4"/>
        <v>0</v>
      </c>
      <c r="HO9" s="148">
        <f t="shared" si="5"/>
        <v>0</v>
      </c>
      <c r="HP9" s="148">
        <f t="shared" si="6"/>
        <v>0</v>
      </c>
      <c r="HQ9" s="148">
        <f t="shared" si="7"/>
        <v>0</v>
      </c>
      <c r="HR9" s="147">
        <f t="shared" si="8"/>
        <v>0</v>
      </c>
      <c r="HS9" s="89"/>
      <c r="HU9" s="147">
        <f>$HJ9*HC9/(1+'Key assumptions'!G31)^0.75</f>
        <v>0</v>
      </c>
      <c r="HW9" s="216">
        <f t="shared" si="9"/>
        <v>0</v>
      </c>
      <c r="HX9" s="216">
        <f t="shared" si="10"/>
        <v>0</v>
      </c>
      <c r="HY9" s="216">
        <f t="shared" si="11"/>
        <v>0</v>
      </c>
      <c r="HZ9" s="216">
        <f t="shared" si="12"/>
        <v>0</v>
      </c>
      <c r="IA9" s="216">
        <f t="shared" si="13"/>
        <v>0</v>
      </c>
      <c r="IB9" s="216">
        <f t="shared" si="14"/>
        <v>0</v>
      </c>
      <c r="IC9" s="216">
        <f t="shared" si="15"/>
        <v>0</v>
      </c>
      <c r="ID9" s="216">
        <f t="shared" si="16"/>
        <v>0</v>
      </c>
      <c r="IF9" s="216">
        <f t="shared" si="17"/>
        <v>0</v>
      </c>
    </row>
    <row r="10" spans="1:241" x14ac:dyDescent="0.2">
      <c r="B10" s="141" t="str">
        <v>Project Delivery Management - Project Management</v>
      </c>
      <c r="C10" s="141" t="str">
        <v>Project Manager - Senior (Network Projects)</v>
      </c>
      <c r="D10" s="141" t="str">
        <v>Internal Labour</v>
      </c>
      <c r="E10" s="141" t="str">
        <v>$ Nominal</v>
      </c>
      <c r="F10" s="141" t="str">
        <v>Existing</v>
      </c>
      <c r="G10" s="141" t="str">
        <v>Normal time</v>
      </c>
      <c r="H10" s="142">
        <v>316.45</v>
      </c>
      <c r="I10" s="126">
        <v>1870656.84</v>
      </c>
      <c r="J10" s="143">
        <v>0</v>
      </c>
      <c r="K10" s="144">
        <v>0</v>
      </c>
      <c r="L10" s="144">
        <v>0</v>
      </c>
      <c r="M10" s="144">
        <v>0</v>
      </c>
      <c r="N10" s="144">
        <v>0</v>
      </c>
      <c r="O10" s="144">
        <v>0</v>
      </c>
      <c r="P10" s="144">
        <v>0.78289473684210531</v>
      </c>
      <c r="Q10" s="144">
        <v>1.2</v>
      </c>
      <c r="R10" s="144">
        <v>1</v>
      </c>
      <c r="S10" s="144">
        <v>0.9</v>
      </c>
      <c r="T10" s="144">
        <v>1.1499999999999999</v>
      </c>
      <c r="U10" s="144">
        <v>1</v>
      </c>
      <c r="V10" s="144">
        <v>1</v>
      </c>
      <c r="W10" s="144">
        <v>1.3333333333333333</v>
      </c>
      <c r="X10" s="144">
        <v>1</v>
      </c>
      <c r="Y10" s="144">
        <v>1</v>
      </c>
      <c r="Z10" s="144">
        <v>1</v>
      </c>
      <c r="AA10" s="144">
        <v>0.92105263157894735</v>
      </c>
      <c r="AB10" s="144">
        <v>0.92105263157894735</v>
      </c>
      <c r="AC10" s="144">
        <v>1</v>
      </c>
      <c r="AD10" s="144">
        <v>1</v>
      </c>
      <c r="AE10" s="144">
        <v>1</v>
      </c>
      <c r="AF10" s="144">
        <v>1</v>
      </c>
      <c r="AG10" s="144">
        <v>1</v>
      </c>
      <c r="AH10" s="144">
        <v>1</v>
      </c>
      <c r="AI10" s="144">
        <v>1</v>
      </c>
      <c r="AJ10" s="144">
        <v>1</v>
      </c>
      <c r="AK10" s="144">
        <v>1</v>
      </c>
      <c r="AL10" s="144">
        <v>1</v>
      </c>
      <c r="AM10" s="144">
        <v>1</v>
      </c>
      <c r="AN10" s="144">
        <v>1</v>
      </c>
      <c r="AO10" s="144">
        <v>1</v>
      </c>
      <c r="AP10" s="144">
        <v>1</v>
      </c>
      <c r="AQ10" s="144">
        <v>1</v>
      </c>
      <c r="AR10" s="144">
        <v>1</v>
      </c>
      <c r="AS10" s="144">
        <v>1</v>
      </c>
      <c r="AT10" s="144">
        <v>1</v>
      </c>
      <c r="AU10" s="144">
        <v>1</v>
      </c>
      <c r="AV10" s="144">
        <v>1</v>
      </c>
      <c r="AW10" s="144">
        <v>1</v>
      </c>
      <c r="AX10" s="144">
        <v>1</v>
      </c>
      <c r="AY10" s="144">
        <v>1</v>
      </c>
      <c r="AZ10" s="144">
        <v>1</v>
      </c>
      <c r="BA10" s="144">
        <v>1</v>
      </c>
      <c r="BB10" s="144">
        <v>1</v>
      </c>
      <c r="BC10" s="144">
        <v>1</v>
      </c>
      <c r="BD10" s="144">
        <v>1</v>
      </c>
      <c r="BE10" s="144">
        <v>1</v>
      </c>
      <c r="BF10" s="144">
        <v>1</v>
      </c>
      <c r="BG10" s="144">
        <v>1</v>
      </c>
      <c r="BH10" s="144">
        <v>1</v>
      </c>
      <c r="BI10" s="144">
        <v>0</v>
      </c>
      <c r="BJ10" s="144">
        <v>0</v>
      </c>
      <c r="BK10" s="144">
        <v>0</v>
      </c>
      <c r="BL10" s="144">
        <v>0</v>
      </c>
      <c r="BM10" s="144">
        <v>0</v>
      </c>
      <c r="BN10" s="144">
        <v>0</v>
      </c>
      <c r="BO10" s="144">
        <v>0</v>
      </c>
      <c r="BP10" s="144">
        <v>0</v>
      </c>
      <c r="BQ10" s="144">
        <v>0</v>
      </c>
      <c r="BR10" s="144">
        <v>0</v>
      </c>
      <c r="BS10" s="144">
        <v>0</v>
      </c>
      <c r="BT10" s="144">
        <v>0</v>
      </c>
      <c r="BU10" s="144">
        <v>0</v>
      </c>
      <c r="BV10" s="144">
        <v>0</v>
      </c>
      <c r="BW10" s="144">
        <v>0</v>
      </c>
      <c r="BX10" s="144">
        <v>0</v>
      </c>
      <c r="BY10" s="144">
        <v>0</v>
      </c>
      <c r="BZ10" s="144">
        <v>0</v>
      </c>
      <c r="CA10" s="144">
        <v>0</v>
      </c>
      <c r="CB10" s="144">
        <v>0</v>
      </c>
      <c r="CC10" s="144">
        <v>0</v>
      </c>
      <c r="CD10" s="144">
        <v>0</v>
      </c>
      <c r="CE10" s="144">
        <v>0</v>
      </c>
      <c r="CF10" s="144">
        <v>0</v>
      </c>
      <c r="CG10" s="144">
        <v>0</v>
      </c>
      <c r="CH10" s="144">
        <v>0</v>
      </c>
      <c r="CI10" s="144">
        <v>0</v>
      </c>
      <c r="CJ10" s="144">
        <v>0</v>
      </c>
      <c r="CK10" s="144">
        <v>0</v>
      </c>
      <c r="CL10" s="144">
        <v>0</v>
      </c>
      <c r="CM10" s="144">
        <v>0</v>
      </c>
      <c r="CN10" s="144">
        <v>0</v>
      </c>
      <c r="CO10" s="144">
        <v>0</v>
      </c>
      <c r="CP10" s="144">
        <v>0</v>
      </c>
      <c r="CQ10" s="143">
        <v>0</v>
      </c>
      <c r="CR10" s="145">
        <v>0</v>
      </c>
      <c r="CS10" s="145">
        <v>0</v>
      </c>
      <c r="CT10" s="145">
        <v>0</v>
      </c>
      <c r="CU10" s="145">
        <v>0</v>
      </c>
      <c r="CV10" s="145">
        <v>0</v>
      </c>
      <c r="CW10" s="145">
        <v>34810.22</v>
      </c>
      <c r="CX10" s="145">
        <v>51312.720000000045</v>
      </c>
      <c r="CY10" s="145">
        <v>41828.960000000043</v>
      </c>
      <c r="CZ10" s="145">
        <v>35836.839999999982</v>
      </c>
      <c r="DA10" s="145">
        <v>33870.260000000038</v>
      </c>
      <c r="DB10" s="145">
        <v>29452.400000000031</v>
      </c>
      <c r="DC10" s="145">
        <v>22089.300000000014</v>
      </c>
      <c r="DD10" s="145">
        <v>37592.239999999991</v>
      </c>
      <c r="DE10" s="145">
        <v>43019.199999999997</v>
      </c>
      <c r="DF10" s="145">
        <v>43019.199999999997</v>
      </c>
      <c r="DG10" s="145">
        <v>32264.399999999998</v>
      </c>
      <c r="DH10" s="145">
        <v>43019.199999999997</v>
      </c>
      <c r="DI10" s="145">
        <v>43019.199999999997</v>
      </c>
      <c r="DJ10" s="145">
        <v>44303</v>
      </c>
      <c r="DK10" s="145">
        <v>44303</v>
      </c>
      <c r="DL10" s="145">
        <v>44303</v>
      </c>
      <c r="DM10" s="145">
        <v>44303</v>
      </c>
      <c r="DN10" s="145">
        <v>44303</v>
      </c>
      <c r="DO10" s="145">
        <v>33227.25</v>
      </c>
      <c r="DP10" s="145">
        <v>33227.25</v>
      </c>
      <c r="DQ10" s="145">
        <v>44303</v>
      </c>
      <c r="DR10" s="145">
        <v>44303</v>
      </c>
      <c r="DS10" s="145">
        <v>33227.25</v>
      </c>
      <c r="DT10" s="145">
        <v>48100.4</v>
      </c>
      <c r="DU10" s="145">
        <v>48100.4</v>
      </c>
      <c r="DV10" s="145">
        <v>45619</v>
      </c>
      <c r="DW10" s="145">
        <v>45619</v>
      </c>
      <c r="DX10" s="145">
        <v>45619</v>
      </c>
      <c r="DY10" s="145">
        <v>45619</v>
      </c>
      <c r="DZ10" s="145">
        <v>45619</v>
      </c>
      <c r="EA10" s="145">
        <v>34214.25</v>
      </c>
      <c r="EB10" s="145">
        <v>34214.25</v>
      </c>
      <c r="EC10" s="145">
        <v>45619</v>
      </c>
      <c r="ED10" s="145">
        <v>45619</v>
      </c>
      <c r="EE10" s="145">
        <v>34214.25</v>
      </c>
      <c r="EF10" s="145">
        <v>49529.200000000004</v>
      </c>
      <c r="EG10" s="145">
        <v>49529.200000000004</v>
      </c>
      <c r="EH10" s="145">
        <v>46998</v>
      </c>
      <c r="EI10" s="145">
        <v>46998</v>
      </c>
      <c r="EJ10" s="145">
        <v>46998</v>
      </c>
      <c r="EK10" s="145">
        <v>46998</v>
      </c>
      <c r="EL10" s="145">
        <v>46998</v>
      </c>
      <c r="EM10" s="145">
        <v>35248.5</v>
      </c>
      <c r="EN10" s="145">
        <v>35248.5</v>
      </c>
      <c r="EO10" s="145">
        <v>46998</v>
      </c>
      <c r="EP10" s="145">
        <v>0</v>
      </c>
      <c r="EQ10" s="145">
        <v>0</v>
      </c>
      <c r="ER10" s="145">
        <v>0</v>
      </c>
      <c r="ES10" s="145">
        <v>0</v>
      </c>
      <c r="ET10" s="145">
        <v>0</v>
      </c>
      <c r="EU10" s="145">
        <v>0</v>
      </c>
      <c r="EV10" s="145">
        <v>0</v>
      </c>
      <c r="EW10" s="145">
        <v>0</v>
      </c>
      <c r="EX10" s="145">
        <v>0</v>
      </c>
      <c r="EY10" s="145">
        <v>0</v>
      </c>
      <c r="EZ10" s="145">
        <v>0</v>
      </c>
      <c r="FA10" s="145">
        <v>0</v>
      </c>
      <c r="FB10" s="145">
        <v>0</v>
      </c>
      <c r="FC10" s="145">
        <v>0</v>
      </c>
      <c r="FD10" s="145">
        <v>0</v>
      </c>
      <c r="FE10" s="145">
        <v>0</v>
      </c>
      <c r="FF10" s="145">
        <v>0</v>
      </c>
      <c r="FG10" s="145">
        <v>0</v>
      </c>
      <c r="FH10" s="145">
        <v>0</v>
      </c>
      <c r="FI10" s="145">
        <v>0</v>
      </c>
      <c r="FJ10" s="145">
        <v>0</v>
      </c>
      <c r="FK10" s="145">
        <v>0</v>
      </c>
      <c r="FL10" s="145">
        <v>0</v>
      </c>
      <c r="FM10" s="145">
        <v>0</v>
      </c>
      <c r="FN10" s="145">
        <v>0</v>
      </c>
      <c r="FO10" s="145">
        <v>0</v>
      </c>
      <c r="FP10" s="145">
        <v>0</v>
      </c>
      <c r="FQ10" s="145">
        <v>0</v>
      </c>
      <c r="FR10" s="145">
        <v>0</v>
      </c>
      <c r="FS10" s="145">
        <v>0</v>
      </c>
      <c r="FT10" s="145">
        <v>0</v>
      </c>
      <c r="FU10" s="145">
        <v>0</v>
      </c>
      <c r="FV10" s="145">
        <v>0</v>
      </c>
      <c r="FW10" s="145">
        <v>0</v>
      </c>
      <c r="FX10" s="143"/>
      <c r="FY10" s="146" t="str">
        <f>_xlfn.XLOOKUP($E10,'Key assumptions'!$B$112:$B$120,'Key assumptions'!$C$112:$C$120,0)</f>
        <v>Nominal</v>
      </c>
      <c r="FZ10" s="146" cm="1">
        <f t="array" ref="FZ10">IF($FY10=0,0,_xlfn.IFS($FY10='Key assumptions'!$C$120,_xlfn.XLOOKUP(LEFT(FZ$7,6),Inflation_Year,Inflation_NominaltoReal),TRUE,_xlfn.XLOOKUP($FY10,Inflation_Year,NominaltoReal)))</f>
        <v>1.0197075870962191</v>
      </c>
      <c r="GA10" s="146" cm="1">
        <f t="array" ref="GA10">IF($FY10=0,0,_xlfn.IFS($FY10='Key assumptions'!$C$120,_xlfn.XLOOKUP(LEFT(GA$7,6),Inflation_Year,Inflation_NominaltoReal),TRUE,_xlfn.XLOOKUP($FY10,Inflation_Year,NominaltoReal)))</f>
        <v>0.98700804022984445</v>
      </c>
      <c r="GB10" s="146" cm="1">
        <f t="array" ref="GB10">IF($FY10=0,0,_xlfn.IFS($FY10='Key assumptions'!$C$120,_xlfn.XLOOKUP(LEFT(GB$7,6),Inflation_Year,Inflation_NominaltoReal),TRUE,_xlfn.XLOOKUP($FY10,Inflation_Year,NominaltoReal)))</f>
        <v>0.96152830081941731</v>
      </c>
      <c r="GC10" s="146" cm="1">
        <f t="array" ref="GC10">IF($FY10=0,0,_xlfn.IFS($FY10='Key assumptions'!$C$120,_xlfn.XLOOKUP(LEFT(GC$7,6),Inflation_Year,Inflation_NominaltoReal),TRUE,_xlfn.XLOOKUP($FY10,Inflation_Year,NominaltoReal)))</f>
        <v>0.93670632415656829</v>
      </c>
      <c r="GD10" s="146" cm="1">
        <f t="array" ref="GD10">IF($FY10=0,0,_xlfn.IFS($FY10='Key assumptions'!$C$120,_xlfn.XLOOKUP(LEFT(GD$7,6),Inflation_Year,Inflation_NominaltoReal),TRUE,_xlfn.XLOOKUP($FY10,Inflation_Year,NominaltoReal)))</f>
        <v>0.91252513001143176</v>
      </c>
      <c r="GE10" s="146" cm="1">
        <f t="array" ref="GE10">IF($FY10=0,0,_xlfn.IFS($FY10='Key assumptions'!$C$120,_xlfn.XLOOKUP(LEFT(GE$7,6),Inflation_Year,Inflation_NominaltoReal),TRUE,_xlfn.XLOOKUP($FY10,Inflation_Year,NominaltoReal)))</f>
        <v>0.88896817650095872</v>
      </c>
      <c r="GF10" s="146" cm="1">
        <f t="array" ref="GF10">IF($FY10=0,0,_xlfn.IFS($FY10='Key assumptions'!$C$120,_xlfn.XLOOKUP(LEFT(GF$7,6),Inflation_Year,Inflation_NominaltoReal),TRUE,_xlfn.XLOOKUP($FY10,Inflation_Year,NominaltoReal)))</f>
        <v>0.86601934877293718</v>
      </c>
      <c r="GG10" s="143"/>
      <c r="GH10" s="145" cm="1">
        <f t="array" ref="GH10">SUMPRODUCT(--($CR$7:$FW$7&gt;=GH$5),--($CR$7:$FW$7&lt;=GH$6),$CR10:$FW10)*FZ10</f>
        <v>343896.5876897173</v>
      </c>
      <c r="GI10" s="145" cm="1">
        <f t="array" ref="GI10">SUMPRODUCT(--($CR$7:$FW$7&gt;=GI$5),--($CR$7:$FW$7&lt;=GI$6),$CR10:$FW10)*GA10</f>
        <v>503326.27997767157</v>
      </c>
      <c r="GJ10" s="145" cm="1">
        <f t="array" ref="GJ10">SUMPRODUCT(--($CR$7:$FW$7&gt;=GJ$5),--($CR$7:$FW$7&lt;=GJ$6),$CR10:$FW10)*GB10</f>
        <v>504966.92349887936</v>
      </c>
      <c r="GK10" s="145" cm="1">
        <f t="array" ref="GK10">SUMPRODUCT(--($CR$7:$FW$7&gt;=GK$5),--($CR$7:$FW$7&lt;=GK$6),$CR10:$FW10)*GC10</f>
        <v>198104.95720219679</v>
      </c>
      <c r="GL10" s="145" cm="1">
        <f t="array" ref="GL10">SUMPRODUCT(--($CR$7:$FW$7&gt;=GL$5),--($CR$7:$FW$7&lt;=GL$6),$CR10:$FW10)*GD10</f>
        <v>0</v>
      </c>
      <c r="GM10" s="145" cm="1">
        <f t="array" ref="GM10">SUMPRODUCT(--($CR$7:$FW$7&gt;=GM$5),--($CR$7:$FW$7&lt;=GM$6),$CR10:$FW10)*GE10</f>
        <v>0</v>
      </c>
      <c r="GN10" s="145" cm="1">
        <f t="array" ref="GN10">SUMPRODUCT(--($CR$7:$FW$7&gt;=GN$5),--($CR$7:$FW$7&lt;=GN$6),$CR10:$FW10)*GF10</f>
        <v>0</v>
      </c>
      <c r="GO10" s="145">
        <f t="shared" si="18"/>
        <v>1550294.7483684651</v>
      </c>
      <c r="GP10" s="87"/>
      <c r="GQ10" s="89"/>
      <c r="GR10" s="145" cm="1">
        <f t="array" ref="GR10">SUMPRODUCT(--($CR$7:$FW$7&gt;=GR$5),--($CR$7:$FW$7&lt;=GR$6),$CR10:$FW10)</f>
        <v>204341.2</v>
      </c>
      <c r="GS10" s="89"/>
      <c r="GT10" s="214" cm="1">
        <f t="array" ref="GT10">--AND(MIN(IF($K10:$CP10&lt;&gt;0,$K$7:$CP$7))&gt;=GT$5,MIN(IF($K10:$CP10&lt;&gt;0,$K$7:$CP$7))&lt;=GT$6)</f>
        <v>0</v>
      </c>
      <c r="GU10" s="214" cm="1">
        <f t="array" ref="GU10">--AND(MIN(IF($K10:$CP10&lt;&gt;0,$K$7:$CP$7))&gt;=GU$5,MIN(IF($K10:$CP10&lt;&gt;0,$K$7:$CP$7))&lt;=GU$6)</f>
        <v>0</v>
      </c>
      <c r="GV10" s="214" cm="1">
        <f t="array" ref="GV10">--AND(MIN(IF($K10:$CP10&lt;&gt;0,$K$7:$CP$7))&gt;=GV$5,MIN(IF($K10:$CP10&lt;&gt;0,$K$7:$CP$7))&lt;=GV$6)</f>
        <v>0</v>
      </c>
      <c r="GW10" s="214" cm="1">
        <f t="array" ref="GW10">--AND(MIN(IF($K10:$CP10&lt;&gt;0,$K$7:$CP$7))&gt;=GW$5,MIN(IF($K10:$CP10&lt;&gt;0,$K$7:$CP$7))&lt;=GW$6)</f>
        <v>0</v>
      </c>
      <c r="GX10" s="214" cm="1">
        <f t="array" ref="GX10">--AND(MIN(IF($K10:$CP10&lt;&gt;0,$K$7:$CP$7))&gt;=GX$5,MIN(IF($K10:$CP10&lt;&gt;0,$K$7:$CP$7))&lt;=GX$6)</f>
        <v>0</v>
      </c>
      <c r="GY10" s="214" cm="1">
        <f t="array" ref="GY10">--AND(MIN(IF($K10:$CP10&lt;&gt;0,$K$7:$CP$7))&gt;=GY$5,MIN(IF($K10:$CP10&lt;&gt;0,$K$7:$CP$7))&lt;=GY$6)</f>
        <v>0</v>
      </c>
      <c r="GZ10" s="214" cm="1">
        <f t="array" ref="GZ10">--AND(MIN(IF($K10:$CP10&lt;&gt;0,$K$7:$CP$7))&gt;=GZ$5,MIN(IF($K10:$CP10&lt;&gt;0,$K$7:$CP$7))&lt;=GZ$6)</f>
        <v>0</v>
      </c>
      <c r="HA10" s="214">
        <f t="shared" si="0"/>
        <v>0</v>
      </c>
      <c r="HC10" s="214" cm="1">
        <f t="array" ref="HC10">--AND(MIN(IF($K10:$CP10&lt;&gt;0,$K$7:$CP$7))&gt;=HC$5,MIN(IF($K10:$CP10&lt;&gt;0,$K$7:$CP$7))&lt;=HC$6)</f>
        <v>0</v>
      </c>
      <c r="HE10" s="147" t="str">
        <f t="shared" si="19"/>
        <v>No</v>
      </c>
      <c r="HF10" s="147" t="str">
        <f t="shared" si="20"/>
        <v>No</v>
      </c>
      <c r="HG10" s="147">
        <f>IF($HF10="Yes",0,$H10*avg_hrs*12*'Key assumptions'!$D$87)</f>
        <v>565897.7280568576</v>
      </c>
      <c r="HH10" s="147">
        <f>IF(HE10="Yes",'Key assumptions'!$D$84*HG10,0)</f>
        <v>0</v>
      </c>
      <c r="HI10" s="144">
        <f>IFERROR(AVERAGEIFS($K10:$CP10,$K$7:$CP$7,"&gt;="&amp;'Key assumptions'!$D$24,$K$7:$CP$7,"&lt;="&amp;'Key assumptions'!$D$25),0)</f>
        <v>0.83732057416267935</v>
      </c>
      <c r="HJ10" s="148">
        <f t="shared" si="21"/>
        <v>0</v>
      </c>
      <c r="HK10" s="148">
        <f t="shared" si="1"/>
        <v>0</v>
      </c>
      <c r="HL10" s="148">
        <f t="shared" si="2"/>
        <v>0</v>
      </c>
      <c r="HM10" s="148">
        <f t="shared" si="3"/>
        <v>0</v>
      </c>
      <c r="HN10" s="148">
        <f t="shared" si="4"/>
        <v>0</v>
      </c>
      <c r="HO10" s="148">
        <f t="shared" si="5"/>
        <v>0</v>
      </c>
      <c r="HP10" s="148">
        <f t="shared" si="6"/>
        <v>0</v>
      </c>
      <c r="HQ10" s="148">
        <f t="shared" si="7"/>
        <v>0</v>
      </c>
      <c r="HR10" s="147">
        <f t="shared" si="8"/>
        <v>0</v>
      </c>
      <c r="HS10" s="90"/>
      <c r="HU10" s="147">
        <f>$HJ10*HC10/(1+'Key assumptions'!G32)^0.75</f>
        <v>0</v>
      </c>
      <c r="HW10" s="216">
        <f t="shared" si="9"/>
        <v>0</v>
      </c>
      <c r="HX10" s="216">
        <f t="shared" si="10"/>
        <v>0</v>
      </c>
      <c r="HY10" s="216">
        <f t="shared" si="11"/>
        <v>0</v>
      </c>
      <c r="HZ10" s="216">
        <f t="shared" si="12"/>
        <v>0</v>
      </c>
      <c r="IA10" s="216">
        <f t="shared" si="13"/>
        <v>0</v>
      </c>
      <c r="IB10" s="216">
        <f t="shared" si="14"/>
        <v>0</v>
      </c>
      <c r="IC10" s="216">
        <f t="shared" si="15"/>
        <v>0</v>
      </c>
      <c r="ID10" s="216">
        <f t="shared" si="16"/>
        <v>0</v>
      </c>
      <c r="IF10" s="216">
        <f t="shared" si="17"/>
        <v>0</v>
      </c>
    </row>
    <row r="11" spans="1:241" x14ac:dyDescent="0.2">
      <c r="B11" s="141" t="str">
        <v>Project Delivery Management - Project Management</v>
      </c>
      <c r="C11" s="141" t="str">
        <v>Project Manager - Senior (Network Projects)</v>
      </c>
      <c r="D11" s="141" t="str">
        <v>Internal Labour</v>
      </c>
      <c r="E11" s="141" t="str">
        <v>$ Nominal</v>
      </c>
      <c r="F11" s="141" t="str">
        <v>Existing</v>
      </c>
      <c r="G11" s="141" t="str">
        <v>Normal time</v>
      </c>
      <c r="H11" s="142">
        <v>316.45</v>
      </c>
      <c r="I11" s="126">
        <v>1616128</v>
      </c>
      <c r="J11" s="143">
        <v>0</v>
      </c>
      <c r="K11" s="144">
        <v>0</v>
      </c>
      <c r="L11" s="144">
        <v>0</v>
      </c>
      <c r="M11" s="144">
        <v>0</v>
      </c>
      <c r="N11" s="144">
        <v>0</v>
      </c>
      <c r="O11" s="144">
        <v>0</v>
      </c>
      <c r="P11" s="144">
        <v>0</v>
      </c>
      <c r="Q11" s="144">
        <v>0</v>
      </c>
      <c r="R11" s="144">
        <v>0</v>
      </c>
      <c r="S11" s="144">
        <v>0</v>
      </c>
      <c r="T11" s="144">
        <v>0</v>
      </c>
      <c r="U11" s="144">
        <v>0</v>
      </c>
      <c r="V11" s="144">
        <v>0</v>
      </c>
      <c r="W11" s="144">
        <v>1</v>
      </c>
      <c r="X11" s="144">
        <v>1</v>
      </c>
      <c r="Y11" s="144">
        <v>1</v>
      </c>
      <c r="Z11" s="144">
        <v>1</v>
      </c>
      <c r="AA11" s="144">
        <v>0.92105263157894735</v>
      </c>
      <c r="AB11" s="144">
        <v>0.92105263157894735</v>
      </c>
      <c r="AC11" s="144">
        <v>1</v>
      </c>
      <c r="AD11" s="144">
        <v>1</v>
      </c>
      <c r="AE11" s="144">
        <v>1</v>
      </c>
      <c r="AF11" s="144">
        <v>1</v>
      </c>
      <c r="AG11" s="144">
        <v>1</v>
      </c>
      <c r="AH11" s="144">
        <v>1</v>
      </c>
      <c r="AI11" s="144">
        <v>1</v>
      </c>
      <c r="AJ11" s="144">
        <v>1</v>
      </c>
      <c r="AK11" s="144">
        <v>1</v>
      </c>
      <c r="AL11" s="144">
        <v>1</v>
      </c>
      <c r="AM11" s="144">
        <v>1</v>
      </c>
      <c r="AN11" s="144">
        <v>1</v>
      </c>
      <c r="AO11" s="144">
        <v>1</v>
      </c>
      <c r="AP11" s="144">
        <v>1</v>
      </c>
      <c r="AQ11" s="144">
        <v>1</v>
      </c>
      <c r="AR11" s="144">
        <v>1</v>
      </c>
      <c r="AS11" s="144">
        <v>1</v>
      </c>
      <c r="AT11" s="144">
        <v>1</v>
      </c>
      <c r="AU11" s="144">
        <v>1</v>
      </c>
      <c r="AV11" s="144">
        <v>1</v>
      </c>
      <c r="AW11" s="144">
        <v>1</v>
      </c>
      <c r="AX11" s="144">
        <v>1</v>
      </c>
      <c r="AY11" s="144">
        <v>1</v>
      </c>
      <c r="AZ11" s="144">
        <v>1</v>
      </c>
      <c r="BA11" s="144">
        <v>1</v>
      </c>
      <c r="BB11" s="144">
        <v>1</v>
      </c>
      <c r="BC11" s="144">
        <v>1</v>
      </c>
      <c r="BD11" s="144">
        <v>1</v>
      </c>
      <c r="BE11" s="144">
        <v>1</v>
      </c>
      <c r="BF11" s="144">
        <v>1</v>
      </c>
      <c r="BG11" s="144">
        <v>1</v>
      </c>
      <c r="BH11" s="144">
        <v>1</v>
      </c>
      <c r="BI11" s="144">
        <v>0</v>
      </c>
      <c r="BJ11" s="144">
        <v>0</v>
      </c>
      <c r="BK11" s="144">
        <v>0</v>
      </c>
      <c r="BL11" s="144">
        <v>0</v>
      </c>
      <c r="BM11" s="144">
        <v>0</v>
      </c>
      <c r="BN11" s="144">
        <v>0</v>
      </c>
      <c r="BO11" s="144">
        <v>0</v>
      </c>
      <c r="BP11" s="144">
        <v>0</v>
      </c>
      <c r="BQ11" s="144">
        <v>0</v>
      </c>
      <c r="BR11" s="144">
        <v>0</v>
      </c>
      <c r="BS11" s="144">
        <v>0</v>
      </c>
      <c r="BT11" s="144">
        <v>0</v>
      </c>
      <c r="BU11" s="144">
        <v>0</v>
      </c>
      <c r="BV11" s="144">
        <v>0</v>
      </c>
      <c r="BW11" s="144">
        <v>0</v>
      </c>
      <c r="BX11" s="144">
        <v>0</v>
      </c>
      <c r="BY11" s="144">
        <v>0</v>
      </c>
      <c r="BZ11" s="144">
        <v>0</v>
      </c>
      <c r="CA11" s="144">
        <v>0</v>
      </c>
      <c r="CB11" s="144">
        <v>0</v>
      </c>
      <c r="CC11" s="144">
        <v>0</v>
      </c>
      <c r="CD11" s="144">
        <v>0</v>
      </c>
      <c r="CE11" s="144">
        <v>0</v>
      </c>
      <c r="CF11" s="144">
        <v>0</v>
      </c>
      <c r="CG11" s="144">
        <v>0</v>
      </c>
      <c r="CH11" s="144">
        <v>0</v>
      </c>
      <c r="CI11" s="144">
        <v>0</v>
      </c>
      <c r="CJ11" s="144">
        <v>0</v>
      </c>
      <c r="CK11" s="144">
        <v>0</v>
      </c>
      <c r="CL11" s="144">
        <v>0</v>
      </c>
      <c r="CM11" s="144">
        <v>0</v>
      </c>
      <c r="CN11" s="144">
        <v>0</v>
      </c>
      <c r="CO11" s="144">
        <v>0</v>
      </c>
      <c r="CP11" s="144">
        <v>0</v>
      </c>
      <c r="CQ11" s="143">
        <v>0</v>
      </c>
      <c r="CR11" s="145">
        <v>0</v>
      </c>
      <c r="CS11" s="145">
        <v>0</v>
      </c>
      <c r="CT11" s="145">
        <v>0</v>
      </c>
      <c r="CU11" s="145">
        <v>0</v>
      </c>
      <c r="CV11" s="145">
        <v>0</v>
      </c>
      <c r="CW11" s="145">
        <v>0</v>
      </c>
      <c r="CX11" s="145">
        <v>0</v>
      </c>
      <c r="CY11" s="145">
        <v>0</v>
      </c>
      <c r="CZ11" s="145">
        <v>0</v>
      </c>
      <c r="DA11" s="145">
        <v>0</v>
      </c>
      <c r="DB11" s="145">
        <v>0</v>
      </c>
      <c r="DC11" s="145">
        <v>0</v>
      </c>
      <c r="DD11" s="145">
        <v>32264.100000000013</v>
      </c>
      <c r="DE11" s="145">
        <v>43019.199999999997</v>
      </c>
      <c r="DF11" s="145">
        <v>43019.199999999997</v>
      </c>
      <c r="DG11" s="145">
        <v>32264.399999999998</v>
      </c>
      <c r="DH11" s="145">
        <v>43019.199999999997</v>
      </c>
      <c r="DI11" s="145">
        <v>43019.199999999997</v>
      </c>
      <c r="DJ11" s="145">
        <v>44303</v>
      </c>
      <c r="DK11" s="145">
        <v>44303</v>
      </c>
      <c r="DL11" s="145">
        <v>44303</v>
      </c>
      <c r="DM11" s="145">
        <v>44303</v>
      </c>
      <c r="DN11" s="145">
        <v>44303</v>
      </c>
      <c r="DO11" s="145">
        <v>33227.25</v>
      </c>
      <c r="DP11" s="145">
        <v>33227.25</v>
      </c>
      <c r="DQ11" s="145">
        <v>44303</v>
      </c>
      <c r="DR11" s="145">
        <v>44303</v>
      </c>
      <c r="DS11" s="145">
        <v>33227.25</v>
      </c>
      <c r="DT11" s="145">
        <v>48100.4</v>
      </c>
      <c r="DU11" s="145">
        <v>48100.4</v>
      </c>
      <c r="DV11" s="145">
        <v>45619</v>
      </c>
      <c r="DW11" s="145">
        <v>45619</v>
      </c>
      <c r="DX11" s="145">
        <v>45619</v>
      </c>
      <c r="DY11" s="145">
        <v>45619</v>
      </c>
      <c r="DZ11" s="145">
        <v>45619</v>
      </c>
      <c r="EA11" s="145">
        <v>34214.25</v>
      </c>
      <c r="EB11" s="145">
        <v>34214.25</v>
      </c>
      <c r="EC11" s="145">
        <v>45619</v>
      </c>
      <c r="ED11" s="145">
        <v>45619</v>
      </c>
      <c r="EE11" s="145">
        <v>34214.25</v>
      </c>
      <c r="EF11" s="145">
        <v>49529.200000000004</v>
      </c>
      <c r="EG11" s="145">
        <v>49529.200000000004</v>
      </c>
      <c r="EH11" s="145">
        <v>46998</v>
      </c>
      <c r="EI11" s="145">
        <v>46998</v>
      </c>
      <c r="EJ11" s="145">
        <v>46998</v>
      </c>
      <c r="EK11" s="145">
        <v>46998</v>
      </c>
      <c r="EL11" s="145">
        <v>46998</v>
      </c>
      <c r="EM11" s="145">
        <v>35248.5</v>
      </c>
      <c r="EN11" s="145">
        <v>35248.5</v>
      </c>
      <c r="EO11" s="145">
        <v>46998</v>
      </c>
      <c r="EP11" s="145">
        <v>0</v>
      </c>
      <c r="EQ11" s="145">
        <v>0</v>
      </c>
      <c r="ER11" s="145">
        <v>0</v>
      </c>
      <c r="ES11" s="145">
        <v>0</v>
      </c>
      <c r="ET11" s="145">
        <v>0</v>
      </c>
      <c r="EU11" s="145">
        <v>0</v>
      </c>
      <c r="EV11" s="145">
        <v>0</v>
      </c>
      <c r="EW11" s="145">
        <v>0</v>
      </c>
      <c r="EX11" s="145">
        <v>0</v>
      </c>
      <c r="EY11" s="145">
        <v>0</v>
      </c>
      <c r="EZ11" s="145">
        <v>0</v>
      </c>
      <c r="FA11" s="145">
        <v>0</v>
      </c>
      <c r="FB11" s="145">
        <v>0</v>
      </c>
      <c r="FC11" s="145">
        <v>0</v>
      </c>
      <c r="FD11" s="145">
        <v>0</v>
      </c>
      <c r="FE11" s="145">
        <v>0</v>
      </c>
      <c r="FF11" s="145">
        <v>0</v>
      </c>
      <c r="FG11" s="145">
        <v>0</v>
      </c>
      <c r="FH11" s="145">
        <v>0</v>
      </c>
      <c r="FI11" s="145">
        <v>0</v>
      </c>
      <c r="FJ11" s="145">
        <v>0</v>
      </c>
      <c r="FK11" s="145">
        <v>0</v>
      </c>
      <c r="FL11" s="145">
        <v>0</v>
      </c>
      <c r="FM11" s="145">
        <v>0</v>
      </c>
      <c r="FN11" s="145">
        <v>0</v>
      </c>
      <c r="FO11" s="145">
        <v>0</v>
      </c>
      <c r="FP11" s="145">
        <v>0</v>
      </c>
      <c r="FQ11" s="145">
        <v>0</v>
      </c>
      <c r="FR11" s="145">
        <v>0</v>
      </c>
      <c r="FS11" s="145">
        <v>0</v>
      </c>
      <c r="FT11" s="145">
        <v>0</v>
      </c>
      <c r="FU11" s="145">
        <v>0</v>
      </c>
      <c r="FV11" s="145">
        <v>0</v>
      </c>
      <c r="FW11" s="145">
        <v>0</v>
      </c>
      <c r="FX11" s="143"/>
      <c r="FY11" s="146" t="str">
        <f>_xlfn.XLOOKUP($E11,'Key assumptions'!$B$112:$B$120,'Key assumptions'!$C$112:$C$120,0)</f>
        <v>Nominal</v>
      </c>
      <c r="FZ11" s="146" cm="1">
        <f t="array" ref="FZ11">IF($FY11=0,0,_xlfn.IFS($FY11='Key assumptions'!$C$120,_xlfn.XLOOKUP(LEFT(FZ$7,6),Inflation_Year,Inflation_NominaltoReal),TRUE,_xlfn.XLOOKUP($FY11,Inflation_Year,NominaltoReal)))</f>
        <v>1.0197075870962191</v>
      </c>
      <c r="GA11" s="146" cm="1">
        <f t="array" ref="GA11">IF($FY11=0,0,_xlfn.IFS($FY11='Key assumptions'!$C$120,_xlfn.XLOOKUP(LEFT(GA$7,6),Inflation_Year,Inflation_NominaltoReal),TRUE,_xlfn.XLOOKUP($FY11,Inflation_Year,NominaltoReal)))</f>
        <v>0.98700804022984445</v>
      </c>
      <c r="GB11" s="146" cm="1">
        <f t="array" ref="GB11">IF($FY11=0,0,_xlfn.IFS($FY11='Key assumptions'!$C$120,_xlfn.XLOOKUP(LEFT(GB$7,6),Inflation_Year,Inflation_NominaltoReal),TRUE,_xlfn.XLOOKUP($FY11,Inflation_Year,NominaltoReal)))</f>
        <v>0.96152830081941731</v>
      </c>
      <c r="GC11" s="146" cm="1">
        <f t="array" ref="GC11">IF($FY11=0,0,_xlfn.IFS($FY11='Key assumptions'!$C$120,_xlfn.XLOOKUP(LEFT(GC$7,6),Inflation_Year,Inflation_NominaltoReal),TRUE,_xlfn.XLOOKUP($FY11,Inflation_Year,NominaltoReal)))</f>
        <v>0.93670632415656829</v>
      </c>
      <c r="GD11" s="146" cm="1">
        <f t="array" ref="GD11">IF($FY11=0,0,_xlfn.IFS($FY11='Key assumptions'!$C$120,_xlfn.XLOOKUP(LEFT(GD$7,6),Inflation_Year,Inflation_NominaltoReal),TRUE,_xlfn.XLOOKUP($FY11,Inflation_Year,NominaltoReal)))</f>
        <v>0.91252513001143176</v>
      </c>
      <c r="GE11" s="146" cm="1">
        <f t="array" ref="GE11">IF($FY11=0,0,_xlfn.IFS($FY11='Key assumptions'!$C$120,_xlfn.XLOOKUP(LEFT(GE$7,6),Inflation_Year,Inflation_NominaltoReal),TRUE,_xlfn.XLOOKUP($FY11,Inflation_Year,NominaltoReal)))</f>
        <v>0.88896817650095872</v>
      </c>
      <c r="GF11" s="146" cm="1">
        <f t="array" ref="GF11">IF($FY11=0,0,_xlfn.IFS($FY11='Key assumptions'!$C$120,_xlfn.XLOOKUP(LEFT(GF$7,6),Inflation_Year,Inflation_NominaltoReal),TRUE,_xlfn.XLOOKUP($FY11,Inflation_Year,NominaltoReal)))</f>
        <v>0.86601934877293718</v>
      </c>
      <c r="GG11" s="143"/>
      <c r="GH11" s="145" cm="1">
        <f t="array" ref="GH11">SUMPRODUCT(--($CR$7:$FW$7&gt;=GH$5),--($CR$7:$FW$7&lt;=GH$6),$CR11:$FW11)*FZ11</f>
        <v>343896.5876897173</v>
      </c>
      <c r="GI11" s="145" cm="1">
        <f t="array" ref="GI11">SUMPRODUCT(--($CR$7:$FW$7&gt;=GI$5),--($CR$7:$FW$7&lt;=GI$6),$CR11:$FW11)*GA11</f>
        <v>503326.27997767157</v>
      </c>
      <c r="GJ11" s="145" cm="1">
        <f t="array" ref="GJ11">SUMPRODUCT(--($CR$7:$FW$7&gt;=GJ$5),--($CR$7:$FW$7&lt;=GJ$6),$CR11:$FW11)*GB11</f>
        <v>504966.92349887936</v>
      </c>
      <c r="GK11" s="145" cm="1">
        <f t="array" ref="GK11">SUMPRODUCT(--($CR$7:$FW$7&gt;=GK$5),--($CR$7:$FW$7&lt;=GK$6),$CR11:$FW11)*GC11</f>
        <v>198104.95720219679</v>
      </c>
      <c r="GL11" s="145" cm="1">
        <f t="array" ref="GL11">SUMPRODUCT(--($CR$7:$FW$7&gt;=GL$5),--($CR$7:$FW$7&lt;=GL$6),$CR11:$FW11)*GD11</f>
        <v>0</v>
      </c>
      <c r="GM11" s="145" cm="1">
        <f t="array" ref="GM11">SUMPRODUCT(--($CR$7:$FW$7&gt;=GM$5),--($CR$7:$FW$7&lt;=GM$6),$CR11:$FW11)*GE11</f>
        <v>0</v>
      </c>
      <c r="GN11" s="145" cm="1">
        <f t="array" ref="GN11">SUMPRODUCT(--($CR$7:$FW$7&gt;=GN$5),--($CR$7:$FW$7&lt;=GN$6),$CR11:$FW11)*GF11</f>
        <v>0</v>
      </c>
      <c r="GO11" s="145">
        <f t="shared" si="18"/>
        <v>1550294.7483684651</v>
      </c>
      <c r="GP11" s="87"/>
      <c r="GQ11" s="89"/>
      <c r="GR11" s="145" cm="1">
        <f t="array" ref="GR11">SUMPRODUCT(--($CR$7:$FW$7&gt;=GR$5),--($CR$7:$FW$7&lt;=GR$6),$CR11:$FW11)</f>
        <v>204341.2</v>
      </c>
      <c r="GS11" s="89"/>
      <c r="GT11" s="214" cm="1">
        <f t="array" ref="GT11">--AND(MIN(IF($K11:$CP11&lt;&gt;0,$K$7:$CP$7))&gt;=GT$5,MIN(IF($K11:$CP11&lt;&gt;0,$K$7:$CP$7))&lt;=GT$6)</f>
        <v>0</v>
      </c>
      <c r="GU11" s="214" cm="1">
        <f t="array" ref="GU11">--AND(MIN(IF($K11:$CP11&lt;&gt;0,$K$7:$CP$7))&gt;=GU$5,MIN(IF($K11:$CP11&lt;&gt;0,$K$7:$CP$7))&lt;=GU$6)</f>
        <v>0</v>
      </c>
      <c r="GV11" s="214" cm="1">
        <f t="array" ref="GV11">--AND(MIN(IF($K11:$CP11&lt;&gt;0,$K$7:$CP$7))&gt;=GV$5,MIN(IF($K11:$CP11&lt;&gt;0,$K$7:$CP$7))&lt;=GV$6)</f>
        <v>0</v>
      </c>
      <c r="GW11" s="214" cm="1">
        <f t="array" ref="GW11">--AND(MIN(IF($K11:$CP11&lt;&gt;0,$K$7:$CP$7))&gt;=GW$5,MIN(IF($K11:$CP11&lt;&gt;0,$K$7:$CP$7))&lt;=GW$6)</f>
        <v>0</v>
      </c>
      <c r="GX11" s="214" cm="1">
        <f t="array" ref="GX11">--AND(MIN(IF($K11:$CP11&lt;&gt;0,$K$7:$CP$7))&gt;=GX$5,MIN(IF($K11:$CP11&lt;&gt;0,$K$7:$CP$7))&lt;=GX$6)</f>
        <v>0</v>
      </c>
      <c r="GY11" s="214" cm="1">
        <f t="array" ref="GY11">--AND(MIN(IF($K11:$CP11&lt;&gt;0,$K$7:$CP$7))&gt;=GY$5,MIN(IF($K11:$CP11&lt;&gt;0,$K$7:$CP$7))&lt;=GY$6)</f>
        <v>0</v>
      </c>
      <c r="GZ11" s="214" cm="1">
        <f t="array" ref="GZ11">--AND(MIN(IF($K11:$CP11&lt;&gt;0,$K$7:$CP$7))&gt;=GZ$5,MIN(IF($K11:$CP11&lt;&gt;0,$K$7:$CP$7))&lt;=GZ$6)</f>
        <v>0</v>
      </c>
      <c r="HA11" s="214">
        <f t="shared" si="0"/>
        <v>0</v>
      </c>
      <c r="HC11" s="214" cm="1">
        <f t="array" ref="HC11">--AND(MIN(IF($K11:$CP11&lt;&gt;0,$K$7:$CP$7))&gt;=HC$5,MIN(IF($K11:$CP11&lt;&gt;0,$K$7:$CP$7))&lt;=HC$6)</f>
        <v>0</v>
      </c>
      <c r="HE11" s="147" t="str">
        <f t="shared" si="19"/>
        <v>No</v>
      </c>
      <c r="HF11" s="147" t="str">
        <f t="shared" si="20"/>
        <v>No</v>
      </c>
      <c r="HG11" s="147">
        <f>IF($HF11="Yes",0,$H11*avg_hrs*12*'Key assumptions'!$D$87)</f>
        <v>565897.7280568576</v>
      </c>
      <c r="HH11" s="147">
        <f>IF(HE11="Yes",'Key assumptions'!$D$84*HG11,0)</f>
        <v>0</v>
      </c>
      <c r="HI11" s="144">
        <f>IFERROR(AVERAGEIFS($K11:$CP11,$K$7:$CP$7,"&gt;="&amp;'Key assumptions'!$D$24,$K$7:$CP$7,"&lt;="&amp;'Key assumptions'!$D$25),0)</f>
        <v>0.83732057416267935</v>
      </c>
      <c r="HJ11" s="148">
        <f t="shared" si="21"/>
        <v>0</v>
      </c>
      <c r="HK11" s="148">
        <f t="shared" si="1"/>
        <v>0</v>
      </c>
      <c r="HL11" s="148">
        <f t="shared" si="2"/>
        <v>0</v>
      </c>
      <c r="HM11" s="148">
        <f t="shared" si="3"/>
        <v>0</v>
      </c>
      <c r="HN11" s="148">
        <f t="shared" si="4"/>
        <v>0</v>
      </c>
      <c r="HO11" s="148">
        <f t="shared" si="5"/>
        <v>0</v>
      </c>
      <c r="HP11" s="148">
        <f t="shared" si="6"/>
        <v>0</v>
      </c>
      <c r="HQ11" s="148">
        <f t="shared" si="7"/>
        <v>0</v>
      </c>
      <c r="HR11" s="147">
        <f t="shared" si="8"/>
        <v>0</v>
      </c>
      <c r="HS11" s="89"/>
      <c r="HU11" s="147">
        <f>$HJ11*HC11/(1+'Key assumptions'!G33)^0.75</f>
        <v>0</v>
      </c>
      <c r="HW11" s="216">
        <f t="shared" si="9"/>
        <v>0</v>
      </c>
      <c r="HX11" s="216">
        <f t="shared" si="10"/>
        <v>0</v>
      </c>
      <c r="HY11" s="216">
        <f t="shared" si="11"/>
        <v>0</v>
      </c>
      <c r="HZ11" s="216">
        <f t="shared" si="12"/>
        <v>0</v>
      </c>
      <c r="IA11" s="216">
        <f t="shared" si="13"/>
        <v>0</v>
      </c>
      <c r="IB11" s="216">
        <f t="shared" si="14"/>
        <v>0</v>
      </c>
      <c r="IC11" s="216">
        <f t="shared" si="15"/>
        <v>0</v>
      </c>
      <c r="ID11" s="216">
        <f t="shared" si="16"/>
        <v>0</v>
      </c>
      <c r="IF11" s="216">
        <f t="shared" si="17"/>
        <v>0</v>
      </c>
    </row>
    <row r="12" spans="1:241" x14ac:dyDescent="0.2">
      <c r="B12" s="141" t="str">
        <v>Project Delivery Management - Project Management</v>
      </c>
      <c r="C12" s="141" t="str">
        <v>Admin Support Officer (Network Projects)</v>
      </c>
      <c r="D12" s="141" t="str">
        <v>Internal Labour</v>
      </c>
      <c r="E12" s="141" t="str">
        <v>$ Nominal</v>
      </c>
      <c r="F12" s="141" t="str">
        <v>Existing</v>
      </c>
      <c r="G12" s="141" t="str">
        <v>Normal time</v>
      </c>
      <c r="H12" s="142">
        <v>171.68</v>
      </c>
      <c r="I12" s="126">
        <v>910713.18999999983</v>
      </c>
      <c r="J12" s="143">
        <v>0</v>
      </c>
      <c r="K12" s="144">
        <v>0</v>
      </c>
      <c r="L12" s="144">
        <v>0</v>
      </c>
      <c r="M12" s="144">
        <v>0</v>
      </c>
      <c r="N12" s="144">
        <v>0</v>
      </c>
      <c r="O12" s="144">
        <v>0</v>
      </c>
      <c r="P12" s="144">
        <v>0</v>
      </c>
      <c r="Q12" s="144">
        <v>0</v>
      </c>
      <c r="R12" s="144">
        <v>0</v>
      </c>
      <c r="S12" s="144">
        <v>0</v>
      </c>
      <c r="T12" s="144">
        <v>0</v>
      </c>
      <c r="U12" s="144">
        <v>0.50014285714285744</v>
      </c>
      <c r="V12" s="144">
        <v>1.5560000000000005</v>
      </c>
      <c r="W12" s="144">
        <v>0.14819047619047612</v>
      </c>
      <c r="X12" s="144">
        <v>1</v>
      </c>
      <c r="Y12" s="144">
        <v>1</v>
      </c>
      <c r="Z12" s="144">
        <v>1</v>
      </c>
      <c r="AA12" s="144">
        <v>0.92105263157894735</v>
      </c>
      <c r="AB12" s="144">
        <v>0.92105263157894735</v>
      </c>
      <c r="AC12" s="144">
        <v>1</v>
      </c>
      <c r="AD12" s="144">
        <v>1</v>
      </c>
      <c r="AE12" s="144">
        <v>1</v>
      </c>
      <c r="AF12" s="144">
        <v>1</v>
      </c>
      <c r="AG12" s="144">
        <v>1</v>
      </c>
      <c r="AH12" s="144">
        <v>1</v>
      </c>
      <c r="AI12" s="144">
        <v>1</v>
      </c>
      <c r="AJ12" s="144">
        <v>1</v>
      </c>
      <c r="AK12" s="144">
        <v>1</v>
      </c>
      <c r="AL12" s="144">
        <v>1</v>
      </c>
      <c r="AM12" s="144">
        <v>1</v>
      </c>
      <c r="AN12" s="144">
        <v>1</v>
      </c>
      <c r="AO12" s="144">
        <v>1</v>
      </c>
      <c r="AP12" s="144">
        <v>1</v>
      </c>
      <c r="AQ12" s="144">
        <v>1</v>
      </c>
      <c r="AR12" s="144">
        <v>1</v>
      </c>
      <c r="AS12" s="144">
        <v>1</v>
      </c>
      <c r="AT12" s="144">
        <v>1</v>
      </c>
      <c r="AU12" s="144">
        <v>1</v>
      </c>
      <c r="AV12" s="144">
        <v>1</v>
      </c>
      <c r="AW12" s="144">
        <v>1</v>
      </c>
      <c r="AX12" s="144">
        <v>1</v>
      </c>
      <c r="AY12" s="144">
        <v>1</v>
      </c>
      <c r="AZ12" s="144">
        <v>1</v>
      </c>
      <c r="BA12" s="144">
        <v>1</v>
      </c>
      <c r="BB12" s="144">
        <v>1</v>
      </c>
      <c r="BC12" s="144">
        <v>1</v>
      </c>
      <c r="BD12" s="144">
        <v>1</v>
      </c>
      <c r="BE12" s="144">
        <v>1</v>
      </c>
      <c r="BF12" s="144">
        <v>1</v>
      </c>
      <c r="BG12" s="144">
        <v>1</v>
      </c>
      <c r="BH12" s="144">
        <v>1</v>
      </c>
      <c r="BI12" s="144">
        <v>0</v>
      </c>
      <c r="BJ12" s="144">
        <v>0</v>
      </c>
      <c r="BK12" s="144">
        <v>0</v>
      </c>
      <c r="BL12" s="144">
        <v>0</v>
      </c>
      <c r="BM12" s="144">
        <v>0</v>
      </c>
      <c r="BN12" s="144">
        <v>0</v>
      </c>
      <c r="BO12" s="144">
        <v>0</v>
      </c>
      <c r="BP12" s="144">
        <v>0</v>
      </c>
      <c r="BQ12" s="144">
        <v>0</v>
      </c>
      <c r="BR12" s="144">
        <v>0</v>
      </c>
      <c r="BS12" s="144">
        <v>0</v>
      </c>
      <c r="BT12" s="144">
        <v>0</v>
      </c>
      <c r="BU12" s="144">
        <v>0</v>
      </c>
      <c r="BV12" s="144">
        <v>0</v>
      </c>
      <c r="BW12" s="144">
        <v>0</v>
      </c>
      <c r="BX12" s="144">
        <v>0</v>
      </c>
      <c r="BY12" s="144">
        <v>0</v>
      </c>
      <c r="BZ12" s="144">
        <v>0</v>
      </c>
      <c r="CA12" s="144">
        <v>0</v>
      </c>
      <c r="CB12" s="144">
        <v>0</v>
      </c>
      <c r="CC12" s="144">
        <v>0</v>
      </c>
      <c r="CD12" s="144">
        <v>0</v>
      </c>
      <c r="CE12" s="144">
        <v>0</v>
      </c>
      <c r="CF12" s="144">
        <v>0</v>
      </c>
      <c r="CG12" s="144">
        <v>0</v>
      </c>
      <c r="CH12" s="144">
        <v>0</v>
      </c>
      <c r="CI12" s="144">
        <v>0</v>
      </c>
      <c r="CJ12" s="144">
        <v>0</v>
      </c>
      <c r="CK12" s="144">
        <v>0</v>
      </c>
      <c r="CL12" s="144">
        <v>0</v>
      </c>
      <c r="CM12" s="144">
        <v>0</v>
      </c>
      <c r="CN12" s="144">
        <v>0</v>
      </c>
      <c r="CO12" s="144">
        <v>0</v>
      </c>
      <c r="CP12" s="144">
        <v>0</v>
      </c>
      <c r="CQ12" s="143">
        <v>0</v>
      </c>
      <c r="CR12" s="145">
        <v>0</v>
      </c>
      <c r="CS12" s="145">
        <v>0</v>
      </c>
      <c r="CT12" s="145">
        <v>0</v>
      </c>
      <c r="CU12" s="145">
        <v>0</v>
      </c>
      <c r="CV12" s="145">
        <v>0</v>
      </c>
      <c r="CW12" s="145">
        <v>0</v>
      </c>
      <c r="CX12" s="145">
        <v>0</v>
      </c>
      <c r="CY12" s="145">
        <v>0</v>
      </c>
      <c r="CZ12" s="145">
        <v>0</v>
      </c>
      <c r="DA12" s="145">
        <v>0</v>
      </c>
      <c r="DB12" s="145">
        <v>12175.62</v>
      </c>
      <c r="DC12" s="145">
        <v>28409.779999999973</v>
      </c>
      <c r="DD12" s="145">
        <v>2552.099999999999</v>
      </c>
      <c r="DE12" s="145">
        <v>22962.800000000003</v>
      </c>
      <c r="DF12" s="145">
        <v>24035.200000000001</v>
      </c>
      <c r="DG12" s="145">
        <v>18026.400000000001</v>
      </c>
      <c r="DH12" s="145">
        <v>24035.200000000001</v>
      </c>
      <c r="DI12" s="145">
        <v>24035.200000000001</v>
      </c>
      <c r="DJ12" s="145">
        <v>24035.200000000001</v>
      </c>
      <c r="DK12" s="145">
        <v>24035.200000000001</v>
      </c>
      <c r="DL12" s="145">
        <v>24035.200000000001</v>
      </c>
      <c r="DM12" s="145">
        <v>24035.200000000001</v>
      </c>
      <c r="DN12" s="145">
        <v>24035.200000000001</v>
      </c>
      <c r="DO12" s="145">
        <v>18026.400000000001</v>
      </c>
      <c r="DP12" s="145">
        <v>18026.400000000001</v>
      </c>
      <c r="DQ12" s="145">
        <v>24035.200000000001</v>
      </c>
      <c r="DR12" s="145">
        <v>24770.2</v>
      </c>
      <c r="DS12" s="145">
        <v>18577.650000000001</v>
      </c>
      <c r="DT12" s="145">
        <v>26893.360000000001</v>
      </c>
      <c r="DU12" s="145">
        <v>26893.360000000001</v>
      </c>
      <c r="DV12" s="145">
        <v>24770.2</v>
      </c>
      <c r="DW12" s="145">
        <v>24770.2</v>
      </c>
      <c r="DX12" s="145">
        <v>24770.2</v>
      </c>
      <c r="DY12" s="145">
        <v>24770.2</v>
      </c>
      <c r="DZ12" s="145">
        <v>24770.2</v>
      </c>
      <c r="EA12" s="145">
        <v>18577.650000000001</v>
      </c>
      <c r="EB12" s="145">
        <v>18577.650000000001</v>
      </c>
      <c r="EC12" s="145">
        <v>24770.2</v>
      </c>
      <c r="ED12" s="145">
        <v>25505.200000000001</v>
      </c>
      <c r="EE12" s="145">
        <v>19128.900000000001</v>
      </c>
      <c r="EF12" s="145">
        <v>27691.360000000001</v>
      </c>
      <c r="EG12" s="145">
        <v>27691.360000000001</v>
      </c>
      <c r="EH12" s="145">
        <v>25505.200000000001</v>
      </c>
      <c r="EI12" s="145">
        <v>25505.200000000001</v>
      </c>
      <c r="EJ12" s="145">
        <v>25505.200000000001</v>
      </c>
      <c r="EK12" s="145">
        <v>25505.200000000001</v>
      </c>
      <c r="EL12" s="145">
        <v>25505.200000000001</v>
      </c>
      <c r="EM12" s="145">
        <v>19128.900000000001</v>
      </c>
      <c r="EN12" s="145">
        <v>19128.900000000001</v>
      </c>
      <c r="EO12" s="145">
        <v>25505.200000000001</v>
      </c>
      <c r="EP12" s="145">
        <v>0</v>
      </c>
      <c r="EQ12" s="145">
        <v>0</v>
      </c>
      <c r="ER12" s="145">
        <v>0</v>
      </c>
      <c r="ES12" s="145">
        <v>0</v>
      </c>
      <c r="ET12" s="145">
        <v>0</v>
      </c>
      <c r="EU12" s="145">
        <v>0</v>
      </c>
      <c r="EV12" s="145">
        <v>0</v>
      </c>
      <c r="EW12" s="145">
        <v>0</v>
      </c>
      <c r="EX12" s="145">
        <v>0</v>
      </c>
      <c r="EY12" s="145">
        <v>0</v>
      </c>
      <c r="EZ12" s="145">
        <v>0</v>
      </c>
      <c r="FA12" s="145">
        <v>0</v>
      </c>
      <c r="FB12" s="145">
        <v>0</v>
      </c>
      <c r="FC12" s="145">
        <v>0</v>
      </c>
      <c r="FD12" s="145">
        <v>0</v>
      </c>
      <c r="FE12" s="145">
        <v>0</v>
      </c>
      <c r="FF12" s="145">
        <v>0</v>
      </c>
      <c r="FG12" s="145">
        <v>0</v>
      </c>
      <c r="FH12" s="145">
        <v>0</v>
      </c>
      <c r="FI12" s="145">
        <v>0</v>
      </c>
      <c r="FJ12" s="145">
        <v>0</v>
      </c>
      <c r="FK12" s="145">
        <v>0</v>
      </c>
      <c r="FL12" s="145">
        <v>0</v>
      </c>
      <c r="FM12" s="145">
        <v>0</v>
      </c>
      <c r="FN12" s="145">
        <v>0</v>
      </c>
      <c r="FO12" s="145">
        <v>0</v>
      </c>
      <c r="FP12" s="145">
        <v>0</v>
      </c>
      <c r="FQ12" s="145">
        <v>0</v>
      </c>
      <c r="FR12" s="145">
        <v>0</v>
      </c>
      <c r="FS12" s="145">
        <v>0</v>
      </c>
      <c r="FT12" s="145">
        <v>0</v>
      </c>
      <c r="FU12" s="145">
        <v>0</v>
      </c>
      <c r="FV12" s="145">
        <v>0</v>
      </c>
      <c r="FW12" s="145">
        <v>0</v>
      </c>
      <c r="FX12" s="143"/>
      <c r="FY12" s="146" t="str">
        <f>_xlfn.XLOOKUP($E12,'Key assumptions'!$B$112:$B$120,'Key assumptions'!$C$112:$C$120,0)</f>
        <v>Nominal</v>
      </c>
      <c r="FZ12" s="146" cm="1">
        <f t="array" ref="FZ12">IF($FY12=0,0,_xlfn.IFS($FY12='Key assumptions'!$C$120,_xlfn.XLOOKUP(LEFT(FZ$7,6),Inflation_Year,Inflation_NominaltoReal),TRUE,_xlfn.XLOOKUP($FY12,Inflation_Year,NominaltoReal)))</f>
        <v>1.0197075870962191</v>
      </c>
      <c r="GA12" s="146" cm="1">
        <f t="array" ref="GA12">IF($FY12=0,0,_xlfn.IFS($FY12='Key assumptions'!$C$120,_xlfn.XLOOKUP(LEFT(GA$7,6),Inflation_Year,Inflation_NominaltoReal),TRUE,_xlfn.XLOOKUP($FY12,Inflation_Year,NominaltoReal)))</f>
        <v>0.98700804022984445</v>
      </c>
      <c r="GB12" s="146" cm="1">
        <f t="array" ref="GB12">IF($FY12=0,0,_xlfn.IFS($FY12='Key assumptions'!$C$120,_xlfn.XLOOKUP(LEFT(GB$7,6),Inflation_Year,Inflation_NominaltoReal),TRUE,_xlfn.XLOOKUP($FY12,Inflation_Year,NominaltoReal)))</f>
        <v>0.96152830081941731</v>
      </c>
      <c r="GC12" s="146" cm="1">
        <f t="array" ref="GC12">IF($FY12=0,0,_xlfn.IFS($FY12='Key assumptions'!$C$120,_xlfn.XLOOKUP(LEFT(GC$7,6),Inflation_Year,Inflation_NominaltoReal),TRUE,_xlfn.XLOOKUP($FY12,Inflation_Year,NominaltoReal)))</f>
        <v>0.93670632415656829</v>
      </c>
      <c r="GD12" s="146" cm="1">
        <f t="array" ref="GD12">IF($FY12=0,0,_xlfn.IFS($FY12='Key assumptions'!$C$120,_xlfn.XLOOKUP(LEFT(GD$7,6),Inflation_Year,Inflation_NominaltoReal),TRUE,_xlfn.XLOOKUP($FY12,Inflation_Year,NominaltoReal)))</f>
        <v>0.91252513001143176</v>
      </c>
      <c r="GE12" s="146" cm="1">
        <f t="array" ref="GE12">IF($FY12=0,0,_xlfn.IFS($FY12='Key assumptions'!$C$120,_xlfn.XLOOKUP(LEFT(GE$7,6),Inflation_Year,Inflation_NominaltoReal),TRUE,_xlfn.XLOOKUP($FY12,Inflation_Year,NominaltoReal)))</f>
        <v>0.88896817650095872</v>
      </c>
      <c r="GF12" s="146" cm="1">
        <f t="array" ref="GF12">IF($FY12=0,0,_xlfn.IFS($FY12='Key assumptions'!$C$120,_xlfn.XLOOKUP(LEFT(GF$7,6),Inflation_Year,Inflation_NominaltoReal),TRUE,_xlfn.XLOOKUP($FY12,Inflation_Year,NominaltoReal)))</f>
        <v>0.86601934877293718</v>
      </c>
      <c r="GG12" s="143"/>
      <c r="GH12" s="145" cm="1">
        <f t="array" ref="GH12">SUMPRODUCT(--($CR$7:$FW$7&gt;=GH$5),--($CR$7:$FW$7&lt;=GH$6),$CR12:$FW12)*FZ12</f>
        <v>188850.25301325464</v>
      </c>
      <c r="GI12" s="145" cm="1">
        <f t="array" ref="GI12">SUMPRODUCT(--($CR$7:$FW$7&gt;=GI$5),--($CR$7:$FW$7&lt;=GI$6),$CR12:$FW12)*GA12</f>
        <v>275970.97166696814</v>
      </c>
      <c r="GJ12" s="145" cm="1">
        <f t="array" ref="GJ12">SUMPRODUCT(--($CR$7:$FW$7&gt;=GJ$5),--($CR$7:$FW$7&lt;=GJ$6),$CR12:$FW12)*GB12</f>
        <v>276918.53526844684</v>
      </c>
      <c r="GK12" s="145" cm="1">
        <f t="array" ref="GK12">SUMPRODUCT(--($CR$7:$FW$7&gt;=GK$5),--($CR$7:$FW$7&lt;=GK$6),$CR12:$FW12)*GC12</f>
        <v>107508.96962495148</v>
      </c>
      <c r="GL12" s="145" cm="1">
        <f t="array" ref="GL12">SUMPRODUCT(--($CR$7:$FW$7&gt;=GL$5),--($CR$7:$FW$7&lt;=GL$6),$CR12:$FW12)*GD12</f>
        <v>0</v>
      </c>
      <c r="GM12" s="145" cm="1">
        <f t="array" ref="GM12">SUMPRODUCT(--($CR$7:$FW$7&gt;=GM$5),--($CR$7:$FW$7&lt;=GM$6),$CR12:$FW12)*GE12</f>
        <v>0</v>
      </c>
      <c r="GN12" s="145" cm="1">
        <f t="array" ref="GN12">SUMPRODUCT(--($CR$7:$FW$7&gt;=GN$5),--($CR$7:$FW$7&lt;=GN$6),$CR12:$FW12)*GF12</f>
        <v>0</v>
      </c>
      <c r="GO12" s="145">
        <f t="shared" si="18"/>
        <v>849248.72957362118</v>
      </c>
      <c r="GP12" s="87"/>
      <c r="GQ12" s="89"/>
      <c r="GR12" s="145" cm="1">
        <f t="array" ref="GR12">SUMPRODUCT(--($CR$7:$FW$7&gt;=GR$5),--($CR$7:$FW$7&lt;=GR$6),$CR12:$FW12)</f>
        <v>113094.8</v>
      </c>
      <c r="GS12" s="89"/>
      <c r="GT12" s="214" cm="1">
        <f t="array" ref="GT12">--AND(MIN(IF($K12:$CP12&lt;&gt;0,$K$7:$CP$7))&gt;=GT$5,MIN(IF($K12:$CP12&lt;&gt;0,$K$7:$CP$7))&lt;=GT$6)</f>
        <v>0</v>
      </c>
      <c r="GU12" s="214" cm="1">
        <f t="array" ref="GU12">--AND(MIN(IF($K12:$CP12&lt;&gt;0,$K$7:$CP$7))&gt;=GU$5,MIN(IF($K12:$CP12&lt;&gt;0,$K$7:$CP$7))&lt;=GU$6)</f>
        <v>0</v>
      </c>
      <c r="GV12" s="214" cm="1">
        <f t="array" ref="GV12">--AND(MIN(IF($K12:$CP12&lt;&gt;0,$K$7:$CP$7))&gt;=GV$5,MIN(IF($K12:$CP12&lt;&gt;0,$K$7:$CP$7))&lt;=GV$6)</f>
        <v>0</v>
      </c>
      <c r="GW12" s="214" cm="1">
        <f t="array" ref="GW12">--AND(MIN(IF($K12:$CP12&lt;&gt;0,$K$7:$CP$7))&gt;=GW$5,MIN(IF($K12:$CP12&lt;&gt;0,$K$7:$CP$7))&lt;=GW$6)</f>
        <v>0</v>
      </c>
      <c r="GX12" s="214" cm="1">
        <f t="array" ref="GX12">--AND(MIN(IF($K12:$CP12&lt;&gt;0,$K$7:$CP$7))&gt;=GX$5,MIN(IF($K12:$CP12&lt;&gt;0,$K$7:$CP$7))&lt;=GX$6)</f>
        <v>0</v>
      </c>
      <c r="GY12" s="214" cm="1">
        <f t="array" ref="GY12">--AND(MIN(IF($K12:$CP12&lt;&gt;0,$K$7:$CP$7))&gt;=GY$5,MIN(IF($K12:$CP12&lt;&gt;0,$K$7:$CP$7))&lt;=GY$6)</f>
        <v>0</v>
      </c>
      <c r="GZ12" s="214" cm="1">
        <f t="array" ref="GZ12">--AND(MIN(IF($K12:$CP12&lt;&gt;0,$K$7:$CP$7))&gt;=GZ$5,MIN(IF($K12:$CP12&lt;&gt;0,$K$7:$CP$7))&lt;=GZ$6)</f>
        <v>0</v>
      </c>
      <c r="HA12" s="214">
        <f t="shared" si="0"/>
        <v>0</v>
      </c>
      <c r="HC12" s="214" cm="1">
        <f t="array" ref="HC12">--AND(MIN(IF($K12:$CP12&lt;&gt;0,$K$7:$CP$7))&gt;=HC$5,MIN(IF($K12:$CP12&lt;&gt;0,$K$7:$CP$7))&lt;=HC$6)</f>
        <v>0</v>
      </c>
      <c r="HE12" s="147" t="str">
        <f t="shared" si="19"/>
        <v>No</v>
      </c>
      <c r="HF12" s="147" t="str">
        <f t="shared" si="20"/>
        <v>No</v>
      </c>
      <c r="HG12" s="147">
        <f>IF($HF12="Yes",0,$H12*avg_hrs*12*'Key assumptions'!$D$87)</f>
        <v>307010.02355127607</v>
      </c>
      <c r="HH12" s="147">
        <f>IF(HE12="Yes",'Key assumptions'!$D$84*HG12,0)</f>
        <v>0</v>
      </c>
      <c r="HI12" s="144">
        <f>IFERROR(AVERAGEIFS($K12:$CP12,$K$7:$CP$7,"&gt;="&amp;'Key assumptions'!$D$24,$K$7:$CP$7,"&lt;="&amp;'Key assumptions'!$D$25),0)</f>
        <v>0.83732057416267935</v>
      </c>
      <c r="HJ12" s="148">
        <f t="shared" si="21"/>
        <v>0</v>
      </c>
      <c r="HK12" s="148">
        <f t="shared" si="1"/>
        <v>0</v>
      </c>
      <c r="HL12" s="148">
        <f t="shared" si="2"/>
        <v>0</v>
      </c>
      <c r="HM12" s="148">
        <f t="shared" si="3"/>
        <v>0</v>
      </c>
      <c r="HN12" s="148">
        <f t="shared" si="4"/>
        <v>0</v>
      </c>
      <c r="HO12" s="148">
        <f t="shared" si="5"/>
        <v>0</v>
      </c>
      <c r="HP12" s="148">
        <f t="shared" si="6"/>
        <v>0</v>
      </c>
      <c r="HQ12" s="148">
        <f t="shared" si="7"/>
        <v>0</v>
      </c>
      <c r="HR12" s="147">
        <f t="shared" si="8"/>
        <v>0</v>
      </c>
      <c r="HS12" s="89"/>
      <c r="HU12" s="147">
        <f>$HJ12*HC12/(1+'Key assumptions'!G34)^0.75</f>
        <v>0</v>
      </c>
      <c r="HW12" s="216">
        <f t="shared" si="9"/>
        <v>0</v>
      </c>
      <c r="HX12" s="216">
        <f t="shared" si="10"/>
        <v>0</v>
      </c>
      <c r="HY12" s="216">
        <f t="shared" si="11"/>
        <v>0</v>
      </c>
      <c r="HZ12" s="216">
        <f t="shared" si="12"/>
        <v>0</v>
      </c>
      <c r="IA12" s="216">
        <f t="shared" si="13"/>
        <v>0</v>
      </c>
      <c r="IB12" s="216">
        <f t="shared" si="14"/>
        <v>0</v>
      </c>
      <c r="IC12" s="216">
        <f t="shared" si="15"/>
        <v>0</v>
      </c>
      <c r="ID12" s="216">
        <f t="shared" si="16"/>
        <v>0</v>
      </c>
      <c r="IF12" s="216">
        <f t="shared" si="17"/>
        <v>0</v>
      </c>
    </row>
    <row r="13" spans="1:241" x14ac:dyDescent="0.2">
      <c r="B13" s="141" t="str">
        <v>Project Delivery Management - Project Engineering</v>
      </c>
      <c r="C13" s="141" t="str">
        <v>Project Manager - Senior (Network Projects)</v>
      </c>
      <c r="D13" s="141" t="str">
        <v>Internal Labour</v>
      </c>
      <c r="E13" s="141" t="str">
        <v>$ Nominal</v>
      </c>
      <c r="F13" s="141" t="str">
        <v>Existing</v>
      </c>
      <c r="G13" s="141" t="str">
        <v>Normal time</v>
      </c>
      <c r="H13" s="142">
        <v>316.45</v>
      </c>
      <c r="I13" s="126">
        <v>1620429.88</v>
      </c>
      <c r="J13" s="143">
        <v>0</v>
      </c>
      <c r="K13" s="144">
        <v>0</v>
      </c>
      <c r="L13" s="144">
        <v>0</v>
      </c>
      <c r="M13" s="144">
        <v>0</v>
      </c>
      <c r="N13" s="144">
        <v>0</v>
      </c>
      <c r="O13" s="144">
        <v>0</v>
      </c>
      <c r="P13" s="144">
        <v>0</v>
      </c>
      <c r="Q13" s="144">
        <v>0</v>
      </c>
      <c r="R13" s="144">
        <v>0</v>
      </c>
      <c r="S13" s="144">
        <v>0</v>
      </c>
      <c r="T13" s="144">
        <v>0</v>
      </c>
      <c r="U13" s="144">
        <v>0</v>
      </c>
      <c r="V13" s="144">
        <v>0</v>
      </c>
      <c r="W13" s="144">
        <v>1.1333333333333333</v>
      </c>
      <c r="X13" s="144">
        <v>1</v>
      </c>
      <c r="Y13" s="144">
        <v>1</v>
      </c>
      <c r="Z13" s="144">
        <v>1</v>
      </c>
      <c r="AA13" s="144">
        <v>0.92105263157894735</v>
      </c>
      <c r="AB13" s="144">
        <v>0.92105263157894735</v>
      </c>
      <c r="AC13" s="144">
        <v>1</v>
      </c>
      <c r="AD13" s="144">
        <v>1</v>
      </c>
      <c r="AE13" s="144">
        <v>1</v>
      </c>
      <c r="AF13" s="144">
        <v>1</v>
      </c>
      <c r="AG13" s="144">
        <v>1</v>
      </c>
      <c r="AH13" s="144">
        <v>1</v>
      </c>
      <c r="AI13" s="144">
        <v>1</v>
      </c>
      <c r="AJ13" s="144">
        <v>1</v>
      </c>
      <c r="AK13" s="144">
        <v>1</v>
      </c>
      <c r="AL13" s="144">
        <v>1</v>
      </c>
      <c r="AM13" s="144">
        <v>1</v>
      </c>
      <c r="AN13" s="144">
        <v>1</v>
      </c>
      <c r="AO13" s="144">
        <v>1</v>
      </c>
      <c r="AP13" s="144">
        <v>1</v>
      </c>
      <c r="AQ13" s="144">
        <v>1</v>
      </c>
      <c r="AR13" s="144">
        <v>1</v>
      </c>
      <c r="AS13" s="144">
        <v>1</v>
      </c>
      <c r="AT13" s="144">
        <v>1</v>
      </c>
      <c r="AU13" s="144">
        <v>1</v>
      </c>
      <c r="AV13" s="144">
        <v>1</v>
      </c>
      <c r="AW13" s="144">
        <v>1</v>
      </c>
      <c r="AX13" s="144">
        <v>1</v>
      </c>
      <c r="AY13" s="144">
        <v>1</v>
      </c>
      <c r="AZ13" s="144">
        <v>1</v>
      </c>
      <c r="BA13" s="144">
        <v>1</v>
      </c>
      <c r="BB13" s="144">
        <v>1</v>
      </c>
      <c r="BC13" s="144">
        <v>1</v>
      </c>
      <c r="BD13" s="144">
        <v>1</v>
      </c>
      <c r="BE13" s="144">
        <v>1</v>
      </c>
      <c r="BF13" s="144">
        <v>1</v>
      </c>
      <c r="BG13" s="144">
        <v>1</v>
      </c>
      <c r="BH13" s="144">
        <v>1</v>
      </c>
      <c r="BI13" s="144">
        <v>0</v>
      </c>
      <c r="BJ13" s="144">
        <v>0</v>
      </c>
      <c r="BK13" s="144">
        <v>0</v>
      </c>
      <c r="BL13" s="144">
        <v>0</v>
      </c>
      <c r="BM13" s="144">
        <v>0</v>
      </c>
      <c r="BN13" s="144">
        <v>0</v>
      </c>
      <c r="BO13" s="144">
        <v>0</v>
      </c>
      <c r="BP13" s="144">
        <v>0</v>
      </c>
      <c r="BQ13" s="144">
        <v>0</v>
      </c>
      <c r="BR13" s="144">
        <v>0</v>
      </c>
      <c r="BS13" s="144">
        <v>0</v>
      </c>
      <c r="BT13" s="144">
        <v>0</v>
      </c>
      <c r="BU13" s="144">
        <v>0</v>
      </c>
      <c r="BV13" s="144">
        <v>0</v>
      </c>
      <c r="BW13" s="144">
        <v>0</v>
      </c>
      <c r="BX13" s="144">
        <v>0</v>
      </c>
      <c r="BY13" s="144">
        <v>0</v>
      </c>
      <c r="BZ13" s="144">
        <v>0</v>
      </c>
      <c r="CA13" s="144">
        <v>0</v>
      </c>
      <c r="CB13" s="144">
        <v>0</v>
      </c>
      <c r="CC13" s="144">
        <v>0</v>
      </c>
      <c r="CD13" s="144">
        <v>0</v>
      </c>
      <c r="CE13" s="144">
        <v>0</v>
      </c>
      <c r="CF13" s="144">
        <v>0</v>
      </c>
      <c r="CG13" s="144">
        <v>0</v>
      </c>
      <c r="CH13" s="144">
        <v>0</v>
      </c>
      <c r="CI13" s="144">
        <v>0</v>
      </c>
      <c r="CJ13" s="144">
        <v>0</v>
      </c>
      <c r="CK13" s="144">
        <v>0</v>
      </c>
      <c r="CL13" s="144">
        <v>0</v>
      </c>
      <c r="CM13" s="144">
        <v>0</v>
      </c>
      <c r="CN13" s="144">
        <v>0</v>
      </c>
      <c r="CO13" s="144">
        <v>0</v>
      </c>
      <c r="CP13" s="144">
        <v>0</v>
      </c>
      <c r="CQ13" s="143">
        <v>0</v>
      </c>
      <c r="CR13" s="145">
        <v>0</v>
      </c>
      <c r="CS13" s="145">
        <v>0</v>
      </c>
      <c r="CT13" s="145">
        <v>0</v>
      </c>
      <c r="CU13" s="145">
        <v>0</v>
      </c>
      <c r="CV13" s="145">
        <v>0</v>
      </c>
      <c r="CW13" s="145">
        <v>0</v>
      </c>
      <c r="CX13" s="145">
        <v>0</v>
      </c>
      <c r="CY13" s="145">
        <v>0</v>
      </c>
      <c r="CZ13" s="145">
        <v>0</v>
      </c>
      <c r="DA13" s="145">
        <v>0</v>
      </c>
      <c r="DB13" s="145">
        <v>0</v>
      </c>
      <c r="DC13" s="145">
        <v>0</v>
      </c>
      <c r="DD13" s="145">
        <v>36565.980000000025</v>
      </c>
      <c r="DE13" s="145">
        <v>43019.199999999997</v>
      </c>
      <c r="DF13" s="145">
        <v>43019.199999999997</v>
      </c>
      <c r="DG13" s="145">
        <v>32264.399999999998</v>
      </c>
      <c r="DH13" s="145">
        <v>43019.199999999997</v>
      </c>
      <c r="DI13" s="145">
        <v>43019.199999999997</v>
      </c>
      <c r="DJ13" s="145">
        <v>44303</v>
      </c>
      <c r="DK13" s="145">
        <v>44303</v>
      </c>
      <c r="DL13" s="145">
        <v>44303</v>
      </c>
      <c r="DM13" s="145">
        <v>44303</v>
      </c>
      <c r="DN13" s="145">
        <v>44303</v>
      </c>
      <c r="DO13" s="145">
        <v>33227.25</v>
      </c>
      <c r="DP13" s="145">
        <v>33227.25</v>
      </c>
      <c r="DQ13" s="145">
        <v>44303</v>
      </c>
      <c r="DR13" s="145">
        <v>44303</v>
      </c>
      <c r="DS13" s="145">
        <v>33227.25</v>
      </c>
      <c r="DT13" s="145">
        <v>48100.4</v>
      </c>
      <c r="DU13" s="145">
        <v>48100.4</v>
      </c>
      <c r="DV13" s="145">
        <v>45619</v>
      </c>
      <c r="DW13" s="145">
        <v>45619</v>
      </c>
      <c r="DX13" s="145">
        <v>45619</v>
      </c>
      <c r="DY13" s="145">
        <v>45619</v>
      </c>
      <c r="DZ13" s="145">
        <v>45619</v>
      </c>
      <c r="EA13" s="145">
        <v>34214.25</v>
      </c>
      <c r="EB13" s="145">
        <v>34214.25</v>
      </c>
      <c r="EC13" s="145">
        <v>45619</v>
      </c>
      <c r="ED13" s="145">
        <v>45619</v>
      </c>
      <c r="EE13" s="145">
        <v>34214.25</v>
      </c>
      <c r="EF13" s="145">
        <v>49529.200000000004</v>
      </c>
      <c r="EG13" s="145">
        <v>49529.200000000004</v>
      </c>
      <c r="EH13" s="145">
        <v>46998</v>
      </c>
      <c r="EI13" s="145">
        <v>46998</v>
      </c>
      <c r="EJ13" s="145">
        <v>46998</v>
      </c>
      <c r="EK13" s="145">
        <v>46998</v>
      </c>
      <c r="EL13" s="145">
        <v>46998</v>
      </c>
      <c r="EM13" s="145">
        <v>35248.5</v>
      </c>
      <c r="EN13" s="145">
        <v>35248.5</v>
      </c>
      <c r="EO13" s="145">
        <v>46998</v>
      </c>
      <c r="EP13" s="145">
        <v>0</v>
      </c>
      <c r="EQ13" s="145">
        <v>0</v>
      </c>
      <c r="ER13" s="145">
        <v>0</v>
      </c>
      <c r="ES13" s="145">
        <v>0</v>
      </c>
      <c r="ET13" s="145">
        <v>0</v>
      </c>
      <c r="EU13" s="145">
        <v>0</v>
      </c>
      <c r="EV13" s="145">
        <v>0</v>
      </c>
      <c r="EW13" s="145">
        <v>0</v>
      </c>
      <c r="EX13" s="145">
        <v>0</v>
      </c>
      <c r="EY13" s="145">
        <v>0</v>
      </c>
      <c r="EZ13" s="145">
        <v>0</v>
      </c>
      <c r="FA13" s="145">
        <v>0</v>
      </c>
      <c r="FB13" s="145">
        <v>0</v>
      </c>
      <c r="FC13" s="145">
        <v>0</v>
      </c>
      <c r="FD13" s="145">
        <v>0</v>
      </c>
      <c r="FE13" s="145">
        <v>0</v>
      </c>
      <c r="FF13" s="145">
        <v>0</v>
      </c>
      <c r="FG13" s="145">
        <v>0</v>
      </c>
      <c r="FH13" s="145">
        <v>0</v>
      </c>
      <c r="FI13" s="145">
        <v>0</v>
      </c>
      <c r="FJ13" s="145">
        <v>0</v>
      </c>
      <c r="FK13" s="145">
        <v>0</v>
      </c>
      <c r="FL13" s="145">
        <v>0</v>
      </c>
      <c r="FM13" s="145">
        <v>0</v>
      </c>
      <c r="FN13" s="145">
        <v>0</v>
      </c>
      <c r="FO13" s="145">
        <v>0</v>
      </c>
      <c r="FP13" s="145">
        <v>0</v>
      </c>
      <c r="FQ13" s="145">
        <v>0</v>
      </c>
      <c r="FR13" s="145">
        <v>0</v>
      </c>
      <c r="FS13" s="145">
        <v>0</v>
      </c>
      <c r="FT13" s="145">
        <v>0</v>
      </c>
      <c r="FU13" s="145">
        <v>0</v>
      </c>
      <c r="FV13" s="145">
        <v>0</v>
      </c>
      <c r="FW13" s="145">
        <v>0</v>
      </c>
      <c r="FX13" s="143"/>
      <c r="FY13" s="146" t="str">
        <f>_xlfn.XLOOKUP($E13,'Key assumptions'!$B$112:$B$120,'Key assumptions'!$C$112:$C$120,0)</f>
        <v>Nominal</v>
      </c>
      <c r="FZ13" s="146" cm="1">
        <f t="array" ref="FZ13">IF($FY13=0,0,_xlfn.IFS($FY13='Key assumptions'!$C$120,_xlfn.XLOOKUP(LEFT(FZ$7,6),Inflation_Year,Inflation_NominaltoReal),TRUE,_xlfn.XLOOKUP($FY13,Inflation_Year,NominaltoReal)))</f>
        <v>1.0197075870962191</v>
      </c>
      <c r="GA13" s="146" cm="1">
        <f t="array" ref="GA13">IF($FY13=0,0,_xlfn.IFS($FY13='Key assumptions'!$C$120,_xlfn.XLOOKUP(LEFT(GA$7,6),Inflation_Year,Inflation_NominaltoReal),TRUE,_xlfn.XLOOKUP($FY13,Inflation_Year,NominaltoReal)))</f>
        <v>0.98700804022984445</v>
      </c>
      <c r="GB13" s="146" cm="1">
        <f t="array" ref="GB13">IF($FY13=0,0,_xlfn.IFS($FY13='Key assumptions'!$C$120,_xlfn.XLOOKUP(LEFT(GB$7,6),Inflation_Year,Inflation_NominaltoReal),TRUE,_xlfn.XLOOKUP($FY13,Inflation_Year,NominaltoReal)))</f>
        <v>0.96152830081941731</v>
      </c>
      <c r="GC13" s="146" cm="1">
        <f t="array" ref="GC13">IF($FY13=0,0,_xlfn.IFS($FY13='Key assumptions'!$C$120,_xlfn.XLOOKUP(LEFT(GC$7,6),Inflation_Year,Inflation_NominaltoReal),TRUE,_xlfn.XLOOKUP($FY13,Inflation_Year,NominaltoReal)))</f>
        <v>0.93670632415656829</v>
      </c>
      <c r="GD13" s="146" cm="1">
        <f t="array" ref="GD13">IF($FY13=0,0,_xlfn.IFS($FY13='Key assumptions'!$C$120,_xlfn.XLOOKUP(LEFT(GD$7,6),Inflation_Year,Inflation_NominaltoReal),TRUE,_xlfn.XLOOKUP($FY13,Inflation_Year,NominaltoReal)))</f>
        <v>0.91252513001143176</v>
      </c>
      <c r="GE13" s="146" cm="1">
        <f t="array" ref="GE13">IF($FY13=0,0,_xlfn.IFS($FY13='Key assumptions'!$C$120,_xlfn.XLOOKUP(LEFT(GE$7,6),Inflation_Year,Inflation_NominaltoReal),TRUE,_xlfn.XLOOKUP($FY13,Inflation_Year,NominaltoReal)))</f>
        <v>0.88896817650095872</v>
      </c>
      <c r="GF13" s="146" cm="1">
        <f t="array" ref="GF13">IF($FY13=0,0,_xlfn.IFS($FY13='Key assumptions'!$C$120,_xlfn.XLOOKUP(LEFT(GF$7,6),Inflation_Year,Inflation_NominaltoReal),TRUE,_xlfn.XLOOKUP($FY13,Inflation_Year,NominaltoReal)))</f>
        <v>0.86601934877293718</v>
      </c>
      <c r="GG13" s="143"/>
      <c r="GH13" s="145" cm="1">
        <f t="array" ref="GH13">SUMPRODUCT(--($CR$7:$FW$7&gt;=GH$5),--($CR$7:$FW$7&lt;=GH$6),$CR13:$FW13)*FZ13</f>
        <v>343896.5876897173</v>
      </c>
      <c r="GI13" s="145" cm="1">
        <f t="array" ref="GI13">SUMPRODUCT(--($CR$7:$FW$7&gt;=GI$5),--($CR$7:$FW$7&lt;=GI$6),$CR13:$FW13)*GA13</f>
        <v>503326.27997767157</v>
      </c>
      <c r="GJ13" s="145" cm="1">
        <f t="array" ref="GJ13">SUMPRODUCT(--($CR$7:$FW$7&gt;=GJ$5),--($CR$7:$FW$7&lt;=GJ$6),$CR13:$FW13)*GB13</f>
        <v>504966.92349887936</v>
      </c>
      <c r="GK13" s="145" cm="1">
        <f t="array" ref="GK13">SUMPRODUCT(--($CR$7:$FW$7&gt;=GK$5),--($CR$7:$FW$7&lt;=GK$6),$CR13:$FW13)*GC13</f>
        <v>198104.95720219679</v>
      </c>
      <c r="GL13" s="145" cm="1">
        <f t="array" ref="GL13">SUMPRODUCT(--($CR$7:$FW$7&gt;=GL$5),--($CR$7:$FW$7&lt;=GL$6),$CR13:$FW13)*GD13</f>
        <v>0</v>
      </c>
      <c r="GM13" s="145" cm="1">
        <f t="array" ref="GM13">SUMPRODUCT(--($CR$7:$FW$7&gt;=GM$5),--($CR$7:$FW$7&lt;=GM$6),$CR13:$FW13)*GE13</f>
        <v>0</v>
      </c>
      <c r="GN13" s="145" cm="1">
        <f t="array" ref="GN13">SUMPRODUCT(--($CR$7:$FW$7&gt;=GN$5),--($CR$7:$FW$7&lt;=GN$6),$CR13:$FW13)*GF13</f>
        <v>0</v>
      </c>
      <c r="GO13" s="145">
        <f t="shared" si="18"/>
        <v>1550294.7483684651</v>
      </c>
      <c r="GP13" s="87"/>
      <c r="GQ13" s="89"/>
      <c r="GR13" s="145" cm="1">
        <f t="array" ref="GR13">SUMPRODUCT(--($CR$7:$FW$7&gt;=GR$5),--($CR$7:$FW$7&lt;=GR$6),$CR13:$FW13)</f>
        <v>204341.2</v>
      </c>
      <c r="GS13" s="89"/>
      <c r="GT13" s="214" cm="1">
        <f t="array" ref="GT13">--AND(MIN(IF($K13:$CP13&lt;&gt;0,$K$7:$CP$7))&gt;=GT$5,MIN(IF($K13:$CP13&lt;&gt;0,$K$7:$CP$7))&lt;=GT$6)</f>
        <v>0</v>
      </c>
      <c r="GU13" s="214" cm="1">
        <f t="array" ref="GU13">--AND(MIN(IF($K13:$CP13&lt;&gt;0,$K$7:$CP$7))&gt;=GU$5,MIN(IF($K13:$CP13&lt;&gt;0,$K$7:$CP$7))&lt;=GU$6)</f>
        <v>0</v>
      </c>
      <c r="GV13" s="214" cm="1">
        <f t="array" ref="GV13">--AND(MIN(IF($K13:$CP13&lt;&gt;0,$K$7:$CP$7))&gt;=GV$5,MIN(IF($K13:$CP13&lt;&gt;0,$K$7:$CP$7))&lt;=GV$6)</f>
        <v>0</v>
      </c>
      <c r="GW13" s="214" cm="1">
        <f t="array" ref="GW13">--AND(MIN(IF($K13:$CP13&lt;&gt;0,$K$7:$CP$7))&gt;=GW$5,MIN(IF($K13:$CP13&lt;&gt;0,$K$7:$CP$7))&lt;=GW$6)</f>
        <v>0</v>
      </c>
      <c r="GX13" s="214" cm="1">
        <f t="array" ref="GX13">--AND(MIN(IF($K13:$CP13&lt;&gt;0,$K$7:$CP$7))&gt;=GX$5,MIN(IF($K13:$CP13&lt;&gt;0,$K$7:$CP$7))&lt;=GX$6)</f>
        <v>0</v>
      </c>
      <c r="GY13" s="214" cm="1">
        <f t="array" ref="GY13">--AND(MIN(IF($K13:$CP13&lt;&gt;0,$K$7:$CP$7))&gt;=GY$5,MIN(IF($K13:$CP13&lt;&gt;0,$K$7:$CP$7))&lt;=GY$6)</f>
        <v>0</v>
      </c>
      <c r="GZ13" s="214" cm="1">
        <f t="array" ref="GZ13">--AND(MIN(IF($K13:$CP13&lt;&gt;0,$K$7:$CP$7))&gt;=GZ$5,MIN(IF($K13:$CP13&lt;&gt;0,$K$7:$CP$7))&lt;=GZ$6)</f>
        <v>0</v>
      </c>
      <c r="HA13" s="214">
        <f t="shared" si="0"/>
        <v>0</v>
      </c>
      <c r="HC13" s="214" cm="1">
        <f t="array" ref="HC13">--AND(MIN(IF($K13:$CP13&lt;&gt;0,$K$7:$CP$7))&gt;=HC$5,MIN(IF($K13:$CP13&lt;&gt;0,$K$7:$CP$7))&lt;=HC$6)</f>
        <v>0</v>
      </c>
      <c r="HE13" s="147" t="str">
        <f t="shared" si="19"/>
        <v>No</v>
      </c>
      <c r="HF13" s="147" t="str">
        <f t="shared" si="20"/>
        <v>No</v>
      </c>
      <c r="HG13" s="147">
        <f>IF($HF13="Yes",0,$H13*avg_hrs*12*'Key assumptions'!$D$87)</f>
        <v>565897.7280568576</v>
      </c>
      <c r="HH13" s="147">
        <f>IF(HE13="Yes",'Key assumptions'!$D$84*HG13,0)</f>
        <v>0</v>
      </c>
      <c r="HI13" s="144">
        <f>IFERROR(AVERAGEIFS($K13:$CP13,$K$7:$CP$7,"&gt;="&amp;'Key assumptions'!$D$24,$K$7:$CP$7,"&lt;="&amp;'Key assumptions'!$D$25),0)</f>
        <v>0.83732057416267935</v>
      </c>
      <c r="HJ13" s="148">
        <f t="shared" si="21"/>
        <v>0</v>
      </c>
      <c r="HK13" s="148">
        <f t="shared" si="1"/>
        <v>0</v>
      </c>
      <c r="HL13" s="148">
        <f t="shared" si="2"/>
        <v>0</v>
      </c>
      <c r="HM13" s="148">
        <f t="shared" si="3"/>
        <v>0</v>
      </c>
      <c r="HN13" s="148">
        <f t="shared" si="4"/>
        <v>0</v>
      </c>
      <c r="HO13" s="148">
        <f t="shared" si="5"/>
        <v>0</v>
      </c>
      <c r="HP13" s="148">
        <f t="shared" si="6"/>
        <v>0</v>
      </c>
      <c r="HQ13" s="148">
        <f t="shared" si="7"/>
        <v>0</v>
      </c>
      <c r="HR13" s="147">
        <f t="shared" si="8"/>
        <v>0</v>
      </c>
      <c r="HS13" s="89"/>
      <c r="HU13" s="147">
        <f>$HJ13*HC13/(1+'Key assumptions'!G35)^0.75</f>
        <v>0</v>
      </c>
      <c r="HW13" s="216">
        <f t="shared" si="9"/>
        <v>0</v>
      </c>
      <c r="HX13" s="216">
        <f t="shared" si="10"/>
        <v>0</v>
      </c>
      <c r="HY13" s="216">
        <f t="shared" si="11"/>
        <v>0</v>
      </c>
      <c r="HZ13" s="216">
        <f t="shared" si="12"/>
        <v>0</v>
      </c>
      <c r="IA13" s="216">
        <f t="shared" si="13"/>
        <v>0</v>
      </c>
      <c r="IB13" s="216">
        <f t="shared" si="14"/>
        <v>0</v>
      </c>
      <c r="IC13" s="216">
        <f t="shared" si="15"/>
        <v>0</v>
      </c>
      <c r="ID13" s="216">
        <f t="shared" si="16"/>
        <v>0</v>
      </c>
      <c r="IF13" s="216">
        <f t="shared" si="17"/>
        <v>0</v>
      </c>
    </row>
    <row r="14" spans="1:241" x14ac:dyDescent="0.2">
      <c r="B14" s="141" t="str">
        <v>Project Delivery Management - Project Management</v>
      </c>
      <c r="C14" s="141" t="str">
        <v>Project Manager - Senior (Network Projects)</v>
      </c>
      <c r="D14" s="141" t="str">
        <v>Internal Labour</v>
      </c>
      <c r="E14" s="141" t="str">
        <v>$ Nominal</v>
      </c>
      <c r="F14" s="141" t="str">
        <v>New</v>
      </c>
      <c r="G14" s="141" t="str">
        <v>Normal time</v>
      </c>
      <c r="H14" s="142">
        <v>316.45</v>
      </c>
      <c r="I14" s="126">
        <v>1497825.5</v>
      </c>
      <c r="J14" s="143">
        <v>0</v>
      </c>
      <c r="K14" s="144">
        <v>0</v>
      </c>
      <c r="L14" s="144">
        <v>0</v>
      </c>
      <c r="M14" s="144">
        <v>0</v>
      </c>
      <c r="N14" s="144">
        <v>0</v>
      </c>
      <c r="O14" s="144">
        <v>0</v>
      </c>
      <c r="P14" s="144">
        <v>0</v>
      </c>
      <c r="Q14" s="144">
        <v>0</v>
      </c>
      <c r="R14" s="144">
        <v>0</v>
      </c>
      <c r="S14" s="144">
        <v>0</v>
      </c>
      <c r="T14" s="144">
        <v>0</v>
      </c>
      <c r="U14" s="144">
        <v>0</v>
      </c>
      <c r="V14" s="144">
        <v>0</v>
      </c>
      <c r="W14" s="144">
        <v>0</v>
      </c>
      <c r="X14" s="144">
        <v>0</v>
      </c>
      <c r="Y14" s="144">
        <v>0</v>
      </c>
      <c r="Z14" s="144">
        <v>1</v>
      </c>
      <c r="AA14" s="144">
        <v>0.92105263157894735</v>
      </c>
      <c r="AB14" s="144">
        <v>0.92105263157894735</v>
      </c>
      <c r="AC14" s="144">
        <v>1</v>
      </c>
      <c r="AD14" s="144">
        <v>1</v>
      </c>
      <c r="AE14" s="144">
        <v>1</v>
      </c>
      <c r="AF14" s="144">
        <v>1</v>
      </c>
      <c r="AG14" s="144">
        <v>1</v>
      </c>
      <c r="AH14" s="144">
        <v>1</v>
      </c>
      <c r="AI14" s="144">
        <v>1</v>
      </c>
      <c r="AJ14" s="144">
        <v>1</v>
      </c>
      <c r="AK14" s="144">
        <v>1</v>
      </c>
      <c r="AL14" s="144">
        <v>1</v>
      </c>
      <c r="AM14" s="144">
        <v>1</v>
      </c>
      <c r="AN14" s="144">
        <v>1</v>
      </c>
      <c r="AO14" s="144">
        <v>1</v>
      </c>
      <c r="AP14" s="144">
        <v>1</v>
      </c>
      <c r="AQ14" s="144">
        <v>1</v>
      </c>
      <c r="AR14" s="144">
        <v>1</v>
      </c>
      <c r="AS14" s="144">
        <v>1</v>
      </c>
      <c r="AT14" s="144">
        <v>1</v>
      </c>
      <c r="AU14" s="144">
        <v>1</v>
      </c>
      <c r="AV14" s="144">
        <v>1</v>
      </c>
      <c r="AW14" s="144">
        <v>1</v>
      </c>
      <c r="AX14" s="144">
        <v>1</v>
      </c>
      <c r="AY14" s="144">
        <v>1</v>
      </c>
      <c r="AZ14" s="144">
        <v>1</v>
      </c>
      <c r="BA14" s="144">
        <v>1</v>
      </c>
      <c r="BB14" s="144">
        <v>1</v>
      </c>
      <c r="BC14" s="144">
        <v>1</v>
      </c>
      <c r="BD14" s="144">
        <v>1</v>
      </c>
      <c r="BE14" s="144">
        <v>1</v>
      </c>
      <c r="BF14" s="144">
        <v>1</v>
      </c>
      <c r="BG14" s="144">
        <v>1</v>
      </c>
      <c r="BH14" s="144">
        <v>1</v>
      </c>
      <c r="BI14" s="144">
        <v>0</v>
      </c>
      <c r="BJ14" s="144">
        <v>0</v>
      </c>
      <c r="BK14" s="144">
        <v>0</v>
      </c>
      <c r="BL14" s="144">
        <v>0</v>
      </c>
      <c r="BM14" s="144">
        <v>0</v>
      </c>
      <c r="BN14" s="144">
        <v>0</v>
      </c>
      <c r="BO14" s="144">
        <v>0</v>
      </c>
      <c r="BP14" s="144">
        <v>0</v>
      </c>
      <c r="BQ14" s="144">
        <v>0</v>
      </c>
      <c r="BR14" s="144">
        <v>0</v>
      </c>
      <c r="BS14" s="144">
        <v>0</v>
      </c>
      <c r="BT14" s="144">
        <v>0</v>
      </c>
      <c r="BU14" s="144">
        <v>0</v>
      </c>
      <c r="BV14" s="144">
        <v>0</v>
      </c>
      <c r="BW14" s="144">
        <v>0</v>
      </c>
      <c r="BX14" s="144">
        <v>0</v>
      </c>
      <c r="BY14" s="144">
        <v>0</v>
      </c>
      <c r="BZ14" s="144">
        <v>0</v>
      </c>
      <c r="CA14" s="144">
        <v>0</v>
      </c>
      <c r="CB14" s="144">
        <v>0</v>
      </c>
      <c r="CC14" s="144">
        <v>0</v>
      </c>
      <c r="CD14" s="144">
        <v>0</v>
      </c>
      <c r="CE14" s="144">
        <v>0</v>
      </c>
      <c r="CF14" s="144">
        <v>0</v>
      </c>
      <c r="CG14" s="144">
        <v>0</v>
      </c>
      <c r="CH14" s="144">
        <v>0</v>
      </c>
      <c r="CI14" s="144">
        <v>0</v>
      </c>
      <c r="CJ14" s="144">
        <v>0</v>
      </c>
      <c r="CK14" s="144">
        <v>0</v>
      </c>
      <c r="CL14" s="144">
        <v>0</v>
      </c>
      <c r="CM14" s="144">
        <v>0</v>
      </c>
      <c r="CN14" s="144">
        <v>0</v>
      </c>
      <c r="CO14" s="144">
        <v>0</v>
      </c>
      <c r="CP14" s="144">
        <v>0</v>
      </c>
      <c r="CQ14" s="143">
        <v>0</v>
      </c>
      <c r="CR14" s="145">
        <v>0</v>
      </c>
      <c r="CS14" s="145">
        <v>0</v>
      </c>
      <c r="CT14" s="145">
        <v>0</v>
      </c>
      <c r="CU14" s="145">
        <v>0</v>
      </c>
      <c r="CV14" s="145">
        <v>0</v>
      </c>
      <c r="CW14" s="145">
        <v>0</v>
      </c>
      <c r="CX14" s="145">
        <v>0</v>
      </c>
      <c r="CY14" s="145">
        <v>0</v>
      </c>
      <c r="CZ14" s="145">
        <v>0</v>
      </c>
      <c r="DA14" s="145">
        <v>0</v>
      </c>
      <c r="DB14" s="145">
        <v>0</v>
      </c>
      <c r="DC14" s="145">
        <v>0</v>
      </c>
      <c r="DD14" s="145">
        <v>0</v>
      </c>
      <c r="DE14" s="145">
        <v>0</v>
      </c>
      <c r="DF14" s="145">
        <v>0</v>
      </c>
      <c r="DG14" s="145">
        <v>32264.399999999998</v>
      </c>
      <c r="DH14" s="145">
        <v>43019.199999999997</v>
      </c>
      <c r="DI14" s="145">
        <v>43019.199999999997</v>
      </c>
      <c r="DJ14" s="145">
        <v>44303</v>
      </c>
      <c r="DK14" s="145">
        <v>44303</v>
      </c>
      <c r="DL14" s="145">
        <v>44303</v>
      </c>
      <c r="DM14" s="145">
        <v>44303</v>
      </c>
      <c r="DN14" s="145">
        <v>44303</v>
      </c>
      <c r="DO14" s="145">
        <v>33227.25</v>
      </c>
      <c r="DP14" s="145">
        <v>33227.25</v>
      </c>
      <c r="DQ14" s="145">
        <v>44303</v>
      </c>
      <c r="DR14" s="145">
        <v>44303</v>
      </c>
      <c r="DS14" s="145">
        <v>33227.25</v>
      </c>
      <c r="DT14" s="145">
        <v>48100.4</v>
      </c>
      <c r="DU14" s="145">
        <v>48100.4</v>
      </c>
      <c r="DV14" s="145">
        <v>45619</v>
      </c>
      <c r="DW14" s="145">
        <v>45619</v>
      </c>
      <c r="DX14" s="145">
        <v>45619</v>
      </c>
      <c r="DY14" s="145">
        <v>45619</v>
      </c>
      <c r="DZ14" s="145">
        <v>45619</v>
      </c>
      <c r="EA14" s="145">
        <v>34214.25</v>
      </c>
      <c r="EB14" s="145">
        <v>34214.25</v>
      </c>
      <c r="EC14" s="145">
        <v>45619</v>
      </c>
      <c r="ED14" s="145">
        <v>45619</v>
      </c>
      <c r="EE14" s="145">
        <v>34214.25</v>
      </c>
      <c r="EF14" s="145">
        <v>49529.200000000004</v>
      </c>
      <c r="EG14" s="145">
        <v>49529.200000000004</v>
      </c>
      <c r="EH14" s="145">
        <v>46998</v>
      </c>
      <c r="EI14" s="145">
        <v>46998</v>
      </c>
      <c r="EJ14" s="145">
        <v>46998</v>
      </c>
      <c r="EK14" s="145">
        <v>46998</v>
      </c>
      <c r="EL14" s="145">
        <v>46998</v>
      </c>
      <c r="EM14" s="145">
        <v>35248.5</v>
      </c>
      <c r="EN14" s="145">
        <v>35248.5</v>
      </c>
      <c r="EO14" s="145">
        <v>46998</v>
      </c>
      <c r="EP14" s="145">
        <v>0</v>
      </c>
      <c r="EQ14" s="145">
        <v>0</v>
      </c>
      <c r="ER14" s="145">
        <v>0</v>
      </c>
      <c r="ES14" s="145">
        <v>0</v>
      </c>
      <c r="ET14" s="145">
        <v>0</v>
      </c>
      <c r="EU14" s="145">
        <v>0</v>
      </c>
      <c r="EV14" s="145">
        <v>0</v>
      </c>
      <c r="EW14" s="145">
        <v>0</v>
      </c>
      <c r="EX14" s="145">
        <v>0</v>
      </c>
      <c r="EY14" s="145">
        <v>0</v>
      </c>
      <c r="EZ14" s="145">
        <v>0</v>
      </c>
      <c r="FA14" s="145">
        <v>0</v>
      </c>
      <c r="FB14" s="145">
        <v>0</v>
      </c>
      <c r="FC14" s="145">
        <v>0</v>
      </c>
      <c r="FD14" s="145">
        <v>0</v>
      </c>
      <c r="FE14" s="145">
        <v>0</v>
      </c>
      <c r="FF14" s="145">
        <v>0</v>
      </c>
      <c r="FG14" s="145">
        <v>0</v>
      </c>
      <c r="FH14" s="145">
        <v>0</v>
      </c>
      <c r="FI14" s="145">
        <v>0</v>
      </c>
      <c r="FJ14" s="145">
        <v>0</v>
      </c>
      <c r="FK14" s="145">
        <v>0</v>
      </c>
      <c r="FL14" s="145">
        <v>0</v>
      </c>
      <c r="FM14" s="145">
        <v>0</v>
      </c>
      <c r="FN14" s="145">
        <v>0</v>
      </c>
      <c r="FO14" s="145">
        <v>0</v>
      </c>
      <c r="FP14" s="145">
        <v>0</v>
      </c>
      <c r="FQ14" s="145">
        <v>0</v>
      </c>
      <c r="FR14" s="145">
        <v>0</v>
      </c>
      <c r="FS14" s="145">
        <v>0</v>
      </c>
      <c r="FT14" s="145">
        <v>0</v>
      </c>
      <c r="FU14" s="145">
        <v>0</v>
      </c>
      <c r="FV14" s="145">
        <v>0</v>
      </c>
      <c r="FW14" s="145">
        <v>0</v>
      </c>
      <c r="FX14" s="143"/>
      <c r="FY14" s="146" t="str">
        <f>_xlfn.XLOOKUP($E14,'Key assumptions'!$B$112:$B$120,'Key assumptions'!$C$112:$C$120,0)</f>
        <v>Nominal</v>
      </c>
      <c r="FZ14" s="146" cm="1">
        <f t="array" ref="FZ14">IF($FY14=0,0,_xlfn.IFS($FY14='Key assumptions'!$C$120,_xlfn.XLOOKUP(LEFT(FZ$7,6),Inflation_Year,Inflation_NominaltoReal),TRUE,_xlfn.XLOOKUP($FY14,Inflation_Year,NominaltoReal)))</f>
        <v>1.0197075870962191</v>
      </c>
      <c r="GA14" s="146" cm="1">
        <f t="array" ref="GA14">IF($FY14=0,0,_xlfn.IFS($FY14='Key assumptions'!$C$120,_xlfn.XLOOKUP(LEFT(GA$7,6),Inflation_Year,Inflation_NominaltoReal),TRUE,_xlfn.XLOOKUP($FY14,Inflation_Year,NominaltoReal)))</f>
        <v>0.98700804022984445</v>
      </c>
      <c r="GB14" s="146" cm="1">
        <f t="array" ref="GB14">IF($FY14=0,0,_xlfn.IFS($FY14='Key assumptions'!$C$120,_xlfn.XLOOKUP(LEFT(GB$7,6),Inflation_Year,Inflation_NominaltoReal),TRUE,_xlfn.XLOOKUP($FY14,Inflation_Year,NominaltoReal)))</f>
        <v>0.96152830081941731</v>
      </c>
      <c r="GC14" s="146" cm="1">
        <f t="array" ref="GC14">IF($FY14=0,0,_xlfn.IFS($FY14='Key assumptions'!$C$120,_xlfn.XLOOKUP(LEFT(GC$7,6),Inflation_Year,Inflation_NominaltoReal),TRUE,_xlfn.XLOOKUP($FY14,Inflation_Year,NominaltoReal)))</f>
        <v>0.93670632415656829</v>
      </c>
      <c r="GD14" s="146" cm="1">
        <f t="array" ref="GD14">IF($FY14=0,0,_xlfn.IFS($FY14='Key assumptions'!$C$120,_xlfn.XLOOKUP(LEFT(GD$7,6),Inflation_Year,Inflation_NominaltoReal),TRUE,_xlfn.XLOOKUP($FY14,Inflation_Year,NominaltoReal)))</f>
        <v>0.91252513001143176</v>
      </c>
      <c r="GE14" s="146" cm="1">
        <f t="array" ref="GE14">IF($FY14=0,0,_xlfn.IFS($FY14='Key assumptions'!$C$120,_xlfn.XLOOKUP(LEFT(GE$7,6),Inflation_Year,Inflation_NominaltoReal),TRUE,_xlfn.XLOOKUP($FY14,Inflation_Year,NominaltoReal)))</f>
        <v>0.88896817650095872</v>
      </c>
      <c r="GF14" s="146" cm="1">
        <f t="array" ref="GF14">IF($FY14=0,0,_xlfn.IFS($FY14='Key assumptions'!$C$120,_xlfn.XLOOKUP(LEFT(GF$7,6),Inflation_Year,Inflation_NominaltoReal),TRUE,_xlfn.XLOOKUP($FY14,Inflation_Year,NominaltoReal)))</f>
        <v>0.86601934877293718</v>
      </c>
      <c r="GG14" s="143"/>
      <c r="GH14" s="145" cm="1">
        <f t="array" ref="GH14">SUMPRODUCT(--($CR$7:$FW$7&gt;=GH$5),--($CR$7:$FW$7&lt;=GH$6),$CR14:$FW14)*FZ14</f>
        <v>256162.57842809797</v>
      </c>
      <c r="GI14" s="145" cm="1">
        <f t="array" ref="GI14">SUMPRODUCT(--($CR$7:$FW$7&gt;=GI$5),--($CR$7:$FW$7&lt;=GI$6),$CR14:$FW14)*GA14</f>
        <v>503326.27997767157</v>
      </c>
      <c r="GJ14" s="145" cm="1">
        <f t="array" ref="GJ14">SUMPRODUCT(--($CR$7:$FW$7&gt;=GJ$5),--($CR$7:$FW$7&lt;=GJ$6),$CR14:$FW14)*GB14</f>
        <v>504966.92349887936</v>
      </c>
      <c r="GK14" s="145" cm="1">
        <f t="array" ref="GK14">SUMPRODUCT(--($CR$7:$FW$7&gt;=GK$5),--($CR$7:$FW$7&lt;=GK$6),$CR14:$FW14)*GC14</f>
        <v>198104.95720219679</v>
      </c>
      <c r="GL14" s="145" cm="1">
        <f t="array" ref="GL14">SUMPRODUCT(--($CR$7:$FW$7&gt;=GL$5),--($CR$7:$FW$7&lt;=GL$6),$CR14:$FW14)*GD14</f>
        <v>0</v>
      </c>
      <c r="GM14" s="145" cm="1">
        <f t="array" ref="GM14">SUMPRODUCT(--($CR$7:$FW$7&gt;=GM$5),--($CR$7:$FW$7&lt;=GM$6),$CR14:$FW14)*GE14</f>
        <v>0</v>
      </c>
      <c r="GN14" s="145" cm="1">
        <f t="array" ref="GN14">SUMPRODUCT(--($CR$7:$FW$7&gt;=GN$5),--($CR$7:$FW$7&lt;=GN$6),$CR14:$FW14)*GF14</f>
        <v>0</v>
      </c>
      <c r="GO14" s="145">
        <f t="shared" si="18"/>
        <v>1462560.7391068458</v>
      </c>
      <c r="GP14" s="87"/>
      <c r="GQ14" s="89"/>
      <c r="GR14" s="145" cm="1">
        <f t="array" ref="GR14">SUMPRODUCT(--($CR$7:$FW$7&gt;=GR$5),--($CR$7:$FW$7&lt;=GR$6),$CR14:$FW14)</f>
        <v>118302.79999999999</v>
      </c>
      <c r="GS14" s="89"/>
      <c r="GT14" s="214" cm="1">
        <f t="array" ref="GT14">--AND(MIN(IF($K14:$CP14&lt;&gt;0,$K$7:$CP$7))&gt;=GT$5,MIN(IF($K14:$CP14&lt;&gt;0,$K$7:$CP$7))&lt;=GT$6)</f>
        <v>1</v>
      </c>
      <c r="GU14" s="214" cm="1">
        <f t="array" ref="GU14">--AND(MIN(IF($K14:$CP14&lt;&gt;0,$K$7:$CP$7))&gt;=GU$5,MIN(IF($K14:$CP14&lt;&gt;0,$K$7:$CP$7))&lt;=GU$6)</f>
        <v>0</v>
      </c>
      <c r="GV14" s="214" cm="1">
        <f t="array" ref="GV14">--AND(MIN(IF($K14:$CP14&lt;&gt;0,$K$7:$CP$7))&gt;=GV$5,MIN(IF($K14:$CP14&lt;&gt;0,$K$7:$CP$7))&lt;=GV$6)</f>
        <v>0</v>
      </c>
      <c r="GW14" s="214" cm="1">
        <f t="array" ref="GW14">--AND(MIN(IF($K14:$CP14&lt;&gt;0,$K$7:$CP$7))&gt;=GW$5,MIN(IF($K14:$CP14&lt;&gt;0,$K$7:$CP$7))&lt;=GW$6)</f>
        <v>0</v>
      </c>
      <c r="GX14" s="214" cm="1">
        <f t="array" ref="GX14">--AND(MIN(IF($K14:$CP14&lt;&gt;0,$K$7:$CP$7))&gt;=GX$5,MIN(IF($K14:$CP14&lt;&gt;0,$K$7:$CP$7))&lt;=GX$6)</f>
        <v>0</v>
      </c>
      <c r="GY14" s="214" cm="1">
        <f t="array" ref="GY14">--AND(MIN(IF($K14:$CP14&lt;&gt;0,$K$7:$CP$7))&gt;=GY$5,MIN(IF($K14:$CP14&lt;&gt;0,$K$7:$CP$7))&lt;=GY$6)</f>
        <v>0</v>
      </c>
      <c r="GZ14" s="214" cm="1">
        <f t="array" ref="GZ14">--AND(MIN(IF($K14:$CP14&lt;&gt;0,$K$7:$CP$7))&gt;=GZ$5,MIN(IF($K14:$CP14&lt;&gt;0,$K$7:$CP$7))&lt;=GZ$6)</f>
        <v>0</v>
      </c>
      <c r="HA14" s="214">
        <f t="shared" si="0"/>
        <v>1</v>
      </c>
      <c r="HC14" s="214" cm="1">
        <f t="array" ref="HC14">--AND(MIN(IF($K14:$CP14&lt;&gt;0,$K$7:$CP$7))&gt;=HC$5,MIN(IF($K14:$CP14&lt;&gt;0,$K$7:$CP$7))&lt;=HC$6)</f>
        <v>1</v>
      </c>
      <c r="HE14" s="147" t="str">
        <f t="shared" si="19"/>
        <v>Yes</v>
      </c>
      <c r="HF14" s="147" t="str">
        <f t="shared" si="20"/>
        <v>No</v>
      </c>
      <c r="HG14" s="147">
        <f>IF($HF14="Yes",0,$H14*avg_hrs*12*'Key assumptions'!$D$87)</f>
        <v>565897.7280568576</v>
      </c>
      <c r="HH14" s="147">
        <f>IF(HE14="Yes",'Key assumptions'!$D$84*HG14,0)</f>
        <v>84884.659208528639</v>
      </c>
      <c r="HI14" s="144">
        <f>IFERROR(AVERAGEIFS($K14:$CP14,$K$7:$CP$7,"&gt;="&amp;'Key assumptions'!$D$24,$K$7:$CP$7,"&lt;="&amp;'Key assumptions'!$D$25),0)</f>
        <v>0.79186602870813383</v>
      </c>
      <c r="HJ14" s="148">
        <f t="shared" si="21"/>
        <v>67217.277985700901</v>
      </c>
      <c r="HK14" s="148">
        <f t="shared" si="1"/>
        <v>67217.277985700901</v>
      </c>
      <c r="HL14" s="148">
        <f t="shared" si="2"/>
        <v>0</v>
      </c>
      <c r="HM14" s="148">
        <f t="shared" si="3"/>
        <v>0</v>
      </c>
      <c r="HN14" s="148">
        <f t="shared" si="4"/>
        <v>0</v>
      </c>
      <c r="HO14" s="148">
        <f t="shared" si="5"/>
        <v>0</v>
      </c>
      <c r="HP14" s="148">
        <f t="shared" si="6"/>
        <v>0</v>
      </c>
      <c r="HQ14" s="148">
        <f t="shared" si="7"/>
        <v>0</v>
      </c>
      <c r="HR14" s="147">
        <f t="shared" si="8"/>
        <v>67217.277985700901</v>
      </c>
      <c r="HS14" s="89"/>
      <c r="HU14" s="147">
        <f>$HJ14*HC14/(1+'Key assumptions'!G36)^0.75</f>
        <v>67217.277985700901</v>
      </c>
      <c r="HW14" s="216">
        <f t="shared" si="9"/>
        <v>0.79186602870813383</v>
      </c>
      <c r="HX14" s="216">
        <f t="shared" si="10"/>
        <v>0</v>
      </c>
      <c r="HY14" s="216">
        <f t="shared" si="11"/>
        <v>0</v>
      </c>
      <c r="HZ14" s="216">
        <f t="shared" si="12"/>
        <v>0</v>
      </c>
      <c r="IA14" s="216">
        <f t="shared" si="13"/>
        <v>0</v>
      </c>
      <c r="IB14" s="216">
        <f t="shared" si="14"/>
        <v>0</v>
      </c>
      <c r="IC14" s="216">
        <f t="shared" si="15"/>
        <v>0</v>
      </c>
      <c r="ID14" s="216">
        <f t="shared" si="16"/>
        <v>0.79186602870813383</v>
      </c>
      <c r="IF14" s="216">
        <f t="shared" si="17"/>
        <v>0.79186602870813383</v>
      </c>
    </row>
    <row r="15" spans="1:241" x14ac:dyDescent="0.2">
      <c r="B15" s="141" t="str">
        <v>Project Delivery Management - Project Management</v>
      </c>
      <c r="C15" s="141" t="str">
        <v>Project Manager - Senior (Network Projects)</v>
      </c>
      <c r="D15" s="141" t="str">
        <v>Internal Labour</v>
      </c>
      <c r="E15" s="141" t="str">
        <v>$ Nominal</v>
      </c>
      <c r="F15" s="141" t="str">
        <v>Existing</v>
      </c>
      <c r="G15" s="141" t="str">
        <v>Normal time</v>
      </c>
      <c r="H15" s="142">
        <v>316.45</v>
      </c>
      <c r="I15" s="126">
        <v>1659032.92</v>
      </c>
      <c r="J15" s="143">
        <v>0</v>
      </c>
      <c r="K15" s="144">
        <v>0</v>
      </c>
      <c r="L15" s="144">
        <v>0</v>
      </c>
      <c r="M15" s="144">
        <v>0</v>
      </c>
      <c r="N15" s="144">
        <v>0</v>
      </c>
      <c r="O15" s="144">
        <v>0</v>
      </c>
      <c r="P15" s="144">
        <v>0</v>
      </c>
      <c r="Q15" s="144">
        <v>0</v>
      </c>
      <c r="R15" s="144">
        <v>0</v>
      </c>
      <c r="S15" s="144">
        <v>0</v>
      </c>
      <c r="T15" s="144">
        <v>0</v>
      </c>
      <c r="U15" s="144">
        <v>0</v>
      </c>
      <c r="V15" s="144">
        <v>0.8666666666666667</v>
      </c>
      <c r="W15" s="144">
        <v>0.89047619047619042</v>
      </c>
      <c r="X15" s="144">
        <v>1</v>
      </c>
      <c r="Y15" s="144">
        <v>1</v>
      </c>
      <c r="Z15" s="144">
        <v>1.3333333333333333</v>
      </c>
      <c r="AA15" s="144">
        <v>0.92105263157894735</v>
      </c>
      <c r="AB15" s="144">
        <v>0.92105263157894735</v>
      </c>
      <c r="AC15" s="144">
        <v>1</v>
      </c>
      <c r="AD15" s="144">
        <v>1</v>
      </c>
      <c r="AE15" s="144">
        <v>1</v>
      </c>
      <c r="AF15" s="144">
        <v>1</v>
      </c>
      <c r="AG15" s="144">
        <v>1</v>
      </c>
      <c r="AH15" s="144">
        <v>1</v>
      </c>
      <c r="AI15" s="144">
        <v>1</v>
      </c>
      <c r="AJ15" s="144">
        <v>1</v>
      </c>
      <c r="AK15" s="144">
        <v>1</v>
      </c>
      <c r="AL15" s="144">
        <v>1</v>
      </c>
      <c r="AM15" s="144">
        <v>1</v>
      </c>
      <c r="AN15" s="144">
        <v>1</v>
      </c>
      <c r="AO15" s="144">
        <v>1</v>
      </c>
      <c r="AP15" s="144">
        <v>1</v>
      </c>
      <c r="AQ15" s="144">
        <v>1</v>
      </c>
      <c r="AR15" s="144">
        <v>1</v>
      </c>
      <c r="AS15" s="144">
        <v>1</v>
      </c>
      <c r="AT15" s="144">
        <v>1</v>
      </c>
      <c r="AU15" s="144">
        <v>1</v>
      </c>
      <c r="AV15" s="144">
        <v>1</v>
      </c>
      <c r="AW15" s="144">
        <v>1</v>
      </c>
      <c r="AX15" s="144">
        <v>1</v>
      </c>
      <c r="AY15" s="144">
        <v>1</v>
      </c>
      <c r="AZ15" s="144">
        <v>1</v>
      </c>
      <c r="BA15" s="144">
        <v>1</v>
      </c>
      <c r="BB15" s="144">
        <v>1</v>
      </c>
      <c r="BC15" s="144">
        <v>1</v>
      </c>
      <c r="BD15" s="144">
        <v>1</v>
      </c>
      <c r="BE15" s="144">
        <v>1</v>
      </c>
      <c r="BF15" s="144">
        <v>1</v>
      </c>
      <c r="BG15" s="144">
        <v>1</v>
      </c>
      <c r="BH15" s="144">
        <v>1</v>
      </c>
      <c r="BI15" s="144">
        <v>0</v>
      </c>
      <c r="BJ15" s="144">
        <v>0</v>
      </c>
      <c r="BK15" s="144">
        <v>0</v>
      </c>
      <c r="BL15" s="144">
        <v>0</v>
      </c>
      <c r="BM15" s="144">
        <v>0</v>
      </c>
      <c r="BN15" s="144">
        <v>0</v>
      </c>
      <c r="BO15" s="144">
        <v>0</v>
      </c>
      <c r="BP15" s="144">
        <v>0</v>
      </c>
      <c r="BQ15" s="144">
        <v>0</v>
      </c>
      <c r="BR15" s="144">
        <v>0</v>
      </c>
      <c r="BS15" s="144">
        <v>0</v>
      </c>
      <c r="BT15" s="144">
        <v>0</v>
      </c>
      <c r="BU15" s="144">
        <v>0</v>
      </c>
      <c r="BV15" s="144">
        <v>0</v>
      </c>
      <c r="BW15" s="144">
        <v>0</v>
      </c>
      <c r="BX15" s="144">
        <v>0</v>
      </c>
      <c r="BY15" s="144">
        <v>0</v>
      </c>
      <c r="BZ15" s="144">
        <v>0</v>
      </c>
      <c r="CA15" s="144">
        <v>0</v>
      </c>
      <c r="CB15" s="144">
        <v>0</v>
      </c>
      <c r="CC15" s="144">
        <v>0</v>
      </c>
      <c r="CD15" s="144">
        <v>0</v>
      </c>
      <c r="CE15" s="144">
        <v>0</v>
      </c>
      <c r="CF15" s="144">
        <v>0</v>
      </c>
      <c r="CG15" s="144">
        <v>0</v>
      </c>
      <c r="CH15" s="144">
        <v>0</v>
      </c>
      <c r="CI15" s="144">
        <v>0</v>
      </c>
      <c r="CJ15" s="144">
        <v>0</v>
      </c>
      <c r="CK15" s="144">
        <v>0</v>
      </c>
      <c r="CL15" s="144">
        <v>0</v>
      </c>
      <c r="CM15" s="144">
        <v>0</v>
      </c>
      <c r="CN15" s="144">
        <v>0</v>
      </c>
      <c r="CO15" s="144">
        <v>0</v>
      </c>
      <c r="CP15" s="144">
        <v>0</v>
      </c>
      <c r="CQ15" s="143">
        <v>0</v>
      </c>
      <c r="CR15" s="145">
        <v>0</v>
      </c>
      <c r="CS15" s="145">
        <v>0</v>
      </c>
      <c r="CT15" s="145">
        <v>0</v>
      </c>
      <c r="CU15" s="145">
        <v>0</v>
      </c>
      <c r="CV15" s="145">
        <v>0</v>
      </c>
      <c r="CW15" s="145">
        <v>0</v>
      </c>
      <c r="CX15" s="145">
        <v>0</v>
      </c>
      <c r="CY15" s="145">
        <v>0</v>
      </c>
      <c r="CZ15" s="145">
        <v>0</v>
      </c>
      <c r="DA15" s="145">
        <v>0</v>
      </c>
      <c r="DB15" s="145">
        <v>0</v>
      </c>
      <c r="DC15" s="145">
        <v>31770.700000000004</v>
      </c>
      <c r="DD15" s="145">
        <v>32643.520000000004</v>
      </c>
      <c r="DE15" s="145">
        <v>43019.199999999997</v>
      </c>
      <c r="DF15" s="145">
        <v>43019.199999999997</v>
      </c>
      <c r="DG15" s="145">
        <v>43019.199999999997</v>
      </c>
      <c r="DH15" s="145">
        <v>43019.199999999997</v>
      </c>
      <c r="DI15" s="145">
        <v>43019.199999999997</v>
      </c>
      <c r="DJ15" s="145">
        <v>44303</v>
      </c>
      <c r="DK15" s="145">
        <v>44303</v>
      </c>
      <c r="DL15" s="145">
        <v>44303</v>
      </c>
      <c r="DM15" s="145">
        <v>44303</v>
      </c>
      <c r="DN15" s="145">
        <v>44303</v>
      </c>
      <c r="DO15" s="145">
        <v>33227.25</v>
      </c>
      <c r="DP15" s="145">
        <v>33227.25</v>
      </c>
      <c r="DQ15" s="145">
        <v>44303</v>
      </c>
      <c r="DR15" s="145">
        <v>44303</v>
      </c>
      <c r="DS15" s="145">
        <v>33227.25</v>
      </c>
      <c r="DT15" s="145">
        <v>48100.4</v>
      </c>
      <c r="DU15" s="145">
        <v>48100.4</v>
      </c>
      <c r="DV15" s="145">
        <v>45619</v>
      </c>
      <c r="DW15" s="145">
        <v>45619</v>
      </c>
      <c r="DX15" s="145">
        <v>45619</v>
      </c>
      <c r="DY15" s="145">
        <v>45619</v>
      </c>
      <c r="DZ15" s="145">
        <v>45619</v>
      </c>
      <c r="EA15" s="145">
        <v>34214.25</v>
      </c>
      <c r="EB15" s="145">
        <v>34214.25</v>
      </c>
      <c r="EC15" s="145">
        <v>45619</v>
      </c>
      <c r="ED15" s="145">
        <v>45619</v>
      </c>
      <c r="EE15" s="145">
        <v>34214.25</v>
      </c>
      <c r="EF15" s="145">
        <v>49529.200000000004</v>
      </c>
      <c r="EG15" s="145">
        <v>49529.200000000004</v>
      </c>
      <c r="EH15" s="145">
        <v>46998</v>
      </c>
      <c r="EI15" s="145">
        <v>46998</v>
      </c>
      <c r="EJ15" s="145">
        <v>46998</v>
      </c>
      <c r="EK15" s="145">
        <v>46998</v>
      </c>
      <c r="EL15" s="145">
        <v>46998</v>
      </c>
      <c r="EM15" s="145">
        <v>35248.5</v>
      </c>
      <c r="EN15" s="145">
        <v>35248.5</v>
      </c>
      <c r="EO15" s="145">
        <v>46998</v>
      </c>
      <c r="EP15" s="145">
        <v>0</v>
      </c>
      <c r="EQ15" s="145">
        <v>0</v>
      </c>
      <c r="ER15" s="145">
        <v>0</v>
      </c>
      <c r="ES15" s="145">
        <v>0</v>
      </c>
      <c r="ET15" s="145">
        <v>0</v>
      </c>
      <c r="EU15" s="145">
        <v>0</v>
      </c>
      <c r="EV15" s="145">
        <v>0</v>
      </c>
      <c r="EW15" s="145">
        <v>0</v>
      </c>
      <c r="EX15" s="145">
        <v>0</v>
      </c>
      <c r="EY15" s="145">
        <v>0</v>
      </c>
      <c r="EZ15" s="145">
        <v>0</v>
      </c>
      <c r="FA15" s="145">
        <v>0</v>
      </c>
      <c r="FB15" s="145">
        <v>0</v>
      </c>
      <c r="FC15" s="145">
        <v>0</v>
      </c>
      <c r="FD15" s="145">
        <v>0</v>
      </c>
      <c r="FE15" s="145">
        <v>0</v>
      </c>
      <c r="FF15" s="145">
        <v>0</v>
      </c>
      <c r="FG15" s="145">
        <v>0</v>
      </c>
      <c r="FH15" s="145">
        <v>0</v>
      </c>
      <c r="FI15" s="145">
        <v>0</v>
      </c>
      <c r="FJ15" s="145">
        <v>0</v>
      </c>
      <c r="FK15" s="145">
        <v>0</v>
      </c>
      <c r="FL15" s="145">
        <v>0</v>
      </c>
      <c r="FM15" s="145">
        <v>0</v>
      </c>
      <c r="FN15" s="145">
        <v>0</v>
      </c>
      <c r="FO15" s="145">
        <v>0</v>
      </c>
      <c r="FP15" s="145">
        <v>0</v>
      </c>
      <c r="FQ15" s="145">
        <v>0</v>
      </c>
      <c r="FR15" s="145">
        <v>0</v>
      </c>
      <c r="FS15" s="145">
        <v>0</v>
      </c>
      <c r="FT15" s="145">
        <v>0</v>
      </c>
      <c r="FU15" s="145">
        <v>0</v>
      </c>
      <c r="FV15" s="145">
        <v>0</v>
      </c>
      <c r="FW15" s="145">
        <v>0</v>
      </c>
      <c r="FX15" s="143"/>
      <c r="FY15" s="146" t="str">
        <f>_xlfn.XLOOKUP($E15,'Key assumptions'!$B$112:$B$120,'Key assumptions'!$C$112:$C$120,0)</f>
        <v>Nominal</v>
      </c>
      <c r="FZ15" s="146" cm="1">
        <f t="array" ref="FZ15">IF($FY15=0,0,_xlfn.IFS($FY15='Key assumptions'!$C$120,_xlfn.XLOOKUP(LEFT(FZ$7,6),Inflation_Year,Inflation_NominaltoReal),TRUE,_xlfn.XLOOKUP($FY15,Inflation_Year,NominaltoReal)))</f>
        <v>1.0197075870962191</v>
      </c>
      <c r="GA15" s="146" cm="1">
        <f t="array" ref="GA15">IF($FY15=0,0,_xlfn.IFS($FY15='Key assumptions'!$C$120,_xlfn.XLOOKUP(LEFT(GA$7,6),Inflation_Year,Inflation_NominaltoReal),TRUE,_xlfn.XLOOKUP($FY15,Inflation_Year,NominaltoReal)))</f>
        <v>0.98700804022984445</v>
      </c>
      <c r="GB15" s="146" cm="1">
        <f t="array" ref="GB15">IF($FY15=0,0,_xlfn.IFS($FY15='Key assumptions'!$C$120,_xlfn.XLOOKUP(LEFT(GB$7,6),Inflation_Year,Inflation_NominaltoReal),TRUE,_xlfn.XLOOKUP($FY15,Inflation_Year,NominaltoReal)))</f>
        <v>0.96152830081941731</v>
      </c>
      <c r="GC15" s="146" cm="1">
        <f t="array" ref="GC15">IF($FY15=0,0,_xlfn.IFS($FY15='Key assumptions'!$C$120,_xlfn.XLOOKUP(LEFT(GC$7,6),Inflation_Year,Inflation_NominaltoReal),TRUE,_xlfn.XLOOKUP($FY15,Inflation_Year,NominaltoReal)))</f>
        <v>0.93670632415656829</v>
      </c>
      <c r="GD15" s="146" cm="1">
        <f t="array" ref="GD15">IF($FY15=0,0,_xlfn.IFS($FY15='Key assumptions'!$C$120,_xlfn.XLOOKUP(LEFT(GD$7,6),Inflation_Year,Inflation_NominaltoReal),TRUE,_xlfn.XLOOKUP($FY15,Inflation_Year,NominaltoReal)))</f>
        <v>0.91252513001143176</v>
      </c>
      <c r="GE15" s="146" cm="1">
        <f t="array" ref="GE15">IF($FY15=0,0,_xlfn.IFS($FY15='Key assumptions'!$C$120,_xlfn.XLOOKUP(LEFT(GE$7,6),Inflation_Year,Inflation_NominaltoReal),TRUE,_xlfn.XLOOKUP($FY15,Inflation_Year,NominaltoReal)))</f>
        <v>0.88896817650095872</v>
      </c>
      <c r="GF15" s="146" cm="1">
        <f t="array" ref="GF15">IF($FY15=0,0,_xlfn.IFS($FY15='Key assumptions'!$C$120,_xlfn.XLOOKUP(LEFT(GF$7,6),Inflation_Year,Inflation_NominaltoReal),TRUE,_xlfn.XLOOKUP($FY15,Inflation_Year,NominaltoReal)))</f>
        <v>0.86601934877293718</v>
      </c>
      <c r="GG15" s="143"/>
      <c r="GH15" s="145" cm="1">
        <f t="array" ref="GH15">SUMPRODUCT(--($CR$7:$FW$7&gt;=GH$5),--($CR$7:$FW$7&lt;=GH$6),$CR15:$FW15)*FZ15</f>
        <v>354863.33884741971</v>
      </c>
      <c r="GI15" s="145" cm="1">
        <f t="array" ref="GI15">SUMPRODUCT(--($CR$7:$FW$7&gt;=GI$5),--($CR$7:$FW$7&lt;=GI$6),$CR15:$FW15)*GA15</f>
        <v>503326.27997767157</v>
      </c>
      <c r="GJ15" s="145" cm="1">
        <f t="array" ref="GJ15">SUMPRODUCT(--($CR$7:$FW$7&gt;=GJ$5),--($CR$7:$FW$7&lt;=GJ$6),$CR15:$FW15)*GB15</f>
        <v>504966.92349887936</v>
      </c>
      <c r="GK15" s="145" cm="1">
        <f t="array" ref="GK15">SUMPRODUCT(--($CR$7:$FW$7&gt;=GK$5),--($CR$7:$FW$7&lt;=GK$6),$CR15:$FW15)*GC15</f>
        <v>198104.95720219679</v>
      </c>
      <c r="GL15" s="145" cm="1">
        <f t="array" ref="GL15">SUMPRODUCT(--($CR$7:$FW$7&gt;=GL$5),--($CR$7:$FW$7&lt;=GL$6),$CR15:$FW15)*GD15</f>
        <v>0</v>
      </c>
      <c r="GM15" s="145" cm="1">
        <f t="array" ref="GM15">SUMPRODUCT(--($CR$7:$FW$7&gt;=GM$5),--($CR$7:$FW$7&lt;=GM$6),$CR15:$FW15)*GE15</f>
        <v>0</v>
      </c>
      <c r="GN15" s="145" cm="1">
        <f t="array" ref="GN15">SUMPRODUCT(--($CR$7:$FW$7&gt;=GN$5),--($CR$7:$FW$7&lt;=GN$6),$CR15:$FW15)*GF15</f>
        <v>0</v>
      </c>
      <c r="GO15" s="145">
        <f t="shared" si="18"/>
        <v>1561261.4995261675</v>
      </c>
      <c r="GP15" s="87"/>
      <c r="GQ15" s="89"/>
      <c r="GR15" s="145" cm="1">
        <f t="array" ref="GR15">SUMPRODUCT(--($CR$7:$FW$7&gt;=GR$5),--($CR$7:$FW$7&lt;=GR$6),$CR15:$FW15)</f>
        <v>215096</v>
      </c>
      <c r="GS15" s="89"/>
      <c r="GT15" s="214" cm="1">
        <f t="array" ref="GT15">--AND(MIN(IF($K15:$CP15&lt;&gt;0,$K$7:$CP$7))&gt;=GT$5,MIN(IF($K15:$CP15&lt;&gt;0,$K$7:$CP$7))&lt;=GT$6)</f>
        <v>0</v>
      </c>
      <c r="GU15" s="214" cm="1">
        <f t="array" ref="GU15">--AND(MIN(IF($K15:$CP15&lt;&gt;0,$K$7:$CP$7))&gt;=GU$5,MIN(IF($K15:$CP15&lt;&gt;0,$K$7:$CP$7))&lt;=GU$6)</f>
        <v>0</v>
      </c>
      <c r="GV15" s="214" cm="1">
        <f t="array" ref="GV15">--AND(MIN(IF($K15:$CP15&lt;&gt;0,$K$7:$CP$7))&gt;=GV$5,MIN(IF($K15:$CP15&lt;&gt;0,$K$7:$CP$7))&lt;=GV$6)</f>
        <v>0</v>
      </c>
      <c r="GW15" s="214" cm="1">
        <f t="array" ref="GW15">--AND(MIN(IF($K15:$CP15&lt;&gt;0,$K$7:$CP$7))&gt;=GW$5,MIN(IF($K15:$CP15&lt;&gt;0,$K$7:$CP$7))&lt;=GW$6)</f>
        <v>0</v>
      </c>
      <c r="GX15" s="214" cm="1">
        <f t="array" ref="GX15">--AND(MIN(IF($K15:$CP15&lt;&gt;0,$K$7:$CP$7))&gt;=GX$5,MIN(IF($K15:$CP15&lt;&gt;0,$K$7:$CP$7))&lt;=GX$6)</f>
        <v>0</v>
      </c>
      <c r="GY15" s="214" cm="1">
        <f t="array" ref="GY15">--AND(MIN(IF($K15:$CP15&lt;&gt;0,$K$7:$CP$7))&gt;=GY$5,MIN(IF($K15:$CP15&lt;&gt;0,$K$7:$CP$7))&lt;=GY$6)</f>
        <v>0</v>
      </c>
      <c r="GZ15" s="214" cm="1">
        <f t="array" ref="GZ15">--AND(MIN(IF($K15:$CP15&lt;&gt;0,$K$7:$CP$7))&gt;=GZ$5,MIN(IF($K15:$CP15&lt;&gt;0,$K$7:$CP$7))&lt;=GZ$6)</f>
        <v>0</v>
      </c>
      <c r="HA15" s="214">
        <f t="shared" si="0"/>
        <v>0</v>
      </c>
      <c r="HC15" s="214" cm="1">
        <f t="array" ref="HC15">--AND(MIN(IF($K15:$CP15&lt;&gt;0,$K$7:$CP$7))&gt;=HC$5,MIN(IF($K15:$CP15&lt;&gt;0,$K$7:$CP$7))&lt;=HC$6)</f>
        <v>0</v>
      </c>
      <c r="HE15" s="147" t="str">
        <f t="shared" si="19"/>
        <v>No</v>
      </c>
      <c r="HF15" s="147" t="str">
        <f t="shared" si="20"/>
        <v>No</v>
      </c>
      <c r="HG15" s="147">
        <f>IF($HF15="Yes",0,$H15*avg_hrs*12*'Key assumptions'!$D$87)</f>
        <v>565897.7280568576</v>
      </c>
      <c r="HH15" s="147">
        <f>IF(HE15="Yes",'Key assumptions'!$D$84*HG15,0)</f>
        <v>0</v>
      </c>
      <c r="HI15" s="144">
        <f>IFERROR(AVERAGEIFS($K15:$CP15,$K$7:$CP$7,"&gt;="&amp;'Key assumptions'!$D$24,$K$7:$CP$7,"&lt;="&amp;'Key assumptions'!$D$25),0)</f>
        <v>0.84489633173843692</v>
      </c>
      <c r="HJ15" s="148">
        <f t="shared" si="21"/>
        <v>0</v>
      </c>
      <c r="HK15" s="148">
        <f t="shared" si="1"/>
        <v>0</v>
      </c>
      <c r="HL15" s="148">
        <f t="shared" si="2"/>
        <v>0</v>
      </c>
      <c r="HM15" s="148">
        <f t="shared" si="3"/>
        <v>0</v>
      </c>
      <c r="HN15" s="148">
        <f t="shared" si="4"/>
        <v>0</v>
      </c>
      <c r="HO15" s="148">
        <f t="shared" si="5"/>
        <v>0</v>
      </c>
      <c r="HP15" s="148">
        <f t="shared" si="6"/>
        <v>0</v>
      </c>
      <c r="HQ15" s="148">
        <f t="shared" si="7"/>
        <v>0</v>
      </c>
      <c r="HR15" s="147">
        <f t="shared" si="8"/>
        <v>0</v>
      </c>
      <c r="HS15" s="89"/>
      <c r="HU15" s="147">
        <f>$HJ15*HC15/(1+'Key assumptions'!G37)^0.75</f>
        <v>0</v>
      </c>
      <c r="HW15" s="216">
        <f t="shared" si="9"/>
        <v>0</v>
      </c>
      <c r="HX15" s="216">
        <f t="shared" si="10"/>
        <v>0</v>
      </c>
      <c r="HY15" s="216">
        <f t="shared" si="11"/>
        <v>0</v>
      </c>
      <c r="HZ15" s="216">
        <f t="shared" si="12"/>
        <v>0</v>
      </c>
      <c r="IA15" s="216">
        <f t="shared" si="13"/>
        <v>0</v>
      </c>
      <c r="IB15" s="216">
        <f t="shared" si="14"/>
        <v>0</v>
      </c>
      <c r="IC15" s="216">
        <f t="shared" si="15"/>
        <v>0</v>
      </c>
      <c r="ID15" s="216">
        <f t="shared" si="16"/>
        <v>0</v>
      </c>
      <c r="IF15" s="216">
        <f t="shared" si="17"/>
        <v>0</v>
      </c>
    </row>
    <row r="16" spans="1:241" x14ac:dyDescent="0.2">
      <c r="B16" s="141" t="str">
        <v>Project Delivery Management - Commercial Management</v>
      </c>
      <c r="C16" s="141" t="str">
        <v>Contract Manager - Senior (Commercial)</v>
      </c>
      <c r="D16" s="141" t="str">
        <v>Internal Labour</v>
      </c>
      <c r="E16" s="141" t="str">
        <v>$ Nominal</v>
      </c>
      <c r="F16" s="141" t="str">
        <v>New</v>
      </c>
      <c r="G16" s="141" t="str">
        <v>Normal time</v>
      </c>
      <c r="H16" s="142">
        <v>333.23</v>
      </c>
      <c r="I16" s="126">
        <v>1668284.1</v>
      </c>
      <c r="J16" s="143">
        <v>0</v>
      </c>
      <c r="K16" s="144">
        <v>0</v>
      </c>
      <c r="L16" s="144">
        <v>0</v>
      </c>
      <c r="M16" s="144">
        <v>0</v>
      </c>
      <c r="N16" s="144">
        <v>0</v>
      </c>
      <c r="O16" s="144">
        <v>0</v>
      </c>
      <c r="P16" s="144">
        <v>0</v>
      </c>
      <c r="Q16" s="144">
        <v>0</v>
      </c>
      <c r="R16" s="144">
        <v>0</v>
      </c>
      <c r="S16" s="144">
        <v>0</v>
      </c>
      <c r="T16" s="144">
        <v>0</v>
      </c>
      <c r="U16" s="144">
        <v>0</v>
      </c>
      <c r="V16" s="144">
        <v>0</v>
      </c>
      <c r="W16" s="144">
        <v>0</v>
      </c>
      <c r="X16" s="144">
        <v>1</v>
      </c>
      <c r="Y16" s="144">
        <v>1</v>
      </c>
      <c r="Z16" s="144">
        <v>1</v>
      </c>
      <c r="AA16" s="144">
        <v>0.92105263157894735</v>
      </c>
      <c r="AB16" s="144">
        <v>0.92105263157894735</v>
      </c>
      <c r="AC16" s="144">
        <v>1</v>
      </c>
      <c r="AD16" s="144">
        <v>1</v>
      </c>
      <c r="AE16" s="144">
        <v>1</v>
      </c>
      <c r="AF16" s="144">
        <v>1</v>
      </c>
      <c r="AG16" s="144">
        <v>1</v>
      </c>
      <c r="AH16" s="144">
        <v>1</v>
      </c>
      <c r="AI16" s="144">
        <v>1</v>
      </c>
      <c r="AJ16" s="144">
        <v>1</v>
      </c>
      <c r="AK16" s="144">
        <v>1</v>
      </c>
      <c r="AL16" s="144">
        <v>1</v>
      </c>
      <c r="AM16" s="144">
        <v>1</v>
      </c>
      <c r="AN16" s="144">
        <v>1</v>
      </c>
      <c r="AO16" s="144">
        <v>1</v>
      </c>
      <c r="AP16" s="144">
        <v>1</v>
      </c>
      <c r="AQ16" s="144">
        <v>1</v>
      </c>
      <c r="AR16" s="144">
        <v>1</v>
      </c>
      <c r="AS16" s="144">
        <v>1</v>
      </c>
      <c r="AT16" s="144">
        <v>1</v>
      </c>
      <c r="AU16" s="144">
        <v>1</v>
      </c>
      <c r="AV16" s="144">
        <v>1</v>
      </c>
      <c r="AW16" s="144">
        <v>1</v>
      </c>
      <c r="AX16" s="144">
        <v>1</v>
      </c>
      <c r="AY16" s="144">
        <v>1</v>
      </c>
      <c r="AZ16" s="144">
        <v>1</v>
      </c>
      <c r="BA16" s="144">
        <v>1</v>
      </c>
      <c r="BB16" s="144">
        <v>1</v>
      </c>
      <c r="BC16" s="144">
        <v>1</v>
      </c>
      <c r="BD16" s="144">
        <v>1</v>
      </c>
      <c r="BE16" s="144">
        <v>1</v>
      </c>
      <c r="BF16" s="144">
        <v>1</v>
      </c>
      <c r="BG16" s="144">
        <v>1</v>
      </c>
      <c r="BH16" s="144">
        <v>1</v>
      </c>
      <c r="BI16" s="144">
        <v>0</v>
      </c>
      <c r="BJ16" s="144">
        <v>0</v>
      </c>
      <c r="BK16" s="144">
        <v>0</v>
      </c>
      <c r="BL16" s="144">
        <v>0</v>
      </c>
      <c r="BM16" s="144">
        <v>0</v>
      </c>
      <c r="BN16" s="144">
        <v>0</v>
      </c>
      <c r="BO16" s="144">
        <v>0</v>
      </c>
      <c r="BP16" s="144">
        <v>0</v>
      </c>
      <c r="BQ16" s="144">
        <v>0</v>
      </c>
      <c r="BR16" s="144">
        <v>0</v>
      </c>
      <c r="BS16" s="144">
        <v>0</v>
      </c>
      <c r="BT16" s="144">
        <v>0</v>
      </c>
      <c r="BU16" s="144">
        <v>0</v>
      </c>
      <c r="BV16" s="144">
        <v>0</v>
      </c>
      <c r="BW16" s="144">
        <v>0</v>
      </c>
      <c r="BX16" s="144">
        <v>0</v>
      </c>
      <c r="BY16" s="144">
        <v>0</v>
      </c>
      <c r="BZ16" s="144">
        <v>0</v>
      </c>
      <c r="CA16" s="144">
        <v>0</v>
      </c>
      <c r="CB16" s="144">
        <v>0</v>
      </c>
      <c r="CC16" s="144">
        <v>0</v>
      </c>
      <c r="CD16" s="144">
        <v>0</v>
      </c>
      <c r="CE16" s="144">
        <v>0</v>
      </c>
      <c r="CF16" s="144">
        <v>0</v>
      </c>
      <c r="CG16" s="144">
        <v>0</v>
      </c>
      <c r="CH16" s="144">
        <v>0</v>
      </c>
      <c r="CI16" s="144">
        <v>0</v>
      </c>
      <c r="CJ16" s="144">
        <v>0</v>
      </c>
      <c r="CK16" s="144">
        <v>0</v>
      </c>
      <c r="CL16" s="144">
        <v>0</v>
      </c>
      <c r="CM16" s="144">
        <v>0</v>
      </c>
      <c r="CN16" s="144">
        <v>0</v>
      </c>
      <c r="CO16" s="144">
        <v>0</v>
      </c>
      <c r="CP16" s="144">
        <v>0</v>
      </c>
      <c r="CQ16" s="143">
        <v>0</v>
      </c>
      <c r="CR16" s="145">
        <v>0</v>
      </c>
      <c r="CS16" s="145">
        <v>0</v>
      </c>
      <c r="CT16" s="145">
        <v>0</v>
      </c>
      <c r="CU16" s="145">
        <v>0</v>
      </c>
      <c r="CV16" s="145">
        <v>0</v>
      </c>
      <c r="CW16" s="145">
        <v>0</v>
      </c>
      <c r="CX16" s="145">
        <v>0</v>
      </c>
      <c r="CY16" s="145">
        <v>0</v>
      </c>
      <c r="CZ16" s="145">
        <v>0</v>
      </c>
      <c r="DA16" s="145">
        <v>0</v>
      </c>
      <c r="DB16" s="145">
        <v>0</v>
      </c>
      <c r="DC16" s="145">
        <v>0</v>
      </c>
      <c r="DD16" s="145">
        <v>0</v>
      </c>
      <c r="DE16" s="145">
        <v>45305.4</v>
      </c>
      <c r="DF16" s="145">
        <v>45305.4</v>
      </c>
      <c r="DG16" s="145">
        <v>33979.050000000003</v>
      </c>
      <c r="DH16" s="145">
        <v>45305.4</v>
      </c>
      <c r="DI16" s="145">
        <v>45305.4</v>
      </c>
      <c r="DJ16" s="145">
        <v>46653.599999999999</v>
      </c>
      <c r="DK16" s="145">
        <v>46653.599999999999</v>
      </c>
      <c r="DL16" s="145">
        <v>46653.599999999999</v>
      </c>
      <c r="DM16" s="145">
        <v>46653.599999999999</v>
      </c>
      <c r="DN16" s="145">
        <v>46653.599999999999</v>
      </c>
      <c r="DO16" s="145">
        <v>34990.200000000004</v>
      </c>
      <c r="DP16" s="145">
        <v>34990.200000000004</v>
      </c>
      <c r="DQ16" s="145">
        <v>46653.599999999999</v>
      </c>
      <c r="DR16" s="145">
        <v>46653.599999999999</v>
      </c>
      <c r="DS16" s="145">
        <v>34990.200000000004</v>
      </c>
      <c r="DT16" s="145">
        <v>50652.480000000003</v>
      </c>
      <c r="DU16" s="145">
        <v>50652.480000000003</v>
      </c>
      <c r="DV16" s="145">
        <v>48063.4</v>
      </c>
      <c r="DW16" s="145">
        <v>48063.4</v>
      </c>
      <c r="DX16" s="145">
        <v>48063.4</v>
      </c>
      <c r="DY16" s="145">
        <v>48063.4</v>
      </c>
      <c r="DZ16" s="145">
        <v>48063.4</v>
      </c>
      <c r="EA16" s="145">
        <v>36047.550000000003</v>
      </c>
      <c r="EB16" s="145">
        <v>36047.550000000003</v>
      </c>
      <c r="EC16" s="145">
        <v>48063.4</v>
      </c>
      <c r="ED16" s="145">
        <v>48063.4</v>
      </c>
      <c r="EE16" s="145">
        <v>36047.550000000003</v>
      </c>
      <c r="EF16" s="145">
        <v>52183.12</v>
      </c>
      <c r="EG16" s="145">
        <v>52183.12</v>
      </c>
      <c r="EH16" s="145">
        <v>49504</v>
      </c>
      <c r="EI16" s="145">
        <v>49504</v>
      </c>
      <c r="EJ16" s="145">
        <v>49504</v>
      </c>
      <c r="EK16" s="145">
        <v>49504</v>
      </c>
      <c r="EL16" s="145">
        <v>49504</v>
      </c>
      <c r="EM16" s="145">
        <v>37128</v>
      </c>
      <c r="EN16" s="145">
        <v>37128</v>
      </c>
      <c r="EO16" s="145">
        <v>49504</v>
      </c>
      <c r="EP16" s="145">
        <v>0</v>
      </c>
      <c r="EQ16" s="145">
        <v>0</v>
      </c>
      <c r="ER16" s="145">
        <v>0</v>
      </c>
      <c r="ES16" s="145">
        <v>0</v>
      </c>
      <c r="ET16" s="145">
        <v>0</v>
      </c>
      <c r="EU16" s="145">
        <v>0</v>
      </c>
      <c r="EV16" s="145">
        <v>0</v>
      </c>
      <c r="EW16" s="145">
        <v>0</v>
      </c>
      <c r="EX16" s="145">
        <v>0</v>
      </c>
      <c r="EY16" s="145">
        <v>0</v>
      </c>
      <c r="EZ16" s="145">
        <v>0</v>
      </c>
      <c r="FA16" s="145">
        <v>0</v>
      </c>
      <c r="FB16" s="145">
        <v>0</v>
      </c>
      <c r="FC16" s="145">
        <v>0</v>
      </c>
      <c r="FD16" s="145">
        <v>0</v>
      </c>
      <c r="FE16" s="145">
        <v>0</v>
      </c>
      <c r="FF16" s="145">
        <v>0</v>
      </c>
      <c r="FG16" s="145">
        <v>0</v>
      </c>
      <c r="FH16" s="145">
        <v>0</v>
      </c>
      <c r="FI16" s="145">
        <v>0</v>
      </c>
      <c r="FJ16" s="145">
        <v>0</v>
      </c>
      <c r="FK16" s="145">
        <v>0</v>
      </c>
      <c r="FL16" s="145">
        <v>0</v>
      </c>
      <c r="FM16" s="145">
        <v>0</v>
      </c>
      <c r="FN16" s="145">
        <v>0</v>
      </c>
      <c r="FO16" s="145">
        <v>0</v>
      </c>
      <c r="FP16" s="145">
        <v>0</v>
      </c>
      <c r="FQ16" s="145">
        <v>0</v>
      </c>
      <c r="FR16" s="145">
        <v>0</v>
      </c>
      <c r="FS16" s="145">
        <v>0</v>
      </c>
      <c r="FT16" s="145">
        <v>0</v>
      </c>
      <c r="FU16" s="145">
        <v>0</v>
      </c>
      <c r="FV16" s="145">
        <v>0</v>
      </c>
      <c r="FW16" s="145">
        <v>0</v>
      </c>
      <c r="FX16" s="143"/>
      <c r="FY16" s="146" t="str">
        <f>_xlfn.XLOOKUP($E16,'Key assumptions'!$B$112:$B$120,'Key assumptions'!$C$112:$C$120,0)</f>
        <v>Nominal</v>
      </c>
      <c r="FZ16" s="146" cm="1">
        <f t="array" ref="FZ16">IF($FY16=0,0,_xlfn.IFS($FY16='Key assumptions'!$C$120,_xlfn.XLOOKUP(LEFT(FZ$7,6),Inflation_Year,Inflation_NominaltoReal),TRUE,_xlfn.XLOOKUP($FY16,Inflation_Year,NominaltoReal)))</f>
        <v>1.0197075870962191</v>
      </c>
      <c r="GA16" s="146" cm="1">
        <f t="array" ref="GA16">IF($FY16=0,0,_xlfn.IFS($FY16='Key assumptions'!$C$120,_xlfn.XLOOKUP(LEFT(GA$7,6),Inflation_Year,Inflation_NominaltoReal),TRUE,_xlfn.XLOOKUP($FY16,Inflation_Year,NominaltoReal)))</f>
        <v>0.98700804022984445</v>
      </c>
      <c r="GB16" s="146" cm="1">
        <f t="array" ref="GB16">IF($FY16=0,0,_xlfn.IFS($FY16='Key assumptions'!$C$120,_xlfn.XLOOKUP(LEFT(GB$7,6),Inflation_Year,Inflation_NominaltoReal),TRUE,_xlfn.XLOOKUP($FY16,Inflation_Year,NominaltoReal)))</f>
        <v>0.96152830081941731</v>
      </c>
      <c r="GC16" s="146" cm="1">
        <f t="array" ref="GC16">IF($FY16=0,0,_xlfn.IFS($FY16='Key assumptions'!$C$120,_xlfn.XLOOKUP(LEFT(GC$7,6),Inflation_Year,Inflation_NominaltoReal),TRUE,_xlfn.XLOOKUP($FY16,Inflation_Year,NominaltoReal)))</f>
        <v>0.93670632415656829</v>
      </c>
      <c r="GD16" s="146" cm="1">
        <f t="array" ref="GD16">IF($FY16=0,0,_xlfn.IFS($FY16='Key assumptions'!$C$120,_xlfn.XLOOKUP(LEFT(GD$7,6),Inflation_Year,Inflation_NominaltoReal),TRUE,_xlfn.XLOOKUP($FY16,Inflation_Year,NominaltoReal)))</f>
        <v>0.91252513001143176</v>
      </c>
      <c r="GE16" s="146" cm="1">
        <f t="array" ref="GE16">IF($FY16=0,0,_xlfn.IFS($FY16='Key assumptions'!$C$120,_xlfn.XLOOKUP(LEFT(GE$7,6),Inflation_Year,Inflation_NominaltoReal),TRUE,_xlfn.XLOOKUP($FY16,Inflation_Year,NominaltoReal)))</f>
        <v>0.88896817650095872</v>
      </c>
      <c r="GF16" s="146" cm="1">
        <f t="array" ref="GF16">IF($FY16=0,0,_xlfn.IFS($FY16='Key assumptions'!$C$120,_xlfn.XLOOKUP(LEFT(GF$7,6),Inflation_Year,Inflation_NominaltoReal),TRUE,_xlfn.XLOOKUP($FY16,Inflation_Year,NominaltoReal)))</f>
        <v>0.86601934877293718</v>
      </c>
      <c r="GG16" s="143"/>
      <c r="GH16" s="145" cm="1">
        <f t="array" ref="GH16">SUMPRODUCT(--($CR$7:$FW$7&gt;=GH$5),--($CR$7:$FW$7&lt;=GH$6),$CR16:$FW16)*FZ16</f>
        <v>362160.82520909444</v>
      </c>
      <c r="GI16" s="145" cm="1">
        <f t="array" ref="GI16">SUMPRODUCT(--($CR$7:$FW$7&gt;=GI$5),--($CR$7:$FW$7&lt;=GI$6),$CR16:$FW16)*GA16</f>
        <v>530102.4361679313</v>
      </c>
      <c r="GJ16" s="145" cm="1">
        <f t="array" ref="GJ16">SUMPRODUCT(--($CR$7:$FW$7&gt;=GJ$5),--($CR$7:$FW$7&lt;=GJ$6),$CR16:$FW16)*GB16</f>
        <v>531989.08025642973</v>
      </c>
      <c r="GK16" s="145" cm="1">
        <f t="array" ref="GK16">SUMPRODUCT(--($CR$7:$FW$7&gt;=GK$5),--($CR$7:$FW$7&lt;=GK$6),$CR16:$FW16)*GC16</f>
        <v>208668.1944197104</v>
      </c>
      <c r="GL16" s="145" cm="1">
        <f t="array" ref="GL16">SUMPRODUCT(--($CR$7:$FW$7&gt;=GL$5),--($CR$7:$FW$7&lt;=GL$6),$CR16:$FW16)*GD16</f>
        <v>0</v>
      </c>
      <c r="GM16" s="145" cm="1">
        <f t="array" ref="GM16">SUMPRODUCT(--($CR$7:$FW$7&gt;=GM$5),--($CR$7:$FW$7&lt;=GM$6),$CR16:$FW16)*GE16</f>
        <v>0</v>
      </c>
      <c r="GN16" s="145" cm="1">
        <f t="array" ref="GN16">SUMPRODUCT(--($CR$7:$FW$7&gt;=GN$5),--($CR$7:$FW$7&lt;=GN$6),$CR16:$FW16)*GF16</f>
        <v>0</v>
      </c>
      <c r="GO16" s="145">
        <f t="shared" si="18"/>
        <v>1632920.5360531658</v>
      </c>
      <c r="GP16" s="87"/>
      <c r="GQ16" s="89"/>
      <c r="GR16" s="145" cm="1">
        <f t="array" ref="GR16">SUMPRODUCT(--($CR$7:$FW$7&gt;=GR$5),--($CR$7:$FW$7&lt;=GR$6),$CR16:$FW16)</f>
        <v>215200.65</v>
      </c>
      <c r="GS16" s="89"/>
      <c r="GT16" s="214" cm="1">
        <f t="array" ref="GT16">--AND(MIN(IF($K16:$CP16&lt;&gt;0,$K$7:$CP$7))&gt;=GT$5,MIN(IF($K16:$CP16&lt;&gt;0,$K$7:$CP$7))&lt;=GT$6)</f>
        <v>1</v>
      </c>
      <c r="GU16" s="214" cm="1">
        <f t="array" ref="GU16">--AND(MIN(IF($K16:$CP16&lt;&gt;0,$K$7:$CP$7))&gt;=GU$5,MIN(IF($K16:$CP16&lt;&gt;0,$K$7:$CP$7))&lt;=GU$6)</f>
        <v>0</v>
      </c>
      <c r="GV16" s="214" cm="1">
        <f t="array" ref="GV16">--AND(MIN(IF($K16:$CP16&lt;&gt;0,$K$7:$CP$7))&gt;=GV$5,MIN(IF($K16:$CP16&lt;&gt;0,$K$7:$CP$7))&lt;=GV$6)</f>
        <v>0</v>
      </c>
      <c r="GW16" s="214" cm="1">
        <f t="array" ref="GW16">--AND(MIN(IF($K16:$CP16&lt;&gt;0,$K$7:$CP$7))&gt;=GW$5,MIN(IF($K16:$CP16&lt;&gt;0,$K$7:$CP$7))&lt;=GW$6)</f>
        <v>0</v>
      </c>
      <c r="GX16" s="214" cm="1">
        <f t="array" ref="GX16">--AND(MIN(IF($K16:$CP16&lt;&gt;0,$K$7:$CP$7))&gt;=GX$5,MIN(IF($K16:$CP16&lt;&gt;0,$K$7:$CP$7))&lt;=GX$6)</f>
        <v>0</v>
      </c>
      <c r="GY16" s="214" cm="1">
        <f t="array" ref="GY16">--AND(MIN(IF($K16:$CP16&lt;&gt;0,$K$7:$CP$7))&gt;=GY$5,MIN(IF($K16:$CP16&lt;&gt;0,$K$7:$CP$7))&lt;=GY$6)</f>
        <v>0</v>
      </c>
      <c r="GZ16" s="214" cm="1">
        <f t="array" ref="GZ16">--AND(MIN(IF($K16:$CP16&lt;&gt;0,$K$7:$CP$7))&gt;=GZ$5,MIN(IF($K16:$CP16&lt;&gt;0,$K$7:$CP$7))&lt;=GZ$6)</f>
        <v>0</v>
      </c>
      <c r="HA16" s="214">
        <f t="shared" si="0"/>
        <v>1</v>
      </c>
      <c r="HC16" s="214" cm="1">
        <f t="array" ref="HC16">--AND(MIN(IF($K16:$CP16&lt;&gt;0,$K$7:$CP$7))&gt;=HC$5,MIN(IF($K16:$CP16&lt;&gt;0,$K$7:$CP$7))&lt;=HC$6)</f>
        <v>1</v>
      </c>
      <c r="HE16" s="147" t="str">
        <f t="shared" si="19"/>
        <v>Yes</v>
      </c>
      <c r="HF16" s="147" t="str">
        <f t="shared" si="20"/>
        <v>No</v>
      </c>
      <c r="HG16" s="147">
        <f>IF($HF16="Yes",0,$H16*avg_hrs*12*'Key assumptions'!$D$87)</f>
        <v>595904.88203629851</v>
      </c>
      <c r="HH16" s="147">
        <f>IF(HE16="Yes",'Key assumptions'!$D$84*HG16,0)</f>
        <v>89385.732305444777</v>
      </c>
      <c r="HI16" s="144">
        <f>IFERROR(AVERAGEIFS($K16:$CP16,$K$7:$CP$7,"&gt;="&amp;'Key assumptions'!$D$24,$K$7:$CP$7,"&lt;="&amp;'Key assumptions'!$D$25),0)</f>
        <v>0.83732057416267935</v>
      </c>
      <c r="HJ16" s="148">
        <f t="shared" si="21"/>
        <v>74844.512695946571</v>
      </c>
      <c r="HK16" s="148">
        <f t="shared" si="1"/>
        <v>74844.512695946571</v>
      </c>
      <c r="HL16" s="148">
        <f t="shared" si="2"/>
        <v>0</v>
      </c>
      <c r="HM16" s="148">
        <f t="shared" si="3"/>
        <v>0</v>
      </c>
      <c r="HN16" s="148">
        <f t="shared" si="4"/>
        <v>0</v>
      </c>
      <c r="HO16" s="148">
        <f t="shared" si="5"/>
        <v>0</v>
      </c>
      <c r="HP16" s="148">
        <f t="shared" si="6"/>
        <v>0</v>
      </c>
      <c r="HQ16" s="148">
        <f t="shared" si="7"/>
        <v>0</v>
      </c>
      <c r="HR16" s="147">
        <f t="shared" si="8"/>
        <v>74844.512695946571</v>
      </c>
      <c r="HS16" s="89"/>
      <c r="HU16" s="147">
        <f>$HJ16*HC16/(1+'Key assumptions'!G38)^0.75</f>
        <v>74844.512695946571</v>
      </c>
      <c r="HW16" s="216">
        <f t="shared" si="9"/>
        <v>0.83732057416267935</v>
      </c>
      <c r="HX16" s="216">
        <f t="shared" si="10"/>
        <v>0</v>
      </c>
      <c r="HY16" s="216">
        <f t="shared" si="11"/>
        <v>0</v>
      </c>
      <c r="HZ16" s="216">
        <f t="shared" si="12"/>
        <v>0</v>
      </c>
      <c r="IA16" s="216">
        <f t="shared" si="13"/>
        <v>0</v>
      </c>
      <c r="IB16" s="216">
        <f t="shared" si="14"/>
        <v>0</v>
      </c>
      <c r="IC16" s="216">
        <f t="shared" si="15"/>
        <v>0</v>
      </c>
      <c r="ID16" s="216">
        <f t="shared" si="16"/>
        <v>0.83732057416267935</v>
      </c>
      <c r="IF16" s="216">
        <f t="shared" si="17"/>
        <v>0.83732057416267935</v>
      </c>
    </row>
    <row r="17" spans="2:240" x14ac:dyDescent="0.2">
      <c r="B17" s="141" t="str">
        <v>Other Support &amp; Corporate Roles</v>
      </c>
      <c r="C17" s="141" t="str">
        <v>Program Management Costs</v>
      </c>
      <c r="D17" s="141" t="str">
        <v>Internal Labour</v>
      </c>
      <c r="E17" s="141" t="str">
        <v>$ Nominal</v>
      </c>
      <c r="F17" s="141" t="str">
        <v>Existing</v>
      </c>
      <c r="G17" s="141" t="str">
        <v>Normal time</v>
      </c>
      <c r="H17" s="142">
        <v>366.81</v>
      </c>
      <c r="I17" s="126">
        <v>21883286.018694162</v>
      </c>
      <c r="J17" s="143">
        <v>0</v>
      </c>
      <c r="K17" s="144">
        <v>0</v>
      </c>
      <c r="L17" s="144">
        <v>0</v>
      </c>
      <c r="M17" s="144">
        <v>0</v>
      </c>
      <c r="N17" s="144">
        <v>0</v>
      </c>
      <c r="O17" s="144">
        <v>0</v>
      </c>
      <c r="P17" s="144">
        <v>0</v>
      </c>
      <c r="Q17" s="144">
        <v>0</v>
      </c>
      <c r="R17" s="144">
        <v>0</v>
      </c>
      <c r="S17" s="144">
        <v>0</v>
      </c>
      <c r="T17" s="144">
        <v>0</v>
      </c>
      <c r="U17" s="144">
        <v>0</v>
      </c>
      <c r="V17" s="144">
        <v>0</v>
      </c>
      <c r="W17" s="144">
        <v>0</v>
      </c>
      <c r="X17" s="144">
        <v>10.08482123008381</v>
      </c>
      <c r="Y17" s="144">
        <v>10.620775311956608</v>
      </c>
      <c r="Z17" s="144">
        <v>17.135764252380081</v>
      </c>
      <c r="AA17" s="144">
        <v>11.076756560360472</v>
      </c>
      <c r="AB17" s="144">
        <v>11.495191737554459</v>
      </c>
      <c r="AC17" s="144">
        <v>13.943614410433183</v>
      </c>
      <c r="AD17" s="144">
        <v>12.180032334593337</v>
      </c>
      <c r="AE17" s="144">
        <v>14.932377497237901</v>
      </c>
      <c r="AF17" s="144">
        <v>10.529179616144637</v>
      </c>
      <c r="AG17" s="144">
        <v>10.798949221254679</v>
      </c>
      <c r="AH17" s="144">
        <v>13.696690953305019</v>
      </c>
      <c r="AI17" s="144">
        <v>19.708482394828586</v>
      </c>
      <c r="AJ17" s="144">
        <v>11.442790295535339</v>
      </c>
      <c r="AK17" s="144">
        <v>12.913894435284144</v>
      </c>
      <c r="AL17" s="144">
        <v>14.419580301754532</v>
      </c>
      <c r="AM17" s="144">
        <v>9.6328945454895116</v>
      </c>
      <c r="AN17" s="144">
        <v>10.977787641620454</v>
      </c>
      <c r="AO17" s="144">
        <v>9.6756443184316847</v>
      </c>
      <c r="AP17" s="144">
        <v>9.6756443184316847</v>
      </c>
      <c r="AQ17" s="144">
        <v>12.363323295773816</v>
      </c>
      <c r="AR17" s="144">
        <v>9.1381085229632593</v>
      </c>
      <c r="AS17" s="144">
        <v>10.568865213941045</v>
      </c>
      <c r="AT17" s="144">
        <v>10.682013359221028</v>
      </c>
      <c r="AU17" s="144">
        <v>18.058682316161352</v>
      </c>
      <c r="AV17" s="144">
        <v>10.599661359486014</v>
      </c>
      <c r="AW17" s="144">
        <v>13.651543502811782</v>
      </c>
      <c r="AX17" s="144">
        <v>11.870907393749375</v>
      </c>
      <c r="AY17" s="144">
        <v>12.573790068379273</v>
      </c>
      <c r="AZ17" s="144">
        <v>9.29367092010642</v>
      </c>
      <c r="BA17" s="144">
        <v>7.5778090163913765</v>
      </c>
      <c r="BB17" s="144">
        <v>9.6827559653889832</v>
      </c>
      <c r="BC17" s="144">
        <v>7.5778090163913765</v>
      </c>
      <c r="BD17" s="144">
        <v>7.8735634615312051</v>
      </c>
      <c r="BE17" s="144">
        <v>11.162169716708153</v>
      </c>
      <c r="BF17" s="144">
        <v>10.353316838685821</v>
      </c>
      <c r="BG17" s="144">
        <v>13.588728350775138</v>
      </c>
      <c r="BH17" s="144">
        <v>8.2765062548950183</v>
      </c>
      <c r="BI17" s="144">
        <v>8.3451147290769594</v>
      </c>
      <c r="BJ17" s="144">
        <v>9.7866412973539241</v>
      </c>
      <c r="BK17" s="144">
        <v>0</v>
      </c>
      <c r="BL17" s="144">
        <v>0</v>
      </c>
      <c r="BM17" s="144">
        <v>0</v>
      </c>
      <c r="BN17" s="144">
        <v>0</v>
      </c>
      <c r="BO17" s="144">
        <v>0</v>
      </c>
      <c r="BP17" s="144">
        <v>0</v>
      </c>
      <c r="BQ17" s="144">
        <v>0</v>
      </c>
      <c r="BR17" s="144">
        <v>0</v>
      </c>
      <c r="BS17" s="144">
        <v>0</v>
      </c>
      <c r="BT17" s="144">
        <v>0</v>
      </c>
      <c r="BU17" s="144">
        <v>0</v>
      </c>
      <c r="BV17" s="144">
        <v>0</v>
      </c>
      <c r="BW17" s="144">
        <v>0</v>
      </c>
      <c r="BX17" s="144">
        <v>0</v>
      </c>
      <c r="BY17" s="144">
        <v>0</v>
      </c>
      <c r="BZ17" s="144">
        <v>0</v>
      </c>
      <c r="CA17" s="144">
        <v>0</v>
      </c>
      <c r="CB17" s="144">
        <v>0</v>
      </c>
      <c r="CC17" s="144">
        <v>0</v>
      </c>
      <c r="CD17" s="144">
        <v>0</v>
      </c>
      <c r="CE17" s="144">
        <v>0</v>
      </c>
      <c r="CF17" s="144">
        <v>0</v>
      </c>
      <c r="CG17" s="144">
        <v>0</v>
      </c>
      <c r="CH17" s="144">
        <v>0</v>
      </c>
      <c r="CI17" s="144">
        <v>0</v>
      </c>
      <c r="CJ17" s="144">
        <v>0</v>
      </c>
      <c r="CK17" s="144">
        <v>0</v>
      </c>
      <c r="CL17" s="144">
        <v>0</v>
      </c>
      <c r="CM17" s="144">
        <v>0</v>
      </c>
      <c r="CN17" s="144">
        <v>0</v>
      </c>
      <c r="CO17" s="144">
        <v>0</v>
      </c>
      <c r="CP17" s="144">
        <v>0</v>
      </c>
      <c r="CQ17" s="143">
        <v>0</v>
      </c>
      <c r="CR17" s="145">
        <v>0</v>
      </c>
      <c r="CS17" s="145">
        <v>0</v>
      </c>
      <c r="CT17" s="145">
        <v>0</v>
      </c>
      <c r="CU17" s="145">
        <v>0</v>
      </c>
      <c r="CV17" s="145">
        <v>0</v>
      </c>
      <c r="CW17" s="145">
        <v>0</v>
      </c>
      <c r="CX17" s="145">
        <v>0</v>
      </c>
      <c r="CY17" s="145">
        <v>0</v>
      </c>
      <c r="CZ17" s="145">
        <v>0</v>
      </c>
      <c r="DA17" s="145">
        <v>0</v>
      </c>
      <c r="DB17" s="145">
        <v>0</v>
      </c>
      <c r="DC17" s="145">
        <v>0</v>
      </c>
      <c r="DD17" s="145">
        <v>0</v>
      </c>
      <c r="DE17" s="145">
        <v>502726.32135543192</v>
      </c>
      <c r="DF17" s="145">
        <v>529443.52514597448</v>
      </c>
      <c r="DG17" s="145">
        <v>640660.81562122249</v>
      </c>
      <c r="DH17" s="145">
        <v>599503.30768402806</v>
      </c>
      <c r="DI17" s="145">
        <v>622150.12414263445</v>
      </c>
      <c r="DJ17" s="145">
        <v>716052.00826473942</v>
      </c>
      <c r="DK17" s="145">
        <v>625486.07249130553</v>
      </c>
      <c r="DL17" s="145">
        <v>766828.35456665687</v>
      </c>
      <c r="DM17" s="145">
        <v>540709.17249972199</v>
      </c>
      <c r="DN17" s="145">
        <v>554562.75893878005</v>
      </c>
      <c r="DO17" s="145">
        <v>527528.73690109048</v>
      </c>
      <c r="DP17" s="145">
        <v>759073.18486094277</v>
      </c>
      <c r="DQ17" s="145">
        <v>587626.18716274446</v>
      </c>
      <c r="DR17" s="145">
        <v>663172.38649292069</v>
      </c>
      <c r="DS17" s="145">
        <v>555370.85630109091</v>
      </c>
      <c r="DT17" s="145">
        <v>537083.19133111311</v>
      </c>
      <c r="DU17" s="145">
        <v>612067.86729306541</v>
      </c>
      <c r="DV17" s="145">
        <v>511723.54158435127</v>
      </c>
      <c r="DW17" s="145">
        <v>511723.54158435127</v>
      </c>
      <c r="DX17" s="145">
        <v>653868.96980222641</v>
      </c>
      <c r="DY17" s="145">
        <v>483294.45594077621</v>
      </c>
      <c r="DZ17" s="145">
        <v>558964.02966187114</v>
      </c>
      <c r="EA17" s="145">
        <v>423711.13960485742</v>
      </c>
      <c r="EB17" s="145">
        <v>716312.98395050876</v>
      </c>
      <c r="EC17" s="145">
        <v>560592.77004822437</v>
      </c>
      <c r="ED17" s="145">
        <v>722000.10246800887</v>
      </c>
      <c r="EE17" s="145">
        <v>470869.63204435358</v>
      </c>
      <c r="EF17" s="145">
        <v>722000.10246800887</v>
      </c>
      <c r="EG17" s="145">
        <v>533652.24965026753</v>
      </c>
      <c r="EH17" s="145">
        <v>412889.0487525104</v>
      </c>
      <c r="EI17" s="145">
        <v>527580.45118376345</v>
      </c>
      <c r="EJ17" s="145">
        <v>412889.0487525104</v>
      </c>
      <c r="EK17" s="145">
        <v>429003.70290306618</v>
      </c>
      <c r="EL17" s="145">
        <v>608188.67648639041</v>
      </c>
      <c r="EM17" s="145">
        <v>423087.7749470541</v>
      </c>
      <c r="EN17" s="145">
        <v>555302.70461800846</v>
      </c>
      <c r="EO17" s="145">
        <v>450958.68570796296</v>
      </c>
      <c r="EP17" s="145">
        <v>454696.92819732463</v>
      </c>
      <c r="EQ17" s="145">
        <v>399930.60728430323</v>
      </c>
      <c r="ER17" s="145">
        <v>0</v>
      </c>
      <c r="ES17" s="145">
        <v>0</v>
      </c>
      <c r="ET17" s="145">
        <v>0</v>
      </c>
      <c r="EU17" s="145">
        <v>0</v>
      </c>
      <c r="EV17" s="145">
        <v>0</v>
      </c>
      <c r="EW17" s="145">
        <v>0</v>
      </c>
      <c r="EX17" s="145">
        <v>0</v>
      </c>
      <c r="EY17" s="145">
        <v>0</v>
      </c>
      <c r="EZ17" s="145">
        <v>0</v>
      </c>
      <c r="FA17" s="145">
        <v>0</v>
      </c>
      <c r="FB17" s="145">
        <v>0</v>
      </c>
      <c r="FC17" s="145">
        <v>0</v>
      </c>
      <c r="FD17" s="145">
        <v>0</v>
      </c>
      <c r="FE17" s="145">
        <v>0</v>
      </c>
      <c r="FF17" s="145">
        <v>0</v>
      </c>
      <c r="FG17" s="145">
        <v>0</v>
      </c>
      <c r="FH17" s="145">
        <v>0</v>
      </c>
      <c r="FI17" s="145">
        <v>0</v>
      </c>
      <c r="FJ17" s="145">
        <v>0</v>
      </c>
      <c r="FK17" s="145">
        <v>0</v>
      </c>
      <c r="FL17" s="145">
        <v>0</v>
      </c>
      <c r="FM17" s="145">
        <v>0</v>
      </c>
      <c r="FN17" s="145">
        <v>0</v>
      </c>
      <c r="FO17" s="145">
        <v>0</v>
      </c>
      <c r="FP17" s="145">
        <v>0</v>
      </c>
      <c r="FQ17" s="145">
        <v>0</v>
      </c>
      <c r="FR17" s="145">
        <v>0</v>
      </c>
      <c r="FS17" s="145">
        <v>0</v>
      </c>
      <c r="FT17" s="145">
        <v>0</v>
      </c>
      <c r="FU17" s="145">
        <v>0</v>
      </c>
      <c r="FV17" s="145">
        <v>0</v>
      </c>
      <c r="FW17" s="145">
        <v>0</v>
      </c>
      <c r="FX17" s="143"/>
      <c r="FY17" s="146" t="str">
        <f>_xlfn.XLOOKUP($E17,'Key assumptions'!$B$112:$B$120,'Key assumptions'!$C$112:$C$120,0)</f>
        <v>Nominal</v>
      </c>
      <c r="FZ17" s="146" cm="1">
        <f t="array" ref="FZ17">IF($FY17=0,0,_xlfn.IFS($FY17='Key assumptions'!$C$120,_xlfn.XLOOKUP(LEFT(FZ$7,6),Inflation_Year,Inflation_NominaltoReal),TRUE,_xlfn.XLOOKUP($FY17,Inflation_Year,NominaltoReal)))</f>
        <v>1.0197075870962191</v>
      </c>
      <c r="GA17" s="146" cm="1">
        <f t="array" ref="GA17">IF($FY17=0,0,_xlfn.IFS($FY17='Key assumptions'!$C$120,_xlfn.XLOOKUP(LEFT(GA$7,6),Inflation_Year,Inflation_NominaltoReal),TRUE,_xlfn.XLOOKUP($FY17,Inflation_Year,NominaltoReal)))</f>
        <v>0.98700804022984445</v>
      </c>
      <c r="GB17" s="146" cm="1">
        <f t="array" ref="GB17">IF($FY17=0,0,_xlfn.IFS($FY17='Key assumptions'!$C$120,_xlfn.XLOOKUP(LEFT(GB$7,6),Inflation_Year,Inflation_NominaltoReal),TRUE,_xlfn.XLOOKUP($FY17,Inflation_Year,NominaltoReal)))</f>
        <v>0.96152830081941731</v>
      </c>
      <c r="GC17" s="146" cm="1">
        <f t="array" ref="GC17">IF($FY17=0,0,_xlfn.IFS($FY17='Key assumptions'!$C$120,_xlfn.XLOOKUP(LEFT(GC$7,6),Inflation_Year,Inflation_NominaltoReal),TRUE,_xlfn.XLOOKUP($FY17,Inflation_Year,NominaltoReal)))</f>
        <v>0.93670632415656829</v>
      </c>
      <c r="GD17" s="146" cm="1">
        <f t="array" ref="GD17">IF($FY17=0,0,_xlfn.IFS($FY17='Key assumptions'!$C$120,_xlfn.XLOOKUP(LEFT(GD$7,6),Inflation_Year,Inflation_NominaltoReal),TRUE,_xlfn.XLOOKUP($FY17,Inflation_Year,NominaltoReal)))</f>
        <v>0.91252513001143176</v>
      </c>
      <c r="GE17" s="146" cm="1">
        <f t="array" ref="GE17">IF($FY17=0,0,_xlfn.IFS($FY17='Key assumptions'!$C$120,_xlfn.XLOOKUP(LEFT(GE$7,6),Inflation_Year,Inflation_NominaltoReal),TRUE,_xlfn.XLOOKUP($FY17,Inflation_Year,NominaltoReal)))</f>
        <v>0.88896817650095872</v>
      </c>
      <c r="GF17" s="146" cm="1">
        <f t="array" ref="GF17">IF($FY17=0,0,_xlfn.IFS($FY17='Key assumptions'!$C$120,_xlfn.XLOOKUP(LEFT(GF$7,6),Inflation_Year,Inflation_NominaltoReal),TRUE,_xlfn.XLOOKUP($FY17,Inflation_Year,NominaltoReal)))</f>
        <v>0.86601934877293718</v>
      </c>
      <c r="GG17" s="143"/>
      <c r="GH17" s="145" cm="1">
        <f t="array" ref="GH17">SUMPRODUCT(--($CR$7:$FW$7&gt;=GH$5),--($CR$7:$FW$7&lt;=GH$6),$CR17:$FW17)*FZ17</f>
        <v>5101444.6418069871</v>
      </c>
      <c r="GI17" s="145" cm="1">
        <f t="array" ref="GI17">SUMPRODUCT(--($CR$7:$FW$7&gt;=GI$5),--($CR$7:$FW$7&lt;=GI$6),$CR17:$FW17)*GA17</f>
        <v>6923378.1578964368</v>
      </c>
      <c r="GJ17" s="145" cm="1">
        <f t="array" ref="GJ17">SUMPRODUCT(--($CR$7:$FW$7&gt;=GJ$5),--($CR$7:$FW$7&lt;=GJ$6),$CR17:$FW17)*GB17</f>
        <v>6292968.1299245199</v>
      </c>
      <c r="GK17" s="145" cm="1">
        <f t="array" ref="GK17">SUMPRODUCT(--($CR$7:$FW$7&gt;=GK$5),--($CR$7:$FW$7&lt;=GK$6),$CR17:$FW17)*GC17</f>
        <v>3110960.0809642407</v>
      </c>
      <c r="GL17" s="145" cm="1">
        <f t="array" ref="GL17">SUMPRODUCT(--($CR$7:$FW$7&gt;=GL$5),--($CR$7:$FW$7&lt;=GL$6),$CR17:$FW17)*GD17</f>
        <v>0</v>
      </c>
      <c r="GM17" s="145" cm="1">
        <f t="array" ref="GM17">SUMPRODUCT(--($CR$7:$FW$7&gt;=GM$5),--($CR$7:$FW$7&lt;=GM$6),$CR17:$FW17)*GE17</f>
        <v>0</v>
      </c>
      <c r="GN17" s="145" cm="1">
        <f t="array" ref="GN17">SUMPRODUCT(--($CR$7:$FW$7&gt;=GN$5),--($CR$7:$FW$7&lt;=GN$6),$CR17:$FW17)*GF17</f>
        <v>0</v>
      </c>
      <c r="GO17" s="145">
        <f t="shared" si="18"/>
        <v>21428751.010592185</v>
      </c>
      <c r="GP17" s="87"/>
      <c r="GQ17" s="89"/>
      <c r="GR17" s="145" cm="1">
        <f t="array" ref="GR17">SUMPRODUCT(--($CR$7:$FW$7&gt;=GR$5),--($CR$7:$FW$7&lt;=GR$6),$CR17:$FW17)</f>
        <v>2894484.0939492919</v>
      </c>
      <c r="GS17" s="89"/>
      <c r="GT17" s="214" cm="1">
        <f t="array" ref="GT17">--AND(MIN(IF($K17:$CP17&lt;&gt;0,$K$7:$CP$7))&gt;=GT$5,MIN(IF($K17:$CP17&lt;&gt;0,$K$7:$CP$7))&lt;=GT$6)</f>
        <v>1</v>
      </c>
      <c r="GU17" s="214" cm="1">
        <f t="array" ref="GU17">--AND(MIN(IF($K17:$CP17&lt;&gt;0,$K$7:$CP$7))&gt;=GU$5,MIN(IF($K17:$CP17&lt;&gt;0,$K$7:$CP$7))&lt;=GU$6)</f>
        <v>0</v>
      </c>
      <c r="GV17" s="214" cm="1">
        <f t="array" ref="GV17">--AND(MIN(IF($K17:$CP17&lt;&gt;0,$K$7:$CP$7))&gt;=GV$5,MIN(IF($K17:$CP17&lt;&gt;0,$K$7:$CP$7))&lt;=GV$6)</f>
        <v>0</v>
      </c>
      <c r="GW17" s="214" cm="1">
        <f t="array" ref="GW17">--AND(MIN(IF($K17:$CP17&lt;&gt;0,$K$7:$CP$7))&gt;=GW$5,MIN(IF($K17:$CP17&lt;&gt;0,$K$7:$CP$7))&lt;=GW$6)</f>
        <v>0</v>
      </c>
      <c r="GX17" s="214" cm="1">
        <f t="array" ref="GX17">--AND(MIN(IF($K17:$CP17&lt;&gt;0,$K$7:$CP$7))&gt;=GX$5,MIN(IF($K17:$CP17&lt;&gt;0,$K$7:$CP$7))&lt;=GX$6)</f>
        <v>0</v>
      </c>
      <c r="GY17" s="214" cm="1">
        <f t="array" ref="GY17">--AND(MIN(IF($K17:$CP17&lt;&gt;0,$K$7:$CP$7))&gt;=GY$5,MIN(IF($K17:$CP17&lt;&gt;0,$K$7:$CP$7))&lt;=GY$6)</f>
        <v>0</v>
      </c>
      <c r="GZ17" s="214" cm="1">
        <f t="array" ref="GZ17">--AND(MIN(IF($K17:$CP17&lt;&gt;0,$K$7:$CP$7))&gt;=GZ$5,MIN(IF($K17:$CP17&lt;&gt;0,$K$7:$CP$7))&lt;=GZ$6)</f>
        <v>0</v>
      </c>
      <c r="HA17" s="214">
        <f t="shared" si="0"/>
        <v>1</v>
      </c>
      <c r="HC17" s="214" cm="1">
        <f t="array" ref="HC17">--AND(MIN(IF($K17:$CP17&lt;&gt;0,$K$7:$CP$7))&gt;=HC$5,MIN(IF($K17:$CP17&lt;&gt;0,$K$7:$CP$7))&lt;=HC$6)</f>
        <v>1</v>
      </c>
      <c r="HE17" s="147" t="str">
        <f t="shared" si="19"/>
        <v>No</v>
      </c>
      <c r="HF17" s="147" t="str">
        <f t="shared" si="20"/>
        <v>No</v>
      </c>
      <c r="HG17" s="147">
        <f>IF($HF17="Yes",0,$H17*avg_hrs*12*'Key assumptions'!$D$87)</f>
        <v>655954.95537537034</v>
      </c>
      <c r="HH17" s="147">
        <f>IF(HE17="Yes",'Key assumptions'!$D$84*HG17,0)</f>
        <v>0</v>
      </c>
      <c r="HI17" s="144">
        <f>IFERROR(AVERAGEIFS($K17:$CP17,$K$7:$CP$7,"&gt;="&amp;'Key assumptions'!$D$24,$K$7:$CP$7,"&lt;="&amp;'Key assumptions'!$D$25),0)</f>
        <v>10.181042090374348</v>
      </c>
      <c r="HJ17" s="148">
        <f t="shared" si="21"/>
        <v>0</v>
      </c>
      <c r="HK17" s="148">
        <f t="shared" si="1"/>
        <v>0</v>
      </c>
      <c r="HL17" s="148">
        <f t="shared" si="2"/>
        <v>0</v>
      </c>
      <c r="HM17" s="148">
        <f t="shared" si="3"/>
        <v>0</v>
      </c>
      <c r="HN17" s="148">
        <f t="shared" si="4"/>
        <v>0</v>
      </c>
      <c r="HO17" s="148">
        <f t="shared" si="5"/>
        <v>0</v>
      </c>
      <c r="HP17" s="148">
        <f t="shared" si="6"/>
        <v>0</v>
      </c>
      <c r="HQ17" s="148">
        <f t="shared" si="7"/>
        <v>0</v>
      </c>
      <c r="HR17" s="147">
        <f t="shared" si="8"/>
        <v>0</v>
      </c>
      <c r="HS17" s="90"/>
      <c r="HU17" s="147">
        <f>$HJ17*HC17/(1+'Key assumptions'!G39)^0.75</f>
        <v>0</v>
      </c>
      <c r="HW17" s="216">
        <f t="shared" si="9"/>
        <v>10.181042090374348</v>
      </c>
      <c r="HX17" s="216">
        <f t="shared" si="10"/>
        <v>0</v>
      </c>
      <c r="HY17" s="216">
        <f t="shared" si="11"/>
        <v>0</v>
      </c>
      <c r="HZ17" s="216">
        <f t="shared" si="12"/>
        <v>0</v>
      </c>
      <c r="IA17" s="216">
        <f t="shared" si="13"/>
        <v>0</v>
      </c>
      <c r="IB17" s="216">
        <f t="shared" si="14"/>
        <v>0</v>
      </c>
      <c r="IC17" s="216">
        <f t="shared" si="15"/>
        <v>0</v>
      </c>
      <c r="ID17" s="216">
        <f t="shared" si="16"/>
        <v>10.181042090374348</v>
      </c>
      <c r="IF17" s="216">
        <f t="shared" si="17"/>
        <v>10.181042090374348</v>
      </c>
    </row>
    <row r="18" spans="2:240" x14ac:dyDescent="0.2">
      <c r="B18" s="141" t="str">
        <v>Project Delivery Management - Project Management</v>
      </c>
      <c r="C18" s="141" t="str">
        <v>Project Manager CO (Network Projects)</v>
      </c>
      <c r="D18" s="141" t="str">
        <v>Internal Labour</v>
      </c>
      <c r="E18" s="141" t="str">
        <v>$ Nominal</v>
      </c>
      <c r="F18" s="141" t="str">
        <v>Existing</v>
      </c>
      <c r="G18" s="141" t="str">
        <v>Normal time</v>
      </c>
      <c r="H18" s="142">
        <v>225.37</v>
      </c>
      <c r="I18" s="126">
        <v>1387702.3700000003</v>
      </c>
      <c r="J18" s="143">
        <v>0</v>
      </c>
      <c r="K18" s="144">
        <v>0</v>
      </c>
      <c r="L18" s="144">
        <v>0</v>
      </c>
      <c r="M18" s="144">
        <v>0</v>
      </c>
      <c r="N18" s="144">
        <v>0</v>
      </c>
      <c r="O18" s="144">
        <v>0</v>
      </c>
      <c r="P18" s="144">
        <v>0.78289473684210531</v>
      </c>
      <c r="Q18" s="144">
        <v>1.25</v>
      </c>
      <c r="R18" s="144">
        <v>1</v>
      </c>
      <c r="S18" s="144">
        <v>0.95</v>
      </c>
      <c r="T18" s="144">
        <v>1.1499999999999999</v>
      </c>
      <c r="U18" s="144">
        <v>0.7</v>
      </c>
      <c r="V18" s="144">
        <v>1</v>
      </c>
      <c r="W18" s="144">
        <v>0.93333333333333335</v>
      </c>
      <c r="X18" s="144">
        <v>1</v>
      </c>
      <c r="Y18" s="144">
        <v>1</v>
      </c>
      <c r="Z18" s="144">
        <v>1</v>
      </c>
      <c r="AA18" s="144">
        <v>0.92105263157894735</v>
      </c>
      <c r="AB18" s="144">
        <v>0.92105263157894735</v>
      </c>
      <c r="AC18" s="144">
        <v>1</v>
      </c>
      <c r="AD18" s="144">
        <v>1</v>
      </c>
      <c r="AE18" s="144">
        <v>1</v>
      </c>
      <c r="AF18" s="144">
        <v>1</v>
      </c>
      <c r="AG18" s="144">
        <v>1</v>
      </c>
      <c r="AH18" s="144">
        <v>1</v>
      </c>
      <c r="AI18" s="144">
        <v>1</v>
      </c>
      <c r="AJ18" s="144">
        <v>1</v>
      </c>
      <c r="AK18" s="144">
        <v>1</v>
      </c>
      <c r="AL18" s="144">
        <v>1</v>
      </c>
      <c r="AM18" s="144">
        <v>1</v>
      </c>
      <c r="AN18" s="144">
        <v>1</v>
      </c>
      <c r="AO18" s="144">
        <v>1</v>
      </c>
      <c r="AP18" s="144">
        <v>1</v>
      </c>
      <c r="AQ18" s="144">
        <v>1</v>
      </c>
      <c r="AR18" s="144">
        <v>1</v>
      </c>
      <c r="AS18" s="144">
        <v>1</v>
      </c>
      <c r="AT18" s="144">
        <v>1</v>
      </c>
      <c r="AU18" s="144">
        <v>1</v>
      </c>
      <c r="AV18" s="144">
        <v>1</v>
      </c>
      <c r="AW18" s="144">
        <v>1</v>
      </c>
      <c r="AX18" s="144">
        <v>1</v>
      </c>
      <c r="AY18" s="144">
        <v>0.92105263157894735</v>
      </c>
      <c r="AZ18" s="144">
        <v>0.92105263157894735</v>
      </c>
      <c r="BA18" s="144">
        <v>1</v>
      </c>
      <c r="BB18" s="144">
        <v>1</v>
      </c>
      <c r="BC18" s="144">
        <v>1</v>
      </c>
      <c r="BD18" s="144">
        <v>1</v>
      </c>
      <c r="BE18" s="144">
        <v>1</v>
      </c>
      <c r="BF18" s="144">
        <v>1</v>
      </c>
      <c r="BG18" s="144">
        <v>1</v>
      </c>
      <c r="BH18" s="144">
        <v>1</v>
      </c>
      <c r="BI18" s="144">
        <v>0</v>
      </c>
      <c r="BJ18" s="144">
        <v>0</v>
      </c>
      <c r="BK18" s="144">
        <v>0</v>
      </c>
      <c r="BL18" s="144">
        <v>0</v>
      </c>
      <c r="BM18" s="144">
        <v>0</v>
      </c>
      <c r="BN18" s="144">
        <v>0</v>
      </c>
      <c r="BO18" s="144">
        <v>0</v>
      </c>
      <c r="BP18" s="144">
        <v>0</v>
      </c>
      <c r="BQ18" s="144">
        <v>0</v>
      </c>
      <c r="BR18" s="144">
        <v>0</v>
      </c>
      <c r="BS18" s="144">
        <v>0</v>
      </c>
      <c r="BT18" s="144">
        <v>0</v>
      </c>
      <c r="BU18" s="144">
        <v>0</v>
      </c>
      <c r="BV18" s="144">
        <v>0</v>
      </c>
      <c r="BW18" s="144">
        <v>0</v>
      </c>
      <c r="BX18" s="144">
        <v>0</v>
      </c>
      <c r="BY18" s="144">
        <v>0</v>
      </c>
      <c r="BZ18" s="144">
        <v>0</v>
      </c>
      <c r="CA18" s="144">
        <v>0</v>
      </c>
      <c r="CB18" s="144">
        <v>0</v>
      </c>
      <c r="CC18" s="144">
        <v>0</v>
      </c>
      <c r="CD18" s="144">
        <v>0</v>
      </c>
      <c r="CE18" s="144">
        <v>0</v>
      </c>
      <c r="CF18" s="144">
        <v>0</v>
      </c>
      <c r="CG18" s="144">
        <v>0</v>
      </c>
      <c r="CH18" s="144">
        <v>0</v>
      </c>
      <c r="CI18" s="144">
        <v>0</v>
      </c>
      <c r="CJ18" s="144">
        <v>0</v>
      </c>
      <c r="CK18" s="144">
        <v>0</v>
      </c>
      <c r="CL18" s="144">
        <v>0</v>
      </c>
      <c r="CM18" s="144">
        <v>0</v>
      </c>
      <c r="CN18" s="144">
        <v>0</v>
      </c>
      <c r="CO18" s="144">
        <v>0</v>
      </c>
      <c r="CP18" s="144">
        <v>0</v>
      </c>
      <c r="CQ18" s="143">
        <v>0</v>
      </c>
      <c r="CR18" s="145">
        <v>0</v>
      </c>
      <c r="CS18" s="145">
        <v>0</v>
      </c>
      <c r="CT18" s="145">
        <v>0</v>
      </c>
      <c r="CU18" s="145">
        <v>0</v>
      </c>
      <c r="CV18" s="145">
        <v>0</v>
      </c>
      <c r="CW18" s="145">
        <v>34810.22</v>
      </c>
      <c r="CX18" s="145">
        <v>53463.660000000047</v>
      </c>
      <c r="CY18" s="145">
        <v>41828.959999999999</v>
      </c>
      <c r="CZ18" s="145">
        <v>37309.46</v>
      </c>
      <c r="DA18" s="145">
        <v>34548.580000000031</v>
      </c>
      <c r="DB18" s="145">
        <v>20616.680000000015</v>
      </c>
      <c r="DC18" s="145">
        <v>22089.300000000017</v>
      </c>
      <c r="DD18" s="145">
        <v>20616.680000000011</v>
      </c>
      <c r="DE18" s="145">
        <v>30643.200000000001</v>
      </c>
      <c r="DF18" s="145">
        <v>30643.200000000001</v>
      </c>
      <c r="DG18" s="145">
        <v>22982.399999999998</v>
      </c>
      <c r="DH18" s="145">
        <v>30643.200000000001</v>
      </c>
      <c r="DI18" s="145">
        <v>30643.200000000001</v>
      </c>
      <c r="DJ18" s="145">
        <v>31551.8</v>
      </c>
      <c r="DK18" s="145">
        <v>31551.8</v>
      </c>
      <c r="DL18" s="145">
        <v>31551.8</v>
      </c>
      <c r="DM18" s="145">
        <v>31551.8</v>
      </c>
      <c r="DN18" s="145">
        <v>31551.8</v>
      </c>
      <c r="DO18" s="145">
        <v>23663.850000000002</v>
      </c>
      <c r="DP18" s="145">
        <v>23663.850000000002</v>
      </c>
      <c r="DQ18" s="145">
        <v>31551.8</v>
      </c>
      <c r="DR18" s="145">
        <v>31551.8</v>
      </c>
      <c r="DS18" s="145">
        <v>23663.850000000002</v>
      </c>
      <c r="DT18" s="145">
        <v>34256.239999999998</v>
      </c>
      <c r="DU18" s="145">
        <v>34256.239999999998</v>
      </c>
      <c r="DV18" s="145">
        <v>32491.200000000001</v>
      </c>
      <c r="DW18" s="145">
        <v>32491.200000000001</v>
      </c>
      <c r="DX18" s="145">
        <v>32491.200000000001</v>
      </c>
      <c r="DY18" s="145">
        <v>32491.200000000001</v>
      </c>
      <c r="DZ18" s="145">
        <v>32491.200000000001</v>
      </c>
      <c r="EA18" s="145">
        <v>24368.400000000001</v>
      </c>
      <c r="EB18" s="145">
        <v>24368.400000000001</v>
      </c>
      <c r="EC18" s="145">
        <v>32491.200000000001</v>
      </c>
      <c r="ED18" s="145">
        <v>32491.200000000001</v>
      </c>
      <c r="EE18" s="145">
        <v>24368.400000000001</v>
      </c>
      <c r="EF18" s="145">
        <v>32491.200000000001</v>
      </c>
      <c r="EG18" s="145">
        <v>32491.200000000001</v>
      </c>
      <c r="EH18" s="145">
        <v>33462.800000000003</v>
      </c>
      <c r="EI18" s="145">
        <v>33462.800000000003</v>
      </c>
      <c r="EJ18" s="145">
        <v>33462.800000000003</v>
      </c>
      <c r="EK18" s="145">
        <v>33462.800000000003</v>
      </c>
      <c r="EL18" s="145">
        <v>33462.800000000003</v>
      </c>
      <c r="EM18" s="145">
        <v>25097.100000000002</v>
      </c>
      <c r="EN18" s="145">
        <v>25097.100000000002</v>
      </c>
      <c r="EO18" s="145">
        <v>33462.800000000003</v>
      </c>
      <c r="EP18" s="145">
        <v>0</v>
      </c>
      <c r="EQ18" s="145">
        <v>0</v>
      </c>
      <c r="ER18" s="145">
        <v>0</v>
      </c>
      <c r="ES18" s="145">
        <v>0</v>
      </c>
      <c r="ET18" s="145">
        <v>0</v>
      </c>
      <c r="EU18" s="145">
        <v>0</v>
      </c>
      <c r="EV18" s="145">
        <v>0</v>
      </c>
      <c r="EW18" s="145">
        <v>0</v>
      </c>
      <c r="EX18" s="145">
        <v>0</v>
      </c>
      <c r="EY18" s="145">
        <v>0</v>
      </c>
      <c r="EZ18" s="145">
        <v>0</v>
      </c>
      <c r="FA18" s="145">
        <v>0</v>
      </c>
      <c r="FB18" s="145">
        <v>0</v>
      </c>
      <c r="FC18" s="145">
        <v>0</v>
      </c>
      <c r="FD18" s="145">
        <v>0</v>
      </c>
      <c r="FE18" s="145">
        <v>0</v>
      </c>
      <c r="FF18" s="145">
        <v>0</v>
      </c>
      <c r="FG18" s="145">
        <v>0</v>
      </c>
      <c r="FH18" s="145">
        <v>0</v>
      </c>
      <c r="FI18" s="145">
        <v>0</v>
      </c>
      <c r="FJ18" s="145">
        <v>0</v>
      </c>
      <c r="FK18" s="145">
        <v>0</v>
      </c>
      <c r="FL18" s="145">
        <v>0</v>
      </c>
      <c r="FM18" s="145">
        <v>0</v>
      </c>
      <c r="FN18" s="145">
        <v>0</v>
      </c>
      <c r="FO18" s="145">
        <v>0</v>
      </c>
      <c r="FP18" s="145">
        <v>0</v>
      </c>
      <c r="FQ18" s="145">
        <v>0</v>
      </c>
      <c r="FR18" s="145">
        <v>0</v>
      </c>
      <c r="FS18" s="145">
        <v>0</v>
      </c>
      <c r="FT18" s="145">
        <v>0</v>
      </c>
      <c r="FU18" s="145">
        <v>0</v>
      </c>
      <c r="FV18" s="145">
        <v>0</v>
      </c>
      <c r="FW18" s="145">
        <v>0</v>
      </c>
      <c r="FX18" s="143"/>
      <c r="FY18" s="146" t="str">
        <f>_xlfn.XLOOKUP($E18,'Key assumptions'!$B$112:$B$120,'Key assumptions'!$C$112:$C$120,0)</f>
        <v>Nominal</v>
      </c>
      <c r="FZ18" s="146" cm="1">
        <f t="array" ref="FZ18">IF($FY18=0,0,_xlfn.IFS($FY18='Key assumptions'!$C$120,_xlfn.XLOOKUP(LEFT(FZ$7,6),Inflation_Year,Inflation_NominaltoReal),TRUE,_xlfn.XLOOKUP($FY18,Inflation_Year,NominaltoReal)))</f>
        <v>1.0197075870962191</v>
      </c>
      <c r="GA18" s="146" cm="1">
        <f t="array" ref="GA18">IF($FY18=0,0,_xlfn.IFS($FY18='Key assumptions'!$C$120,_xlfn.XLOOKUP(LEFT(GA$7,6),Inflation_Year,Inflation_NominaltoReal),TRUE,_xlfn.XLOOKUP($FY18,Inflation_Year,NominaltoReal)))</f>
        <v>0.98700804022984445</v>
      </c>
      <c r="GB18" s="146" cm="1">
        <f t="array" ref="GB18">IF($FY18=0,0,_xlfn.IFS($FY18='Key assumptions'!$C$120,_xlfn.XLOOKUP(LEFT(GB$7,6),Inflation_Year,Inflation_NominaltoReal),TRUE,_xlfn.XLOOKUP($FY18,Inflation_Year,NominaltoReal)))</f>
        <v>0.96152830081941731</v>
      </c>
      <c r="GC18" s="146" cm="1">
        <f t="array" ref="GC18">IF($FY18=0,0,_xlfn.IFS($FY18='Key assumptions'!$C$120,_xlfn.XLOOKUP(LEFT(GC$7,6),Inflation_Year,Inflation_NominaltoReal),TRUE,_xlfn.XLOOKUP($FY18,Inflation_Year,NominaltoReal)))</f>
        <v>0.93670632415656829</v>
      </c>
      <c r="GD18" s="146" cm="1">
        <f t="array" ref="GD18">IF($FY18=0,0,_xlfn.IFS($FY18='Key assumptions'!$C$120,_xlfn.XLOOKUP(LEFT(GD$7,6),Inflation_Year,Inflation_NominaltoReal),TRUE,_xlfn.XLOOKUP($FY18,Inflation_Year,NominaltoReal)))</f>
        <v>0.91252513001143176</v>
      </c>
      <c r="GE18" s="146" cm="1">
        <f t="array" ref="GE18">IF($FY18=0,0,_xlfn.IFS($FY18='Key assumptions'!$C$120,_xlfn.XLOOKUP(LEFT(GE$7,6),Inflation_Year,Inflation_NominaltoReal),TRUE,_xlfn.XLOOKUP($FY18,Inflation_Year,NominaltoReal)))</f>
        <v>0.88896817650095872</v>
      </c>
      <c r="GF18" s="146" cm="1">
        <f t="array" ref="GF18">IF($FY18=0,0,_xlfn.IFS($FY18='Key assumptions'!$C$120,_xlfn.XLOOKUP(LEFT(GF$7,6),Inflation_Year,Inflation_NominaltoReal),TRUE,_xlfn.XLOOKUP($FY18,Inflation_Year,NominaltoReal)))</f>
        <v>0.86601934877293718</v>
      </c>
      <c r="GG18" s="143"/>
      <c r="GH18" s="145" cm="1">
        <f t="array" ref="GH18">SUMPRODUCT(--($CR$7:$FW$7&gt;=GH$5),--($CR$7:$FW$7&lt;=GH$6),$CR18:$FW18)*FZ18</f>
        <v>244944.57132093504</v>
      </c>
      <c r="GI18" s="145" cm="1">
        <f t="array" ref="GI18">SUMPRODUCT(--($CR$7:$FW$7&gt;=GI$5),--($CR$7:$FW$7&lt;=GI$6),$CR18:$FW18)*GA18</f>
        <v>358466.34729950922</v>
      </c>
      <c r="GJ18" s="145" cm="1">
        <f t="array" ref="GJ18">SUMPRODUCT(--($CR$7:$FW$7&gt;=GJ$5),--($CR$7:$FW$7&lt;=GJ$6),$CR18:$FW18)*GB18</f>
        <v>354266.25637654675</v>
      </c>
      <c r="GK18" s="145" cm="1">
        <f t="array" ref="GK18">SUMPRODUCT(--($CR$7:$FW$7&gt;=GK$5),--($CR$7:$FW$7&lt;=GK$6),$CR18:$FW18)*GC18</f>
        <v>141051.67372793891</v>
      </c>
      <c r="GL18" s="145" cm="1">
        <f t="array" ref="GL18">SUMPRODUCT(--($CR$7:$FW$7&gt;=GL$5),--($CR$7:$FW$7&lt;=GL$6),$CR18:$FW18)*GD18</f>
        <v>0</v>
      </c>
      <c r="GM18" s="145" cm="1">
        <f t="array" ref="GM18">SUMPRODUCT(--($CR$7:$FW$7&gt;=GM$5),--($CR$7:$FW$7&lt;=GM$6),$CR18:$FW18)*GE18</f>
        <v>0</v>
      </c>
      <c r="GN18" s="145" cm="1">
        <f t="array" ref="GN18">SUMPRODUCT(--($CR$7:$FW$7&gt;=GN$5),--($CR$7:$FW$7&lt;=GN$6),$CR18:$FW18)*GF18</f>
        <v>0</v>
      </c>
      <c r="GO18" s="145">
        <f t="shared" si="18"/>
        <v>1098728.8487249298</v>
      </c>
      <c r="GP18" s="87"/>
      <c r="GQ18" s="89"/>
      <c r="GR18" s="145" cm="1">
        <f t="array" ref="GR18">SUMPRODUCT(--($CR$7:$FW$7&gt;=GR$5),--($CR$7:$FW$7&lt;=GR$6),$CR18:$FW18)</f>
        <v>145555.20000000001</v>
      </c>
      <c r="GS18" s="89"/>
      <c r="GT18" s="214" cm="1">
        <f t="array" ref="GT18">--AND(MIN(IF($K18:$CP18&lt;&gt;0,$K$7:$CP$7))&gt;=GT$5,MIN(IF($K18:$CP18&lt;&gt;0,$K$7:$CP$7))&lt;=GT$6)</f>
        <v>0</v>
      </c>
      <c r="GU18" s="214" cm="1">
        <f t="array" ref="GU18">--AND(MIN(IF($K18:$CP18&lt;&gt;0,$K$7:$CP$7))&gt;=GU$5,MIN(IF($K18:$CP18&lt;&gt;0,$K$7:$CP$7))&lt;=GU$6)</f>
        <v>0</v>
      </c>
      <c r="GV18" s="214" cm="1">
        <f t="array" ref="GV18">--AND(MIN(IF($K18:$CP18&lt;&gt;0,$K$7:$CP$7))&gt;=GV$5,MIN(IF($K18:$CP18&lt;&gt;0,$K$7:$CP$7))&lt;=GV$6)</f>
        <v>0</v>
      </c>
      <c r="GW18" s="214" cm="1">
        <f t="array" ref="GW18">--AND(MIN(IF($K18:$CP18&lt;&gt;0,$K$7:$CP$7))&gt;=GW$5,MIN(IF($K18:$CP18&lt;&gt;0,$K$7:$CP$7))&lt;=GW$6)</f>
        <v>0</v>
      </c>
      <c r="GX18" s="214" cm="1">
        <f t="array" ref="GX18">--AND(MIN(IF($K18:$CP18&lt;&gt;0,$K$7:$CP$7))&gt;=GX$5,MIN(IF($K18:$CP18&lt;&gt;0,$K$7:$CP$7))&lt;=GX$6)</f>
        <v>0</v>
      </c>
      <c r="GY18" s="214" cm="1">
        <f t="array" ref="GY18">--AND(MIN(IF($K18:$CP18&lt;&gt;0,$K$7:$CP$7))&gt;=GY$5,MIN(IF($K18:$CP18&lt;&gt;0,$K$7:$CP$7))&lt;=GY$6)</f>
        <v>0</v>
      </c>
      <c r="GZ18" s="214" cm="1">
        <f t="array" ref="GZ18">--AND(MIN(IF($K18:$CP18&lt;&gt;0,$K$7:$CP$7))&gt;=GZ$5,MIN(IF($K18:$CP18&lt;&gt;0,$K$7:$CP$7))&lt;=GZ$6)</f>
        <v>0</v>
      </c>
      <c r="HA18" s="214">
        <f t="shared" si="0"/>
        <v>0</v>
      </c>
      <c r="HC18" s="214" cm="1">
        <f t="array" ref="HC18">--AND(MIN(IF($K18:$CP18&lt;&gt;0,$K$7:$CP$7))&gt;=HC$5,MIN(IF($K18:$CP18&lt;&gt;0,$K$7:$CP$7))&lt;=HC$6)</f>
        <v>0</v>
      </c>
      <c r="HE18" s="147" t="str">
        <f t="shared" si="19"/>
        <v>No</v>
      </c>
      <c r="HF18" s="147" t="str">
        <f t="shared" si="20"/>
        <v>No</v>
      </c>
      <c r="HG18" s="147">
        <f>IF($HF18="Yes",0,$H18*avg_hrs*12*'Key assumptions'!$D$87)</f>
        <v>403022.1866714299</v>
      </c>
      <c r="HH18" s="147">
        <f>IF(HE18="Yes",'Key assumptions'!$D$84*HG18,0)</f>
        <v>0</v>
      </c>
      <c r="HI18" s="144">
        <f>IFERROR(AVERAGEIFS($K18:$CP18,$K$7:$CP$7,"&gt;="&amp;'Key assumptions'!$D$24,$K$7:$CP$7,"&lt;="&amp;'Key assumptions'!$D$25),0)</f>
        <v>0.8337320574162681</v>
      </c>
      <c r="HJ18" s="148">
        <f t="shared" si="21"/>
        <v>0</v>
      </c>
      <c r="HK18" s="148">
        <f t="shared" si="1"/>
        <v>0</v>
      </c>
      <c r="HL18" s="148">
        <f t="shared" si="2"/>
        <v>0</v>
      </c>
      <c r="HM18" s="148">
        <f t="shared" si="3"/>
        <v>0</v>
      </c>
      <c r="HN18" s="148">
        <f t="shared" si="4"/>
        <v>0</v>
      </c>
      <c r="HO18" s="148">
        <f t="shared" si="5"/>
        <v>0</v>
      </c>
      <c r="HP18" s="148">
        <f t="shared" si="6"/>
        <v>0</v>
      </c>
      <c r="HQ18" s="148">
        <f t="shared" si="7"/>
        <v>0</v>
      </c>
      <c r="HR18" s="147">
        <f t="shared" si="8"/>
        <v>0</v>
      </c>
      <c r="HS18" s="89"/>
      <c r="HU18" s="147">
        <f>$HJ18*HC18/(1+'Key assumptions'!G40)^0.75</f>
        <v>0</v>
      </c>
      <c r="HW18" s="216">
        <f t="shared" si="9"/>
        <v>0</v>
      </c>
      <c r="HX18" s="216">
        <f t="shared" si="10"/>
        <v>0</v>
      </c>
      <c r="HY18" s="216">
        <f t="shared" si="11"/>
        <v>0</v>
      </c>
      <c r="HZ18" s="216">
        <f t="shared" si="12"/>
        <v>0</v>
      </c>
      <c r="IA18" s="216">
        <f t="shared" si="13"/>
        <v>0</v>
      </c>
      <c r="IB18" s="216">
        <f t="shared" si="14"/>
        <v>0</v>
      </c>
      <c r="IC18" s="216">
        <f t="shared" si="15"/>
        <v>0</v>
      </c>
      <c r="ID18" s="216">
        <f t="shared" si="16"/>
        <v>0</v>
      </c>
      <c r="IF18" s="216">
        <f t="shared" si="17"/>
        <v>0</v>
      </c>
    </row>
    <row r="19" spans="2:240" x14ac:dyDescent="0.2">
      <c r="B19" s="141" t="str">
        <v>Project Delivery Management - Project Management</v>
      </c>
      <c r="C19" s="141" t="str">
        <v>Project Manager CO (Network Projects)</v>
      </c>
      <c r="D19" s="141" t="str">
        <v>Internal Labour</v>
      </c>
      <c r="E19" s="141" t="str">
        <v>$ Nominal</v>
      </c>
      <c r="F19" s="141" t="str">
        <v>New</v>
      </c>
      <c r="G19" s="141" t="str">
        <v>Normal time</v>
      </c>
      <c r="H19" s="142">
        <v>225.37</v>
      </c>
      <c r="I19" s="126">
        <v>1487305.0899999999</v>
      </c>
      <c r="J19" s="143">
        <v>0</v>
      </c>
      <c r="K19" s="144">
        <v>0</v>
      </c>
      <c r="L19" s="144">
        <v>0</v>
      </c>
      <c r="M19" s="144">
        <v>0</v>
      </c>
      <c r="N19" s="144">
        <v>0</v>
      </c>
      <c r="O19" s="144">
        <v>0</v>
      </c>
      <c r="P19" s="144">
        <v>0</v>
      </c>
      <c r="Q19" s="144">
        <v>0</v>
      </c>
      <c r="R19" s="144">
        <v>0</v>
      </c>
      <c r="S19" s="144">
        <v>0</v>
      </c>
      <c r="T19" s="144">
        <v>0</v>
      </c>
      <c r="U19" s="144">
        <v>0</v>
      </c>
      <c r="V19" s="144">
        <v>0</v>
      </c>
      <c r="W19" s="144">
        <v>0</v>
      </c>
      <c r="X19" s="144">
        <v>0</v>
      </c>
      <c r="Y19" s="144">
        <v>0</v>
      </c>
      <c r="Z19" s="144">
        <v>1</v>
      </c>
      <c r="AA19" s="144">
        <v>0.92105263157894735</v>
      </c>
      <c r="AB19" s="144">
        <v>0.92105263157894735</v>
      </c>
      <c r="AC19" s="144">
        <v>1</v>
      </c>
      <c r="AD19" s="144">
        <v>1</v>
      </c>
      <c r="AE19" s="144">
        <v>1</v>
      </c>
      <c r="AF19" s="144">
        <v>1</v>
      </c>
      <c r="AG19" s="144">
        <v>1</v>
      </c>
      <c r="AH19" s="144">
        <v>1</v>
      </c>
      <c r="AI19" s="144">
        <v>1</v>
      </c>
      <c r="AJ19" s="144">
        <v>1</v>
      </c>
      <c r="AK19" s="144">
        <v>1</v>
      </c>
      <c r="AL19" s="144">
        <v>1</v>
      </c>
      <c r="AM19" s="144">
        <v>1</v>
      </c>
      <c r="AN19" s="144">
        <v>1</v>
      </c>
      <c r="AO19" s="144">
        <v>1</v>
      </c>
      <c r="AP19" s="144">
        <v>1</v>
      </c>
      <c r="AQ19" s="144">
        <v>1</v>
      </c>
      <c r="AR19" s="144">
        <v>1</v>
      </c>
      <c r="AS19" s="144">
        <v>1</v>
      </c>
      <c r="AT19" s="144">
        <v>1</v>
      </c>
      <c r="AU19" s="144">
        <v>1</v>
      </c>
      <c r="AV19" s="144">
        <v>1</v>
      </c>
      <c r="AW19" s="144">
        <v>1</v>
      </c>
      <c r="AX19" s="144">
        <v>1</v>
      </c>
      <c r="AY19" s="144">
        <v>0.92105263157894735</v>
      </c>
      <c r="AZ19" s="144">
        <v>0.92105263157894735</v>
      </c>
      <c r="BA19" s="144">
        <v>1</v>
      </c>
      <c r="BB19" s="144">
        <v>1</v>
      </c>
      <c r="BC19" s="144">
        <v>1</v>
      </c>
      <c r="BD19" s="144">
        <v>1</v>
      </c>
      <c r="BE19" s="144">
        <v>1</v>
      </c>
      <c r="BF19" s="144">
        <v>1</v>
      </c>
      <c r="BG19" s="144">
        <v>1</v>
      </c>
      <c r="BH19" s="144">
        <v>1</v>
      </c>
      <c r="BI19" s="144">
        <v>16.980952380952381</v>
      </c>
      <c r="BJ19" s="144">
        <v>0</v>
      </c>
      <c r="BK19" s="144">
        <v>0</v>
      </c>
      <c r="BL19" s="144">
        <v>0</v>
      </c>
      <c r="BM19" s="144">
        <v>0</v>
      </c>
      <c r="BN19" s="144">
        <v>0</v>
      </c>
      <c r="BO19" s="144">
        <v>0</v>
      </c>
      <c r="BP19" s="144">
        <v>0</v>
      </c>
      <c r="BQ19" s="144">
        <v>0</v>
      </c>
      <c r="BR19" s="144">
        <v>0</v>
      </c>
      <c r="BS19" s="144">
        <v>0</v>
      </c>
      <c r="BT19" s="144">
        <v>0</v>
      </c>
      <c r="BU19" s="144">
        <v>0</v>
      </c>
      <c r="BV19" s="144">
        <v>0</v>
      </c>
      <c r="BW19" s="144">
        <v>0</v>
      </c>
      <c r="BX19" s="144">
        <v>0</v>
      </c>
      <c r="BY19" s="144">
        <v>0</v>
      </c>
      <c r="BZ19" s="144">
        <v>0</v>
      </c>
      <c r="CA19" s="144">
        <v>0</v>
      </c>
      <c r="CB19" s="144">
        <v>0</v>
      </c>
      <c r="CC19" s="144">
        <v>0</v>
      </c>
      <c r="CD19" s="144">
        <v>0</v>
      </c>
      <c r="CE19" s="144">
        <v>0</v>
      </c>
      <c r="CF19" s="144">
        <v>0</v>
      </c>
      <c r="CG19" s="144">
        <v>0</v>
      </c>
      <c r="CH19" s="144">
        <v>0</v>
      </c>
      <c r="CI19" s="144">
        <v>0</v>
      </c>
      <c r="CJ19" s="144">
        <v>0</v>
      </c>
      <c r="CK19" s="144">
        <v>0</v>
      </c>
      <c r="CL19" s="144">
        <v>0</v>
      </c>
      <c r="CM19" s="144">
        <v>0</v>
      </c>
      <c r="CN19" s="144">
        <v>0</v>
      </c>
      <c r="CO19" s="144">
        <v>0</v>
      </c>
      <c r="CP19" s="144">
        <v>0</v>
      </c>
      <c r="CQ19" s="143">
        <v>0</v>
      </c>
      <c r="CR19" s="145">
        <v>0</v>
      </c>
      <c r="CS19" s="145">
        <v>0</v>
      </c>
      <c r="CT19" s="145">
        <v>0</v>
      </c>
      <c r="CU19" s="145">
        <v>0</v>
      </c>
      <c r="CV19" s="145">
        <v>0</v>
      </c>
      <c r="CW19" s="145">
        <v>0</v>
      </c>
      <c r="CX19" s="145">
        <v>0</v>
      </c>
      <c r="CY19" s="145">
        <v>0</v>
      </c>
      <c r="CZ19" s="145">
        <v>0</v>
      </c>
      <c r="DA19" s="145">
        <v>0</v>
      </c>
      <c r="DB19" s="145">
        <v>0</v>
      </c>
      <c r="DC19" s="145">
        <v>0</v>
      </c>
      <c r="DD19" s="145">
        <v>0</v>
      </c>
      <c r="DE19" s="145">
        <v>0</v>
      </c>
      <c r="DF19" s="145">
        <v>0</v>
      </c>
      <c r="DG19" s="145">
        <v>22982.399999999998</v>
      </c>
      <c r="DH19" s="145">
        <v>30643.200000000001</v>
      </c>
      <c r="DI19" s="145">
        <v>30643.200000000001</v>
      </c>
      <c r="DJ19" s="145">
        <v>31551.8</v>
      </c>
      <c r="DK19" s="145">
        <v>31551.8</v>
      </c>
      <c r="DL19" s="145">
        <v>31551.8</v>
      </c>
      <c r="DM19" s="145">
        <v>31551.8</v>
      </c>
      <c r="DN19" s="145">
        <v>31551.8</v>
      </c>
      <c r="DO19" s="145">
        <v>23663.850000000002</v>
      </c>
      <c r="DP19" s="145">
        <v>23663.850000000002</v>
      </c>
      <c r="DQ19" s="145">
        <v>31551.8</v>
      </c>
      <c r="DR19" s="145">
        <v>31551.8</v>
      </c>
      <c r="DS19" s="145">
        <v>23663.850000000002</v>
      </c>
      <c r="DT19" s="145">
        <v>34256.239999999998</v>
      </c>
      <c r="DU19" s="145">
        <v>34256.239999999998</v>
      </c>
      <c r="DV19" s="145">
        <v>32491.200000000001</v>
      </c>
      <c r="DW19" s="145">
        <v>32491.200000000001</v>
      </c>
      <c r="DX19" s="145">
        <v>32491.200000000001</v>
      </c>
      <c r="DY19" s="145">
        <v>32491.200000000001</v>
      </c>
      <c r="DZ19" s="145">
        <v>32491.200000000001</v>
      </c>
      <c r="EA19" s="145">
        <v>24368.400000000001</v>
      </c>
      <c r="EB19" s="145">
        <v>24368.400000000001</v>
      </c>
      <c r="EC19" s="145">
        <v>32491.200000000001</v>
      </c>
      <c r="ED19" s="145">
        <v>32491.200000000001</v>
      </c>
      <c r="EE19" s="145">
        <v>24368.400000000001</v>
      </c>
      <c r="EF19" s="145">
        <v>32491.200000000001</v>
      </c>
      <c r="EG19" s="145">
        <v>32491.200000000001</v>
      </c>
      <c r="EH19" s="145">
        <v>33462.800000000003</v>
      </c>
      <c r="EI19" s="145">
        <v>33462.800000000003</v>
      </c>
      <c r="EJ19" s="145">
        <v>33462.800000000003</v>
      </c>
      <c r="EK19" s="145">
        <v>33462.800000000003</v>
      </c>
      <c r="EL19" s="145">
        <v>33462.800000000003</v>
      </c>
      <c r="EM19" s="145">
        <v>25097.100000000002</v>
      </c>
      <c r="EN19" s="145">
        <v>25097.100000000002</v>
      </c>
      <c r="EO19" s="145">
        <v>33462.800000000003</v>
      </c>
      <c r="EP19" s="145">
        <v>426172.66000000003</v>
      </c>
      <c r="EQ19" s="145">
        <v>0</v>
      </c>
      <c r="ER19" s="145">
        <v>0</v>
      </c>
      <c r="ES19" s="145">
        <v>0</v>
      </c>
      <c r="ET19" s="145">
        <v>0</v>
      </c>
      <c r="EU19" s="145">
        <v>0</v>
      </c>
      <c r="EV19" s="145">
        <v>0</v>
      </c>
      <c r="EW19" s="145">
        <v>0</v>
      </c>
      <c r="EX19" s="145">
        <v>0</v>
      </c>
      <c r="EY19" s="145">
        <v>0</v>
      </c>
      <c r="EZ19" s="145">
        <v>0</v>
      </c>
      <c r="FA19" s="145">
        <v>0</v>
      </c>
      <c r="FB19" s="145">
        <v>0</v>
      </c>
      <c r="FC19" s="145">
        <v>0</v>
      </c>
      <c r="FD19" s="145">
        <v>0</v>
      </c>
      <c r="FE19" s="145">
        <v>0</v>
      </c>
      <c r="FF19" s="145">
        <v>0</v>
      </c>
      <c r="FG19" s="145">
        <v>0</v>
      </c>
      <c r="FH19" s="145">
        <v>0</v>
      </c>
      <c r="FI19" s="145">
        <v>0</v>
      </c>
      <c r="FJ19" s="145">
        <v>0</v>
      </c>
      <c r="FK19" s="145">
        <v>0</v>
      </c>
      <c r="FL19" s="145">
        <v>0</v>
      </c>
      <c r="FM19" s="145">
        <v>0</v>
      </c>
      <c r="FN19" s="145">
        <v>0</v>
      </c>
      <c r="FO19" s="145">
        <v>0</v>
      </c>
      <c r="FP19" s="145">
        <v>0</v>
      </c>
      <c r="FQ19" s="145">
        <v>0</v>
      </c>
      <c r="FR19" s="145">
        <v>0</v>
      </c>
      <c r="FS19" s="145">
        <v>0</v>
      </c>
      <c r="FT19" s="145">
        <v>0</v>
      </c>
      <c r="FU19" s="145">
        <v>0</v>
      </c>
      <c r="FV19" s="145">
        <v>0</v>
      </c>
      <c r="FW19" s="145">
        <v>0</v>
      </c>
      <c r="FX19" s="143"/>
      <c r="FY19" s="146" t="str">
        <f>_xlfn.XLOOKUP($E19,'Key assumptions'!$B$112:$B$120,'Key assumptions'!$C$112:$C$120,0)</f>
        <v>Nominal</v>
      </c>
      <c r="FZ19" s="146" cm="1">
        <f t="array" ref="FZ19">IF($FY19=0,0,_xlfn.IFS($FY19='Key assumptions'!$C$120,_xlfn.XLOOKUP(LEFT(FZ$7,6),Inflation_Year,Inflation_NominaltoReal),TRUE,_xlfn.XLOOKUP($FY19,Inflation_Year,NominaltoReal)))</f>
        <v>1.0197075870962191</v>
      </c>
      <c r="GA19" s="146" cm="1">
        <f t="array" ref="GA19">IF($FY19=0,0,_xlfn.IFS($FY19='Key assumptions'!$C$120,_xlfn.XLOOKUP(LEFT(GA$7,6),Inflation_Year,Inflation_NominaltoReal),TRUE,_xlfn.XLOOKUP($FY19,Inflation_Year,NominaltoReal)))</f>
        <v>0.98700804022984445</v>
      </c>
      <c r="GB19" s="146" cm="1">
        <f t="array" ref="GB19">IF($FY19=0,0,_xlfn.IFS($FY19='Key assumptions'!$C$120,_xlfn.XLOOKUP(LEFT(GB$7,6),Inflation_Year,Inflation_NominaltoReal),TRUE,_xlfn.XLOOKUP($FY19,Inflation_Year,NominaltoReal)))</f>
        <v>0.96152830081941731</v>
      </c>
      <c r="GC19" s="146" cm="1">
        <f t="array" ref="GC19">IF($FY19=0,0,_xlfn.IFS($FY19='Key assumptions'!$C$120,_xlfn.XLOOKUP(LEFT(GC$7,6),Inflation_Year,Inflation_NominaltoReal),TRUE,_xlfn.XLOOKUP($FY19,Inflation_Year,NominaltoReal)))</f>
        <v>0.93670632415656829</v>
      </c>
      <c r="GD19" s="146" cm="1">
        <f t="array" ref="GD19">IF($FY19=0,0,_xlfn.IFS($FY19='Key assumptions'!$C$120,_xlfn.XLOOKUP(LEFT(GD$7,6),Inflation_Year,Inflation_NominaltoReal),TRUE,_xlfn.XLOOKUP($FY19,Inflation_Year,NominaltoReal)))</f>
        <v>0.91252513001143176</v>
      </c>
      <c r="GE19" s="146" cm="1">
        <f t="array" ref="GE19">IF($FY19=0,0,_xlfn.IFS($FY19='Key assumptions'!$C$120,_xlfn.XLOOKUP(LEFT(GE$7,6),Inflation_Year,Inflation_NominaltoReal),TRUE,_xlfn.XLOOKUP($FY19,Inflation_Year,NominaltoReal)))</f>
        <v>0.88896817650095872</v>
      </c>
      <c r="GF19" s="146" cm="1">
        <f t="array" ref="GF19">IF($FY19=0,0,_xlfn.IFS($FY19='Key assumptions'!$C$120,_xlfn.XLOOKUP(LEFT(GF$7,6),Inflation_Year,Inflation_NominaltoReal),TRUE,_xlfn.XLOOKUP($FY19,Inflation_Year,NominaltoReal)))</f>
        <v>0.86601934877293718</v>
      </c>
      <c r="GG19" s="143"/>
      <c r="GH19" s="145" cm="1">
        <f t="array" ref="GH19">SUMPRODUCT(--($CR$7:$FW$7&gt;=GH$5),--($CR$7:$FW$7&lt;=GH$6),$CR19:$FW19)*FZ19</f>
        <v>182450.3642551213</v>
      </c>
      <c r="GI19" s="145" cm="1">
        <f t="array" ref="GI19">SUMPRODUCT(--($CR$7:$FW$7&gt;=GI$5),--($CR$7:$FW$7&lt;=GI$6),$CR19:$FW19)*GA19</f>
        <v>358466.34729950922</v>
      </c>
      <c r="GJ19" s="145" cm="1">
        <f t="array" ref="GJ19">SUMPRODUCT(--($CR$7:$FW$7&gt;=GJ$5),--($CR$7:$FW$7&lt;=GJ$6),$CR19:$FW19)*GB19</f>
        <v>354266.25637654675</v>
      </c>
      <c r="GK19" s="145" cm="1">
        <f t="array" ref="GK19">SUMPRODUCT(--($CR$7:$FW$7&gt;=GK$5),--($CR$7:$FW$7&lt;=GK$6),$CR19:$FW19)*GC19</f>
        <v>540250.29953256587</v>
      </c>
      <c r="GL19" s="145" cm="1">
        <f t="array" ref="GL19">SUMPRODUCT(--($CR$7:$FW$7&gt;=GL$5),--($CR$7:$FW$7&lt;=GL$6),$CR19:$FW19)*GD19</f>
        <v>0</v>
      </c>
      <c r="GM19" s="145" cm="1">
        <f t="array" ref="GM19">SUMPRODUCT(--($CR$7:$FW$7&gt;=GM$5),--($CR$7:$FW$7&lt;=GM$6),$CR19:$FW19)*GE19</f>
        <v>0</v>
      </c>
      <c r="GN19" s="145" cm="1">
        <f t="array" ref="GN19">SUMPRODUCT(--($CR$7:$FW$7&gt;=GN$5),--($CR$7:$FW$7&lt;=GN$6),$CR19:$FW19)*GF19</f>
        <v>0</v>
      </c>
      <c r="GO19" s="145">
        <f t="shared" si="18"/>
        <v>1435433.2674637432</v>
      </c>
      <c r="GP19" s="87"/>
      <c r="GQ19" s="89"/>
      <c r="GR19" s="145" cm="1">
        <f t="array" ref="GR19">SUMPRODUCT(--($CR$7:$FW$7&gt;=GR$5),--($CR$7:$FW$7&lt;=GR$6),$CR19:$FW19)</f>
        <v>84268.800000000003</v>
      </c>
      <c r="GS19" s="89"/>
      <c r="GT19" s="214" cm="1">
        <f t="array" ref="GT19">--AND(MIN(IF($K19:$CP19&lt;&gt;0,$K$7:$CP$7))&gt;=GT$5,MIN(IF($K19:$CP19&lt;&gt;0,$K$7:$CP$7))&lt;=GT$6)</f>
        <v>1</v>
      </c>
      <c r="GU19" s="214" cm="1">
        <f t="array" ref="GU19">--AND(MIN(IF($K19:$CP19&lt;&gt;0,$K$7:$CP$7))&gt;=GU$5,MIN(IF($K19:$CP19&lt;&gt;0,$K$7:$CP$7))&lt;=GU$6)</f>
        <v>0</v>
      </c>
      <c r="GV19" s="214" cm="1">
        <f t="array" ref="GV19">--AND(MIN(IF($K19:$CP19&lt;&gt;0,$K$7:$CP$7))&gt;=GV$5,MIN(IF($K19:$CP19&lt;&gt;0,$K$7:$CP$7))&lt;=GV$6)</f>
        <v>0</v>
      </c>
      <c r="GW19" s="214" cm="1">
        <f t="array" ref="GW19">--AND(MIN(IF($K19:$CP19&lt;&gt;0,$K$7:$CP$7))&gt;=GW$5,MIN(IF($K19:$CP19&lt;&gt;0,$K$7:$CP$7))&lt;=GW$6)</f>
        <v>0</v>
      </c>
      <c r="GX19" s="214" cm="1">
        <f t="array" ref="GX19">--AND(MIN(IF($K19:$CP19&lt;&gt;0,$K$7:$CP$7))&gt;=GX$5,MIN(IF($K19:$CP19&lt;&gt;0,$K$7:$CP$7))&lt;=GX$6)</f>
        <v>0</v>
      </c>
      <c r="GY19" s="214" cm="1">
        <f t="array" ref="GY19">--AND(MIN(IF($K19:$CP19&lt;&gt;0,$K$7:$CP$7))&gt;=GY$5,MIN(IF($K19:$CP19&lt;&gt;0,$K$7:$CP$7))&lt;=GY$6)</f>
        <v>0</v>
      </c>
      <c r="GZ19" s="214" cm="1">
        <f t="array" ref="GZ19">--AND(MIN(IF($K19:$CP19&lt;&gt;0,$K$7:$CP$7))&gt;=GZ$5,MIN(IF($K19:$CP19&lt;&gt;0,$K$7:$CP$7))&lt;=GZ$6)</f>
        <v>0</v>
      </c>
      <c r="HA19" s="214">
        <f t="shared" si="0"/>
        <v>1</v>
      </c>
      <c r="HC19" s="214" cm="1">
        <f t="array" ref="HC19">--AND(MIN(IF($K19:$CP19&lt;&gt;0,$K$7:$CP$7))&gt;=HC$5,MIN(IF($K19:$CP19&lt;&gt;0,$K$7:$CP$7))&lt;=HC$6)</f>
        <v>1</v>
      </c>
      <c r="HE19" s="147" t="str">
        <f t="shared" si="19"/>
        <v>Yes</v>
      </c>
      <c r="HF19" s="147" t="str">
        <f t="shared" si="20"/>
        <v>No</v>
      </c>
      <c r="HG19" s="147">
        <f>IF($HF19="Yes",0,$H19*avg_hrs*12*'Key assumptions'!$D$87)</f>
        <v>403022.1866714299</v>
      </c>
      <c r="HH19" s="147">
        <f>IF(HE19="Yes",'Key assumptions'!$D$84*HG19,0)</f>
        <v>60453.328000714479</v>
      </c>
      <c r="HI19" s="144">
        <f>IFERROR(AVERAGEIFS($K19:$CP19,$K$7:$CP$7,"&gt;="&amp;'Key assumptions'!$D$24,$K$7:$CP$7,"&lt;="&amp;'Key assumptions'!$D$25),0)</f>
        <v>1.1742082478924585</v>
      </c>
      <c r="HJ19" s="148">
        <f t="shared" si="21"/>
        <v>70984.796350987046</v>
      </c>
      <c r="HK19" s="148">
        <f t="shared" si="1"/>
        <v>70984.796350987046</v>
      </c>
      <c r="HL19" s="148">
        <f t="shared" si="2"/>
        <v>0</v>
      </c>
      <c r="HM19" s="148">
        <f t="shared" si="3"/>
        <v>0</v>
      </c>
      <c r="HN19" s="148">
        <f t="shared" si="4"/>
        <v>0</v>
      </c>
      <c r="HO19" s="148">
        <f t="shared" si="5"/>
        <v>0</v>
      </c>
      <c r="HP19" s="148">
        <f t="shared" si="6"/>
        <v>0</v>
      </c>
      <c r="HQ19" s="148">
        <f t="shared" si="7"/>
        <v>0</v>
      </c>
      <c r="HR19" s="147">
        <f t="shared" si="8"/>
        <v>70984.796350987046</v>
      </c>
      <c r="HS19" s="89"/>
      <c r="HU19" s="147">
        <f>$HJ19*HC19/(1+'Key assumptions'!G41)^0.75</f>
        <v>70984.796350987046</v>
      </c>
      <c r="HW19" s="216">
        <f t="shared" si="9"/>
        <v>1.1742082478924585</v>
      </c>
      <c r="HX19" s="216">
        <f t="shared" si="10"/>
        <v>0</v>
      </c>
      <c r="HY19" s="216">
        <f t="shared" si="11"/>
        <v>0</v>
      </c>
      <c r="HZ19" s="216">
        <f t="shared" si="12"/>
        <v>0</v>
      </c>
      <c r="IA19" s="216">
        <f t="shared" si="13"/>
        <v>0</v>
      </c>
      <c r="IB19" s="216">
        <f t="shared" si="14"/>
        <v>0</v>
      </c>
      <c r="IC19" s="216">
        <f t="shared" si="15"/>
        <v>0</v>
      </c>
      <c r="ID19" s="216">
        <f t="shared" si="16"/>
        <v>1.1742082478924585</v>
      </c>
      <c r="IF19" s="216">
        <f t="shared" si="17"/>
        <v>1.1742082478924585</v>
      </c>
    </row>
    <row r="20" spans="2:240" x14ac:dyDescent="0.2">
      <c r="B20" s="141" t="str">
        <v>Project Delivery Management - Project Management</v>
      </c>
      <c r="C20" s="141" t="str">
        <v>Project Manager CO (Network Projects)</v>
      </c>
      <c r="D20" s="141" t="str">
        <v>Internal Labour</v>
      </c>
      <c r="E20" s="141" t="str">
        <v>$ Nominal</v>
      </c>
      <c r="F20" s="141" t="str">
        <v>Existing</v>
      </c>
      <c r="G20" s="141" t="str">
        <v>Normal time</v>
      </c>
      <c r="H20" s="142">
        <v>225.37</v>
      </c>
      <c r="I20" s="126">
        <v>1393196.8400000003</v>
      </c>
      <c r="J20" s="143">
        <v>0</v>
      </c>
      <c r="K20" s="144">
        <v>0</v>
      </c>
      <c r="L20" s="144">
        <v>0</v>
      </c>
      <c r="M20" s="144">
        <v>0</v>
      </c>
      <c r="N20" s="144">
        <v>0</v>
      </c>
      <c r="O20" s="144">
        <v>0</v>
      </c>
      <c r="P20" s="144">
        <v>0.73684210526315785</v>
      </c>
      <c r="Q20" s="144">
        <v>1.1000000000000001</v>
      </c>
      <c r="R20" s="144">
        <v>1</v>
      </c>
      <c r="S20" s="144">
        <v>0.76685714285714313</v>
      </c>
      <c r="T20" s="144">
        <v>1.2225714285714291</v>
      </c>
      <c r="U20" s="144">
        <v>1.0002857142857231</v>
      </c>
      <c r="V20" s="144">
        <v>0.96323809523809567</v>
      </c>
      <c r="W20" s="144">
        <v>1.2596190476190472</v>
      </c>
      <c r="X20" s="144">
        <v>1</v>
      </c>
      <c r="Y20" s="144">
        <v>1</v>
      </c>
      <c r="Z20" s="144">
        <v>1</v>
      </c>
      <c r="AA20" s="144">
        <v>0.92105263157894735</v>
      </c>
      <c r="AB20" s="144">
        <v>0.92105263157894735</v>
      </c>
      <c r="AC20" s="144">
        <v>1</v>
      </c>
      <c r="AD20" s="144">
        <v>1</v>
      </c>
      <c r="AE20" s="144">
        <v>1</v>
      </c>
      <c r="AF20" s="144">
        <v>1</v>
      </c>
      <c r="AG20" s="144">
        <v>1</v>
      </c>
      <c r="AH20" s="144">
        <v>1</v>
      </c>
      <c r="AI20" s="144">
        <v>1</v>
      </c>
      <c r="AJ20" s="144">
        <v>1</v>
      </c>
      <c r="AK20" s="144">
        <v>1</v>
      </c>
      <c r="AL20" s="144">
        <v>1</v>
      </c>
      <c r="AM20" s="144">
        <v>1</v>
      </c>
      <c r="AN20" s="144">
        <v>1</v>
      </c>
      <c r="AO20" s="144">
        <v>1</v>
      </c>
      <c r="AP20" s="144">
        <v>1</v>
      </c>
      <c r="AQ20" s="144">
        <v>1</v>
      </c>
      <c r="AR20" s="144">
        <v>1</v>
      </c>
      <c r="AS20" s="144">
        <v>1</v>
      </c>
      <c r="AT20" s="144">
        <v>1</v>
      </c>
      <c r="AU20" s="144">
        <v>1</v>
      </c>
      <c r="AV20" s="144">
        <v>1</v>
      </c>
      <c r="AW20" s="144">
        <v>1</v>
      </c>
      <c r="AX20" s="144">
        <v>1</v>
      </c>
      <c r="AY20" s="144">
        <v>1</v>
      </c>
      <c r="AZ20" s="144">
        <v>1</v>
      </c>
      <c r="BA20" s="144">
        <v>1</v>
      </c>
      <c r="BB20" s="144">
        <v>1</v>
      </c>
      <c r="BC20" s="144">
        <v>1</v>
      </c>
      <c r="BD20" s="144">
        <v>1</v>
      </c>
      <c r="BE20" s="144">
        <v>1</v>
      </c>
      <c r="BF20" s="144">
        <v>1</v>
      </c>
      <c r="BG20" s="144">
        <v>1</v>
      </c>
      <c r="BH20" s="144">
        <v>1</v>
      </c>
      <c r="BI20" s="144">
        <v>0</v>
      </c>
      <c r="BJ20" s="144">
        <v>0</v>
      </c>
      <c r="BK20" s="144">
        <v>0</v>
      </c>
      <c r="BL20" s="144">
        <v>0</v>
      </c>
      <c r="BM20" s="144">
        <v>0</v>
      </c>
      <c r="BN20" s="144">
        <v>0</v>
      </c>
      <c r="BO20" s="144">
        <v>0</v>
      </c>
      <c r="BP20" s="144">
        <v>0</v>
      </c>
      <c r="BQ20" s="144">
        <v>0</v>
      </c>
      <c r="BR20" s="144">
        <v>0</v>
      </c>
      <c r="BS20" s="144">
        <v>0</v>
      </c>
      <c r="BT20" s="144">
        <v>0</v>
      </c>
      <c r="BU20" s="144">
        <v>0</v>
      </c>
      <c r="BV20" s="144">
        <v>0</v>
      </c>
      <c r="BW20" s="144">
        <v>0</v>
      </c>
      <c r="BX20" s="144">
        <v>0</v>
      </c>
      <c r="BY20" s="144">
        <v>0</v>
      </c>
      <c r="BZ20" s="144">
        <v>0</v>
      </c>
      <c r="CA20" s="144">
        <v>0</v>
      </c>
      <c r="CB20" s="144">
        <v>0</v>
      </c>
      <c r="CC20" s="144">
        <v>0</v>
      </c>
      <c r="CD20" s="144">
        <v>0</v>
      </c>
      <c r="CE20" s="144">
        <v>0</v>
      </c>
      <c r="CF20" s="144">
        <v>0</v>
      </c>
      <c r="CG20" s="144">
        <v>0</v>
      </c>
      <c r="CH20" s="144">
        <v>0</v>
      </c>
      <c r="CI20" s="144">
        <v>0</v>
      </c>
      <c r="CJ20" s="144">
        <v>0</v>
      </c>
      <c r="CK20" s="144">
        <v>0</v>
      </c>
      <c r="CL20" s="144">
        <v>0</v>
      </c>
      <c r="CM20" s="144">
        <v>0</v>
      </c>
      <c r="CN20" s="144">
        <v>0</v>
      </c>
      <c r="CO20" s="144">
        <v>0</v>
      </c>
      <c r="CP20" s="144">
        <v>0</v>
      </c>
      <c r="CQ20" s="143">
        <v>0</v>
      </c>
      <c r="CR20" s="145">
        <v>0</v>
      </c>
      <c r="CS20" s="145">
        <v>0</v>
      </c>
      <c r="CT20" s="145">
        <v>0</v>
      </c>
      <c r="CU20" s="145">
        <v>0</v>
      </c>
      <c r="CV20" s="145">
        <v>0</v>
      </c>
      <c r="CW20" s="145">
        <v>32762.560000000009</v>
      </c>
      <c r="CX20" s="145">
        <v>47010.830000000045</v>
      </c>
      <c r="CY20" s="145">
        <v>41828.960000000043</v>
      </c>
      <c r="CZ20" s="145">
        <v>25483.159999999996</v>
      </c>
      <c r="DA20" s="145">
        <v>38156.98000000004</v>
      </c>
      <c r="DB20" s="145">
        <v>29987.100000000017</v>
      </c>
      <c r="DC20" s="145">
        <v>21657.350000000057</v>
      </c>
      <c r="DD20" s="145">
        <v>28321.149999999958</v>
      </c>
      <c r="DE20" s="145">
        <v>30643.200000000001</v>
      </c>
      <c r="DF20" s="145">
        <v>30643.200000000001</v>
      </c>
      <c r="DG20" s="145">
        <v>22982.399999999998</v>
      </c>
      <c r="DH20" s="145">
        <v>30643.200000000001</v>
      </c>
      <c r="DI20" s="145">
        <v>30643.200000000001</v>
      </c>
      <c r="DJ20" s="145">
        <v>31551.8</v>
      </c>
      <c r="DK20" s="145">
        <v>31551.8</v>
      </c>
      <c r="DL20" s="145">
        <v>31551.8</v>
      </c>
      <c r="DM20" s="145">
        <v>31551.8</v>
      </c>
      <c r="DN20" s="145">
        <v>31551.8</v>
      </c>
      <c r="DO20" s="145">
        <v>23663.850000000002</v>
      </c>
      <c r="DP20" s="145">
        <v>23663.850000000002</v>
      </c>
      <c r="DQ20" s="145">
        <v>31551.8</v>
      </c>
      <c r="DR20" s="145">
        <v>31551.8</v>
      </c>
      <c r="DS20" s="145">
        <v>23663.850000000002</v>
      </c>
      <c r="DT20" s="145">
        <v>34256.239999999998</v>
      </c>
      <c r="DU20" s="145">
        <v>34256.239999999998</v>
      </c>
      <c r="DV20" s="145">
        <v>32491.200000000001</v>
      </c>
      <c r="DW20" s="145">
        <v>32491.200000000001</v>
      </c>
      <c r="DX20" s="145">
        <v>32491.200000000001</v>
      </c>
      <c r="DY20" s="145">
        <v>32491.200000000001</v>
      </c>
      <c r="DZ20" s="145">
        <v>32491.200000000001</v>
      </c>
      <c r="EA20" s="145">
        <v>24368.400000000001</v>
      </c>
      <c r="EB20" s="145">
        <v>24368.400000000001</v>
      </c>
      <c r="EC20" s="145">
        <v>32491.200000000001</v>
      </c>
      <c r="ED20" s="145">
        <v>32491.200000000001</v>
      </c>
      <c r="EE20" s="145">
        <v>24368.400000000001</v>
      </c>
      <c r="EF20" s="145">
        <v>35276.160000000003</v>
      </c>
      <c r="EG20" s="145">
        <v>35276.160000000003</v>
      </c>
      <c r="EH20" s="145">
        <v>33462.800000000003</v>
      </c>
      <c r="EI20" s="145">
        <v>33462.800000000003</v>
      </c>
      <c r="EJ20" s="145">
        <v>33462.800000000003</v>
      </c>
      <c r="EK20" s="145">
        <v>33462.800000000003</v>
      </c>
      <c r="EL20" s="145">
        <v>33462.800000000003</v>
      </c>
      <c r="EM20" s="145">
        <v>25097.100000000002</v>
      </c>
      <c r="EN20" s="145">
        <v>25097.100000000002</v>
      </c>
      <c r="EO20" s="145">
        <v>33462.800000000003</v>
      </c>
      <c r="EP20" s="145">
        <v>0</v>
      </c>
      <c r="EQ20" s="145">
        <v>0</v>
      </c>
      <c r="ER20" s="145">
        <v>0</v>
      </c>
      <c r="ES20" s="145">
        <v>0</v>
      </c>
      <c r="ET20" s="145">
        <v>0</v>
      </c>
      <c r="EU20" s="145">
        <v>0</v>
      </c>
      <c r="EV20" s="145">
        <v>0</v>
      </c>
      <c r="EW20" s="145">
        <v>0</v>
      </c>
      <c r="EX20" s="145">
        <v>0</v>
      </c>
      <c r="EY20" s="145">
        <v>0</v>
      </c>
      <c r="EZ20" s="145">
        <v>0</v>
      </c>
      <c r="FA20" s="145">
        <v>0</v>
      </c>
      <c r="FB20" s="145">
        <v>0</v>
      </c>
      <c r="FC20" s="145">
        <v>0</v>
      </c>
      <c r="FD20" s="145">
        <v>0</v>
      </c>
      <c r="FE20" s="145">
        <v>0</v>
      </c>
      <c r="FF20" s="145">
        <v>0</v>
      </c>
      <c r="FG20" s="145">
        <v>0</v>
      </c>
      <c r="FH20" s="145">
        <v>0</v>
      </c>
      <c r="FI20" s="145">
        <v>0</v>
      </c>
      <c r="FJ20" s="145">
        <v>0</v>
      </c>
      <c r="FK20" s="145">
        <v>0</v>
      </c>
      <c r="FL20" s="145">
        <v>0</v>
      </c>
      <c r="FM20" s="145">
        <v>0</v>
      </c>
      <c r="FN20" s="145">
        <v>0</v>
      </c>
      <c r="FO20" s="145">
        <v>0</v>
      </c>
      <c r="FP20" s="145">
        <v>0</v>
      </c>
      <c r="FQ20" s="145">
        <v>0</v>
      </c>
      <c r="FR20" s="145">
        <v>0</v>
      </c>
      <c r="FS20" s="145">
        <v>0</v>
      </c>
      <c r="FT20" s="145">
        <v>0</v>
      </c>
      <c r="FU20" s="145">
        <v>0</v>
      </c>
      <c r="FV20" s="145">
        <v>0</v>
      </c>
      <c r="FW20" s="145">
        <v>0</v>
      </c>
      <c r="FX20" s="143"/>
      <c r="FY20" s="146" t="str">
        <f>_xlfn.XLOOKUP($E20,'Key assumptions'!$B$112:$B$120,'Key assumptions'!$C$112:$C$120,0)</f>
        <v>Nominal</v>
      </c>
      <c r="FZ20" s="146" cm="1">
        <f t="array" ref="FZ20">IF($FY20=0,0,_xlfn.IFS($FY20='Key assumptions'!$C$120,_xlfn.XLOOKUP(LEFT(FZ$7,6),Inflation_Year,Inflation_NominaltoReal),TRUE,_xlfn.XLOOKUP($FY20,Inflation_Year,NominaltoReal)))</f>
        <v>1.0197075870962191</v>
      </c>
      <c r="GA20" s="146" cm="1">
        <f t="array" ref="GA20">IF($FY20=0,0,_xlfn.IFS($FY20='Key assumptions'!$C$120,_xlfn.XLOOKUP(LEFT(GA$7,6),Inflation_Year,Inflation_NominaltoReal),TRUE,_xlfn.XLOOKUP($FY20,Inflation_Year,NominaltoReal)))</f>
        <v>0.98700804022984445</v>
      </c>
      <c r="GB20" s="146" cm="1">
        <f t="array" ref="GB20">IF($FY20=0,0,_xlfn.IFS($FY20='Key assumptions'!$C$120,_xlfn.XLOOKUP(LEFT(GB$7,6),Inflation_Year,Inflation_NominaltoReal),TRUE,_xlfn.XLOOKUP($FY20,Inflation_Year,NominaltoReal)))</f>
        <v>0.96152830081941731</v>
      </c>
      <c r="GC20" s="146" cm="1">
        <f t="array" ref="GC20">IF($FY20=0,0,_xlfn.IFS($FY20='Key assumptions'!$C$120,_xlfn.XLOOKUP(LEFT(GC$7,6),Inflation_Year,Inflation_NominaltoReal),TRUE,_xlfn.XLOOKUP($FY20,Inflation_Year,NominaltoReal)))</f>
        <v>0.93670632415656829</v>
      </c>
      <c r="GD20" s="146" cm="1">
        <f t="array" ref="GD20">IF($FY20=0,0,_xlfn.IFS($FY20='Key assumptions'!$C$120,_xlfn.XLOOKUP(LEFT(GD$7,6),Inflation_Year,Inflation_NominaltoReal),TRUE,_xlfn.XLOOKUP($FY20,Inflation_Year,NominaltoReal)))</f>
        <v>0.91252513001143176</v>
      </c>
      <c r="GE20" s="146" cm="1">
        <f t="array" ref="GE20">IF($FY20=0,0,_xlfn.IFS($FY20='Key assumptions'!$C$120,_xlfn.XLOOKUP(LEFT(GE$7,6),Inflation_Year,Inflation_NominaltoReal),TRUE,_xlfn.XLOOKUP($FY20,Inflation_Year,NominaltoReal)))</f>
        <v>0.88896817650095872</v>
      </c>
      <c r="GF20" s="146" cm="1">
        <f t="array" ref="GF20">IF($FY20=0,0,_xlfn.IFS($FY20='Key assumptions'!$C$120,_xlfn.XLOOKUP(LEFT(GF$7,6),Inflation_Year,Inflation_NominaltoReal),TRUE,_xlfn.XLOOKUP($FY20,Inflation_Year,NominaltoReal)))</f>
        <v>0.86601934877293718</v>
      </c>
      <c r="GG20" s="143"/>
      <c r="GH20" s="145" cm="1">
        <f t="array" ref="GH20">SUMPRODUCT(--($CR$7:$FW$7&gt;=GH$5),--($CR$7:$FW$7&lt;=GH$6),$CR20:$FW20)*FZ20</f>
        <v>244944.57132093504</v>
      </c>
      <c r="GI20" s="145" cm="1">
        <f t="array" ref="GI20">SUMPRODUCT(--($CR$7:$FW$7&gt;=GI$5),--($CR$7:$FW$7&lt;=GI$6),$CR20:$FW20)*GA20</f>
        <v>358466.34729950922</v>
      </c>
      <c r="GJ20" s="145" cm="1">
        <f t="array" ref="GJ20">SUMPRODUCT(--($CR$7:$FW$7&gt;=GJ$5),--($CR$7:$FW$7&lt;=GJ$6),$CR20:$FW20)*GB20</f>
        <v>359621.89208984689</v>
      </c>
      <c r="GK20" s="145" cm="1">
        <f t="array" ref="GK20">SUMPRODUCT(--($CR$7:$FW$7&gt;=GK$5),--($CR$7:$FW$7&lt;=GK$6),$CR20:$FW20)*GC20</f>
        <v>141051.67372793891</v>
      </c>
      <c r="GL20" s="145" cm="1">
        <f t="array" ref="GL20">SUMPRODUCT(--($CR$7:$FW$7&gt;=GL$5),--($CR$7:$FW$7&lt;=GL$6),$CR20:$FW20)*GD20</f>
        <v>0</v>
      </c>
      <c r="GM20" s="145" cm="1">
        <f t="array" ref="GM20">SUMPRODUCT(--($CR$7:$FW$7&gt;=GM$5),--($CR$7:$FW$7&lt;=GM$6),$CR20:$FW20)*GE20</f>
        <v>0</v>
      </c>
      <c r="GN20" s="145" cm="1">
        <f t="array" ref="GN20">SUMPRODUCT(--($CR$7:$FW$7&gt;=GN$5),--($CR$7:$FW$7&lt;=GN$6),$CR20:$FW20)*GF20</f>
        <v>0</v>
      </c>
      <c r="GO20" s="145">
        <f t="shared" si="18"/>
        <v>1104084.4844382301</v>
      </c>
      <c r="GP20" s="87"/>
      <c r="GQ20" s="89"/>
      <c r="GR20" s="145" cm="1">
        <f t="array" ref="GR20">SUMPRODUCT(--($CR$7:$FW$7&gt;=GR$5),--($CR$7:$FW$7&lt;=GR$6),$CR20:$FW20)</f>
        <v>145555.20000000001</v>
      </c>
      <c r="GS20" s="89"/>
      <c r="GT20" s="214" cm="1">
        <f t="array" ref="GT20">--AND(MIN(IF($K20:$CP20&lt;&gt;0,$K$7:$CP$7))&gt;=GT$5,MIN(IF($K20:$CP20&lt;&gt;0,$K$7:$CP$7))&lt;=GT$6)</f>
        <v>0</v>
      </c>
      <c r="GU20" s="214" cm="1">
        <f t="array" ref="GU20">--AND(MIN(IF($K20:$CP20&lt;&gt;0,$K$7:$CP$7))&gt;=GU$5,MIN(IF($K20:$CP20&lt;&gt;0,$K$7:$CP$7))&lt;=GU$6)</f>
        <v>0</v>
      </c>
      <c r="GV20" s="214" cm="1">
        <f t="array" ref="GV20">--AND(MIN(IF($K20:$CP20&lt;&gt;0,$K$7:$CP$7))&gt;=GV$5,MIN(IF($K20:$CP20&lt;&gt;0,$K$7:$CP$7))&lt;=GV$6)</f>
        <v>0</v>
      </c>
      <c r="GW20" s="214" cm="1">
        <f t="array" ref="GW20">--AND(MIN(IF($K20:$CP20&lt;&gt;0,$K$7:$CP$7))&gt;=GW$5,MIN(IF($K20:$CP20&lt;&gt;0,$K$7:$CP$7))&lt;=GW$6)</f>
        <v>0</v>
      </c>
      <c r="GX20" s="214" cm="1">
        <f t="array" ref="GX20">--AND(MIN(IF($K20:$CP20&lt;&gt;0,$K$7:$CP$7))&gt;=GX$5,MIN(IF($K20:$CP20&lt;&gt;0,$K$7:$CP$7))&lt;=GX$6)</f>
        <v>0</v>
      </c>
      <c r="GY20" s="214" cm="1">
        <f t="array" ref="GY20">--AND(MIN(IF($K20:$CP20&lt;&gt;0,$K$7:$CP$7))&gt;=GY$5,MIN(IF($K20:$CP20&lt;&gt;0,$K$7:$CP$7))&lt;=GY$6)</f>
        <v>0</v>
      </c>
      <c r="GZ20" s="214" cm="1">
        <f t="array" ref="GZ20">--AND(MIN(IF($K20:$CP20&lt;&gt;0,$K$7:$CP$7))&gt;=GZ$5,MIN(IF($K20:$CP20&lt;&gt;0,$K$7:$CP$7))&lt;=GZ$6)</f>
        <v>0</v>
      </c>
      <c r="HA20" s="214">
        <f t="shared" si="0"/>
        <v>0</v>
      </c>
      <c r="HC20" s="214" cm="1">
        <f t="array" ref="HC20">--AND(MIN(IF($K20:$CP20&lt;&gt;0,$K$7:$CP$7))&gt;=HC$5,MIN(IF($K20:$CP20&lt;&gt;0,$K$7:$CP$7))&lt;=HC$6)</f>
        <v>0</v>
      </c>
      <c r="HE20" s="147" t="str">
        <f t="shared" si="19"/>
        <v>No</v>
      </c>
      <c r="HF20" s="147" t="str">
        <f t="shared" si="20"/>
        <v>No</v>
      </c>
      <c r="HG20" s="147">
        <f>IF($HF20="Yes",0,$H20*avg_hrs*12*'Key assumptions'!$D$87)</f>
        <v>403022.1866714299</v>
      </c>
      <c r="HH20" s="147">
        <f>IF(HE20="Yes",'Key assumptions'!$D$84*HG20,0)</f>
        <v>0</v>
      </c>
      <c r="HI20" s="144">
        <f>IFERROR(AVERAGEIFS($K20:$CP20,$K$7:$CP$7,"&gt;="&amp;'Key assumptions'!$D$24,$K$7:$CP$7,"&lt;="&amp;'Key assumptions'!$D$25),0)</f>
        <v>0.83732057416267935</v>
      </c>
      <c r="HJ20" s="148">
        <f t="shared" si="21"/>
        <v>0</v>
      </c>
      <c r="HK20" s="148">
        <f t="shared" si="1"/>
        <v>0</v>
      </c>
      <c r="HL20" s="148">
        <f t="shared" si="2"/>
        <v>0</v>
      </c>
      <c r="HM20" s="148">
        <f t="shared" si="3"/>
        <v>0</v>
      </c>
      <c r="HN20" s="148">
        <f t="shared" si="4"/>
        <v>0</v>
      </c>
      <c r="HO20" s="148">
        <f t="shared" si="5"/>
        <v>0</v>
      </c>
      <c r="HP20" s="148">
        <f t="shared" si="6"/>
        <v>0</v>
      </c>
      <c r="HQ20" s="148">
        <f t="shared" si="7"/>
        <v>0</v>
      </c>
      <c r="HR20" s="147">
        <f t="shared" si="8"/>
        <v>0</v>
      </c>
      <c r="HS20" s="90"/>
      <c r="HU20" s="147">
        <f>$HJ20*HC20/(1+'Key assumptions'!G42)^0.75</f>
        <v>0</v>
      </c>
      <c r="HW20" s="216">
        <f t="shared" si="9"/>
        <v>0</v>
      </c>
      <c r="HX20" s="216">
        <f t="shared" si="10"/>
        <v>0</v>
      </c>
      <c r="HY20" s="216">
        <f t="shared" si="11"/>
        <v>0</v>
      </c>
      <c r="HZ20" s="216">
        <f t="shared" si="12"/>
        <v>0</v>
      </c>
      <c r="IA20" s="216">
        <f t="shared" si="13"/>
        <v>0</v>
      </c>
      <c r="IB20" s="216">
        <f t="shared" si="14"/>
        <v>0</v>
      </c>
      <c r="IC20" s="216">
        <f t="shared" si="15"/>
        <v>0</v>
      </c>
      <c r="ID20" s="216">
        <f t="shared" si="16"/>
        <v>0</v>
      </c>
      <c r="IF20" s="216">
        <f t="shared" si="17"/>
        <v>0</v>
      </c>
    </row>
    <row r="21" spans="2:240" x14ac:dyDescent="0.2">
      <c r="B21" s="141" t="str">
        <v>Project Delivery Management - Project Management</v>
      </c>
      <c r="C21" s="141" t="str">
        <v>Project Manager - Senior (Network Projects)</v>
      </c>
      <c r="D21" s="141" t="str">
        <v>Internal Labour</v>
      </c>
      <c r="E21" s="141" t="str">
        <v>$ Nominal</v>
      </c>
      <c r="F21" s="141" t="str">
        <v>Existing</v>
      </c>
      <c r="G21" s="141" t="str">
        <v>Normal time</v>
      </c>
      <c r="H21" s="142">
        <v>316.45</v>
      </c>
      <c r="I21" s="126">
        <v>1736733.3399999999</v>
      </c>
      <c r="J21" s="143">
        <v>0</v>
      </c>
      <c r="K21" s="144">
        <v>0</v>
      </c>
      <c r="L21" s="144">
        <v>0</v>
      </c>
      <c r="M21" s="144">
        <v>0</v>
      </c>
      <c r="N21" s="144">
        <v>0</v>
      </c>
      <c r="O21" s="144">
        <v>0</v>
      </c>
      <c r="P21" s="144">
        <v>0</v>
      </c>
      <c r="Q21" s="144">
        <v>0</v>
      </c>
      <c r="R21" s="144">
        <v>0</v>
      </c>
      <c r="S21" s="144">
        <v>0</v>
      </c>
      <c r="T21" s="144">
        <v>0.55000000000000004</v>
      </c>
      <c r="U21" s="144">
        <v>1.1499999999999999</v>
      </c>
      <c r="V21" s="144">
        <v>1</v>
      </c>
      <c r="W21" s="144">
        <v>1.2666666666666666</v>
      </c>
      <c r="X21" s="144">
        <v>1</v>
      </c>
      <c r="Y21" s="144">
        <v>1</v>
      </c>
      <c r="Z21" s="144">
        <v>1</v>
      </c>
      <c r="AA21" s="144">
        <v>0.92105263157894735</v>
      </c>
      <c r="AB21" s="144">
        <v>0.92105263157894735</v>
      </c>
      <c r="AC21" s="144">
        <v>1</v>
      </c>
      <c r="AD21" s="144">
        <v>1</v>
      </c>
      <c r="AE21" s="144">
        <v>1</v>
      </c>
      <c r="AF21" s="144">
        <v>1</v>
      </c>
      <c r="AG21" s="144">
        <v>1</v>
      </c>
      <c r="AH21" s="144">
        <v>1</v>
      </c>
      <c r="AI21" s="144">
        <v>1</v>
      </c>
      <c r="AJ21" s="144">
        <v>1</v>
      </c>
      <c r="AK21" s="144">
        <v>1</v>
      </c>
      <c r="AL21" s="144">
        <v>1</v>
      </c>
      <c r="AM21" s="144">
        <v>1</v>
      </c>
      <c r="AN21" s="144">
        <v>1</v>
      </c>
      <c r="AO21" s="144">
        <v>1</v>
      </c>
      <c r="AP21" s="144">
        <v>1</v>
      </c>
      <c r="AQ21" s="144">
        <v>1</v>
      </c>
      <c r="AR21" s="144">
        <v>1</v>
      </c>
      <c r="AS21" s="144">
        <v>1</v>
      </c>
      <c r="AT21" s="144">
        <v>1</v>
      </c>
      <c r="AU21" s="144">
        <v>1</v>
      </c>
      <c r="AV21" s="144">
        <v>1</v>
      </c>
      <c r="AW21" s="144">
        <v>1</v>
      </c>
      <c r="AX21" s="144">
        <v>1</v>
      </c>
      <c r="AY21" s="144">
        <v>1</v>
      </c>
      <c r="AZ21" s="144">
        <v>1</v>
      </c>
      <c r="BA21" s="144">
        <v>1</v>
      </c>
      <c r="BB21" s="144">
        <v>1</v>
      </c>
      <c r="BC21" s="144">
        <v>1</v>
      </c>
      <c r="BD21" s="144">
        <v>1</v>
      </c>
      <c r="BE21" s="144">
        <v>1</v>
      </c>
      <c r="BF21" s="144">
        <v>1</v>
      </c>
      <c r="BG21" s="144">
        <v>1</v>
      </c>
      <c r="BH21" s="144">
        <v>1</v>
      </c>
      <c r="BI21" s="144">
        <v>0</v>
      </c>
      <c r="BJ21" s="144">
        <v>0</v>
      </c>
      <c r="BK21" s="144">
        <v>0</v>
      </c>
      <c r="BL21" s="144">
        <v>0</v>
      </c>
      <c r="BM21" s="144">
        <v>0</v>
      </c>
      <c r="BN21" s="144">
        <v>0</v>
      </c>
      <c r="BO21" s="144">
        <v>0</v>
      </c>
      <c r="BP21" s="144">
        <v>0</v>
      </c>
      <c r="BQ21" s="144">
        <v>0</v>
      </c>
      <c r="BR21" s="144">
        <v>0</v>
      </c>
      <c r="BS21" s="144">
        <v>0</v>
      </c>
      <c r="BT21" s="144">
        <v>0</v>
      </c>
      <c r="BU21" s="144">
        <v>0</v>
      </c>
      <c r="BV21" s="144">
        <v>0</v>
      </c>
      <c r="BW21" s="144">
        <v>0</v>
      </c>
      <c r="BX21" s="144">
        <v>0</v>
      </c>
      <c r="BY21" s="144">
        <v>0</v>
      </c>
      <c r="BZ21" s="144">
        <v>0</v>
      </c>
      <c r="CA21" s="144">
        <v>0</v>
      </c>
      <c r="CB21" s="144">
        <v>0</v>
      </c>
      <c r="CC21" s="144">
        <v>0</v>
      </c>
      <c r="CD21" s="144">
        <v>0</v>
      </c>
      <c r="CE21" s="144">
        <v>0</v>
      </c>
      <c r="CF21" s="144">
        <v>0</v>
      </c>
      <c r="CG21" s="144">
        <v>0</v>
      </c>
      <c r="CH21" s="144">
        <v>0</v>
      </c>
      <c r="CI21" s="144">
        <v>0</v>
      </c>
      <c r="CJ21" s="144">
        <v>0</v>
      </c>
      <c r="CK21" s="144">
        <v>0</v>
      </c>
      <c r="CL21" s="144">
        <v>0</v>
      </c>
      <c r="CM21" s="144">
        <v>0</v>
      </c>
      <c r="CN21" s="144">
        <v>0</v>
      </c>
      <c r="CO21" s="144">
        <v>0</v>
      </c>
      <c r="CP21" s="144">
        <v>0</v>
      </c>
      <c r="CQ21" s="143">
        <v>0</v>
      </c>
      <c r="CR21" s="145">
        <v>0</v>
      </c>
      <c r="CS21" s="145">
        <v>0</v>
      </c>
      <c r="CT21" s="145">
        <v>0</v>
      </c>
      <c r="CU21" s="145">
        <v>0</v>
      </c>
      <c r="CV21" s="145">
        <v>0</v>
      </c>
      <c r="CW21" s="145">
        <v>0</v>
      </c>
      <c r="CX21" s="145">
        <v>0</v>
      </c>
      <c r="CY21" s="145">
        <v>0</v>
      </c>
      <c r="CZ21" s="145">
        <v>0</v>
      </c>
      <c r="DA21" s="145">
        <v>24728.87999999999</v>
      </c>
      <c r="DB21" s="145">
        <v>51705.84</v>
      </c>
      <c r="DC21" s="145">
        <v>33721.199999999997</v>
      </c>
      <c r="DD21" s="145">
        <v>42713.51999999999</v>
      </c>
      <c r="DE21" s="145">
        <v>43019.199999999997</v>
      </c>
      <c r="DF21" s="145">
        <v>43019.199999999997</v>
      </c>
      <c r="DG21" s="145">
        <v>32264.399999999998</v>
      </c>
      <c r="DH21" s="145">
        <v>43019.199999999997</v>
      </c>
      <c r="DI21" s="145">
        <v>43019.199999999997</v>
      </c>
      <c r="DJ21" s="145">
        <v>44303</v>
      </c>
      <c r="DK21" s="145">
        <v>44303</v>
      </c>
      <c r="DL21" s="145">
        <v>44303</v>
      </c>
      <c r="DM21" s="145">
        <v>44303</v>
      </c>
      <c r="DN21" s="145">
        <v>44303</v>
      </c>
      <c r="DO21" s="145">
        <v>33227.25</v>
      </c>
      <c r="DP21" s="145">
        <v>33227.25</v>
      </c>
      <c r="DQ21" s="145">
        <v>44303</v>
      </c>
      <c r="DR21" s="145">
        <v>44303</v>
      </c>
      <c r="DS21" s="145">
        <v>33227.25</v>
      </c>
      <c r="DT21" s="145">
        <v>48100.4</v>
      </c>
      <c r="DU21" s="145">
        <v>48100.4</v>
      </c>
      <c r="DV21" s="145">
        <v>45619</v>
      </c>
      <c r="DW21" s="145">
        <v>45619</v>
      </c>
      <c r="DX21" s="145">
        <v>45619</v>
      </c>
      <c r="DY21" s="145">
        <v>45619</v>
      </c>
      <c r="DZ21" s="145">
        <v>45619</v>
      </c>
      <c r="EA21" s="145">
        <v>34214.25</v>
      </c>
      <c r="EB21" s="145">
        <v>34214.25</v>
      </c>
      <c r="EC21" s="145">
        <v>45619</v>
      </c>
      <c r="ED21" s="145">
        <v>45619</v>
      </c>
      <c r="EE21" s="145">
        <v>34214.25</v>
      </c>
      <c r="EF21" s="145">
        <v>49529.200000000004</v>
      </c>
      <c r="EG21" s="145">
        <v>49529.200000000004</v>
      </c>
      <c r="EH21" s="145">
        <v>46998</v>
      </c>
      <c r="EI21" s="145">
        <v>46998</v>
      </c>
      <c r="EJ21" s="145">
        <v>46998</v>
      </c>
      <c r="EK21" s="145">
        <v>46998</v>
      </c>
      <c r="EL21" s="145">
        <v>46998</v>
      </c>
      <c r="EM21" s="145">
        <v>35248.5</v>
      </c>
      <c r="EN21" s="145">
        <v>35248.5</v>
      </c>
      <c r="EO21" s="145">
        <v>46998</v>
      </c>
      <c r="EP21" s="145">
        <v>0</v>
      </c>
      <c r="EQ21" s="145">
        <v>0</v>
      </c>
      <c r="ER21" s="145">
        <v>0</v>
      </c>
      <c r="ES21" s="145">
        <v>0</v>
      </c>
      <c r="ET21" s="145">
        <v>0</v>
      </c>
      <c r="EU21" s="145">
        <v>0</v>
      </c>
      <c r="EV21" s="145">
        <v>0</v>
      </c>
      <c r="EW21" s="145">
        <v>0</v>
      </c>
      <c r="EX21" s="145">
        <v>0</v>
      </c>
      <c r="EY21" s="145">
        <v>0</v>
      </c>
      <c r="EZ21" s="145">
        <v>0</v>
      </c>
      <c r="FA21" s="145">
        <v>0</v>
      </c>
      <c r="FB21" s="145">
        <v>0</v>
      </c>
      <c r="FC21" s="145">
        <v>0</v>
      </c>
      <c r="FD21" s="145">
        <v>0</v>
      </c>
      <c r="FE21" s="145">
        <v>0</v>
      </c>
      <c r="FF21" s="145">
        <v>0</v>
      </c>
      <c r="FG21" s="145">
        <v>0</v>
      </c>
      <c r="FH21" s="145">
        <v>0</v>
      </c>
      <c r="FI21" s="145">
        <v>0</v>
      </c>
      <c r="FJ21" s="145">
        <v>0</v>
      </c>
      <c r="FK21" s="145">
        <v>0</v>
      </c>
      <c r="FL21" s="145">
        <v>0</v>
      </c>
      <c r="FM21" s="145">
        <v>0</v>
      </c>
      <c r="FN21" s="145">
        <v>0</v>
      </c>
      <c r="FO21" s="145">
        <v>0</v>
      </c>
      <c r="FP21" s="145">
        <v>0</v>
      </c>
      <c r="FQ21" s="145">
        <v>0</v>
      </c>
      <c r="FR21" s="145">
        <v>0</v>
      </c>
      <c r="FS21" s="145">
        <v>0</v>
      </c>
      <c r="FT21" s="145">
        <v>0</v>
      </c>
      <c r="FU21" s="145">
        <v>0</v>
      </c>
      <c r="FV21" s="145">
        <v>0</v>
      </c>
      <c r="FW21" s="145">
        <v>0</v>
      </c>
      <c r="FX21" s="143"/>
      <c r="FY21" s="146" t="str">
        <f>_xlfn.XLOOKUP($E21,'Key assumptions'!$B$112:$B$120,'Key assumptions'!$C$112:$C$120,0)</f>
        <v>Nominal</v>
      </c>
      <c r="FZ21" s="146" cm="1">
        <f t="array" ref="FZ21">IF($FY21=0,0,_xlfn.IFS($FY21='Key assumptions'!$C$120,_xlfn.XLOOKUP(LEFT(FZ$7,6),Inflation_Year,Inflation_NominaltoReal),TRUE,_xlfn.XLOOKUP($FY21,Inflation_Year,NominaltoReal)))</f>
        <v>1.0197075870962191</v>
      </c>
      <c r="GA21" s="146" cm="1">
        <f t="array" ref="GA21">IF($FY21=0,0,_xlfn.IFS($FY21='Key assumptions'!$C$120,_xlfn.XLOOKUP(LEFT(GA$7,6),Inflation_Year,Inflation_NominaltoReal),TRUE,_xlfn.XLOOKUP($FY21,Inflation_Year,NominaltoReal)))</f>
        <v>0.98700804022984445</v>
      </c>
      <c r="GB21" s="146" cm="1">
        <f t="array" ref="GB21">IF($FY21=0,0,_xlfn.IFS($FY21='Key assumptions'!$C$120,_xlfn.XLOOKUP(LEFT(GB$7,6),Inflation_Year,Inflation_NominaltoReal),TRUE,_xlfn.XLOOKUP($FY21,Inflation_Year,NominaltoReal)))</f>
        <v>0.96152830081941731</v>
      </c>
      <c r="GC21" s="146" cm="1">
        <f t="array" ref="GC21">IF($FY21=0,0,_xlfn.IFS($FY21='Key assumptions'!$C$120,_xlfn.XLOOKUP(LEFT(GC$7,6),Inflation_Year,Inflation_NominaltoReal),TRUE,_xlfn.XLOOKUP($FY21,Inflation_Year,NominaltoReal)))</f>
        <v>0.93670632415656829</v>
      </c>
      <c r="GD21" s="146" cm="1">
        <f t="array" ref="GD21">IF($FY21=0,0,_xlfn.IFS($FY21='Key assumptions'!$C$120,_xlfn.XLOOKUP(LEFT(GD$7,6),Inflation_Year,Inflation_NominaltoReal),TRUE,_xlfn.XLOOKUP($FY21,Inflation_Year,NominaltoReal)))</f>
        <v>0.91252513001143176</v>
      </c>
      <c r="GE21" s="146" cm="1">
        <f t="array" ref="GE21">IF($FY21=0,0,_xlfn.IFS($FY21='Key assumptions'!$C$120,_xlfn.XLOOKUP(LEFT(GE$7,6),Inflation_Year,Inflation_NominaltoReal),TRUE,_xlfn.XLOOKUP($FY21,Inflation_Year,NominaltoReal)))</f>
        <v>0.88896817650095872</v>
      </c>
      <c r="GF21" s="146" cm="1">
        <f t="array" ref="GF21">IF($FY21=0,0,_xlfn.IFS($FY21='Key assumptions'!$C$120,_xlfn.XLOOKUP(LEFT(GF$7,6),Inflation_Year,Inflation_NominaltoReal),TRUE,_xlfn.XLOOKUP($FY21,Inflation_Year,NominaltoReal)))</f>
        <v>0.86601934877293718</v>
      </c>
      <c r="GG21" s="143"/>
      <c r="GH21" s="145" cm="1">
        <f t="array" ref="GH21">SUMPRODUCT(--($CR$7:$FW$7&gt;=GH$5),--($CR$7:$FW$7&lt;=GH$6),$CR21:$FW21)*FZ21</f>
        <v>343896.5876897173</v>
      </c>
      <c r="GI21" s="145" cm="1">
        <f t="array" ref="GI21">SUMPRODUCT(--($CR$7:$FW$7&gt;=GI$5),--($CR$7:$FW$7&lt;=GI$6),$CR21:$FW21)*GA21</f>
        <v>503326.27997767157</v>
      </c>
      <c r="GJ21" s="145" cm="1">
        <f t="array" ref="GJ21">SUMPRODUCT(--($CR$7:$FW$7&gt;=GJ$5),--($CR$7:$FW$7&lt;=GJ$6),$CR21:$FW21)*GB21</f>
        <v>504966.92349887936</v>
      </c>
      <c r="GK21" s="145" cm="1">
        <f t="array" ref="GK21">SUMPRODUCT(--($CR$7:$FW$7&gt;=GK$5),--($CR$7:$FW$7&lt;=GK$6),$CR21:$FW21)*GC21</f>
        <v>198104.95720219679</v>
      </c>
      <c r="GL21" s="145" cm="1">
        <f t="array" ref="GL21">SUMPRODUCT(--($CR$7:$FW$7&gt;=GL$5),--($CR$7:$FW$7&lt;=GL$6),$CR21:$FW21)*GD21</f>
        <v>0</v>
      </c>
      <c r="GM21" s="145" cm="1">
        <f t="array" ref="GM21">SUMPRODUCT(--($CR$7:$FW$7&gt;=GM$5),--($CR$7:$FW$7&lt;=GM$6),$CR21:$FW21)*GE21</f>
        <v>0</v>
      </c>
      <c r="GN21" s="145" cm="1">
        <f t="array" ref="GN21">SUMPRODUCT(--($CR$7:$FW$7&gt;=GN$5),--($CR$7:$FW$7&lt;=GN$6),$CR21:$FW21)*GF21</f>
        <v>0</v>
      </c>
      <c r="GO21" s="145">
        <f t="shared" si="18"/>
        <v>1550294.7483684651</v>
      </c>
      <c r="GP21" s="87"/>
      <c r="GQ21" s="89"/>
      <c r="GR21" s="145" cm="1">
        <f t="array" ref="GR21">SUMPRODUCT(--($CR$7:$FW$7&gt;=GR$5),--($CR$7:$FW$7&lt;=GR$6),$CR21:$FW21)</f>
        <v>204341.2</v>
      </c>
      <c r="GS21" s="89"/>
      <c r="GT21" s="214" cm="1">
        <f t="array" ref="GT21">--AND(MIN(IF($K21:$CP21&lt;&gt;0,$K$7:$CP$7))&gt;=GT$5,MIN(IF($K21:$CP21&lt;&gt;0,$K$7:$CP$7))&lt;=GT$6)</f>
        <v>0</v>
      </c>
      <c r="GU21" s="214" cm="1">
        <f t="array" ref="GU21">--AND(MIN(IF($K21:$CP21&lt;&gt;0,$K$7:$CP$7))&gt;=GU$5,MIN(IF($K21:$CP21&lt;&gt;0,$K$7:$CP$7))&lt;=GU$6)</f>
        <v>0</v>
      </c>
      <c r="GV21" s="214" cm="1">
        <f t="array" ref="GV21">--AND(MIN(IF($K21:$CP21&lt;&gt;0,$K$7:$CP$7))&gt;=GV$5,MIN(IF($K21:$CP21&lt;&gt;0,$K$7:$CP$7))&lt;=GV$6)</f>
        <v>0</v>
      </c>
      <c r="GW21" s="214" cm="1">
        <f t="array" ref="GW21">--AND(MIN(IF($K21:$CP21&lt;&gt;0,$K$7:$CP$7))&gt;=GW$5,MIN(IF($K21:$CP21&lt;&gt;0,$K$7:$CP$7))&lt;=GW$6)</f>
        <v>0</v>
      </c>
      <c r="GX21" s="214" cm="1">
        <f t="array" ref="GX21">--AND(MIN(IF($K21:$CP21&lt;&gt;0,$K$7:$CP$7))&gt;=GX$5,MIN(IF($K21:$CP21&lt;&gt;0,$K$7:$CP$7))&lt;=GX$6)</f>
        <v>0</v>
      </c>
      <c r="GY21" s="214" cm="1">
        <f t="array" ref="GY21">--AND(MIN(IF($K21:$CP21&lt;&gt;0,$K$7:$CP$7))&gt;=GY$5,MIN(IF($K21:$CP21&lt;&gt;0,$K$7:$CP$7))&lt;=GY$6)</f>
        <v>0</v>
      </c>
      <c r="GZ21" s="214" cm="1">
        <f t="array" ref="GZ21">--AND(MIN(IF($K21:$CP21&lt;&gt;0,$K$7:$CP$7))&gt;=GZ$5,MIN(IF($K21:$CP21&lt;&gt;0,$K$7:$CP$7))&lt;=GZ$6)</f>
        <v>0</v>
      </c>
      <c r="HA21" s="214">
        <f t="shared" si="0"/>
        <v>0</v>
      </c>
      <c r="HC21" s="214" cm="1">
        <f t="array" ref="HC21">--AND(MIN(IF($K21:$CP21&lt;&gt;0,$K$7:$CP$7))&gt;=HC$5,MIN(IF($K21:$CP21&lt;&gt;0,$K$7:$CP$7))&lt;=HC$6)</f>
        <v>0</v>
      </c>
      <c r="HE21" s="147" t="str">
        <f t="shared" si="19"/>
        <v>No</v>
      </c>
      <c r="HF21" s="147" t="str">
        <f t="shared" si="20"/>
        <v>No</v>
      </c>
      <c r="HG21" s="147">
        <f>IF($HF21="Yes",0,$H21*avg_hrs*12*'Key assumptions'!$D$87)</f>
        <v>565897.7280568576</v>
      </c>
      <c r="HH21" s="147">
        <f>IF(HE21="Yes",'Key assumptions'!$D$84*HG21,0)</f>
        <v>0</v>
      </c>
      <c r="HI21" s="144">
        <f>IFERROR(AVERAGEIFS($K21:$CP21,$K$7:$CP$7,"&gt;="&amp;'Key assumptions'!$D$24,$K$7:$CP$7,"&lt;="&amp;'Key assumptions'!$D$25),0)</f>
        <v>0.83732057416267935</v>
      </c>
      <c r="HJ21" s="148">
        <f t="shared" si="21"/>
        <v>0</v>
      </c>
      <c r="HK21" s="148">
        <f t="shared" si="1"/>
        <v>0</v>
      </c>
      <c r="HL21" s="148">
        <f t="shared" si="2"/>
        <v>0</v>
      </c>
      <c r="HM21" s="148">
        <f t="shared" si="3"/>
        <v>0</v>
      </c>
      <c r="HN21" s="148">
        <f t="shared" si="4"/>
        <v>0</v>
      </c>
      <c r="HO21" s="148">
        <f t="shared" si="5"/>
        <v>0</v>
      </c>
      <c r="HP21" s="148">
        <f t="shared" si="6"/>
        <v>0</v>
      </c>
      <c r="HQ21" s="148">
        <f t="shared" si="7"/>
        <v>0</v>
      </c>
      <c r="HR21" s="147">
        <f t="shared" si="8"/>
        <v>0</v>
      </c>
      <c r="HS21" s="89"/>
      <c r="HU21" s="147">
        <f>$HJ21*HC21/(1+'Key assumptions'!G43)^0.75</f>
        <v>0</v>
      </c>
      <c r="HW21" s="216">
        <f t="shared" si="9"/>
        <v>0</v>
      </c>
      <c r="HX21" s="216">
        <f t="shared" si="10"/>
        <v>0</v>
      </c>
      <c r="HY21" s="216">
        <f t="shared" si="11"/>
        <v>0</v>
      </c>
      <c r="HZ21" s="216">
        <f t="shared" si="12"/>
        <v>0</v>
      </c>
      <c r="IA21" s="216">
        <f t="shared" si="13"/>
        <v>0</v>
      </c>
      <c r="IB21" s="216">
        <f t="shared" si="14"/>
        <v>0</v>
      </c>
      <c r="IC21" s="216">
        <f t="shared" si="15"/>
        <v>0</v>
      </c>
      <c r="ID21" s="216">
        <f t="shared" si="16"/>
        <v>0</v>
      </c>
      <c r="IF21" s="216">
        <f t="shared" si="17"/>
        <v>0</v>
      </c>
    </row>
    <row r="22" spans="2:240" x14ac:dyDescent="0.2">
      <c r="B22" s="141" t="str">
        <v>Project Delivery Management - Project Management</v>
      </c>
      <c r="C22" s="141" t="str">
        <v>Network Operations Officer (Control Centre)</v>
      </c>
      <c r="D22" s="141" t="str">
        <v>Internal Labour</v>
      </c>
      <c r="E22" s="141" t="str">
        <v>$ Nominal</v>
      </c>
      <c r="F22" s="141" t="str">
        <v>New</v>
      </c>
      <c r="G22" s="141" t="str">
        <v>Normal time</v>
      </c>
      <c r="H22" s="142">
        <v>240.85</v>
      </c>
      <c r="I22" s="126">
        <v>78298.000000000015</v>
      </c>
      <c r="J22" s="143">
        <v>0</v>
      </c>
      <c r="K22" s="144">
        <v>0</v>
      </c>
      <c r="L22" s="144">
        <v>0</v>
      </c>
      <c r="M22" s="144">
        <v>0</v>
      </c>
      <c r="N22" s="144">
        <v>0</v>
      </c>
      <c r="O22" s="144">
        <v>0</v>
      </c>
      <c r="P22" s="144">
        <v>0</v>
      </c>
      <c r="Q22" s="144">
        <v>0</v>
      </c>
      <c r="R22" s="144">
        <v>0</v>
      </c>
      <c r="S22" s="144">
        <v>0</v>
      </c>
      <c r="T22" s="144">
        <v>0</v>
      </c>
      <c r="U22" s="144">
        <v>0</v>
      </c>
      <c r="V22" s="144">
        <v>0</v>
      </c>
      <c r="W22" s="144">
        <v>0</v>
      </c>
      <c r="X22" s="144">
        <v>0.7857142857142857</v>
      </c>
      <c r="Y22" s="144">
        <v>0.7857142857142857</v>
      </c>
      <c r="Z22" s="144">
        <v>1.0476190476190477</v>
      </c>
      <c r="AA22" s="144">
        <v>0</v>
      </c>
      <c r="AB22" s="144">
        <v>0</v>
      </c>
      <c r="AC22" s="144">
        <v>0</v>
      </c>
      <c r="AD22" s="144">
        <v>0</v>
      </c>
      <c r="AE22" s="144">
        <v>0</v>
      </c>
      <c r="AF22" s="144">
        <v>0</v>
      </c>
      <c r="AG22" s="144">
        <v>0</v>
      </c>
      <c r="AH22" s="144">
        <v>0</v>
      </c>
      <c r="AI22" s="144">
        <v>0</v>
      </c>
      <c r="AJ22" s="144">
        <v>0</v>
      </c>
      <c r="AK22" s="144">
        <v>0</v>
      </c>
      <c r="AL22" s="144">
        <v>0</v>
      </c>
      <c r="AM22" s="144">
        <v>0</v>
      </c>
      <c r="AN22" s="144">
        <v>0</v>
      </c>
      <c r="AO22" s="144">
        <v>0</v>
      </c>
      <c r="AP22" s="144">
        <v>0</v>
      </c>
      <c r="AQ22" s="144">
        <v>0</v>
      </c>
      <c r="AR22" s="144">
        <v>0</v>
      </c>
      <c r="AS22" s="144">
        <v>0</v>
      </c>
      <c r="AT22" s="144">
        <v>0</v>
      </c>
      <c r="AU22" s="144">
        <v>0</v>
      </c>
      <c r="AV22" s="144">
        <v>0</v>
      </c>
      <c r="AW22" s="144">
        <v>0</v>
      </c>
      <c r="AX22" s="144">
        <v>0</v>
      </c>
      <c r="AY22" s="144">
        <v>0</v>
      </c>
      <c r="AZ22" s="144">
        <v>0</v>
      </c>
      <c r="BA22" s="144">
        <v>0</v>
      </c>
      <c r="BB22" s="144">
        <v>0</v>
      </c>
      <c r="BC22" s="144">
        <v>0</v>
      </c>
      <c r="BD22" s="144">
        <v>0</v>
      </c>
      <c r="BE22" s="144">
        <v>0</v>
      </c>
      <c r="BF22" s="144">
        <v>0</v>
      </c>
      <c r="BG22" s="144">
        <v>0</v>
      </c>
      <c r="BH22" s="144">
        <v>0</v>
      </c>
      <c r="BI22" s="144">
        <v>0</v>
      </c>
      <c r="BJ22" s="144">
        <v>0</v>
      </c>
      <c r="BK22" s="144">
        <v>0</v>
      </c>
      <c r="BL22" s="144">
        <v>0</v>
      </c>
      <c r="BM22" s="144">
        <v>0</v>
      </c>
      <c r="BN22" s="144">
        <v>0</v>
      </c>
      <c r="BO22" s="144">
        <v>0</v>
      </c>
      <c r="BP22" s="144">
        <v>0</v>
      </c>
      <c r="BQ22" s="144">
        <v>0</v>
      </c>
      <c r="BR22" s="144">
        <v>0</v>
      </c>
      <c r="BS22" s="144">
        <v>0</v>
      </c>
      <c r="BT22" s="144">
        <v>0</v>
      </c>
      <c r="BU22" s="144">
        <v>0</v>
      </c>
      <c r="BV22" s="144">
        <v>0</v>
      </c>
      <c r="BW22" s="144">
        <v>0</v>
      </c>
      <c r="BX22" s="144">
        <v>0</v>
      </c>
      <c r="BY22" s="144">
        <v>0</v>
      </c>
      <c r="BZ22" s="144">
        <v>0</v>
      </c>
      <c r="CA22" s="144">
        <v>0</v>
      </c>
      <c r="CB22" s="144">
        <v>0</v>
      </c>
      <c r="CC22" s="144">
        <v>0</v>
      </c>
      <c r="CD22" s="144">
        <v>0</v>
      </c>
      <c r="CE22" s="144">
        <v>0</v>
      </c>
      <c r="CF22" s="144">
        <v>0</v>
      </c>
      <c r="CG22" s="144">
        <v>0</v>
      </c>
      <c r="CH22" s="144">
        <v>0</v>
      </c>
      <c r="CI22" s="144">
        <v>0</v>
      </c>
      <c r="CJ22" s="144">
        <v>0</v>
      </c>
      <c r="CK22" s="144">
        <v>0</v>
      </c>
      <c r="CL22" s="144">
        <v>0</v>
      </c>
      <c r="CM22" s="144">
        <v>0</v>
      </c>
      <c r="CN22" s="144">
        <v>0</v>
      </c>
      <c r="CO22" s="144">
        <v>0</v>
      </c>
      <c r="CP22" s="144">
        <v>0</v>
      </c>
      <c r="CQ22" s="143">
        <v>0</v>
      </c>
      <c r="CR22" s="145">
        <v>0</v>
      </c>
      <c r="CS22" s="145">
        <v>0</v>
      </c>
      <c r="CT22" s="145">
        <v>0</v>
      </c>
      <c r="CU22" s="145">
        <v>0</v>
      </c>
      <c r="CV22" s="145">
        <v>0</v>
      </c>
      <c r="CW22" s="145">
        <v>0</v>
      </c>
      <c r="CX22" s="145">
        <v>0</v>
      </c>
      <c r="CY22" s="145">
        <v>0</v>
      </c>
      <c r="CZ22" s="145">
        <v>0</v>
      </c>
      <c r="DA22" s="145">
        <v>0</v>
      </c>
      <c r="DB22" s="145">
        <v>0</v>
      </c>
      <c r="DC22" s="145">
        <v>0</v>
      </c>
      <c r="DD22" s="145">
        <v>0</v>
      </c>
      <c r="DE22" s="145">
        <v>25308.800000000003</v>
      </c>
      <c r="DF22" s="145">
        <v>26494.600000000002</v>
      </c>
      <c r="DG22" s="145">
        <v>26494.600000000002</v>
      </c>
      <c r="DH22" s="145">
        <v>0</v>
      </c>
      <c r="DI22" s="145">
        <v>0</v>
      </c>
      <c r="DJ22" s="145">
        <v>0</v>
      </c>
      <c r="DK22" s="145">
        <v>0</v>
      </c>
      <c r="DL22" s="145">
        <v>0</v>
      </c>
      <c r="DM22" s="145">
        <v>0</v>
      </c>
      <c r="DN22" s="145">
        <v>0</v>
      </c>
      <c r="DO22" s="145">
        <v>0</v>
      </c>
      <c r="DP22" s="145">
        <v>0</v>
      </c>
      <c r="DQ22" s="145">
        <v>0</v>
      </c>
      <c r="DR22" s="145">
        <v>0</v>
      </c>
      <c r="DS22" s="145">
        <v>0</v>
      </c>
      <c r="DT22" s="145">
        <v>0</v>
      </c>
      <c r="DU22" s="145">
        <v>0</v>
      </c>
      <c r="DV22" s="145">
        <v>0</v>
      </c>
      <c r="DW22" s="145">
        <v>0</v>
      </c>
      <c r="DX22" s="145">
        <v>0</v>
      </c>
      <c r="DY22" s="145">
        <v>0</v>
      </c>
      <c r="DZ22" s="145">
        <v>0</v>
      </c>
      <c r="EA22" s="145">
        <v>0</v>
      </c>
      <c r="EB22" s="145">
        <v>0</v>
      </c>
      <c r="EC22" s="145">
        <v>0</v>
      </c>
      <c r="ED22" s="145">
        <v>0</v>
      </c>
      <c r="EE22" s="145">
        <v>0</v>
      </c>
      <c r="EF22" s="145">
        <v>0</v>
      </c>
      <c r="EG22" s="145">
        <v>0</v>
      </c>
      <c r="EH22" s="145">
        <v>0</v>
      </c>
      <c r="EI22" s="145">
        <v>0</v>
      </c>
      <c r="EJ22" s="145">
        <v>0</v>
      </c>
      <c r="EK22" s="145">
        <v>0</v>
      </c>
      <c r="EL22" s="145">
        <v>0</v>
      </c>
      <c r="EM22" s="145">
        <v>0</v>
      </c>
      <c r="EN22" s="145">
        <v>0</v>
      </c>
      <c r="EO22" s="145">
        <v>0</v>
      </c>
      <c r="EP22" s="145">
        <v>0</v>
      </c>
      <c r="EQ22" s="145">
        <v>0</v>
      </c>
      <c r="ER22" s="145">
        <v>0</v>
      </c>
      <c r="ES22" s="145">
        <v>0</v>
      </c>
      <c r="ET22" s="145">
        <v>0</v>
      </c>
      <c r="EU22" s="145">
        <v>0</v>
      </c>
      <c r="EV22" s="145">
        <v>0</v>
      </c>
      <c r="EW22" s="145">
        <v>0</v>
      </c>
      <c r="EX22" s="145">
        <v>0</v>
      </c>
      <c r="EY22" s="145">
        <v>0</v>
      </c>
      <c r="EZ22" s="145">
        <v>0</v>
      </c>
      <c r="FA22" s="145">
        <v>0</v>
      </c>
      <c r="FB22" s="145">
        <v>0</v>
      </c>
      <c r="FC22" s="145">
        <v>0</v>
      </c>
      <c r="FD22" s="145">
        <v>0</v>
      </c>
      <c r="FE22" s="145">
        <v>0</v>
      </c>
      <c r="FF22" s="145">
        <v>0</v>
      </c>
      <c r="FG22" s="145">
        <v>0</v>
      </c>
      <c r="FH22" s="145">
        <v>0</v>
      </c>
      <c r="FI22" s="145">
        <v>0</v>
      </c>
      <c r="FJ22" s="145">
        <v>0</v>
      </c>
      <c r="FK22" s="145">
        <v>0</v>
      </c>
      <c r="FL22" s="145">
        <v>0</v>
      </c>
      <c r="FM22" s="145">
        <v>0</v>
      </c>
      <c r="FN22" s="145">
        <v>0</v>
      </c>
      <c r="FO22" s="145">
        <v>0</v>
      </c>
      <c r="FP22" s="145">
        <v>0</v>
      </c>
      <c r="FQ22" s="145">
        <v>0</v>
      </c>
      <c r="FR22" s="145">
        <v>0</v>
      </c>
      <c r="FS22" s="145">
        <v>0</v>
      </c>
      <c r="FT22" s="145">
        <v>0</v>
      </c>
      <c r="FU22" s="145">
        <v>0</v>
      </c>
      <c r="FV22" s="145">
        <v>0</v>
      </c>
      <c r="FW22" s="145">
        <v>0</v>
      </c>
      <c r="FX22" s="143"/>
      <c r="FY22" s="146" t="str">
        <f>_xlfn.XLOOKUP($E22,'Key assumptions'!$B$112:$B$120,'Key assumptions'!$C$112:$C$120,0)</f>
        <v>Nominal</v>
      </c>
      <c r="FZ22" s="146" cm="1">
        <f t="array" ref="FZ22">IF($FY22=0,0,_xlfn.IFS($FY22='Key assumptions'!$C$120,_xlfn.XLOOKUP(LEFT(FZ$7,6),Inflation_Year,Inflation_NominaltoReal),TRUE,_xlfn.XLOOKUP($FY22,Inflation_Year,NominaltoReal)))</f>
        <v>1.0197075870962191</v>
      </c>
      <c r="GA22" s="146" cm="1">
        <f t="array" ref="GA22">IF($FY22=0,0,_xlfn.IFS($FY22='Key assumptions'!$C$120,_xlfn.XLOOKUP(LEFT(GA$7,6),Inflation_Year,Inflation_NominaltoReal),TRUE,_xlfn.XLOOKUP($FY22,Inflation_Year,NominaltoReal)))</f>
        <v>0.98700804022984445</v>
      </c>
      <c r="GB22" s="146" cm="1">
        <f t="array" ref="GB22">IF($FY22=0,0,_xlfn.IFS($FY22='Key assumptions'!$C$120,_xlfn.XLOOKUP(LEFT(GB$7,6),Inflation_Year,Inflation_NominaltoReal),TRUE,_xlfn.XLOOKUP($FY22,Inflation_Year,NominaltoReal)))</f>
        <v>0.96152830081941731</v>
      </c>
      <c r="GC22" s="146" cm="1">
        <f t="array" ref="GC22">IF($FY22=0,0,_xlfn.IFS($FY22='Key assumptions'!$C$120,_xlfn.XLOOKUP(LEFT(GC$7,6),Inflation_Year,Inflation_NominaltoReal),TRUE,_xlfn.XLOOKUP($FY22,Inflation_Year,NominaltoReal)))</f>
        <v>0.93670632415656829</v>
      </c>
      <c r="GD22" s="146" cm="1">
        <f t="array" ref="GD22">IF($FY22=0,0,_xlfn.IFS($FY22='Key assumptions'!$C$120,_xlfn.XLOOKUP(LEFT(GD$7,6),Inflation_Year,Inflation_NominaltoReal),TRUE,_xlfn.XLOOKUP($FY22,Inflation_Year,NominaltoReal)))</f>
        <v>0.91252513001143176</v>
      </c>
      <c r="GE22" s="146" cm="1">
        <f t="array" ref="GE22">IF($FY22=0,0,_xlfn.IFS($FY22='Key assumptions'!$C$120,_xlfn.XLOOKUP(LEFT(GE$7,6),Inflation_Year,Inflation_NominaltoReal),TRUE,_xlfn.XLOOKUP($FY22,Inflation_Year,NominaltoReal)))</f>
        <v>0.88896817650095872</v>
      </c>
      <c r="GF22" s="146" cm="1">
        <f t="array" ref="GF22">IF($FY22=0,0,_xlfn.IFS($FY22='Key assumptions'!$C$120,_xlfn.XLOOKUP(LEFT(GF$7,6),Inflation_Year,Inflation_NominaltoReal),TRUE,_xlfn.XLOOKUP($FY22,Inflation_Year,NominaltoReal)))</f>
        <v>0.86601934877293718</v>
      </c>
      <c r="GG22" s="143"/>
      <c r="GH22" s="145" cm="1">
        <f t="array" ref="GH22">SUMPRODUCT(--($CR$7:$FW$7&gt;=GH$5),--($CR$7:$FW$7&lt;=GH$6),$CR22:$FW22)*FZ22</f>
        <v>79841.064654459784</v>
      </c>
      <c r="GI22" s="145" cm="1">
        <f t="array" ref="GI22">SUMPRODUCT(--($CR$7:$FW$7&gt;=GI$5),--($CR$7:$FW$7&lt;=GI$6),$CR22:$FW22)*GA22</f>
        <v>0</v>
      </c>
      <c r="GJ22" s="145" cm="1">
        <f t="array" ref="GJ22">SUMPRODUCT(--($CR$7:$FW$7&gt;=GJ$5),--($CR$7:$FW$7&lt;=GJ$6),$CR22:$FW22)*GB22</f>
        <v>0</v>
      </c>
      <c r="GK22" s="145" cm="1">
        <f t="array" ref="GK22">SUMPRODUCT(--($CR$7:$FW$7&gt;=GK$5),--($CR$7:$FW$7&lt;=GK$6),$CR22:$FW22)*GC22</f>
        <v>0</v>
      </c>
      <c r="GL22" s="145" cm="1">
        <f t="array" ref="GL22">SUMPRODUCT(--($CR$7:$FW$7&gt;=GL$5),--($CR$7:$FW$7&lt;=GL$6),$CR22:$FW22)*GD22</f>
        <v>0</v>
      </c>
      <c r="GM22" s="145" cm="1">
        <f t="array" ref="GM22">SUMPRODUCT(--($CR$7:$FW$7&gt;=GM$5),--($CR$7:$FW$7&lt;=GM$6),$CR22:$FW22)*GE22</f>
        <v>0</v>
      </c>
      <c r="GN22" s="145" cm="1">
        <f t="array" ref="GN22">SUMPRODUCT(--($CR$7:$FW$7&gt;=GN$5),--($CR$7:$FW$7&lt;=GN$6),$CR22:$FW22)*GF22</f>
        <v>0</v>
      </c>
      <c r="GO22" s="145">
        <f t="shared" si="18"/>
        <v>79841.064654459784</v>
      </c>
      <c r="GP22" s="87"/>
      <c r="GQ22" s="89"/>
      <c r="GR22" s="145" cm="1">
        <f t="array" ref="GR22">SUMPRODUCT(--($CR$7:$FW$7&gt;=GR$5),--($CR$7:$FW$7&lt;=GR$6),$CR22:$FW22)</f>
        <v>78298.000000000015</v>
      </c>
      <c r="GS22" s="89"/>
      <c r="GT22" s="214" cm="1">
        <f t="array" ref="GT22">--AND(MIN(IF($K22:$CP22&lt;&gt;0,$K$7:$CP$7))&gt;=GT$5,MIN(IF($K22:$CP22&lt;&gt;0,$K$7:$CP$7))&lt;=GT$6)</f>
        <v>1</v>
      </c>
      <c r="GU22" s="214" cm="1">
        <f t="array" ref="GU22">--AND(MIN(IF($K22:$CP22&lt;&gt;0,$K$7:$CP$7))&gt;=GU$5,MIN(IF($K22:$CP22&lt;&gt;0,$K$7:$CP$7))&lt;=GU$6)</f>
        <v>0</v>
      </c>
      <c r="GV22" s="214" cm="1">
        <f t="array" ref="GV22">--AND(MIN(IF($K22:$CP22&lt;&gt;0,$K$7:$CP$7))&gt;=GV$5,MIN(IF($K22:$CP22&lt;&gt;0,$K$7:$CP$7))&lt;=GV$6)</f>
        <v>0</v>
      </c>
      <c r="GW22" s="214" cm="1">
        <f t="array" ref="GW22">--AND(MIN(IF($K22:$CP22&lt;&gt;0,$K$7:$CP$7))&gt;=GW$5,MIN(IF($K22:$CP22&lt;&gt;0,$K$7:$CP$7))&lt;=GW$6)</f>
        <v>0</v>
      </c>
      <c r="GX22" s="214" cm="1">
        <f t="array" ref="GX22">--AND(MIN(IF($K22:$CP22&lt;&gt;0,$K$7:$CP$7))&gt;=GX$5,MIN(IF($K22:$CP22&lt;&gt;0,$K$7:$CP$7))&lt;=GX$6)</f>
        <v>0</v>
      </c>
      <c r="GY22" s="214" cm="1">
        <f t="array" ref="GY22">--AND(MIN(IF($K22:$CP22&lt;&gt;0,$K$7:$CP$7))&gt;=GY$5,MIN(IF($K22:$CP22&lt;&gt;0,$K$7:$CP$7))&lt;=GY$6)</f>
        <v>0</v>
      </c>
      <c r="GZ22" s="214" cm="1">
        <f t="array" ref="GZ22">--AND(MIN(IF($K22:$CP22&lt;&gt;0,$K$7:$CP$7))&gt;=GZ$5,MIN(IF($K22:$CP22&lt;&gt;0,$K$7:$CP$7))&lt;=GZ$6)</f>
        <v>0</v>
      </c>
      <c r="HA22" s="214">
        <f t="shared" si="0"/>
        <v>1</v>
      </c>
      <c r="HC22" s="214" cm="1">
        <f t="array" ref="HC22">--AND(MIN(IF($K22:$CP22&lt;&gt;0,$K$7:$CP$7))&gt;=HC$5,MIN(IF($K22:$CP22&lt;&gt;0,$K$7:$CP$7))&lt;=HC$6)</f>
        <v>1</v>
      </c>
      <c r="HE22" s="147" t="str">
        <f t="shared" si="19"/>
        <v>Yes</v>
      </c>
      <c r="HF22" s="147" t="str">
        <f t="shared" si="20"/>
        <v>No</v>
      </c>
      <c r="HG22" s="147">
        <f>IF($HF22="Yes",0,$H22*avg_hrs*12*'Key assumptions'!$D$87)</f>
        <v>430704.59093851841</v>
      </c>
      <c r="HH22" s="147">
        <f>IF(HE22="Yes",'Key assumptions'!$D$84*HG22,0)</f>
        <v>64605.688640777757</v>
      </c>
      <c r="HI22" s="144">
        <f>IFERROR(AVERAGEIFS($K22:$CP22,$K$7:$CP$7,"&gt;="&amp;'Key assumptions'!$D$24,$K$7:$CP$7,"&lt;="&amp;'Key assumptions'!$D$25),0)</f>
        <v>5.9523809523809527E-2</v>
      </c>
      <c r="HJ22" s="148">
        <f t="shared" si="21"/>
        <v>3845.5767048082002</v>
      </c>
      <c r="HK22" s="148">
        <f t="shared" si="1"/>
        <v>3845.5767048082002</v>
      </c>
      <c r="HL22" s="148">
        <f t="shared" si="2"/>
        <v>0</v>
      </c>
      <c r="HM22" s="148">
        <f t="shared" si="3"/>
        <v>0</v>
      </c>
      <c r="HN22" s="148">
        <f t="shared" si="4"/>
        <v>0</v>
      </c>
      <c r="HO22" s="148">
        <f t="shared" si="5"/>
        <v>0</v>
      </c>
      <c r="HP22" s="148">
        <f t="shared" si="6"/>
        <v>0</v>
      </c>
      <c r="HQ22" s="148">
        <f t="shared" si="7"/>
        <v>0</v>
      </c>
      <c r="HR22" s="147">
        <f t="shared" si="8"/>
        <v>3845.5767048082002</v>
      </c>
      <c r="HS22" s="90"/>
      <c r="HU22" s="147">
        <f>$HJ22*HC22/(1+'Key assumptions'!G44)^0.75</f>
        <v>3845.5767048082002</v>
      </c>
      <c r="HW22" s="216">
        <f t="shared" si="9"/>
        <v>5.9523809523809527E-2</v>
      </c>
      <c r="HX22" s="216">
        <f t="shared" si="10"/>
        <v>0</v>
      </c>
      <c r="HY22" s="216">
        <f t="shared" si="11"/>
        <v>0</v>
      </c>
      <c r="HZ22" s="216">
        <f t="shared" si="12"/>
        <v>0</v>
      </c>
      <c r="IA22" s="216">
        <f t="shared" si="13"/>
        <v>0</v>
      </c>
      <c r="IB22" s="216">
        <f t="shared" si="14"/>
        <v>0</v>
      </c>
      <c r="IC22" s="216">
        <f t="shared" si="15"/>
        <v>0</v>
      </c>
      <c r="ID22" s="216">
        <f t="shared" si="16"/>
        <v>5.9523809523809527E-2</v>
      </c>
      <c r="IF22" s="216">
        <f t="shared" si="17"/>
        <v>5.9523809523809527E-2</v>
      </c>
    </row>
    <row r="23" spans="2:240" x14ac:dyDescent="0.2">
      <c r="B23" s="141" t="str">
        <v>Project Delivery Management - Project Management</v>
      </c>
      <c r="C23" s="141" t="str">
        <v>SCADA Officer (Nwk Operations Tech)</v>
      </c>
      <c r="D23" s="141" t="str">
        <v>Internal Labour</v>
      </c>
      <c r="E23" s="141" t="str">
        <v>$ Nominal</v>
      </c>
      <c r="F23" s="141" t="str">
        <v>New</v>
      </c>
      <c r="G23" s="141" t="str">
        <v>Normal time</v>
      </c>
      <c r="H23" s="142">
        <v>202.73</v>
      </c>
      <c r="I23" s="126">
        <v>17972.699999999997</v>
      </c>
      <c r="J23" s="143">
        <v>0</v>
      </c>
      <c r="K23" s="144">
        <v>0</v>
      </c>
      <c r="L23" s="144">
        <v>0</v>
      </c>
      <c r="M23" s="144">
        <v>0</v>
      </c>
      <c r="N23" s="144">
        <v>0</v>
      </c>
      <c r="O23" s="144">
        <v>0</v>
      </c>
      <c r="P23" s="144">
        <v>0</v>
      </c>
      <c r="Q23" s="144">
        <v>0</v>
      </c>
      <c r="R23" s="144">
        <v>0</v>
      </c>
      <c r="S23" s="144">
        <v>0</v>
      </c>
      <c r="T23" s="144">
        <v>0</v>
      </c>
      <c r="U23" s="144">
        <v>0</v>
      </c>
      <c r="V23" s="144">
        <v>0</v>
      </c>
      <c r="W23" s="144">
        <v>0</v>
      </c>
      <c r="X23" s="144">
        <v>0.21428571428571427</v>
      </c>
      <c r="Y23" s="144">
        <v>0.21428571428571427</v>
      </c>
      <c r="Z23" s="144">
        <v>0.2857142857142857</v>
      </c>
      <c r="AA23" s="144">
        <v>0</v>
      </c>
      <c r="AB23" s="144">
        <v>0</v>
      </c>
      <c r="AC23" s="144">
        <v>0</v>
      </c>
      <c r="AD23" s="144">
        <v>0</v>
      </c>
      <c r="AE23" s="144">
        <v>0</v>
      </c>
      <c r="AF23" s="144">
        <v>0</v>
      </c>
      <c r="AG23" s="144">
        <v>0</v>
      </c>
      <c r="AH23" s="144">
        <v>0</v>
      </c>
      <c r="AI23" s="144">
        <v>0</v>
      </c>
      <c r="AJ23" s="144">
        <v>0</v>
      </c>
      <c r="AK23" s="144">
        <v>0</v>
      </c>
      <c r="AL23" s="144">
        <v>0</v>
      </c>
      <c r="AM23" s="144">
        <v>0</v>
      </c>
      <c r="AN23" s="144">
        <v>0</v>
      </c>
      <c r="AO23" s="144">
        <v>0</v>
      </c>
      <c r="AP23" s="144">
        <v>0</v>
      </c>
      <c r="AQ23" s="144">
        <v>0</v>
      </c>
      <c r="AR23" s="144">
        <v>0</v>
      </c>
      <c r="AS23" s="144">
        <v>0</v>
      </c>
      <c r="AT23" s="144">
        <v>0</v>
      </c>
      <c r="AU23" s="144">
        <v>0</v>
      </c>
      <c r="AV23" s="144">
        <v>0</v>
      </c>
      <c r="AW23" s="144">
        <v>0</v>
      </c>
      <c r="AX23" s="144">
        <v>0</v>
      </c>
      <c r="AY23" s="144">
        <v>0</v>
      </c>
      <c r="AZ23" s="144">
        <v>0</v>
      </c>
      <c r="BA23" s="144">
        <v>0</v>
      </c>
      <c r="BB23" s="144">
        <v>0</v>
      </c>
      <c r="BC23" s="144">
        <v>0</v>
      </c>
      <c r="BD23" s="144">
        <v>0</v>
      </c>
      <c r="BE23" s="144">
        <v>0</v>
      </c>
      <c r="BF23" s="144">
        <v>0</v>
      </c>
      <c r="BG23" s="144">
        <v>0</v>
      </c>
      <c r="BH23" s="144">
        <v>0</v>
      </c>
      <c r="BI23" s="144">
        <v>0</v>
      </c>
      <c r="BJ23" s="144">
        <v>0</v>
      </c>
      <c r="BK23" s="144">
        <v>0</v>
      </c>
      <c r="BL23" s="144">
        <v>0</v>
      </c>
      <c r="BM23" s="144">
        <v>0</v>
      </c>
      <c r="BN23" s="144">
        <v>0</v>
      </c>
      <c r="BO23" s="144">
        <v>0</v>
      </c>
      <c r="BP23" s="144">
        <v>0</v>
      </c>
      <c r="BQ23" s="144">
        <v>0</v>
      </c>
      <c r="BR23" s="144">
        <v>0</v>
      </c>
      <c r="BS23" s="144">
        <v>0</v>
      </c>
      <c r="BT23" s="144">
        <v>0</v>
      </c>
      <c r="BU23" s="144">
        <v>0</v>
      </c>
      <c r="BV23" s="144">
        <v>0</v>
      </c>
      <c r="BW23" s="144">
        <v>0</v>
      </c>
      <c r="BX23" s="144">
        <v>0</v>
      </c>
      <c r="BY23" s="144">
        <v>0</v>
      </c>
      <c r="BZ23" s="144">
        <v>0</v>
      </c>
      <c r="CA23" s="144">
        <v>0</v>
      </c>
      <c r="CB23" s="144">
        <v>0</v>
      </c>
      <c r="CC23" s="144">
        <v>0</v>
      </c>
      <c r="CD23" s="144">
        <v>0</v>
      </c>
      <c r="CE23" s="144">
        <v>0</v>
      </c>
      <c r="CF23" s="144">
        <v>0</v>
      </c>
      <c r="CG23" s="144">
        <v>0</v>
      </c>
      <c r="CH23" s="144">
        <v>0</v>
      </c>
      <c r="CI23" s="144">
        <v>0</v>
      </c>
      <c r="CJ23" s="144">
        <v>0</v>
      </c>
      <c r="CK23" s="144">
        <v>0</v>
      </c>
      <c r="CL23" s="144">
        <v>0</v>
      </c>
      <c r="CM23" s="144">
        <v>0</v>
      </c>
      <c r="CN23" s="144">
        <v>0</v>
      </c>
      <c r="CO23" s="144">
        <v>0</v>
      </c>
      <c r="CP23" s="144">
        <v>0</v>
      </c>
      <c r="CQ23" s="143">
        <v>0</v>
      </c>
      <c r="CR23" s="145">
        <v>0</v>
      </c>
      <c r="CS23" s="145">
        <v>0</v>
      </c>
      <c r="CT23" s="145">
        <v>0</v>
      </c>
      <c r="CU23" s="145">
        <v>0</v>
      </c>
      <c r="CV23" s="145">
        <v>0</v>
      </c>
      <c r="CW23" s="145">
        <v>0</v>
      </c>
      <c r="CX23" s="145">
        <v>0</v>
      </c>
      <c r="CY23" s="145">
        <v>0</v>
      </c>
      <c r="CZ23" s="145">
        <v>0</v>
      </c>
      <c r="DA23" s="145">
        <v>0</v>
      </c>
      <c r="DB23" s="145">
        <v>0</v>
      </c>
      <c r="DC23" s="145">
        <v>0</v>
      </c>
      <c r="DD23" s="145">
        <v>0</v>
      </c>
      <c r="DE23" s="145">
        <v>5808.9</v>
      </c>
      <c r="DF23" s="145">
        <v>6081.9</v>
      </c>
      <c r="DG23" s="145">
        <v>6081.9</v>
      </c>
      <c r="DH23" s="145">
        <v>0</v>
      </c>
      <c r="DI23" s="145">
        <v>0</v>
      </c>
      <c r="DJ23" s="145">
        <v>0</v>
      </c>
      <c r="DK23" s="145">
        <v>0</v>
      </c>
      <c r="DL23" s="145">
        <v>0</v>
      </c>
      <c r="DM23" s="145">
        <v>0</v>
      </c>
      <c r="DN23" s="145">
        <v>0</v>
      </c>
      <c r="DO23" s="145">
        <v>0</v>
      </c>
      <c r="DP23" s="145">
        <v>0</v>
      </c>
      <c r="DQ23" s="145">
        <v>0</v>
      </c>
      <c r="DR23" s="145">
        <v>0</v>
      </c>
      <c r="DS23" s="145">
        <v>0</v>
      </c>
      <c r="DT23" s="145">
        <v>0</v>
      </c>
      <c r="DU23" s="145">
        <v>0</v>
      </c>
      <c r="DV23" s="145">
        <v>0</v>
      </c>
      <c r="DW23" s="145">
        <v>0</v>
      </c>
      <c r="DX23" s="145">
        <v>0</v>
      </c>
      <c r="DY23" s="145">
        <v>0</v>
      </c>
      <c r="DZ23" s="145">
        <v>0</v>
      </c>
      <c r="EA23" s="145">
        <v>0</v>
      </c>
      <c r="EB23" s="145">
        <v>0</v>
      </c>
      <c r="EC23" s="145">
        <v>0</v>
      </c>
      <c r="ED23" s="145">
        <v>0</v>
      </c>
      <c r="EE23" s="145">
        <v>0</v>
      </c>
      <c r="EF23" s="145">
        <v>0</v>
      </c>
      <c r="EG23" s="145">
        <v>0</v>
      </c>
      <c r="EH23" s="145">
        <v>0</v>
      </c>
      <c r="EI23" s="145">
        <v>0</v>
      </c>
      <c r="EJ23" s="145">
        <v>0</v>
      </c>
      <c r="EK23" s="145">
        <v>0</v>
      </c>
      <c r="EL23" s="145">
        <v>0</v>
      </c>
      <c r="EM23" s="145">
        <v>0</v>
      </c>
      <c r="EN23" s="145">
        <v>0</v>
      </c>
      <c r="EO23" s="145">
        <v>0</v>
      </c>
      <c r="EP23" s="145">
        <v>0</v>
      </c>
      <c r="EQ23" s="145">
        <v>0</v>
      </c>
      <c r="ER23" s="145">
        <v>0</v>
      </c>
      <c r="ES23" s="145">
        <v>0</v>
      </c>
      <c r="ET23" s="145">
        <v>0</v>
      </c>
      <c r="EU23" s="145">
        <v>0</v>
      </c>
      <c r="EV23" s="145">
        <v>0</v>
      </c>
      <c r="EW23" s="145">
        <v>0</v>
      </c>
      <c r="EX23" s="145">
        <v>0</v>
      </c>
      <c r="EY23" s="145">
        <v>0</v>
      </c>
      <c r="EZ23" s="145">
        <v>0</v>
      </c>
      <c r="FA23" s="145">
        <v>0</v>
      </c>
      <c r="FB23" s="145">
        <v>0</v>
      </c>
      <c r="FC23" s="145">
        <v>0</v>
      </c>
      <c r="FD23" s="145">
        <v>0</v>
      </c>
      <c r="FE23" s="145">
        <v>0</v>
      </c>
      <c r="FF23" s="145">
        <v>0</v>
      </c>
      <c r="FG23" s="145">
        <v>0</v>
      </c>
      <c r="FH23" s="145">
        <v>0</v>
      </c>
      <c r="FI23" s="145">
        <v>0</v>
      </c>
      <c r="FJ23" s="145">
        <v>0</v>
      </c>
      <c r="FK23" s="145">
        <v>0</v>
      </c>
      <c r="FL23" s="145">
        <v>0</v>
      </c>
      <c r="FM23" s="145">
        <v>0</v>
      </c>
      <c r="FN23" s="145">
        <v>0</v>
      </c>
      <c r="FO23" s="145">
        <v>0</v>
      </c>
      <c r="FP23" s="145">
        <v>0</v>
      </c>
      <c r="FQ23" s="145">
        <v>0</v>
      </c>
      <c r="FR23" s="145">
        <v>0</v>
      </c>
      <c r="FS23" s="145">
        <v>0</v>
      </c>
      <c r="FT23" s="145">
        <v>0</v>
      </c>
      <c r="FU23" s="145">
        <v>0</v>
      </c>
      <c r="FV23" s="145">
        <v>0</v>
      </c>
      <c r="FW23" s="145">
        <v>0</v>
      </c>
      <c r="FX23" s="143"/>
      <c r="FY23" s="146" t="str">
        <f>_xlfn.XLOOKUP($E23,'Key assumptions'!$B$112:$B$120,'Key assumptions'!$C$112:$C$120,0)</f>
        <v>Nominal</v>
      </c>
      <c r="FZ23" s="146" cm="1">
        <f t="array" ref="FZ23">IF($FY23=0,0,_xlfn.IFS($FY23='Key assumptions'!$C$120,_xlfn.XLOOKUP(LEFT(FZ$7,6),Inflation_Year,Inflation_NominaltoReal),TRUE,_xlfn.XLOOKUP($FY23,Inflation_Year,NominaltoReal)))</f>
        <v>1.0197075870962191</v>
      </c>
      <c r="GA23" s="146" cm="1">
        <f t="array" ref="GA23">IF($FY23=0,0,_xlfn.IFS($FY23='Key assumptions'!$C$120,_xlfn.XLOOKUP(LEFT(GA$7,6),Inflation_Year,Inflation_NominaltoReal),TRUE,_xlfn.XLOOKUP($FY23,Inflation_Year,NominaltoReal)))</f>
        <v>0.98700804022984445</v>
      </c>
      <c r="GB23" s="146" cm="1">
        <f t="array" ref="GB23">IF($FY23=0,0,_xlfn.IFS($FY23='Key assumptions'!$C$120,_xlfn.XLOOKUP(LEFT(GB$7,6),Inflation_Year,Inflation_NominaltoReal),TRUE,_xlfn.XLOOKUP($FY23,Inflation_Year,NominaltoReal)))</f>
        <v>0.96152830081941731</v>
      </c>
      <c r="GC23" s="146" cm="1">
        <f t="array" ref="GC23">IF($FY23=0,0,_xlfn.IFS($FY23='Key assumptions'!$C$120,_xlfn.XLOOKUP(LEFT(GC$7,6),Inflation_Year,Inflation_NominaltoReal),TRUE,_xlfn.XLOOKUP($FY23,Inflation_Year,NominaltoReal)))</f>
        <v>0.93670632415656829</v>
      </c>
      <c r="GD23" s="146" cm="1">
        <f t="array" ref="GD23">IF($FY23=0,0,_xlfn.IFS($FY23='Key assumptions'!$C$120,_xlfn.XLOOKUP(LEFT(GD$7,6),Inflation_Year,Inflation_NominaltoReal),TRUE,_xlfn.XLOOKUP($FY23,Inflation_Year,NominaltoReal)))</f>
        <v>0.91252513001143176</v>
      </c>
      <c r="GE23" s="146" cm="1">
        <f t="array" ref="GE23">IF($FY23=0,0,_xlfn.IFS($FY23='Key assumptions'!$C$120,_xlfn.XLOOKUP(LEFT(GE$7,6),Inflation_Year,Inflation_NominaltoReal),TRUE,_xlfn.XLOOKUP($FY23,Inflation_Year,NominaltoReal)))</f>
        <v>0.88896817650095872</v>
      </c>
      <c r="GF23" s="146" cm="1">
        <f t="array" ref="GF23">IF($FY23=0,0,_xlfn.IFS($FY23='Key assumptions'!$C$120,_xlfn.XLOOKUP(LEFT(GF$7,6),Inflation_Year,Inflation_NominaltoReal),TRUE,_xlfn.XLOOKUP($FY23,Inflation_Year,NominaltoReal)))</f>
        <v>0.86601934877293718</v>
      </c>
      <c r="GG23" s="143"/>
      <c r="GH23" s="145" cm="1">
        <f t="array" ref="GH23">SUMPRODUCT(--($CR$7:$FW$7&gt;=GH$5),--($CR$7:$FW$7&lt;=GH$6),$CR23:$FW23)*FZ23</f>
        <v>18326.898550604215</v>
      </c>
      <c r="GI23" s="145" cm="1">
        <f t="array" ref="GI23">SUMPRODUCT(--($CR$7:$FW$7&gt;=GI$5),--($CR$7:$FW$7&lt;=GI$6),$CR23:$FW23)*GA23</f>
        <v>0</v>
      </c>
      <c r="GJ23" s="145" cm="1">
        <f t="array" ref="GJ23">SUMPRODUCT(--($CR$7:$FW$7&gt;=GJ$5),--($CR$7:$FW$7&lt;=GJ$6),$CR23:$FW23)*GB23</f>
        <v>0</v>
      </c>
      <c r="GK23" s="145" cm="1">
        <f t="array" ref="GK23">SUMPRODUCT(--($CR$7:$FW$7&gt;=GK$5),--($CR$7:$FW$7&lt;=GK$6),$CR23:$FW23)*GC23</f>
        <v>0</v>
      </c>
      <c r="GL23" s="145" cm="1">
        <f t="array" ref="GL23">SUMPRODUCT(--($CR$7:$FW$7&gt;=GL$5),--($CR$7:$FW$7&lt;=GL$6),$CR23:$FW23)*GD23</f>
        <v>0</v>
      </c>
      <c r="GM23" s="145" cm="1">
        <f t="array" ref="GM23">SUMPRODUCT(--($CR$7:$FW$7&gt;=GM$5),--($CR$7:$FW$7&lt;=GM$6),$CR23:$FW23)*GE23</f>
        <v>0</v>
      </c>
      <c r="GN23" s="145" cm="1">
        <f t="array" ref="GN23">SUMPRODUCT(--($CR$7:$FW$7&gt;=GN$5),--($CR$7:$FW$7&lt;=GN$6),$CR23:$FW23)*GF23</f>
        <v>0</v>
      </c>
      <c r="GO23" s="145">
        <f t="shared" si="18"/>
        <v>18326.898550604215</v>
      </c>
      <c r="GP23" s="87"/>
      <c r="GQ23" s="89"/>
      <c r="GR23" s="145" cm="1">
        <f t="array" ref="GR23">SUMPRODUCT(--($CR$7:$FW$7&gt;=GR$5),--($CR$7:$FW$7&lt;=GR$6),$CR23:$FW23)</f>
        <v>17972.699999999997</v>
      </c>
      <c r="GS23" s="89"/>
      <c r="GT23" s="214" cm="1">
        <f t="array" ref="GT23">--AND(MIN(IF($K23:$CP23&lt;&gt;0,$K$7:$CP$7))&gt;=GT$5,MIN(IF($K23:$CP23&lt;&gt;0,$K$7:$CP$7))&lt;=GT$6)</f>
        <v>1</v>
      </c>
      <c r="GU23" s="214" cm="1">
        <f t="array" ref="GU23">--AND(MIN(IF($K23:$CP23&lt;&gt;0,$K$7:$CP$7))&gt;=GU$5,MIN(IF($K23:$CP23&lt;&gt;0,$K$7:$CP$7))&lt;=GU$6)</f>
        <v>0</v>
      </c>
      <c r="GV23" s="214" cm="1">
        <f t="array" ref="GV23">--AND(MIN(IF($K23:$CP23&lt;&gt;0,$K$7:$CP$7))&gt;=GV$5,MIN(IF($K23:$CP23&lt;&gt;0,$K$7:$CP$7))&lt;=GV$6)</f>
        <v>0</v>
      </c>
      <c r="GW23" s="214" cm="1">
        <f t="array" ref="GW23">--AND(MIN(IF($K23:$CP23&lt;&gt;0,$K$7:$CP$7))&gt;=GW$5,MIN(IF($K23:$CP23&lt;&gt;0,$K$7:$CP$7))&lt;=GW$6)</f>
        <v>0</v>
      </c>
      <c r="GX23" s="214" cm="1">
        <f t="array" ref="GX23">--AND(MIN(IF($K23:$CP23&lt;&gt;0,$K$7:$CP$7))&gt;=GX$5,MIN(IF($K23:$CP23&lt;&gt;0,$K$7:$CP$7))&lt;=GX$6)</f>
        <v>0</v>
      </c>
      <c r="GY23" s="214" cm="1">
        <f t="array" ref="GY23">--AND(MIN(IF($K23:$CP23&lt;&gt;0,$K$7:$CP$7))&gt;=GY$5,MIN(IF($K23:$CP23&lt;&gt;0,$K$7:$CP$7))&lt;=GY$6)</f>
        <v>0</v>
      </c>
      <c r="GZ23" s="214" cm="1">
        <f t="array" ref="GZ23">--AND(MIN(IF($K23:$CP23&lt;&gt;0,$K$7:$CP$7))&gt;=GZ$5,MIN(IF($K23:$CP23&lt;&gt;0,$K$7:$CP$7))&lt;=GZ$6)</f>
        <v>0</v>
      </c>
      <c r="HA23" s="214">
        <f t="shared" si="0"/>
        <v>1</v>
      </c>
      <c r="HC23" s="214" cm="1">
        <f t="array" ref="HC23">--AND(MIN(IF($K23:$CP23&lt;&gt;0,$K$7:$CP$7))&gt;=HC$5,MIN(IF($K23:$CP23&lt;&gt;0,$K$7:$CP$7))&lt;=HC$6)</f>
        <v>1</v>
      </c>
      <c r="HE23" s="147" t="str">
        <f t="shared" si="19"/>
        <v>Yes</v>
      </c>
      <c r="HF23" s="147" t="str">
        <f t="shared" si="20"/>
        <v>No</v>
      </c>
      <c r="HG23" s="147">
        <f>IF($HF23="Yes",0,$H23*avg_hrs*12*'Key assumptions'!$D$87)</f>
        <v>362535.77629630821</v>
      </c>
      <c r="HH23" s="147">
        <f>IF(HE23="Yes",'Key assumptions'!$D$84*HG23,0)</f>
        <v>54380.366444446227</v>
      </c>
      <c r="HI23" s="144">
        <f>IFERROR(AVERAGEIFS($K23:$CP23,$K$7:$CP$7,"&gt;="&amp;'Key assumptions'!$D$24,$K$7:$CP$7,"&lt;="&amp;'Key assumptions'!$D$25),0)</f>
        <v>1.6233766233766232E-2</v>
      </c>
      <c r="HJ23" s="148">
        <f t="shared" si="21"/>
        <v>882.79815656568542</v>
      </c>
      <c r="HK23" s="148">
        <f t="shared" si="1"/>
        <v>882.79815656568542</v>
      </c>
      <c r="HL23" s="148">
        <f t="shared" si="2"/>
        <v>0</v>
      </c>
      <c r="HM23" s="148">
        <f t="shared" si="3"/>
        <v>0</v>
      </c>
      <c r="HN23" s="148">
        <f t="shared" si="4"/>
        <v>0</v>
      </c>
      <c r="HO23" s="148">
        <f t="shared" si="5"/>
        <v>0</v>
      </c>
      <c r="HP23" s="148">
        <f t="shared" si="6"/>
        <v>0</v>
      </c>
      <c r="HQ23" s="148">
        <f t="shared" si="7"/>
        <v>0</v>
      </c>
      <c r="HR23" s="147">
        <f t="shared" si="8"/>
        <v>882.79815656568542</v>
      </c>
      <c r="HS23" s="89"/>
      <c r="HU23" s="147">
        <f>$HJ23*HC23/(1+'Key assumptions'!G45)^0.75</f>
        <v>882.79815656568542</v>
      </c>
      <c r="HW23" s="216">
        <f t="shared" si="9"/>
        <v>1.6233766233766232E-2</v>
      </c>
      <c r="HX23" s="216">
        <f t="shared" si="10"/>
        <v>0</v>
      </c>
      <c r="HY23" s="216">
        <f t="shared" si="11"/>
        <v>0</v>
      </c>
      <c r="HZ23" s="216">
        <f t="shared" si="12"/>
        <v>0</v>
      </c>
      <c r="IA23" s="216">
        <f t="shared" si="13"/>
        <v>0</v>
      </c>
      <c r="IB23" s="216">
        <f t="shared" si="14"/>
        <v>0</v>
      </c>
      <c r="IC23" s="216">
        <f t="shared" si="15"/>
        <v>0</v>
      </c>
      <c r="ID23" s="216">
        <f t="shared" si="16"/>
        <v>1.6233766233766232E-2</v>
      </c>
      <c r="IF23" s="216">
        <f t="shared" si="17"/>
        <v>1.6233766233766232E-2</v>
      </c>
    </row>
    <row r="24" spans="2:240" x14ac:dyDescent="0.2">
      <c r="B24" s="141" t="str">
        <v>Project Delivery Management - Project Management</v>
      </c>
      <c r="C24" s="141" t="str">
        <v>Project Manager CO (Network Projects)</v>
      </c>
      <c r="D24" s="141" t="str">
        <v>Internal Labour</v>
      </c>
      <c r="E24" s="141" t="str">
        <v>$ Nominal</v>
      </c>
      <c r="F24" s="141" t="str">
        <v>Existing</v>
      </c>
      <c r="G24" s="141" t="str">
        <v>Normal time</v>
      </c>
      <c r="H24" s="142">
        <v>225.37</v>
      </c>
      <c r="I24" s="126">
        <v>96271.35000000002</v>
      </c>
      <c r="J24" s="143">
        <v>0</v>
      </c>
      <c r="K24" s="144">
        <v>0</v>
      </c>
      <c r="L24" s="144">
        <v>0</v>
      </c>
      <c r="M24" s="144">
        <v>0</v>
      </c>
      <c r="N24" s="144">
        <v>0</v>
      </c>
      <c r="O24" s="144">
        <v>0</v>
      </c>
      <c r="P24" s="144">
        <v>0</v>
      </c>
      <c r="Q24" s="144">
        <v>0</v>
      </c>
      <c r="R24" s="144">
        <v>0</v>
      </c>
      <c r="S24" s="144">
        <v>0</v>
      </c>
      <c r="T24" s="144">
        <v>0</v>
      </c>
      <c r="U24" s="144">
        <v>0</v>
      </c>
      <c r="V24" s="144">
        <v>0.37047619047619074</v>
      </c>
      <c r="W24" s="144">
        <v>1.1855238095238094</v>
      </c>
      <c r="X24" s="144">
        <v>1</v>
      </c>
      <c r="Y24" s="144">
        <v>1</v>
      </c>
      <c r="Z24" s="144">
        <v>0</v>
      </c>
      <c r="AA24" s="144">
        <v>0</v>
      </c>
      <c r="AB24" s="144">
        <v>0</v>
      </c>
      <c r="AC24" s="144">
        <v>0</v>
      </c>
      <c r="AD24" s="144">
        <v>0</v>
      </c>
      <c r="AE24" s="144">
        <v>0</v>
      </c>
      <c r="AF24" s="144">
        <v>0</v>
      </c>
      <c r="AG24" s="144">
        <v>0</v>
      </c>
      <c r="AH24" s="144">
        <v>0</v>
      </c>
      <c r="AI24" s="144">
        <v>0</v>
      </c>
      <c r="AJ24" s="144">
        <v>0</v>
      </c>
      <c r="AK24" s="144">
        <v>0</v>
      </c>
      <c r="AL24" s="144">
        <v>0</v>
      </c>
      <c r="AM24" s="144">
        <v>0</v>
      </c>
      <c r="AN24" s="144">
        <v>0</v>
      </c>
      <c r="AO24" s="144">
        <v>0</v>
      </c>
      <c r="AP24" s="144">
        <v>0</v>
      </c>
      <c r="AQ24" s="144">
        <v>0</v>
      </c>
      <c r="AR24" s="144">
        <v>0</v>
      </c>
      <c r="AS24" s="144">
        <v>0</v>
      </c>
      <c r="AT24" s="144">
        <v>0</v>
      </c>
      <c r="AU24" s="144">
        <v>0</v>
      </c>
      <c r="AV24" s="144">
        <v>0</v>
      </c>
      <c r="AW24" s="144">
        <v>0</v>
      </c>
      <c r="AX24" s="144">
        <v>0</v>
      </c>
      <c r="AY24" s="144">
        <v>0</v>
      </c>
      <c r="AZ24" s="144">
        <v>0</v>
      </c>
      <c r="BA24" s="144">
        <v>0</v>
      </c>
      <c r="BB24" s="144">
        <v>0</v>
      </c>
      <c r="BC24" s="144">
        <v>0</v>
      </c>
      <c r="BD24" s="144">
        <v>0</v>
      </c>
      <c r="BE24" s="144">
        <v>0</v>
      </c>
      <c r="BF24" s="144">
        <v>0</v>
      </c>
      <c r="BG24" s="144">
        <v>0</v>
      </c>
      <c r="BH24" s="144">
        <v>0</v>
      </c>
      <c r="BI24" s="144">
        <v>0</v>
      </c>
      <c r="BJ24" s="144">
        <v>0</v>
      </c>
      <c r="BK24" s="144">
        <v>0</v>
      </c>
      <c r="BL24" s="144">
        <v>0</v>
      </c>
      <c r="BM24" s="144">
        <v>0</v>
      </c>
      <c r="BN24" s="144">
        <v>0</v>
      </c>
      <c r="BO24" s="144">
        <v>0</v>
      </c>
      <c r="BP24" s="144">
        <v>0</v>
      </c>
      <c r="BQ24" s="144">
        <v>0</v>
      </c>
      <c r="BR24" s="144">
        <v>0</v>
      </c>
      <c r="BS24" s="144">
        <v>0</v>
      </c>
      <c r="BT24" s="144">
        <v>0</v>
      </c>
      <c r="BU24" s="144">
        <v>0</v>
      </c>
      <c r="BV24" s="144">
        <v>0</v>
      </c>
      <c r="BW24" s="144">
        <v>0</v>
      </c>
      <c r="BX24" s="144">
        <v>0</v>
      </c>
      <c r="BY24" s="144">
        <v>0</v>
      </c>
      <c r="BZ24" s="144">
        <v>0</v>
      </c>
      <c r="CA24" s="144">
        <v>0</v>
      </c>
      <c r="CB24" s="144">
        <v>0</v>
      </c>
      <c r="CC24" s="144">
        <v>0</v>
      </c>
      <c r="CD24" s="144">
        <v>0</v>
      </c>
      <c r="CE24" s="144">
        <v>0</v>
      </c>
      <c r="CF24" s="144">
        <v>0</v>
      </c>
      <c r="CG24" s="144">
        <v>0</v>
      </c>
      <c r="CH24" s="144">
        <v>0</v>
      </c>
      <c r="CI24" s="144">
        <v>0</v>
      </c>
      <c r="CJ24" s="144">
        <v>0</v>
      </c>
      <c r="CK24" s="144">
        <v>0</v>
      </c>
      <c r="CL24" s="144">
        <v>0</v>
      </c>
      <c r="CM24" s="144">
        <v>0</v>
      </c>
      <c r="CN24" s="144">
        <v>0</v>
      </c>
      <c r="CO24" s="144">
        <v>0</v>
      </c>
      <c r="CP24" s="144">
        <v>0</v>
      </c>
      <c r="CQ24" s="143">
        <v>0</v>
      </c>
      <c r="CR24" s="145">
        <v>0</v>
      </c>
      <c r="CS24" s="145">
        <v>0</v>
      </c>
      <c r="CT24" s="145">
        <v>0</v>
      </c>
      <c r="CU24" s="145">
        <v>0</v>
      </c>
      <c r="CV24" s="145">
        <v>0</v>
      </c>
      <c r="CW24" s="145">
        <v>0</v>
      </c>
      <c r="CX24" s="145">
        <v>0</v>
      </c>
      <c r="CY24" s="145">
        <v>0</v>
      </c>
      <c r="CZ24" s="145">
        <v>0</v>
      </c>
      <c r="DA24" s="145">
        <v>0</v>
      </c>
      <c r="DB24" s="145">
        <v>0</v>
      </c>
      <c r="DC24" s="145">
        <v>8329.75</v>
      </c>
      <c r="DD24" s="145">
        <v>26655.200000000019</v>
      </c>
      <c r="DE24" s="145">
        <v>30643.200000000001</v>
      </c>
      <c r="DF24" s="145">
        <v>30643.200000000001</v>
      </c>
      <c r="DG24" s="145">
        <v>0</v>
      </c>
      <c r="DH24" s="145">
        <v>0</v>
      </c>
      <c r="DI24" s="145">
        <v>0</v>
      </c>
      <c r="DJ24" s="145">
        <v>0</v>
      </c>
      <c r="DK24" s="145">
        <v>0</v>
      </c>
      <c r="DL24" s="145">
        <v>0</v>
      </c>
      <c r="DM24" s="145">
        <v>0</v>
      </c>
      <c r="DN24" s="145">
        <v>0</v>
      </c>
      <c r="DO24" s="145">
        <v>0</v>
      </c>
      <c r="DP24" s="145">
        <v>0</v>
      </c>
      <c r="DQ24" s="145">
        <v>0</v>
      </c>
      <c r="DR24" s="145">
        <v>0</v>
      </c>
      <c r="DS24" s="145">
        <v>0</v>
      </c>
      <c r="DT24" s="145">
        <v>0</v>
      </c>
      <c r="DU24" s="145">
        <v>0</v>
      </c>
      <c r="DV24" s="145">
        <v>0</v>
      </c>
      <c r="DW24" s="145">
        <v>0</v>
      </c>
      <c r="DX24" s="145">
        <v>0</v>
      </c>
      <c r="DY24" s="145">
        <v>0</v>
      </c>
      <c r="DZ24" s="145">
        <v>0</v>
      </c>
      <c r="EA24" s="145">
        <v>0</v>
      </c>
      <c r="EB24" s="145">
        <v>0</v>
      </c>
      <c r="EC24" s="145">
        <v>0</v>
      </c>
      <c r="ED24" s="145">
        <v>0</v>
      </c>
      <c r="EE24" s="145">
        <v>0</v>
      </c>
      <c r="EF24" s="145">
        <v>0</v>
      </c>
      <c r="EG24" s="145">
        <v>0</v>
      </c>
      <c r="EH24" s="145">
        <v>0</v>
      </c>
      <c r="EI24" s="145">
        <v>0</v>
      </c>
      <c r="EJ24" s="145">
        <v>0</v>
      </c>
      <c r="EK24" s="145">
        <v>0</v>
      </c>
      <c r="EL24" s="145">
        <v>0</v>
      </c>
      <c r="EM24" s="145">
        <v>0</v>
      </c>
      <c r="EN24" s="145">
        <v>0</v>
      </c>
      <c r="EO24" s="145">
        <v>0</v>
      </c>
      <c r="EP24" s="145">
        <v>0</v>
      </c>
      <c r="EQ24" s="145">
        <v>0</v>
      </c>
      <c r="ER24" s="145">
        <v>0</v>
      </c>
      <c r="ES24" s="145">
        <v>0</v>
      </c>
      <c r="ET24" s="145">
        <v>0</v>
      </c>
      <c r="EU24" s="145">
        <v>0</v>
      </c>
      <c r="EV24" s="145">
        <v>0</v>
      </c>
      <c r="EW24" s="145">
        <v>0</v>
      </c>
      <c r="EX24" s="145">
        <v>0</v>
      </c>
      <c r="EY24" s="145">
        <v>0</v>
      </c>
      <c r="EZ24" s="145">
        <v>0</v>
      </c>
      <c r="FA24" s="145">
        <v>0</v>
      </c>
      <c r="FB24" s="145">
        <v>0</v>
      </c>
      <c r="FC24" s="145">
        <v>0</v>
      </c>
      <c r="FD24" s="145">
        <v>0</v>
      </c>
      <c r="FE24" s="145">
        <v>0</v>
      </c>
      <c r="FF24" s="145">
        <v>0</v>
      </c>
      <c r="FG24" s="145">
        <v>0</v>
      </c>
      <c r="FH24" s="145">
        <v>0</v>
      </c>
      <c r="FI24" s="145">
        <v>0</v>
      </c>
      <c r="FJ24" s="145">
        <v>0</v>
      </c>
      <c r="FK24" s="145">
        <v>0</v>
      </c>
      <c r="FL24" s="145">
        <v>0</v>
      </c>
      <c r="FM24" s="145">
        <v>0</v>
      </c>
      <c r="FN24" s="145">
        <v>0</v>
      </c>
      <c r="FO24" s="145">
        <v>0</v>
      </c>
      <c r="FP24" s="145">
        <v>0</v>
      </c>
      <c r="FQ24" s="145">
        <v>0</v>
      </c>
      <c r="FR24" s="145">
        <v>0</v>
      </c>
      <c r="FS24" s="145">
        <v>0</v>
      </c>
      <c r="FT24" s="145">
        <v>0</v>
      </c>
      <c r="FU24" s="145">
        <v>0</v>
      </c>
      <c r="FV24" s="145">
        <v>0</v>
      </c>
      <c r="FW24" s="145">
        <v>0</v>
      </c>
      <c r="FX24" s="143"/>
      <c r="FY24" s="146" t="str">
        <f>_xlfn.XLOOKUP($E24,'Key assumptions'!$B$112:$B$120,'Key assumptions'!$C$112:$C$120,0)</f>
        <v>Nominal</v>
      </c>
      <c r="FZ24" s="146" cm="1">
        <f t="array" ref="FZ24">IF($FY24=0,0,_xlfn.IFS($FY24='Key assumptions'!$C$120,_xlfn.XLOOKUP(LEFT(FZ$7,6),Inflation_Year,Inflation_NominaltoReal),TRUE,_xlfn.XLOOKUP($FY24,Inflation_Year,NominaltoReal)))</f>
        <v>1.0197075870962191</v>
      </c>
      <c r="GA24" s="146" cm="1">
        <f t="array" ref="GA24">IF($FY24=0,0,_xlfn.IFS($FY24='Key assumptions'!$C$120,_xlfn.XLOOKUP(LEFT(GA$7,6),Inflation_Year,Inflation_NominaltoReal),TRUE,_xlfn.XLOOKUP($FY24,Inflation_Year,NominaltoReal)))</f>
        <v>0.98700804022984445</v>
      </c>
      <c r="GB24" s="146" cm="1">
        <f t="array" ref="GB24">IF($FY24=0,0,_xlfn.IFS($FY24='Key assumptions'!$C$120,_xlfn.XLOOKUP(LEFT(GB$7,6),Inflation_Year,Inflation_NominaltoReal),TRUE,_xlfn.XLOOKUP($FY24,Inflation_Year,NominaltoReal)))</f>
        <v>0.96152830081941731</v>
      </c>
      <c r="GC24" s="146" cm="1">
        <f t="array" ref="GC24">IF($FY24=0,0,_xlfn.IFS($FY24='Key assumptions'!$C$120,_xlfn.XLOOKUP(LEFT(GC$7,6),Inflation_Year,Inflation_NominaltoReal),TRUE,_xlfn.XLOOKUP($FY24,Inflation_Year,NominaltoReal)))</f>
        <v>0.93670632415656829</v>
      </c>
      <c r="GD24" s="146" cm="1">
        <f t="array" ref="GD24">IF($FY24=0,0,_xlfn.IFS($FY24='Key assumptions'!$C$120,_xlfn.XLOOKUP(LEFT(GD$7,6),Inflation_Year,Inflation_NominaltoReal),TRUE,_xlfn.XLOOKUP($FY24,Inflation_Year,NominaltoReal)))</f>
        <v>0.91252513001143176</v>
      </c>
      <c r="GE24" s="146" cm="1">
        <f t="array" ref="GE24">IF($FY24=0,0,_xlfn.IFS($FY24='Key assumptions'!$C$120,_xlfn.XLOOKUP(LEFT(GE$7,6),Inflation_Year,Inflation_NominaltoReal),TRUE,_xlfn.XLOOKUP($FY24,Inflation_Year,NominaltoReal)))</f>
        <v>0.88896817650095872</v>
      </c>
      <c r="GF24" s="146" cm="1">
        <f t="array" ref="GF24">IF($FY24=0,0,_xlfn.IFS($FY24='Key assumptions'!$C$120,_xlfn.XLOOKUP(LEFT(GF$7,6),Inflation_Year,Inflation_NominaltoReal),TRUE,_xlfn.XLOOKUP($FY24,Inflation_Year,NominaltoReal)))</f>
        <v>0.86601934877293718</v>
      </c>
      <c r="GG24" s="143"/>
      <c r="GH24" s="145" cm="1">
        <f t="array" ref="GH24">SUMPRODUCT(--($CR$7:$FW$7&gt;=GH$5),--($CR$7:$FW$7&lt;=GH$6),$CR24:$FW24)*FZ24</f>
        <v>62494.207065813724</v>
      </c>
      <c r="GI24" s="145" cm="1">
        <f t="array" ref="GI24">SUMPRODUCT(--($CR$7:$FW$7&gt;=GI$5),--($CR$7:$FW$7&lt;=GI$6),$CR24:$FW24)*GA24</f>
        <v>0</v>
      </c>
      <c r="GJ24" s="145" cm="1">
        <f t="array" ref="GJ24">SUMPRODUCT(--($CR$7:$FW$7&gt;=GJ$5),--($CR$7:$FW$7&lt;=GJ$6),$CR24:$FW24)*GB24</f>
        <v>0</v>
      </c>
      <c r="GK24" s="145" cm="1">
        <f t="array" ref="GK24">SUMPRODUCT(--($CR$7:$FW$7&gt;=GK$5),--($CR$7:$FW$7&lt;=GK$6),$CR24:$FW24)*GC24</f>
        <v>0</v>
      </c>
      <c r="GL24" s="145" cm="1">
        <f t="array" ref="GL24">SUMPRODUCT(--($CR$7:$FW$7&gt;=GL$5),--($CR$7:$FW$7&lt;=GL$6),$CR24:$FW24)*GD24</f>
        <v>0</v>
      </c>
      <c r="GM24" s="145" cm="1">
        <f t="array" ref="GM24">SUMPRODUCT(--($CR$7:$FW$7&gt;=GM$5),--($CR$7:$FW$7&lt;=GM$6),$CR24:$FW24)*GE24</f>
        <v>0</v>
      </c>
      <c r="GN24" s="145" cm="1">
        <f t="array" ref="GN24">SUMPRODUCT(--($CR$7:$FW$7&gt;=GN$5),--($CR$7:$FW$7&lt;=GN$6),$CR24:$FW24)*GF24</f>
        <v>0</v>
      </c>
      <c r="GO24" s="145">
        <f t="shared" si="18"/>
        <v>62494.207065813724</v>
      </c>
      <c r="GP24" s="87"/>
      <c r="GQ24" s="89"/>
      <c r="GR24" s="145" cm="1">
        <f t="array" ref="GR24">SUMPRODUCT(--($CR$7:$FW$7&gt;=GR$5),--($CR$7:$FW$7&lt;=GR$6),$CR24:$FW24)</f>
        <v>61286.400000000001</v>
      </c>
      <c r="GS24" s="89"/>
      <c r="GT24" s="214" cm="1">
        <f t="array" ref="GT24">--AND(MIN(IF($K24:$CP24&lt;&gt;0,$K$7:$CP$7))&gt;=GT$5,MIN(IF($K24:$CP24&lt;&gt;0,$K$7:$CP$7))&lt;=GT$6)</f>
        <v>0</v>
      </c>
      <c r="GU24" s="214" cm="1">
        <f t="array" ref="GU24">--AND(MIN(IF($K24:$CP24&lt;&gt;0,$K$7:$CP$7))&gt;=GU$5,MIN(IF($K24:$CP24&lt;&gt;0,$K$7:$CP$7))&lt;=GU$6)</f>
        <v>0</v>
      </c>
      <c r="GV24" s="214" cm="1">
        <f t="array" ref="GV24">--AND(MIN(IF($K24:$CP24&lt;&gt;0,$K$7:$CP$7))&gt;=GV$5,MIN(IF($K24:$CP24&lt;&gt;0,$K$7:$CP$7))&lt;=GV$6)</f>
        <v>0</v>
      </c>
      <c r="GW24" s="214" cm="1">
        <f t="array" ref="GW24">--AND(MIN(IF($K24:$CP24&lt;&gt;0,$K$7:$CP$7))&gt;=GW$5,MIN(IF($K24:$CP24&lt;&gt;0,$K$7:$CP$7))&lt;=GW$6)</f>
        <v>0</v>
      </c>
      <c r="GX24" s="214" cm="1">
        <f t="array" ref="GX24">--AND(MIN(IF($K24:$CP24&lt;&gt;0,$K$7:$CP$7))&gt;=GX$5,MIN(IF($K24:$CP24&lt;&gt;0,$K$7:$CP$7))&lt;=GX$6)</f>
        <v>0</v>
      </c>
      <c r="GY24" s="214" cm="1">
        <f t="array" ref="GY24">--AND(MIN(IF($K24:$CP24&lt;&gt;0,$K$7:$CP$7))&gt;=GY$5,MIN(IF($K24:$CP24&lt;&gt;0,$K$7:$CP$7))&lt;=GY$6)</f>
        <v>0</v>
      </c>
      <c r="GZ24" s="214" cm="1">
        <f t="array" ref="GZ24">--AND(MIN(IF($K24:$CP24&lt;&gt;0,$K$7:$CP$7))&gt;=GZ$5,MIN(IF($K24:$CP24&lt;&gt;0,$K$7:$CP$7))&lt;=GZ$6)</f>
        <v>0</v>
      </c>
      <c r="HA24" s="214">
        <f t="shared" si="0"/>
        <v>0</v>
      </c>
      <c r="HC24" s="214" cm="1">
        <f t="array" ref="HC24">--AND(MIN(IF($K24:$CP24&lt;&gt;0,$K$7:$CP$7))&gt;=HC$5,MIN(IF($K24:$CP24&lt;&gt;0,$K$7:$CP$7))&lt;=HC$6)</f>
        <v>0</v>
      </c>
      <c r="HE24" s="147" t="str">
        <f t="shared" si="19"/>
        <v>No</v>
      </c>
      <c r="HF24" s="147" t="str">
        <f t="shared" si="20"/>
        <v>No</v>
      </c>
      <c r="HG24" s="147">
        <f>IF($HF24="Yes",0,$H24*avg_hrs*12*'Key assumptions'!$D$87)</f>
        <v>403022.1866714299</v>
      </c>
      <c r="HH24" s="147">
        <f>IF(HE24="Yes",'Key assumptions'!$D$84*HG24,0)</f>
        <v>0</v>
      </c>
      <c r="HI24" s="144">
        <f>IFERROR(AVERAGEIFS($K24:$CP24,$K$7:$CP$7,"&gt;="&amp;'Key assumptions'!$D$24,$K$7:$CP$7,"&lt;="&amp;'Key assumptions'!$D$25),0)</f>
        <v>4.5454545454545456E-2</v>
      </c>
      <c r="HJ24" s="148">
        <f t="shared" si="21"/>
        <v>0</v>
      </c>
      <c r="HK24" s="148">
        <f t="shared" si="1"/>
        <v>0</v>
      </c>
      <c r="HL24" s="148">
        <f t="shared" si="2"/>
        <v>0</v>
      </c>
      <c r="HM24" s="148">
        <f t="shared" si="3"/>
        <v>0</v>
      </c>
      <c r="HN24" s="148">
        <f t="shared" si="4"/>
        <v>0</v>
      </c>
      <c r="HO24" s="148">
        <f t="shared" si="5"/>
        <v>0</v>
      </c>
      <c r="HP24" s="148">
        <f t="shared" si="6"/>
        <v>0</v>
      </c>
      <c r="HQ24" s="148">
        <f t="shared" si="7"/>
        <v>0</v>
      </c>
      <c r="HR24" s="147">
        <f t="shared" si="8"/>
        <v>0</v>
      </c>
      <c r="HS24" s="89"/>
      <c r="HU24" s="147">
        <f>$HJ24*HC24/(1+'Key assumptions'!G46)^0.75</f>
        <v>0</v>
      </c>
      <c r="HW24" s="216">
        <f t="shared" si="9"/>
        <v>0</v>
      </c>
      <c r="HX24" s="216">
        <f t="shared" si="10"/>
        <v>0</v>
      </c>
      <c r="HY24" s="216">
        <f t="shared" si="11"/>
        <v>0</v>
      </c>
      <c r="HZ24" s="216">
        <f t="shared" si="12"/>
        <v>0</v>
      </c>
      <c r="IA24" s="216">
        <f t="shared" si="13"/>
        <v>0</v>
      </c>
      <c r="IB24" s="216">
        <f t="shared" si="14"/>
        <v>0</v>
      </c>
      <c r="IC24" s="216">
        <f t="shared" si="15"/>
        <v>0</v>
      </c>
      <c r="ID24" s="216">
        <f t="shared" si="16"/>
        <v>0</v>
      </c>
      <c r="IF24" s="216">
        <f t="shared" si="17"/>
        <v>0</v>
      </c>
    </row>
    <row r="25" spans="2:240" x14ac:dyDescent="0.2">
      <c r="B25" s="141" t="str">
        <v>Project Delivery Management - Project Engineering</v>
      </c>
      <c r="C25" s="141" t="str">
        <v>Project Engineer - Senior CO (Network Projects)</v>
      </c>
      <c r="D25" s="141" t="str">
        <v>Internal Labour</v>
      </c>
      <c r="E25" s="141" t="str">
        <v>$ Nominal</v>
      </c>
      <c r="F25" s="141" t="str">
        <v>Existing</v>
      </c>
      <c r="G25" s="141" t="str">
        <v>Normal time</v>
      </c>
      <c r="H25" s="142">
        <v>254.01</v>
      </c>
      <c r="I25" s="126">
        <v>120848.40000000004</v>
      </c>
      <c r="J25" s="143">
        <v>0</v>
      </c>
      <c r="K25" s="144">
        <v>0</v>
      </c>
      <c r="L25" s="144">
        <v>0</v>
      </c>
      <c r="M25" s="144">
        <v>0</v>
      </c>
      <c r="N25" s="144">
        <v>0</v>
      </c>
      <c r="O25" s="144">
        <v>0</v>
      </c>
      <c r="P25" s="144">
        <v>0</v>
      </c>
      <c r="Q25" s="144">
        <v>0</v>
      </c>
      <c r="R25" s="144">
        <v>0</v>
      </c>
      <c r="S25" s="144">
        <v>0</v>
      </c>
      <c r="T25" s="144">
        <v>0</v>
      </c>
      <c r="U25" s="144">
        <v>0</v>
      </c>
      <c r="V25" s="144">
        <v>0.6</v>
      </c>
      <c r="W25" s="144">
        <v>1.4</v>
      </c>
      <c r="X25" s="144">
        <v>1</v>
      </c>
      <c r="Y25" s="144">
        <v>1</v>
      </c>
      <c r="Z25" s="144">
        <v>0</v>
      </c>
      <c r="AA25" s="144">
        <v>0</v>
      </c>
      <c r="AB25" s="144">
        <v>0</v>
      </c>
      <c r="AC25" s="144">
        <v>0</v>
      </c>
      <c r="AD25" s="144">
        <v>0</v>
      </c>
      <c r="AE25" s="144">
        <v>0</v>
      </c>
      <c r="AF25" s="144">
        <v>0</v>
      </c>
      <c r="AG25" s="144">
        <v>0</v>
      </c>
      <c r="AH25" s="144">
        <v>0</v>
      </c>
      <c r="AI25" s="144">
        <v>0</v>
      </c>
      <c r="AJ25" s="144">
        <v>0</v>
      </c>
      <c r="AK25" s="144">
        <v>0</v>
      </c>
      <c r="AL25" s="144">
        <v>0</v>
      </c>
      <c r="AM25" s="144">
        <v>0</v>
      </c>
      <c r="AN25" s="144">
        <v>0</v>
      </c>
      <c r="AO25" s="144">
        <v>0</v>
      </c>
      <c r="AP25" s="144">
        <v>0</v>
      </c>
      <c r="AQ25" s="144">
        <v>0</v>
      </c>
      <c r="AR25" s="144">
        <v>0</v>
      </c>
      <c r="AS25" s="144">
        <v>0</v>
      </c>
      <c r="AT25" s="144">
        <v>0</v>
      </c>
      <c r="AU25" s="144">
        <v>0</v>
      </c>
      <c r="AV25" s="144">
        <v>0</v>
      </c>
      <c r="AW25" s="144">
        <v>0</v>
      </c>
      <c r="AX25" s="144">
        <v>0</v>
      </c>
      <c r="AY25" s="144">
        <v>0</v>
      </c>
      <c r="AZ25" s="144">
        <v>0</v>
      </c>
      <c r="BA25" s="144">
        <v>0</v>
      </c>
      <c r="BB25" s="144">
        <v>0</v>
      </c>
      <c r="BC25" s="144">
        <v>0</v>
      </c>
      <c r="BD25" s="144">
        <v>0</v>
      </c>
      <c r="BE25" s="144">
        <v>0</v>
      </c>
      <c r="BF25" s="144">
        <v>0</v>
      </c>
      <c r="BG25" s="144">
        <v>0</v>
      </c>
      <c r="BH25" s="144">
        <v>0</v>
      </c>
      <c r="BI25" s="144">
        <v>0</v>
      </c>
      <c r="BJ25" s="144">
        <v>0</v>
      </c>
      <c r="BK25" s="144">
        <v>0</v>
      </c>
      <c r="BL25" s="144">
        <v>0</v>
      </c>
      <c r="BM25" s="144">
        <v>0</v>
      </c>
      <c r="BN25" s="144">
        <v>0</v>
      </c>
      <c r="BO25" s="144">
        <v>0</v>
      </c>
      <c r="BP25" s="144">
        <v>0</v>
      </c>
      <c r="BQ25" s="144">
        <v>0</v>
      </c>
      <c r="BR25" s="144">
        <v>0</v>
      </c>
      <c r="BS25" s="144">
        <v>0</v>
      </c>
      <c r="BT25" s="144">
        <v>0</v>
      </c>
      <c r="BU25" s="144">
        <v>0</v>
      </c>
      <c r="BV25" s="144">
        <v>0</v>
      </c>
      <c r="BW25" s="144">
        <v>0</v>
      </c>
      <c r="BX25" s="144">
        <v>0</v>
      </c>
      <c r="BY25" s="144">
        <v>0</v>
      </c>
      <c r="BZ25" s="144">
        <v>0</v>
      </c>
      <c r="CA25" s="144">
        <v>0</v>
      </c>
      <c r="CB25" s="144">
        <v>0</v>
      </c>
      <c r="CC25" s="144">
        <v>0</v>
      </c>
      <c r="CD25" s="144">
        <v>0</v>
      </c>
      <c r="CE25" s="144">
        <v>0</v>
      </c>
      <c r="CF25" s="144">
        <v>0</v>
      </c>
      <c r="CG25" s="144">
        <v>0</v>
      </c>
      <c r="CH25" s="144">
        <v>0</v>
      </c>
      <c r="CI25" s="144">
        <v>0</v>
      </c>
      <c r="CJ25" s="144">
        <v>0</v>
      </c>
      <c r="CK25" s="144">
        <v>0</v>
      </c>
      <c r="CL25" s="144">
        <v>0</v>
      </c>
      <c r="CM25" s="144">
        <v>0</v>
      </c>
      <c r="CN25" s="144">
        <v>0</v>
      </c>
      <c r="CO25" s="144">
        <v>0</v>
      </c>
      <c r="CP25" s="144">
        <v>0</v>
      </c>
      <c r="CQ25" s="143">
        <v>0</v>
      </c>
      <c r="CR25" s="145">
        <v>0</v>
      </c>
      <c r="CS25" s="145">
        <v>0</v>
      </c>
      <c r="CT25" s="145">
        <v>0</v>
      </c>
      <c r="CU25" s="145">
        <v>0</v>
      </c>
      <c r="CV25" s="145">
        <v>0</v>
      </c>
      <c r="CW25" s="145">
        <v>0</v>
      </c>
      <c r="CX25" s="145">
        <v>0</v>
      </c>
      <c r="CY25" s="145">
        <v>0</v>
      </c>
      <c r="CZ25" s="145">
        <v>0</v>
      </c>
      <c r="DA25" s="145">
        <v>0</v>
      </c>
      <c r="DB25" s="145">
        <v>0</v>
      </c>
      <c r="DC25" s="145">
        <v>15537.599999999999</v>
      </c>
      <c r="DD25" s="145">
        <v>36254.400000000052</v>
      </c>
      <c r="DE25" s="145">
        <v>34528.199999999997</v>
      </c>
      <c r="DF25" s="145">
        <v>34528.199999999997</v>
      </c>
      <c r="DG25" s="145">
        <v>0</v>
      </c>
      <c r="DH25" s="145">
        <v>0</v>
      </c>
      <c r="DI25" s="145">
        <v>0</v>
      </c>
      <c r="DJ25" s="145">
        <v>0</v>
      </c>
      <c r="DK25" s="145">
        <v>0</v>
      </c>
      <c r="DL25" s="145">
        <v>0</v>
      </c>
      <c r="DM25" s="145">
        <v>0</v>
      </c>
      <c r="DN25" s="145">
        <v>0</v>
      </c>
      <c r="DO25" s="145">
        <v>0</v>
      </c>
      <c r="DP25" s="145">
        <v>0</v>
      </c>
      <c r="DQ25" s="145">
        <v>0</v>
      </c>
      <c r="DR25" s="145">
        <v>0</v>
      </c>
      <c r="DS25" s="145">
        <v>0</v>
      </c>
      <c r="DT25" s="145">
        <v>0</v>
      </c>
      <c r="DU25" s="145">
        <v>0</v>
      </c>
      <c r="DV25" s="145">
        <v>0</v>
      </c>
      <c r="DW25" s="145">
        <v>0</v>
      </c>
      <c r="DX25" s="145">
        <v>0</v>
      </c>
      <c r="DY25" s="145">
        <v>0</v>
      </c>
      <c r="DZ25" s="145">
        <v>0</v>
      </c>
      <c r="EA25" s="145">
        <v>0</v>
      </c>
      <c r="EB25" s="145">
        <v>0</v>
      </c>
      <c r="EC25" s="145">
        <v>0</v>
      </c>
      <c r="ED25" s="145">
        <v>0</v>
      </c>
      <c r="EE25" s="145">
        <v>0</v>
      </c>
      <c r="EF25" s="145">
        <v>0</v>
      </c>
      <c r="EG25" s="145">
        <v>0</v>
      </c>
      <c r="EH25" s="145">
        <v>0</v>
      </c>
      <c r="EI25" s="145">
        <v>0</v>
      </c>
      <c r="EJ25" s="145">
        <v>0</v>
      </c>
      <c r="EK25" s="145">
        <v>0</v>
      </c>
      <c r="EL25" s="145">
        <v>0</v>
      </c>
      <c r="EM25" s="145">
        <v>0</v>
      </c>
      <c r="EN25" s="145">
        <v>0</v>
      </c>
      <c r="EO25" s="145">
        <v>0</v>
      </c>
      <c r="EP25" s="145">
        <v>0</v>
      </c>
      <c r="EQ25" s="145">
        <v>0</v>
      </c>
      <c r="ER25" s="145">
        <v>0</v>
      </c>
      <c r="ES25" s="145">
        <v>0</v>
      </c>
      <c r="ET25" s="145">
        <v>0</v>
      </c>
      <c r="EU25" s="145">
        <v>0</v>
      </c>
      <c r="EV25" s="145">
        <v>0</v>
      </c>
      <c r="EW25" s="145">
        <v>0</v>
      </c>
      <c r="EX25" s="145">
        <v>0</v>
      </c>
      <c r="EY25" s="145">
        <v>0</v>
      </c>
      <c r="EZ25" s="145">
        <v>0</v>
      </c>
      <c r="FA25" s="145">
        <v>0</v>
      </c>
      <c r="FB25" s="145">
        <v>0</v>
      </c>
      <c r="FC25" s="145">
        <v>0</v>
      </c>
      <c r="FD25" s="145">
        <v>0</v>
      </c>
      <c r="FE25" s="145">
        <v>0</v>
      </c>
      <c r="FF25" s="145">
        <v>0</v>
      </c>
      <c r="FG25" s="145">
        <v>0</v>
      </c>
      <c r="FH25" s="145">
        <v>0</v>
      </c>
      <c r="FI25" s="145">
        <v>0</v>
      </c>
      <c r="FJ25" s="145">
        <v>0</v>
      </c>
      <c r="FK25" s="145">
        <v>0</v>
      </c>
      <c r="FL25" s="145">
        <v>0</v>
      </c>
      <c r="FM25" s="145">
        <v>0</v>
      </c>
      <c r="FN25" s="145">
        <v>0</v>
      </c>
      <c r="FO25" s="145">
        <v>0</v>
      </c>
      <c r="FP25" s="145">
        <v>0</v>
      </c>
      <c r="FQ25" s="145">
        <v>0</v>
      </c>
      <c r="FR25" s="145">
        <v>0</v>
      </c>
      <c r="FS25" s="145">
        <v>0</v>
      </c>
      <c r="FT25" s="145">
        <v>0</v>
      </c>
      <c r="FU25" s="145">
        <v>0</v>
      </c>
      <c r="FV25" s="145">
        <v>0</v>
      </c>
      <c r="FW25" s="145">
        <v>0</v>
      </c>
      <c r="FX25" s="143"/>
      <c r="FY25" s="146" t="str">
        <f>_xlfn.XLOOKUP($E25,'Key assumptions'!$B$112:$B$120,'Key assumptions'!$C$112:$C$120,0)</f>
        <v>Nominal</v>
      </c>
      <c r="FZ25" s="146" cm="1">
        <f t="array" ref="FZ25">IF($FY25=0,0,_xlfn.IFS($FY25='Key assumptions'!$C$120,_xlfn.XLOOKUP(LEFT(FZ$7,6),Inflation_Year,Inflation_NominaltoReal),TRUE,_xlfn.XLOOKUP($FY25,Inflation_Year,NominaltoReal)))</f>
        <v>1.0197075870962191</v>
      </c>
      <c r="GA25" s="146" cm="1">
        <f t="array" ref="GA25">IF($FY25=0,0,_xlfn.IFS($FY25='Key assumptions'!$C$120,_xlfn.XLOOKUP(LEFT(GA$7,6),Inflation_Year,Inflation_NominaltoReal),TRUE,_xlfn.XLOOKUP($FY25,Inflation_Year,NominaltoReal)))</f>
        <v>0.98700804022984445</v>
      </c>
      <c r="GB25" s="146" cm="1">
        <f t="array" ref="GB25">IF($FY25=0,0,_xlfn.IFS($FY25='Key assumptions'!$C$120,_xlfn.XLOOKUP(LEFT(GB$7,6),Inflation_Year,Inflation_NominaltoReal),TRUE,_xlfn.XLOOKUP($FY25,Inflation_Year,NominaltoReal)))</f>
        <v>0.96152830081941731</v>
      </c>
      <c r="GC25" s="146" cm="1">
        <f t="array" ref="GC25">IF($FY25=0,0,_xlfn.IFS($FY25='Key assumptions'!$C$120,_xlfn.XLOOKUP(LEFT(GC$7,6),Inflation_Year,Inflation_NominaltoReal),TRUE,_xlfn.XLOOKUP($FY25,Inflation_Year,NominaltoReal)))</f>
        <v>0.93670632415656829</v>
      </c>
      <c r="GD25" s="146" cm="1">
        <f t="array" ref="GD25">IF($FY25=0,0,_xlfn.IFS($FY25='Key assumptions'!$C$120,_xlfn.XLOOKUP(LEFT(GD$7,6),Inflation_Year,Inflation_NominaltoReal),TRUE,_xlfn.XLOOKUP($FY25,Inflation_Year,NominaltoReal)))</f>
        <v>0.91252513001143176</v>
      </c>
      <c r="GE25" s="146" cm="1">
        <f t="array" ref="GE25">IF($FY25=0,0,_xlfn.IFS($FY25='Key assumptions'!$C$120,_xlfn.XLOOKUP(LEFT(GE$7,6),Inflation_Year,Inflation_NominaltoReal),TRUE,_xlfn.XLOOKUP($FY25,Inflation_Year,NominaltoReal)))</f>
        <v>0.88896817650095872</v>
      </c>
      <c r="GF25" s="146" cm="1">
        <f t="array" ref="GF25">IF($FY25=0,0,_xlfn.IFS($FY25='Key assumptions'!$C$120,_xlfn.XLOOKUP(LEFT(GF$7,6),Inflation_Year,Inflation_NominaltoReal),TRUE,_xlfn.XLOOKUP($FY25,Inflation_Year,NominaltoReal)))</f>
        <v>0.86601934877293718</v>
      </c>
      <c r="GG25" s="143"/>
      <c r="GH25" s="145" cm="1">
        <f t="array" ref="GH25">SUMPRODUCT(--($CR$7:$FW$7&gt;=GH$5),--($CR$7:$FW$7&lt;=GH$6),$CR25:$FW25)*FZ25</f>
        <v>70417.335017551333</v>
      </c>
      <c r="GI25" s="145" cm="1">
        <f t="array" ref="GI25">SUMPRODUCT(--($CR$7:$FW$7&gt;=GI$5),--($CR$7:$FW$7&lt;=GI$6),$CR25:$FW25)*GA25</f>
        <v>0</v>
      </c>
      <c r="GJ25" s="145" cm="1">
        <f t="array" ref="GJ25">SUMPRODUCT(--($CR$7:$FW$7&gt;=GJ$5),--($CR$7:$FW$7&lt;=GJ$6),$CR25:$FW25)*GB25</f>
        <v>0</v>
      </c>
      <c r="GK25" s="145" cm="1">
        <f t="array" ref="GK25">SUMPRODUCT(--($CR$7:$FW$7&gt;=GK$5),--($CR$7:$FW$7&lt;=GK$6),$CR25:$FW25)*GC25</f>
        <v>0</v>
      </c>
      <c r="GL25" s="145" cm="1">
        <f t="array" ref="GL25">SUMPRODUCT(--($CR$7:$FW$7&gt;=GL$5),--($CR$7:$FW$7&lt;=GL$6),$CR25:$FW25)*GD25</f>
        <v>0</v>
      </c>
      <c r="GM25" s="145" cm="1">
        <f t="array" ref="GM25">SUMPRODUCT(--($CR$7:$FW$7&gt;=GM$5),--($CR$7:$FW$7&lt;=GM$6),$CR25:$FW25)*GE25</f>
        <v>0</v>
      </c>
      <c r="GN25" s="145" cm="1">
        <f t="array" ref="GN25">SUMPRODUCT(--($CR$7:$FW$7&gt;=GN$5),--($CR$7:$FW$7&lt;=GN$6),$CR25:$FW25)*GF25</f>
        <v>0</v>
      </c>
      <c r="GO25" s="145">
        <f t="shared" si="18"/>
        <v>70417.335017551333</v>
      </c>
      <c r="GP25" s="87"/>
      <c r="GQ25" s="89"/>
      <c r="GR25" s="145" cm="1">
        <f t="array" ref="GR25">SUMPRODUCT(--($CR$7:$FW$7&gt;=GR$5),--($CR$7:$FW$7&lt;=GR$6),$CR25:$FW25)</f>
        <v>69056.399999999994</v>
      </c>
      <c r="GS25" s="89"/>
      <c r="GT25" s="214" cm="1">
        <f t="array" ref="GT25">--AND(MIN(IF($K25:$CP25&lt;&gt;0,$K$7:$CP$7))&gt;=GT$5,MIN(IF($K25:$CP25&lt;&gt;0,$K$7:$CP$7))&lt;=GT$6)</f>
        <v>0</v>
      </c>
      <c r="GU25" s="214" cm="1">
        <f t="array" ref="GU25">--AND(MIN(IF($K25:$CP25&lt;&gt;0,$K$7:$CP$7))&gt;=GU$5,MIN(IF($K25:$CP25&lt;&gt;0,$K$7:$CP$7))&lt;=GU$6)</f>
        <v>0</v>
      </c>
      <c r="GV25" s="214" cm="1">
        <f t="array" ref="GV25">--AND(MIN(IF($K25:$CP25&lt;&gt;0,$K$7:$CP$7))&gt;=GV$5,MIN(IF($K25:$CP25&lt;&gt;0,$K$7:$CP$7))&lt;=GV$6)</f>
        <v>0</v>
      </c>
      <c r="GW25" s="214" cm="1">
        <f t="array" ref="GW25">--AND(MIN(IF($K25:$CP25&lt;&gt;0,$K$7:$CP$7))&gt;=GW$5,MIN(IF($K25:$CP25&lt;&gt;0,$K$7:$CP$7))&lt;=GW$6)</f>
        <v>0</v>
      </c>
      <c r="GX25" s="214" cm="1">
        <f t="array" ref="GX25">--AND(MIN(IF($K25:$CP25&lt;&gt;0,$K$7:$CP$7))&gt;=GX$5,MIN(IF($K25:$CP25&lt;&gt;0,$K$7:$CP$7))&lt;=GX$6)</f>
        <v>0</v>
      </c>
      <c r="GY25" s="214" cm="1">
        <f t="array" ref="GY25">--AND(MIN(IF($K25:$CP25&lt;&gt;0,$K$7:$CP$7))&gt;=GY$5,MIN(IF($K25:$CP25&lt;&gt;0,$K$7:$CP$7))&lt;=GY$6)</f>
        <v>0</v>
      </c>
      <c r="GZ25" s="214" cm="1">
        <f t="array" ref="GZ25">--AND(MIN(IF($K25:$CP25&lt;&gt;0,$K$7:$CP$7))&gt;=GZ$5,MIN(IF($K25:$CP25&lt;&gt;0,$K$7:$CP$7))&lt;=GZ$6)</f>
        <v>0</v>
      </c>
      <c r="HA25" s="214">
        <f t="shared" si="0"/>
        <v>0</v>
      </c>
      <c r="HC25" s="214" cm="1">
        <f t="array" ref="HC25">--AND(MIN(IF($K25:$CP25&lt;&gt;0,$K$7:$CP$7))&gt;=HC$5,MIN(IF($K25:$CP25&lt;&gt;0,$K$7:$CP$7))&lt;=HC$6)</f>
        <v>0</v>
      </c>
      <c r="HE25" s="147" t="str">
        <f t="shared" si="19"/>
        <v>No</v>
      </c>
      <c r="HF25" s="147" t="str">
        <f t="shared" si="20"/>
        <v>No</v>
      </c>
      <c r="HG25" s="147">
        <f>IF($HF25="Yes",0,$H25*avg_hrs*12*'Key assumptions'!$D$87)</f>
        <v>454238.21110356261</v>
      </c>
      <c r="HH25" s="147">
        <f>IF(HE25="Yes",'Key assumptions'!$D$84*HG25,0)</f>
        <v>0</v>
      </c>
      <c r="HI25" s="144">
        <f>IFERROR(AVERAGEIFS($K25:$CP25,$K$7:$CP$7,"&gt;="&amp;'Key assumptions'!$D$24,$K$7:$CP$7,"&lt;="&amp;'Key assumptions'!$D$25),0)</f>
        <v>4.5454545454545456E-2</v>
      </c>
      <c r="HJ25" s="148">
        <f t="shared" si="21"/>
        <v>0</v>
      </c>
      <c r="HK25" s="148">
        <f t="shared" si="1"/>
        <v>0</v>
      </c>
      <c r="HL25" s="148">
        <f t="shared" si="2"/>
        <v>0</v>
      </c>
      <c r="HM25" s="148">
        <f t="shared" si="3"/>
        <v>0</v>
      </c>
      <c r="HN25" s="148">
        <f t="shared" si="4"/>
        <v>0</v>
      </c>
      <c r="HO25" s="148">
        <f t="shared" si="5"/>
        <v>0</v>
      </c>
      <c r="HP25" s="148">
        <f t="shared" si="6"/>
        <v>0</v>
      </c>
      <c r="HQ25" s="148">
        <f t="shared" si="7"/>
        <v>0</v>
      </c>
      <c r="HR25" s="147">
        <f t="shared" si="8"/>
        <v>0</v>
      </c>
      <c r="HS25" s="89"/>
      <c r="HU25" s="147">
        <f>$HJ25*HC25/(1+'Key assumptions'!G47)^0.75</f>
        <v>0</v>
      </c>
      <c r="HW25" s="216">
        <f t="shared" si="9"/>
        <v>0</v>
      </c>
      <c r="HX25" s="216">
        <f t="shared" si="10"/>
        <v>0</v>
      </c>
      <c r="HY25" s="216">
        <f t="shared" si="11"/>
        <v>0</v>
      </c>
      <c r="HZ25" s="216">
        <f t="shared" si="12"/>
        <v>0</v>
      </c>
      <c r="IA25" s="216">
        <f t="shared" si="13"/>
        <v>0</v>
      </c>
      <c r="IB25" s="216">
        <f t="shared" si="14"/>
        <v>0</v>
      </c>
      <c r="IC25" s="216">
        <f t="shared" si="15"/>
        <v>0</v>
      </c>
      <c r="ID25" s="216">
        <f t="shared" si="16"/>
        <v>0</v>
      </c>
      <c r="IF25" s="216">
        <f t="shared" si="17"/>
        <v>0</v>
      </c>
    </row>
    <row r="26" spans="2:240" x14ac:dyDescent="0.2">
      <c r="B26" s="141" t="str">
        <v>Project Delivery Management - Project Management</v>
      </c>
      <c r="C26" s="141" t="str">
        <v>Project Engineer (Delivery Projects - Prescribed)</v>
      </c>
      <c r="D26" s="141" t="str">
        <v>Internal Labour</v>
      </c>
      <c r="E26" s="141" t="str">
        <v>$ Nominal</v>
      </c>
      <c r="F26" s="141" t="str">
        <v>Existing</v>
      </c>
      <c r="G26" s="141" t="str">
        <v>Normal time</v>
      </c>
      <c r="H26" s="142">
        <v>202.73</v>
      </c>
      <c r="I26" s="126">
        <v>88632.080000000016</v>
      </c>
      <c r="J26" s="143">
        <v>0</v>
      </c>
      <c r="K26" s="144">
        <v>0</v>
      </c>
      <c r="L26" s="144">
        <v>0</v>
      </c>
      <c r="M26" s="144">
        <v>0</v>
      </c>
      <c r="N26" s="144">
        <v>0</v>
      </c>
      <c r="O26" s="144">
        <v>0</v>
      </c>
      <c r="P26" s="144">
        <v>0</v>
      </c>
      <c r="Q26" s="144">
        <v>0</v>
      </c>
      <c r="R26" s="144">
        <v>0</v>
      </c>
      <c r="S26" s="144">
        <v>0</v>
      </c>
      <c r="T26" s="144">
        <v>0</v>
      </c>
      <c r="U26" s="144">
        <v>0</v>
      </c>
      <c r="V26" s="144">
        <v>0.66685714285714326</v>
      </c>
      <c r="W26" s="144">
        <v>0.96323809523809478</v>
      </c>
      <c r="X26" s="144">
        <v>1</v>
      </c>
      <c r="Y26" s="144">
        <v>1</v>
      </c>
      <c r="Z26" s="144">
        <v>0</v>
      </c>
      <c r="AA26" s="144">
        <v>0</v>
      </c>
      <c r="AB26" s="144">
        <v>0</v>
      </c>
      <c r="AC26" s="144">
        <v>0</v>
      </c>
      <c r="AD26" s="144">
        <v>0</v>
      </c>
      <c r="AE26" s="144">
        <v>0</v>
      </c>
      <c r="AF26" s="144">
        <v>0</v>
      </c>
      <c r="AG26" s="144">
        <v>0</v>
      </c>
      <c r="AH26" s="144">
        <v>0</v>
      </c>
      <c r="AI26" s="144">
        <v>0</v>
      </c>
      <c r="AJ26" s="144">
        <v>0</v>
      </c>
      <c r="AK26" s="144">
        <v>0</v>
      </c>
      <c r="AL26" s="144">
        <v>0</v>
      </c>
      <c r="AM26" s="144">
        <v>0</v>
      </c>
      <c r="AN26" s="144">
        <v>0</v>
      </c>
      <c r="AO26" s="144">
        <v>0</v>
      </c>
      <c r="AP26" s="144">
        <v>0</v>
      </c>
      <c r="AQ26" s="144">
        <v>0</v>
      </c>
      <c r="AR26" s="144">
        <v>0</v>
      </c>
      <c r="AS26" s="144">
        <v>0</v>
      </c>
      <c r="AT26" s="144">
        <v>0</v>
      </c>
      <c r="AU26" s="144">
        <v>0</v>
      </c>
      <c r="AV26" s="144">
        <v>0</v>
      </c>
      <c r="AW26" s="144">
        <v>0</v>
      </c>
      <c r="AX26" s="144">
        <v>0</v>
      </c>
      <c r="AY26" s="144">
        <v>0</v>
      </c>
      <c r="AZ26" s="144">
        <v>0</v>
      </c>
      <c r="BA26" s="144">
        <v>0</v>
      </c>
      <c r="BB26" s="144">
        <v>0</v>
      </c>
      <c r="BC26" s="144">
        <v>0</v>
      </c>
      <c r="BD26" s="144">
        <v>0</v>
      </c>
      <c r="BE26" s="144">
        <v>0</v>
      </c>
      <c r="BF26" s="144">
        <v>0</v>
      </c>
      <c r="BG26" s="144">
        <v>0</v>
      </c>
      <c r="BH26" s="144">
        <v>0</v>
      </c>
      <c r="BI26" s="144">
        <v>0</v>
      </c>
      <c r="BJ26" s="144">
        <v>0</v>
      </c>
      <c r="BK26" s="144">
        <v>0</v>
      </c>
      <c r="BL26" s="144">
        <v>0</v>
      </c>
      <c r="BM26" s="144">
        <v>0</v>
      </c>
      <c r="BN26" s="144">
        <v>0</v>
      </c>
      <c r="BO26" s="144">
        <v>0</v>
      </c>
      <c r="BP26" s="144">
        <v>0</v>
      </c>
      <c r="BQ26" s="144">
        <v>0</v>
      </c>
      <c r="BR26" s="144">
        <v>0</v>
      </c>
      <c r="BS26" s="144">
        <v>0</v>
      </c>
      <c r="BT26" s="144">
        <v>0</v>
      </c>
      <c r="BU26" s="144">
        <v>0</v>
      </c>
      <c r="BV26" s="144">
        <v>0</v>
      </c>
      <c r="BW26" s="144">
        <v>0</v>
      </c>
      <c r="BX26" s="144">
        <v>0</v>
      </c>
      <c r="BY26" s="144">
        <v>0</v>
      </c>
      <c r="BZ26" s="144">
        <v>0</v>
      </c>
      <c r="CA26" s="144">
        <v>0</v>
      </c>
      <c r="CB26" s="144">
        <v>0</v>
      </c>
      <c r="CC26" s="144">
        <v>0</v>
      </c>
      <c r="CD26" s="144">
        <v>0</v>
      </c>
      <c r="CE26" s="144">
        <v>0</v>
      </c>
      <c r="CF26" s="144">
        <v>0</v>
      </c>
      <c r="CG26" s="144">
        <v>0</v>
      </c>
      <c r="CH26" s="144">
        <v>0</v>
      </c>
      <c r="CI26" s="144">
        <v>0</v>
      </c>
      <c r="CJ26" s="144">
        <v>0</v>
      </c>
      <c r="CK26" s="144">
        <v>0</v>
      </c>
      <c r="CL26" s="144">
        <v>0</v>
      </c>
      <c r="CM26" s="144">
        <v>0</v>
      </c>
      <c r="CN26" s="144">
        <v>0</v>
      </c>
      <c r="CO26" s="144">
        <v>0</v>
      </c>
      <c r="CP26" s="144">
        <v>0</v>
      </c>
      <c r="CQ26" s="143">
        <v>0</v>
      </c>
      <c r="CR26" s="145">
        <v>0</v>
      </c>
      <c r="CS26" s="145">
        <v>0</v>
      </c>
      <c r="CT26" s="145">
        <v>0</v>
      </c>
      <c r="CU26" s="145">
        <v>0</v>
      </c>
      <c r="CV26" s="145">
        <v>0</v>
      </c>
      <c r="CW26" s="145">
        <v>0</v>
      </c>
      <c r="CX26" s="145">
        <v>0</v>
      </c>
      <c r="CY26" s="145">
        <v>0</v>
      </c>
      <c r="CZ26" s="145">
        <v>0</v>
      </c>
      <c r="DA26" s="145">
        <v>0</v>
      </c>
      <c r="DB26" s="145">
        <v>0</v>
      </c>
      <c r="DC26" s="145">
        <v>13557.959999999992</v>
      </c>
      <c r="DD26" s="145">
        <v>19583.72000000003</v>
      </c>
      <c r="DE26" s="145">
        <v>27108.2</v>
      </c>
      <c r="DF26" s="145">
        <v>28382.199999999997</v>
      </c>
      <c r="DG26" s="145">
        <v>0</v>
      </c>
      <c r="DH26" s="145">
        <v>0</v>
      </c>
      <c r="DI26" s="145">
        <v>0</v>
      </c>
      <c r="DJ26" s="145">
        <v>0</v>
      </c>
      <c r="DK26" s="145">
        <v>0</v>
      </c>
      <c r="DL26" s="145">
        <v>0</v>
      </c>
      <c r="DM26" s="145">
        <v>0</v>
      </c>
      <c r="DN26" s="145">
        <v>0</v>
      </c>
      <c r="DO26" s="145">
        <v>0</v>
      </c>
      <c r="DP26" s="145">
        <v>0</v>
      </c>
      <c r="DQ26" s="145">
        <v>0</v>
      </c>
      <c r="DR26" s="145">
        <v>0</v>
      </c>
      <c r="DS26" s="145">
        <v>0</v>
      </c>
      <c r="DT26" s="145">
        <v>0</v>
      </c>
      <c r="DU26" s="145">
        <v>0</v>
      </c>
      <c r="DV26" s="145">
        <v>0</v>
      </c>
      <c r="DW26" s="145">
        <v>0</v>
      </c>
      <c r="DX26" s="145">
        <v>0</v>
      </c>
      <c r="DY26" s="145">
        <v>0</v>
      </c>
      <c r="DZ26" s="145">
        <v>0</v>
      </c>
      <c r="EA26" s="145">
        <v>0</v>
      </c>
      <c r="EB26" s="145">
        <v>0</v>
      </c>
      <c r="EC26" s="145">
        <v>0</v>
      </c>
      <c r="ED26" s="145">
        <v>0</v>
      </c>
      <c r="EE26" s="145">
        <v>0</v>
      </c>
      <c r="EF26" s="145">
        <v>0</v>
      </c>
      <c r="EG26" s="145">
        <v>0</v>
      </c>
      <c r="EH26" s="145">
        <v>0</v>
      </c>
      <c r="EI26" s="145">
        <v>0</v>
      </c>
      <c r="EJ26" s="145">
        <v>0</v>
      </c>
      <c r="EK26" s="145">
        <v>0</v>
      </c>
      <c r="EL26" s="145">
        <v>0</v>
      </c>
      <c r="EM26" s="145">
        <v>0</v>
      </c>
      <c r="EN26" s="145">
        <v>0</v>
      </c>
      <c r="EO26" s="145">
        <v>0</v>
      </c>
      <c r="EP26" s="145">
        <v>0</v>
      </c>
      <c r="EQ26" s="145">
        <v>0</v>
      </c>
      <c r="ER26" s="145">
        <v>0</v>
      </c>
      <c r="ES26" s="145">
        <v>0</v>
      </c>
      <c r="ET26" s="145">
        <v>0</v>
      </c>
      <c r="EU26" s="145">
        <v>0</v>
      </c>
      <c r="EV26" s="145">
        <v>0</v>
      </c>
      <c r="EW26" s="145">
        <v>0</v>
      </c>
      <c r="EX26" s="145">
        <v>0</v>
      </c>
      <c r="EY26" s="145">
        <v>0</v>
      </c>
      <c r="EZ26" s="145">
        <v>0</v>
      </c>
      <c r="FA26" s="145">
        <v>0</v>
      </c>
      <c r="FB26" s="145">
        <v>0</v>
      </c>
      <c r="FC26" s="145">
        <v>0</v>
      </c>
      <c r="FD26" s="145">
        <v>0</v>
      </c>
      <c r="FE26" s="145">
        <v>0</v>
      </c>
      <c r="FF26" s="145">
        <v>0</v>
      </c>
      <c r="FG26" s="145">
        <v>0</v>
      </c>
      <c r="FH26" s="145">
        <v>0</v>
      </c>
      <c r="FI26" s="145">
        <v>0</v>
      </c>
      <c r="FJ26" s="145">
        <v>0</v>
      </c>
      <c r="FK26" s="145">
        <v>0</v>
      </c>
      <c r="FL26" s="145">
        <v>0</v>
      </c>
      <c r="FM26" s="145">
        <v>0</v>
      </c>
      <c r="FN26" s="145">
        <v>0</v>
      </c>
      <c r="FO26" s="145">
        <v>0</v>
      </c>
      <c r="FP26" s="145">
        <v>0</v>
      </c>
      <c r="FQ26" s="145">
        <v>0</v>
      </c>
      <c r="FR26" s="145">
        <v>0</v>
      </c>
      <c r="FS26" s="145">
        <v>0</v>
      </c>
      <c r="FT26" s="145">
        <v>0</v>
      </c>
      <c r="FU26" s="145">
        <v>0</v>
      </c>
      <c r="FV26" s="145">
        <v>0</v>
      </c>
      <c r="FW26" s="145">
        <v>0</v>
      </c>
      <c r="FX26" s="143"/>
      <c r="FY26" s="146" t="str">
        <f>_xlfn.XLOOKUP($E26,'Key assumptions'!$B$112:$B$120,'Key assumptions'!$C$112:$C$120,0)</f>
        <v>Nominal</v>
      </c>
      <c r="FZ26" s="146" cm="1">
        <f t="array" ref="FZ26">IF($FY26=0,0,_xlfn.IFS($FY26='Key assumptions'!$C$120,_xlfn.XLOOKUP(LEFT(FZ$7,6),Inflation_Year,Inflation_NominaltoReal),TRUE,_xlfn.XLOOKUP($FY26,Inflation_Year,NominaltoReal)))</f>
        <v>1.0197075870962191</v>
      </c>
      <c r="GA26" s="146" cm="1">
        <f t="array" ref="GA26">IF($FY26=0,0,_xlfn.IFS($FY26='Key assumptions'!$C$120,_xlfn.XLOOKUP(LEFT(GA$7,6),Inflation_Year,Inflation_NominaltoReal),TRUE,_xlfn.XLOOKUP($FY26,Inflation_Year,NominaltoReal)))</f>
        <v>0.98700804022984445</v>
      </c>
      <c r="GB26" s="146" cm="1">
        <f t="array" ref="GB26">IF($FY26=0,0,_xlfn.IFS($FY26='Key assumptions'!$C$120,_xlfn.XLOOKUP(LEFT(GB$7,6),Inflation_Year,Inflation_NominaltoReal),TRUE,_xlfn.XLOOKUP($FY26,Inflation_Year,NominaltoReal)))</f>
        <v>0.96152830081941731</v>
      </c>
      <c r="GC26" s="146" cm="1">
        <f t="array" ref="GC26">IF($FY26=0,0,_xlfn.IFS($FY26='Key assumptions'!$C$120,_xlfn.XLOOKUP(LEFT(GC$7,6),Inflation_Year,Inflation_NominaltoReal),TRUE,_xlfn.XLOOKUP($FY26,Inflation_Year,NominaltoReal)))</f>
        <v>0.93670632415656829</v>
      </c>
      <c r="GD26" s="146" cm="1">
        <f t="array" ref="GD26">IF($FY26=0,0,_xlfn.IFS($FY26='Key assumptions'!$C$120,_xlfn.XLOOKUP(LEFT(GD$7,6),Inflation_Year,Inflation_NominaltoReal),TRUE,_xlfn.XLOOKUP($FY26,Inflation_Year,NominaltoReal)))</f>
        <v>0.91252513001143176</v>
      </c>
      <c r="GE26" s="146" cm="1">
        <f t="array" ref="GE26">IF($FY26=0,0,_xlfn.IFS($FY26='Key assumptions'!$C$120,_xlfn.XLOOKUP(LEFT(GE$7,6),Inflation_Year,Inflation_NominaltoReal),TRUE,_xlfn.XLOOKUP($FY26,Inflation_Year,NominaltoReal)))</f>
        <v>0.88896817650095872</v>
      </c>
      <c r="GF26" s="146" cm="1">
        <f t="array" ref="GF26">IF($FY26=0,0,_xlfn.IFS($FY26='Key assumptions'!$C$120,_xlfn.XLOOKUP(LEFT(GF$7,6),Inflation_Year,Inflation_NominaltoReal),TRUE,_xlfn.XLOOKUP($FY26,Inflation_Year,NominaltoReal)))</f>
        <v>0.86601934877293718</v>
      </c>
      <c r="GG26" s="143"/>
      <c r="GH26" s="145" cm="1">
        <f t="array" ref="GH26">SUMPRODUCT(--($CR$7:$FW$7&gt;=GH$5),--($CR$7:$FW$7&lt;=GH$6),$CR26:$FW26)*FZ26</f>
        <v>56583.981891004034</v>
      </c>
      <c r="GI26" s="145" cm="1">
        <f t="array" ref="GI26">SUMPRODUCT(--($CR$7:$FW$7&gt;=GI$5),--($CR$7:$FW$7&lt;=GI$6),$CR26:$FW26)*GA26</f>
        <v>0</v>
      </c>
      <c r="GJ26" s="145" cm="1">
        <f t="array" ref="GJ26">SUMPRODUCT(--($CR$7:$FW$7&gt;=GJ$5),--($CR$7:$FW$7&lt;=GJ$6),$CR26:$FW26)*GB26</f>
        <v>0</v>
      </c>
      <c r="GK26" s="145" cm="1">
        <f t="array" ref="GK26">SUMPRODUCT(--($CR$7:$FW$7&gt;=GK$5),--($CR$7:$FW$7&lt;=GK$6),$CR26:$FW26)*GC26</f>
        <v>0</v>
      </c>
      <c r="GL26" s="145" cm="1">
        <f t="array" ref="GL26">SUMPRODUCT(--($CR$7:$FW$7&gt;=GL$5),--($CR$7:$FW$7&lt;=GL$6),$CR26:$FW26)*GD26</f>
        <v>0</v>
      </c>
      <c r="GM26" s="145" cm="1">
        <f t="array" ref="GM26">SUMPRODUCT(--($CR$7:$FW$7&gt;=GM$5),--($CR$7:$FW$7&lt;=GM$6),$CR26:$FW26)*GE26</f>
        <v>0</v>
      </c>
      <c r="GN26" s="145" cm="1">
        <f t="array" ref="GN26">SUMPRODUCT(--($CR$7:$FW$7&gt;=GN$5),--($CR$7:$FW$7&lt;=GN$6),$CR26:$FW26)*GF26</f>
        <v>0</v>
      </c>
      <c r="GO26" s="145">
        <f t="shared" si="18"/>
        <v>56583.981891004034</v>
      </c>
      <c r="GP26" s="87"/>
      <c r="GQ26" s="89"/>
      <c r="GR26" s="145" cm="1">
        <f t="array" ref="GR26">SUMPRODUCT(--($CR$7:$FW$7&gt;=GR$5),--($CR$7:$FW$7&lt;=GR$6),$CR26:$FW26)</f>
        <v>55490.399999999994</v>
      </c>
      <c r="GS26" s="89"/>
      <c r="GT26" s="214" cm="1">
        <f t="array" ref="GT26">--AND(MIN(IF($K26:$CP26&lt;&gt;0,$K$7:$CP$7))&gt;=GT$5,MIN(IF($K26:$CP26&lt;&gt;0,$K$7:$CP$7))&lt;=GT$6)</f>
        <v>0</v>
      </c>
      <c r="GU26" s="214" cm="1">
        <f t="array" ref="GU26">--AND(MIN(IF($K26:$CP26&lt;&gt;0,$K$7:$CP$7))&gt;=GU$5,MIN(IF($K26:$CP26&lt;&gt;0,$K$7:$CP$7))&lt;=GU$6)</f>
        <v>0</v>
      </c>
      <c r="GV26" s="214" cm="1">
        <f t="array" ref="GV26">--AND(MIN(IF($K26:$CP26&lt;&gt;0,$K$7:$CP$7))&gt;=GV$5,MIN(IF($K26:$CP26&lt;&gt;0,$K$7:$CP$7))&lt;=GV$6)</f>
        <v>0</v>
      </c>
      <c r="GW26" s="214" cm="1">
        <f t="array" ref="GW26">--AND(MIN(IF($K26:$CP26&lt;&gt;0,$K$7:$CP$7))&gt;=GW$5,MIN(IF($K26:$CP26&lt;&gt;0,$K$7:$CP$7))&lt;=GW$6)</f>
        <v>0</v>
      </c>
      <c r="GX26" s="214" cm="1">
        <f t="array" ref="GX26">--AND(MIN(IF($K26:$CP26&lt;&gt;0,$K$7:$CP$7))&gt;=GX$5,MIN(IF($K26:$CP26&lt;&gt;0,$K$7:$CP$7))&lt;=GX$6)</f>
        <v>0</v>
      </c>
      <c r="GY26" s="214" cm="1">
        <f t="array" ref="GY26">--AND(MIN(IF($K26:$CP26&lt;&gt;0,$K$7:$CP$7))&gt;=GY$5,MIN(IF($K26:$CP26&lt;&gt;0,$K$7:$CP$7))&lt;=GY$6)</f>
        <v>0</v>
      </c>
      <c r="GZ26" s="214" cm="1">
        <f t="array" ref="GZ26">--AND(MIN(IF($K26:$CP26&lt;&gt;0,$K$7:$CP$7))&gt;=GZ$5,MIN(IF($K26:$CP26&lt;&gt;0,$K$7:$CP$7))&lt;=GZ$6)</f>
        <v>0</v>
      </c>
      <c r="HA26" s="214">
        <f t="shared" si="0"/>
        <v>0</v>
      </c>
      <c r="HC26" s="214" cm="1">
        <f t="array" ref="HC26">--AND(MIN(IF($K26:$CP26&lt;&gt;0,$K$7:$CP$7))&gt;=HC$5,MIN(IF($K26:$CP26&lt;&gt;0,$K$7:$CP$7))&lt;=HC$6)</f>
        <v>0</v>
      </c>
      <c r="HE26" s="147" t="str">
        <f t="shared" si="19"/>
        <v>No</v>
      </c>
      <c r="HF26" s="147" t="str">
        <f t="shared" si="20"/>
        <v>No</v>
      </c>
      <c r="HG26" s="147">
        <f>IF($HF26="Yes",0,$H26*avg_hrs*12*'Key assumptions'!$D$87)</f>
        <v>362535.77629630821</v>
      </c>
      <c r="HH26" s="147">
        <f>IF(HE26="Yes",'Key assumptions'!$D$84*HG26,0)</f>
        <v>0</v>
      </c>
      <c r="HI26" s="144">
        <f>IFERROR(AVERAGEIFS($K26:$CP26,$K$7:$CP$7,"&gt;="&amp;'Key assumptions'!$D$24,$K$7:$CP$7,"&lt;="&amp;'Key assumptions'!$D$25),0)</f>
        <v>4.5454545454545456E-2</v>
      </c>
      <c r="HJ26" s="148">
        <f t="shared" si="21"/>
        <v>0</v>
      </c>
      <c r="HK26" s="148">
        <f t="shared" si="1"/>
        <v>0</v>
      </c>
      <c r="HL26" s="148">
        <f t="shared" si="2"/>
        <v>0</v>
      </c>
      <c r="HM26" s="148">
        <f t="shared" si="3"/>
        <v>0</v>
      </c>
      <c r="HN26" s="148">
        <f t="shared" si="4"/>
        <v>0</v>
      </c>
      <c r="HO26" s="148">
        <f t="shared" si="5"/>
        <v>0</v>
      </c>
      <c r="HP26" s="148">
        <f t="shared" si="6"/>
        <v>0</v>
      </c>
      <c r="HQ26" s="148">
        <f t="shared" si="7"/>
        <v>0</v>
      </c>
      <c r="HR26" s="147">
        <f t="shared" si="8"/>
        <v>0</v>
      </c>
      <c r="HS26" s="90"/>
      <c r="HU26" s="147">
        <f>$HJ26*HC26/(1+'Key assumptions'!G48)^0.75</f>
        <v>0</v>
      </c>
      <c r="HW26" s="216">
        <f t="shared" si="9"/>
        <v>0</v>
      </c>
      <c r="HX26" s="216">
        <f t="shared" si="10"/>
        <v>0</v>
      </c>
      <c r="HY26" s="216">
        <f t="shared" si="11"/>
        <v>0</v>
      </c>
      <c r="HZ26" s="216">
        <f t="shared" si="12"/>
        <v>0</v>
      </c>
      <c r="IA26" s="216">
        <f t="shared" si="13"/>
        <v>0</v>
      </c>
      <c r="IB26" s="216">
        <f t="shared" si="14"/>
        <v>0</v>
      </c>
      <c r="IC26" s="216">
        <f t="shared" si="15"/>
        <v>0</v>
      </c>
      <c r="ID26" s="216">
        <f t="shared" si="16"/>
        <v>0</v>
      </c>
      <c r="IF26" s="216">
        <f t="shared" si="17"/>
        <v>0</v>
      </c>
    </row>
    <row r="27" spans="2:240" x14ac:dyDescent="0.2">
      <c r="B27" s="141" t="str">
        <v>Project Delivery Management - Project Management</v>
      </c>
      <c r="C27" s="141" t="str">
        <v>Project Engineer (Delivery Projects - Prescribed)</v>
      </c>
      <c r="D27" s="141" t="str">
        <v>Internal Labour</v>
      </c>
      <c r="E27" s="141" t="str">
        <v>$ Nominal</v>
      </c>
      <c r="F27" s="141" t="str">
        <v>Existing</v>
      </c>
      <c r="G27" s="141" t="str">
        <v>Normal time</v>
      </c>
      <c r="H27" s="142">
        <v>202.73</v>
      </c>
      <c r="I27" s="126">
        <v>96164.280000000013</v>
      </c>
      <c r="J27" s="143">
        <v>0</v>
      </c>
      <c r="K27" s="144">
        <v>0</v>
      </c>
      <c r="L27" s="144">
        <v>0</v>
      </c>
      <c r="M27" s="144">
        <v>0</v>
      </c>
      <c r="N27" s="144">
        <v>0</v>
      </c>
      <c r="O27" s="144">
        <v>0</v>
      </c>
      <c r="P27" s="144">
        <v>0</v>
      </c>
      <c r="Q27" s="144">
        <v>0</v>
      </c>
      <c r="R27" s="144">
        <v>0</v>
      </c>
      <c r="S27" s="144">
        <v>0</v>
      </c>
      <c r="T27" s="144">
        <v>0</v>
      </c>
      <c r="U27" s="144">
        <v>0</v>
      </c>
      <c r="V27" s="144">
        <v>0.66685714285714326</v>
      </c>
      <c r="W27" s="144">
        <v>1.3337142857142856</v>
      </c>
      <c r="X27" s="144">
        <v>1</v>
      </c>
      <c r="Y27" s="144">
        <v>1</v>
      </c>
      <c r="Z27" s="144">
        <v>0</v>
      </c>
      <c r="AA27" s="144">
        <v>0</v>
      </c>
      <c r="AB27" s="144">
        <v>0</v>
      </c>
      <c r="AC27" s="144">
        <v>0</v>
      </c>
      <c r="AD27" s="144">
        <v>0</v>
      </c>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v>0</v>
      </c>
      <c r="AT27" s="144">
        <v>0</v>
      </c>
      <c r="AU27" s="144">
        <v>0</v>
      </c>
      <c r="AV27" s="144">
        <v>0</v>
      </c>
      <c r="AW27" s="144">
        <v>0</v>
      </c>
      <c r="AX27" s="144">
        <v>0</v>
      </c>
      <c r="AY27" s="144">
        <v>0</v>
      </c>
      <c r="AZ27" s="144">
        <v>0</v>
      </c>
      <c r="BA27" s="144">
        <v>0</v>
      </c>
      <c r="BB27" s="144">
        <v>0</v>
      </c>
      <c r="BC27" s="144">
        <v>0</v>
      </c>
      <c r="BD27" s="144">
        <v>0</v>
      </c>
      <c r="BE27" s="144">
        <v>0</v>
      </c>
      <c r="BF27" s="144">
        <v>0</v>
      </c>
      <c r="BG27" s="144">
        <v>0</v>
      </c>
      <c r="BH27" s="144">
        <v>0</v>
      </c>
      <c r="BI27" s="144">
        <v>0</v>
      </c>
      <c r="BJ27" s="144">
        <v>0</v>
      </c>
      <c r="BK27" s="144">
        <v>0</v>
      </c>
      <c r="BL27" s="144">
        <v>0</v>
      </c>
      <c r="BM27" s="144">
        <v>0</v>
      </c>
      <c r="BN27" s="144">
        <v>0</v>
      </c>
      <c r="BO27" s="144">
        <v>0</v>
      </c>
      <c r="BP27" s="144">
        <v>0</v>
      </c>
      <c r="BQ27" s="144">
        <v>0</v>
      </c>
      <c r="BR27" s="144">
        <v>0</v>
      </c>
      <c r="BS27" s="144">
        <v>0</v>
      </c>
      <c r="BT27" s="144">
        <v>0</v>
      </c>
      <c r="BU27" s="144">
        <v>0</v>
      </c>
      <c r="BV27" s="144">
        <v>0</v>
      </c>
      <c r="BW27" s="144">
        <v>0</v>
      </c>
      <c r="BX27" s="144">
        <v>0</v>
      </c>
      <c r="BY27" s="144">
        <v>0</v>
      </c>
      <c r="BZ27" s="144">
        <v>0</v>
      </c>
      <c r="CA27" s="144">
        <v>0</v>
      </c>
      <c r="CB27" s="144">
        <v>0</v>
      </c>
      <c r="CC27" s="144">
        <v>0</v>
      </c>
      <c r="CD27" s="144">
        <v>0</v>
      </c>
      <c r="CE27" s="144">
        <v>0</v>
      </c>
      <c r="CF27" s="144">
        <v>0</v>
      </c>
      <c r="CG27" s="144">
        <v>0</v>
      </c>
      <c r="CH27" s="144">
        <v>0</v>
      </c>
      <c r="CI27" s="144">
        <v>0</v>
      </c>
      <c r="CJ27" s="144">
        <v>0</v>
      </c>
      <c r="CK27" s="144">
        <v>0</v>
      </c>
      <c r="CL27" s="144">
        <v>0</v>
      </c>
      <c r="CM27" s="144">
        <v>0</v>
      </c>
      <c r="CN27" s="144">
        <v>0</v>
      </c>
      <c r="CO27" s="144">
        <v>0</v>
      </c>
      <c r="CP27" s="144">
        <v>0</v>
      </c>
      <c r="CQ27" s="143">
        <v>0</v>
      </c>
      <c r="CR27" s="145">
        <v>0</v>
      </c>
      <c r="CS27" s="145">
        <v>0</v>
      </c>
      <c r="CT27" s="145">
        <v>0</v>
      </c>
      <c r="CU27" s="145">
        <v>0</v>
      </c>
      <c r="CV27" s="145">
        <v>0</v>
      </c>
      <c r="CW27" s="145">
        <v>0</v>
      </c>
      <c r="CX27" s="145">
        <v>0</v>
      </c>
      <c r="CY27" s="145">
        <v>0</v>
      </c>
      <c r="CZ27" s="145">
        <v>0</v>
      </c>
      <c r="DA27" s="145">
        <v>0</v>
      </c>
      <c r="DB27" s="145">
        <v>0</v>
      </c>
      <c r="DC27" s="145">
        <v>13557.960000000006</v>
      </c>
      <c r="DD27" s="145">
        <v>27115.920000000013</v>
      </c>
      <c r="DE27" s="145">
        <v>27108.2</v>
      </c>
      <c r="DF27" s="145">
        <v>28382.199999999997</v>
      </c>
      <c r="DG27" s="145">
        <v>0</v>
      </c>
      <c r="DH27" s="145">
        <v>0</v>
      </c>
      <c r="DI27" s="145">
        <v>0</v>
      </c>
      <c r="DJ27" s="145">
        <v>0</v>
      </c>
      <c r="DK27" s="145">
        <v>0</v>
      </c>
      <c r="DL27" s="145">
        <v>0</v>
      </c>
      <c r="DM27" s="145">
        <v>0</v>
      </c>
      <c r="DN27" s="145">
        <v>0</v>
      </c>
      <c r="DO27" s="145">
        <v>0</v>
      </c>
      <c r="DP27" s="145">
        <v>0</v>
      </c>
      <c r="DQ27" s="145">
        <v>0</v>
      </c>
      <c r="DR27" s="145">
        <v>0</v>
      </c>
      <c r="DS27" s="145">
        <v>0</v>
      </c>
      <c r="DT27" s="145">
        <v>0</v>
      </c>
      <c r="DU27" s="145">
        <v>0</v>
      </c>
      <c r="DV27" s="145">
        <v>0</v>
      </c>
      <c r="DW27" s="145">
        <v>0</v>
      </c>
      <c r="DX27" s="145">
        <v>0</v>
      </c>
      <c r="DY27" s="145">
        <v>0</v>
      </c>
      <c r="DZ27" s="145">
        <v>0</v>
      </c>
      <c r="EA27" s="145">
        <v>0</v>
      </c>
      <c r="EB27" s="145">
        <v>0</v>
      </c>
      <c r="EC27" s="145">
        <v>0</v>
      </c>
      <c r="ED27" s="145">
        <v>0</v>
      </c>
      <c r="EE27" s="145">
        <v>0</v>
      </c>
      <c r="EF27" s="145">
        <v>0</v>
      </c>
      <c r="EG27" s="145">
        <v>0</v>
      </c>
      <c r="EH27" s="145">
        <v>0</v>
      </c>
      <c r="EI27" s="145">
        <v>0</v>
      </c>
      <c r="EJ27" s="145">
        <v>0</v>
      </c>
      <c r="EK27" s="145">
        <v>0</v>
      </c>
      <c r="EL27" s="145">
        <v>0</v>
      </c>
      <c r="EM27" s="145">
        <v>0</v>
      </c>
      <c r="EN27" s="145">
        <v>0</v>
      </c>
      <c r="EO27" s="145">
        <v>0</v>
      </c>
      <c r="EP27" s="145">
        <v>0</v>
      </c>
      <c r="EQ27" s="145">
        <v>0</v>
      </c>
      <c r="ER27" s="145">
        <v>0</v>
      </c>
      <c r="ES27" s="145">
        <v>0</v>
      </c>
      <c r="ET27" s="145">
        <v>0</v>
      </c>
      <c r="EU27" s="145">
        <v>0</v>
      </c>
      <c r="EV27" s="145">
        <v>0</v>
      </c>
      <c r="EW27" s="145">
        <v>0</v>
      </c>
      <c r="EX27" s="145">
        <v>0</v>
      </c>
      <c r="EY27" s="145">
        <v>0</v>
      </c>
      <c r="EZ27" s="145">
        <v>0</v>
      </c>
      <c r="FA27" s="145">
        <v>0</v>
      </c>
      <c r="FB27" s="145">
        <v>0</v>
      </c>
      <c r="FC27" s="145">
        <v>0</v>
      </c>
      <c r="FD27" s="145">
        <v>0</v>
      </c>
      <c r="FE27" s="145">
        <v>0</v>
      </c>
      <c r="FF27" s="145">
        <v>0</v>
      </c>
      <c r="FG27" s="145">
        <v>0</v>
      </c>
      <c r="FH27" s="145">
        <v>0</v>
      </c>
      <c r="FI27" s="145">
        <v>0</v>
      </c>
      <c r="FJ27" s="145">
        <v>0</v>
      </c>
      <c r="FK27" s="145">
        <v>0</v>
      </c>
      <c r="FL27" s="145">
        <v>0</v>
      </c>
      <c r="FM27" s="145">
        <v>0</v>
      </c>
      <c r="FN27" s="145">
        <v>0</v>
      </c>
      <c r="FO27" s="145">
        <v>0</v>
      </c>
      <c r="FP27" s="145">
        <v>0</v>
      </c>
      <c r="FQ27" s="145">
        <v>0</v>
      </c>
      <c r="FR27" s="145">
        <v>0</v>
      </c>
      <c r="FS27" s="145">
        <v>0</v>
      </c>
      <c r="FT27" s="145">
        <v>0</v>
      </c>
      <c r="FU27" s="145">
        <v>0</v>
      </c>
      <c r="FV27" s="145">
        <v>0</v>
      </c>
      <c r="FW27" s="145">
        <v>0</v>
      </c>
      <c r="FX27" s="143"/>
      <c r="FY27" s="146" t="str">
        <f>_xlfn.XLOOKUP($E27,'Key assumptions'!$B$112:$B$120,'Key assumptions'!$C$112:$C$120,0)</f>
        <v>Nominal</v>
      </c>
      <c r="FZ27" s="146" cm="1">
        <f t="array" ref="FZ27">IF($FY27=0,0,_xlfn.IFS($FY27='Key assumptions'!$C$120,_xlfn.XLOOKUP(LEFT(FZ$7,6),Inflation_Year,Inflation_NominaltoReal),TRUE,_xlfn.XLOOKUP($FY27,Inflation_Year,NominaltoReal)))</f>
        <v>1.0197075870962191</v>
      </c>
      <c r="GA27" s="146" cm="1">
        <f t="array" ref="GA27">IF($FY27=0,0,_xlfn.IFS($FY27='Key assumptions'!$C$120,_xlfn.XLOOKUP(LEFT(GA$7,6),Inflation_Year,Inflation_NominaltoReal),TRUE,_xlfn.XLOOKUP($FY27,Inflation_Year,NominaltoReal)))</f>
        <v>0.98700804022984445</v>
      </c>
      <c r="GB27" s="146" cm="1">
        <f t="array" ref="GB27">IF($FY27=0,0,_xlfn.IFS($FY27='Key assumptions'!$C$120,_xlfn.XLOOKUP(LEFT(GB$7,6),Inflation_Year,Inflation_NominaltoReal),TRUE,_xlfn.XLOOKUP($FY27,Inflation_Year,NominaltoReal)))</f>
        <v>0.96152830081941731</v>
      </c>
      <c r="GC27" s="146" cm="1">
        <f t="array" ref="GC27">IF($FY27=0,0,_xlfn.IFS($FY27='Key assumptions'!$C$120,_xlfn.XLOOKUP(LEFT(GC$7,6),Inflation_Year,Inflation_NominaltoReal),TRUE,_xlfn.XLOOKUP($FY27,Inflation_Year,NominaltoReal)))</f>
        <v>0.93670632415656829</v>
      </c>
      <c r="GD27" s="146" cm="1">
        <f t="array" ref="GD27">IF($FY27=0,0,_xlfn.IFS($FY27='Key assumptions'!$C$120,_xlfn.XLOOKUP(LEFT(GD$7,6),Inflation_Year,Inflation_NominaltoReal),TRUE,_xlfn.XLOOKUP($FY27,Inflation_Year,NominaltoReal)))</f>
        <v>0.91252513001143176</v>
      </c>
      <c r="GE27" s="146" cm="1">
        <f t="array" ref="GE27">IF($FY27=0,0,_xlfn.IFS($FY27='Key assumptions'!$C$120,_xlfn.XLOOKUP(LEFT(GE$7,6),Inflation_Year,Inflation_NominaltoReal),TRUE,_xlfn.XLOOKUP($FY27,Inflation_Year,NominaltoReal)))</f>
        <v>0.88896817650095872</v>
      </c>
      <c r="GF27" s="146" cm="1">
        <f t="array" ref="GF27">IF($FY27=0,0,_xlfn.IFS($FY27='Key assumptions'!$C$120,_xlfn.XLOOKUP(LEFT(GF$7,6),Inflation_Year,Inflation_NominaltoReal),TRUE,_xlfn.XLOOKUP($FY27,Inflation_Year,NominaltoReal)))</f>
        <v>0.86601934877293718</v>
      </c>
      <c r="GG27" s="143"/>
      <c r="GH27" s="145" cm="1">
        <f t="array" ref="GH27">SUMPRODUCT(--($CR$7:$FW$7&gt;=GH$5),--($CR$7:$FW$7&lt;=GH$6),$CR27:$FW27)*FZ27</f>
        <v>56583.981891004034</v>
      </c>
      <c r="GI27" s="145" cm="1">
        <f t="array" ref="GI27">SUMPRODUCT(--($CR$7:$FW$7&gt;=GI$5),--($CR$7:$FW$7&lt;=GI$6),$CR27:$FW27)*GA27</f>
        <v>0</v>
      </c>
      <c r="GJ27" s="145" cm="1">
        <f t="array" ref="GJ27">SUMPRODUCT(--($CR$7:$FW$7&gt;=GJ$5),--($CR$7:$FW$7&lt;=GJ$6),$CR27:$FW27)*GB27</f>
        <v>0</v>
      </c>
      <c r="GK27" s="145" cm="1">
        <f t="array" ref="GK27">SUMPRODUCT(--($CR$7:$FW$7&gt;=GK$5),--($CR$7:$FW$7&lt;=GK$6),$CR27:$FW27)*GC27</f>
        <v>0</v>
      </c>
      <c r="GL27" s="145" cm="1">
        <f t="array" ref="GL27">SUMPRODUCT(--($CR$7:$FW$7&gt;=GL$5),--($CR$7:$FW$7&lt;=GL$6),$CR27:$FW27)*GD27</f>
        <v>0</v>
      </c>
      <c r="GM27" s="145" cm="1">
        <f t="array" ref="GM27">SUMPRODUCT(--($CR$7:$FW$7&gt;=GM$5),--($CR$7:$FW$7&lt;=GM$6),$CR27:$FW27)*GE27</f>
        <v>0</v>
      </c>
      <c r="GN27" s="145" cm="1">
        <f t="array" ref="GN27">SUMPRODUCT(--($CR$7:$FW$7&gt;=GN$5),--($CR$7:$FW$7&lt;=GN$6),$CR27:$FW27)*GF27</f>
        <v>0</v>
      </c>
      <c r="GO27" s="145">
        <f t="shared" si="18"/>
        <v>56583.981891004034</v>
      </c>
      <c r="GP27" s="87"/>
      <c r="GQ27" s="89"/>
      <c r="GR27" s="145" cm="1">
        <f t="array" ref="GR27">SUMPRODUCT(--($CR$7:$FW$7&gt;=GR$5),--($CR$7:$FW$7&lt;=GR$6),$CR27:$FW27)</f>
        <v>55490.399999999994</v>
      </c>
      <c r="GS27" s="89"/>
      <c r="GT27" s="214" cm="1">
        <f t="array" ref="GT27">--AND(MIN(IF($K27:$CP27&lt;&gt;0,$K$7:$CP$7))&gt;=GT$5,MIN(IF($K27:$CP27&lt;&gt;0,$K$7:$CP$7))&lt;=GT$6)</f>
        <v>0</v>
      </c>
      <c r="GU27" s="214" cm="1">
        <f t="array" ref="GU27">--AND(MIN(IF($K27:$CP27&lt;&gt;0,$K$7:$CP$7))&gt;=GU$5,MIN(IF($K27:$CP27&lt;&gt;0,$K$7:$CP$7))&lt;=GU$6)</f>
        <v>0</v>
      </c>
      <c r="GV27" s="214" cm="1">
        <f t="array" ref="GV27">--AND(MIN(IF($K27:$CP27&lt;&gt;0,$K$7:$CP$7))&gt;=GV$5,MIN(IF($K27:$CP27&lt;&gt;0,$K$7:$CP$7))&lt;=GV$6)</f>
        <v>0</v>
      </c>
      <c r="GW27" s="214" cm="1">
        <f t="array" ref="GW27">--AND(MIN(IF($K27:$CP27&lt;&gt;0,$K$7:$CP$7))&gt;=GW$5,MIN(IF($K27:$CP27&lt;&gt;0,$K$7:$CP$7))&lt;=GW$6)</f>
        <v>0</v>
      </c>
      <c r="GX27" s="214" cm="1">
        <f t="array" ref="GX27">--AND(MIN(IF($K27:$CP27&lt;&gt;0,$K$7:$CP$7))&gt;=GX$5,MIN(IF($K27:$CP27&lt;&gt;0,$K$7:$CP$7))&lt;=GX$6)</f>
        <v>0</v>
      </c>
      <c r="GY27" s="214" cm="1">
        <f t="array" ref="GY27">--AND(MIN(IF($K27:$CP27&lt;&gt;0,$K$7:$CP$7))&gt;=GY$5,MIN(IF($K27:$CP27&lt;&gt;0,$K$7:$CP$7))&lt;=GY$6)</f>
        <v>0</v>
      </c>
      <c r="GZ27" s="214" cm="1">
        <f t="array" ref="GZ27">--AND(MIN(IF($K27:$CP27&lt;&gt;0,$K$7:$CP$7))&gt;=GZ$5,MIN(IF($K27:$CP27&lt;&gt;0,$K$7:$CP$7))&lt;=GZ$6)</f>
        <v>0</v>
      </c>
      <c r="HA27" s="214">
        <f t="shared" si="0"/>
        <v>0</v>
      </c>
      <c r="HC27" s="214" cm="1">
        <f t="array" ref="HC27">--AND(MIN(IF($K27:$CP27&lt;&gt;0,$K$7:$CP$7))&gt;=HC$5,MIN(IF($K27:$CP27&lt;&gt;0,$K$7:$CP$7))&lt;=HC$6)</f>
        <v>0</v>
      </c>
      <c r="HE27" s="147" t="str">
        <f t="shared" si="19"/>
        <v>No</v>
      </c>
      <c r="HF27" s="147" t="str">
        <f t="shared" si="20"/>
        <v>No</v>
      </c>
      <c r="HG27" s="147">
        <f>IF($HF27="Yes",0,$H27*avg_hrs*12*'Key assumptions'!$D$87)</f>
        <v>362535.77629630821</v>
      </c>
      <c r="HH27" s="147">
        <f>IF(HE27="Yes",'Key assumptions'!$D$84*HG27,0)</f>
        <v>0</v>
      </c>
      <c r="HI27" s="144">
        <f>IFERROR(AVERAGEIFS($K27:$CP27,$K$7:$CP$7,"&gt;="&amp;'Key assumptions'!$D$24,$K$7:$CP$7,"&lt;="&amp;'Key assumptions'!$D$25),0)</f>
        <v>4.5454545454545456E-2</v>
      </c>
      <c r="HJ27" s="148">
        <f t="shared" si="21"/>
        <v>0</v>
      </c>
      <c r="HK27" s="148">
        <f t="shared" si="1"/>
        <v>0</v>
      </c>
      <c r="HL27" s="148">
        <f t="shared" si="2"/>
        <v>0</v>
      </c>
      <c r="HM27" s="148">
        <f t="shared" si="3"/>
        <v>0</v>
      </c>
      <c r="HN27" s="148">
        <f t="shared" si="4"/>
        <v>0</v>
      </c>
      <c r="HO27" s="148">
        <f t="shared" si="5"/>
        <v>0</v>
      </c>
      <c r="HP27" s="148">
        <f t="shared" si="6"/>
        <v>0</v>
      </c>
      <c r="HQ27" s="148">
        <f t="shared" si="7"/>
        <v>0</v>
      </c>
      <c r="HR27" s="147">
        <f t="shared" si="8"/>
        <v>0</v>
      </c>
      <c r="HS27" s="90"/>
      <c r="HU27" s="147">
        <f>$HJ27*HC27/(1+'Key assumptions'!G49)^0.75</f>
        <v>0</v>
      </c>
      <c r="HW27" s="216">
        <f t="shared" si="9"/>
        <v>0</v>
      </c>
      <c r="HX27" s="216">
        <f t="shared" si="10"/>
        <v>0</v>
      </c>
      <c r="HY27" s="216">
        <f t="shared" si="11"/>
        <v>0</v>
      </c>
      <c r="HZ27" s="216">
        <f t="shared" si="12"/>
        <v>0</v>
      </c>
      <c r="IA27" s="216">
        <f t="shared" si="13"/>
        <v>0</v>
      </c>
      <c r="IB27" s="216">
        <f t="shared" si="14"/>
        <v>0</v>
      </c>
      <c r="IC27" s="216">
        <f t="shared" si="15"/>
        <v>0</v>
      </c>
      <c r="ID27" s="216">
        <f t="shared" si="16"/>
        <v>0</v>
      </c>
      <c r="IF27" s="216">
        <f t="shared" si="17"/>
        <v>0</v>
      </c>
    </row>
    <row r="28" spans="2:240" x14ac:dyDescent="0.2">
      <c r="B28" s="141" t="str">
        <v>Project Delivery Management - Project Engineering</v>
      </c>
      <c r="C28" s="141" t="str">
        <v>Project Engineer - Senior CO (Network Projects)</v>
      </c>
      <c r="D28" s="141" t="str">
        <v>Internal Labour</v>
      </c>
      <c r="E28" s="141" t="str">
        <v>$ Nominal</v>
      </c>
      <c r="F28" s="141" t="str">
        <v>Existing</v>
      </c>
      <c r="G28" s="141" t="str">
        <v>Normal time</v>
      </c>
      <c r="H28" s="142">
        <v>254.01</v>
      </c>
      <c r="I28" s="126">
        <v>113942.80000000003</v>
      </c>
      <c r="J28" s="143">
        <v>0</v>
      </c>
      <c r="K28" s="144">
        <v>0</v>
      </c>
      <c r="L28" s="144">
        <v>0</v>
      </c>
      <c r="M28" s="144">
        <v>0</v>
      </c>
      <c r="N28" s="144">
        <v>0</v>
      </c>
      <c r="O28" s="144">
        <v>0</v>
      </c>
      <c r="P28" s="144">
        <v>0</v>
      </c>
      <c r="Q28" s="144">
        <v>0</v>
      </c>
      <c r="R28" s="144">
        <v>0</v>
      </c>
      <c r="S28" s="144">
        <v>0</v>
      </c>
      <c r="T28" s="144">
        <v>0</v>
      </c>
      <c r="U28" s="144">
        <v>0</v>
      </c>
      <c r="V28" s="144">
        <v>0.2</v>
      </c>
      <c r="W28" s="144">
        <v>1.5333333333333334</v>
      </c>
      <c r="X28" s="144">
        <v>1</v>
      </c>
      <c r="Y28" s="144">
        <v>1</v>
      </c>
      <c r="Z28" s="144">
        <v>0</v>
      </c>
      <c r="AA28" s="144">
        <v>0</v>
      </c>
      <c r="AB28" s="144">
        <v>0</v>
      </c>
      <c r="AC28" s="144">
        <v>0</v>
      </c>
      <c r="AD28" s="144">
        <v>0</v>
      </c>
      <c r="AE28" s="144">
        <v>0</v>
      </c>
      <c r="AF28" s="144">
        <v>0</v>
      </c>
      <c r="AG28" s="144">
        <v>0</v>
      </c>
      <c r="AH28" s="144">
        <v>0</v>
      </c>
      <c r="AI28" s="144">
        <v>0</v>
      </c>
      <c r="AJ28" s="144">
        <v>0</v>
      </c>
      <c r="AK28" s="144">
        <v>0</v>
      </c>
      <c r="AL28" s="144">
        <v>0</v>
      </c>
      <c r="AM28" s="144">
        <v>0</v>
      </c>
      <c r="AN28" s="144">
        <v>0</v>
      </c>
      <c r="AO28" s="144">
        <v>0</v>
      </c>
      <c r="AP28" s="144">
        <v>0</v>
      </c>
      <c r="AQ28" s="144">
        <v>0</v>
      </c>
      <c r="AR28" s="144">
        <v>0</v>
      </c>
      <c r="AS28" s="144">
        <v>0</v>
      </c>
      <c r="AT28" s="144">
        <v>0</v>
      </c>
      <c r="AU28" s="144">
        <v>0</v>
      </c>
      <c r="AV28" s="144">
        <v>0</v>
      </c>
      <c r="AW28" s="144">
        <v>0</v>
      </c>
      <c r="AX28" s="144">
        <v>0</v>
      </c>
      <c r="AY28" s="144">
        <v>0</v>
      </c>
      <c r="AZ28" s="144">
        <v>0</v>
      </c>
      <c r="BA28" s="144">
        <v>0</v>
      </c>
      <c r="BB28" s="144">
        <v>0</v>
      </c>
      <c r="BC28" s="144">
        <v>0</v>
      </c>
      <c r="BD28" s="144">
        <v>0</v>
      </c>
      <c r="BE28" s="144">
        <v>0</v>
      </c>
      <c r="BF28" s="144">
        <v>0</v>
      </c>
      <c r="BG28" s="144">
        <v>0</v>
      </c>
      <c r="BH28" s="144">
        <v>0</v>
      </c>
      <c r="BI28" s="144">
        <v>0</v>
      </c>
      <c r="BJ28" s="144">
        <v>0</v>
      </c>
      <c r="BK28" s="144">
        <v>0</v>
      </c>
      <c r="BL28" s="144">
        <v>0</v>
      </c>
      <c r="BM28" s="144">
        <v>0</v>
      </c>
      <c r="BN28" s="144">
        <v>0</v>
      </c>
      <c r="BO28" s="144">
        <v>0</v>
      </c>
      <c r="BP28" s="144">
        <v>0</v>
      </c>
      <c r="BQ28" s="144">
        <v>0</v>
      </c>
      <c r="BR28" s="144">
        <v>0</v>
      </c>
      <c r="BS28" s="144">
        <v>0</v>
      </c>
      <c r="BT28" s="144">
        <v>0</v>
      </c>
      <c r="BU28" s="144">
        <v>0</v>
      </c>
      <c r="BV28" s="144">
        <v>0</v>
      </c>
      <c r="BW28" s="144">
        <v>0</v>
      </c>
      <c r="BX28" s="144">
        <v>0</v>
      </c>
      <c r="BY28" s="144">
        <v>0</v>
      </c>
      <c r="BZ28" s="144">
        <v>0</v>
      </c>
      <c r="CA28" s="144">
        <v>0</v>
      </c>
      <c r="CB28" s="144">
        <v>0</v>
      </c>
      <c r="CC28" s="144">
        <v>0</v>
      </c>
      <c r="CD28" s="144">
        <v>0</v>
      </c>
      <c r="CE28" s="144">
        <v>0</v>
      </c>
      <c r="CF28" s="144">
        <v>0</v>
      </c>
      <c r="CG28" s="144">
        <v>0</v>
      </c>
      <c r="CH28" s="144">
        <v>0</v>
      </c>
      <c r="CI28" s="144">
        <v>0</v>
      </c>
      <c r="CJ28" s="144">
        <v>0</v>
      </c>
      <c r="CK28" s="144">
        <v>0</v>
      </c>
      <c r="CL28" s="144">
        <v>0</v>
      </c>
      <c r="CM28" s="144">
        <v>0</v>
      </c>
      <c r="CN28" s="144">
        <v>0</v>
      </c>
      <c r="CO28" s="144">
        <v>0</v>
      </c>
      <c r="CP28" s="144">
        <v>0</v>
      </c>
      <c r="CQ28" s="143">
        <v>0</v>
      </c>
      <c r="CR28" s="145">
        <v>0</v>
      </c>
      <c r="CS28" s="145">
        <v>0</v>
      </c>
      <c r="CT28" s="145">
        <v>0</v>
      </c>
      <c r="CU28" s="145">
        <v>0</v>
      </c>
      <c r="CV28" s="145">
        <v>0</v>
      </c>
      <c r="CW28" s="145">
        <v>0</v>
      </c>
      <c r="CX28" s="145">
        <v>0</v>
      </c>
      <c r="CY28" s="145">
        <v>0</v>
      </c>
      <c r="CZ28" s="145">
        <v>0</v>
      </c>
      <c r="DA28" s="145">
        <v>0</v>
      </c>
      <c r="DB28" s="145">
        <v>0</v>
      </c>
      <c r="DC28" s="145">
        <v>5179.1999999999989</v>
      </c>
      <c r="DD28" s="145">
        <v>39707.200000000041</v>
      </c>
      <c r="DE28" s="145">
        <v>34528.199999999997</v>
      </c>
      <c r="DF28" s="145">
        <v>34528.199999999997</v>
      </c>
      <c r="DG28" s="145">
        <v>0</v>
      </c>
      <c r="DH28" s="145">
        <v>0</v>
      </c>
      <c r="DI28" s="145">
        <v>0</v>
      </c>
      <c r="DJ28" s="145">
        <v>0</v>
      </c>
      <c r="DK28" s="145">
        <v>0</v>
      </c>
      <c r="DL28" s="145">
        <v>0</v>
      </c>
      <c r="DM28" s="145">
        <v>0</v>
      </c>
      <c r="DN28" s="145">
        <v>0</v>
      </c>
      <c r="DO28" s="145">
        <v>0</v>
      </c>
      <c r="DP28" s="145">
        <v>0</v>
      </c>
      <c r="DQ28" s="145">
        <v>0</v>
      </c>
      <c r="DR28" s="145">
        <v>0</v>
      </c>
      <c r="DS28" s="145">
        <v>0</v>
      </c>
      <c r="DT28" s="145">
        <v>0</v>
      </c>
      <c r="DU28" s="145">
        <v>0</v>
      </c>
      <c r="DV28" s="145">
        <v>0</v>
      </c>
      <c r="DW28" s="145">
        <v>0</v>
      </c>
      <c r="DX28" s="145">
        <v>0</v>
      </c>
      <c r="DY28" s="145">
        <v>0</v>
      </c>
      <c r="DZ28" s="145">
        <v>0</v>
      </c>
      <c r="EA28" s="145">
        <v>0</v>
      </c>
      <c r="EB28" s="145">
        <v>0</v>
      </c>
      <c r="EC28" s="145">
        <v>0</v>
      </c>
      <c r="ED28" s="145">
        <v>0</v>
      </c>
      <c r="EE28" s="145">
        <v>0</v>
      </c>
      <c r="EF28" s="145">
        <v>0</v>
      </c>
      <c r="EG28" s="145">
        <v>0</v>
      </c>
      <c r="EH28" s="145">
        <v>0</v>
      </c>
      <c r="EI28" s="145">
        <v>0</v>
      </c>
      <c r="EJ28" s="145">
        <v>0</v>
      </c>
      <c r="EK28" s="145">
        <v>0</v>
      </c>
      <c r="EL28" s="145">
        <v>0</v>
      </c>
      <c r="EM28" s="145">
        <v>0</v>
      </c>
      <c r="EN28" s="145">
        <v>0</v>
      </c>
      <c r="EO28" s="145">
        <v>0</v>
      </c>
      <c r="EP28" s="145">
        <v>0</v>
      </c>
      <c r="EQ28" s="145">
        <v>0</v>
      </c>
      <c r="ER28" s="145">
        <v>0</v>
      </c>
      <c r="ES28" s="145">
        <v>0</v>
      </c>
      <c r="ET28" s="145">
        <v>0</v>
      </c>
      <c r="EU28" s="145">
        <v>0</v>
      </c>
      <c r="EV28" s="145">
        <v>0</v>
      </c>
      <c r="EW28" s="145">
        <v>0</v>
      </c>
      <c r="EX28" s="145">
        <v>0</v>
      </c>
      <c r="EY28" s="145">
        <v>0</v>
      </c>
      <c r="EZ28" s="145">
        <v>0</v>
      </c>
      <c r="FA28" s="145">
        <v>0</v>
      </c>
      <c r="FB28" s="145">
        <v>0</v>
      </c>
      <c r="FC28" s="145">
        <v>0</v>
      </c>
      <c r="FD28" s="145">
        <v>0</v>
      </c>
      <c r="FE28" s="145">
        <v>0</v>
      </c>
      <c r="FF28" s="145">
        <v>0</v>
      </c>
      <c r="FG28" s="145">
        <v>0</v>
      </c>
      <c r="FH28" s="145">
        <v>0</v>
      </c>
      <c r="FI28" s="145">
        <v>0</v>
      </c>
      <c r="FJ28" s="145">
        <v>0</v>
      </c>
      <c r="FK28" s="145">
        <v>0</v>
      </c>
      <c r="FL28" s="145">
        <v>0</v>
      </c>
      <c r="FM28" s="145">
        <v>0</v>
      </c>
      <c r="FN28" s="145">
        <v>0</v>
      </c>
      <c r="FO28" s="145">
        <v>0</v>
      </c>
      <c r="FP28" s="145">
        <v>0</v>
      </c>
      <c r="FQ28" s="145">
        <v>0</v>
      </c>
      <c r="FR28" s="145">
        <v>0</v>
      </c>
      <c r="FS28" s="145">
        <v>0</v>
      </c>
      <c r="FT28" s="145">
        <v>0</v>
      </c>
      <c r="FU28" s="145">
        <v>0</v>
      </c>
      <c r="FV28" s="145">
        <v>0</v>
      </c>
      <c r="FW28" s="145">
        <v>0</v>
      </c>
      <c r="FX28" s="143"/>
      <c r="FY28" s="146" t="str">
        <f>_xlfn.XLOOKUP($E28,'Key assumptions'!$B$112:$B$120,'Key assumptions'!$C$112:$C$120,0)</f>
        <v>Nominal</v>
      </c>
      <c r="FZ28" s="146" cm="1">
        <f t="array" ref="FZ28">IF($FY28=0,0,_xlfn.IFS($FY28='Key assumptions'!$C$120,_xlfn.XLOOKUP(LEFT(FZ$7,6),Inflation_Year,Inflation_NominaltoReal),TRUE,_xlfn.XLOOKUP($FY28,Inflation_Year,NominaltoReal)))</f>
        <v>1.0197075870962191</v>
      </c>
      <c r="GA28" s="146" cm="1">
        <f t="array" ref="GA28">IF($FY28=0,0,_xlfn.IFS($FY28='Key assumptions'!$C$120,_xlfn.XLOOKUP(LEFT(GA$7,6),Inflation_Year,Inflation_NominaltoReal),TRUE,_xlfn.XLOOKUP($FY28,Inflation_Year,NominaltoReal)))</f>
        <v>0.98700804022984445</v>
      </c>
      <c r="GB28" s="146" cm="1">
        <f t="array" ref="GB28">IF($FY28=0,0,_xlfn.IFS($FY28='Key assumptions'!$C$120,_xlfn.XLOOKUP(LEFT(GB$7,6),Inflation_Year,Inflation_NominaltoReal),TRUE,_xlfn.XLOOKUP($FY28,Inflation_Year,NominaltoReal)))</f>
        <v>0.96152830081941731</v>
      </c>
      <c r="GC28" s="146" cm="1">
        <f t="array" ref="GC28">IF($FY28=0,0,_xlfn.IFS($FY28='Key assumptions'!$C$120,_xlfn.XLOOKUP(LEFT(GC$7,6),Inflation_Year,Inflation_NominaltoReal),TRUE,_xlfn.XLOOKUP($FY28,Inflation_Year,NominaltoReal)))</f>
        <v>0.93670632415656829</v>
      </c>
      <c r="GD28" s="146" cm="1">
        <f t="array" ref="GD28">IF($FY28=0,0,_xlfn.IFS($FY28='Key assumptions'!$C$120,_xlfn.XLOOKUP(LEFT(GD$7,6),Inflation_Year,Inflation_NominaltoReal),TRUE,_xlfn.XLOOKUP($FY28,Inflation_Year,NominaltoReal)))</f>
        <v>0.91252513001143176</v>
      </c>
      <c r="GE28" s="146" cm="1">
        <f t="array" ref="GE28">IF($FY28=0,0,_xlfn.IFS($FY28='Key assumptions'!$C$120,_xlfn.XLOOKUP(LEFT(GE$7,6),Inflation_Year,Inflation_NominaltoReal),TRUE,_xlfn.XLOOKUP($FY28,Inflation_Year,NominaltoReal)))</f>
        <v>0.88896817650095872</v>
      </c>
      <c r="GF28" s="146" cm="1">
        <f t="array" ref="GF28">IF($FY28=0,0,_xlfn.IFS($FY28='Key assumptions'!$C$120,_xlfn.XLOOKUP(LEFT(GF$7,6),Inflation_Year,Inflation_NominaltoReal),TRUE,_xlfn.XLOOKUP($FY28,Inflation_Year,NominaltoReal)))</f>
        <v>0.86601934877293718</v>
      </c>
      <c r="GG28" s="143"/>
      <c r="GH28" s="145" cm="1">
        <f t="array" ref="GH28">SUMPRODUCT(--($CR$7:$FW$7&gt;=GH$5),--($CR$7:$FW$7&lt;=GH$6),$CR28:$FW28)*FZ28</f>
        <v>70417.335017551333</v>
      </c>
      <c r="GI28" s="145" cm="1">
        <f t="array" ref="GI28">SUMPRODUCT(--($CR$7:$FW$7&gt;=GI$5),--($CR$7:$FW$7&lt;=GI$6),$CR28:$FW28)*GA28</f>
        <v>0</v>
      </c>
      <c r="GJ28" s="145" cm="1">
        <f t="array" ref="GJ28">SUMPRODUCT(--($CR$7:$FW$7&gt;=GJ$5),--($CR$7:$FW$7&lt;=GJ$6),$CR28:$FW28)*GB28</f>
        <v>0</v>
      </c>
      <c r="GK28" s="145" cm="1">
        <f t="array" ref="GK28">SUMPRODUCT(--($CR$7:$FW$7&gt;=GK$5),--($CR$7:$FW$7&lt;=GK$6),$CR28:$FW28)*GC28</f>
        <v>0</v>
      </c>
      <c r="GL28" s="145" cm="1">
        <f t="array" ref="GL28">SUMPRODUCT(--($CR$7:$FW$7&gt;=GL$5),--($CR$7:$FW$7&lt;=GL$6),$CR28:$FW28)*GD28</f>
        <v>0</v>
      </c>
      <c r="GM28" s="145" cm="1">
        <f t="array" ref="GM28">SUMPRODUCT(--($CR$7:$FW$7&gt;=GM$5),--($CR$7:$FW$7&lt;=GM$6),$CR28:$FW28)*GE28</f>
        <v>0</v>
      </c>
      <c r="GN28" s="145" cm="1">
        <f t="array" ref="GN28">SUMPRODUCT(--($CR$7:$FW$7&gt;=GN$5),--($CR$7:$FW$7&lt;=GN$6),$CR28:$FW28)*GF28</f>
        <v>0</v>
      </c>
      <c r="GO28" s="145">
        <f t="shared" si="18"/>
        <v>70417.335017551333</v>
      </c>
      <c r="GP28" s="87"/>
      <c r="GQ28" s="89"/>
      <c r="GR28" s="145" cm="1">
        <f t="array" ref="GR28">SUMPRODUCT(--($CR$7:$FW$7&gt;=GR$5),--($CR$7:$FW$7&lt;=GR$6),$CR28:$FW28)</f>
        <v>69056.399999999994</v>
      </c>
      <c r="GS28" s="89"/>
      <c r="GT28" s="214" cm="1">
        <f t="array" ref="GT28">--AND(MIN(IF($K28:$CP28&lt;&gt;0,$K$7:$CP$7))&gt;=GT$5,MIN(IF($K28:$CP28&lt;&gt;0,$K$7:$CP$7))&lt;=GT$6)</f>
        <v>0</v>
      </c>
      <c r="GU28" s="214" cm="1">
        <f t="array" ref="GU28">--AND(MIN(IF($K28:$CP28&lt;&gt;0,$K$7:$CP$7))&gt;=GU$5,MIN(IF($K28:$CP28&lt;&gt;0,$K$7:$CP$7))&lt;=GU$6)</f>
        <v>0</v>
      </c>
      <c r="GV28" s="214" cm="1">
        <f t="array" ref="GV28">--AND(MIN(IF($K28:$CP28&lt;&gt;0,$K$7:$CP$7))&gt;=GV$5,MIN(IF($K28:$CP28&lt;&gt;0,$K$7:$CP$7))&lt;=GV$6)</f>
        <v>0</v>
      </c>
      <c r="GW28" s="214" cm="1">
        <f t="array" ref="GW28">--AND(MIN(IF($K28:$CP28&lt;&gt;0,$K$7:$CP$7))&gt;=GW$5,MIN(IF($K28:$CP28&lt;&gt;0,$K$7:$CP$7))&lt;=GW$6)</f>
        <v>0</v>
      </c>
      <c r="GX28" s="214" cm="1">
        <f t="array" ref="GX28">--AND(MIN(IF($K28:$CP28&lt;&gt;0,$K$7:$CP$7))&gt;=GX$5,MIN(IF($K28:$CP28&lt;&gt;0,$K$7:$CP$7))&lt;=GX$6)</f>
        <v>0</v>
      </c>
      <c r="GY28" s="214" cm="1">
        <f t="array" ref="GY28">--AND(MIN(IF($K28:$CP28&lt;&gt;0,$K$7:$CP$7))&gt;=GY$5,MIN(IF($K28:$CP28&lt;&gt;0,$K$7:$CP$7))&lt;=GY$6)</f>
        <v>0</v>
      </c>
      <c r="GZ28" s="214" cm="1">
        <f t="array" ref="GZ28">--AND(MIN(IF($K28:$CP28&lt;&gt;0,$K$7:$CP$7))&gt;=GZ$5,MIN(IF($K28:$CP28&lt;&gt;0,$K$7:$CP$7))&lt;=GZ$6)</f>
        <v>0</v>
      </c>
      <c r="HA28" s="214">
        <f t="shared" si="0"/>
        <v>0</v>
      </c>
      <c r="HC28" s="214" cm="1">
        <f t="array" ref="HC28">--AND(MIN(IF($K28:$CP28&lt;&gt;0,$K$7:$CP$7))&gt;=HC$5,MIN(IF($K28:$CP28&lt;&gt;0,$K$7:$CP$7))&lt;=HC$6)</f>
        <v>0</v>
      </c>
      <c r="HE28" s="147" t="str">
        <f t="shared" si="19"/>
        <v>No</v>
      </c>
      <c r="HF28" s="147" t="str">
        <f t="shared" si="20"/>
        <v>No</v>
      </c>
      <c r="HG28" s="147">
        <f>IF($HF28="Yes",0,$H28*avg_hrs*12*'Key assumptions'!$D$87)</f>
        <v>454238.21110356261</v>
      </c>
      <c r="HH28" s="147">
        <f>IF(HE28="Yes",'Key assumptions'!$D$84*HG28,0)</f>
        <v>0</v>
      </c>
      <c r="HI28" s="144">
        <f>IFERROR(AVERAGEIFS($K28:$CP28,$K$7:$CP$7,"&gt;="&amp;'Key assumptions'!$D$24,$K$7:$CP$7,"&lt;="&amp;'Key assumptions'!$D$25),0)</f>
        <v>4.5454545454545456E-2</v>
      </c>
      <c r="HJ28" s="148">
        <f t="shared" si="21"/>
        <v>0</v>
      </c>
      <c r="HK28" s="148">
        <f t="shared" si="1"/>
        <v>0</v>
      </c>
      <c r="HL28" s="148">
        <f t="shared" si="2"/>
        <v>0</v>
      </c>
      <c r="HM28" s="148">
        <f t="shared" si="3"/>
        <v>0</v>
      </c>
      <c r="HN28" s="148">
        <f t="shared" si="4"/>
        <v>0</v>
      </c>
      <c r="HO28" s="148">
        <f t="shared" si="5"/>
        <v>0</v>
      </c>
      <c r="HP28" s="148">
        <f t="shared" si="6"/>
        <v>0</v>
      </c>
      <c r="HQ28" s="148">
        <f t="shared" si="7"/>
        <v>0</v>
      </c>
      <c r="HR28" s="147">
        <f t="shared" si="8"/>
        <v>0</v>
      </c>
      <c r="HS28" s="89"/>
      <c r="HU28" s="147">
        <f>$HJ28*HC28/(1+'Key assumptions'!G50)^0.75</f>
        <v>0</v>
      </c>
      <c r="HW28" s="216">
        <f t="shared" si="9"/>
        <v>0</v>
      </c>
      <c r="HX28" s="216">
        <f t="shared" si="10"/>
        <v>0</v>
      </c>
      <c r="HY28" s="216">
        <f t="shared" si="11"/>
        <v>0</v>
      </c>
      <c r="HZ28" s="216">
        <f t="shared" si="12"/>
        <v>0</v>
      </c>
      <c r="IA28" s="216">
        <f t="shared" si="13"/>
        <v>0</v>
      </c>
      <c r="IB28" s="216">
        <f t="shared" si="14"/>
        <v>0</v>
      </c>
      <c r="IC28" s="216">
        <f t="shared" si="15"/>
        <v>0</v>
      </c>
      <c r="ID28" s="216">
        <f t="shared" si="16"/>
        <v>0</v>
      </c>
      <c r="IF28" s="216">
        <f t="shared" si="17"/>
        <v>0</v>
      </c>
    </row>
    <row r="29" spans="2:240" x14ac:dyDescent="0.2">
      <c r="B29" s="141" t="str">
        <v>Project Delivery Management - Project Management</v>
      </c>
      <c r="C29" s="141" t="str">
        <v>Project Engineer - Senior CO (Network Projects)</v>
      </c>
      <c r="D29" s="141" t="str">
        <v>Internal Labour</v>
      </c>
      <c r="E29" s="141" t="str">
        <v>$ Nominal</v>
      </c>
      <c r="F29" s="141" t="str">
        <v>Existing</v>
      </c>
      <c r="G29" s="141" t="str">
        <v>Normal time</v>
      </c>
      <c r="H29" s="142">
        <v>254.01</v>
      </c>
      <c r="I29" s="126">
        <v>117395.59999999999</v>
      </c>
      <c r="J29" s="143">
        <v>0</v>
      </c>
      <c r="K29" s="144">
        <v>0</v>
      </c>
      <c r="L29" s="144">
        <v>0</v>
      </c>
      <c r="M29" s="144">
        <v>0</v>
      </c>
      <c r="N29" s="144">
        <v>0</v>
      </c>
      <c r="O29" s="144">
        <v>0</v>
      </c>
      <c r="P29" s="144">
        <v>0</v>
      </c>
      <c r="Q29" s="144">
        <v>0</v>
      </c>
      <c r="R29" s="144">
        <v>0</v>
      </c>
      <c r="S29" s="144">
        <v>0</v>
      </c>
      <c r="T29" s="144">
        <v>0</v>
      </c>
      <c r="U29" s="144">
        <v>0</v>
      </c>
      <c r="V29" s="144">
        <v>0.73333333333333328</v>
      </c>
      <c r="W29" s="144">
        <v>1.1333333333333333</v>
      </c>
      <c r="X29" s="144">
        <v>1</v>
      </c>
      <c r="Y29" s="144">
        <v>1</v>
      </c>
      <c r="Z29" s="144">
        <v>0</v>
      </c>
      <c r="AA29" s="144">
        <v>0</v>
      </c>
      <c r="AB29" s="144">
        <v>0</v>
      </c>
      <c r="AC29" s="144">
        <v>0</v>
      </c>
      <c r="AD29" s="144">
        <v>0</v>
      </c>
      <c r="AE29" s="144">
        <v>0</v>
      </c>
      <c r="AF29" s="144">
        <v>0</v>
      </c>
      <c r="AG29" s="144">
        <v>0</v>
      </c>
      <c r="AH29" s="144">
        <v>0</v>
      </c>
      <c r="AI29" s="144">
        <v>0</v>
      </c>
      <c r="AJ29" s="144">
        <v>0</v>
      </c>
      <c r="AK29" s="144">
        <v>0</v>
      </c>
      <c r="AL29" s="144">
        <v>0</v>
      </c>
      <c r="AM29" s="144">
        <v>0</v>
      </c>
      <c r="AN29" s="144">
        <v>0</v>
      </c>
      <c r="AO29" s="144">
        <v>0</v>
      </c>
      <c r="AP29" s="144">
        <v>0</v>
      </c>
      <c r="AQ29" s="144">
        <v>0</v>
      </c>
      <c r="AR29" s="144">
        <v>0</v>
      </c>
      <c r="AS29" s="144">
        <v>0</v>
      </c>
      <c r="AT29" s="144">
        <v>0</v>
      </c>
      <c r="AU29" s="144">
        <v>0</v>
      </c>
      <c r="AV29" s="144">
        <v>0</v>
      </c>
      <c r="AW29" s="144">
        <v>0</v>
      </c>
      <c r="AX29" s="144">
        <v>0</v>
      </c>
      <c r="AY29" s="144">
        <v>0</v>
      </c>
      <c r="AZ29" s="144">
        <v>0</v>
      </c>
      <c r="BA29" s="144">
        <v>0</v>
      </c>
      <c r="BB29" s="144">
        <v>0</v>
      </c>
      <c r="BC29" s="144">
        <v>0</v>
      </c>
      <c r="BD29" s="144">
        <v>0</v>
      </c>
      <c r="BE29" s="144">
        <v>0</v>
      </c>
      <c r="BF29" s="144">
        <v>0</v>
      </c>
      <c r="BG29" s="144">
        <v>0</v>
      </c>
      <c r="BH29" s="144">
        <v>0</v>
      </c>
      <c r="BI29" s="144">
        <v>0</v>
      </c>
      <c r="BJ29" s="144">
        <v>0</v>
      </c>
      <c r="BK29" s="144">
        <v>0</v>
      </c>
      <c r="BL29" s="144">
        <v>0</v>
      </c>
      <c r="BM29" s="144">
        <v>0</v>
      </c>
      <c r="BN29" s="144">
        <v>0</v>
      </c>
      <c r="BO29" s="144">
        <v>0</v>
      </c>
      <c r="BP29" s="144">
        <v>0</v>
      </c>
      <c r="BQ29" s="144">
        <v>0</v>
      </c>
      <c r="BR29" s="144">
        <v>0</v>
      </c>
      <c r="BS29" s="144">
        <v>0</v>
      </c>
      <c r="BT29" s="144">
        <v>0</v>
      </c>
      <c r="BU29" s="144">
        <v>0</v>
      </c>
      <c r="BV29" s="144">
        <v>0</v>
      </c>
      <c r="BW29" s="144">
        <v>0</v>
      </c>
      <c r="BX29" s="144">
        <v>0</v>
      </c>
      <c r="BY29" s="144">
        <v>0</v>
      </c>
      <c r="BZ29" s="144">
        <v>0</v>
      </c>
      <c r="CA29" s="144">
        <v>0</v>
      </c>
      <c r="CB29" s="144">
        <v>0</v>
      </c>
      <c r="CC29" s="144">
        <v>0</v>
      </c>
      <c r="CD29" s="144">
        <v>0</v>
      </c>
      <c r="CE29" s="144">
        <v>0</v>
      </c>
      <c r="CF29" s="144">
        <v>0</v>
      </c>
      <c r="CG29" s="144">
        <v>0</v>
      </c>
      <c r="CH29" s="144">
        <v>0</v>
      </c>
      <c r="CI29" s="144">
        <v>0</v>
      </c>
      <c r="CJ29" s="144">
        <v>0</v>
      </c>
      <c r="CK29" s="144">
        <v>0</v>
      </c>
      <c r="CL29" s="144">
        <v>0</v>
      </c>
      <c r="CM29" s="144">
        <v>0</v>
      </c>
      <c r="CN29" s="144">
        <v>0</v>
      </c>
      <c r="CO29" s="144">
        <v>0</v>
      </c>
      <c r="CP29" s="144">
        <v>0</v>
      </c>
      <c r="CQ29" s="143">
        <v>0</v>
      </c>
      <c r="CR29" s="145">
        <v>0</v>
      </c>
      <c r="CS29" s="145">
        <v>0</v>
      </c>
      <c r="CT29" s="145">
        <v>0</v>
      </c>
      <c r="CU29" s="145">
        <v>0</v>
      </c>
      <c r="CV29" s="145">
        <v>0</v>
      </c>
      <c r="CW29" s="145">
        <v>0</v>
      </c>
      <c r="CX29" s="145">
        <v>0</v>
      </c>
      <c r="CY29" s="145">
        <v>0</v>
      </c>
      <c r="CZ29" s="145">
        <v>0</v>
      </c>
      <c r="DA29" s="145">
        <v>0</v>
      </c>
      <c r="DB29" s="145">
        <v>0</v>
      </c>
      <c r="DC29" s="145">
        <v>18990.399999999998</v>
      </c>
      <c r="DD29" s="145">
        <v>29348.800000000007</v>
      </c>
      <c r="DE29" s="145">
        <v>34528.199999999997</v>
      </c>
      <c r="DF29" s="145">
        <v>34528.199999999997</v>
      </c>
      <c r="DG29" s="145">
        <v>0</v>
      </c>
      <c r="DH29" s="145">
        <v>0</v>
      </c>
      <c r="DI29" s="145">
        <v>0</v>
      </c>
      <c r="DJ29" s="145">
        <v>0</v>
      </c>
      <c r="DK29" s="145">
        <v>0</v>
      </c>
      <c r="DL29" s="145">
        <v>0</v>
      </c>
      <c r="DM29" s="145">
        <v>0</v>
      </c>
      <c r="DN29" s="145">
        <v>0</v>
      </c>
      <c r="DO29" s="145">
        <v>0</v>
      </c>
      <c r="DP29" s="145">
        <v>0</v>
      </c>
      <c r="DQ29" s="145">
        <v>0</v>
      </c>
      <c r="DR29" s="145">
        <v>0</v>
      </c>
      <c r="DS29" s="145">
        <v>0</v>
      </c>
      <c r="DT29" s="145">
        <v>0</v>
      </c>
      <c r="DU29" s="145">
        <v>0</v>
      </c>
      <c r="DV29" s="145">
        <v>0</v>
      </c>
      <c r="DW29" s="145">
        <v>0</v>
      </c>
      <c r="DX29" s="145">
        <v>0</v>
      </c>
      <c r="DY29" s="145">
        <v>0</v>
      </c>
      <c r="DZ29" s="145">
        <v>0</v>
      </c>
      <c r="EA29" s="145">
        <v>0</v>
      </c>
      <c r="EB29" s="145">
        <v>0</v>
      </c>
      <c r="EC29" s="145">
        <v>0</v>
      </c>
      <c r="ED29" s="145">
        <v>0</v>
      </c>
      <c r="EE29" s="145">
        <v>0</v>
      </c>
      <c r="EF29" s="145">
        <v>0</v>
      </c>
      <c r="EG29" s="145">
        <v>0</v>
      </c>
      <c r="EH29" s="145">
        <v>0</v>
      </c>
      <c r="EI29" s="145">
        <v>0</v>
      </c>
      <c r="EJ29" s="145">
        <v>0</v>
      </c>
      <c r="EK29" s="145">
        <v>0</v>
      </c>
      <c r="EL29" s="145">
        <v>0</v>
      </c>
      <c r="EM29" s="145">
        <v>0</v>
      </c>
      <c r="EN29" s="145">
        <v>0</v>
      </c>
      <c r="EO29" s="145">
        <v>0</v>
      </c>
      <c r="EP29" s="145">
        <v>0</v>
      </c>
      <c r="EQ29" s="145">
        <v>0</v>
      </c>
      <c r="ER29" s="145">
        <v>0</v>
      </c>
      <c r="ES29" s="145">
        <v>0</v>
      </c>
      <c r="ET29" s="145">
        <v>0</v>
      </c>
      <c r="EU29" s="145">
        <v>0</v>
      </c>
      <c r="EV29" s="145">
        <v>0</v>
      </c>
      <c r="EW29" s="145">
        <v>0</v>
      </c>
      <c r="EX29" s="145">
        <v>0</v>
      </c>
      <c r="EY29" s="145">
        <v>0</v>
      </c>
      <c r="EZ29" s="145">
        <v>0</v>
      </c>
      <c r="FA29" s="145">
        <v>0</v>
      </c>
      <c r="FB29" s="145">
        <v>0</v>
      </c>
      <c r="FC29" s="145">
        <v>0</v>
      </c>
      <c r="FD29" s="145">
        <v>0</v>
      </c>
      <c r="FE29" s="145">
        <v>0</v>
      </c>
      <c r="FF29" s="145">
        <v>0</v>
      </c>
      <c r="FG29" s="145">
        <v>0</v>
      </c>
      <c r="FH29" s="145">
        <v>0</v>
      </c>
      <c r="FI29" s="145">
        <v>0</v>
      </c>
      <c r="FJ29" s="145">
        <v>0</v>
      </c>
      <c r="FK29" s="145">
        <v>0</v>
      </c>
      <c r="FL29" s="145">
        <v>0</v>
      </c>
      <c r="FM29" s="145">
        <v>0</v>
      </c>
      <c r="FN29" s="145">
        <v>0</v>
      </c>
      <c r="FO29" s="145">
        <v>0</v>
      </c>
      <c r="FP29" s="145">
        <v>0</v>
      </c>
      <c r="FQ29" s="145">
        <v>0</v>
      </c>
      <c r="FR29" s="145">
        <v>0</v>
      </c>
      <c r="FS29" s="145">
        <v>0</v>
      </c>
      <c r="FT29" s="145">
        <v>0</v>
      </c>
      <c r="FU29" s="145">
        <v>0</v>
      </c>
      <c r="FV29" s="145">
        <v>0</v>
      </c>
      <c r="FW29" s="145">
        <v>0</v>
      </c>
      <c r="FX29" s="143"/>
      <c r="FY29" s="146" t="str">
        <f>_xlfn.XLOOKUP($E29,'Key assumptions'!$B$112:$B$120,'Key assumptions'!$C$112:$C$120,0)</f>
        <v>Nominal</v>
      </c>
      <c r="FZ29" s="146" cm="1">
        <f t="array" ref="FZ29">IF($FY29=0,0,_xlfn.IFS($FY29='Key assumptions'!$C$120,_xlfn.XLOOKUP(LEFT(FZ$7,6),Inflation_Year,Inflation_NominaltoReal),TRUE,_xlfn.XLOOKUP($FY29,Inflation_Year,NominaltoReal)))</f>
        <v>1.0197075870962191</v>
      </c>
      <c r="GA29" s="146" cm="1">
        <f t="array" ref="GA29">IF($FY29=0,0,_xlfn.IFS($FY29='Key assumptions'!$C$120,_xlfn.XLOOKUP(LEFT(GA$7,6),Inflation_Year,Inflation_NominaltoReal),TRUE,_xlfn.XLOOKUP($FY29,Inflation_Year,NominaltoReal)))</f>
        <v>0.98700804022984445</v>
      </c>
      <c r="GB29" s="146" cm="1">
        <f t="array" ref="GB29">IF($FY29=0,0,_xlfn.IFS($FY29='Key assumptions'!$C$120,_xlfn.XLOOKUP(LEFT(GB$7,6),Inflation_Year,Inflation_NominaltoReal),TRUE,_xlfn.XLOOKUP($FY29,Inflation_Year,NominaltoReal)))</f>
        <v>0.96152830081941731</v>
      </c>
      <c r="GC29" s="146" cm="1">
        <f t="array" ref="GC29">IF($FY29=0,0,_xlfn.IFS($FY29='Key assumptions'!$C$120,_xlfn.XLOOKUP(LEFT(GC$7,6),Inflation_Year,Inflation_NominaltoReal),TRUE,_xlfn.XLOOKUP($FY29,Inflation_Year,NominaltoReal)))</f>
        <v>0.93670632415656829</v>
      </c>
      <c r="GD29" s="146" cm="1">
        <f t="array" ref="GD29">IF($FY29=0,0,_xlfn.IFS($FY29='Key assumptions'!$C$120,_xlfn.XLOOKUP(LEFT(GD$7,6),Inflation_Year,Inflation_NominaltoReal),TRUE,_xlfn.XLOOKUP($FY29,Inflation_Year,NominaltoReal)))</f>
        <v>0.91252513001143176</v>
      </c>
      <c r="GE29" s="146" cm="1">
        <f t="array" ref="GE29">IF($FY29=0,0,_xlfn.IFS($FY29='Key assumptions'!$C$120,_xlfn.XLOOKUP(LEFT(GE$7,6),Inflation_Year,Inflation_NominaltoReal),TRUE,_xlfn.XLOOKUP($FY29,Inflation_Year,NominaltoReal)))</f>
        <v>0.88896817650095872</v>
      </c>
      <c r="GF29" s="146" cm="1">
        <f t="array" ref="GF29">IF($FY29=0,0,_xlfn.IFS($FY29='Key assumptions'!$C$120,_xlfn.XLOOKUP(LEFT(GF$7,6),Inflation_Year,Inflation_NominaltoReal),TRUE,_xlfn.XLOOKUP($FY29,Inflation_Year,NominaltoReal)))</f>
        <v>0.86601934877293718</v>
      </c>
      <c r="GG29" s="143"/>
      <c r="GH29" s="145" cm="1">
        <f t="array" ref="GH29">SUMPRODUCT(--($CR$7:$FW$7&gt;=GH$5),--($CR$7:$FW$7&lt;=GH$6),$CR29:$FW29)*FZ29</f>
        <v>70417.335017551333</v>
      </c>
      <c r="GI29" s="145" cm="1">
        <f t="array" ref="GI29">SUMPRODUCT(--($CR$7:$FW$7&gt;=GI$5),--($CR$7:$FW$7&lt;=GI$6),$CR29:$FW29)*GA29</f>
        <v>0</v>
      </c>
      <c r="GJ29" s="145" cm="1">
        <f t="array" ref="GJ29">SUMPRODUCT(--($CR$7:$FW$7&gt;=GJ$5),--($CR$7:$FW$7&lt;=GJ$6),$CR29:$FW29)*GB29</f>
        <v>0</v>
      </c>
      <c r="GK29" s="145" cm="1">
        <f t="array" ref="GK29">SUMPRODUCT(--($CR$7:$FW$7&gt;=GK$5),--($CR$7:$FW$7&lt;=GK$6),$CR29:$FW29)*GC29</f>
        <v>0</v>
      </c>
      <c r="GL29" s="145" cm="1">
        <f t="array" ref="GL29">SUMPRODUCT(--($CR$7:$FW$7&gt;=GL$5),--($CR$7:$FW$7&lt;=GL$6),$CR29:$FW29)*GD29</f>
        <v>0</v>
      </c>
      <c r="GM29" s="145" cm="1">
        <f t="array" ref="GM29">SUMPRODUCT(--($CR$7:$FW$7&gt;=GM$5),--($CR$7:$FW$7&lt;=GM$6),$CR29:$FW29)*GE29</f>
        <v>0</v>
      </c>
      <c r="GN29" s="145" cm="1">
        <f t="array" ref="GN29">SUMPRODUCT(--($CR$7:$FW$7&gt;=GN$5),--($CR$7:$FW$7&lt;=GN$6),$CR29:$FW29)*GF29</f>
        <v>0</v>
      </c>
      <c r="GO29" s="145">
        <f t="shared" si="18"/>
        <v>70417.335017551333</v>
      </c>
      <c r="GP29" s="87"/>
      <c r="GQ29" s="89"/>
      <c r="GR29" s="145" cm="1">
        <f t="array" ref="GR29">SUMPRODUCT(--($CR$7:$FW$7&gt;=GR$5),--($CR$7:$FW$7&lt;=GR$6),$CR29:$FW29)</f>
        <v>69056.399999999994</v>
      </c>
      <c r="GS29" s="89"/>
      <c r="GT29" s="214" cm="1">
        <f t="array" ref="GT29">--AND(MIN(IF($K29:$CP29&lt;&gt;0,$K$7:$CP$7))&gt;=GT$5,MIN(IF($K29:$CP29&lt;&gt;0,$K$7:$CP$7))&lt;=GT$6)</f>
        <v>0</v>
      </c>
      <c r="GU29" s="214" cm="1">
        <f t="array" ref="GU29">--AND(MIN(IF($K29:$CP29&lt;&gt;0,$K$7:$CP$7))&gt;=GU$5,MIN(IF($K29:$CP29&lt;&gt;0,$K$7:$CP$7))&lt;=GU$6)</f>
        <v>0</v>
      </c>
      <c r="GV29" s="214" cm="1">
        <f t="array" ref="GV29">--AND(MIN(IF($K29:$CP29&lt;&gt;0,$K$7:$CP$7))&gt;=GV$5,MIN(IF($K29:$CP29&lt;&gt;0,$K$7:$CP$7))&lt;=GV$6)</f>
        <v>0</v>
      </c>
      <c r="GW29" s="214" cm="1">
        <f t="array" ref="GW29">--AND(MIN(IF($K29:$CP29&lt;&gt;0,$K$7:$CP$7))&gt;=GW$5,MIN(IF($K29:$CP29&lt;&gt;0,$K$7:$CP$7))&lt;=GW$6)</f>
        <v>0</v>
      </c>
      <c r="GX29" s="214" cm="1">
        <f t="array" ref="GX29">--AND(MIN(IF($K29:$CP29&lt;&gt;0,$K$7:$CP$7))&gt;=GX$5,MIN(IF($K29:$CP29&lt;&gt;0,$K$7:$CP$7))&lt;=GX$6)</f>
        <v>0</v>
      </c>
      <c r="GY29" s="214" cm="1">
        <f t="array" ref="GY29">--AND(MIN(IF($K29:$CP29&lt;&gt;0,$K$7:$CP$7))&gt;=GY$5,MIN(IF($K29:$CP29&lt;&gt;0,$K$7:$CP$7))&lt;=GY$6)</f>
        <v>0</v>
      </c>
      <c r="GZ29" s="214" cm="1">
        <f t="array" ref="GZ29">--AND(MIN(IF($K29:$CP29&lt;&gt;0,$K$7:$CP$7))&gt;=GZ$5,MIN(IF($K29:$CP29&lt;&gt;0,$K$7:$CP$7))&lt;=GZ$6)</f>
        <v>0</v>
      </c>
      <c r="HA29" s="214">
        <f t="shared" si="0"/>
        <v>0</v>
      </c>
      <c r="HC29" s="214" cm="1">
        <f t="array" ref="HC29">--AND(MIN(IF($K29:$CP29&lt;&gt;0,$K$7:$CP$7))&gt;=HC$5,MIN(IF($K29:$CP29&lt;&gt;0,$K$7:$CP$7))&lt;=HC$6)</f>
        <v>0</v>
      </c>
      <c r="HE29" s="147" t="str">
        <f t="shared" si="19"/>
        <v>No</v>
      </c>
      <c r="HF29" s="147" t="str">
        <f t="shared" si="20"/>
        <v>No</v>
      </c>
      <c r="HG29" s="147">
        <f>IF($HF29="Yes",0,$H29*avg_hrs*12*'Key assumptions'!$D$87)</f>
        <v>454238.21110356261</v>
      </c>
      <c r="HH29" s="147">
        <f>IF(HE29="Yes",'Key assumptions'!$D$84*HG29,0)</f>
        <v>0</v>
      </c>
      <c r="HI29" s="144">
        <f>IFERROR(AVERAGEIFS($K29:$CP29,$K$7:$CP$7,"&gt;="&amp;'Key assumptions'!$D$24,$K$7:$CP$7,"&lt;="&amp;'Key assumptions'!$D$25),0)</f>
        <v>4.5454545454545456E-2</v>
      </c>
      <c r="HJ29" s="148">
        <f t="shared" si="21"/>
        <v>0</v>
      </c>
      <c r="HK29" s="148">
        <f t="shared" si="1"/>
        <v>0</v>
      </c>
      <c r="HL29" s="148">
        <f t="shared" si="2"/>
        <v>0</v>
      </c>
      <c r="HM29" s="148">
        <f t="shared" si="3"/>
        <v>0</v>
      </c>
      <c r="HN29" s="148">
        <f t="shared" si="4"/>
        <v>0</v>
      </c>
      <c r="HO29" s="148">
        <f t="shared" si="5"/>
        <v>0</v>
      </c>
      <c r="HP29" s="148">
        <f t="shared" si="6"/>
        <v>0</v>
      </c>
      <c r="HQ29" s="148">
        <f t="shared" si="7"/>
        <v>0</v>
      </c>
      <c r="HR29" s="147">
        <f t="shared" si="8"/>
        <v>0</v>
      </c>
      <c r="HS29" s="89"/>
      <c r="HU29" s="147">
        <f>$HJ29*HC29/(1+'Key assumptions'!G51)^0.75</f>
        <v>0</v>
      </c>
      <c r="HW29" s="216">
        <f t="shared" si="9"/>
        <v>0</v>
      </c>
      <c r="HX29" s="216">
        <f t="shared" si="10"/>
        <v>0</v>
      </c>
      <c r="HY29" s="216">
        <f t="shared" si="11"/>
        <v>0</v>
      </c>
      <c r="HZ29" s="216">
        <f t="shared" si="12"/>
        <v>0</v>
      </c>
      <c r="IA29" s="216">
        <f t="shared" si="13"/>
        <v>0</v>
      </c>
      <c r="IB29" s="216">
        <f t="shared" si="14"/>
        <v>0</v>
      </c>
      <c r="IC29" s="216">
        <f t="shared" si="15"/>
        <v>0</v>
      </c>
      <c r="ID29" s="216">
        <f t="shared" si="16"/>
        <v>0</v>
      </c>
      <c r="IF29" s="216">
        <f t="shared" si="17"/>
        <v>0</v>
      </c>
    </row>
    <row r="30" spans="2:240" x14ac:dyDescent="0.2">
      <c r="B30" s="141" t="str">
        <v>Project Delivery Management - Project Management</v>
      </c>
      <c r="C30" s="141" t="str">
        <v>Graduate (Network Projects)</v>
      </c>
      <c r="D30" s="141" t="str">
        <v>Internal Labour</v>
      </c>
      <c r="E30" s="141" t="str">
        <v>$ Nominal</v>
      </c>
      <c r="F30" s="141" t="str">
        <v>Existing</v>
      </c>
      <c r="G30" s="141" t="str">
        <v>Normal time</v>
      </c>
      <c r="H30" s="142">
        <v>126.48</v>
      </c>
      <c r="I30" s="126">
        <v>654236.25999999989</v>
      </c>
      <c r="J30" s="143">
        <v>0</v>
      </c>
      <c r="K30" s="144">
        <v>0</v>
      </c>
      <c r="L30" s="144">
        <v>0</v>
      </c>
      <c r="M30" s="144">
        <v>0</v>
      </c>
      <c r="N30" s="144">
        <v>0</v>
      </c>
      <c r="O30" s="144">
        <v>0</v>
      </c>
      <c r="P30" s="144">
        <v>0</v>
      </c>
      <c r="Q30" s="144">
        <v>0</v>
      </c>
      <c r="R30" s="144">
        <v>0</v>
      </c>
      <c r="S30" s="144">
        <v>0</v>
      </c>
      <c r="T30" s="144">
        <v>0</v>
      </c>
      <c r="U30" s="144">
        <v>0</v>
      </c>
      <c r="V30" s="144">
        <v>0</v>
      </c>
      <c r="W30" s="144">
        <v>0.44457142857142851</v>
      </c>
      <c r="X30" s="144">
        <v>1</v>
      </c>
      <c r="Y30" s="144">
        <v>1</v>
      </c>
      <c r="Z30" s="144">
        <v>1</v>
      </c>
      <c r="AA30" s="144">
        <v>0.92105263157894735</v>
      </c>
      <c r="AB30" s="144">
        <v>0.92105263157894735</v>
      </c>
      <c r="AC30" s="144">
        <v>1</v>
      </c>
      <c r="AD30" s="144">
        <v>1</v>
      </c>
      <c r="AE30" s="144">
        <v>1</v>
      </c>
      <c r="AF30" s="144">
        <v>1</v>
      </c>
      <c r="AG30" s="144">
        <v>1</v>
      </c>
      <c r="AH30" s="144">
        <v>1</v>
      </c>
      <c r="AI30" s="144">
        <v>1</v>
      </c>
      <c r="AJ30" s="144">
        <v>1</v>
      </c>
      <c r="AK30" s="144">
        <v>1</v>
      </c>
      <c r="AL30" s="144">
        <v>1</v>
      </c>
      <c r="AM30" s="144">
        <v>1</v>
      </c>
      <c r="AN30" s="144">
        <v>1</v>
      </c>
      <c r="AO30" s="144">
        <v>1</v>
      </c>
      <c r="AP30" s="144">
        <v>1</v>
      </c>
      <c r="AQ30" s="144">
        <v>1</v>
      </c>
      <c r="AR30" s="144">
        <v>1</v>
      </c>
      <c r="AS30" s="144">
        <v>1</v>
      </c>
      <c r="AT30" s="144">
        <v>1</v>
      </c>
      <c r="AU30" s="144">
        <v>1</v>
      </c>
      <c r="AV30" s="144">
        <v>1</v>
      </c>
      <c r="AW30" s="144">
        <v>1</v>
      </c>
      <c r="AX30" s="144">
        <v>1</v>
      </c>
      <c r="AY30" s="144">
        <v>1</v>
      </c>
      <c r="AZ30" s="144">
        <v>1</v>
      </c>
      <c r="BA30" s="144">
        <v>1</v>
      </c>
      <c r="BB30" s="144">
        <v>1</v>
      </c>
      <c r="BC30" s="144">
        <v>1</v>
      </c>
      <c r="BD30" s="144">
        <v>1</v>
      </c>
      <c r="BE30" s="144">
        <v>1</v>
      </c>
      <c r="BF30" s="144">
        <v>1.3333333333333333</v>
      </c>
      <c r="BG30" s="144">
        <v>1.3333333333333333</v>
      </c>
      <c r="BH30" s="144">
        <v>1</v>
      </c>
      <c r="BI30" s="144">
        <v>0</v>
      </c>
      <c r="BJ30" s="144">
        <v>0</v>
      </c>
      <c r="BK30" s="144">
        <v>0</v>
      </c>
      <c r="BL30" s="144">
        <v>0</v>
      </c>
      <c r="BM30" s="144">
        <v>0</v>
      </c>
      <c r="BN30" s="144">
        <v>0</v>
      </c>
      <c r="BO30" s="144">
        <v>0</v>
      </c>
      <c r="BP30" s="144">
        <v>0</v>
      </c>
      <c r="BQ30" s="144">
        <v>0</v>
      </c>
      <c r="BR30" s="144">
        <v>0</v>
      </c>
      <c r="BS30" s="144">
        <v>0</v>
      </c>
      <c r="BT30" s="144">
        <v>0</v>
      </c>
      <c r="BU30" s="144">
        <v>0</v>
      </c>
      <c r="BV30" s="144">
        <v>0</v>
      </c>
      <c r="BW30" s="144">
        <v>0</v>
      </c>
      <c r="BX30" s="144">
        <v>0</v>
      </c>
      <c r="BY30" s="144">
        <v>0</v>
      </c>
      <c r="BZ30" s="144">
        <v>0</v>
      </c>
      <c r="CA30" s="144">
        <v>0</v>
      </c>
      <c r="CB30" s="144">
        <v>0</v>
      </c>
      <c r="CC30" s="144">
        <v>0</v>
      </c>
      <c r="CD30" s="144">
        <v>0</v>
      </c>
      <c r="CE30" s="144">
        <v>0</v>
      </c>
      <c r="CF30" s="144">
        <v>0</v>
      </c>
      <c r="CG30" s="144">
        <v>0</v>
      </c>
      <c r="CH30" s="144">
        <v>0</v>
      </c>
      <c r="CI30" s="144">
        <v>0</v>
      </c>
      <c r="CJ30" s="144">
        <v>0</v>
      </c>
      <c r="CK30" s="144">
        <v>0</v>
      </c>
      <c r="CL30" s="144">
        <v>0</v>
      </c>
      <c r="CM30" s="144">
        <v>0</v>
      </c>
      <c r="CN30" s="144">
        <v>0</v>
      </c>
      <c r="CO30" s="144">
        <v>0</v>
      </c>
      <c r="CP30" s="144">
        <v>0</v>
      </c>
      <c r="CQ30" s="143">
        <v>0</v>
      </c>
      <c r="CR30" s="145">
        <v>0</v>
      </c>
      <c r="CS30" s="145">
        <v>0</v>
      </c>
      <c r="CT30" s="145">
        <v>0</v>
      </c>
      <c r="CU30" s="145">
        <v>0</v>
      </c>
      <c r="CV30" s="145">
        <v>0</v>
      </c>
      <c r="CW30" s="145">
        <v>0</v>
      </c>
      <c r="CX30" s="145">
        <v>0</v>
      </c>
      <c r="CY30" s="145">
        <v>0</v>
      </c>
      <c r="CZ30" s="145">
        <v>0</v>
      </c>
      <c r="DA30" s="145">
        <v>0</v>
      </c>
      <c r="DB30" s="145">
        <v>0</v>
      </c>
      <c r="DC30" s="145">
        <v>0</v>
      </c>
      <c r="DD30" s="145">
        <v>5635.8600000000024</v>
      </c>
      <c r="DE30" s="145">
        <v>16902.2</v>
      </c>
      <c r="DF30" s="145">
        <v>17707.2</v>
      </c>
      <c r="DG30" s="145">
        <v>13280.4</v>
      </c>
      <c r="DH30" s="145">
        <v>17707.2</v>
      </c>
      <c r="DI30" s="145">
        <v>17707.2</v>
      </c>
      <c r="DJ30" s="145">
        <v>17707.2</v>
      </c>
      <c r="DK30" s="145">
        <v>17707.2</v>
      </c>
      <c r="DL30" s="145">
        <v>17707.2</v>
      </c>
      <c r="DM30" s="145">
        <v>17707.2</v>
      </c>
      <c r="DN30" s="145">
        <v>17707.2</v>
      </c>
      <c r="DO30" s="145">
        <v>13280.4</v>
      </c>
      <c r="DP30" s="145">
        <v>13280.4</v>
      </c>
      <c r="DQ30" s="145">
        <v>17707.2</v>
      </c>
      <c r="DR30" s="145">
        <v>18250.400000000001</v>
      </c>
      <c r="DS30" s="145">
        <v>13687.800000000001</v>
      </c>
      <c r="DT30" s="145">
        <v>19814.72</v>
      </c>
      <c r="DU30" s="145">
        <v>19814.72</v>
      </c>
      <c r="DV30" s="145">
        <v>18250.400000000001</v>
      </c>
      <c r="DW30" s="145">
        <v>18250.400000000001</v>
      </c>
      <c r="DX30" s="145">
        <v>18250.400000000001</v>
      </c>
      <c r="DY30" s="145">
        <v>18250.400000000001</v>
      </c>
      <c r="DZ30" s="145">
        <v>18250.400000000001</v>
      </c>
      <c r="EA30" s="145">
        <v>13687.800000000001</v>
      </c>
      <c r="EB30" s="145">
        <v>13687.800000000001</v>
      </c>
      <c r="EC30" s="145">
        <v>18250.400000000001</v>
      </c>
      <c r="ED30" s="145">
        <v>18793.600000000002</v>
      </c>
      <c r="EE30" s="145">
        <v>14095.2</v>
      </c>
      <c r="EF30" s="145">
        <v>20404.480000000003</v>
      </c>
      <c r="EG30" s="145">
        <v>20404.480000000003</v>
      </c>
      <c r="EH30" s="145">
        <v>18793.600000000002</v>
      </c>
      <c r="EI30" s="145">
        <v>18793.600000000002</v>
      </c>
      <c r="EJ30" s="145">
        <v>18793.600000000002</v>
      </c>
      <c r="EK30" s="145">
        <v>18793.600000000002</v>
      </c>
      <c r="EL30" s="145">
        <v>18793.600000000002</v>
      </c>
      <c r="EM30" s="145">
        <v>18793.600000000002</v>
      </c>
      <c r="EN30" s="145">
        <v>18793.600000000002</v>
      </c>
      <c r="EO30" s="145">
        <v>18793.600000000002</v>
      </c>
      <c r="EP30" s="145">
        <v>0</v>
      </c>
      <c r="EQ30" s="145">
        <v>0</v>
      </c>
      <c r="ER30" s="145">
        <v>0</v>
      </c>
      <c r="ES30" s="145">
        <v>0</v>
      </c>
      <c r="ET30" s="145">
        <v>0</v>
      </c>
      <c r="EU30" s="145">
        <v>0</v>
      </c>
      <c r="EV30" s="145">
        <v>0</v>
      </c>
      <c r="EW30" s="145">
        <v>0</v>
      </c>
      <c r="EX30" s="145">
        <v>0</v>
      </c>
      <c r="EY30" s="145">
        <v>0</v>
      </c>
      <c r="EZ30" s="145">
        <v>0</v>
      </c>
      <c r="FA30" s="145">
        <v>0</v>
      </c>
      <c r="FB30" s="145">
        <v>0</v>
      </c>
      <c r="FC30" s="145">
        <v>0</v>
      </c>
      <c r="FD30" s="145">
        <v>0</v>
      </c>
      <c r="FE30" s="145">
        <v>0</v>
      </c>
      <c r="FF30" s="145">
        <v>0</v>
      </c>
      <c r="FG30" s="145">
        <v>0</v>
      </c>
      <c r="FH30" s="145">
        <v>0</v>
      </c>
      <c r="FI30" s="145">
        <v>0</v>
      </c>
      <c r="FJ30" s="145">
        <v>0</v>
      </c>
      <c r="FK30" s="145">
        <v>0</v>
      </c>
      <c r="FL30" s="145">
        <v>0</v>
      </c>
      <c r="FM30" s="145">
        <v>0</v>
      </c>
      <c r="FN30" s="145">
        <v>0</v>
      </c>
      <c r="FO30" s="145">
        <v>0</v>
      </c>
      <c r="FP30" s="145">
        <v>0</v>
      </c>
      <c r="FQ30" s="145">
        <v>0</v>
      </c>
      <c r="FR30" s="145">
        <v>0</v>
      </c>
      <c r="FS30" s="145">
        <v>0</v>
      </c>
      <c r="FT30" s="145">
        <v>0</v>
      </c>
      <c r="FU30" s="145">
        <v>0</v>
      </c>
      <c r="FV30" s="145">
        <v>0</v>
      </c>
      <c r="FW30" s="145">
        <v>0</v>
      </c>
      <c r="FX30" s="143"/>
      <c r="FY30" s="146" t="str">
        <f>_xlfn.XLOOKUP($E30,'Key assumptions'!$B$112:$B$120,'Key assumptions'!$C$112:$C$120,0)</f>
        <v>Nominal</v>
      </c>
      <c r="FZ30" s="146" cm="1">
        <f t="array" ref="FZ30">IF($FY30=0,0,_xlfn.IFS($FY30='Key assumptions'!$C$120,_xlfn.XLOOKUP(LEFT(FZ$7,6),Inflation_Year,Inflation_NominaltoReal),TRUE,_xlfn.XLOOKUP($FY30,Inflation_Year,NominaltoReal)))</f>
        <v>1.0197075870962191</v>
      </c>
      <c r="GA30" s="146" cm="1">
        <f t="array" ref="GA30">IF($FY30=0,0,_xlfn.IFS($FY30='Key assumptions'!$C$120,_xlfn.XLOOKUP(LEFT(GA$7,6),Inflation_Year,Inflation_NominaltoReal),TRUE,_xlfn.XLOOKUP($FY30,Inflation_Year,NominaltoReal)))</f>
        <v>0.98700804022984445</v>
      </c>
      <c r="GB30" s="146" cm="1">
        <f t="array" ref="GB30">IF($FY30=0,0,_xlfn.IFS($FY30='Key assumptions'!$C$120,_xlfn.XLOOKUP(LEFT(GB$7,6),Inflation_Year,Inflation_NominaltoReal),TRUE,_xlfn.XLOOKUP($FY30,Inflation_Year,NominaltoReal)))</f>
        <v>0.96152830081941731</v>
      </c>
      <c r="GC30" s="146" cm="1">
        <f t="array" ref="GC30">IF($FY30=0,0,_xlfn.IFS($FY30='Key assumptions'!$C$120,_xlfn.XLOOKUP(LEFT(GC$7,6),Inflation_Year,Inflation_NominaltoReal),TRUE,_xlfn.XLOOKUP($FY30,Inflation_Year,NominaltoReal)))</f>
        <v>0.93670632415656829</v>
      </c>
      <c r="GD30" s="146" cm="1">
        <f t="array" ref="GD30">IF($FY30=0,0,_xlfn.IFS($FY30='Key assumptions'!$C$120,_xlfn.XLOOKUP(LEFT(GD$7,6),Inflation_Year,Inflation_NominaltoReal),TRUE,_xlfn.XLOOKUP($FY30,Inflation_Year,NominaltoReal)))</f>
        <v>0.91252513001143176</v>
      </c>
      <c r="GE30" s="146" cm="1">
        <f t="array" ref="GE30">IF($FY30=0,0,_xlfn.IFS($FY30='Key assumptions'!$C$120,_xlfn.XLOOKUP(LEFT(GE$7,6),Inflation_Year,Inflation_NominaltoReal),TRUE,_xlfn.XLOOKUP($FY30,Inflation_Year,NominaltoReal)))</f>
        <v>0.88896817650095872</v>
      </c>
      <c r="GF30" s="146" cm="1">
        <f t="array" ref="GF30">IF($FY30=0,0,_xlfn.IFS($FY30='Key assumptions'!$C$120,_xlfn.XLOOKUP(LEFT(GF$7,6),Inflation_Year,Inflation_NominaltoReal),TRUE,_xlfn.XLOOKUP($FY30,Inflation_Year,NominaltoReal)))</f>
        <v>0.86601934877293718</v>
      </c>
      <c r="GG30" s="143"/>
      <c r="GH30" s="145" cm="1">
        <f t="array" ref="GH30">SUMPRODUCT(--($CR$7:$FW$7&gt;=GH$5),--($CR$7:$FW$7&lt;=GH$6),$CR30:$FW30)*FZ30</f>
        <v>139114.42333567137</v>
      </c>
      <c r="GI30" s="145" cm="1">
        <f t="array" ref="GI30">SUMPRODUCT(--($CR$7:$FW$7&gt;=GI$5),--($CR$7:$FW$7&lt;=GI$6),$CR30:$FW30)*GA30</f>
        <v>203324.88017731783</v>
      </c>
      <c r="GJ30" s="145" cm="1">
        <f t="array" ref="GJ30">SUMPRODUCT(--($CR$7:$FW$7&gt;=GJ$5),--($CR$7:$FW$7&lt;=GJ$6),$CR30:$FW30)*GB30</f>
        <v>204041.45922557279</v>
      </c>
      <c r="GK30" s="145" cm="1">
        <f t="array" ref="GK30">SUMPRODUCT(--($CR$7:$FW$7&gt;=GK$5),--($CR$7:$FW$7&lt;=GK$6),$CR30:$FW30)*GC30</f>
        <v>88020.419868344427</v>
      </c>
      <c r="GL30" s="145" cm="1">
        <f t="array" ref="GL30">SUMPRODUCT(--($CR$7:$FW$7&gt;=GL$5),--($CR$7:$FW$7&lt;=GL$6),$CR30:$FW30)*GD30</f>
        <v>0</v>
      </c>
      <c r="GM30" s="145" cm="1">
        <f t="array" ref="GM30">SUMPRODUCT(--($CR$7:$FW$7&gt;=GM$5),--($CR$7:$FW$7&lt;=GM$6),$CR30:$FW30)*GE30</f>
        <v>0</v>
      </c>
      <c r="GN30" s="145" cm="1">
        <f t="array" ref="GN30">SUMPRODUCT(--($CR$7:$FW$7&gt;=GN$5),--($CR$7:$FW$7&lt;=GN$6),$CR30:$FW30)*GF30</f>
        <v>0</v>
      </c>
      <c r="GO30" s="145">
        <f t="shared" si="18"/>
        <v>634501.1826069064</v>
      </c>
      <c r="GP30" s="87"/>
      <c r="GQ30" s="89"/>
      <c r="GR30" s="145" cm="1">
        <f t="array" ref="GR30">SUMPRODUCT(--($CR$7:$FW$7&gt;=GR$5),--($CR$7:$FW$7&lt;=GR$6),$CR30:$FW30)</f>
        <v>83304.2</v>
      </c>
      <c r="GS30" s="89"/>
      <c r="GT30" s="214" cm="1">
        <f t="array" ref="GT30">--AND(MIN(IF($K30:$CP30&lt;&gt;0,$K$7:$CP$7))&gt;=GT$5,MIN(IF($K30:$CP30&lt;&gt;0,$K$7:$CP$7))&lt;=GT$6)</f>
        <v>0</v>
      </c>
      <c r="GU30" s="214" cm="1">
        <f t="array" ref="GU30">--AND(MIN(IF($K30:$CP30&lt;&gt;0,$K$7:$CP$7))&gt;=GU$5,MIN(IF($K30:$CP30&lt;&gt;0,$K$7:$CP$7))&lt;=GU$6)</f>
        <v>0</v>
      </c>
      <c r="GV30" s="214" cm="1">
        <f t="array" ref="GV30">--AND(MIN(IF($K30:$CP30&lt;&gt;0,$K$7:$CP$7))&gt;=GV$5,MIN(IF($K30:$CP30&lt;&gt;0,$K$7:$CP$7))&lt;=GV$6)</f>
        <v>0</v>
      </c>
      <c r="GW30" s="214" cm="1">
        <f t="array" ref="GW30">--AND(MIN(IF($K30:$CP30&lt;&gt;0,$K$7:$CP$7))&gt;=GW$5,MIN(IF($K30:$CP30&lt;&gt;0,$K$7:$CP$7))&lt;=GW$6)</f>
        <v>0</v>
      </c>
      <c r="GX30" s="214" cm="1">
        <f t="array" ref="GX30">--AND(MIN(IF($K30:$CP30&lt;&gt;0,$K$7:$CP$7))&gt;=GX$5,MIN(IF($K30:$CP30&lt;&gt;0,$K$7:$CP$7))&lt;=GX$6)</f>
        <v>0</v>
      </c>
      <c r="GY30" s="214" cm="1">
        <f t="array" ref="GY30">--AND(MIN(IF($K30:$CP30&lt;&gt;0,$K$7:$CP$7))&gt;=GY$5,MIN(IF($K30:$CP30&lt;&gt;0,$K$7:$CP$7))&lt;=GY$6)</f>
        <v>0</v>
      </c>
      <c r="GZ30" s="214" cm="1">
        <f t="array" ref="GZ30">--AND(MIN(IF($K30:$CP30&lt;&gt;0,$K$7:$CP$7))&gt;=GZ$5,MIN(IF($K30:$CP30&lt;&gt;0,$K$7:$CP$7))&lt;=GZ$6)</f>
        <v>0</v>
      </c>
      <c r="HA30" s="214">
        <f t="shared" si="0"/>
        <v>0</v>
      </c>
      <c r="HC30" s="214" cm="1">
        <f t="array" ref="HC30">--AND(MIN(IF($K30:$CP30&lt;&gt;0,$K$7:$CP$7))&gt;=HC$5,MIN(IF($K30:$CP30&lt;&gt;0,$K$7:$CP$7))&lt;=HC$6)</f>
        <v>0</v>
      </c>
      <c r="HE30" s="147" t="str">
        <f t="shared" si="19"/>
        <v>No</v>
      </c>
      <c r="HF30" s="147" t="str">
        <f t="shared" si="20"/>
        <v>No</v>
      </c>
      <c r="HG30" s="147">
        <f>IF($HF30="Yes",0,$H30*avg_hrs*12*'Key assumptions'!$D$87)</f>
        <v>226180.26432179284</v>
      </c>
      <c r="HH30" s="147">
        <f>IF(HE30="Yes",'Key assumptions'!$D$84*HG30,0)</f>
        <v>0</v>
      </c>
      <c r="HI30" s="144">
        <f>IFERROR(AVERAGEIFS($K30:$CP30,$K$7:$CP$7,"&gt;="&amp;'Key assumptions'!$D$24,$K$7:$CP$7,"&lt;="&amp;'Key assumptions'!$D$25),0)</f>
        <v>0.8524720893141946</v>
      </c>
      <c r="HJ30" s="148">
        <f t="shared" si="21"/>
        <v>0</v>
      </c>
      <c r="HK30" s="148">
        <f t="shared" si="1"/>
        <v>0</v>
      </c>
      <c r="HL30" s="148">
        <f t="shared" si="2"/>
        <v>0</v>
      </c>
      <c r="HM30" s="148">
        <f t="shared" si="3"/>
        <v>0</v>
      </c>
      <c r="HN30" s="148">
        <f t="shared" si="4"/>
        <v>0</v>
      </c>
      <c r="HO30" s="148">
        <f t="shared" si="5"/>
        <v>0</v>
      </c>
      <c r="HP30" s="148">
        <f t="shared" si="6"/>
        <v>0</v>
      </c>
      <c r="HQ30" s="148">
        <f t="shared" si="7"/>
        <v>0</v>
      </c>
      <c r="HR30" s="147">
        <f t="shared" si="8"/>
        <v>0</v>
      </c>
      <c r="HS30" s="89"/>
      <c r="HU30" s="147">
        <f>$HJ30*HC30/(1+'Key assumptions'!G52)^0.75</f>
        <v>0</v>
      </c>
      <c r="HW30" s="216">
        <f t="shared" si="9"/>
        <v>0</v>
      </c>
      <c r="HX30" s="216">
        <f t="shared" si="10"/>
        <v>0</v>
      </c>
      <c r="HY30" s="216">
        <f t="shared" si="11"/>
        <v>0</v>
      </c>
      <c r="HZ30" s="216">
        <f t="shared" si="12"/>
        <v>0</v>
      </c>
      <c r="IA30" s="216">
        <f t="shared" si="13"/>
        <v>0</v>
      </c>
      <c r="IB30" s="216">
        <f t="shared" si="14"/>
        <v>0</v>
      </c>
      <c r="IC30" s="216">
        <f t="shared" si="15"/>
        <v>0</v>
      </c>
      <c r="ID30" s="216">
        <f t="shared" si="16"/>
        <v>0</v>
      </c>
      <c r="IF30" s="216">
        <f t="shared" si="17"/>
        <v>0</v>
      </c>
    </row>
    <row r="31" spans="2:240" x14ac:dyDescent="0.2">
      <c r="B31" s="141" t="str">
        <v>Project Delivery Management - Project Controls</v>
      </c>
      <c r="C31" s="141" t="str">
        <v>Project Controller (Portfolio Controls)</v>
      </c>
      <c r="D31" s="141" t="str">
        <v>Internal Labour</v>
      </c>
      <c r="E31" s="141" t="str">
        <v>$ Nominal</v>
      </c>
      <c r="F31" s="141" t="str">
        <v>Existing</v>
      </c>
      <c r="G31" s="141" t="str">
        <v>Normal time</v>
      </c>
      <c r="H31" s="142">
        <v>226.7</v>
      </c>
      <c r="I31" s="126">
        <v>1341129.5200000003</v>
      </c>
      <c r="J31" s="143">
        <v>0</v>
      </c>
      <c r="K31" s="144">
        <v>0</v>
      </c>
      <c r="L31" s="144">
        <v>0</v>
      </c>
      <c r="M31" s="144">
        <v>0</v>
      </c>
      <c r="N31" s="144">
        <v>0</v>
      </c>
      <c r="O31" s="144">
        <v>0</v>
      </c>
      <c r="P31" s="144">
        <v>0</v>
      </c>
      <c r="Q31" s="144">
        <v>0</v>
      </c>
      <c r="R31" s="144">
        <v>0</v>
      </c>
      <c r="S31" s="144">
        <v>0</v>
      </c>
      <c r="T31" s="144">
        <v>0</v>
      </c>
      <c r="U31" s="144">
        <v>0</v>
      </c>
      <c r="V31" s="144">
        <v>0.83333333333333337</v>
      </c>
      <c r="W31" s="144">
        <v>1.2761904761904761</v>
      </c>
      <c r="X31" s="144">
        <v>1</v>
      </c>
      <c r="Y31" s="144">
        <v>1</v>
      </c>
      <c r="Z31" s="144">
        <v>1</v>
      </c>
      <c r="AA31" s="144">
        <v>0.92105263157894735</v>
      </c>
      <c r="AB31" s="144">
        <v>0.92105263157894735</v>
      </c>
      <c r="AC31" s="144">
        <v>1</v>
      </c>
      <c r="AD31" s="144">
        <v>1</v>
      </c>
      <c r="AE31" s="144">
        <v>1</v>
      </c>
      <c r="AF31" s="144">
        <v>1</v>
      </c>
      <c r="AG31" s="144">
        <v>1</v>
      </c>
      <c r="AH31" s="144">
        <v>1</v>
      </c>
      <c r="AI31" s="144">
        <v>1</v>
      </c>
      <c r="AJ31" s="144">
        <v>1</v>
      </c>
      <c r="AK31" s="144">
        <v>1</v>
      </c>
      <c r="AL31" s="144">
        <v>1</v>
      </c>
      <c r="AM31" s="144">
        <v>1</v>
      </c>
      <c r="AN31" s="144">
        <v>1</v>
      </c>
      <c r="AO31" s="144">
        <v>1</v>
      </c>
      <c r="AP31" s="144">
        <v>1</v>
      </c>
      <c r="AQ31" s="144">
        <v>1</v>
      </c>
      <c r="AR31" s="144">
        <v>1</v>
      </c>
      <c r="AS31" s="144">
        <v>1</v>
      </c>
      <c r="AT31" s="144">
        <v>1</v>
      </c>
      <c r="AU31" s="144">
        <v>1</v>
      </c>
      <c r="AV31" s="144">
        <v>1</v>
      </c>
      <c r="AW31" s="144">
        <v>1</v>
      </c>
      <c r="AX31" s="144">
        <v>1</v>
      </c>
      <c r="AY31" s="144">
        <v>0.92105263157894735</v>
      </c>
      <c r="AZ31" s="144">
        <v>0.92105263157894735</v>
      </c>
      <c r="BA31" s="144">
        <v>1</v>
      </c>
      <c r="BB31" s="144">
        <v>1</v>
      </c>
      <c r="BC31" s="144">
        <v>1</v>
      </c>
      <c r="BD31" s="144">
        <v>1</v>
      </c>
      <c r="BE31" s="144">
        <v>1</v>
      </c>
      <c r="BF31" s="144">
        <v>1</v>
      </c>
      <c r="BG31" s="144">
        <v>1</v>
      </c>
      <c r="BH31" s="144">
        <v>1</v>
      </c>
      <c r="BI31" s="144">
        <v>0</v>
      </c>
      <c r="BJ31" s="144">
        <v>0</v>
      </c>
      <c r="BK31" s="144">
        <v>0</v>
      </c>
      <c r="BL31" s="144">
        <v>0</v>
      </c>
      <c r="BM31" s="144">
        <v>0</v>
      </c>
      <c r="BN31" s="144">
        <v>0</v>
      </c>
      <c r="BO31" s="144">
        <v>0</v>
      </c>
      <c r="BP31" s="144">
        <v>0</v>
      </c>
      <c r="BQ31" s="144">
        <v>0</v>
      </c>
      <c r="BR31" s="144">
        <v>0</v>
      </c>
      <c r="BS31" s="144">
        <v>0</v>
      </c>
      <c r="BT31" s="144">
        <v>0</v>
      </c>
      <c r="BU31" s="144">
        <v>0</v>
      </c>
      <c r="BV31" s="144">
        <v>0</v>
      </c>
      <c r="BW31" s="144">
        <v>0</v>
      </c>
      <c r="BX31" s="144">
        <v>0</v>
      </c>
      <c r="BY31" s="144">
        <v>0</v>
      </c>
      <c r="BZ31" s="144">
        <v>0</v>
      </c>
      <c r="CA31" s="144">
        <v>0</v>
      </c>
      <c r="CB31" s="144">
        <v>0</v>
      </c>
      <c r="CC31" s="144">
        <v>0</v>
      </c>
      <c r="CD31" s="144">
        <v>0</v>
      </c>
      <c r="CE31" s="144">
        <v>0</v>
      </c>
      <c r="CF31" s="144">
        <v>0</v>
      </c>
      <c r="CG31" s="144">
        <v>0</v>
      </c>
      <c r="CH31" s="144">
        <v>0</v>
      </c>
      <c r="CI31" s="144">
        <v>0</v>
      </c>
      <c r="CJ31" s="144">
        <v>0</v>
      </c>
      <c r="CK31" s="144">
        <v>0</v>
      </c>
      <c r="CL31" s="144">
        <v>0</v>
      </c>
      <c r="CM31" s="144">
        <v>0</v>
      </c>
      <c r="CN31" s="144">
        <v>0</v>
      </c>
      <c r="CO31" s="144">
        <v>0</v>
      </c>
      <c r="CP31" s="144">
        <v>0</v>
      </c>
      <c r="CQ31" s="143">
        <v>0</v>
      </c>
      <c r="CR31" s="145">
        <v>0</v>
      </c>
      <c r="CS31" s="145">
        <v>0</v>
      </c>
      <c r="CT31" s="145">
        <v>0</v>
      </c>
      <c r="CU31" s="145">
        <v>0</v>
      </c>
      <c r="CV31" s="145">
        <v>0</v>
      </c>
      <c r="CW31" s="145">
        <v>0</v>
      </c>
      <c r="CX31" s="145">
        <v>0</v>
      </c>
      <c r="CY31" s="145">
        <v>0</v>
      </c>
      <c r="CZ31" s="145">
        <v>0</v>
      </c>
      <c r="DA31" s="145">
        <v>0</v>
      </c>
      <c r="DB31" s="145">
        <v>0</v>
      </c>
      <c r="DC31" s="145">
        <v>25261.280000000006</v>
      </c>
      <c r="DD31" s="145">
        <v>38685.860000000052</v>
      </c>
      <c r="DE31" s="145">
        <v>34872.6</v>
      </c>
      <c r="DF31" s="145">
        <v>34872.6</v>
      </c>
      <c r="DG31" s="145">
        <v>26154.45</v>
      </c>
      <c r="DH31" s="145">
        <v>34872.6</v>
      </c>
      <c r="DI31" s="145">
        <v>34872.6</v>
      </c>
      <c r="DJ31" s="145">
        <v>35905.800000000003</v>
      </c>
      <c r="DK31" s="145">
        <v>35905.800000000003</v>
      </c>
      <c r="DL31" s="145">
        <v>35905.800000000003</v>
      </c>
      <c r="DM31" s="145">
        <v>35905.800000000003</v>
      </c>
      <c r="DN31" s="145">
        <v>35905.800000000003</v>
      </c>
      <c r="DO31" s="145">
        <v>26929.350000000002</v>
      </c>
      <c r="DP31" s="145">
        <v>26929.350000000002</v>
      </c>
      <c r="DQ31" s="145">
        <v>35905.800000000003</v>
      </c>
      <c r="DR31" s="145">
        <v>35905.800000000003</v>
      </c>
      <c r="DS31" s="145">
        <v>26929.350000000002</v>
      </c>
      <c r="DT31" s="145">
        <v>38983.440000000002</v>
      </c>
      <c r="DU31" s="145">
        <v>38983.440000000002</v>
      </c>
      <c r="DV31" s="145">
        <v>36971.199999999997</v>
      </c>
      <c r="DW31" s="145">
        <v>36971.199999999997</v>
      </c>
      <c r="DX31" s="145">
        <v>36971.199999999997</v>
      </c>
      <c r="DY31" s="145">
        <v>36971.199999999997</v>
      </c>
      <c r="DZ31" s="145">
        <v>36971.199999999997</v>
      </c>
      <c r="EA31" s="145">
        <v>27728.399999999998</v>
      </c>
      <c r="EB31" s="145">
        <v>27728.399999999998</v>
      </c>
      <c r="EC31" s="145">
        <v>36971.199999999997</v>
      </c>
      <c r="ED31" s="145">
        <v>36971.199999999997</v>
      </c>
      <c r="EE31" s="145">
        <v>27728.399999999998</v>
      </c>
      <c r="EF31" s="145">
        <v>36971.199999999997</v>
      </c>
      <c r="EG31" s="145">
        <v>36971.199999999997</v>
      </c>
      <c r="EH31" s="145">
        <v>38068.800000000003</v>
      </c>
      <c r="EI31" s="145">
        <v>38068.800000000003</v>
      </c>
      <c r="EJ31" s="145">
        <v>38068.800000000003</v>
      </c>
      <c r="EK31" s="145">
        <v>38068.800000000003</v>
      </c>
      <c r="EL31" s="145">
        <v>38068.800000000003</v>
      </c>
      <c r="EM31" s="145">
        <v>28551.600000000002</v>
      </c>
      <c r="EN31" s="145">
        <v>28551.600000000002</v>
      </c>
      <c r="EO31" s="145">
        <v>38068.800000000003</v>
      </c>
      <c r="EP31" s="145">
        <v>0</v>
      </c>
      <c r="EQ31" s="145">
        <v>0</v>
      </c>
      <c r="ER31" s="145">
        <v>0</v>
      </c>
      <c r="ES31" s="145">
        <v>0</v>
      </c>
      <c r="ET31" s="145">
        <v>0</v>
      </c>
      <c r="EU31" s="145">
        <v>0</v>
      </c>
      <c r="EV31" s="145">
        <v>0</v>
      </c>
      <c r="EW31" s="145">
        <v>0</v>
      </c>
      <c r="EX31" s="145">
        <v>0</v>
      </c>
      <c r="EY31" s="145">
        <v>0</v>
      </c>
      <c r="EZ31" s="145">
        <v>0</v>
      </c>
      <c r="FA31" s="145">
        <v>0</v>
      </c>
      <c r="FB31" s="145">
        <v>0</v>
      </c>
      <c r="FC31" s="145">
        <v>0</v>
      </c>
      <c r="FD31" s="145">
        <v>0</v>
      </c>
      <c r="FE31" s="145">
        <v>0</v>
      </c>
      <c r="FF31" s="145">
        <v>0</v>
      </c>
      <c r="FG31" s="145">
        <v>0</v>
      </c>
      <c r="FH31" s="145">
        <v>0</v>
      </c>
      <c r="FI31" s="145">
        <v>0</v>
      </c>
      <c r="FJ31" s="145">
        <v>0</v>
      </c>
      <c r="FK31" s="145">
        <v>0</v>
      </c>
      <c r="FL31" s="145">
        <v>0</v>
      </c>
      <c r="FM31" s="145">
        <v>0</v>
      </c>
      <c r="FN31" s="145">
        <v>0</v>
      </c>
      <c r="FO31" s="145">
        <v>0</v>
      </c>
      <c r="FP31" s="145">
        <v>0</v>
      </c>
      <c r="FQ31" s="145">
        <v>0</v>
      </c>
      <c r="FR31" s="145">
        <v>0</v>
      </c>
      <c r="FS31" s="145">
        <v>0</v>
      </c>
      <c r="FT31" s="145">
        <v>0</v>
      </c>
      <c r="FU31" s="145">
        <v>0</v>
      </c>
      <c r="FV31" s="145">
        <v>0</v>
      </c>
      <c r="FW31" s="145">
        <v>0</v>
      </c>
      <c r="FX31" s="143"/>
      <c r="FY31" s="146" t="str">
        <f>_xlfn.XLOOKUP($E31,'Key assumptions'!$B$112:$B$120,'Key assumptions'!$C$112:$C$120,0)</f>
        <v>Nominal</v>
      </c>
      <c r="FZ31" s="146" cm="1">
        <f t="array" ref="FZ31">IF($FY31=0,0,_xlfn.IFS($FY31='Key assumptions'!$C$120,_xlfn.XLOOKUP(LEFT(FZ$7,6),Inflation_Year,Inflation_NominaltoReal),TRUE,_xlfn.XLOOKUP($FY31,Inflation_Year,NominaltoReal)))</f>
        <v>1.0197075870962191</v>
      </c>
      <c r="GA31" s="146" cm="1">
        <f t="array" ref="GA31">IF($FY31=0,0,_xlfn.IFS($FY31='Key assumptions'!$C$120,_xlfn.XLOOKUP(LEFT(GA$7,6),Inflation_Year,Inflation_NominaltoReal),TRUE,_xlfn.XLOOKUP($FY31,Inflation_Year,NominaltoReal)))</f>
        <v>0.98700804022984445</v>
      </c>
      <c r="GB31" s="146" cm="1">
        <f t="array" ref="GB31">IF($FY31=0,0,_xlfn.IFS($FY31='Key assumptions'!$C$120,_xlfn.XLOOKUP(LEFT(GB$7,6),Inflation_Year,Inflation_NominaltoReal),TRUE,_xlfn.XLOOKUP($FY31,Inflation_Year,NominaltoReal)))</f>
        <v>0.96152830081941731</v>
      </c>
      <c r="GC31" s="146" cm="1">
        <f t="array" ref="GC31">IF($FY31=0,0,_xlfn.IFS($FY31='Key assumptions'!$C$120,_xlfn.XLOOKUP(LEFT(GC$7,6),Inflation_Year,Inflation_NominaltoReal),TRUE,_xlfn.XLOOKUP($FY31,Inflation_Year,NominaltoReal)))</f>
        <v>0.93670632415656829</v>
      </c>
      <c r="GD31" s="146" cm="1">
        <f t="array" ref="GD31">IF($FY31=0,0,_xlfn.IFS($FY31='Key assumptions'!$C$120,_xlfn.XLOOKUP(LEFT(GD$7,6),Inflation_Year,Inflation_NominaltoReal),TRUE,_xlfn.XLOOKUP($FY31,Inflation_Year,NominaltoReal)))</f>
        <v>0.91252513001143176</v>
      </c>
      <c r="GE31" s="146" cm="1">
        <f t="array" ref="GE31">IF($FY31=0,0,_xlfn.IFS($FY31='Key assumptions'!$C$120,_xlfn.XLOOKUP(LEFT(GE$7,6),Inflation_Year,Inflation_NominaltoReal),TRUE,_xlfn.XLOOKUP($FY31,Inflation_Year,NominaltoReal)))</f>
        <v>0.88896817650095872</v>
      </c>
      <c r="GF31" s="146" cm="1">
        <f t="array" ref="GF31">IF($FY31=0,0,_xlfn.IFS($FY31='Key assumptions'!$C$120,_xlfn.XLOOKUP(LEFT(GF$7,6),Inflation_Year,Inflation_NominaltoReal),TRUE,_xlfn.XLOOKUP($FY31,Inflation_Year,NominaltoReal)))</f>
        <v>0.86601934877293718</v>
      </c>
      <c r="GG31" s="143"/>
      <c r="GH31" s="145" cm="1">
        <f t="array" ref="GH31">SUMPRODUCT(--($CR$7:$FW$7&gt;=GH$5),--($CR$7:$FW$7&lt;=GH$6),$CR31:$FW31)*FZ31</f>
        <v>278749.56035069341</v>
      </c>
      <c r="GI31" s="145" cm="1">
        <f t="array" ref="GI31">SUMPRODUCT(--($CR$7:$FW$7&gt;=GI$5),--($CR$7:$FW$7&lt;=GI$6),$CR31:$FW31)*GA31</f>
        <v>407922.26047050214</v>
      </c>
      <c r="GJ31" s="145" cm="1">
        <f t="array" ref="GJ31">SUMPRODUCT(--($CR$7:$FW$7&gt;=GJ$5),--($CR$7:$FW$7&lt;=GJ$6),$CR31:$FW31)*GB31</f>
        <v>403090.74043555505</v>
      </c>
      <c r="GK31" s="145" cm="1">
        <f t="array" ref="GK31">SUMPRODUCT(--($CR$7:$FW$7&gt;=GK$5),--($CR$7:$FW$7&lt;=GK$6),$CR31:$FW31)*GC31</f>
        <v>160466.78570873209</v>
      </c>
      <c r="GL31" s="145" cm="1">
        <f t="array" ref="GL31">SUMPRODUCT(--($CR$7:$FW$7&gt;=GL$5),--($CR$7:$FW$7&lt;=GL$6),$CR31:$FW31)*GD31</f>
        <v>0</v>
      </c>
      <c r="GM31" s="145" cm="1">
        <f t="array" ref="GM31">SUMPRODUCT(--($CR$7:$FW$7&gt;=GM$5),--($CR$7:$FW$7&lt;=GM$6),$CR31:$FW31)*GE31</f>
        <v>0</v>
      </c>
      <c r="GN31" s="145" cm="1">
        <f t="array" ref="GN31">SUMPRODUCT(--($CR$7:$FW$7&gt;=GN$5),--($CR$7:$FW$7&lt;=GN$6),$CR31:$FW31)*GF31</f>
        <v>0</v>
      </c>
      <c r="GO31" s="145">
        <f t="shared" si="18"/>
        <v>1250229.3469654829</v>
      </c>
      <c r="GP31" s="87"/>
      <c r="GQ31" s="89"/>
      <c r="GR31" s="145" cm="1">
        <f t="array" ref="GR31">SUMPRODUCT(--($CR$7:$FW$7&gt;=GR$5),--($CR$7:$FW$7&lt;=GR$6),$CR31:$FW31)</f>
        <v>165644.85</v>
      </c>
      <c r="GS31" s="89"/>
      <c r="GT31" s="214" cm="1">
        <f t="array" ref="GT31">--AND(MIN(IF($K31:$CP31&lt;&gt;0,$K$7:$CP$7))&gt;=GT$5,MIN(IF($K31:$CP31&lt;&gt;0,$K$7:$CP$7))&lt;=GT$6)</f>
        <v>0</v>
      </c>
      <c r="GU31" s="214" cm="1">
        <f t="array" ref="GU31">--AND(MIN(IF($K31:$CP31&lt;&gt;0,$K$7:$CP$7))&gt;=GU$5,MIN(IF($K31:$CP31&lt;&gt;0,$K$7:$CP$7))&lt;=GU$6)</f>
        <v>0</v>
      </c>
      <c r="GV31" s="214" cm="1">
        <f t="array" ref="GV31">--AND(MIN(IF($K31:$CP31&lt;&gt;0,$K$7:$CP$7))&gt;=GV$5,MIN(IF($K31:$CP31&lt;&gt;0,$K$7:$CP$7))&lt;=GV$6)</f>
        <v>0</v>
      </c>
      <c r="GW31" s="214" cm="1">
        <f t="array" ref="GW31">--AND(MIN(IF($K31:$CP31&lt;&gt;0,$K$7:$CP$7))&gt;=GW$5,MIN(IF($K31:$CP31&lt;&gt;0,$K$7:$CP$7))&lt;=GW$6)</f>
        <v>0</v>
      </c>
      <c r="GX31" s="214" cm="1">
        <f t="array" ref="GX31">--AND(MIN(IF($K31:$CP31&lt;&gt;0,$K$7:$CP$7))&gt;=GX$5,MIN(IF($K31:$CP31&lt;&gt;0,$K$7:$CP$7))&lt;=GX$6)</f>
        <v>0</v>
      </c>
      <c r="GY31" s="214" cm="1">
        <f t="array" ref="GY31">--AND(MIN(IF($K31:$CP31&lt;&gt;0,$K$7:$CP$7))&gt;=GY$5,MIN(IF($K31:$CP31&lt;&gt;0,$K$7:$CP$7))&lt;=GY$6)</f>
        <v>0</v>
      </c>
      <c r="GZ31" s="214" cm="1">
        <f t="array" ref="GZ31">--AND(MIN(IF($K31:$CP31&lt;&gt;0,$K$7:$CP$7))&gt;=GZ$5,MIN(IF($K31:$CP31&lt;&gt;0,$K$7:$CP$7))&lt;=GZ$6)</f>
        <v>0</v>
      </c>
      <c r="HA31" s="214">
        <f t="shared" si="0"/>
        <v>0</v>
      </c>
      <c r="HC31" s="214" cm="1">
        <f t="array" ref="HC31">--AND(MIN(IF($K31:$CP31&lt;&gt;0,$K$7:$CP$7))&gt;=HC$5,MIN(IF($K31:$CP31&lt;&gt;0,$K$7:$CP$7))&lt;=HC$6)</f>
        <v>0</v>
      </c>
      <c r="HE31" s="147" t="str">
        <f t="shared" si="19"/>
        <v>No</v>
      </c>
      <c r="HF31" s="147" t="str">
        <f t="shared" si="20"/>
        <v>No</v>
      </c>
      <c r="HG31" s="147">
        <f>IF($HF31="Yes",0,$H31*avg_hrs*12*'Key assumptions'!$D$87)</f>
        <v>405400.58445406734</v>
      </c>
      <c r="HH31" s="147">
        <f>IF(HE31="Yes",'Key assumptions'!$D$84*HG31,0)</f>
        <v>0</v>
      </c>
      <c r="HI31" s="144">
        <f>IFERROR(AVERAGEIFS($K31:$CP31,$K$7:$CP$7,"&gt;="&amp;'Key assumptions'!$D$24,$K$7:$CP$7,"&lt;="&amp;'Key assumptions'!$D$25),0)</f>
        <v>0.8337320574162681</v>
      </c>
      <c r="HJ31" s="148">
        <f t="shared" si="21"/>
        <v>0</v>
      </c>
      <c r="HK31" s="148">
        <f t="shared" si="1"/>
        <v>0</v>
      </c>
      <c r="HL31" s="148">
        <f t="shared" si="2"/>
        <v>0</v>
      </c>
      <c r="HM31" s="148">
        <f t="shared" si="3"/>
        <v>0</v>
      </c>
      <c r="HN31" s="148">
        <f t="shared" si="4"/>
        <v>0</v>
      </c>
      <c r="HO31" s="148">
        <f t="shared" si="5"/>
        <v>0</v>
      </c>
      <c r="HP31" s="148">
        <f t="shared" si="6"/>
        <v>0</v>
      </c>
      <c r="HQ31" s="148">
        <f t="shared" si="7"/>
        <v>0</v>
      </c>
      <c r="HR31" s="147">
        <f t="shared" si="8"/>
        <v>0</v>
      </c>
      <c r="HS31" s="90"/>
      <c r="HU31" s="147">
        <f>$HJ31*HC31/(1+'Key assumptions'!G53)^0.75</f>
        <v>0</v>
      </c>
      <c r="HW31" s="216">
        <f t="shared" si="9"/>
        <v>0</v>
      </c>
      <c r="HX31" s="216">
        <f t="shared" si="10"/>
        <v>0</v>
      </c>
      <c r="HY31" s="216">
        <f t="shared" si="11"/>
        <v>0</v>
      </c>
      <c r="HZ31" s="216">
        <f t="shared" si="12"/>
        <v>0</v>
      </c>
      <c r="IA31" s="216">
        <f t="shared" si="13"/>
        <v>0</v>
      </c>
      <c r="IB31" s="216">
        <f t="shared" si="14"/>
        <v>0</v>
      </c>
      <c r="IC31" s="216">
        <f t="shared" si="15"/>
        <v>0</v>
      </c>
      <c r="ID31" s="216">
        <f t="shared" si="16"/>
        <v>0</v>
      </c>
      <c r="IF31" s="216">
        <f t="shared" si="17"/>
        <v>0</v>
      </c>
    </row>
    <row r="32" spans="2:240" x14ac:dyDescent="0.2">
      <c r="B32" s="141" t="str">
        <v>Project Delivery Management - Project Controls</v>
      </c>
      <c r="C32" s="141" t="str">
        <v>Project Controller (Portfolio Controls)</v>
      </c>
      <c r="D32" s="141" t="str">
        <v>Internal Labour</v>
      </c>
      <c r="E32" s="141" t="str">
        <v>$ Nominal</v>
      </c>
      <c r="F32" s="141" t="str">
        <v>Existing</v>
      </c>
      <c r="G32" s="141" t="str">
        <v>Normal time</v>
      </c>
      <c r="H32" s="142">
        <v>226.7</v>
      </c>
      <c r="I32" s="126">
        <v>1330001</v>
      </c>
      <c r="J32" s="143">
        <v>0</v>
      </c>
      <c r="K32" s="144">
        <v>0</v>
      </c>
      <c r="L32" s="144">
        <v>0</v>
      </c>
      <c r="M32" s="144">
        <v>0</v>
      </c>
      <c r="N32" s="144">
        <v>0</v>
      </c>
      <c r="O32" s="144">
        <v>0</v>
      </c>
      <c r="P32" s="144">
        <v>0</v>
      </c>
      <c r="Q32" s="144">
        <v>0</v>
      </c>
      <c r="R32" s="144">
        <v>0</v>
      </c>
      <c r="S32" s="144">
        <v>0</v>
      </c>
      <c r="T32" s="144">
        <v>0</v>
      </c>
      <c r="U32" s="144">
        <v>0</v>
      </c>
      <c r="V32" s="144">
        <v>0</v>
      </c>
      <c r="W32" s="144">
        <v>1.5333333333333334</v>
      </c>
      <c r="X32" s="144">
        <v>1</v>
      </c>
      <c r="Y32" s="144">
        <v>1</v>
      </c>
      <c r="Z32" s="144">
        <v>1</v>
      </c>
      <c r="AA32" s="144">
        <v>0.92105263157894735</v>
      </c>
      <c r="AB32" s="144">
        <v>0.92105263157894735</v>
      </c>
      <c r="AC32" s="144">
        <v>1</v>
      </c>
      <c r="AD32" s="144">
        <v>1</v>
      </c>
      <c r="AE32" s="144">
        <v>1</v>
      </c>
      <c r="AF32" s="144">
        <v>1</v>
      </c>
      <c r="AG32" s="144">
        <v>1</v>
      </c>
      <c r="AH32" s="144">
        <v>1</v>
      </c>
      <c r="AI32" s="144">
        <v>1</v>
      </c>
      <c r="AJ32" s="144">
        <v>1</v>
      </c>
      <c r="AK32" s="144">
        <v>1</v>
      </c>
      <c r="AL32" s="144">
        <v>1</v>
      </c>
      <c r="AM32" s="144">
        <v>1</v>
      </c>
      <c r="AN32" s="144">
        <v>1</v>
      </c>
      <c r="AO32" s="144">
        <v>1</v>
      </c>
      <c r="AP32" s="144">
        <v>1</v>
      </c>
      <c r="AQ32" s="144">
        <v>1</v>
      </c>
      <c r="AR32" s="144">
        <v>1</v>
      </c>
      <c r="AS32" s="144">
        <v>1</v>
      </c>
      <c r="AT32" s="144">
        <v>1</v>
      </c>
      <c r="AU32" s="144">
        <v>1</v>
      </c>
      <c r="AV32" s="144">
        <v>1</v>
      </c>
      <c r="AW32" s="144">
        <v>1</v>
      </c>
      <c r="AX32" s="144">
        <v>1</v>
      </c>
      <c r="AY32" s="144">
        <v>1</v>
      </c>
      <c r="AZ32" s="144">
        <v>1</v>
      </c>
      <c r="BA32" s="144">
        <v>1</v>
      </c>
      <c r="BB32" s="144">
        <v>1</v>
      </c>
      <c r="BC32" s="144">
        <v>1</v>
      </c>
      <c r="BD32" s="144">
        <v>1</v>
      </c>
      <c r="BE32" s="144">
        <v>1</v>
      </c>
      <c r="BF32" s="144">
        <v>1</v>
      </c>
      <c r="BG32" s="144">
        <v>1</v>
      </c>
      <c r="BH32" s="144">
        <v>1</v>
      </c>
      <c r="BI32" s="144">
        <v>0</v>
      </c>
      <c r="BJ32" s="144">
        <v>0</v>
      </c>
      <c r="BK32" s="144">
        <v>0</v>
      </c>
      <c r="BL32" s="144">
        <v>0</v>
      </c>
      <c r="BM32" s="144">
        <v>0</v>
      </c>
      <c r="BN32" s="144">
        <v>0</v>
      </c>
      <c r="BO32" s="144">
        <v>0</v>
      </c>
      <c r="BP32" s="144">
        <v>0</v>
      </c>
      <c r="BQ32" s="144">
        <v>0</v>
      </c>
      <c r="BR32" s="144">
        <v>0</v>
      </c>
      <c r="BS32" s="144">
        <v>0</v>
      </c>
      <c r="BT32" s="144">
        <v>0</v>
      </c>
      <c r="BU32" s="144">
        <v>0</v>
      </c>
      <c r="BV32" s="144">
        <v>0</v>
      </c>
      <c r="BW32" s="144">
        <v>0</v>
      </c>
      <c r="BX32" s="144">
        <v>0</v>
      </c>
      <c r="BY32" s="144">
        <v>0</v>
      </c>
      <c r="BZ32" s="144">
        <v>0</v>
      </c>
      <c r="CA32" s="144">
        <v>0</v>
      </c>
      <c r="CB32" s="144">
        <v>0</v>
      </c>
      <c r="CC32" s="144">
        <v>0</v>
      </c>
      <c r="CD32" s="144">
        <v>0</v>
      </c>
      <c r="CE32" s="144">
        <v>0</v>
      </c>
      <c r="CF32" s="144">
        <v>0</v>
      </c>
      <c r="CG32" s="144">
        <v>0</v>
      </c>
      <c r="CH32" s="144">
        <v>0</v>
      </c>
      <c r="CI32" s="144">
        <v>0</v>
      </c>
      <c r="CJ32" s="144">
        <v>0</v>
      </c>
      <c r="CK32" s="144">
        <v>0</v>
      </c>
      <c r="CL32" s="144">
        <v>0</v>
      </c>
      <c r="CM32" s="144">
        <v>0</v>
      </c>
      <c r="CN32" s="144">
        <v>0</v>
      </c>
      <c r="CO32" s="144">
        <v>0</v>
      </c>
      <c r="CP32" s="144">
        <v>0</v>
      </c>
      <c r="CQ32" s="143">
        <v>0</v>
      </c>
      <c r="CR32" s="145">
        <v>0</v>
      </c>
      <c r="CS32" s="145">
        <v>0</v>
      </c>
      <c r="CT32" s="145">
        <v>0</v>
      </c>
      <c r="CU32" s="145">
        <v>0</v>
      </c>
      <c r="CV32" s="145">
        <v>0</v>
      </c>
      <c r="CW32" s="145">
        <v>0</v>
      </c>
      <c r="CX32" s="145">
        <v>0</v>
      </c>
      <c r="CY32" s="145">
        <v>0</v>
      </c>
      <c r="CZ32" s="145">
        <v>0</v>
      </c>
      <c r="DA32" s="145">
        <v>0</v>
      </c>
      <c r="DB32" s="145">
        <v>0</v>
      </c>
      <c r="DC32" s="145">
        <v>0</v>
      </c>
      <c r="DD32" s="145">
        <v>46480.700000000041</v>
      </c>
      <c r="DE32" s="145">
        <v>34872.6</v>
      </c>
      <c r="DF32" s="145">
        <v>34872.6</v>
      </c>
      <c r="DG32" s="145">
        <v>26154.45</v>
      </c>
      <c r="DH32" s="145">
        <v>34872.6</v>
      </c>
      <c r="DI32" s="145">
        <v>34872.6</v>
      </c>
      <c r="DJ32" s="145">
        <v>35905.800000000003</v>
      </c>
      <c r="DK32" s="145">
        <v>35905.800000000003</v>
      </c>
      <c r="DL32" s="145">
        <v>35905.800000000003</v>
      </c>
      <c r="DM32" s="145">
        <v>35905.800000000003</v>
      </c>
      <c r="DN32" s="145">
        <v>35905.800000000003</v>
      </c>
      <c r="DO32" s="145">
        <v>26929.350000000002</v>
      </c>
      <c r="DP32" s="145">
        <v>26929.350000000002</v>
      </c>
      <c r="DQ32" s="145">
        <v>35905.800000000003</v>
      </c>
      <c r="DR32" s="145">
        <v>35905.800000000003</v>
      </c>
      <c r="DS32" s="145">
        <v>26929.350000000002</v>
      </c>
      <c r="DT32" s="145">
        <v>38983.440000000002</v>
      </c>
      <c r="DU32" s="145">
        <v>38983.440000000002</v>
      </c>
      <c r="DV32" s="145">
        <v>36971.199999999997</v>
      </c>
      <c r="DW32" s="145">
        <v>36971.199999999997</v>
      </c>
      <c r="DX32" s="145">
        <v>36971.199999999997</v>
      </c>
      <c r="DY32" s="145">
        <v>36971.199999999997</v>
      </c>
      <c r="DZ32" s="145">
        <v>36971.199999999997</v>
      </c>
      <c r="EA32" s="145">
        <v>27728.399999999998</v>
      </c>
      <c r="EB32" s="145">
        <v>27728.399999999998</v>
      </c>
      <c r="EC32" s="145">
        <v>36971.199999999997</v>
      </c>
      <c r="ED32" s="145">
        <v>36971.199999999997</v>
      </c>
      <c r="EE32" s="145">
        <v>27728.399999999998</v>
      </c>
      <c r="EF32" s="145">
        <v>40140.159999999996</v>
      </c>
      <c r="EG32" s="145">
        <v>40140.159999999996</v>
      </c>
      <c r="EH32" s="145">
        <v>38068.800000000003</v>
      </c>
      <c r="EI32" s="145">
        <v>38068.800000000003</v>
      </c>
      <c r="EJ32" s="145">
        <v>38068.800000000003</v>
      </c>
      <c r="EK32" s="145">
        <v>38068.800000000003</v>
      </c>
      <c r="EL32" s="145">
        <v>38068.800000000003</v>
      </c>
      <c r="EM32" s="145">
        <v>28551.600000000002</v>
      </c>
      <c r="EN32" s="145">
        <v>28551.600000000002</v>
      </c>
      <c r="EO32" s="145">
        <v>38068.800000000003</v>
      </c>
      <c r="EP32" s="145">
        <v>0</v>
      </c>
      <c r="EQ32" s="145">
        <v>0</v>
      </c>
      <c r="ER32" s="145">
        <v>0</v>
      </c>
      <c r="ES32" s="145">
        <v>0</v>
      </c>
      <c r="ET32" s="145">
        <v>0</v>
      </c>
      <c r="EU32" s="145">
        <v>0</v>
      </c>
      <c r="EV32" s="145">
        <v>0</v>
      </c>
      <c r="EW32" s="145">
        <v>0</v>
      </c>
      <c r="EX32" s="145">
        <v>0</v>
      </c>
      <c r="EY32" s="145">
        <v>0</v>
      </c>
      <c r="EZ32" s="145">
        <v>0</v>
      </c>
      <c r="FA32" s="145">
        <v>0</v>
      </c>
      <c r="FB32" s="145">
        <v>0</v>
      </c>
      <c r="FC32" s="145">
        <v>0</v>
      </c>
      <c r="FD32" s="145">
        <v>0</v>
      </c>
      <c r="FE32" s="145">
        <v>0</v>
      </c>
      <c r="FF32" s="145">
        <v>0</v>
      </c>
      <c r="FG32" s="145">
        <v>0</v>
      </c>
      <c r="FH32" s="145">
        <v>0</v>
      </c>
      <c r="FI32" s="145">
        <v>0</v>
      </c>
      <c r="FJ32" s="145">
        <v>0</v>
      </c>
      <c r="FK32" s="145">
        <v>0</v>
      </c>
      <c r="FL32" s="145">
        <v>0</v>
      </c>
      <c r="FM32" s="145">
        <v>0</v>
      </c>
      <c r="FN32" s="145">
        <v>0</v>
      </c>
      <c r="FO32" s="145">
        <v>0</v>
      </c>
      <c r="FP32" s="145">
        <v>0</v>
      </c>
      <c r="FQ32" s="145">
        <v>0</v>
      </c>
      <c r="FR32" s="145">
        <v>0</v>
      </c>
      <c r="FS32" s="145">
        <v>0</v>
      </c>
      <c r="FT32" s="145">
        <v>0</v>
      </c>
      <c r="FU32" s="145">
        <v>0</v>
      </c>
      <c r="FV32" s="145">
        <v>0</v>
      </c>
      <c r="FW32" s="145">
        <v>0</v>
      </c>
      <c r="FX32" s="143"/>
      <c r="FY32" s="146" t="str">
        <f>_xlfn.XLOOKUP($E32,'Key assumptions'!$B$112:$B$120,'Key assumptions'!$C$112:$C$120,0)</f>
        <v>Nominal</v>
      </c>
      <c r="FZ32" s="146" cm="1">
        <f t="array" ref="FZ32">IF($FY32=0,0,_xlfn.IFS($FY32='Key assumptions'!$C$120,_xlfn.XLOOKUP(LEFT(FZ$7,6),Inflation_Year,Inflation_NominaltoReal),TRUE,_xlfn.XLOOKUP($FY32,Inflation_Year,NominaltoReal)))</f>
        <v>1.0197075870962191</v>
      </c>
      <c r="GA32" s="146" cm="1">
        <f t="array" ref="GA32">IF($FY32=0,0,_xlfn.IFS($FY32='Key assumptions'!$C$120,_xlfn.XLOOKUP(LEFT(GA$7,6),Inflation_Year,Inflation_NominaltoReal),TRUE,_xlfn.XLOOKUP($FY32,Inflation_Year,NominaltoReal)))</f>
        <v>0.98700804022984445</v>
      </c>
      <c r="GB32" s="146" cm="1">
        <f t="array" ref="GB32">IF($FY32=0,0,_xlfn.IFS($FY32='Key assumptions'!$C$120,_xlfn.XLOOKUP(LEFT(GB$7,6),Inflation_Year,Inflation_NominaltoReal),TRUE,_xlfn.XLOOKUP($FY32,Inflation_Year,NominaltoReal)))</f>
        <v>0.96152830081941731</v>
      </c>
      <c r="GC32" s="146" cm="1">
        <f t="array" ref="GC32">IF($FY32=0,0,_xlfn.IFS($FY32='Key assumptions'!$C$120,_xlfn.XLOOKUP(LEFT(GC$7,6),Inflation_Year,Inflation_NominaltoReal),TRUE,_xlfn.XLOOKUP($FY32,Inflation_Year,NominaltoReal)))</f>
        <v>0.93670632415656829</v>
      </c>
      <c r="GD32" s="146" cm="1">
        <f t="array" ref="GD32">IF($FY32=0,0,_xlfn.IFS($FY32='Key assumptions'!$C$120,_xlfn.XLOOKUP(LEFT(GD$7,6),Inflation_Year,Inflation_NominaltoReal),TRUE,_xlfn.XLOOKUP($FY32,Inflation_Year,NominaltoReal)))</f>
        <v>0.91252513001143176</v>
      </c>
      <c r="GE32" s="146" cm="1">
        <f t="array" ref="GE32">IF($FY32=0,0,_xlfn.IFS($FY32='Key assumptions'!$C$120,_xlfn.XLOOKUP(LEFT(GE$7,6),Inflation_Year,Inflation_NominaltoReal),TRUE,_xlfn.XLOOKUP($FY32,Inflation_Year,NominaltoReal)))</f>
        <v>0.88896817650095872</v>
      </c>
      <c r="GF32" s="146" cm="1">
        <f t="array" ref="GF32">IF($FY32=0,0,_xlfn.IFS($FY32='Key assumptions'!$C$120,_xlfn.XLOOKUP(LEFT(GF$7,6),Inflation_Year,Inflation_NominaltoReal),TRUE,_xlfn.XLOOKUP($FY32,Inflation_Year,NominaltoReal)))</f>
        <v>0.86601934877293718</v>
      </c>
      <c r="GG32" s="143"/>
      <c r="GH32" s="145" cm="1">
        <f t="array" ref="GH32">SUMPRODUCT(--($CR$7:$FW$7&gt;=GH$5),--($CR$7:$FW$7&lt;=GH$6),$CR32:$FW32)*FZ32</f>
        <v>278749.56035069341</v>
      </c>
      <c r="GI32" s="145" cm="1">
        <f t="array" ref="GI32">SUMPRODUCT(--($CR$7:$FW$7&gt;=GI$5),--($CR$7:$FW$7&lt;=GI$6),$CR32:$FW32)*GA32</f>
        <v>407922.26047050214</v>
      </c>
      <c r="GJ32" s="145" cm="1">
        <f t="array" ref="GJ32">SUMPRODUCT(--($CR$7:$FW$7&gt;=GJ$5),--($CR$7:$FW$7&lt;=GJ$6),$CR32:$FW32)*GB32</f>
        <v>409184.82988388446</v>
      </c>
      <c r="GK32" s="145" cm="1">
        <f t="array" ref="GK32">SUMPRODUCT(--($CR$7:$FW$7&gt;=GK$5),--($CR$7:$FW$7&lt;=GK$6),$CR32:$FW32)*GC32</f>
        <v>160466.78570873209</v>
      </c>
      <c r="GL32" s="145" cm="1">
        <f t="array" ref="GL32">SUMPRODUCT(--($CR$7:$FW$7&gt;=GL$5),--($CR$7:$FW$7&lt;=GL$6),$CR32:$FW32)*GD32</f>
        <v>0</v>
      </c>
      <c r="GM32" s="145" cm="1">
        <f t="array" ref="GM32">SUMPRODUCT(--($CR$7:$FW$7&gt;=GM$5),--($CR$7:$FW$7&lt;=GM$6),$CR32:$FW32)*GE32</f>
        <v>0</v>
      </c>
      <c r="GN32" s="145" cm="1">
        <f t="array" ref="GN32">SUMPRODUCT(--($CR$7:$FW$7&gt;=GN$5),--($CR$7:$FW$7&lt;=GN$6),$CR32:$FW32)*GF32</f>
        <v>0</v>
      </c>
      <c r="GO32" s="145">
        <f t="shared" si="18"/>
        <v>1256323.436413812</v>
      </c>
      <c r="GP32" s="87"/>
      <c r="GQ32" s="89"/>
      <c r="GR32" s="145" cm="1">
        <f t="array" ref="GR32">SUMPRODUCT(--($CR$7:$FW$7&gt;=GR$5),--($CR$7:$FW$7&lt;=GR$6),$CR32:$FW32)</f>
        <v>165644.85</v>
      </c>
      <c r="GS32" s="89"/>
      <c r="GT32" s="214" cm="1">
        <f t="array" ref="GT32">--AND(MIN(IF($K32:$CP32&lt;&gt;0,$K$7:$CP$7))&gt;=GT$5,MIN(IF($K32:$CP32&lt;&gt;0,$K$7:$CP$7))&lt;=GT$6)</f>
        <v>0</v>
      </c>
      <c r="GU32" s="214" cm="1">
        <f t="array" ref="GU32">--AND(MIN(IF($K32:$CP32&lt;&gt;0,$K$7:$CP$7))&gt;=GU$5,MIN(IF($K32:$CP32&lt;&gt;0,$K$7:$CP$7))&lt;=GU$6)</f>
        <v>0</v>
      </c>
      <c r="GV32" s="214" cm="1">
        <f t="array" ref="GV32">--AND(MIN(IF($K32:$CP32&lt;&gt;0,$K$7:$CP$7))&gt;=GV$5,MIN(IF($K32:$CP32&lt;&gt;0,$K$7:$CP$7))&lt;=GV$6)</f>
        <v>0</v>
      </c>
      <c r="GW32" s="214" cm="1">
        <f t="array" ref="GW32">--AND(MIN(IF($K32:$CP32&lt;&gt;0,$K$7:$CP$7))&gt;=GW$5,MIN(IF($K32:$CP32&lt;&gt;0,$K$7:$CP$7))&lt;=GW$6)</f>
        <v>0</v>
      </c>
      <c r="GX32" s="214" cm="1">
        <f t="array" ref="GX32">--AND(MIN(IF($K32:$CP32&lt;&gt;0,$K$7:$CP$7))&gt;=GX$5,MIN(IF($K32:$CP32&lt;&gt;0,$K$7:$CP$7))&lt;=GX$6)</f>
        <v>0</v>
      </c>
      <c r="GY32" s="214" cm="1">
        <f t="array" ref="GY32">--AND(MIN(IF($K32:$CP32&lt;&gt;0,$K$7:$CP$7))&gt;=GY$5,MIN(IF($K32:$CP32&lt;&gt;0,$K$7:$CP$7))&lt;=GY$6)</f>
        <v>0</v>
      </c>
      <c r="GZ32" s="214" cm="1">
        <f t="array" ref="GZ32">--AND(MIN(IF($K32:$CP32&lt;&gt;0,$K$7:$CP$7))&gt;=GZ$5,MIN(IF($K32:$CP32&lt;&gt;0,$K$7:$CP$7))&lt;=GZ$6)</f>
        <v>0</v>
      </c>
      <c r="HA32" s="214">
        <f t="shared" si="0"/>
        <v>0</v>
      </c>
      <c r="HC32" s="214" cm="1">
        <f t="array" ref="HC32">--AND(MIN(IF($K32:$CP32&lt;&gt;0,$K$7:$CP$7))&gt;=HC$5,MIN(IF($K32:$CP32&lt;&gt;0,$K$7:$CP$7))&lt;=HC$6)</f>
        <v>0</v>
      </c>
      <c r="HE32" s="147" t="str">
        <f t="shared" si="19"/>
        <v>No</v>
      </c>
      <c r="HF32" s="147" t="str">
        <f t="shared" si="20"/>
        <v>No</v>
      </c>
      <c r="HG32" s="147">
        <f>IF($HF32="Yes",0,$H32*avg_hrs*12*'Key assumptions'!$D$87)</f>
        <v>405400.58445406734</v>
      </c>
      <c r="HH32" s="147">
        <f>IF(HE32="Yes",'Key assumptions'!$D$84*HG32,0)</f>
        <v>0</v>
      </c>
      <c r="HI32" s="144">
        <f>IFERROR(AVERAGEIFS($K32:$CP32,$K$7:$CP$7,"&gt;="&amp;'Key assumptions'!$D$24,$K$7:$CP$7,"&lt;="&amp;'Key assumptions'!$D$25),0)</f>
        <v>0.83732057416267935</v>
      </c>
      <c r="HJ32" s="148">
        <f t="shared" si="21"/>
        <v>0</v>
      </c>
      <c r="HK32" s="148">
        <f t="shared" si="1"/>
        <v>0</v>
      </c>
      <c r="HL32" s="148">
        <f t="shared" si="2"/>
        <v>0</v>
      </c>
      <c r="HM32" s="148">
        <f t="shared" si="3"/>
        <v>0</v>
      </c>
      <c r="HN32" s="148">
        <f t="shared" si="4"/>
        <v>0</v>
      </c>
      <c r="HO32" s="148">
        <f t="shared" si="5"/>
        <v>0</v>
      </c>
      <c r="HP32" s="148">
        <f t="shared" si="6"/>
        <v>0</v>
      </c>
      <c r="HQ32" s="148">
        <f t="shared" si="7"/>
        <v>0</v>
      </c>
      <c r="HR32" s="147">
        <f t="shared" si="8"/>
        <v>0</v>
      </c>
      <c r="HS32" s="89"/>
      <c r="HU32" s="147">
        <f>$HJ32*HC32/(1+'Key assumptions'!G54)^0.75</f>
        <v>0</v>
      </c>
      <c r="HW32" s="216">
        <f t="shared" si="9"/>
        <v>0</v>
      </c>
      <c r="HX32" s="216">
        <f t="shared" si="10"/>
        <v>0</v>
      </c>
      <c r="HY32" s="216">
        <f t="shared" si="11"/>
        <v>0</v>
      </c>
      <c r="HZ32" s="216">
        <f t="shared" si="12"/>
        <v>0</v>
      </c>
      <c r="IA32" s="216">
        <f t="shared" si="13"/>
        <v>0</v>
      </c>
      <c r="IB32" s="216">
        <f t="shared" si="14"/>
        <v>0</v>
      </c>
      <c r="IC32" s="216">
        <f t="shared" si="15"/>
        <v>0</v>
      </c>
      <c r="ID32" s="216">
        <f t="shared" si="16"/>
        <v>0</v>
      </c>
      <c r="IF32" s="216">
        <f t="shared" si="17"/>
        <v>0</v>
      </c>
    </row>
    <row r="33" spans="2:240" x14ac:dyDescent="0.2">
      <c r="B33" s="141" t="str">
        <v>Project Delivery Management - Project Controls</v>
      </c>
      <c r="C33" s="141" t="str">
        <v>Program and Risk Planner (Portfolio Controls)</v>
      </c>
      <c r="D33" s="141" t="str">
        <v>Internal Labour</v>
      </c>
      <c r="E33" s="141" t="str">
        <v>$ Nominal</v>
      </c>
      <c r="F33" s="141" t="str">
        <v>Existing</v>
      </c>
      <c r="G33" s="141" t="str">
        <v>Normal time</v>
      </c>
      <c r="H33" s="142">
        <v>275.72000000000003</v>
      </c>
      <c r="I33" s="126">
        <v>1411973.8999999994</v>
      </c>
      <c r="J33" s="143">
        <v>0</v>
      </c>
      <c r="K33" s="144">
        <v>0</v>
      </c>
      <c r="L33" s="144">
        <v>0</v>
      </c>
      <c r="M33" s="144">
        <v>0</v>
      </c>
      <c r="N33" s="144">
        <v>0</v>
      </c>
      <c r="O33" s="144">
        <v>0</v>
      </c>
      <c r="P33" s="144">
        <v>0</v>
      </c>
      <c r="Q33" s="144">
        <v>0</v>
      </c>
      <c r="R33" s="144">
        <v>0</v>
      </c>
      <c r="S33" s="144">
        <v>0</v>
      </c>
      <c r="T33" s="144">
        <v>0</v>
      </c>
      <c r="U33" s="144">
        <v>0</v>
      </c>
      <c r="V33" s="144">
        <v>0</v>
      </c>
      <c r="W33" s="144">
        <v>1.1333333333333333</v>
      </c>
      <c r="X33" s="144">
        <v>1</v>
      </c>
      <c r="Y33" s="144">
        <v>1</v>
      </c>
      <c r="Z33" s="144">
        <v>1</v>
      </c>
      <c r="AA33" s="144">
        <v>0.92105263157894735</v>
      </c>
      <c r="AB33" s="144">
        <v>0.92105263157894735</v>
      </c>
      <c r="AC33" s="144">
        <v>1</v>
      </c>
      <c r="AD33" s="144">
        <v>1</v>
      </c>
      <c r="AE33" s="144">
        <v>1</v>
      </c>
      <c r="AF33" s="144">
        <v>1</v>
      </c>
      <c r="AG33" s="144">
        <v>1</v>
      </c>
      <c r="AH33" s="144">
        <v>1</v>
      </c>
      <c r="AI33" s="144">
        <v>1</v>
      </c>
      <c r="AJ33" s="144">
        <v>1</v>
      </c>
      <c r="AK33" s="144">
        <v>1</v>
      </c>
      <c r="AL33" s="144">
        <v>1</v>
      </c>
      <c r="AM33" s="144">
        <v>1</v>
      </c>
      <c r="AN33" s="144">
        <v>1</v>
      </c>
      <c r="AO33" s="144">
        <v>1</v>
      </c>
      <c r="AP33" s="144">
        <v>1</v>
      </c>
      <c r="AQ33" s="144">
        <v>1</v>
      </c>
      <c r="AR33" s="144">
        <v>1</v>
      </c>
      <c r="AS33" s="144">
        <v>1</v>
      </c>
      <c r="AT33" s="144">
        <v>1</v>
      </c>
      <c r="AU33" s="144">
        <v>1</v>
      </c>
      <c r="AV33" s="144">
        <v>1</v>
      </c>
      <c r="AW33" s="144">
        <v>1</v>
      </c>
      <c r="AX33" s="144">
        <v>1</v>
      </c>
      <c r="AY33" s="144">
        <v>1</v>
      </c>
      <c r="AZ33" s="144">
        <v>1</v>
      </c>
      <c r="BA33" s="144">
        <v>1</v>
      </c>
      <c r="BB33" s="144">
        <v>1</v>
      </c>
      <c r="BC33" s="144">
        <v>1</v>
      </c>
      <c r="BD33" s="144">
        <v>1</v>
      </c>
      <c r="BE33" s="144">
        <v>1</v>
      </c>
      <c r="BF33" s="144">
        <v>1</v>
      </c>
      <c r="BG33" s="144">
        <v>1</v>
      </c>
      <c r="BH33" s="144">
        <v>1</v>
      </c>
      <c r="BI33" s="144">
        <v>0</v>
      </c>
      <c r="BJ33" s="144">
        <v>0</v>
      </c>
      <c r="BK33" s="144">
        <v>0</v>
      </c>
      <c r="BL33" s="144">
        <v>0</v>
      </c>
      <c r="BM33" s="144">
        <v>0</v>
      </c>
      <c r="BN33" s="144">
        <v>0</v>
      </c>
      <c r="BO33" s="144">
        <v>0</v>
      </c>
      <c r="BP33" s="144">
        <v>0</v>
      </c>
      <c r="BQ33" s="144">
        <v>0</v>
      </c>
      <c r="BR33" s="144">
        <v>0</v>
      </c>
      <c r="BS33" s="144">
        <v>0</v>
      </c>
      <c r="BT33" s="144">
        <v>0</v>
      </c>
      <c r="BU33" s="144">
        <v>0</v>
      </c>
      <c r="BV33" s="144">
        <v>0</v>
      </c>
      <c r="BW33" s="144">
        <v>0</v>
      </c>
      <c r="BX33" s="144">
        <v>0</v>
      </c>
      <c r="BY33" s="144">
        <v>0</v>
      </c>
      <c r="BZ33" s="144">
        <v>0</v>
      </c>
      <c r="CA33" s="144">
        <v>0</v>
      </c>
      <c r="CB33" s="144">
        <v>0</v>
      </c>
      <c r="CC33" s="144">
        <v>0</v>
      </c>
      <c r="CD33" s="144">
        <v>0</v>
      </c>
      <c r="CE33" s="144">
        <v>0</v>
      </c>
      <c r="CF33" s="144">
        <v>0</v>
      </c>
      <c r="CG33" s="144">
        <v>0</v>
      </c>
      <c r="CH33" s="144">
        <v>0</v>
      </c>
      <c r="CI33" s="144">
        <v>0</v>
      </c>
      <c r="CJ33" s="144">
        <v>0</v>
      </c>
      <c r="CK33" s="144">
        <v>0</v>
      </c>
      <c r="CL33" s="144">
        <v>0</v>
      </c>
      <c r="CM33" s="144">
        <v>0</v>
      </c>
      <c r="CN33" s="144">
        <v>0</v>
      </c>
      <c r="CO33" s="144">
        <v>0</v>
      </c>
      <c r="CP33" s="144">
        <v>0</v>
      </c>
      <c r="CQ33" s="143">
        <v>0</v>
      </c>
      <c r="CR33" s="145">
        <v>0</v>
      </c>
      <c r="CS33" s="145">
        <v>0</v>
      </c>
      <c r="CT33" s="145">
        <v>0</v>
      </c>
      <c r="CU33" s="145">
        <v>0</v>
      </c>
      <c r="CV33" s="145">
        <v>0</v>
      </c>
      <c r="CW33" s="145">
        <v>0</v>
      </c>
      <c r="CX33" s="145">
        <v>0</v>
      </c>
      <c r="CY33" s="145">
        <v>0</v>
      </c>
      <c r="CZ33" s="145">
        <v>0</v>
      </c>
      <c r="DA33" s="145">
        <v>0</v>
      </c>
      <c r="DB33" s="145">
        <v>0</v>
      </c>
      <c r="DC33" s="145">
        <v>0</v>
      </c>
      <c r="DD33" s="145">
        <v>31852.219999999987</v>
      </c>
      <c r="DE33" s="145">
        <v>37472.400000000001</v>
      </c>
      <c r="DF33" s="145">
        <v>37472.400000000001</v>
      </c>
      <c r="DG33" s="145">
        <v>28104.300000000003</v>
      </c>
      <c r="DH33" s="145">
        <v>37472.400000000001</v>
      </c>
      <c r="DI33" s="145">
        <v>37472.400000000001</v>
      </c>
      <c r="DJ33" s="145">
        <v>38600.800000000003</v>
      </c>
      <c r="DK33" s="145">
        <v>38600.800000000003</v>
      </c>
      <c r="DL33" s="145">
        <v>38600.800000000003</v>
      </c>
      <c r="DM33" s="145">
        <v>38600.800000000003</v>
      </c>
      <c r="DN33" s="145">
        <v>38600.800000000003</v>
      </c>
      <c r="DO33" s="145">
        <v>28950.600000000002</v>
      </c>
      <c r="DP33" s="145">
        <v>28950.600000000002</v>
      </c>
      <c r="DQ33" s="145">
        <v>38600.800000000003</v>
      </c>
      <c r="DR33" s="145">
        <v>38600.800000000003</v>
      </c>
      <c r="DS33" s="145">
        <v>28950.600000000002</v>
      </c>
      <c r="DT33" s="145">
        <v>41909.440000000002</v>
      </c>
      <c r="DU33" s="145">
        <v>41909.440000000002</v>
      </c>
      <c r="DV33" s="145">
        <v>39760</v>
      </c>
      <c r="DW33" s="145">
        <v>39760</v>
      </c>
      <c r="DX33" s="145">
        <v>39760</v>
      </c>
      <c r="DY33" s="145">
        <v>39760</v>
      </c>
      <c r="DZ33" s="145">
        <v>39760</v>
      </c>
      <c r="EA33" s="145">
        <v>29820</v>
      </c>
      <c r="EB33" s="145">
        <v>29820</v>
      </c>
      <c r="EC33" s="145">
        <v>39760</v>
      </c>
      <c r="ED33" s="145">
        <v>39760</v>
      </c>
      <c r="EE33" s="145">
        <v>29820</v>
      </c>
      <c r="EF33" s="145">
        <v>43168</v>
      </c>
      <c r="EG33" s="145">
        <v>43168</v>
      </c>
      <c r="EH33" s="145">
        <v>40951.4</v>
      </c>
      <c r="EI33" s="145">
        <v>40951.4</v>
      </c>
      <c r="EJ33" s="145">
        <v>40951.4</v>
      </c>
      <c r="EK33" s="145">
        <v>40951.4</v>
      </c>
      <c r="EL33" s="145">
        <v>40951.4</v>
      </c>
      <c r="EM33" s="145">
        <v>30713.550000000003</v>
      </c>
      <c r="EN33" s="145">
        <v>30713.550000000003</v>
      </c>
      <c r="EO33" s="145">
        <v>40951.4</v>
      </c>
      <c r="EP33" s="145">
        <v>0</v>
      </c>
      <c r="EQ33" s="145">
        <v>0</v>
      </c>
      <c r="ER33" s="145">
        <v>0</v>
      </c>
      <c r="ES33" s="145">
        <v>0</v>
      </c>
      <c r="ET33" s="145">
        <v>0</v>
      </c>
      <c r="EU33" s="145">
        <v>0</v>
      </c>
      <c r="EV33" s="145">
        <v>0</v>
      </c>
      <c r="EW33" s="145">
        <v>0</v>
      </c>
      <c r="EX33" s="145">
        <v>0</v>
      </c>
      <c r="EY33" s="145">
        <v>0</v>
      </c>
      <c r="EZ33" s="145">
        <v>0</v>
      </c>
      <c r="FA33" s="145">
        <v>0</v>
      </c>
      <c r="FB33" s="145">
        <v>0</v>
      </c>
      <c r="FC33" s="145">
        <v>0</v>
      </c>
      <c r="FD33" s="145">
        <v>0</v>
      </c>
      <c r="FE33" s="145">
        <v>0</v>
      </c>
      <c r="FF33" s="145">
        <v>0</v>
      </c>
      <c r="FG33" s="145">
        <v>0</v>
      </c>
      <c r="FH33" s="145">
        <v>0</v>
      </c>
      <c r="FI33" s="145">
        <v>0</v>
      </c>
      <c r="FJ33" s="145">
        <v>0</v>
      </c>
      <c r="FK33" s="145">
        <v>0</v>
      </c>
      <c r="FL33" s="145">
        <v>0</v>
      </c>
      <c r="FM33" s="145">
        <v>0</v>
      </c>
      <c r="FN33" s="145">
        <v>0</v>
      </c>
      <c r="FO33" s="145">
        <v>0</v>
      </c>
      <c r="FP33" s="145">
        <v>0</v>
      </c>
      <c r="FQ33" s="145">
        <v>0</v>
      </c>
      <c r="FR33" s="145">
        <v>0</v>
      </c>
      <c r="FS33" s="145">
        <v>0</v>
      </c>
      <c r="FT33" s="145">
        <v>0</v>
      </c>
      <c r="FU33" s="145">
        <v>0</v>
      </c>
      <c r="FV33" s="145">
        <v>0</v>
      </c>
      <c r="FW33" s="145">
        <v>0</v>
      </c>
      <c r="FX33" s="143"/>
      <c r="FY33" s="146" t="str">
        <f>_xlfn.XLOOKUP($E33,'Key assumptions'!$B$112:$B$120,'Key assumptions'!$C$112:$C$120,0)</f>
        <v>Nominal</v>
      </c>
      <c r="FZ33" s="146" cm="1">
        <f t="array" ref="FZ33">IF($FY33=0,0,_xlfn.IFS($FY33='Key assumptions'!$C$120,_xlfn.XLOOKUP(LEFT(FZ$7,6),Inflation_Year,Inflation_NominaltoReal),TRUE,_xlfn.XLOOKUP($FY33,Inflation_Year,NominaltoReal)))</f>
        <v>1.0197075870962191</v>
      </c>
      <c r="GA33" s="146" cm="1">
        <f t="array" ref="GA33">IF($FY33=0,0,_xlfn.IFS($FY33='Key assumptions'!$C$120,_xlfn.XLOOKUP(LEFT(GA$7,6),Inflation_Year,Inflation_NominaltoReal),TRUE,_xlfn.XLOOKUP($FY33,Inflation_Year,NominaltoReal)))</f>
        <v>0.98700804022984445</v>
      </c>
      <c r="GB33" s="146" cm="1">
        <f t="array" ref="GB33">IF($FY33=0,0,_xlfn.IFS($FY33='Key assumptions'!$C$120,_xlfn.XLOOKUP(LEFT(GB$7,6),Inflation_Year,Inflation_NominaltoReal),TRUE,_xlfn.XLOOKUP($FY33,Inflation_Year,NominaltoReal)))</f>
        <v>0.96152830081941731</v>
      </c>
      <c r="GC33" s="146" cm="1">
        <f t="array" ref="GC33">IF($FY33=0,0,_xlfn.IFS($FY33='Key assumptions'!$C$120,_xlfn.XLOOKUP(LEFT(GC$7,6),Inflation_Year,Inflation_NominaltoReal),TRUE,_xlfn.XLOOKUP($FY33,Inflation_Year,NominaltoReal)))</f>
        <v>0.93670632415656829</v>
      </c>
      <c r="GD33" s="146" cm="1">
        <f t="array" ref="GD33">IF($FY33=0,0,_xlfn.IFS($FY33='Key assumptions'!$C$120,_xlfn.XLOOKUP(LEFT(GD$7,6),Inflation_Year,Inflation_NominaltoReal),TRUE,_xlfn.XLOOKUP($FY33,Inflation_Year,NominaltoReal)))</f>
        <v>0.91252513001143176</v>
      </c>
      <c r="GE33" s="146" cm="1">
        <f t="array" ref="GE33">IF($FY33=0,0,_xlfn.IFS($FY33='Key assumptions'!$C$120,_xlfn.XLOOKUP(LEFT(GE$7,6),Inflation_Year,Inflation_NominaltoReal),TRUE,_xlfn.XLOOKUP($FY33,Inflation_Year,NominaltoReal)))</f>
        <v>0.88896817650095872</v>
      </c>
      <c r="GF33" s="146" cm="1">
        <f t="array" ref="GF33">IF($FY33=0,0,_xlfn.IFS($FY33='Key assumptions'!$C$120,_xlfn.XLOOKUP(LEFT(GF$7,6),Inflation_Year,Inflation_NominaltoReal),TRUE,_xlfn.XLOOKUP($FY33,Inflation_Year,NominaltoReal)))</f>
        <v>0.86601934877293718</v>
      </c>
      <c r="GG33" s="143"/>
      <c r="GH33" s="145" cm="1">
        <f t="array" ref="GH33">SUMPRODUCT(--($CR$7:$FW$7&gt;=GH$5),--($CR$7:$FW$7&lt;=GH$6),$CR33:$FW33)*FZ33</f>
        <v>299586.31617079693</v>
      </c>
      <c r="GI33" s="145" cm="1">
        <f t="array" ref="GI33">SUMPRODUCT(--($CR$7:$FW$7&gt;=GI$5),--($CR$7:$FW$7&lt;=GI$6),$CR33:$FW33)*GA33</f>
        <v>438580.85226732754</v>
      </c>
      <c r="GJ33" s="145" cm="1">
        <f t="array" ref="GJ33">SUMPRODUCT(--($CR$7:$FW$7&gt;=GJ$5),--($CR$7:$FW$7&lt;=GJ$6),$CR33:$FW33)*GB33</f>
        <v>440082.08030769933</v>
      </c>
      <c r="GK33" s="145" cm="1">
        <f t="array" ref="GK33">SUMPRODUCT(--($CR$7:$FW$7&gt;=GK$5),--($CR$7:$FW$7&lt;=GK$6),$CR33:$FW33)*GC33</f>
        <v>172617.45913379383</v>
      </c>
      <c r="GL33" s="145" cm="1">
        <f t="array" ref="GL33">SUMPRODUCT(--($CR$7:$FW$7&gt;=GL$5),--($CR$7:$FW$7&lt;=GL$6),$CR33:$FW33)*GD33</f>
        <v>0</v>
      </c>
      <c r="GM33" s="145" cm="1">
        <f t="array" ref="GM33">SUMPRODUCT(--($CR$7:$FW$7&gt;=GM$5),--($CR$7:$FW$7&lt;=GM$6),$CR33:$FW33)*GE33</f>
        <v>0</v>
      </c>
      <c r="GN33" s="145" cm="1">
        <f t="array" ref="GN33">SUMPRODUCT(--($CR$7:$FW$7&gt;=GN$5),--($CR$7:$FW$7&lt;=GN$6),$CR33:$FW33)*GF33</f>
        <v>0</v>
      </c>
      <c r="GO33" s="145">
        <f t="shared" si="18"/>
        <v>1350866.7078796176</v>
      </c>
      <c r="GP33" s="87"/>
      <c r="GQ33" s="89"/>
      <c r="GR33" s="145" cm="1">
        <f t="array" ref="GR33">SUMPRODUCT(--($CR$7:$FW$7&gt;=GR$5),--($CR$7:$FW$7&lt;=GR$6),$CR33:$FW33)</f>
        <v>177993.9</v>
      </c>
      <c r="GS33" s="89"/>
      <c r="GT33" s="214" cm="1">
        <f t="array" ref="GT33">--AND(MIN(IF($K33:$CP33&lt;&gt;0,$K$7:$CP$7))&gt;=GT$5,MIN(IF($K33:$CP33&lt;&gt;0,$K$7:$CP$7))&lt;=GT$6)</f>
        <v>0</v>
      </c>
      <c r="GU33" s="214" cm="1">
        <f t="array" ref="GU33">--AND(MIN(IF($K33:$CP33&lt;&gt;0,$K$7:$CP$7))&gt;=GU$5,MIN(IF($K33:$CP33&lt;&gt;0,$K$7:$CP$7))&lt;=GU$6)</f>
        <v>0</v>
      </c>
      <c r="GV33" s="214" cm="1">
        <f t="array" ref="GV33">--AND(MIN(IF($K33:$CP33&lt;&gt;0,$K$7:$CP$7))&gt;=GV$5,MIN(IF($K33:$CP33&lt;&gt;0,$K$7:$CP$7))&lt;=GV$6)</f>
        <v>0</v>
      </c>
      <c r="GW33" s="214" cm="1">
        <f t="array" ref="GW33">--AND(MIN(IF($K33:$CP33&lt;&gt;0,$K$7:$CP$7))&gt;=GW$5,MIN(IF($K33:$CP33&lt;&gt;0,$K$7:$CP$7))&lt;=GW$6)</f>
        <v>0</v>
      </c>
      <c r="GX33" s="214" cm="1">
        <f t="array" ref="GX33">--AND(MIN(IF($K33:$CP33&lt;&gt;0,$K$7:$CP$7))&gt;=GX$5,MIN(IF($K33:$CP33&lt;&gt;0,$K$7:$CP$7))&lt;=GX$6)</f>
        <v>0</v>
      </c>
      <c r="GY33" s="214" cm="1">
        <f t="array" ref="GY33">--AND(MIN(IF($K33:$CP33&lt;&gt;0,$K$7:$CP$7))&gt;=GY$5,MIN(IF($K33:$CP33&lt;&gt;0,$K$7:$CP$7))&lt;=GY$6)</f>
        <v>0</v>
      </c>
      <c r="GZ33" s="214" cm="1">
        <f t="array" ref="GZ33">--AND(MIN(IF($K33:$CP33&lt;&gt;0,$K$7:$CP$7))&gt;=GZ$5,MIN(IF($K33:$CP33&lt;&gt;0,$K$7:$CP$7))&lt;=GZ$6)</f>
        <v>0</v>
      </c>
      <c r="HA33" s="214">
        <f t="shared" si="0"/>
        <v>0</v>
      </c>
      <c r="HC33" s="214" cm="1">
        <f t="array" ref="HC33">--AND(MIN(IF($K33:$CP33&lt;&gt;0,$K$7:$CP$7))&gt;=HC$5,MIN(IF($K33:$CP33&lt;&gt;0,$K$7:$CP$7))&lt;=HC$6)</f>
        <v>0</v>
      </c>
      <c r="HE33" s="147" t="str">
        <f t="shared" si="19"/>
        <v>No</v>
      </c>
      <c r="HF33" s="147" t="str">
        <f t="shared" si="20"/>
        <v>No</v>
      </c>
      <c r="HG33" s="147">
        <f>IF($HF33="Yes",0,$H33*avg_hrs*12*'Key assumptions'!$D$87)</f>
        <v>493061.5312998477</v>
      </c>
      <c r="HH33" s="147">
        <f>IF(HE33="Yes",'Key assumptions'!$D$84*HG33,0)</f>
        <v>0</v>
      </c>
      <c r="HI33" s="144">
        <f>IFERROR(AVERAGEIFS($K33:$CP33,$K$7:$CP$7,"&gt;="&amp;'Key assumptions'!$D$24,$K$7:$CP$7,"&lt;="&amp;'Key assumptions'!$D$25),0)</f>
        <v>0.83732057416267935</v>
      </c>
      <c r="HJ33" s="148">
        <f t="shared" si="21"/>
        <v>0</v>
      </c>
      <c r="HK33" s="148">
        <f t="shared" si="1"/>
        <v>0</v>
      </c>
      <c r="HL33" s="148">
        <f t="shared" si="2"/>
        <v>0</v>
      </c>
      <c r="HM33" s="148">
        <f t="shared" si="3"/>
        <v>0</v>
      </c>
      <c r="HN33" s="148">
        <f t="shared" si="4"/>
        <v>0</v>
      </c>
      <c r="HO33" s="148">
        <f t="shared" si="5"/>
        <v>0</v>
      </c>
      <c r="HP33" s="148">
        <f t="shared" si="6"/>
        <v>0</v>
      </c>
      <c r="HQ33" s="148">
        <f t="shared" si="7"/>
        <v>0</v>
      </c>
      <c r="HR33" s="147">
        <f t="shared" si="8"/>
        <v>0</v>
      </c>
      <c r="HS33" s="89"/>
      <c r="HU33" s="147">
        <f>$HJ33*HC33/(1+'Key assumptions'!G55)^0.75</f>
        <v>0</v>
      </c>
      <c r="HW33" s="216">
        <f t="shared" si="9"/>
        <v>0</v>
      </c>
      <c r="HX33" s="216">
        <f t="shared" si="10"/>
        <v>0</v>
      </c>
      <c r="HY33" s="216">
        <f t="shared" si="11"/>
        <v>0</v>
      </c>
      <c r="HZ33" s="216">
        <f t="shared" si="12"/>
        <v>0</v>
      </c>
      <c r="IA33" s="216">
        <f t="shared" si="13"/>
        <v>0</v>
      </c>
      <c r="IB33" s="216">
        <f t="shared" si="14"/>
        <v>0</v>
      </c>
      <c r="IC33" s="216">
        <f t="shared" si="15"/>
        <v>0</v>
      </c>
      <c r="ID33" s="216">
        <f t="shared" si="16"/>
        <v>0</v>
      </c>
      <c r="IF33" s="216">
        <f t="shared" si="17"/>
        <v>0</v>
      </c>
    </row>
    <row r="34" spans="2:240" x14ac:dyDescent="0.2">
      <c r="B34" s="141" t="str">
        <v>Project Delivery Management - Project Controls</v>
      </c>
      <c r="C34" s="141" t="str">
        <v>Program and Risk Planner (Portfolio Controls)</v>
      </c>
      <c r="D34" s="141" t="str">
        <v>Internal Labour</v>
      </c>
      <c r="E34" s="141" t="str">
        <v>$ Nominal</v>
      </c>
      <c r="F34" s="141" t="str">
        <v>New</v>
      </c>
      <c r="G34" s="141" t="str">
        <v>Normal time</v>
      </c>
      <c r="H34" s="142">
        <v>275.72000000000003</v>
      </c>
      <c r="I34" s="126">
        <v>1380121.6799999995</v>
      </c>
      <c r="J34" s="143">
        <v>0</v>
      </c>
      <c r="K34" s="144">
        <v>0</v>
      </c>
      <c r="L34" s="144">
        <v>0</v>
      </c>
      <c r="M34" s="144">
        <v>0</v>
      </c>
      <c r="N34" s="144">
        <v>0</v>
      </c>
      <c r="O34" s="144">
        <v>0</v>
      </c>
      <c r="P34" s="144">
        <v>0</v>
      </c>
      <c r="Q34" s="144">
        <v>0</v>
      </c>
      <c r="R34" s="144">
        <v>0</v>
      </c>
      <c r="S34" s="144">
        <v>0</v>
      </c>
      <c r="T34" s="144">
        <v>0</v>
      </c>
      <c r="U34" s="144">
        <v>0</v>
      </c>
      <c r="V34" s="144">
        <v>0</v>
      </c>
      <c r="W34" s="144">
        <v>0</v>
      </c>
      <c r="X34" s="144">
        <v>1</v>
      </c>
      <c r="Y34" s="144">
        <v>1</v>
      </c>
      <c r="Z34" s="144">
        <v>1</v>
      </c>
      <c r="AA34" s="144">
        <v>0.92105263157894735</v>
      </c>
      <c r="AB34" s="144">
        <v>0.92105263157894735</v>
      </c>
      <c r="AC34" s="144">
        <v>1</v>
      </c>
      <c r="AD34" s="144">
        <v>1</v>
      </c>
      <c r="AE34" s="144">
        <v>1</v>
      </c>
      <c r="AF34" s="144">
        <v>1</v>
      </c>
      <c r="AG34" s="144">
        <v>1</v>
      </c>
      <c r="AH34" s="144">
        <v>1</v>
      </c>
      <c r="AI34" s="144">
        <v>1</v>
      </c>
      <c r="AJ34" s="144">
        <v>1</v>
      </c>
      <c r="AK34" s="144">
        <v>1</v>
      </c>
      <c r="AL34" s="144">
        <v>1</v>
      </c>
      <c r="AM34" s="144">
        <v>1</v>
      </c>
      <c r="AN34" s="144">
        <v>1</v>
      </c>
      <c r="AO34" s="144">
        <v>1</v>
      </c>
      <c r="AP34" s="144">
        <v>1</v>
      </c>
      <c r="AQ34" s="144">
        <v>1</v>
      </c>
      <c r="AR34" s="144">
        <v>1</v>
      </c>
      <c r="AS34" s="144">
        <v>1</v>
      </c>
      <c r="AT34" s="144">
        <v>1</v>
      </c>
      <c r="AU34" s="144">
        <v>1</v>
      </c>
      <c r="AV34" s="144">
        <v>1</v>
      </c>
      <c r="AW34" s="144">
        <v>1</v>
      </c>
      <c r="AX34" s="144">
        <v>1</v>
      </c>
      <c r="AY34" s="144">
        <v>1</v>
      </c>
      <c r="AZ34" s="144">
        <v>1</v>
      </c>
      <c r="BA34" s="144">
        <v>1</v>
      </c>
      <c r="BB34" s="144">
        <v>1</v>
      </c>
      <c r="BC34" s="144">
        <v>1</v>
      </c>
      <c r="BD34" s="144">
        <v>1</v>
      </c>
      <c r="BE34" s="144">
        <v>1</v>
      </c>
      <c r="BF34" s="144">
        <v>1</v>
      </c>
      <c r="BG34" s="144">
        <v>1</v>
      </c>
      <c r="BH34" s="144">
        <v>1</v>
      </c>
      <c r="BI34" s="144">
        <v>0</v>
      </c>
      <c r="BJ34" s="144">
        <v>0</v>
      </c>
      <c r="BK34" s="144">
        <v>0</v>
      </c>
      <c r="BL34" s="144">
        <v>0</v>
      </c>
      <c r="BM34" s="144">
        <v>0</v>
      </c>
      <c r="BN34" s="144">
        <v>0</v>
      </c>
      <c r="BO34" s="144">
        <v>0</v>
      </c>
      <c r="BP34" s="144">
        <v>0</v>
      </c>
      <c r="BQ34" s="144">
        <v>0</v>
      </c>
      <c r="BR34" s="144">
        <v>0</v>
      </c>
      <c r="BS34" s="144">
        <v>0</v>
      </c>
      <c r="BT34" s="144">
        <v>0</v>
      </c>
      <c r="BU34" s="144">
        <v>0</v>
      </c>
      <c r="BV34" s="144">
        <v>0</v>
      </c>
      <c r="BW34" s="144">
        <v>0</v>
      </c>
      <c r="BX34" s="144">
        <v>0</v>
      </c>
      <c r="BY34" s="144">
        <v>0</v>
      </c>
      <c r="BZ34" s="144">
        <v>0</v>
      </c>
      <c r="CA34" s="144">
        <v>0</v>
      </c>
      <c r="CB34" s="144">
        <v>0</v>
      </c>
      <c r="CC34" s="144">
        <v>0</v>
      </c>
      <c r="CD34" s="144">
        <v>0</v>
      </c>
      <c r="CE34" s="144">
        <v>0</v>
      </c>
      <c r="CF34" s="144">
        <v>0</v>
      </c>
      <c r="CG34" s="144">
        <v>0</v>
      </c>
      <c r="CH34" s="144">
        <v>0</v>
      </c>
      <c r="CI34" s="144">
        <v>0</v>
      </c>
      <c r="CJ34" s="144">
        <v>0</v>
      </c>
      <c r="CK34" s="144">
        <v>0</v>
      </c>
      <c r="CL34" s="144">
        <v>0</v>
      </c>
      <c r="CM34" s="144">
        <v>0</v>
      </c>
      <c r="CN34" s="144">
        <v>0</v>
      </c>
      <c r="CO34" s="144">
        <v>0</v>
      </c>
      <c r="CP34" s="144">
        <v>0</v>
      </c>
      <c r="CQ34" s="143">
        <v>0</v>
      </c>
      <c r="CR34" s="145">
        <v>0</v>
      </c>
      <c r="CS34" s="145">
        <v>0</v>
      </c>
      <c r="CT34" s="145">
        <v>0</v>
      </c>
      <c r="CU34" s="145">
        <v>0</v>
      </c>
      <c r="CV34" s="145">
        <v>0</v>
      </c>
      <c r="CW34" s="145">
        <v>0</v>
      </c>
      <c r="CX34" s="145">
        <v>0</v>
      </c>
      <c r="CY34" s="145">
        <v>0</v>
      </c>
      <c r="CZ34" s="145">
        <v>0</v>
      </c>
      <c r="DA34" s="145">
        <v>0</v>
      </c>
      <c r="DB34" s="145">
        <v>0</v>
      </c>
      <c r="DC34" s="145">
        <v>0</v>
      </c>
      <c r="DD34" s="145">
        <v>0</v>
      </c>
      <c r="DE34" s="145">
        <v>37472.400000000001</v>
      </c>
      <c r="DF34" s="145">
        <v>37472.400000000001</v>
      </c>
      <c r="DG34" s="145">
        <v>28104.300000000003</v>
      </c>
      <c r="DH34" s="145">
        <v>37472.400000000001</v>
      </c>
      <c r="DI34" s="145">
        <v>37472.400000000001</v>
      </c>
      <c r="DJ34" s="145">
        <v>38600.800000000003</v>
      </c>
      <c r="DK34" s="145">
        <v>38600.800000000003</v>
      </c>
      <c r="DL34" s="145">
        <v>38600.800000000003</v>
      </c>
      <c r="DM34" s="145">
        <v>38600.800000000003</v>
      </c>
      <c r="DN34" s="145">
        <v>38600.800000000003</v>
      </c>
      <c r="DO34" s="145">
        <v>28950.600000000002</v>
      </c>
      <c r="DP34" s="145">
        <v>28950.600000000002</v>
      </c>
      <c r="DQ34" s="145">
        <v>38600.800000000003</v>
      </c>
      <c r="DR34" s="145">
        <v>38600.800000000003</v>
      </c>
      <c r="DS34" s="145">
        <v>28950.600000000002</v>
      </c>
      <c r="DT34" s="145">
        <v>41909.440000000002</v>
      </c>
      <c r="DU34" s="145">
        <v>41909.440000000002</v>
      </c>
      <c r="DV34" s="145">
        <v>39760</v>
      </c>
      <c r="DW34" s="145">
        <v>39760</v>
      </c>
      <c r="DX34" s="145">
        <v>39760</v>
      </c>
      <c r="DY34" s="145">
        <v>39760</v>
      </c>
      <c r="DZ34" s="145">
        <v>39760</v>
      </c>
      <c r="EA34" s="145">
        <v>29820</v>
      </c>
      <c r="EB34" s="145">
        <v>29820</v>
      </c>
      <c r="EC34" s="145">
        <v>39760</v>
      </c>
      <c r="ED34" s="145">
        <v>39760</v>
      </c>
      <c r="EE34" s="145">
        <v>29820</v>
      </c>
      <c r="EF34" s="145">
        <v>43168</v>
      </c>
      <c r="EG34" s="145">
        <v>43168</v>
      </c>
      <c r="EH34" s="145">
        <v>40951.4</v>
      </c>
      <c r="EI34" s="145">
        <v>40951.4</v>
      </c>
      <c r="EJ34" s="145">
        <v>40951.4</v>
      </c>
      <c r="EK34" s="145">
        <v>40951.4</v>
      </c>
      <c r="EL34" s="145">
        <v>40951.4</v>
      </c>
      <c r="EM34" s="145">
        <v>30713.550000000003</v>
      </c>
      <c r="EN34" s="145">
        <v>30713.550000000003</v>
      </c>
      <c r="EO34" s="145">
        <v>40951.4</v>
      </c>
      <c r="EP34" s="145">
        <v>0</v>
      </c>
      <c r="EQ34" s="145">
        <v>0</v>
      </c>
      <c r="ER34" s="145">
        <v>0</v>
      </c>
      <c r="ES34" s="145">
        <v>0</v>
      </c>
      <c r="ET34" s="145">
        <v>0</v>
      </c>
      <c r="EU34" s="145">
        <v>0</v>
      </c>
      <c r="EV34" s="145">
        <v>0</v>
      </c>
      <c r="EW34" s="145">
        <v>0</v>
      </c>
      <c r="EX34" s="145">
        <v>0</v>
      </c>
      <c r="EY34" s="145">
        <v>0</v>
      </c>
      <c r="EZ34" s="145">
        <v>0</v>
      </c>
      <c r="FA34" s="145">
        <v>0</v>
      </c>
      <c r="FB34" s="145">
        <v>0</v>
      </c>
      <c r="FC34" s="145">
        <v>0</v>
      </c>
      <c r="FD34" s="145">
        <v>0</v>
      </c>
      <c r="FE34" s="145">
        <v>0</v>
      </c>
      <c r="FF34" s="145">
        <v>0</v>
      </c>
      <c r="FG34" s="145">
        <v>0</v>
      </c>
      <c r="FH34" s="145">
        <v>0</v>
      </c>
      <c r="FI34" s="145">
        <v>0</v>
      </c>
      <c r="FJ34" s="145">
        <v>0</v>
      </c>
      <c r="FK34" s="145">
        <v>0</v>
      </c>
      <c r="FL34" s="145">
        <v>0</v>
      </c>
      <c r="FM34" s="145">
        <v>0</v>
      </c>
      <c r="FN34" s="145">
        <v>0</v>
      </c>
      <c r="FO34" s="145">
        <v>0</v>
      </c>
      <c r="FP34" s="145">
        <v>0</v>
      </c>
      <c r="FQ34" s="145">
        <v>0</v>
      </c>
      <c r="FR34" s="145">
        <v>0</v>
      </c>
      <c r="FS34" s="145">
        <v>0</v>
      </c>
      <c r="FT34" s="145">
        <v>0</v>
      </c>
      <c r="FU34" s="145">
        <v>0</v>
      </c>
      <c r="FV34" s="145">
        <v>0</v>
      </c>
      <c r="FW34" s="145">
        <v>0</v>
      </c>
      <c r="FX34" s="143"/>
      <c r="FY34" s="146" t="str">
        <f>_xlfn.XLOOKUP($E34,'Key assumptions'!$B$112:$B$120,'Key assumptions'!$C$112:$C$120,0)</f>
        <v>Nominal</v>
      </c>
      <c r="FZ34" s="146" cm="1">
        <f t="array" ref="FZ34">IF($FY34=0,0,_xlfn.IFS($FY34='Key assumptions'!$C$120,_xlfn.XLOOKUP(LEFT(FZ$7,6),Inflation_Year,Inflation_NominaltoReal),TRUE,_xlfn.XLOOKUP($FY34,Inflation_Year,NominaltoReal)))</f>
        <v>1.0197075870962191</v>
      </c>
      <c r="GA34" s="146" cm="1">
        <f t="array" ref="GA34">IF($FY34=0,0,_xlfn.IFS($FY34='Key assumptions'!$C$120,_xlfn.XLOOKUP(LEFT(GA$7,6),Inflation_Year,Inflation_NominaltoReal),TRUE,_xlfn.XLOOKUP($FY34,Inflation_Year,NominaltoReal)))</f>
        <v>0.98700804022984445</v>
      </c>
      <c r="GB34" s="146" cm="1">
        <f t="array" ref="GB34">IF($FY34=0,0,_xlfn.IFS($FY34='Key assumptions'!$C$120,_xlfn.XLOOKUP(LEFT(GB$7,6),Inflation_Year,Inflation_NominaltoReal),TRUE,_xlfn.XLOOKUP($FY34,Inflation_Year,NominaltoReal)))</f>
        <v>0.96152830081941731</v>
      </c>
      <c r="GC34" s="146" cm="1">
        <f t="array" ref="GC34">IF($FY34=0,0,_xlfn.IFS($FY34='Key assumptions'!$C$120,_xlfn.XLOOKUP(LEFT(GC$7,6),Inflation_Year,Inflation_NominaltoReal),TRUE,_xlfn.XLOOKUP($FY34,Inflation_Year,NominaltoReal)))</f>
        <v>0.93670632415656829</v>
      </c>
      <c r="GD34" s="146" cm="1">
        <f t="array" ref="GD34">IF($FY34=0,0,_xlfn.IFS($FY34='Key assumptions'!$C$120,_xlfn.XLOOKUP(LEFT(GD$7,6),Inflation_Year,Inflation_NominaltoReal),TRUE,_xlfn.XLOOKUP($FY34,Inflation_Year,NominaltoReal)))</f>
        <v>0.91252513001143176</v>
      </c>
      <c r="GE34" s="146" cm="1">
        <f t="array" ref="GE34">IF($FY34=0,0,_xlfn.IFS($FY34='Key assumptions'!$C$120,_xlfn.XLOOKUP(LEFT(GE$7,6),Inflation_Year,Inflation_NominaltoReal),TRUE,_xlfn.XLOOKUP($FY34,Inflation_Year,NominaltoReal)))</f>
        <v>0.88896817650095872</v>
      </c>
      <c r="GF34" s="146" cm="1">
        <f t="array" ref="GF34">IF($FY34=0,0,_xlfn.IFS($FY34='Key assumptions'!$C$120,_xlfn.XLOOKUP(LEFT(GF$7,6),Inflation_Year,Inflation_NominaltoReal),TRUE,_xlfn.XLOOKUP($FY34,Inflation_Year,NominaltoReal)))</f>
        <v>0.86601934877293718</v>
      </c>
      <c r="GG34" s="143"/>
      <c r="GH34" s="145" cm="1">
        <f t="array" ref="GH34">SUMPRODUCT(--($CR$7:$FW$7&gt;=GH$5),--($CR$7:$FW$7&lt;=GH$6),$CR34:$FW34)*FZ34</f>
        <v>299586.31617079693</v>
      </c>
      <c r="GI34" s="145" cm="1">
        <f t="array" ref="GI34">SUMPRODUCT(--($CR$7:$FW$7&gt;=GI$5),--($CR$7:$FW$7&lt;=GI$6),$CR34:$FW34)*GA34</f>
        <v>438580.85226732754</v>
      </c>
      <c r="GJ34" s="145" cm="1">
        <f t="array" ref="GJ34">SUMPRODUCT(--($CR$7:$FW$7&gt;=GJ$5),--($CR$7:$FW$7&lt;=GJ$6),$CR34:$FW34)*GB34</f>
        <v>440082.08030769933</v>
      </c>
      <c r="GK34" s="145" cm="1">
        <f t="array" ref="GK34">SUMPRODUCT(--($CR$7:$FW$7&gt;=GK$5),--($CR$7:$FW$7&lt;=GK$6),$CR34:$FW34)*GC34</f>
        <v>172617.45913379383</v>
      </c>
      <c r="GL34" s="145" cm="1">
        <f t="array" ref="GL34">SUMPRODUCT(--($CR$7:$FW$7&gt;=GL$5),--($CR$7:$FW$7&lt;=GL$6),$CR34:$FW34)*GD34</f>
        <v>0</v>
      </c>
      <c r="GM34" s="145" cm="1">
        <f t="array" ref="GM34">SUMPRODUCT(--($CR$7:$FW$7&gt;=GM$5),--($CR$7:$FW$7&lt;=GM$6),$CR34:$FW34)*GE34</f>
        <v>0</v>
      </c>
      <c r="GN34" s="145" cm="1">
        <f t="array" ref="GN34">SUMPRODUCT(--($CR$7:$FW$7&gt;=GN$5),--($CR$7:$FW$7&lt;=GN$6),$CR34:$FW34)*GF34</f>
        <v>0</v>
      </c>
      <c r="GO34" s="145">
        <f t="shared" si="18"/>
        <v>1350866.7078796176</v>
      </c>
      <c r="GP34" s="87"/>
      <c r="GQ34" s="89"/>
      <c r="GR34" s="145" cm="1">
        <f t="array" ref="GR34">SUMPRODUCT(--($CR$7:$FW$7&gt;=GR$5),--($CR$7:$FW$7&lt;=GR$6),$CR34:$FW34)</f>
        <v>177993.9</v>
      </c>
      <c r="GS34" s="89"/>
      <c r="GT34" s="214" cm="1">
        <f t="array" ref="GT34">--AND(MIN(IF($K34:$CP34&lt;&gt;0,$K$7:$CP$7))&gt;=GT$5,MIN(IF($K34:$CP34&lt;&gt;0,$K$7:$CP$7))&lt;=GT$6)</f>
        <v>1</v>
      </c>
      <c r="GU34" s="214" cm="1">
        <f t="array" ref="GU34">--AND(MIN(IF($K34:$CP34&lt;&gt;0,$K$7:$CP$7))&gt;=GU$5,MIN(IF($K34:$CP34&lt;&gt;0,$K$7:$CP$7))&lt;=GU$6)</f>
        <v>0</v>
      </c>
      <c r="GV34" s="214" cm="1">
        <f t="array" ref="GV34">--AND(MIN(IF($K34:$CP34&lt;&gt;0,$K$7:$CP$7))&gt;=GV$5,MIN(IF($K34:$CP34&lt;&gt;0,$K$7:$CP$7))&lt;=GV$6)</f>
        <v>0</v>
      </c>
      <c r="GW34" s="214" cm="1">
        <f t="array" ref="GW34">--AND(MIN(IF($K34:$CP34&lt;&gt;0,$K$7:$CP$7))&gt;=GW$5,MIN(IF($K34:$CP34&lt;&gt;0,$K$7:$CP$7))&lt;=GW$6)</f>
        <v>0</v>
      </c>
      <c r="GX34" s="214" cm="1">
        <f t="array" ref="GX34">--AND(MIN(IF($K34:$CP34&lt;&gt;0,$K$7:$CP$7))&gt;=GX$5,MIN(IF($K34:$CP34&lt;&gt;0,$K$7:$CP$7))&lt;=GX$6)</f>
        <v>0</v>
      </c>
      <c r="GY34" s="214" cm="1">
        <f t="array" ref="GY34">--AND(MIN(IF($K34:$CP34&lt;&gt;0,$K$7:$CP$7))&gt;=GY$5,MIN(IF($K34:$CP34&lt;&gt;0,$K$7:$CP$7))&lt;=GY$6)</f>
        <v>0</v>
      </c>
      <c r="GZ34" s="214" cm="1">
        <f t="array" ref="GZ34">--AND(MIN(IF($K34:$CP34&lt;&gt;0,$K$7:$CP$7))&gt;=GZ$5,MIN(IF($K34:$CP34&lt;&gt;0,$K$7:$CP$7))&lt;=GZ$6)</f>
        <v>0</v>
      </c>
      <c r="HA34" s="214">
        <f t="shared" si="0"/>
        <v>1</v>
      </c>
      <c r="HC34" s="214" cm="1">
        <f t="array" ref="HC34">--AND(MIN(IF($K34:$CP34&lt;&gt;0,$K$7:$CP$7))&gt;=HC$5,MIN(IF($K34:$CP34&lt;&gt;0,$K$7:$CP$7))&lt;=HC$6)</f>
        <v>1</v>
      </c>
      <c r="HE34" s="147" t="str">
        <f t="shared" si="19"/>
        <v>Yes</v>
      </c>
      <c r="HF34" s="147" t="str">
        <f t="shared" si="20"/>
        <v>No</v>
      </c>
      <c r="HG34" s="147">
        <f>IF($HF34="Yes",0,$H34*avg_hrs*12*'Key assumptions'!$D$87)</f>
        <v>493061.5312998477</v>
      </c>
      <c r="HH34" s="147">
        <f>IF(HE34="Yes",'Key assumptions'!$D$84*HG34,0)</f>
        <v>73959.229694977155</v>
      </c>
      <c r="HI34" s="144">
        <f>IFERROR(AVERAGEIFS($K34:$CP34,$K$7:$CP$7,"&gt;="&amp;'Key assumptions'!$D$24,$K$7:$CP$7,"&lt;="&amp;'Key assumptions'!$D$25),0)</f>
        <v>0.83732057416267935</v>
      </c>
      <c r="HJ34" s="148">
        <f t="shared" si="21"/>
        <v>61927.584672827754</v>
      </c>
      <c r="HK34" s="148">
        <f t="shared" si="1"/>
        <v>61927.584672827754</v>
      </c>
      <c r="HL34" s="148">
        <f t="shared" si="2"/>
        <v>0</v>
      </c>
      <c r="HM34" s="148">
        <f t="shared" si="3"/>
        <v>0</v>
      </c>
      <c r="HN34" s="148">
        <f t="shared" si="4"/>
        <v>0</v>
      </c>
      <c r="HO34" s="148">
        <f t="shared" si="5"/>
        <v>0</v>
      </c>
      <c r="HP34" s="148">
        <f t="shared" si="6"/>
        <v>0</v>
      </c>
      <c r="HQ34" s="148">
        <f t="shared" si="7"/>
        <v>0</v>
      </c>
      <c r="HR34" s="147">
        <f t="shared" si="8"/>
        <v>61927.584672827754</v>
      </c>
      <c r="HS34" s="89"/>
      <c r="HU34" s="147">
        <f>$HJ34*HC34/(1+'Key assumptions'!G56)^0.75</f>
        <v>61927.584672827754</v>
      </c>
      <c r="HW34" s="216">
        <f t="shared" si="9"/>
        <v>0.83732057416267935</v>
      </c>
      <c r="HX34" s="216">
        <f t="shared" si="10"/>
        <v>0</v>
      </c>
      <c r="HY34" s="216">
        <f t="shared" si="11"/>
        <v>0</v>
      </c>
      <c r="HZ34" s="216">
        <f t="shared" si="12"/>
        <v>0</v>
      </c>
      <c r="IA34" s="216">
        <f t="shared" si="13"/>
        <v>0</v>
      </c>
      <c r="IB34" s="216">
        <f t="shared" si="14"/>
        <v>0</v>
      </c>
      <c r="IC34" s="216">
        <f t="shared" si="15"/>
        <v>0</v>
      </c>
      <c r="ID34" s="216">
        <f t="shared" si="16"/>
        <v>0.83732057416267935</v>
      </c>
      <c r="IF34" s="216">
        <f t="shared" si="17"/>
        <v>0.83732057416267935</v>
      </c>
    </row>
    <row r="35" spans="2:240" x14ac:dyDescent="0.2">
      <c r="B35" s="141" t="str">
        <v>Project Delivery Management - Project Controls</v>
      </c>
      <c r="C35" s="141" t="str">
        <v>Project Manager - Senior (Network Projects)</v>
      </c>
      <c r="D35" s="141" t="str">
        <v>Internal Labour</v>
      </c>
      <c r="E35" s="141" t="str">
        <v>$ Nominal</v>
      </c>
      <c r="F35" s="141" t="str">
        <v>Existing</v>
      </c>
      <c r="G35" s="141" t="str">
        <v>Normal time</v>
      </c>
      <c r="H35" s="142">
        <v>316.45</v>
      </c>
      <c r="I35" s="126">
        <v>1599492.38</v>
      </c>
      <c r="J35" s="143">
        <v>0</v>
      </c>
      <c r="K35" s="144">
        <v>0</v>
      </c>
      <c r="L35" s="144">
        <v>0</v>
      </c>
      <c r="M35" s="144">
        <v>0</v>
      </c>
      <c r="N35" s="144">
        <v>0</v>
      </c>
      <c r="O35" s="144">
        <v>0</v>
      </c>
      <c r="P35" s="144">
        <v>0</v>
      </c>
      <c r="Q35" s="144">
        <v>0</v>
      </c>
      <c r="R35" s="144">
        <v>0.05</v>
      </c>
      <c r="S35" s="144">
        <v>0.05</v>
      </c>
      <c r="T35" s="144">
        <v>0</v>
      </c>
      <c r="U35" s="144">
        <v>0.1</v>
      </c>
      <c r="V35" s="144">
        <v>0.26666666666666666</v>
      </c>
      <c r="W35" s="144">
        <v>0.26666666666666666</v>
      </c>
      <c r="X35" s="144">
        <v>1</v>
      </c>
      <c r="Y35" s="144">
        <v>1</v>
      </c>
      <c r="Z35" s="144">
        <v>1</v>
      </c>
      <c r="AA35" s="144">
        <v>0.92105263157894735</v>
      </c>
      <c r="AB35" s="144">
        <v>0.92105263157894735</v>
      </c>
      <c r="AC35" s="144">
        <v>1</v>
      </c>
      <c r="AD35" s="144">
        <v>1</v>
      </c>
      <c r="AE35" s="144">
        <v>1</v>
      </c>
      <c r="AF35" s="144">
        <v>1</v>
      </c>
      <c r="AG35" s="144">
        <v>1</v>
      </c>
      <c r="AH35" s="144">
        <v>1</v>
      </c>
      <c r="AI35" s="144">
        <v>1</v>
      </c>
      <c r="AJ35" s="144">
        <v>1</v>
      </c>
      <c r="AK35" s="144">
        <v>1</v>
      </c>
      <c r="AL35" s="144">
        <v>1</v>
      </c>
      <c r="AM35" s="144">
        <v>1</v>
      </c>
      <c r="AN35" s="144">
        <v>1</v>
      </c>
      <c r="AO35" s="144">
        <v>1</v>
      </c>
      <c r="AP35" s="144">
        <v>1</v>
      </c>
      <c r="AQ35" s="144">
        <v>1</v>
      </c>
      <c r="AR35" s="144">
        <v>1</v>
      </c>
      <c r="AS35" s="144">
        <v>1</v>
      </c>
      <c r="AT35" s="144">
        <v>1</v>
      </c>
      <c r="AU35" s="144">
        <v>1</v>
      </c>
      <c r="AV35" s="144">
        <v>1</v>
      </c>
      <c r="AW35" s="144">
        <v>1</v>
      </c>
      <c r="AX35" s="144">
        <v>1</v>
      </c>
      <c r="AY35" s="144">
        <v>1</v>
      </c>
      <c r="AZ35" s="144">
        <v>1</v>
      </c>
      <c r="BA35" s="144">
        <v>1</v>
      </c>
      <c r="BB35" s="144">
        <v>1</v>
      </c>
      <c r="BC35" s="144">
        <v>1</v>
      </c>
      <c r="BD35" s="144">
        <v>1</v>
      </c>
      <c r="BE35" s="144">
        <v>1</v>
      </c>
      <c r="BF35" s="144">
        <v>1</v>
      </c>
      <c r="BG35" s="144">
        <v>1</v>
      </c>
      <c r="BH35" s="144">
        <v>1</v>
      </c>
      <c r="BI35" s="144">
        <v>0</v>
      </c>
      <c r="BJ35" s="144">
        <v>0</v>
      </c>
      <c r="BK35" s="144">
        <v>0</v>
      </c>
      <c r="BL35" s="144">
        <v>0</v>
      </c>
      <c r="BM35" s="144">
        <v>0</v>
      </c>
      <c r="BN35" s="144">
        <v>0</v>
      </c>
      <c r="BO35" s="144">
        <v>0</v>
      </c>
      <c r="BP35" s="144">
        <v>0</v>
      </c>
      <c r="BQ35" s="144">
        <v>0</v>
      </c>
      <c r="BR35" s="144">
        <v>0</v>
      </c>
      <c r="BS35" s="144">
        <v>0</v>
      </c>
      <c r="BT35" s="144">
        <v>0</v>
      </c>
      <c r="BU35" s="144">
        <v>0</v>
      </c>
      <c r="BV35" s="144">
        <v>0</v>
      </c>
      <c r="BW35" s="144">
        <v>0</v>
      </c>
      <c r="BX35" s="144">
        <v>0</v>
      </c>
      <c r="BY35" s="144">
        <v>0</v>
      </c>
      <c r="BZ35" s="144">
        <v>0</v>
      </c>
      <c r="CA35" s="144">
        <v>0</v>
      </c>
      <c r="CB35" s="144">
        <v>0</v>
      </c>
      <c r="CC35" s="144">
        <v>0</v>
      </c>
      <c r="CD35" s="144">
        <v>0</v>
      </c>
      <c r="CE35" s="144">
        <v>0</v>
      </c>
      <c r="CF35" s="144">
        <v>0</v>
      </c>
      <c r="CG35" s="144">
        <v>0</v>
      </c>
      <c r="CH35" s="144">
        <v>0</v>
      </c>
      <c r="CI35" s="144">
        <v>0</v>
      </c>
      <c r="CJ35" s="144">
        <v>0</v>
      </c>
      <c r="CK35" s="144">
        <v>0</v>
      </c>
      <c r="CL35" s="144">
        <v>0</v>
      </c>
      <c r="CM35" s="144">
        <v>0</v>
      </c>
      <c r="CN35" s="144">
        <v>0</v>
      </c>
      <c r="CO35" s="144">
        <v>0</v>
      </c>
      <c r="CP35" s="144">
        <v>0</v>
      </c>
      <c r="CQ35" s="143">
        <v>0</v>
      </c>
      <c r="CR35" s="145">
        <v>0</v>
      </c>
      <c r="CS35" s="145">
        <v>0</v>
      </c>
      <c r="CT35" s="145">
        <v>0</v>
      </c>
      <c r="CU35" s="145">
        <v>0</v>
      </c>
      <c r="CV35" s="145">
        <v>0</v>
      </c>
      <c r="CW35" s="145">
        <v>0</v>
      </c>
      <c r="CX35" s="145">
        <v>0</v>
      </c>
      <c r="CY35" s="145">
        <v>1331.6</v>
      </c>
      <c r="CZ35" s="145">
        <v>1331.6</v>
      </c>
      <c r="DA35" s="145">
        <v>0</v>
      </c>
      <c r="DB35" s="145">
        <v>2663.2</v>
      </c>
      <c r="DC35" s="145">
        <v>5151.0399999999991</v>
      </c>
      <c r="DD35" s="145">
        <v>5151.04</v>
      </c>
      <c r="DE35" s="145">
        <v>43019.199999999997</v>
      </c>
      <c r="DF35" s="145">
        <v>43019.199999999997</v>
      </c>
      <c r="DG35" s="145">
        <v>32264.399999999998</v>
      </c>
      <c r="DH35" s="145">
        <v>43019.199999999997</v>
      </c>
      <c r="DI35" s="145">
        <v>43019.199999999997</v>
      </c>
      <c r="DJ35" s="145">
        <v>44303</v>
      </c>
      <c r="DK35" s="145">
        <v>44303</v>
      </c>
      <c r="DL35" s="145">
        <v>44303</v>
      </c>
      <c r="DM35" s="145">
        <v>44303</v>
      </c>
      <c r="DN35" s="145">
        <v>44303</v>
      </c>
      <c r="DO35" s="145">
        <v>33227.25</v>
      </c>
      <c r="DP35" s="145">
        <v>33227.25</v>
      </c>
      <c r="DQ35" s="145">
        <v>44303</v>
      </c>
      <c r="DR35" s="145">
        <v>44303</v>
      </c>
      <c r="DS35" s="145">
        <v>33227.25</v>
      </c>
      <c r="DT35" s="145">
        <v>48100.4</v>
      </c>
      <c r="DU35" s="145">
        <v>48100.4</v>
      </c>
      <c r="DV35" s="145">
        <v>45619</v>
      </c>
      <c r="DW35" s="145">
        <v>45619</v>
      </c>
      <c r="DX35" s="145">
        <v>45619</v>
      </c>
      <c r="DY35" s="145">
        <v>45619</v>
      </c>
      <c r="DZ35" s="145">
        <v>45619</v>
      </c>
      <c r="EA35" s="145">
        <v>34214.25</v>
      </c>
      <c r="EB35" s="145">
        <v>34214.25</v>
      </c>
      <c r="EC35" s="145">
        <v>45619</v>
      </c>
      <c r="ED35" s="145">
        <v>45619</v>
      </c>
      <c r="EE35" s="145">
        <v>34214.25</v>
      </c>
      <c r="EF35" s="145">
        <v>49529.200000000004</v>
      </c>
      <c r="EG35" s="145">
        <v>49529.200000000004</v>
      </c>
      <c r="EH35" s="145">
        <v>46998</v>
      </c>
      <c r="EI35" s="145">
        <v>46998</v>
      </c>
      <c r="EJ35" s="145">
        <v>46998</v>
      </c>
      <c r="EK35" s="145">
        <v>46998</v>
      </c>
      <c r="EL35" s="145">
        <v>46998</v>
      </c>
      <c r="EM35" s="145">
        <v>35248.5</v>
      </c>
      <c r="EN35" s="145">
        <v>35248.5</v>
      </c>
      <c r="EO35" s="145">
        <v>46998</v>
      </c>
      <c r="EP35" s="145">
        <v>0</v>
      </c>
      <c r="EQ35" s="145">
        <v>0</v>
      </c>
      <c r="ER35" s="145">
        <v>0</v>
      </c>
      <c r="ES35" s="145">
        <v>0</v>
      </c>
      <c r="ET35" s="145">
        <v>0</v>
      </c>
      <c r="EU35" s="145">
        <v>0</v>
      </c>
      <c r="EV35" s="145">
        <v>0</v>
      </c>
      <c r="EW35" s="145">
        <v>0</v>
      </c>
      <c r="EX35" s="145">
        <v>0</v>
      </c>
      <c r="EY35" s="145">
        <v>0</v>
      </c>
      <c r="EZ35" s="145">
        <v>0</v>
      </c>
      <c r="FA35" s="145">
        <v>0</v>
      </c>
      <c r="FB35" s="145">
        <v>0</v>
      </c>
      <c r="FC35" s="145">
        <v>0</v>
      </c>
      <c r="FD35" s="145">
        <v>0</v>
      </c>
      <c r="FE35" s="145">
        <v>0</v>
      </c>
      <c r="FF35" s="145">
        <v>0</v>
      </c>
      <c r="FG35" s="145">
        <v>0</v>
      </c>
      <c r="FH35" s="145">
        <v>0</v>
      </c>
      <c r="FI35" s="145">
        <v>0</v>
      </c>
      <c r="FJ35" s="145">
        <v>0</v>
      </c>
      <c r="FK35" s="145">
        <v>0</v>
      </c>
      <c r="FL35" s="145">
        <v>0</v>
      </c>
      <c r="FM35" s="145">
        <v>0</v>
      </c>
      <c r="FN35" s="145">
        <v>0</v>
      </c>
      <c r="FO35" s="145">
        <v>0</v>
      </c>
      <c r="FP35" s="145">
        <v>0</v>
      </c>
      <c r="FQ35" s="145">
        <v>0</v>
      </c>
      <c r="FR35" s="145">
        <v>0</v>
      </c>
      <c r="FS35" s="145">
        <v>0</v>
      </c>
      <c r="FT35" s="145">
        <v>0</v>
      </c>
      <c r="FU35" s="145">
        <v>0</v>
      </c>
      <c r="FV35" s="145">
        <v>0</v>
      </c>
      <c r="FW35" s="145">
        <v>0</v>
      </c>
      <c r="FX35" s="143"/>
      <c r="FY35" s="146" t="str">
        <f>_xlfn.XLOOKUP($E35,'Key assumptions'!$B$112:$B$120,'Key assumptions'!$C$112:$C$120,0)</f>
        <v>Nominal</v>
      </c>
      <c r="FZ35" s="146" cm="1">
        <f t="array" ref="FZ35">IF($FY35=0,0,_xlfn.IFS($FY35='Key assumptions'!$C$120,_xlfn.XLOOKUP(LEFT(FZ$7,6),Inflation_Year,Inflation_NominaltoReal),TRUE,_xlfn.XLOOKUP($FY35,Inflation_Year,NominaltoReal)))</f>
        <v>1.0197075870962191</v>
      </c>
      <c r="GA35" s="146" cm="1">
        <f t="array" ref="GA35">IF($FY35=0,0,_xlfn.IFS($FY35='Key assumptions'!$C$120,_xlfn.XLOOKUP(LEFT(GA$7,6),Inflation_Year,Inflation_NominaltoReal),TRUE,_xlfn.XLOOKUP($FY35,Inflation_Year,NominaltoReal)))</f>
        <v>0.98700804022984445</v>
      </c>
      <c r="GB35" s="146" cm="1">
        <f t="array" ref="GB35">IF($FY35=0,0,_xlfn.IFS($FY35='Key assumptions'!$C$120,_xlfn.XLOOKUP(LEFT(GB$7,6),Inflation_Year,Inflation_NominaltoReal),TRUE,_xlfn.XLOOKUP($FY35,Inflation_Year,NominaltoReal)))</f>
        <v>0.96152830081941731</v>
      </c>
      <c r="GC35" s="146" cm="1">
        <f t="array" ref="GC35">IF($FY35=0,0,_xlfn.IFS($FY35='Key assumptions'!$C$120,_xlfn.XLOOKUP(LEFT(GC$7,6),Inflation_Year,Inflation_NominaltoReal),TRUE,_xlfn.XLOOKUP($FY35,Inflation_Year,NominaltoReal)))</f>
        <v>0.93670632415656829</v>
      </c>
      <c r="GD35" s="146" cm="1">
        <f t="array" ref="GD35">IF($FY35=0,0,_xlfn.IFS($FY35='Key assumptions'!$C$120,_xlfn.XLOOKUP(LEFT(GD$7,6),Inflation_Year,Inflation_NominaltoReal),TRUE,_xlfn.XLOOKUP($FY35,Inflation_Year,NominaltoReal)))</f>
        <v>0.91252513001143176</v>
      </c>
      <c r="GE35" s="146" cm="1">
        <f t="array" ref="GE35">IF($FY35=0,0,_xlfn.IFS($FY35='Key assumptions'!$C$120,_xlfn.XLOOKUP(LEFT(GE$7,6),Inflation_Year,Inflation_NominaltoReal),TRUE,_xlfn.XLOOKUP($FY35,Inflation_Year,NominaltoReal)))</f>
        <v>0.88896817650095872</v>
      </c>
      <c r="GF35" s="146" cm="1">
        <f t="array" ref="GF35">IF($FY35=0,0,_xlfn.IFS($FY35='Key assumptions'!$C$120,_xlfn.XLOOKUP(LEFT(GF$7,6),Inflation_Year,Inflation_NominaltoReal),TRUE,_xlfn.XLOOKUP($FY35,Inflation_Year,NominaltoReal)))</f>
        <v>0.86601934877293718</v>
      </c>
      <c r="GG35" s="143"/>
      <c r="GH35" s="145" cm="1">
        <f t="array" ref="GH35">SUMPRODUCT(--($CR$7:$FW$7&gt;=GH$5),--($CR$7:$FW$7&lt;=GH$6),$CR35:$FW35)*FZ35</f>
        <v>343896.5876897173</v>
      </c>
      <c r="GI35" s="145" cm="1">
        <f t="array" ref="GI35">SUMPRODUCT(--($CR$7:$FW$7&gt;=GI$5),--($CR$7:$FW$7&lt;=GI$6),$CR35:$FW35)*GA35</f>
        <v>503326.27997767157</v>
      </c>
      <c r="GJ35" s="145" cm="1">
        <f t="array" ref="GJ35">SUMPRODUCT(--($CR$7:$FW$7&gt;=GJ$5),--($CR$7:$FW$7&lt;=GJ$6),$CR35:$FW35)*GB35</f>
        <v>504966.92349887936</v>
      </c>
      <c r="GK35" s="145" cm="1">
        <f t="array" ref="GK35">SUMPRODUCT(--($CR$7:$FW$7&gt;=GK$5),--($CR$7:$FW$7&lt;=GK$6),$CR35:$FW35)*GC35</f>
        <v>198104.95720219679</v>
      </c>
      <c r="GL35" s="145" cm="1">
        <f t="array" ref="GL35">SUMPRODUCT(--($CR$7:$FW$7&gt;=GL$5),--($CR$7:$FW$7&lt;=GL$6),$CR35:$FW35)*GD35</f>
        <v>0</v>
      </c>
      <c r="GM35" s="145" cm="1">
        <f t="array" ref="GM35">SUMPRODUCT(--($CR$7:$FW$7&gt;=GM$5),--($CR$7:$FW$7&lt;=GM$6),$CR35:$FW35)*GE35</f>
        <v>0</v>
      </c>
      <c r="GN35" s="145" cm="1">
        <f t="array" ref="GN35">SUMPRODUCT(--($CR$7:$FW$7&gt;=GN$5),--($CR$7:$FW$7&lt;=GN$6),$CR35:$FW35)*GF35</f>
        <v>0</v>
      </c>
      <c r="GO35" s="145">
        <f t="shared" si="18"/>
        <v>1550294.7483684651</v>
      </c>
      <c r="GP35" s="87"/>
      <c r="GQ35" s="89"/>
      <c r="GR35" s="145" cm="1">
        <f t="array" ref="GR35">SUMPRODUCT(--($CR$7:$FW$7&gt;=GR$5),--($CR$7:$FW$7&lt;=GR$6),$CR35:$FW35)</f>
        <v>204341.2</v>
      </c>
      <c r="GS35" s="89"/>
      <c r="GT35" s="214" cm="1">
        <f t="array" ref="GT35">--AND(MIN(IF($K35:$CP35&lt;&gt;0,$K$7:$CP$7))&gt;=GT$5,MIN(IF($K35:$CP35&lt;&gt;0,$K$7:$CP$7))&lt;=GT$6)</f>
        <v>0</v>
      </c>
      <c r="GU35" s="214" cm="1">
        <f t="array" ref="GU35">--AND(MIN(IF($K35:$CP35&lt;&gt;0,$K$7:$CP$7))&gt;=GU$5,MIN(IF($K35:$CP35&lt;&gt;0,$K$7:$CP$7))&lt;=GU$6)</f>
        <v>0</v>
      </c>
      <c r="GV35" s="214" cm="1">
        <f t="array" ref="GV35">--AND(MIN(IF($K35:$CP35&lt;&gt;0,$K$7:$CP$7))&gt;=GV$5,MIN(IF($K35:$CP35&lt;&gt;0,$K$7:$CP$7))&lt;=GV$6)</f>
        <v>0</v>
      </c>
      <c r="GW35" s="214" cm="1">
        <f t="array" ref="GW35">--AND(MIN(IF($K35:$CP35&lt;&gt;0,$K$7:$CP$7))&gt;=GW$5,MIN(IF($K35:$CP35&lt;&gt;0,$K$7:$CP$7))&lt;=GW$6)</f>
        <v>0</v>
      </c>
      <c r="GX35" s="214" cm="1">
        <f t="array" ref="GX35">--AND(MIN(IF($K35:$CP35&lt;&gt;0,$K$7:$CP$7))&gt;=GX$5,MIN(IF($K35:$CP35&lt;&gt;0,$K$7:$CP$7))&lt;=GX$6)</f>
        <v>0</v>
      </c>
      <c r="GY35" s="214" cm="1">
        <f t="array" ref="GY35">--AND(MIN(IF($K35:$CP35&lt;&gt;0,$K$7:$CP$7))&gt;=GY$5,MIN(IF($K35:$CP35&lt;&gt;0,$K$7:$CP$7))&lt;=GY$6)</f>
        <v>0</v>
      </c>
      <c r="GZ35" s="214" cm="1">
        <f t="array" ref="GZ35">--AND(MIN(IF($K35:$CP35&lt;&gt;0,$K$7:$CP$7))&gt;=GZ$5,MIN(IF($K35:$CP35&lt;&gt;0,$K$7:$CP$7))&lt;=GZ$6)</f>
        <v>0</v>
      </c>
      <c r="HA35" s="214">
        <f t="shared" si="0"/>
        <v>0</v>
      </c>
      <c r="HC35" s="214" cm="1">
        <f t="array" ref="HC35">--AND(MIN(IF($K35:$CP35&lt;&gt;0,$K$7:$CP$7))&gt;=HC$5,MIN(IF($K35:$CP35&lt;&gt;0,$K$7:$CP$7))&lt;=HC$6)</f>
        <v>0</v>
      </c>
      <c r="HE35" s="147" t="str">
        <f t="shared" si="19"/>
        <v>No</v>
      </c>
      <c r="HF35" s="147" t="str">
        <f t="shared" si="20"/>
        <v>No</v>
      </c>
      <c r="HG35" s="147">
        <f>IF($HF35="Yes",0,$H35*avg_hrs*12*'Key assumptions'!$D$87)</f>
        <v>565897.7280568576</v>
      </c>
      <c r="HH35" s="147">
        <f>IF(HE35="Yes",'Key assumptions'!$D$84*HG35,0)</f>
        <v>0</v>
      </c>
      <c r="HI35" s="144">
        <f>IFERROR(AVERAGEIFS($K35:$CP35,$K$7:$CP$7,"&gt;="&amp;'Key assumptions'!$D$24,$K$7:$CP$7,"&lt;="&amp;'Key assumptions'!$D$25),0)</f>
        <v>0.83732057416267935</v>
      </c>
      <c r="HJ35" s="148">
        <f t="shared" si="21"/>
        <v>0</v>
      </c>
      <c r="HK35" s="148">
        <f t="shared" si="1"/>
        <v>0</v>
      </c>
      <c r="HL35" s="148">
        <f t="shared" si="2"/>
        <v>0</v>
      </c>
      <c r="HM35" s="148">
        <f t="shared" si="3"/>
        <v>0</v>
      </c>
      <c r="HN35" s="148">
        <f t="shared" si="4"/>
        <v>0</v>
      </c>
      <c r="HO35" s="148">
        <f t="shared" si="5"/>
        <v>0</v>
      </c>
      <c r="HP35" s="148">
        <f t="shared" si="6"/>
        <v>0</v>
      </c>
      <c r="HQ35" s="148">
        <f t="shared" si="7"/>
        <v>0</v>
      </c>
      <c r="HR35" s="147">
        <f t="shared" si="8"/>
        <v>0</v>
      </c>
      <c r="HS35" s="89"/>
      <c r="HU35" s="147">
        <f>$HJ35*HC35/(1+'Key assumptions'!G57)^0.75</f>
        <v>0</v>
      </c>
      <c r="HW35" s="216">
        <f t="shared" si="9"/>
        <v>0</v>
      </c>
      <c r="HX35" s="216">
        <f t="shared" si="10"/>
        <v>0</v>
      </c>
      <c r="HY35" s="216">
        <f t="shared" si="11"/>
        <v>0</v>
      </c>
      <c r="HZ35" s="216">
        <f t="shared" si="12"/>
        <v>0</v>
      </c>
      <c r="IA35" s="216">
        <f t="shared" si="13"/>
        <v>0</v>
      </c>
      <c r="IB35" s="216">
        <f t="shared" si="14"/>
        <v>0</v>
      </c>
      <c r="IC35" s="216">
        <f t="shared" si="15"/>
        <v>0</v>
      </c>
      <c r="ID35" s="216">
        <f t="shared" si="16"/>
        <v>0</v>
      </c>
      <c r="IF35" s="216">
        <f t="shared" si="17"/>
        <v>0</v>
      </c>
    </row>
    <row r="36" spans="2:240" x14ac:dyDescent="0.2">
      <c r="B36" s="141" t="str">
        <v>Project Delivery Management - Project Controls</v>
      </c>
      <c r="C36" s="141" t="str">
        <v>Admin Support Officer (Network Projects)</v>
      </c>
      <c r="D36" s="141" t="str">
        <v>Internal Labour</v>
      </c>
      <c r="E36" s="141" t="str">
        <v>$ Nominal</v>
      </c>
      <c r="F36" s="141" t="str">
        <v>Existing</v>
      </c>
      <c r="G36" s="141" t="str">
        <v>Normal time</v>
      </c>
      <c r="H36" s="142">
        <v>171.68</v>
      </c>
      <c r="I36" s="126">
        <v>867575.68999999983</v>
      </c>
      <c r="J36" s="143">
        <v>0</v>
      </c>
      <c r="K36" s="144">
        <v>0</v>
      </c>
      <c r="L36" s="144">
        <v>0</v>
      </c>
      <c r="M36" s="144">
        <v>0</v>
      </c>
      <c r="N36" s="144">
        <v>0</v>
      </c>
      <c r="O36" s="144">
        <v>0</v>
      </c>
      <c r="P36" s="144">
        <v>0</v>
      </c>
      <c r="Q36" s="144">
        <v>0</v>
      </c>
      <c r="R36" s="144">
        <v>0</v>
      </c>
      <c r="S36" s="144">
        <v>0</v>
      </c>
      <c r="T36" s="144">
        <v>0</v>
      </c>
      <c r="U36" s="144">
        <v>0</v>
      </c>
      <c r="V36" s="144">
        <v>0</v>
      </c>
      <c r="W36" s="144">
        <v>0</v>
      </c>
      <c r="X36" s="144">
        <v>1</v>
      </c>
      <c r="Y36" s="144">
        <v>1</v>
      </c>
      <c r="Z36" s="144">
        <v>1</v>
      </c>
      <c r="AA36" s="144">
        <v>0.92105263157894735</v>
      </c>
      <c r="AB36" s="144">
        <v>0.92105263157894735</v>
      </c>
      <c r="AC36" s="144">
        <v>1</v>
      </c>
      <c r="AD36" s="144">
        <v>1</v>
      </c>
      <c r="AE36" s="144">
        <v>1</v>
      </c>
      <c r="AF36" s="144">
        <v>1</v>
      </c>
      <c r="AG36" s="144">
        <v>1</v>
      </c>
      <c r="AH36" s="144">
        <v>1</v>
      </c>
      <c r="AI36" s="144">
        <v>1</v>
      </c>
      <c r="AJ36" s="144">
        <v>1</v>
      </c>
      <c r="AK36" s="144">
        <v>1</v>
      </c>
      <c r="AL36" s="144">
        <v>1</v>
      </c>
      <c r="AM36" s="144">
        <v>1</v>
      </c>
      <c r="AN36" s="144">
        <v>1</v>
      </c>
      <c r="AO36" s="144">
        <v>1</v>
      </c>
      <c r="AP36" s="144">
        <v>1</v>
      </c>
      <c r="AQ36" s="144">
        <v>1</v>
      </c>
      <c r="AR36" s="144">
        <v>1</v>
      </c>
      <c r="AS36" s="144">
        <v>1</v>
      </c>
      <c r="AT36" s="144">
        <v>1</v>
      </c>
      <c r="AU36" s="144">
        <v>1</v>
      </c>
      <c r="AV36" s="144">
        <v>1</v>
      </c>
      <c r="AW36" s="144">
        <v>1</v>
      </c>
      <c r="AX36" s="144">
        <v>1</v>
      </c>
      <c r="AY36" s="144">
        <v>1</v>
      </c>
      <c r="AZ36" s="144">
        <v>1</v>
      </c>
      <c r="BA36" s="144">
        <v>1</v>
      </c>
      <c r="BB36" s="144">
        <v>1</v>
      </c>
      <c r="BC36" s="144">
        <v>1</v>
      </c>
      <c r="BD36" s="144">
        <v>1</v>
      </c>
      <c r="BE36" s="144">
        <v>1</v>
      </c>
      <c r="BF36" s="144">
        <v>1</v>
      </c>
      <c r="BG36" s="144">
        <v>1</v>
      </c>
      <c r="BH36" s="144">
        <v>1</v>
      </c>
      <c r="BI36" s="144">
        <v>0</v>
      </c>
      <c r="BJ36" s="144">
        <v>0</v>
      </c>
      <c r="BK36" s="144">
        <v>0</v>
      </c>
      <c r="BL36" s="144">
        <v>0</v>
      </c>
      <c r="BM36" s="144">
        <v>0</v>
      </c>
      <c r="BN36" s="144">
        <v>0</v>
      </c>
      <c r="BO36" s="144">
        <v>0</v>
      </c>
      <c r="BP36" s="144">
        <v>0</v>
      </c>
      <c r="BQ36" s="144">
        <v>0</v>
      </c>
      <c r="BR36" s="144">
        <v>0</v>
      </c>
      <c r="BS36" s="144">
        <v>0</v>
      </c>
      <c r="BT36" s="144">
        <v>0</v>
      </c>
      <c r="BU36" s="144">
        <v>0</v>
      </c>
      <c r="BV36" s="144">
        <v>0</v>
      </c>
      <c r="BW36" s="144">
        <v>0</v>
      </c>
      <c r="BX36" s="144">
        <v>0</v>
      </c>
      <c r="BY36" s="144">
        <v>0</v>
      </c>
      <c r="BZ36" s="144">
        <v>0</v>
      </c>
      <c r="CA36" s="144">
        <v>0</v>
      </c>
      <c r="CB36" s="144">
        <v>0</v>
      </c>
      <c r="CC36" s="144">
        <v>0</v>
      </c>
      <c r="CD36" s="144">
        <v>0</v>
      </c>
      <c r="CE36" s="144">
        <v>0</v>
      </c>
      <c r="CF36" s="144">
        <v>0</v>
      </c>
      <c r="CG36" s="144">
        <v>0</v>
      </c>
      <c r="CH36" s="144">
        <v>0</v>
      </c>
      <c r="CI36" s="144">
        <v>0</v>
      </c>
      <c r="CJ36" s="144">
        <v>0</v>
      </c>
      <c r="CK36" s="144">
        <v>0</v>
      </c>
      <c r="CL36" s="144">
        <v>0</v>
      </c>
      <c r="CM36" s="144">
        <v>0</v>
      </c>
      <c r="CN36" s="144">
        <v>0</v>
      </c>
      <c r="CO36" s="144">
        <v>0</v>
      </c>
      <c r="CP36" s="144">
        <v>0</v>
      </c>
      <c r="CQ36" s="143">
        <v>0</v>
      </c>
      <c r="CR36" s="145">
        <v>0</v>
      </c>
      <c r="CS36" s="145">
        <v>0</v>
      </c>
      <c r="CT36" s="145">
        <v>0</v>
      </c>
      <c r="CU36" s="145">
        <v>0</v>
      </c>
      <c r="CV36" s="145">
        <v>0</v>
      </c>
      <c r="CW36" s="145">
        <v>0</v>
      </c>
      <c r="CX36" s="145">
        <v>0</v>
      </c>
      <c r="CY36" s="145">
        <v>0</v>
      </c>
      <c r="CZ36" s="145">
        <v>0</v>
      </c>
      <c r="DA36" s="145">
        <v>0</v>
      </c>
      <c r="DB36" s="145">
        <v>0</v>
      </c>
      <c r="DC36" s="145">
        <v>0</v>
      </c>
      <c r="DD36" s="145">
        <v>0</v>
      </c>
      <c r="DE36" s="145">
        <v>22962.800000000003</v>
      </c>
      <c r="DF36" s="145">
        <v>24035.200000000001</v>
      </c>
      <c r="DG36" s="145">
        <v>18026.400000000001</v>
      </c>
      <c r="DH36" s="145">
        <v>24035.200000000001</v>
      </c>
      <c r="DI36" s="145">
        <v>24035.200000000001</v>
      </c>
      <c r="DJ36" s="145">
        <v>24035.200000000001</v>
      </c>
      <c r="DK36" s="145">
        <v>24035.200000000001</v>
      </c>
      <c r="DL36" s="145">
        <v>24035.200000000001</v>
      </c>
      <c r="DM36" s="145">
        <v>24035.200000000001</v>
      </c>
      <c r="DN36" s="145">
        <v>24035.200000000001</v>
      </c>
      <c r="DO36" s="145">
        <v>18026.400000000001</v>
      </c>
      <c r="DP36" s="145">
        <v>18026.400000000001</v>
      </c>
      <c r="DQ36" s="145">
        <v>24035.200000000001</v>
      </c>
      <c r="DR36" s="145">
        <v>24770.2</v>
      </c>
      <c r="DS36" s="145">
        <v>18577.650000000001</v>
      </c>
      <c r="DT36" s="145">
        <v>26893.360000000001</v>
      </c>
      <c r="DU36" s="145">
        <v>26893.360000000001</v>
      </c>
      <c r="DV36" s="145">
        <v>24770.2</v>
      </c>
      <c r="DW36" s="145">
        <v>24770.2</v>
      </c>
      <c r="DX36" s="145">
        <v>24770.2</v>
      </c>
      <c r="DY36" s="145">
        <v>24770.2</v>
      </c>
      <c r="DZ36" s="145">
        <v>24770.2</v>
      </c>
      <c r="EA36" s="145">
        <v>18577.650000000001</v>
      </c>
      <c r="EB36" s="145">
        <v>18577.650000000001</v>
      </c>
      <c r="EC36" s="145">
        <v>24770.2</v>
      </c>
      <c r="ED36" s="145">
        <v>25505.200000000001</v>
      </c>
      <c r="EE36" s="145">
        <v>19128.900000000001</v>
      </c>
      <c r="EF36" s="145">
        <v>27691.360000000001</v>
      </c>
      <c r="EG36" s="145">
        <v>27691.360000000001</v>
      </c>
      <c r="EH36" s="145">
        <v>25505.200000000001</v>
      </c>
      <c r="EI36" s="145">
        <v>25505.200000000001</v>
      </c>
      <c r="EJ36" s="145">
        <v>25505.200000000001</v>
      </c>
      <c r="EK36" s="145">
        <v>25505.200000000001</v>
      </c>
      <c r="EL36" s="145">
        <v>25505.200000000001</v>
      </c>
      <c r="EM36" s="145">
        <v>19128.900000000001</v>
      </c>
      <c r="EN36" s="145">
        <v>19128.900000000001</v>
      </c>
      <c r="EO36" s="145">
        <v>25505.200000000001</v>
      </c>
      <c r="EP36" s="145">
        <v>0</v>
      </c>
      <c r="EQ36" s="145">
        <v>0</v>
      </c>
      <c r="ER36" s="145">
        <v>0</v>
      </c>
      <c r="ES36" s="145">
        <v>0</v>
      </c>
      <c r="ET36" s="145">
        <v>0</v>
      </c>
      <c r="EU36" s="145">
        <v>0</v>
      </c>
      <c r="EV36" s="145">
        <v>0</v>
      </c>
      <c r="EW36" s="145">
        <v>0</v>
      </c>
      <c r="EX36" s="145">
        <v>0</v>
      </c>
      <c r="EY36" s="145">
        <v>0</v>
      </c>
      <c r="EZ36" s="145">
        <v>0</v>
      </c>
      <c r="FA36" s="145">
        <v>0</v>
      </c>
      <c r="FB36" s="145">
        <v>0</v>
      </c>
      <c r="FC36" s="145">
        <v>0</v>
      </c>
      <c r="FD36" s="145">
        <v>0</v>
      </c>
      <c r="FE36" s="145">
        <v>0</v>
      </c>
      <c r="FF36" s="145">
        <v>0</v>
      </c>
      <c r="FG36" s="145">
        <v>0</v>
      </c>
      <c r="FH36" s="145">
        <v>0</v>
      </c>
      <c r="FI36" s="145">
        <v>0</v>
      </c>
      <c r="FJ36" s="145">
        <v>0</v>
      </c>
      <c r="FK36" s="145">
        <v>0</v>
      </c>
      <c r="FL36" s="145">
        <v>0</v>
      </c>
      <c r="FM36" s="145">
        <v>0</v>
      </c>
      <c r="FN36" s="145">
        <v>0</v>
      </c>
      <c r="FO36" s="145">
        <v>0</v>
      </c>
      <c r="FP36" s="145">
        <v>0</v>
      </c>
      <c r="FQ36" s="145">
        <v>0</v>
      </c>
      <c r="FR36" s="145">
        <v>0</v>
      </c>
      <c r="FS36" s="145">
        <v>0</v>
      </c>
      <c r="FT36" s="145">
        <v>0</v>
      </c>
      <c r="FU36" s="145">
        <v>0</v>
      </c>
      <c r="FV36" s="145">
        <v>0</v>
      </c>
      <c r="FW36" s="145">
        <v>0</v>
      </c>
      <c r="FX36" s="143"/>
      <c r="FY36" s="146" t="str">
        <f>_xlfn.XLOOKUP($E36,'Key assumptions'!$B$112:$B$120,'Key assumptions'!$C$112:$C$120,0)</f>
        <v>Nominal</v>
      </c>
      <c r="FZ36" s="146" cm="1">
        <f t="array" ref="FZ36">IF($FY36=0,0,_xlfn.IFS($FY36='Key assumptions'!$C$120,_xlfn.XLOOKUP(LEFT(FZ$7,6),Inflation_Year,Inflation_NominaltoReal),TRUE,_xlfn.XLOOKUP($FY36,Inflation_Year,NominaltoReal)))</f>
        <v>1.0197075870962191</v>
      </c>
      <c r="GA36" s="146" cm="1">
        <f t="array" ref="GA36">IF($FY36=0,0,_xlfn.IFS($FY36='Key assumptions'!$C$120,_xlfn.XLOOKUP(LEFT(GA$7,6),Inflation_Year,Inflation_NominaltoReal),TRUE,_xlfn.XLOOKUP($FY36,Inflation_Year,NominaltoReal)))</f>
        <v>0.98700804022984445</v>
      </c>
      <c r="GB36" s="146" cm="1">
        <f t="array" ref="GB36">IF($FY36=0,0,_xlfn.IFS($FY36='Key assumptions'!$C$120,_xlfn.XLOOKUP(LEFT(GB$7,6),Inflation_Year,Inflation_NominaltoReal),TRUE,_xlfn.XLOOKUP($FY36,Inflation_Year,NominaltoReal)))</f>
        <v>0.96152830081941731</v>
      </c>
      <c r="GC36" s="146" cm="1">
        <f t="array" ref="GC36">IF($FY36=0,0,_xlfn.IFS($FY36='Key assumptions'!$C$120,_xlfn.XLOOKUP(LEFT(GC$7,6),Inflation_Year,Inflation_NominaltoReal),TRUE,_xlfn.XLOOKUP($FY36,Inflation_Year,NominaltoReal)))</f>
        <v>0.93670632415656829</v>
      </c>
      <c r="GD36" s="146" cm="1">
        <f t="array" ref="GD36">IF($FY36=0,0,_xlfn.IFS($FY36='Key assumptions'!$C$120,_xlfn.XLOOKUP(LEFT(GD$7,6),Inflation_Year,Inflation_NominaltoReal),TRUE,_xlfn.XLOOKUP($FY36,Inflation_Year,NominaltoReal)))</f>
        <v>0.91252513001143176</v>
      </c>
      <c r="GE36" s="146" cm="1">
        <f t="array" ref="GE36">IF($FY36=0,0,_xlfn.IFS($FY36='Key assumptions'!$C$120,_xlfn.XLOOKUP(LEFT(GE$7,6),Inflation_Year,Inflation_NominaltoReal),TRUE,_xlfn.XLOOKUP($FY36,Inflation_Year,NominaltoReal)))</f>
        <v>0.88896817650095872</v>
      </c>
      <c r="GF36" s="146" cm="1">
        <f t="array" ref="GF36">IF($FY36=0,0,_xlfn.IFS($FY36='Key assumptions'!$C$120,_xlfn.XLOOKUP(LEFT(GF$7,6),Inflation_Year,Inflation_NominaltoReal),TRUE,_xlfn.XLOOKUP($FY36,Inflation_Year,NominaltoReal)))</f>
        <v>0.86601934877293718</v>
      </c>
      <c r="GG36" s="143"/>
      <c r="GH36" s="145" cm="1">
        <f t="array" ref="GH36">SUMPRODUCT(--($CR$7:$FW$7&gt;=GH$5),--($CR$7:$FW$7&lt;=GH$6),$CR36:$FW36)*FZ36</f>
        <v>188850.25301325464</v>
      </c>
      <c r="GI36" s="145" cm="1">
        <f t="array" ref="GI36">SUMPRODUCT(--($CR$7:$FW$7&gt;=GI$5),--($CR$7:$FW$7&lt;=GI$6),$CR36:$FW36)*GA36</f>
        <v>275970.97166696814</v>
      </c>
      <c r="GJ36" s="145" cm="1">
        <f t="array" ref="GJ36">SUMPRODUCT(--($CR$7:$FW$7&gt;=GJ$5),--($CR$7:$FW$7&lt;=GJ$6),$CR36:$FW36)*GB36</f>
        <v>276918.53526844684</v>
      </c>
      <c r="GK36" s="145" cm="1">
        <f t="array" ref="GK36">SUMPRODUCT(--($CR$7:$FW$7&gt;=GK$5),--($CR$7:$FW$7&lt;=GK$6),$CR36:$FW36)*GC36</f>
        <v>107508.96962495148</v>
      </c>
      <c r="GL36" s="145" cm="1">
        <f t="array" ref="GL36">SUMPRODUCT(--($CR$7:$FW$7&gt;=GL$5),--($CR$7:$FW$7&lt;=GL$6),$CR36:$FW36)*GD36</f>
        <v>0</v>
      </c>
      <c r="GM36" s="145" cm="1">
        <f t="array" ref="GM36">SUMPRODUCT(--($CR$7:$FW$7&gt;=GM$5),--($CR$7:$FW$7&lt;=GM$6),$CR36:$FW36)*GE36</f>
        <v>0</v>
      </c>
      <c r="GN36" s="145" cm="1">
        <f t="array" ref="GN36">SUMPRODUCT(--($CR$7:$FW$7&gt;=GN$5),--($CR$7:$FW$7&lt;=GN$6),$CR36:$FW36)*GF36</f>
        <v>0</v>
      </c>
      <c r="GO36" s="145">
        <f t="shared" si="18"/>
        <v>849248.72957362118</v>
      </c>
      <c r="GP36" s="87"/>
      <c r="GQ36" s="89"/>
      <c r="GR36" s="145" cm="1">
        <f t="array" ref="GR36">SUMPRODUCT(--($CR$7:$FW$7&gt;=GR$5),--($CR$7:$FW$7&lt;=GR$6),$CR36:$FW36)</f>
        <v>113094.8</v>
      </c>
      <c r="GS36" s="89"/>
      <c r="GT36" s="214" cm="1">
        <f t="array" ref="GT36">--AND(MIN(IF($K36:$CP36&lt;&gt;0,$K$7:$CP$7))&gt;=GT$5,MIN(IF($K36:$CP36&lt;&gt;0,$K$7:$CP$7))&lt;=GT$6)</f>
        <v>1</v>
      </c>
      <c r="GU36" s="214" cm="1">
        <f t="array" ref="GU36">--AND(MIN(IF($K36:$CP36&lt;&gt;0,$K$7:$CP$7))&gt;=GU$5,MIN(IF($K36:$CP36&lt;&gt;0,$K$7:$CP$7))&lt;=GU$6)</f>
        <v>0</v>
      </c>
      <c r="GV36" s="214" cm="1">
        <f t="array" ref="GV36">--AND(MIN(IF($K36:$CP36&lt;&gt;0,$K$7:$CP$7))&gt;=GV$5,MIN(IF($K36:$CP36&lt;&gt;0,$K$7:$CP$7))&lt;=GV$6)</f>
        <v>0</v>
      </c>
      <c r="GW36" s="214" cm="1">
        <f t="array" ref="GW36">--AND(MIN(IF($K36:$CP36&lt;&gt;0,$K$7:$CP$7))&gt;=GW$5,MIN(IF($K36:$CP36&lt;&gt;0,$K$7:$CP$7))&lt;=GW$6)</f>
        <v>0</v>
      </c>
      <c r="GX36" s="214" cm="1">
        <f t="array" ref="GX36">--AND(MIN(IF($K36:$CP36&lt;&gt;0,$K$7:$CP$7))&gt;=GX$5,MIN(IF($K36:$CP36&lt;&gt;0,$K$7:$CP$7))&lt;=GX$6)</f>
        <v>0</v>
      </c>
      <c r="GY36" s="214" cm="1">
        <f t="array" ref="GY36">--AND(MIN(IF($K36:$CP36&lt;&gt;0,$K$7:$CP$7))&gt;=GY$5,MIN(IF($K36:$CP36&lt;&gt;0,$K$7:$CP$7))&lt;=GY$6)</f>
        <v>0</v>
      </c>
      <c r="GZ36" s="214" cm="1">
        <f t="array" ref="GZ36">--AND(MIN(IF($K36:$CP36&lt;&gt;0,$K$7:$CP$7))&gt;=GZ$5,MIN(IF($K36:$CP36&lt;&gt;0,$K$7:$CP$7))&lt;=GZ$6)</f>
        <v>0</v>
      </c>
      <c r="HA36" s="214">
        <f t="shared" si="0"/>
        <v>1</v>
      </c>
      <c r="HC36" s="214" cm="1">
        <f t="array" ref="HC36">--AND(MIN(IF($K36:$CP36&lt;&gt;0,$K$7:$CP$7))&gt;=HC$5,MIN(IF($K36:$CP36&lt;&gt;0,$K$7:$CP$7))&lt;=HC$6)</f>
        <v>1</v>
      </c>
      <c r="HE36" s="147" t="str">
        <f t="shared" si="19"/>
        <v>No</v>
      </c>
      <c r="HF36" s="147" t="str">
        <f t="shared" si="20"/>
        <v>No</v>
      </c>
      <c r="HG36" s="147">
        <f>IF($HF36="Yes",0,$H36*avg_hrs*12*'Key assumptions'!$D$87)</f>
        <v>307010.02355127607</v>
      </c>
      <c r="HH36" s="147">
        <f>IF(HE36="Yes",'Key assumptions'!$D$84*HG36,0)</f>
        <v>0</v>
      </c>
      <c r="HI36" s="144">
        <f>IFERROR(AVERAGEIFS($K36:$CP36,$K$7:$CP$7,"&gt;="&amp;'Key assumptions'!$D$24,$K$7:$CP$7,"&lt;="&amp;'Key assumptions'!$D$25),0)</f>
        <v>0.83732057416267935</v>
      </c>
      <c r="HJ36" s="148">
        <f t="shared" si="21"/>
        <v>0</v>
      </c>
      <c r="HK36" s="148">
        <f t="shared" si="1"/>
        <v>0</v>
      </c>
      <c r="HL36" s="148">
        <f t="shared" si="2"/>
        <v>0</v>
      </c>
      <c r="HM36" s="148">
        <f t="shared" si="3"/>
        <v>0</v>
      </c>
      <c r="HN36" s="148">
        <f t="shared" si="4"/>
        <v>0</v>
      </c>
      <c r="HO36" s="148">
        <f t="shared" si="5"/>
        <v>0</v>
      </c>
      <c r="HP36" s="148">
        <f t="shared" si="6"/>
        <v>0</v>
      </c>
      <c r="HQ36" s="148">
        <f t="shared" si="7"/>
        <v>0</v>
      </c>
      <c r="HR36" s="147">
        <f t="shared" si="8"/>
        <v>0</v>
      </c>
      <c r="HS36" s="89"/>
      <c r="HU36" s="147">
        <f>$HJ36*HC36/(1+'Key assumptions'!G58)^0.75</f>
        <v>0</v>
      </c>
      <c r="HW36" s="216">
        <f t="shared" si="9"/>
        <v>0.83732057416267935</v>
      </c>
      <c r="HX36" s="216">
        <f t="shared" si="10"/>
        <v>0</v>
      </c>
      <c r="HY36" s="216">
        <f t="shared" si="11"/>
        <v>0</v>
      </c>
      <c r="HZ36" s="216">
        <f t="shared" si="12"/>
        <v>0</v>
      </c>
      <c r="IA36" s="216">
        <f t="shared" si="13"/>
        <v>0</v>
      </c>
      <c r="IB36" s="216">
        <f t="shared" si="14"/>
        <v>0</v>
      </c>
      <c r="IC36" s="216">
        <f t="shared" si="15"/>
        <v>0</v>
      </c>
      <c r="ID36" s="216">
        <f t="shared" si="16"/>
        <v>0.83732057416267935</v>
      </c>
      <c r="IF36" s="216">
        <f t="shared" si="17"/>
        <v>0.83732057416267935</v>
      </c>
    </row>
    <row r="37" spans="2:240" x14ac:dyDescent="0.2">
      <c r="B37" s="141" t="str">
        <v>Project Delivery Management - Project Controls</v>
      </c>
      <c r="C37" s="141" t="str">
        <v>Senior Risk Manager (Portfolio Controls)</v>
      </c>
      <c r="D37" s="141" t="str">
        <v>Internal Labour</v>
      </c>
      <c r="E37" s="141" t="str">
        <v>$ Nominal</v>
      </c>
      <c r="F37" s="141" t="str">
        <v>New</v>
      </c>
      <c r="G37" s="141" t="str">
        <v>Normal time</v>
      </c>
      <c r="H37" s="142">
        <v>354.73</v>
      </c>
      <c r="I37" s="126">
        <v>936310.90000000026</v>
      </c>
      <c r="J37" s="143">
        <v>0</v>
      </c>
      <c r="K37" s="144">
        <v>0</v>
      </c>
      <c r="L37" s="144">
        <v>0</v>
      </c>
      <c r="M37" s="144">
        <v>0</v>
      </c>
      <c r="N37" s="144">
        <v>0</v>
      </c>
      <c r="O37" s="144">
        <v>0</v>
      </c>
      <c r="P37" s="144">
        <v>0</v>
      </c>
      <c r="Q37" s="144">
        <v>0</v>
      </c>
      <c r="R37" s="144">
        <v>0</v>
      </c>
      <c r="S37" s="144">
        <v>0</v>
      </c>
      <c r="T37" s="144">
        <v>0</v>
      </c>
      <c r="U37" s="144">
        <v>0</v>
      </c>
      <c r="V37" s="144">
        <v>0</v>
      </c>
      <c r="W37" s="144">
        <v>0</v>
      </c>
      <c r="X37" s="144">
        <v>0.5</v>
      </c>
      <c r="Y37" s="144">
        <v>0.5</v>
      </c>
      <c r="Z37" s="144">
        <v>0.66666666666666663</v>
      </c>
      <c r="AA37" s="144">
        <v>0.46052631578947367</v>
      </c>
      <c r="AB37" s="144">
        <v>0.46052631578947367</v>
      </c>
      <c r="AC37" s="144">
        <v>0.5</v>
      </c>
      <c r="AD37" s="144">
        <v>0.5</v>
      </c>
      <c r="AE37" s="144">
        <v>0.5</v>
      </c>
      <c r="AF37" s="144">
        <v>0.5</v>
      </c>
      <c r="AG37" s="144">
        <v>0.5</v>
      </c>
      <c r="AH37" s="144">
        <v>0.66666666666666663</v>
      </c>
      <c r="AI37" s="144">
        <v>0.66666666666666663</v>
      </c>
      <c r="AJ37" s="144">
        <v>0.5</v>
      </c>
      <c r="AK37" s="144">
        <v>0.5</v>
      </c>
      <c r="AL37" s="144">
        <v>0.66666666666666663</v>
      </c>
      <c r="AM37" s="144">
        <v>0.46052631578947367</v>
      </c>
      <c r="AN37" s="144">
        <v>0.46052631578947367</v>
      </c>
      <c r="AO37" s="144">
        <v>0.5</v>
      </c>
      <c r="AP37" s="144">
        <v>0.5</v>
      </c>
      <c r="AQ37" s="144">
        <v>0.5</v>
      </c>
      <c r="AR37" s="144">
        <v>0.5</v>
      </c>
      <c r="AS37" s="144">
        <v>0.5</v>
      </c>
      <c r="AT37" s="144">
        <v>0.66666666666666663</v>
      </c>
      <c r="AU37" s="144">
        <v>0.66666666666666663</v>
      </c>
      <c r="AV37" s="144">
        <v>0.5</v>
      </c>
      <c r="AW37" s="144">
        <v>0.5</v>
      </c>
      <c r="AX37" s="144">
        <v>0.66666666666666663</v>
      </c>
      <c r="AY37" s="144">
        <v>0.46052631578947367</v>
      </c>
      <c r="AZ37" s="144">
        <v>0.46052631578947367</v>
      </c>
      <c r="BA37" s="144">
        <v>0.5</v>
      </c>
      <c r="BB37" s="144">
        <v>0.5</v>
      </c>
      <c r="BC37" s="144">
        <v>0.5</v>
      </c>
      <c r="BD37" s="144">
        <v>0.5</v>
      </c>
      <c r="BE37" s="144">
        <v>0.5</v>
      </c>
      <c r="BF37" s="144">
        <v>0.66666666666666663</v>
      </c>
      <c r="BG37" s="144">
        <v>0.66666666666666663</v>
      </c>
      <c r="BH37" s="144">
        <v>0.5</v>
      </c>
      <c r="BI37" s="144">
        <v>0</v>
      </c>
      <c r="BJ37" s="144">
        <v>0</v>
      </c>
      <c r="BK37" s="144">
        <v>0</v>
      </c>
      <c r="BL37" s="144">
        <v>0</v>
      </c>
      <c r="BM37" s="144">
        <v>0</v>
      </c>
      <c r="BN37" s="144">
        <v>0</v>
      </c>
      <c r="BO37" s="144">
        <v>0</v>
      </c>
      <c r="BP37" s="144">
        <v>0</v>
      </c>
      <c r="BQ37" s="144">
        <v>0</v>
      </c>
      <c r="BR37" s="144">
        <v>0</v>
      </c>
      <c r="BS37" s="144">
        <v>0</v>
      </c>
      <c r="BT37" s="144">
        <v>0</v>
      </c>
      <c r="BU37" s="144">
        <v>0</v>
      </c>
      <c r="BV37" s="144">
        <v>0</v>
      </c>
      <c r="BW37" s="144">
        <v>0</v>
      </c>
      <c r="BX37" s="144">
        <v>0</v>
      </c>
      <c r="BY37" s="144">
        <v>0</v>
      </c>
      <c r="BZ37" s="144">
        <v>0</v>
      </c>
      <c r="CA37" s="144">
        <v>0</v>
      </c>
      <c r="CB37" s="144">
        <v>0</v>
      </c>
      <c r="CC37" s="144">
        <v>0</v>
      </c>
      <c r="CD37" s="144">
        <v>0</v>
      </c>
      <c r="CE37" s="144">
        <v>0</v>
      </c>
      <c r="CF37" s="144">
        <v>0</v>
      </c>
      <c r="CG37" s="144">
        <v>0</v>
      </c>
      <c r="CH37" s="144">
        <v>0</v>
      </c>
      <c r="CI37" s="144">
        <v>0</v>
      </c>
      <c r="CJ37" s="144">
        <v>0</v>
      </c>
      <c r="CK37" s="144">
        <v>0</v>
      </c>
      <c r="CL37" s="144">
        <v>0</v>
      </c>
      <c r="CM37" s="144">
        <v>0</v>
      </c>
      <c r="CN37" s="144">
        <v>0</v>
      </c>
      <c r="CO37" s="144">
        <v>0</v>
      </c>
      <c r="CP37" s="144">
        <v>0</v>
      </c>
      <c r="CQ37" s="143">
        <v>0</v>
      </c>
      <c r="CR37" s="145">
        <v>0</v>
      </c>
      <c r="CS37" s="145">
        <v>0</v>
      </c>
      <c r="CT37" s="145">
        <v>0</v>
      </c>
      <c r="CU37" s="145">
        <v>0</v>
      </c>
      <c r="CV37" s="145">
        <v>0</v>
      </c>
      <c r="CW37" s="145">
        <v>0</v>
      </c>
      <c r="CX37" s="145">
        <v>0</v>
      </c>
      <c r="CY37" s="145">
        <v>0</v>
      </c>
      <c r="CZ37" s="145">
        <v>0</v>
      </c>
      <c r="DA37" s="145">
        <v>0</v>
      </c>
      <c r="DB37" s="145">
        <v>0</v>
      </c>
      <c r="DC37" s="145">
        <v>0</v>
      </c>
      <c r="DD37" s="145">
        <v>0</v>
      </c>
      <c r="DE37" s="145">
        <v>24110.100000000002</v>
      </c>
      <c r="DF37" s="145">
        <v>24110.100000000002</v>
      </c>
      <c r="DG37" s="145">
        <v>24110.100000000002</v>
      </c>
      <c r="DH37" s="145">
        <v>24110.100000000002</v>
      </c>
      <c r="DI37" s="145">
        <v>24110.100000000002</v>
      </c>
      <c r="DJ37" s="145">
        <v>24830.400000000001</v>
      </c>
      <c r="DK37" s="145">
        <v>24830.400000000001</v>
      </c>
      <c r="DL37" s="145">
        <v>24830.400000000001</v>
      </c>
      <c r="DM37" s="145">
        <v>24830.400000000001</v>
      </c>
      <c r="DN37" s="145">
        <v>24830.400000000001</v>
      </c>
      <c r="DO37" s="145">
        <v>24830.400000000001</v>
      </c>
      <c r="DP37" s="145">
        <v>24830.400000000001</v>
      </c>
      <c r="DQ37" s="145">
        <v>24830.400000000001</v>
      </c>
      <c r="DR37" s="145">
        <v>24830.400000000001</v>
      </c>
      <c r="DS37" s="145">
        <v>24830.400000000001</v>
      </c>
      <c r="DT37" s="145">
        <v>24830.400000000001</v>
      </c>
      <c r="DU37" s="145">
        <v>24830.400000000001</v>
      </c>
      <c r="DV37" s="145">
        <v>25582.9</v>
      </c>
      <c r="DW37" s="145">
        <v>25582.9</v>
      </c>
      <c r="DX37" s="145">
        <v>25582.9</v>
      </c>
      <c r="DY37" s="145">
        <v>25582.9</v>
      </c>
      <c r="DZ37" s="145">
        <v>25582.9</v>
      </c>
      <c r="EA37" s="145">
        <v>25582.9</v>
      </c>
      <c r="EB37" s="145">
        <v>25582.9</v>
      </c>
      <c r="EC37" s="145">
        <v>25582.9</v>
      </c>
      <c r="ED37" s="145">
        <v>25582.9</v>
      </c>
      <c r="EE37" s="145">
        <v>25582.9</v>
      </c>
      <c r="EF37" s="145">
        <v>25582.9</v>
      </c>
      <c r="EG37" s="145">
        <v>25582.9</v>
      </c>
      <c r="EH37" s="145">
        <v>26350.100000000002</v>
      </c>
      <c r="EI37" s="145">
        <v>26350.100000000002</v>
      </c>
      <c r="EJ37" s="145">
        <v>26350.100000000002</v>
      </c>
      <c r="EK37" s="145">
        <v>26350.100000000002</v>
      </c>
      <c r="EL37" s="145">
        <v>26350.100000000002</v>
      </c>
      <c r="EM37" s="145">
        <v>26350.100000000002</v>
      </c>
      <c r="EN37" s="145">
        <v>26350.100000000002</v>
      </c>
      <c r="EO37" s="145">
        <v>26350.100000000002</v>
      </c>
      <c r="EP37" s="145">
        <v>0</v>
      </c>
      <c r="EQ37" s="145">
        <v>0</v>
      </c>
      <c r="ER37" s="145">
        <v>0</v>
      </c>
      <c r="ES37" s="145">
        <v>0</v>
      </c>
      <c r="ET37" s="145">
        <v>0</v>
      </c>
      <c r="EU37" s="145">
        <v>0</v>
      </c>
      <c r="EV37" s="145">
        <v>0</v>
      </c>
      <c r="EW37" s="145">
        <v>0</v>
      </c>
      <c r="EX37" s="145">
        <v>0</v>
      </c>
      <c r="EY37" s="145">
        <v>0</v>
      </c>
      <c r="EZ37" s="145">
        <v>0</v>
      </c>
      <c r="FA37" s="145">
        <v>0</v>
      </c>
      <c r="FB37" s="145">
        <v>0</v>
      </c>
      <c r="FC37" s="145">
        <v>0</v>
      </c>
      <c r="FD37" s="145">
        <v>0</v>
      </c>
      <c r="FE37" s="145">
        <v>0</v>
      </c>
      <c r="FF37" s="145">
        <v>0</v>
      </c>
      <c r="FG37" s="145">
        <v>0</v>
      </c>
      <c r="FH37" s="145">
        <v>0</v>
      </c>
      <c r="FI37" s="145">
        <v>0</v>
      </c>
      <c r="FJ37" s="145">
        <v>0</v>
      </c>
      <c r="FK37" s="145">
        <v>0</v>
      </c>
      <c r="FL37" s="145">
        <v>0</v>
      </c>
      <c r="FM37" s="145">
        <v>0</v>
      </c>
      <c r="FN37" s="145">
        <v>0</v>
      </c>
      <c r="FO37" s="145">
        <v>0</v>
      </c>
      <c r="FP37" s="145">
        <v>0</v>
      </c>
      <c r="FQ37" s="145">
        <v>0</v>
      </c>
      <c r="FR37" s="145">
        <v>0</v>
      </c>
      <c r="FS37" s="145">
        <v>0</v>
      </c>
      <c r="FT37" s="145">
        <v>0</v>
      </c>
      <c r="FU37" s="145">
        <v>0</v>
      </c>
      <c r="FV37" s="145">
        <v>0</v>
      </c>
      <c r="FW37" s="145">
        <v>0</v>
      </c>
      <c r="FX37" s="143"/>
      <c r="FY37" s="146" t="str">
        <f>_xlfn.XLOOKUP($E37,'Key assumptions'!$B$112:$B$120,'Key assumptions'!$C$112:$C$120,0)</f>
        <v>Nominal</v>
      </c>
      <c r="FZ37" s="146" cm="1">
        <f t="array" ref="FZ37">IF($FY37=0,0,_xlfn.IFS($FY37='Key assumptions'!$C$120,_xlfn.XLOOKUP(LEFT(FZ$7,6),Inflation_Year,Inflation_NominaltoReal),TRUE,_xlfn.XLOOKUP($FY37,Inflation_Year,NominaltoReal)))</f>
        <v>1.0197075870962191</v>
      </c>
      <c r="GA37" s="146" cm="1">
        <f t="array" ref="GA37">IF($FY37=0,0,_xlfn.IFS($FY37='Key assumptions'!$C$120,_xlfn.XLOOKUP(LEFT(GA$7,6),Inflation_Year,Inflation_NominaltoReal),TRUE,_xlfn.XLOOKUP($FY37,Inflation_Year,NominaltoReal)))</f>
        <v>0.98700804022984445</v>
      </c>
      <c r="GB37" s="146" cm="1">
        <f t="array" ref="GB37">IF($FY37=0,0,_xlfn.IFS($FY37='Key assumptions'!$C$120,_xlfn.XLOOKUP(LEFT(GB$7,6),Inflation_Year,Inflation_NominaltoReal),TRUE,_xlfn.XLOOKUP($FY37,Inflation_Year,NominaltoReal)))</f>
        <v>0.96152830081941731</v>
      </c>
      <c r="GC37" s="146" cm="1">
        <f t="array" ref="GC37">IF($FY37=0,0,_xlfn.IFS($FY37='Key assumptions'!$C$120,_xlfn.XLOOKUP(LEFT(GC$7,6),Inflation_Year,Inflation_NominaltoReal),TRUE,_xlfn.XLOOKUP($FY37,Inflation_Year,NominaltoReal)))</f>
        <v>0.93670632415656829</v>
      </c>
      <c r="GD37" s="146" cm="1">
        <f t="array" ref="GD37">IF($FY37=0,0,_xlfn.IFS($FY37='Key assumptions'!$C$120,_xlfn.XLOOKUP(LEFT(GD$7,6),Inflation_Year,Inflation_NominaltoReal),TRUE,_xlfn.XLOOKUP($FY37,Inflation_Year,NominaltoReal)))</f>
        <v>0.91252513001143176</v>
      </c>
      <c r="GE37" s="146" cm="1">
        <f t="array" ref="GE37">IF($FY37=0,0,_xlfn.IFS($FY37='Key assumptions'!$C$120,_xlfn.XLOOKUP(LEFT(GE$7,6),Inflation_Year,Inflation_NominaltoReal),TRUE,_xlfn.XLOOKUP($FY37,Inflation_Year,NominaltoReal)))</f>
        <v>0.88896817650095872</v>
      </c>
      <c r="GF37" s="146" cm="1">
        <f t="array" ref="GF37">IF($FY37=0,0,_xlfn.IFS($FY37='Key assumptions'!$C$120,_xlfn.XLOOKUP(LEFT(GF$7,6),Inflation_Year,Inflation_NominaltoReal),TRUE,_xlfn.XLOOKUP($FY37,Inflation_Year,NominaltoReal)))</f>
        <v>0.86601934877293718</v>
      </c>
      <c r="GG37" s="143"/>
      <c r="GH37" s="145" cm="1">
        <f t="array" ref="GH37">SUMPRODUCT(--($CR$7:$FW$7&gt;=GH$5),--($CR$7:$FW$7&lt;=GH$6),$CR37:$FW37)*FZ37</f>
        <v>198885.50129014466</v>
      </c>
      <c r="GI37" s="145" cm="1">
        <f t="array" ref="GI37">SUMPRODUCT(--($CR$7:$FW$7&gt;=GI$5),--($CR$7:$FW$7&lt;=GI$6),$CR37:$FW37)*GA37</f>
        <v>296321.82395629643</v>
      </c>
      <c r="GJ37" s="145" cm="1">
        <f t="array" ref="GJ37">SUMPRODUCT(--($CR$7:$FW$7&gt;=GJ$5),--($CR$7:$FW$7&lt;=GJ$6),$CR37:$FW37)*GB37</f>
        <v>297397.2419415628</v>
      </c>
      <c r="GK37" s="145" cm="1">
        <f t="array" ref="GK37">SUMPRODUCT(--($CR$7:$FW$7&gt;=GK$5),--($CR$7:$FW$7&lt;=GK$6),$CR37:$FW37)*GC37</f>
        <v>123411.52656078995</v>
      </c>
      <c r="GL37" s="145" cm="1">
        <f t="array" ref="GL37">SUMPRODUCT(--($CR$7:$FW$7&gt;=GL$5),--($CR$7:$FW$7&lt;=GL$6),$CR37:$FW37)*GD37</f>
        <v>0</v>
      </c>
      <c r="GM37" s="145" cm="1">
        <f t="array" ref="GM37">SUMPRODUCT(--($CR$7:$FW$7&gt;=GM$5),--($CR$7:$FW$7&lt;=GM$6),$CR37:$FW37)*GE37</f>
        <v>0</v>
      </c>
      <c r="GN37" s="145" cm="1">
        <f t="array" ref="GN37">SUMPRODUCT(--($CR$7:$FW$7&gt;=GN$5),--($CR$7:$FW$7&lt;=GN$6),$CR37:$FW37)*GF37</f>
        <v>0</v>
      </c>
      <c r="GO37" s="145">
        <f t="shared" si="18"/>
        <v>916016.0937487937</v>
      </c>
      <c r="GP37" s="87"/>
      <c r="GQ37" s="89"/>
      <c r="GR37" s="145" cm="1">
        <f t="array" ref="GR37">SUMPRODUCT(--($CR$7:$FW$7&gt;=GR$5),--($CR$7:$FW$7&lt;=GR$6),$CR37:$FW37)</f>
        <v>120550.50000000001</v>
      </c>
      <c r="GS37" s="89"/>
      <c r="GT37" s="214" cm="1">
        <f t="array" ref="GT37">--AND(MIN(IF($K37:$CP37&lt;&gt;0,$K$7:$CP$7))&gt;=GT$5,MIN(IF($K37:$CP37&lt;&gt;0,$K$7:$CP$7))&lt;=GT$6)</f>
        <v>1</v>
      </c>
      <c r="GU37" s="214" cm="1">
        <f t="array" ref="GU37">--AND(MIN(IF($K37:$CP37&lt;&gt;0,$K$7:$CP$7))&gt;=GU$5,MIN(IF($K37:$CP37&lt;&gt;0,$K$7:$CP$7))&lt;=GU$6)</f>
        <v>0</v>
      </c>
      <c r="GV37" s="214" cm="1">
        <f t="array" ref="GV37">--AND(MIN(IF($K37:$CP37&lt;&gt;0,$K$7:$CP$7))&gt;=GV$5,MIN(IF($K37:$CP37&lt;&gt;0,$K$7:$CP$7))&lt;=GV$6)</f>
        <v>0</v>
      </c>
      <c r="GW37" s="214" cm="1">
        <f t="array" ref="GW37">--AND(MIN(IF($K37:$CP37&lt;&gt;0,$K$7:$CP$7))&gt;=GW$5,MIN(IF($K37:$CP37&lt;&gt;0,$K$7:$CP$7))&lt;=GW$6)</f>
        <v>0</v>
      </c>
      <c r="GX37" s="214" cm="1">
        <f t="array" ref="GX37">--AND(MIN(IF($K37:$CP37&lt;&gt;0,$K$7:$CP$7))&gt;=GX$5,MIN(IF($K37:$CP37&lt;&gt;0,$K$7:$CP$7))&lt;=GX$6)</f>
        <v>0</v>
      </c>
      <c r="GY37" s="214" cm="1">
        <f t="array" ref="GY37">--AND(MIN(IF($K37:$CP37&lt;&gt;0,$K$7:$CP$7))&gt;=GY$5,MIN(IF($K37:$CP37&lt;&gt;0,$K$7:$CP$7))&lt;=GY$6)</f>
        <v>0</v>
      </c>
      <c r="GZ37" s="214" cm="1">
        <f t="array" ref="GZ37">--AND(MIN(IF($K37:$CP37&lt;&gt;0,$K$7:$CP$7))&gt;=GZ$5,MIN(IF($K37:$CP37&lt;&gt;0,$K$7:$CP$7))&lt;=GZ$6)</f>
        <v>0</v>
      </c>
      <c r="HA37" s="214">
        <f t="shared" si="0"/>
        <v>1</v>
      </c>
      <c r="HC37" s="214" cm="1">
        <f t="array" ref="HC37">--AND(MIN(IF($K37:$CP37&lt;&gt;0,$K$7:$CP$7))&gt;=HC$5,MIN(IF($K37:$CP37&lt;&gt;0,$K$7:$CP$7))&lt;=HC$6)</f>
        <v>1</v>
      </c>
      <c r="HE37" s="147" t="str">
        <f t="shared" si="19"/>
        <v>Yes</v>
      </c>
      <c r="HF37" s="147" t="str">
        <f t="shared" si="20"/>
        <v>No</v>
      </c>
      <c r="HG37" s="147">
        <f>IF($HF37="Yes",0,$H37*avg_hrs*12*'Key assumptions'!$D$87)</f>
        <v>634352.6657405881</v>
      </c>
      <c r="HH37" s="147">
        <f>IF(HE37="Yes",'Key assumptions'!$D$84*HG37,0)</f>
        <v>95152.899861088212</v>
      </c>
      <c r="HI37" s="144">
        <f>IFERROR(AVERAGEIFS($K37:$CP37,$K$7:$CP$7,"&gt;="&amp;'Key assumptions'!$D$24,$K$7:$CP$7,"&lt;="&amp;'Key assumptions'!$D$25),0)</f>
        <v>0.44916267942583743</v>
      </c>
      <c r="HJ37" s="148">
        <f t="shared" si="21"/>
        <v>42739.131456744777</v>
      </c>
      <c r="HK37" s="148">
        <f t="shared" si="1"/>
        <v>42739.131456744777</v>
      </c>
      <c r="HL37" s="148">
        <f t="shared" si="2"/>
        <v>0</v>
      </c>
      <c r="HM37" s="148">
        <f t="shared" si="3"/>
        <v>0</v>
      </c>
      <c r="HN37" s="148">
        <f t="shared" si="4"/>
        <v>0</v>
      </c>
      <c r="HO37" s="148">
        <f t="shared" si="5"/>
        <v>0</v>
      </c>
      <c r="HP37" s="148">
        <f t="shared" si="6"/>
        <v>0</v>
      </c>
      <c r="HQ37" s="148">
        <f t="shared" si="7"/>
        <v>0</v>
      </c>
      <c r="HR37" s="147">
        <f t="shared" si="8"/>
        <v>42739.131456744777</v>
      </c>
      <c r="HS37" s="89"/>
      <c r="HU37" s="147">
        <f>$HJ37*HC37/(1+'Key assumptions'!G59)^0.75</f>
        <v>42739.131456744777</v>
      </c>
      <c r="HW37" s="216">
        <f t="shared" si="9"/>
        <v>0.44916267942583743</v>
      </c>
      <c r="HX37" s="216">
        <f t="shared" si="10"/>
        <v>0</v>
      </c>
      <c r="HY37" s="216">
        <f t="shared" si="11"/>
        <v>0</v>
      </c>
      <c r="HZ37" s="216">
        <f t="shared" si="12"/>
        <v>0</v>
      </c>
      <c r="IA37" s="216">
        <f t="shared" si="13"/>
        <v>0</v>
      </c>
      <c r="IB37" s="216">
        <f t="shared" si="14"/>
        <v>0</v>
      </c>
      <c r="IC37" s="216">
        <f t="shared" si="15"/>
        <v>0</v>
      </c>
      <c r="ID37" s="216">
        <f t="shared" si="16"/>
        <v>0.44916267942583743</v>
      </c>
      <c r="IF37" s="216">
        <f t="shared" si="17"/>
        <v>0.44916267942583743</v>
      </c>
    </row>
    <row r="38" spans="2:240" x14ac:dyDescent="0.2">
      <c r="B38" s="141" t="str">
        <v>Project Delivery Management - Commercial Management</v>
      </c>
      <c r="C38" s="141" t="str">
        <v>Contract Manager - Senior (Commercial)</v>
      </c>
      <c r="D38" s="141" t="str">
        <v>Internal Labour</v>
      </c>
      <c r="E38" s="141" t="str">
        <v>$ Nominal</v>
      </c>
      <c r="F38" s="141" t="str">
        <v>Existing</v>
      </c>
      <c r="G38" s="141" t="str">
        <v>Normal time</v>
      </c>
      <c r="H38" s="142">
        <v>333.23</v>
      </c>
      <c r="I38" s="126">
        <v>169896.30000000002</v>
      </c>
      <c r="J38" s="143">
        <v>0</v>
      </c>
      <c r="K38" s="144">
        <v>0</v>
      </c>
      <c r="L38" s="144">
        <v>0</v>
      </c>
      <c r="M38" s="144">
        <v>0</v>
      </c>
      <c r="N38" s="144">
        <v>0</v>
      </c>
      <c r="O38" s="144">
        <v>0</v>
      </c>
      <c r="P38" s="144">
        <v>0</v>
      </c>
      <c r="Q38" s="144">
        <v>0</v>
      </c>
      <c r="R38" s="144">
        <v>0</v>
      </c>
      <c r="S38" s="144">
        <v>0</v>
      </c>
      <c r="T38" s="144">
        <v>0</v>
      </c>
      <c r="U38" s="144">
        <v>0</v>
      </c>
      <c r="V38" s="144">
        <v>0.8666666666666667</v>
      </c>
      <c r="W38" s="144">
        <v>1.4666666666666666</v>
      </c>
      <c r="X38" s="144">
        <v>1</v>
      </c>
      <c r="Y38" s="144">
        <v>1</v>
      </c>
      <c r="Z38" s="144">
        <v>0</v>
      </c>
      <c r="AA38" s="144">
        <v>0</v>
      </c>
      <c r="AB38" s="144">
        <v>0</v>
      </c>
      <c r="AC38" s="144">
        <v>0</v>
      </c>
      <c r="AD38" s="144">
        <v>0</v>
      </c>
      <c r="AE38" s="144">
        <v>0</v>
      </c>
      <c r="AF38" s="144">
        <v>0</v>
      </c>
      <c r="AG38" s="144">
        <v>0</v>
      </c>
      <c r="AH38" s="144">
        <v>0</v>
      </c>
      <c r="AI38" s="144">
        <v>0</v>
      </c>
      <c r="AJ38" s="144">
        <v>0</v>
      </c>
      <c r="AK38" s="144">
        <v>0</v>
      </c>
      <c r="AL38" s="144">
        <v>0</v>
      </c>
      <c r="AM38" s="144">
        <v>0</v>
      </c>
      <c r="AN38" s="144">
        <v>0</v>
      </c>
      <c r="AO38" s="144">
        <v>0</v>
      </c>
      <c r="AP38" s="144">
        <v>0</v>
      </c>
      <c r="AQ38" s="144">
        <v>0</v>
      </c>
      <c r="AR38" s="144">
        <v>0</v>
      </c>
      <c r="AS38" s="144">
        <v>0</v>
      </c>
      <c r="AT38" s="144">
        <v>0</v>
      </c>
      <c r="AU38" s="144">
        <v>0</v>
      </c>
      <c r="AV38" s="144">
        <v>0</v>
      </c>
      <c r="AW38" s="144">
        <v>0</v>
      </c>
      <c r="AX38" s="144">
        <v>0</v>
      </c>
      <c r="AY38" s="144">
        <v>0</v>
      </c>
      <c r="AZ38" s="144">
        <v>0</v>
      </c>
      <c r="BA38" s="144">
        <v>0</v>
      </c>
      <c r="BB38" s="144">
        <v>0</v>
      </c>
      <c r="BC38" s="144">
        <v>0</v>
      </c>
      <c r="BD38" s="144">
        <v>0</v>
      </c>
      <c r="BE38" s="144">
        <v>0</v>
      </c>
      <c r="BF38" s="144">
        <v>0</v>
      </c>
      <c r="BG38" s="144">
        <v>0</v>
      </c>
      <c r="BH38" s="144">
        <v>0</v>
      </c>
      <c r="BI38" s="144">
        <v>0</v>
      </c>
      <c r="BJ38" s="144">
        <v>0</v>
      </c>
      <c r="BK38" s="144">
        <v>0</v>
      </c>
      <c r="BL38" s="144">
        <v>0</v>
      </c>
      <c r="BM38" s="144">
        <v>0</v>
      </c>
      <c r="BN38" s="144">
        <v>0</v>
      </c>
      <c r="BO38" s="144">
        <v>0</v>
      </c>
      <c r="BP38" s="144">
        <v>0</v>
      </c>
      <c r="BQ38" s="144">
        <v>0</v>
      </c>
      <c r="BR38" s="144">
        <v>0</v>
      </c>
      <c r="BS38" s="144">
        <v>0</v>
      </c>
      <c r="BT38" s="144">
        <v>0</v>
      </c>
      <c r="BU38" s="144">
        <v>0</v>
      </c>
      <c r="BV38" s="144">
        <v>0</v>
      </c>
      <c r="BW38" s="144">
        <v>0</v>
      </c>
      <c r="BX38" s="144">
        <v>0</v>
      </c>
      <c r="BY38" s="144">
        <v>0</v>
      </c>
      <c r="BZ38" s="144">
        <v>0</v>
      </c>
      <c r="CA38" s="144">
        <v>0</v>
      </c>
      <c r="CB38" s="144">
        <v>0</v>
      </c>
      <c r="CC38" s="144">
        <v>0</v>
      </c>
      <c r="CD38" s="144">
        <v>0</v>
      </c>
      <c r="CE38" s="144">
        <v>0</v>
      </c>
      <c r="CF38" s="144">
        <v>0</v>
      </c>
      <c r="CG38" s="144">
        <v>0</v>
      </c>
      <c r="CH38" s="144">
        <v>0</v>
      </c>
      <c r="CI38" s="144">
        <v>0</v>
      </c>
      <c r="CJ38" s="144">
        <v>0</v>
      </c>
      <c r="CK38" s="144">
        <v>0</v>
      </c>
      <c r="CL38" s="144">
        <v>0</v>
      </c>
      <c r="CM38" s="144">
        <v>0</v>
      </c>
      <c r="CN38" s="144">
        <v>0</v>
      </c>
      <c r="CO38" s="144">
        <v>0</v>
      </c>
      <c r="CP38" s="144">
        <v>0</v>
      </c>
      <c r="CQ38" s="143">
        <v>0</v>
      </c>
      <c r="CR38" s="145">
        <v>0</v>
      </c>
      <c r="CS38" s="145">
        <v>0</v>
      </c>
      <c r="CT38" s="145">
        <v>0</v>
      </c>
      <c r="CU38" s="145">
        <v>0</v>
      </c>
      <c r="CV38" s="145">
        <v>0</v>
      </c>
      <c r="CW38" s="145">
        <v>0</v>
      </c>
      <c r="CX38" s="145">
        <v>0</v>
      </c>
      <c r="CY38" s="145">
        <v>0</v>
      </c>
      <c r="CZ38" s="145">
        <v>0</v>
      </c>
      <c r="DA38" s="145">
        <v>0</v>
      </c>
      <c r="DB38" s="145">
        <v>0</v>
      </c>
      <c r="DC38" s="145">
        <v>29448.899999999987</v>
      </c>
      <c r="DD38" s="145">
        <v>49836.600000000049</v>
      </c>
      <c r="DE38" s="145">
        <v>45305.4</v>
      </c>
      <c r="DF38" s="145">
        <v>45305.4</v>
      </c>
      <c r="DG38" s="145">
        <v>0</v>
      </c>
      <c r="DH38" s="145">
        <v>0</v>
      </c>
      <c r="DI38" s="145">
        <v>0</v>
      </c>
      <c r="DJ38" s="145">
        <v>0</v>
      </c>
      <c r="DK38" s="145">
        <v>0</v>
      </c>
      <c r="DL38" s="145">
        <v>0</v>
      </c>
      <c r="DM38" s="145">
        <v>0</v>
      </c>
      <c r="DN38" s="145">
        <v>0</v>
      </c>
      <c r="DO38" s="145">
        <v>0</v>
      </c>
      <c r="DP38" s="145">
        <v>0</v>
      </c>
      <c r="DQ38" s="145">
        <v>0</v>
      </c>
      <c r="DR38" s="145">
        <v>0</v>
      </c>
      <c r="DS38" s="145">
        <v>0</v>
      </c>
      <c r="DT38" s="145">
        <v>0</v>
      </c>
      <c r="DU38" s="145">
        <v>0</v>
      </c>
      <c r="DV38" s="145">
        <v>0</v>
      </c>
      <c r="DW38" s="145">
        <v>0</v>
      </c>
      <c r="DX38" s="145">
        <v>0</v>
      </c>
      <c r="DY38" s="145">
        <v>0</v>
      </c>
      <c r="DZ38" s="145">
        <v>0</v>
      </c>
      <c r="EA38" s="145">
        <v>0</v>
      </c>
      <c r="EB38" s="145">
        <v>0</v>
      </c>
      <c r="EC38" s="145">
        <v>0</v>
      </c>
      <c r="ED38" s="145">
        <v>0</v>
      </c>
      <c r="EE38" s="145">
        <v>0</v>
      </c>
      <c r="EF38" s="145">
        <v>0</v>
      </c>
      <c r="EG38" s="145">
        <v>0</v>
      </c>
      <c r="EH38" s="145">
        <v>0</v>
      </c>
      <c r="EI38" s="145">
        <v>0</v>
      </c>
      <c r="EJ38" s="145">
        <v>0</v>
      </c>
      <c r="EK38" s="145">
        <v>0</v>
      </c>
      <c r="EL38" s="145">
        <v>0</v>
      </c>
      <c r="EM38" s="145">
        <v>0</v>
      </c>
      <c r="EN38" s="145">
        <v>0</v>
      </c>
      <c r="EO38" s="145">
        <v>0</v>
      </c>
      <c r="EP38" s="145">
        <v>0</v>
      </c>
      <c r="EQ38" s="145">
        <v>0</v>
      </c>
      <c r="ER38" s="145">
        <v>0</v>
      </c>
      <c r="ES38" s="145">
        <v>0</v>
      </c>
      <c r="ET38" s="145">
        <v>0</v>
      </c>
      <c r="EU38" s="145">
        <v>0</v>
      </c>
      <c r="EV38" s="145">
        <v>0</v>
      </c>
      <c r="EW38" s="145">
        <v>0</v>
      </c>
      <c r="EX38" s="145">
        <v>0</v>
      </c>
      <c r="EY38" s="145">
        <v>0</v>
      </c>
      <c r="EZ38" s="145">
        <v>0</v>
      </c>
      <c r="FA38" s="145">
        <v>0</v>
      </c>
      <c r="FB38" s="145">
        <v>0</v>
      </c>
      <c r="FC38" s="145">
        <v>0</v>
      </c>
      <c r="FD38" s="145">
        <v>0</v>
      </c>
      <c r="FE38" s="145">
        <v>0</v>
      </c>
      <c r="FF38" s="145">
        <v>0</v>
      </c>
      <c r="FG38" s="145">
        <v>0</v>
      </c>
      <c r="FH38" s="145">
        <v>0</v>
      </c>
      <c r="FI38" s="145">
        <v>0</v>
      </c>
      <c r="FJ38" s="145">
        <v>0</v>
      </c>
      <c r="FK38" s="145">
        <v>0</v>
      </c>
      <c r="FL38" s="145">
        <v>0</v>
      </c>
      <c r="FM38" s="145">
        <v>0</v>
      </c>
      <c r="FN38" s="145">
        <v>0</v>
      </c>
      <c r="FO38" s="145">
        <v>0</v>
      </c>
      <c r="FP38" s="145">
        <v>0</v>
      </c>
      <c r="FQ38" s="145">
        <v>0</v>
      </c>
      <c r="FR38" s="145">
        <v>0</v>
      </c>
      <c r="FS38" s="145">
        <v>0</v>
      </c>
      <c r="FT38" s="145">
        <v>0</v>
      </c>
      <c r="FU38" s="145">
        <v>0</v>
      </c>
      <c r="FV38" s="145">
        <v>0</v>
      </c>
      <c r="FW38" s="145">
        <v>0</v>
      </c>
      <c r="FX38" s="143"/>
      <c r="FY38" s="146" t="str">
        <f>_xlfn.XLOOKUP($E38,'Key assumptions'!$B$112:$B$120,'Key assumptions'!$C$112:$C$120,0)</f>
        <v>Nominal</v>
      </c>
      <c r="FZ38" s="146" cm="1">
        <f t="array" ref="FZ38">IF($FY38=0,0,_xlfn.IFS($FY38='Key assumptions'!$C$120,_xlfn.XLOOKUP(LEFT(FZ$7,6),Inflation_Year,Inflation_NominaltoReal),TRUE,_xlfn.XLOOKUP($FY38,Inflation_Year,NominaltoReal)))</f>
        <v>1.0197075870962191</v>
      </c>
      <c r="GA38" s="146" cm="1">
        <f t="array" ref="GA38">IF($FY38=0,0,_xlfn.IFS($FY38='Key assumptions'!$C$120,_xlfn.XLOOKUP(LEFT(GA$7,6),Inflation_Year,Inflation_NominaltoReal),TRUE,_xlfn.XLOOKUP($FY38,Inflation_Year,NominaltoReal)))</f>
        <v>0.98700804022984445</v>
      </c>
      <c r="GB38" s="146" cm="1">
        <f t="array" ref="GB38">IF($FY38=0,0,_xlfn.IFS($FY38='Key assumptions'!$C$120,_xlfn.XLOOKUP(LEFT(GB$7,6),Inflation_Year,Inflation_NominaltoReal),TRUE,_xlfn.XLOOKUP($FY38,Inflation_Year,NominaltoReal)))</f>
        <v>0.96152830081941731</v>
      </c>
      <c r="GC38" s="146" cm="1">
        <f t="array" ref="GC38">IF($FY38=0,0,_xlfn.IFS($FY38='Key assumptions'!$C$120,_xlfn.XLOOKUP(LEFT(GC$7,6),Inflation_Year,Inflation_NominaltoReal),TRUE,_xlfn.XLOOKUP($FY38,Inflation_Year,NominaltoReal)))</f>
        <v>0.93670632415656829</v>
      </c>
      <c r="GD38" s="146" cm="1">
        <f t="array" ref="GD38">IF($FY38=0,0,_xlfn.IFS($FY38='Key assumptions'!$C$120,_xlfn.XLOOKUP(LEFT(GD$7,6),Inflation_Year,Inflation_NominaltoReal),TRUE,_xlfn.XLOOKUP($FY38,Inflation_Year,NominaltoReal)))</f>
        <v>0.91252513001143176</v>
      </c>
      <c r="GE38" s="146" cm="1">
        <f t="array" ref="GE38">IF($FY38=0,0,_xlfn.IFS($FY38='Key assumptions'!$C$120,_xlfn.XLOOKUP(LEFT(GE$7,6),Inflation_Year,Inflation_NominaltoReal),TRUE,_xlfn.XLOOKUP($FY38,Inflation_Year,NominaltoReal)))</f>
        <v>0.88896817650095872</v>
      </c>
      <c r="GF38" s="146" cm="1">
        <f t="array" ref="GF38">IF($FY38=0,0,_xlfn.IFS($FY38='Key assumptions'!$C$120,_xlfn.XLOOKUP(LEFT(GF$7,6),Inflation_Year,Inflation_NominaltoReal),TRUE,_xlfn.XLOOKUP($FY38,Inflation_Year,NominaltoReal)))</f>
        <v>0.86601934877293718</v>
      </c>
      <c r="GG38" s="143"/>
      <c r="GH38" s="145" cm="1">
        <f t="array" ref="GH38">SUMPRODUCT(--($CR$7:$FW$7&gt;=GH$5),--($CR$7:$FW$7&lt;=GH$6),$CR38:$FW38)*FZ38</f>
        <v>92396.520232858093</v>
      </c>
      <c r="GI38" s="145" cm="1">
        <f t="array" ref="GI38">SUMPRODUCT(--($CR$7:$FW$7&gt;=GI$5),--($CR$7:$FW$7&lt;=GI$6),$CR38:$FW38)*GA38</f>
        <v>0</v>
      </c>
      <c r="GJ38" s="145" cm="1">
        <f t="array" ref="GJ38">SUMPRODUCT(--($CR$7:$FW$7&gt;=GJ$5),--($CR$7:$FW$7&lt;=GJ$6),$CR38:$FW38)*GB38</f>
        <v>0</v>
      </c>
      <c r="GK38" s="145" cm="1">
        <f t="array" ref="GK38">SUMPRODUCT(--($CR$7:$FW$7&gt;=GK$5),--($CR$7:$FW$7&lt;=GK$6),$CR38:$FW38)*GC38</f>
        <v>0</v>
      </c>
      <c r="GL38" s="145" cm="1">
        <f t="array" ref="GL38">SUMPRODUCT(--($CR$7:$FW$7&gt;=GL$5),--($CR$7:$FW$7&lt;=GL$6),$CR38:$FW38)*GD38</f>
        <v>0</v>
      </c>
      <c r="GM38" s="145" cm="1">
        <f t="array" ref="GM38">SUMPRODUCT(--($CR$7:$FW$7&gt;=GM$5),--($CR$7:$FW$7&lt;=GM$6),$CR38:$FW38)*GE38</f>
        <v>0</v>
      </c>
      <c r="GN38" s="145" cm="1">
        <f t="array" ref="GN38">SUMPRODUCT(--($CR$7:$FW$7&gt;=GN$5),--($CR$7:$FW$7&lt;=GN$6),$CR38:$FW38)*GF38</f>
        <v>0</v>
      </c>
      <c r="GO38" s="145">
        <f t="shared" si="18"/>
        <v>92396.520232858093</v>
      </c>
      <c r="GP38" s="87"/>
      <c r="GQ38" s="89"/>
      <c r="GR38" s="145" cm="1">
        <f t="array" ref="GR38">SUMPRODUCT(--($CR$7:$FW$7&gt;=GR$5),--($CR$7:$FW$7&lt;=GR$6),$CR38:$FW38)</f>
        <v>90610.8</v>
      </c>
      <c r="GS38" s="89"/>
      <c r="GT38" s="214" cm="1">
        <f t="array" ref="GT38">--AND(MIN(IF($K38:$CP38&lt;&gt;0,$K$7:$CP$7))&gt;=GT$5,MIN(IF($K38:$CP38&lt;&gt;0,$K$7:$CP$7))&lt;=GT$6)</f>
        <v>0</v>
      </c>
      <c r="GU38" s="214" cm="1">
        <f t="array" ref="GU38">--AND(MIN(IF($K38:$CP38&lt;&gt;0,$K$7:$CP$7))&gt;=GU$5,MIN(IF($K38:$CP38&lt;&gt;0,$K$7:$CP$7))&lt;=GU$6)</f>
        <v>0</v>
      </c>
      <c r="GV38" s="214" cm="1">
        <f t="array" ref="GV38">--AND(MIN(IF($K38:$CP38&lt;&gt;0,$K$7:$CP$7))&gt;=GV$5,MIN(IF($K38:$CP38&lt;&gt;0,$K$7:$CP$7))&lt;=GV$6)</f>
        <v>0</v>
      </c>
      <c r="GW38" s="214" cm="1">
        <f t="array" ref="GW38">--AND(MIN(IF($K38:$CP38&lt;&gt;0,$K$7:$CP$7))&gt;=GW$5,MIN(IF($K38:$CP38&lt;&gt;0,$K$7:$CP$7))&lt;=GW$6)</f>
        <v>0</v>
      </c>
      <c r="GX38" s="214" cm="1">
        <f t="array" ref="GX38">--AND(MIN(IF($K38:$CP38&lt;&gt;0,$K$7:$CP$7))&gt;=GX$5,MIN(IF($K38:$CP38&lt;&gt;0,$K$7:$CP$7))&lt;=GX$6)</f>
        <v>0</v>
      </c>
      <c r="GY38" s="214" cm="1">
        <f t="array" ref="GY38">--AND(MIN(IF($K38:$CP38&lt;&gt;0,$K$7:$CP$7))&gt;=GY$5,MIN(IF($K38:$CP38&lt;&gt;0,$K$7:$CP$7))&lt;=GY$6)</f>
        <v>0</v>
      </c>
      <c r="GZ38" s="214" cm="1">
        <f t="array" ref="GZ38">--AND(MIN(IF($K38:$CP38&lt;&gt;0,$K$7:$CP$7))&gt;=GZ$5,MIN(IF($K38:$CP38&lt;&gt;0,$K$7:$CP$7))&lt;=GZ$6)</f>
        <v>0</v>
      </c>
      <c r="HA38" s="214">
        <f t="shared" si="0"/>
        <v>0</v>
      </c>
      <c r="HC38" s="214" cm="1">
        <f t="array" ref="HC38">--AND(MIN(IF($K38:$CP38&lt;&gt;0,$K$7:$CP$7))&gt;=HC$5,MIN(IF($K38:$CP38&lt;&gt;0,$K$7:$CP$7))&lt;=HC$6)</f>
        <v>0</v>
      </c>
      <c r="HE38" s="147" t="str">
        <f t="shared" si="19"/>
        <v>No</v>
      </c>
      <c r="HF38" s="147" t="str">
        <f t="shared" si="20"/>
        <v>No</v>
      </c>
      <c r="HG38" s="147">
        <f>IF($HF38="Yes",0,$H38*avg_hrs*12*'Key assumptions'!$D$87)</f>
        <v>595904.88203629851</v>
      </c>
      <c r="HH38" s="147">
        <f>IF(HE38="Yes",'Key assumptions'!$D$84*HG38,0)</f>
        <v>0</v>
      </c>
      <c r="HI38" s="144">
        <f>IFERROR(AVERAGEIFS($K38:$CP38,$K$7:$CP$7,"&gt;="&amp;'Key assumptions'!$D$24,$K$7:$CP$7,"&lt;="&amp;'Key assumptions'!$D$25),0)</f>
        <v>4.5454545454545456E-2</v>
      </c>
      <c r="HJ38" s="148">
        <f t="shared" si="21"/>
        <v>0</v>
      </c>
      <c r="HK38" s="148">
        <f t="shared" si="1"/>
        <v>0</v>
      </c>
      <c r="HL38" s="148">
        <f t="shared" si="2"/>
        <v>0</v>
      </c>
      <c r="HM38" s="148">
        <f t="shared" si="3"/>
        <v>0</v>
      </c>
      <c r="HN38" s="148">
        <f t="shared" si="4"/>
        <v>0</v>
      </c>
      <c r="HO38" s="148">
        <f t="shared" si="5"/>
        <v>0</v>
      </c>
      <c r="HP38" s="148">
        <f t="shared" si="6"/>
        <v>0</v>
      </c>
      <c r="HQ38" s="148">
        <f t="shared" si="7"/>
        <v>0</v>
      </c>
      <c r="HR38" s="147">
        <f t="shared" si="8"/>
        <v>0</v>
      </c>
      <c r="HS38" s="89"/>
      <c r="HU38" s="147">
        <f>$HJ38*HC38/(1+'Key assumptions'!G60)^0.75</f>
        <v>0</v>
      </c>
      <c r="HW38" s="216">
        <f t="shared" si="9"/>
        <v>0</v>
      </c>
      <c r="HX38" s="216">
        <f t="shared" si="10"/>
        <v>0</v>
      </c>
      <c r="HY38" s="216">
        <f t="shared" si="11"/>
        <v>0</v>
      </c>
      <c r="HZ38" s="216">
        <f t="shared" si="12"/>
        <v>0</v>
      </c>
      <c r="IA38" s="216">
        <f t="shared" si="13"/>
        <v>0</v>
      </c>
      <c r="IB38" s="216">
        <f t="shared" si="14"/>
        <v>0</v>
      </c>
      <c r="IC38" s="216">
        <f t="shared" si="15"/>
        <v>0</v>
      </c>
      <c r="ID38" s="216">
        <f t="shared" si="16"/>
        <v>0</v>
      </c>
      <c r="IF38" s="216">
        <f t="shared" si="17"/>
        <v>0</v>
      </c>
    </row>
    <row r="39" spans="2:240" x14ac:dyDescent="0.2">
      <c r="B39" s="141" t="str">
        <v>Project Delivery Management - Commercial Management</v>
      </c>
      <c r="C39" s="141" t="str">
        <v>Contract Administrator (Commercial)</v>
      </c>
      <c r="D39" s="141" t="str">
        <v>Internal Labour</v>
      </c>
      <c r="E39" s="141" t="str">
        <v>$ Nominal</v>
      </c>
      <c r="F39" s="141" t="str">
        <v>Existing</v>
      </c>
      <c r="G39" s="141" t="str">
        <v>Normal time</v>
      </c>
      <c r="H39" s="142">
        <v>202.73</v>
      </c>
      <c r="I39" s="126">
        <v>55490.399999999994</v>
      </c>
      <c r="J39" s="143">
        <v>0</v>
      </c>
      <c r="K39" s="144">
        <v>0</v>
      </c>
      <c r="L39" s="144">
        <v>0</v>
      </c>
      <c r="M39" s="144">
        <v>0</v>
      </c>
      <c r="N39" s="144">
        <v>0</v>
      </c>
      <c r="O39" s="144">
        <v>0</v>
      </c>
      <c r="P39" s="144">
        <v>0</v>
      </c>
      <c r="Q39" s="144">
        <v>0</v>
      </c>
      <c r="R39" s="144">
        <v>0</v>
      </c>
      <c r="S39" s="144">
        <v>0</v>
      </c>
      <c r="T39" s="144">
        <v>0</v>
      </c>
      <c r="U39" s="144">
        <v>0</v>
      </c>
      <c r="V39" s="144">
        <v>0</v>
      </c>
      <c r="W39" s="144">
        <v>0</v>
      </c>
      <c r="X39" s="144">
        <v>1</v>
      </c>
      <c r="Y39" s="144">
        <v>1</v>
      </c>
      <c r="Z39" s="144">
        <v>0</v>
      </c>
      <c r="AA39" s="144">
        <v>0</v>
      </c>
      <c r="AB39" s="144">
        <v>0</v>
      </c>
      <c r="AC39" s="144">
        <v>0</v>
      </c>
      <c r="AD39" s="144">
        <v>0</v>
      </c>
      <c r="AE39" s="144">
        <v>0</v>
      </c>
      <c r="AF39" s="144">
        <v>0</v>
      </c>
      <c r="AG39" s="144">
        <v>0</v>
      </c>
      <c r="AH39" s="144">
        <v>0</v>
      </c>
      <c r="AI39" s="144">
        <v>0</v>
      </c>
      <c r="AJ39" s="144">
        <v>0</v>
      </c>
      <c r="AK39" s="144">
        <v>0</v>
      </c>
      <c r="AL39" s="144">
        <v>0</v>
      </c>
      <c r="AM39" s="144">
        <v>0</v>
      </c>
      <c r="AN39" s="144">
        <v>0</v>
      </c>
      <c r="AO39" s="144">
        <v>0</v>
      </c>
      <c r="AP39" s="144">
        <v>0</v>
      </c>
      <c r="AQ39" s="144">
        <v>0</v>
      </c>
      <c r="AR39" s="144">
        <v>0</v>
      </c>
      <c r="AS39" s="144">
        <v>0</v>
      </c>
      <c r="AT39" s="144">
        <v>0</v>
      </c>
      <c r="AU39" s="144">
        <v>0</v>
      </c>
      <c r="AV39" s="144">
        <v>0</v>
      </c>
      <c r="AW39" s="144">
        <v>0</v>
      </c>
      <c r="AX39" s="144">
        <v>0</v>
      </c>
      <c r="AY39" s="144">
        <v>0</v>
      </c>
      <c r="AZ39" s="144">
        <v>0</v>
      </c>
      <c r="BA39" s="144">
        <v>0</v>
      </c>
      <c r="BB39" s="144">
        <v>0</v>
      </c>
      <c r="BC39" s="144">
        <v>0</v>
      </c>
      <c r="BD39" s="144">
        <v>0</v>
      </c>
      <c r="BE39" s="144">
        <v>0</v>
      </c>
      <c r="BF39" s="144">
        <v>0</v>
      </c>
      <c r="BG39" s="144">
        <v>0</v>
      </c>
      <c r="BH39" s="144">
        <v>0</v>
      </c>
      <c r="BI39" s="144">
        <v>0</v>
      </c>
      <c r="BJ39" s="144">
        <v>0</v>
      </c>
      <c r="BK39" s="144">
        <v>0</v>
      </c>
      <c r="BL39" s="144">
        <v>0</v>
      </c>
      <c r="BM39" s="144">
        <v>0</v>
      </c>
      <c r="BN39" s="144">
        <v>0</v>
      </c>
      <c r="BO39" s="144">
        <v>0</v>
      </c>
      <c r="BP39" s="144">
        <v>0</v>
      </c>
      <c r="BQ39" s="144">
        <v>0</v>
      </c>
      <c r="BR39" s="144">
        <v>0</v>
      </c>
      <c r="BS39" s="144">
        <v>0</v>
      </c>
      <c r="BT39" s="144">
        <v>0</v>
      </c>
      <c r="BU39" s="144">
        <v>0</v>
      </c>
      <c r="BV39" s="144">
        <v>0</v>
      </c>
      <c r="BW39" s="144">
        <v>0</v>
      </c>
      <c r="BX39" s="144">
        <v>0</v>
      </c>
      <c r="BY39" s="144">
        <v>0</v>
      </c>
      <c r="BZ39" s="144">
        <v>0</v>
      </c>
      <c r="CA39" s="144">
        <v>0</v>
      </c>
      <c r="CB39" s="144">
        <v>0</v>
      </c>
      <c r="CC39" s="144">
        <v>0</v>
      </c>
      <c r="CD39" s="144">
        <v>0</v>
      </c>
      <c r="CE39" s="144">
        <v>0</v>
      </c>
      <c r="CF39" s="144">
        <v>0</v>
      </c>
      <c r="CG39" s="144">
        <v>0</v>
      </c>
      <c r="CH39" s="144">
        <v>0</v>
      </c>
      <c r="CI39" s="144">
        <v>0</v>
      </c>
      <c r="CJ39" s="144">
        <v>0</v>
      </c>
      <c r="CK39" s="144">
        <v>0</v>
      </c>
      <c r="CL39" s="144">
        <v>0</v>
      </c>
      <c r="CM39" s="144">
        <v>0</v>
      </c>
      <c r="CN39" s="144">
        <v>0</v>
      </c>
      <c r="CO39" s="144">
        <v>0</v>
      </c>
      <c r="CP39" s="144">
        <v>0</v>
      </c>
      <c r="CQ39" s="143">
        <v>0</v>
      </c>
      <c r="CR39" s="145">
        <v>0</v>
      </c>
      <c r="CS39" s="145">
        <v>0</v>
      </c>
      <c r="CT39" s="145">
        <v>0</v>
      </c>
      <c r="CU39" s="145">
        <v>0</v>
      </c>
      <c r="CV39" s="145">
        <v>0</v>
      </c>
      <c r="CW39" s="145">
        <v>0</v>
      </c>
      <c r="CX39" s="145">
        <v>0</v>
      </c>
      <c r="CY39" s="145">
        <v>0</v>
      </c>
      <c r="CZ39" s="145">
        <v>0</v>
      </c>
      <c r="DA39" s="145">
        <v>0</v>
      </c>
      <c r="DB39" s="145">
        <v>0</v>
      </c>
      <c r="DC39" s="145">
        <v>0</v>
      </c>
      <c r="DD39" s="145">
        <v>0</v>
      </c>
      <c r="DE39" s="145">
        <v>27108.2</v>
      </c>
      <c r="DF39" s="145">
        <v>28382.199999999997</v>
      </c>
      <c r="DG39" s="145">
        <v>0</v>
      </c>
      <c r="DH39" s="145">
        <v>0</v>
      </c>
      <c r="DI39" s="145">
        <v>0</v>
      </c>
      <c r="DJ39" s="145">
        <v>0</v>
      </c>
      <c r="DK39" s="145">
        <v>0</v>
      </c>
      <c r="DL39" s="145">
        <v>0</v>
      </c>
      <c r="DM39" s="145">
        <v>0</v>
      </c>
      <c r="DN39" s="145">
        <v>0</v>
      </c>
      <c r="DO39" s="145">
        <v>0</v>
      </c>
      <c r="DP39" s="145">
        <v>0</v>
      </c>
      <c r="DQ39" s="145">
        <v>0</v>
      </c>
      <c r="DR39" s="145">
        <v>0</v>
      </c>
      <c r="DS39" s="145">
        <v>0</v>
      </c>
      <c r="DT39" s="145">
        <v>0</v>
      </c>
      <c r="DU39" s="145">
        <v>0</v>
      </c>
      <c r="DV39" s="145">
        <v>0</v>
      </c>
      <c r="DW39" s="145">
        <v>0</v>
      </c>
      <c r="DX39" s="145">
        <v>0</v>
      </c>
      <c r="DY39" s="145">
        <v>0</v>
      </c>
      <c r="DZ39" s="145">
        <v>0</v>
      </c>
      <c r="EA39" s="145">
        <v>0</v>
      </c>
      <c r="EB39" s="145">
        <v>0</v>
      </c>
      <c r="EC39" s="145">
        <v>0</v>
      </c>
      <c r="ED39" s="145">
        <v>0</v>
      </c>
      <c r="EE39" s="145">
        <v>0</v>
      </c>
      <c r="EF39" s="145">
        <v>0</v>
      </c>
      <c r="EG39" s="145">
        <v>0</v>
      </c>
      <c r="EH39" s="145">
        <v>0</v>
      </c>
      <c r="EI39" s="145">
        <v>0</v>
      </c>
      <c r="EJ39" s="145">
        <v>0</v>
      </c>
      <c r="EK39" s="145">
        <v>0</v>
      </c>
      <c r="EL39" s="145">
        <v>0</v>
      </c>
      <c r="EM39" s="145">
        <v>0</v>
      </c>
      <c r="EN39" s="145">
        <v>0</v>
      </c>
      <c r="EO39" s="145">
        <v>0</v>
      </c>
      <c r="EP39" s="145">
        <v>0</v>
      </c>
      <c r="EQ39" s="145">
        <v>0</v>
      </c>
      <c r="ER39" s="145">
        <v>0</v>
      </c>
      <c r="ES39" s="145">
        <v>0</v>
      </c>
      <c r="ET39" s="145">
        <v>0</v>
      </c>
      <c r="EU39" s="145">
        <v>0</v>
      </c>
      <c r="EV39" s="145">
        <v>0</v>
      </c>
      <c r="EW39" s="145">
        <v>0</v>
      </c>
      <c r="EX39" s="145">
        <v>0</v>
      </c>
      <c r="EY39" s="145">
        <v>0</v>
      </c>
      <c r="EZ39" s="145">
        <v>0</v>
      </c>
      <c r="FA39" s="145">
        <v>0</v>
      </c>
      <c r="FB39" s="145">
        <v>0</v>
      </c>
      <c r="FC39" s="145">
        <v>0</v>
      </c>
      <c r="FD39" s="145">
        <v>0</v>
      </c>
      <c r="FE39" s="145">
        <v>0</v>
      </c>
      <c r="FF39" s="145">
        <v>0</v>
      </c>
      <c r="FG39" s="145">
        <v>0</v>
      </c>
      <c r="FH39" s="145">
        <v>0</v>
      </c>
      <c r="FI39" s="145">
        <v>0</v>
      </c>
      <c r="FJ39" s="145">
        <v>0</v>
      </c>
      <c r="FK39" s="145">
        <v>0</v>
      </c>
      <c r="FL39" s="145">
        <v>0</v>
      </c>
      <c r="FM39" s="145">
        <v>0</v>
      </c>
      <c r="FN39" s="145">
        <v>0</v>
      </c>
      <c r="FO39" s="145">
        <v>0</v>
      </c>
      <c r="FP39" s="145">
        <v>0</v>
      </c>
      <c r="FQ39" s="145">
        <v>0</v>
      </c>
      <c r="FR39" s="145">
        <v>0</v>
      </c>
      <c r="FS39" s="145">
        <v>0</v>
      </c>
      <c r="FT39" s="145">
        <v>0</v>
      </c>
      <c r="FU39" s="145">
        <v>0</v>
      </c>
      <c r="FV39" s="145">
        <v>0</v>
      </c>
      <c r="FW39" s="145">
        <v>0</v>
      </c>
      <c r="FX39" s="143"/>
      <c r="FY39" s="146" t="str">
        <f>_xlfn.XLOOKUP($E39,'Key assumptions'!$B$112:$B$120,'Key assumptions'!$C$112:$C$120,0)</f>
        <v>Nominal</v>
      </c>
      <c r="FZ39" s="146" cm="1">
        <f t="array" ref="FZ39">IF($FY39=0,0,_xlfn.IFS($FY39='Key assumptions'!$C$120,_xlfn.XLOOKUP(LEFT(FZ$7,6),Inflation_Year,Inflation_NominaltoReal),TRUE,_xlfn.XLOOKUP($FY39,Inflation_Year,NominaltoReal)))</f>
        <v>1.0197075870962191</v>
      </c>
      <c r="GA39" s="146" cm="1">
        <f t="array" ref="GA39">IF($FY39=0,0,_xlfn.IFS($FY39='Key assumptions'!$C$120,_xlfn.XLOOKUP(LEFT(GA$7,6),Inflation_Year,Inflation_NominaltoReal),TRUE,_xlfn.XLOOKUP($FY39,Inflation_Year,NominaltoReal)))</f>
        <v>0.98700804022984445</v>
      </c>
      <c r="GB39" s="146" cm="1">
        <f t="array" ref="GB39">IF($FY39=0,0,_xlfn.IFS($FY39='Key assumptions'!$C$120,_xlfn.XLOOKUP(LEFT(GB$7,6),Inflation_Year,Inflation_NominaltoReal),TRUE,_xlfn.XLOOKUP($FY39,Inflation_Year,NominaltoReal)))</f>
        <v>0.96152830081941731</v>
      </c>
      <c r="GC39" s="146" cm="1">
        <f t="array" ref="GC39">IF($FY39=0,0,_xlfn.IFS($FY39='Key assumptions'!$C$120,_xlfn.XLOOKUP(LEFT(GC$7,6),Inflation_Year,Inflation_NominaltoReal),TRUE,_xlfn.XLOOKUP($FY39,Inflation_Year,NominaltoReal)))</f>
        <v>0.93670632415656829</v>
      </c>
      <c r="GD39" s="146" cm="1">
        <f t="array" ref="GD39">IF($FY39=0,0,_xlfn.IFS($FY39='Key assumptions'!$C$120,_xlfn.XLOOKUP(LEFT(GD$7,6),Inflation_Year,Inflation_NominaltoReal),TRUE,_xlfn.XLOOKUP($FY39,Inflation_Year,NominaltoReal)))</f>
        <v>0.91252513001143176</v>
      </c>
      <c r="GE39" s="146" cm="1">
        <f t="array" ref="GE39">IF($FY39=0,0,_xlfn.IFS($FY39='Key assumptions'!$C$120,_xlfn.XLOOKUP(LEFT(GE$7,6),Inflation_Year,Inflation_NominaltoReal),TRUE,_xlfn.XLOOKUP($FY39,Inflation_Year,NominaltoReal)))</f>
        <v>0.88896817650095872</v>
      </c>
      <c r="GF39" s="146" cm="1">
        <f t="array" ref="GF39">IF($FY39=0,0,_xlfn.IFS($FY39='Key assumptions'!$C$120,_xlfn.XLOOKUP(LEFT(GF$7,6),Inflation_Year,Inflation_NominaltoReal),TRUE,_xlfn.XLOOKUP($FY39,Inflation_Year,NominaltoReal)))</f>
        <v>0.86601934877293718</v>
      </c>
      <c r="GG39" s="143"/>
      <c r="GH39" s="145" cm="1">
        <f t="array" ref="GH39">SUMPRODUCT(--($CR$7:$FW$7&gt;=GH$5),--($CR$7:$FW$7&lt;=GH$6),$CR39:$FW39)*FZ39</f>
        <v>56583.981891004034</v>
      </c>
      <c r="GI39" s="145" cm="1">
        <f t="array" ref="GI39">SUMPRODUCT(--($CR$7:$FW$7&gt;=GI$5),--($CR$7:$FW$7&lt;=GI$6),$CR39:$FW39)*GA39</f>
        <v>0</v>
      </c>
      <c r="GJ39" s="145" cm="1">
        <f t="array" ref="GJ39">SUMPRODUCT(--($CR$7:$FW$7&gt;=GJ$5),--($CR$7:$FW$7&lt;=GJ$6),$CR39:$FW39)*GB39</f>
        <v>0</v>
      </c>
      <c r="GK39" s="145" cm="1">
        <f t="array" ref="GK39">SUMPRODUCT(--($CR$7:$FW$7&gt;=GK$5),--($CR$7:$FW$7&lt;=GK$6),$CR39:$FW39)*GC39</f>
        <v>0</v>
      </c>
      <c r="GL39" s="145" cm="1">
        <f t="array" ref="GL39">SUMPRODUCT(--($CR$7:$FW$7&gt;=GL$5),--($CR$7:$FW$7&lt;=GL$6),$CR39:$FW39)*GD39</f>
        <v>0</v>
      </c>
      <c r="GM39" s="145" cm="1">
        <f t="array" ref="GM39">SUMPRODUCT(--($CR$7:$FW$7&gt;=GM$5),--($CR$7:$FW$7&lt;=GM$6),$CR39:$FW39)*GE39</f>
        <v>0</v>
      </c>
      <c r="GN39" s="145" cm="1">
        <f t="array" ref="GN39">SUMPRODUCT(--($CR$7:$FW$7&gt;=GN$5),--($CR$7:$FW$7&lt;=GN$6),$CR39:$FW39)*GF39</f>
        <v>0</v>
      </c>
      <c r="GO39" s="145">
        <f t="shared" si="18"/>
        <v>56583.981891004034</v>
      </c>
      <c r="GP39" s="87"/>
      <c r="GQ39" s="89"/>
      <c r="GR39" s="145" cm="1">
        <f t="array" ref="GR39">SUMPRODUCT(--($CR$7:$FW$7&gt;=GR$5),--($CR$7:$FW$7&lt;=GR$6),$CR39:$FW39)</f>
        <v>55490.399999999994</v>
      </c>
      <c r="GS39" s="89"/>
      <c r="GT39" s="214" cm="1">
        <f t="array" ref="GT39">--AND(MIN(IF($K39:$CP39&lt;&gt;0,$K$7:$CP$7))&gt;=GT$5,MIN(IF($K39:$CP39&lt;&gt;0,$K$7:$CP$7))&lt;=GT$6)</f>
        <v>1</v>
      </c>
      <c r="GU39" s="214" cm="1">
        <f t="array" ref="GU39">--AND(MIN(IF($K39:$CP39&lt;&gt;0,$K$7:$CP$7))&gt;=GU$5,MIN(IF($K39:$CP39&lt;&gt;0,$K$7:$CP$7))&lt;=GU$6)</f>
        <v>0</v>
      </c>
      <c r="GV39" s="214" cm="1">
        <f t="array" ref="GV39">--AND(MIN(IF($K39:$CP39&lt;&gt;0,$K$7:$CP$7))&gt;=GV$5,MIN(IF($K39:$CP39&lt;&gt;0,$K$7:$CP$7))&lt;=GV$6)</f>
        <v>0</v>
      </c>
      <c r="GW39" s="214" cm="1">
        <f t="array" ref="GW39">--AND(MIN(IF($K39:$CP39&lt;&gt;0,$K$7:$CP$7))&gt;=GW$5,MIN(IF($K39:$CP39&lt;&gt;0,$K$7:$CP$7))&lt;=GW$6)</f>
        <v>0</v>
      </c>
      <c r="GX39" s="214" cm="1">
        <f t="array" ref="GX39">--AND(MIN(IF($K39:$CP39&lt;&gt;0,$K$7:$CP$7))&gt;=GX$5,MIN(IF($K39:$CP39&lt;&gt;0,$K$7:$CP$7))&lt;=GX$6)</f>
        <v>0</v>
      </c>
      <c r="GY39" s="214" cm="1">
        <f t="array" ref="GY39">--AND(MIN(IF($K39:$CP39&lt;&gt;0,$K$7:$CP$7))&gt;=GY$5,MIN(IF($K39:$CP39&lt;&gt;0,$K$7:$CP$7))&lt;=GY$6)</f>
        <v>0</v>
      </c>
      <c r="GZ39" s="214" cm="1">
        <f t="array" ref="GZ39">--AND(MIN(IF($K39:$CP39&lt;&gt;0,$K$7:$CP$7))&gt;=GZ$5,MIN(IF($K39:$CP39&lt;&gt;0,$K$7:$CP$7))&lt;=GZ$6)</f>
        <v>0</v>
      </c>
      <c r="HA39" s="214">
        <f t="shared" si="0"/>
        <v>1</v>
      </c>
      <c r="HC39" s="214" cm="1">
        <f t="array" ref="HC39">--AND(MIN(IF($K39:$CP39&lt;&gt;0,$K$7:$CP$7))&gt;=HC$5,MIN(IF($K39:$CP39&lt;&gt;0,$K$7:$CP$7))&lt;=HC$6)</f>
        <v>1</v>
      </c>
      <c r="HE39" s="147" t="str">
        <f t="shared" si="19"/>
        <v>No</v>
      </c>
      <c r="HF39" s="147" t="str">
        <f t="shared" si="20"/>
        <v>No</v>
      </c>
      <c r="HG39" s="147">
        <f>IF($HF39="Yes",0,$H39*avg_hrs*12*'Key assumptions'!$D$87)</f>
        <v>362535.77629630821</v>
      </c>
      <c r="HH39" s="147">
        <f>IF(HE39="Yes",'Key assumptions'!$D$84*HG39,0)</f>
        <v>0</v>
      </c>
      <c r="HI39" s="144">
        <f>IFERROR(AVERAGEIFS($K39:$CP39,$K$7:$CP$7,"&gt;="&amp;'Key assumptions'!$D$24,$K$7:$CP$7,"&lt;="&amp;'Key assumptions'!$D$25),0)</f>
        <v>4.5454545454545456E-2</v>
      </c>
      <c r="HJ39" s="148">
        <f t="shared" si="21"/>
        <v>0</v>
      </c>
      <c r="HK39" s="148">
        <f t="shared" si="1"/>
        <v>0</v>
      </c>
      <c r="HL39" s="148">
        <f t="shared" si="2"/>
        <v>0</v>
      </c>
      <c r="HM39" s="148">
        <f t="shared" si="3"/>
        <v>0</v>
      </c>
      <c r="HN39" s="148">
        <f t="shared" si="4"/>
        <v>0</v>
      </c>
      <c r="HO39" s="148">
        <f t="shared" si="5"/>
        <v>0</v>
      </c>
      <c r="HP39" s="148">
        <f t="shared" si="6"/>
        <v>0</v>
      </c>
      <c r="HQ39" s="148">
        <f t="shared" si="7"/>
        <v>0</v>
      </c>
      <c r="HR39" s="147">
        <f t="shared" si="8"/>
        <v>0</v>
      </c>
      <c r="HS39" s="90"/>
      <c r="HU39" s="147">
        <f>$HJ39*HC39/(1+'Key assumptions'!G61)^0.75</f>
        <v>0</v>
      </c>
      <c r="HW39" s="216">
        <f t="shared" si="9"/>
        <v>4.5454545454545456E-2</v>
      </c>
      <c r="HX39" s="216">
        <f t="shared" si="10"/>
        <v>0</v>
      </c>
      <c r="HY39" s="216">
        <f t="shared" si="11"/>
        <v>0</v>
      </c>
      <c r="HZ39" s="216">
        <f t="shared" si="12"/>
        <v>0</v>
      </c>
      <c r="IA39" s="216">
        <f t="shared" si="13"/>
        <v>0</v>
      </c>
      <c r="IB39" s="216">
        <f t="shared" si="14"/>
        <v>0</v>
      </c>
      <c r="IC39" s="216">
        <f t="shared" si="15"/>
        <v>0</v>
      </c>
      <c r="ID39" s="216">
        <f t="shared" si="16"/>
        <v>4.5454545454545456E-2</v>
      </c>
      <c r="IF39" s="216">
        <f t="shared" si="17"/>
        <v>4.5454545454545456E-2</v>
      </c>
    </row>
    <row r="40" spans="2:240" x14ac:dyDescent="0.2">
      <c r="B40" s="141" t="str">
        <v>Project Delivery Management - Project Controls</v>
      </c>
      <c r="C40" s="141" t="str">
        <v>Project Controls Lead (Portfolio Controls)</v>
      </c>
      <c r="D40" s="141" t="str">
        <v>Internal Labour</v>
      </c>
      <c r="E40" s="141" t="str">
        <v>$ Nominal</v>
      </c>
      <c r="F40" s="141" t="str">
        <v>New</v>
      </c>
      <c r="G40" s="141" t="str">
        <v>Normal time</v>
      </c>
      <c r="H40" s="142">
        <v>309.29000000000002</v>
      </c>
      <c r="I40" s="126">
        <v>1471466.6600000008</v>
      </c>
      <c r="J40" s="143">
        <v>0</v>
      </c>
      <c r="K40" s="144">
        <v>0</v>
      </c>
      <c r="L40" s="144">
        <v>0</v>
      </c>
      <c r="M40" s="144">
        <v>0</v>
      </c>
      <c r="N40" s="144">
        <v>0</v>
      </c>
      <c r="O40" s="144">
        <v>0</v>
      </c>
      <c r="P40" s="144">
        <v>0</v>
      </c>
      <c r="Q40" s="144">
        <v>0</v>
      </c>
      <c r="R40" s="144">
        <v>0</v>
      </c>
      <c r="S40" s="144">
        <v>0</v>
      </c>
      <c r="T40" s="144">
        <v>0</v>
      </c>
      <c r="U40" s="144">
        <v>0</v>
      </c>
      <c r="V40" s="144">
        <v>0</v>
      </c>
      <c r="W40" s="144">
        <v>0</v>
      </c>
      <c r="X40" s="144">
        <v>1</v>
      </c>
      <c r="Y40" s="144">
        <v>1</v>
      </c>
      <c r="Z40" s="144">
        <v>1</v>
      </c>
      <c r="AA40" s="144">
        <v>0.92105263157894735</v>
      </c>
      <c r="AB40" s="144">
        <v>0.92105263157894735</v>
      </c>
      <c r="AC40" s="144">
        <v>1</v>
      </c>
      <c r="AD40" s="144">
        <v>1</v>
      </c>
      <c r="AE40" s="144">
        <v>1</v>
      </c>
      <c r="AF40" s="144">
        <v>1</v>
      </c>
      <c r="AG40" s="144">
        <v>1</v>
      </c>
      <c r="AH40" s="144">
        <v>1</v>
      </c>
      <c r="AI40" s="144">
        <v>1</v>
      </c>
      <c r="AJ40" s="144">
        <v>1</v>
      </c>
      <c r="AK40" s="144">
        <v>1</v>
      </c>
      <c r="AL40" s="144">
        <v>1</v>
      </c>
      <c r="AM40" s="144">
        <v>1</v>
      </c>
      <c r="AN40" s="144">
        <v>1</v>
      </c>
      <c r="AO40" s="144">
        <v>1</v>
      </c>
      <c r="AP40" s="144">
        <v>1</v>
      </c>
      <c r="AQ40" s="144">
        <v>1</v>
      </c>
      <c r="AR40" s="144">
        <v>1</v>
      </c>
      <c r="AS40" s="144">
        <v>1</v>
      </c>
      <c r="AT40" s="144">
        <v>1</v>
      </c>
      <c r="AU40" s="144">
        <v>1</v>
      </c>
      <c r="AV40" s="144">
        <v>1</v>
      </c>
      <c r="AW40" s="144">
        <v>1</v>
      </c>
      <c r="AX40" s="144">
        <v>1</v>
      </c>
      <c r="AY40" s="144">
        <v>0.92105263157894735</v>
      </c>
      <c r="AZ40" s="144">
        <v>0.92105263157894735</v>
      </c>
      <c r="BA40" s="144">
        <v>1</v>
      </c>
      <c r="BB40" s="144">
        <v>1</v>
      </c>
      <c r="BC40" s="144">
        <v>1</v>
      </c>
      <c r="BD40" s="144">
        <v>1</v>
      </c>
      <c r="BE40" s="144">
        <v>1</v>
      </c>
      <c r="BF40" s="144">
        <v>1.3333333333333333</v>
      </c>
      <c r="BG40" s="144">
        <v>0</v>
      </c>
      <c r="BH40" s="144">
        <v>0</v>
      </c>
      <c r="BI40" s="144">
        <v>0</v>
      </c>
      <c r="BJ40" s="144">
        <v>0</v>
      </c>
      <c r="BK40" s="144">
        <v>0</v>
      </c>
      <c r="BL40" s="144">
        <v>0</v>
      </c>
      <c r="BM40" s="144">
        <v>0</v>
      </c>
      <c r="BN40" s="144">
        <v>0</v>
      </c>
      <c r="BO40" s="144">
        <v>0</v>
      </c>
      <c r="BP40" s="144">
        <v>0</v>
      </c>
      <c r="BQ40" s="144">
        <v>0</v>
      </c>
      <c r="BR40" s="144">
        <v>0</v>
      </c>
      <c r="BS40" s="144">
        <v>0</v>
      </c>
      <c r="BT40" s="144">
        <v>0</v>
      </c>
      <c r="BU40" s="144">
        <v>0</v>
      </c>
      <c r="BV40" s="144">
        <v>0</v>
      </c>
      <c r="BW40" s="144">
        <v>0</v>
      </c>
      <c r="BX40" s="144">
        <v>0</v>
      </c>
      <c r="BY40" s="144">
        <v>0</v>
      </c>
      <c r="BZ40" s="144">
        <v>0</v>
      </c>
      <c r="CA40" s="144">
        <v>0</v>
      </c>
      <c r="CB40" s="144">
        <v>0</v>
      </c>
      <c r="CC40" s="144">
        <v>0</v>
      </c>
      <c r="CD40" s="144">
        <v>0</v>
      </c>
      <c r="CE40" s="144">
        <v>0</v>
      </c>
      <c r="CF40" s="144">
        <v>0</v>
      </c>
      <c r="CG40" s="144">
        <v>0</v>
      </c>
      <c r="CH40" s="144">
        <v>0</v>
      </c>
      <c r="CI40" s="144">
        <v>0</v>
      </c>
      <c r="CJ40" s="144">
        <v>0</v>
      </c>
      <c r="CK40" s="144">
        <v>0</v>
      </c>
      <c r="CL40" s="144">
        <v>0</v>
      </c>
      <c r="CM40" s="144">
        <v>0</v>
      </c>
      <c r="CN40" s="144">
        <v>0</v>
      </c>
      <c r="CO40" s="144">
        <v>0</v>
      </c>
      <c r="CP40" s="144">
        <v>0</v>
      </c>
      <c r="CQ40" s="143">
        <v>0</v>
      </c>
      <c r="CR40" s="145">
        <v>0</v>
      </c>
      <c r="CS40" s="145">
        <v>0</v>
      </c>
      <c r="CT40" s="145">
        <v>0</v>
      </c>
      <c r="CU40" s="145">
        <v>0</v>
      </c>
      <c r="CV40" s="145">
        <v>0</v>
      </c>
      <c r="CW40" s="145">
        <v>0</v>
      </c>
      <c r="CX40" s="145">
        <v>0</v>
      </c>
      <c r="CY40" s="145">
        <v>0</v>
      </c>
      <c r="CZ40" s="145">
        <v>0</v>
      </c>
      <c r="DA40" s="145">
        <v>0</v>
      </c>
      <c r="DB40" s="145">
        <v>0</v>
      </c>
      <c r="DC40" s="145">
        <v>0</v>
      </c>
      <c r="DD40" s="145">
        <v>0</v>
      </c>
      <c r="DE40" s="145">
        <v>42047.6</v>
      </c>
      <c r="DF40" s="145">
        <v>42047.6</v>
      </c>
      <c r="DG40" s="145">
        <v>31535.699999999997</v>
      </c>
      <c r="DH40" s="145">
        <v>42047.6</v>
      </c>
      <c r="DI40" s="145">
        <v>42047.6</v>
      </c>
      <c r="DJ40" s="145">
        <v>43300.600000000006</v>
      </c>
      <c r="DK40" s="145">
        <v>43300.600000000006</v>
      </c>
      <c r="DL40" s="145">
        <v>43300.600000000006</v>
      </c>
      <c r="DM40" s="145">
        <v>43300.600000000006</v>
      </c>
      <c r="DN40" s="145">
        <v>43300.600000000006</v>
      </c>
      <c r="DO40" s="145">
        <v>32475.45</v>
      </c>
      <c r="DP40" s="145">
        <v>32475.45</v>
      </c>
      <c r="DQ40" s="145">
        <v>43300.600000000006</v>
      </c>
      <c r="DR40" s="145">
        <v>43300.600000000006</v>
      </c>
      <c r="DS40" s="145">
        <v>32475.45</v>
      </c>
      <c r="DT40" s="145">
        <v>47012.08</v>
      </c>
      <c r="DU40" s="145">
        <v>47012.08</v>
      </c>
      <c r="DV40" s="145">
        <v>44585.8</v>
      </c>
      <c r="DW40" s="145">
        <v>44585.8</v>
      </c>
      <c r="DX40" s="145">
        <v>44585.8</v>
      </c>
      <c r="DY40" s="145">
        <v>44585.8</v>
      </c>
      <c r="DZ40" s="145">
        <v>44585.8</v>
      </c>
      <c r="EA40" s="145">
        <v>33439.350000000006</v>
      </c>
      <c r="EB40" s="145">
        <v>33439.350000000006</v>
      </c>
      <c r="EC40" s="145">
        <v>44585.8</v>
      </c>
      <c r="ED40" s="145">
        <v>44585.8</v>
      </c>
      <c r="EE40" s="145">
        <v>33439.350000000006</v>
      </c>
      <c r="EF40" s="145">
        <v>44585.8</v>
      </c>
      <c r="EG40" s="145">
        <v>44585.8</v>
      </c>
      <c r="EH40" s="145">
        <v>45932.6</v>
      </c>
      <c r="EI40" s="145">
        <v>45932.6</v>
      </c>
      <c r="EJ40" s="145">
        <v>45932.6</v>
      </c>
      <c r="EK40" s="145">
        <v>45932.6</v>
      </c>
      <c r="EL40" s="145">
        <v>45932.6</v>
      </c>
      <c r="EM40" s="145">
        <v>45932.6</v>
      </c>
      <c r="EN40" s="145">
        <v>0</v>
      </c>
      <c r="EO40" s="145">
        <v>0</v>
      </c>
      <c r="EP40" s="145">
        <v>0</v>
      </c>
      <c r="EQ40" s="145">
        <v>0</v>
      </c>
      <c r="ER40" s="145">
        <v>0</v>
      </c>
      <c r="ES40" s="145">
        <v>0</v>
      </c>
      <c r="ET40" s="145">
        <v>0</v>
      </c>
      <c r="EU40" s="145">
        <v>0</v>
      </c>
      <c r="EV40" s="145">
        <v>0</v>
      </c>
      <c r="EW40" s="145">
        <v>0</v>
      </c>
      <c r="EX40" s="145">
        <v>0</v>
      </c>
      <c r="EY40" s="145">
        <v>0</v>
      </c>
      <c r="EZ40" s="145">
        <v>0</v>
      </c>
      <c r="FA40" s="145">
        <v>0</v>
      </c>
      <c r="FB40" s="145">
        <v>0</v>
      </c>
      <c r="FC40" s="145">
        <v>0</v>
      </c>
      <c r="FD40" s="145">
        <v>0</v>
      </c>
      <c r="FE40" s="145">
        <v>0</v>
      </c>
      <c r="FF40" s="145">
        <v>0</v>
      </c>
      <c r="FG40" s="145">
        <v>0</v>
      </c>
      <c r="FH40" s="145">
        <v>0</v>
      </c>
      <c r="FI40" s="145">
        <v>0</v>
      </c>
      <c r="FJ40" s="145">
        <v>0</v>
      </c>
      <c r="FK40" s="145">
        <v>0</v>
      </c>
      <c r="FL40" s="145">
        <v>0</v>
      </c>
      <c r="FM40" s="145">
        <v>0</v>
      </c>
      <c r="FN40" s="145">
        <v>0</v>
      </c>
      <c r="FO40" s="145">
        <v>0</v>
      </c>
      <c r="FP40" s="145">
        <v>0</v>
      </c>
      <c r="FQ40" s="145">
        <v>0</v>
      </c>
      <c r="FR40" s="145">
        <v>0</v>
      </c>
      <c r="FS40" s="145">
        <v>0</v>
      </c>
      <c r="FT40" s="145">
        <v>0</v>
      </c>
      <c r="FU40" s="145">
        <v>0</v>
      </c>
      <c r="FV40" s="145">
        <v>0</v>
      </c>
      <c r="FW40" s="145">
        <v>0</v>
      </c>
      <c r="FX40" s="143"/>
      <c r="FY40" s="146" t="str">
        <f>_xlfn.XLOOKUP($E40,'Key assumptions'!$B$112:$B$120,'Key assumptions'!$C$112:$C$120,0)</f>
        <v>Nominal</v>
      </c>
      <c r="FZ40" s="146" cm="1">
        <f t="array" ref="FZ40">IF($FY40=0,0,_xlfn.IFS($FY40='Key assumptions'!$C$120,_xlfn.XLOOKUP(LEFT(FZ$7,6),Inflation_Year,Inflation_NominaltoReal),TRUE,_xlfn.XLOOKUP($FY40,Inflation_Year,NominaltoReal)))</f>
        <v>1.0197075870962191</v>
      </c>
      <c r="GA40" s="146" cm="1">
        <f t="array" ref="GA40">IF($FY40=0,0,_xlfn.IFS($FY40='Key assumptions'!$C$120,_xlfn.XLOOKUP(LEFT(GA$7,6),Inflation_Year,Inflation_NominaltoReal),TRUE,_xlfn.XLOOKUP($FY40,Inflation_Year,NominaltoReal)))</f>
        <v>0.98700804022984445</v>
      </c>
      <c r="GB40" s="146" cm="1">
        <f t="array" ref="GB40">IF($FY40=0,0,_xlfn.IFS($FY40='Key assumptions'!$C$120,_xlfn.XLOOKUP(LEFT(GB$7,6),Inflation_Year,Inflation_NominaltoReal),TRUE,_xlfn.XLOOKUP($FY40,Inflation_Year,NominaltoReal)))</f>
        <v>0.96152830081941731</v>
      </c>
      <c r="GC40" s="146" cm="1">
        <f t="array" ref="GC40">IF($FY40=0,0,_xlfn.IFS($FY40='Key assumptions'!$C$120,_xlfn.XLOOKUP(LEFT(GC$7,6),Inflation_Year,Inflation_NominaltoReal),TRUE,_xlfn.XLOOKUP($FY40,Inflation_Year,NominaltoReal)))</f>
        <v>0.93670632415656829</v>
      </c>
      <c r="GD40" s="146" cm="1">
        <f t="array" ref="GD40">IF($FY40=0,0,_xlfn.IFS($FY40='Key assumptions'!$C$120,_xlfn.XLOOKUP(LEFT(GD$7,6),Inflation_Year,Inflation_NominaltoReal),TRUE,_xlfn.XLOOKUP($FY40,Inflation_Year,NominaltoReal)))</f>
        <v>0.91252513001143176</v>
      </c>
      <c r="GE40" s="146" cm="1">
        <f t="array" ref="GE40">IF($FY40=0,0,_xlfn.IFS($FY40='Key assumptions'!$C$120,_xlfn.XLOOKUP(LEFT(GE$7,6),Inflation_Year,Inflation_NominaltoReal),TRUE,_xlfn.XLOOKUP($FY40,Inflation_Year,NominaltoReal)))</f>
        <v>0.88896817650095872</v>
      </c>
      <c r="GF40" s="146" cm="1">
        <f t="array" ref="GF40">IF($FY40=0,0,_xlfn.IFS($FY40='Key assumptions'!$C$120,_xlfn.XLOOKUP(LEFT(GF$7,6),Inflation_Year,Inflation_NominaltoReal),TRUE,_xlfn.XLOOKUP($FY40,Inflation_Year,NominaltoReal)))</f>
        <v>0.86601934877293718</v>
      </c>
      <c r="GG40" s="143"/>
      <c r="GH40" s="145" cm="1">
        <f t="array" ref="GH40">SUMPRODUCT(--($CR$7:$FW$7&gt;=GH$5),--($CR$7:$FW$7&lt;=GH$6),$CR40:$FW40)*FZ40</f>
        <v>336124.07054859382</v>
      </c>
      <c r="GI40" s="145" cm="1">
        <f t="array" ref="GI40">SUMPRODUCT(--($CR$7:$FW$7&gt;=GI$5),--($CR$7:$FW$7&lt;=GI$6),$CR40:$FW40)*GA40</f>
        <v>491934.98330344923</v>
      </c>
      <c r="GJ40" s="145" cm="1">
        <f t="array" ref="GJ40">SUMPRODUCT(--($CR$7:$FW$7&gt;=GJ$5),--($CR$7:$FW$7&lt;=GJ$6),$CR40:$FW40)*GB40</f>
        <v>486178.17973671743</v>
      </c>
      <c r="GK40" s="145" cm="1">
        <f t="array" ref="GK40">SUMPRODUCT(--($CR$7:$FW$7&gt;=GK$5),--($CR$7:$FW$7&lt;=GK$6),$CR40:$FW40)*GC40</f>
        <v>129076.07071486195</v>
      </c>
      <c r="GL40" s="145" cm="1">
        <f t="array" ref="GL40">SUMPRODUCT(--($CR$7:$FW$7&gt;=GL$5),--($CR$7:$FW$7&lt;=GL$6),$CR40:$FW40)*GD40</f>
        <v>0</v>
      </c>
      <c r="GM40" s="145" cm="1">
        <f t="array" ref="GM40">SUMPRODUCT(--($CR$7:$FW$7&gt;=GM$5),--($CR$7:$FW$7&lt;=GM$6),$CR40:$FW40)*GE40</f>
        <v>0</v>
      </c>
      <c r="GN40" s="145" cm="1">
        <f t="array" ref="GN40">SUMPRODUCT(--($CR$7:$FW$7&gt;=GN$5),--($CR$7:$FW$7&lt;=GN$6),$CR40:$FW40)*GF40</f>
        <v>0</v>
      </c>
      <c r="GO40" s="145">
        <f t="shared" si="18"/>
        <v>1443313.3043036223</v>
      </c>
      <c r="GP40" s="87"/>
      <c r="GQ40" s="89"/>
      <c r="GR40" s="145" cm="1">
        <f t="array" ref="GR40">SUMPRODUCT(--($CR$7:$FW$7&gt;=GR$5),--($CR$7:$FW$7&lt;=GR$6),$CR40:$FW40)</f>
        <v>199726.1</v>
      </c>
      <c r="GS40" s="89"/>
      <c r="GT40" s="214" cm="1">
        <f t="array" ref="GT40">--AND(MIN(IF($K40:$CP40&lt;&gt;0,$K$7:$CP$7))&gt;=GT$5,MIN(IF($K40:$CP40&lt;&gt;0,$K$7:$CP$7))&lt;=GT$6)</f>
        <v>1</v>
      </c>
      <c r="GU40" s="214" cm="1">
        <f t="array" ref="GU40">--AND(MIN(IF($K40:$CP40&lt;&gt;0,$K$7:$CP$7))&gt;=GU$5,MIN(IF($K40:$CP40&lt;&gt;0,$K$7:$CP$7))&lt;=GU$6)</f>
        <v>0</v>
      </c>
      <c r="GV40" s="214" cm="1">
        <f t="array" ref="GV40">--AND(MIN(IF($K40:$CP40&lt;&gt;0,$K$7:$CP$7))&gt;=GV$5,MIN(IF($K40:$CP40&lt;&gt;0,$K$7:$CP$7))&lt;=GV$6)</f>
        <v>0</v>
      </c>
      <c r="GW40" s="214" cm="1">
        <f t="array" ref="GW40">--AND(MIN(IF($K40:$CP40&lt;&gt;0,$K$7:$CP$7))&gt;=GW$5,MIN(IF($K40:$CP40&lt;&gt;0,$K$7:$CP$7))&lt;=GW$6)</f>
        <v>0</v>
      </c>
      <c r="GX40" s="214" cm="1">
        <f t="array" ref="GX40">--AND(MIN(IF($K40:$CP40&lt;&gt;0,$K$7:$CP$7))&gt;=GX$5,MIN(IF($K40:$CP40&lt;&gt;0,$K$7:$CP$7))&lt;=GX$6)</f>
        <v>0</v>
      </c>
      <c r="GY40" s="214" cm="1">
        <f t="array" ref="GY40">--AND(MIN(IF($K40:$CP40&lt;&gt;0,$K$7:$CP$7))&gt;=GY$5,MIN(IF($K40:$CP40&lt;&gt;0,$K$7:$CP$7))&lt;=GY$6)</f>
        <v>0</v>
      </c>
      <c r="GZ40" s="214" cm="1">
        <f t="array" ref="GZ40">--AND(MIN(IF($K40:$CP40&lt;&gt;0,$K$7:$CP$7))&gt;=GZ$5,MIN(IF($K40:$CP40&lt;&gt;0,$K$7:$CP$7))&lt;=GZ$6)</f>
        <v>0</v>
      </c>
      <c r="HA40" s="214">
        <f t="shared" si="0"/>
        <v>1</v>
      </c>
      <c r="HC40" s="214" cm="1">
        <f t="array" ref="HC40">--AND(MIN(IF($K40:$CP40&lt;&gt;0,$K$7:$CP$7))&gt;=HC$5,MIN(IF($K40:$CP40&lt;&gt;0,$K$7:$CP$7))&lt;=HC$6)</f>
        <v>1</v>
      </c>
      <c r="HE40" s="147" t="str">
        <f t="shared" si="19"/>
        <v>Yes</v>
      </c>
      <c r="HF40" s="147" t="str">
        <f t="shared" si="20"/>
        <v>No</v>
      </c>
      <c r="HG40" s="147">
        <f>IF($HF40="Yes",0,$H40*avg_hrs*12*'Key assumptions'!$D$87)</f>
        <v>553093.72194882436</v>
      </c>
      <c r="HH40" s="147">
        <f>IF(HE40="Yes",'Key assumptions'!$D$84*HG40,0)</f>
        <v>82964.058292323651</v>
      </c>
      <c r="HI40" s="144">
        <f>IFERROR(AVERAGEIFS($K40:$CP40,$K$7:$CP$7,"&gt;="&amp;'Key assumptions'!$D$24,$K$7:$CP$7,"&lt;="&amp;'Key assumptions'!$D$25),0)</f>
        <v>0.79585326953748026</v>
      </c>
      <c r="HJ40" s="148">
        <f t="shared" ref="HJ40:HJ71" si="22">HH40*HI40</f>
        <v>66027.217046043879</v>
      </c>
      <c r="HK40" s="148">
        <f t="shared" si="1"/>
        <v>66027.217046043879</v>
      </c>
      <c r="HL40" s="148">
        <f t="shared" si="2"/>
        <v>0</v>
      </c>
      <c r="HM40" s="148">
        <f t="shared" si="3"/>
        <v>0</v>
      </c>
      <c r="HN40" s="148">
        <f t="shared" si="4"/>
        <v>0</v>
      </c>
      <c r="HO40" s="148">
        <f t="shared" si="5"/>
        <v>0</v>
      </c>
      <c r="HP40" s="148">
        <f t="shared" si="6"/>
        <v>0</v>
      </c>
      <c r="HQ40" s="148">
        <f t="shared" si="7"/>
        <v>0</v>
      </c>
      <c r="HR40" s="147">
        <f t="shared" si="8"/>
        <v>66027.217046043879</v>
      </c>
      <c r="HS40" s="89"/>
      <c r="HU40" s="147">
        <f>$HJ40*HC40/(1+'Key assumptions'!G62)^0.75</f>
        <v>66027.217046043879</v>
      </c>
      <c r="HW40" s="216">
        <f t="shared" si="9"/>
        <v>0.79585326953748026</v>
      </c>
      <c r="HX40" s="216">
        <f t="shared" si="10"/>
        <v>0</v>
      </c>
      <c r="HY40" s="216">
        <f t="shared" si="11"/>
        <v>0</v>
      </c>
      <c r="HZ40" s="216">
        <f t="shared" si="12"/>
        <v>0</v>
      </c>
      <c r="IA40" s="216">
        <f t="shared" si="13"/>
        <v>0</v>
      </c>
      <c r="IB40" s="216">
        <f t="shared" si="14"/>
        <v>0</v>
      </c>
      <c r="IC40" s="216">
        <f t="shared" si="15"/>
        <v>0</v>
      </c>
      <c r="ID40" s="216">
        <f t="shared" si="16"/>
        <v>0.79585326953748026</v>
      </c>
      <c r="IF40" s="216">
        <f t="shared" si="17"/>
        <v>0.79585326953748026</v>
      </c>
    </row>
    <row r="41" spans="2:240" x14ac:dyDescent="0.2">
      <c r="B41" s="141" t="str">
        <v>Project Delivery Management - Project Controls</v>
      </c>
      <c r="C41" s="141" t="str">
        <v>Level 4 ID Manager (Network Projects)</v>
      </c>
      <c r="D41" s="141" t="str">
        <v>Internal Labour</v>
      </c>
      <c r="E41" s="141" t="str">
        <v>$ Nominal</v>
      </c>
      <c r="F41" s="141" t="str">
        <v>Existing</v>
      </c>
      <c r="G41" s="141" t="str">
        <v>Normal time</v>
      </c>
      <c r="H41" s="142">
        <v>366.81</v>
      </c>
      <c r="I41" s="126">
        <v>1745223.0900000015</v>
      </c>
      <c r="J41" s="143">
        <v>0</v>
      </c>
      <c r="K41" s="144">
        <v>0</v>
      </c>
      <c r="L41" s="144">
        <v>0</v>
      </c>
      <c r="M41" s="144">
        <v>0</v>
      </c>
      <c r="N41" s="144">
        <v>0</v>
      </c>
      <c r="O41" s="144">
        <v>0</v>
      </c>
      <c r="P41" s="144">
        <v>0</v>
      </c>
      <c r="Q41" s="144">
        <v>0</v>
      </c>
      <c r="R41" s="144">
        <v>0</v>
      </c>
      <c r="S41" s="144">
        <v>0</v>
      </c>
      <c r="T41" s="144">
        <v>0</v>
      </c>
      <c r="U41" s="144">
        <v>0</v>
      </c>
      <c r="V41" s="144">
        <v>0</v>
      </c>
      <c r="W41" s="144">
        <v>0</v>
      </c>
      <c r="X41" s="144">
        <v>1</v>
      </c>
      <c r="Y41" s="144">
        <v>1</v>
      </c>
      <c r="Z41" s="144">
        <v>1</v>
      </c>
      <c r="AA41" s="144">
        <v>0.92105263157894735</v>
      </c>
      <c r="AB41" s="144">
        <v>0.92105263157894735</v>
      </c>
      <c r="AC41" s="144">
        <v>1</v>
      </c>
      <c r="AD41" s="144">
        <v>1</v>
      </c>
      <c r="AE41" s="144">
        <v>1</v>
      </c>
      <c r="AF41" s="144">
        <v>1</v>
      </c>
      <c r="AG41" s="144">
        <v>1</v>
      </c>
      <c r="AH41" s="144">
        <v>1</v>
      </c>
      <c r="AI41" s="144">
        <v>1</v>
      </c>
      <c r="AJ41" s="144">
        <v>1</v>
      </c>
      <c r="AK41" s="144">
        <v>1</v>
      </c>
      <c r="AL41" s="144">
        <v>1</v>
      </c>
      <c r="AM41" s="144">
        <v>1</v>
      </c>
      <c r="AN41" s="144">
        <v>1</v>
      </c>
      <c r="AO41" s="144">
        <v>1</v>
      </c>
      <c r="AP41" s="144">
        <v>1</v>
      </c>
      <c r="AQ41" s="144">
        <v>1</v>
      </c>
      <c r="AR41" s="144">
        <v>1</v>
      </c>
      <c r="AS41" s="144">
        <v>1</v>
      </c>
      <c r="AT41" s="144">
        <v>1</v>
      </c>
      <c r="AU41" s="144">
        <v>1</v>
      </c>
      <c r="AV41" s="144">
        <v>1</v>
      </c>
      <c r="AW41" s="144">
        <v>1</v>
      </c>
      <c r="AX41" s="144">
        <v>1</v>
      </c>
      <c r="AY41" s="144">
        <v>0.92105263157894735</v>
      </c>
      <c r="AZ41" s="144">
        <v>0.92105263157894735</v>
      </c>
      <c r="BA41" s="144">
        <v>1</v>
      </c>
      <c r="BB41" s="144">
        <v>1</v>
      </c>
      <c r="BC41" s="144">
        <v>1</v>
      </c>
      <c r="BD41" s="144">
        <v>1</v>
      </c>
      <c r="BE41" s="144">
        <v>1</v>
      </c>
      <c r="BF41" s="144">
        <v>1.3333333333333333</v>
      </c>
      <c r="BG41" s="144">
        <v>0</v>
      </c>
      <c r="BH41" s="144">
        <v>0</v>
      </c>
      <c r="BI41" s="144">
        <v>0</v>
      </c>
      <c r="BJ41" s="144">
        <v>0</v>
      </c>
      <c r="BK41" s="144">
        <v>0</v>
      </c>
      <c r="BL41" s="144">
        <v>0</v>
      </c>
      <c r="BM41" s="144">
        <v>0</v>
      </c>
      <c r="BN41" s="144">
        <v>0</v>
      </c>
      <c r="BO41" s="144">
        <v>0</v>
      </c>
      <c r="BP41" s="144">
        <v>0</v>
      </c>
      <c r="BQ41" s="144">
        <v>0</v>
      </c>
      <c r="BR41" s="144">
        <v>0</v>
      </c>
      <c r="BS41" s="144">
        <v>0</v>
      </c>
      <c r="BT41" s="144">
        <v>0</v>
      </c>
      <c r="BU41" s="144">
        <v>0</v>
      </c>
      <c r="BV41" s="144">
        <v>0</v>
      </c>
      <c r="BW41" s="144">
        <v>0</v>
      </c>
      <c r="BX41" s="144">
        <v>0</v>
      </c>
      <c r="BY41" s="144">
        <v>0</v>
      </c>
      <c r="BZ41" s="144">
        <v>0</v>
      </c>
      <c r="CA41" s="144">
        <v>0</v>
      </c>
      <c r="CB41" s="144">
        <v>0</v>
      </c>
      <c r="CC41" s="144">
        <v>0</v>
      </c>
      <c r="CD41" s="144">
        <v>0</v>
      </c>
      <c r="CE41" s="144">
        <v>0</v>
      </c>
      <c r="CF41" s="144">
        <v>0</v>
      </c>
      <c r="CG41" s="144">
        <v>0</v>
      </c>
      <c r="CH41" s="144">
        <v>0</v>
      </c>
      <c r="CI41" s="144">
        <v>0</v>
      </c>
      <c r="CJ41" s="144">
        <v>0</v>
      </c>
      <c r="CK41" s="144">
        <v>0</v>
      </c>
      <c r="CL41" s="144">
        <v>0</v>
      </c>
      <c r="CM41" s="144">
        <v>0</v>
      </c>
      <c r="CN41" s="144">
        <v>0</v>
      </c>
      <c r="CO41" s="144">
        <v>0</v>
      </c>
      <c r="CP41" s="144">
        <v>0</v>
      </c>
      <c r="CQ41" s="143">
        <v>0</v>
      </c>
      <c r="CR41" s="145">
        <v>0</v>
      </c>
      <c r="CS41" s="145">
        <v>0</v>
      </c>
      <c r="CT41" s="145">
        <v>0</v>
      </c>
      <c r="CU41" s="145">
        <v>0</v>
      </c>
      <c r="CV41" s="145">
        <v>0</v>
      </c>
      <c r="CW41" s="145">
        <v>0</v>
      </c>
      <c r="CX41" s="145">
        <v>0</v>
      </c>
      <c r="CY41" s="145">
        <v>0</v>
      </c>
      <c r="CZ41" s="145">
        <v>0</v>
      </c>
      <c r="DA41" s="145">
        <v>0</v>
      </c>
      <c r="DB41" s="145">
        <v>0</v>
      </c>
      <c r="DC41" s="145">
        <v>0</v>
      </c>
      <c r="DD41" s="145">
        <v>0</v>
      </c>
      <c r="DE41" s="145">
        <v>49849.799999999996</v>
      </c>
      <c r="DF41" s="145">
        <v>49849.799999999996</v>
      </c>
      <c r="DG41" s="145">
        <v>37387.35</v>
      </c>
      <c r="DH41" s="145">
        <v>49849.799999999996</v>
      </c>
      <c r="DI41" s="145">
        <v>49849.799999999996</v>
      </c>
      <c r="DJ41" s="145">
        <v>51353.4</v>
      </c>
      <c r="DK41" s="145">
        <v>51353.4</v>
      </c>
      <c r="DL41" s="145">
        <v>51353.4</v>
      </c>
      <c r="DM41" s="145">
        <v>51353.4</v>
      </c>
      <c r="DN41" s="145">
        <v>51353.4</v>
      </c>
      <c r="DO41" s="145">
        <v>38515.050000000003</v>
      </c>
      <c r="DP41" s="145">
        <v>38515.050000000003</v>
      </c>
      <c r="DQ41" s="145">
        <v>51353.4</v>
      </c>
      <c r="DR41" s="145">
        <v>51353.4</v>
      </c>
      <c r="DS41" s="145">
        <v>38515.050000000003</v>
      </c>
      <c r="DT41" s="145">
        <v>55755.12</v>
      </c>
      <c r="DU41" s="145">
        <v>55755.12</v>
      </c>
      <c r="DV41" s="145">
        <v>52887.799999999996</v>
      </c>
      <c r="DW41" s="145">
        <v>52887.799999999996</v>
      </c>
      <c r="DX41" s="145">
        <v>52887.799999999996</v>
      </c>
      <c r="DY41" s="145">
        <v>52887.799999999996</v>
      </c>
      <c r="DZ41" s="145">
        <v>52887.799999999996</v>
      </c>
      <c r="EA41" s="145">
        <v>39665.85</v>
      </c>
      <c r="EB41" s="145">
        <v>39665.85</v>
      </c>
      <c r="EC41" s="145">
        <v>52887.799999999996</v>
      </c>
      <c r="ED41" s="145">
        <v>52887.799999999996</v>
      </c>
      <c r="EE41" s="145">
        <v>39665.85</v>
      </c>
      <c r="EF41" s="145">
        <v>52887.799999999996</v>
      </c>
      <c r="EG41" s="145">
        <v>52887.799999999996</v>
      </c>
      <c r="EH41" s="145">
        <v>54486.6</v>
      </c>
      <c r="EI41" s="145">
        <v>54486.6</v>
      </c>
      <c r="EJ41" s="145">
        <v>54486.6</v>
      </c>
      <c r="EK41" s="145">
        <v>54486.6</v>
      </c>
      <c r="EL41" s="145">
        <v>54486.6</v>
      </c>
      <c r="EM41" s="145">
        <v>54486.6</v>
      </c>
      <c r="EN41" s="145">
        <v>0</v>
      </c>
      <c r="EO41" s="145">
        <v>0</v>
      </c>
      <c r="EP41" s="145">
        <v>0</v>
      </c>
      <c r="EQ41" s="145">
        <v>0</v>
      </c>
      <c r="ER41" s="145">
        <v>0</v>
      </c>
      <c r="ES41" s="145">
        <v>0</v>
      </c>
      <c r="ET41" s="145">
        <v>0</v>
      </c>
      <c r="EU41" s="145">
        <v>0</v>
      </c>
      <c r="EV41" s="145">
        <v>0</v>
      </c>
      <c r="EW41" s="145">
        <v>0</v>
      </c>
      <c r="EX41" s="145">
        <v>0</v>
      </c>
      <c r="EY41" s="145">
        <v>0</v>
      </c>
      <c r="EZ41" s="145">
        <v>0</v>
      </c>
      <c r="FA41" s="145">
        <v>0</v>
      </c>
      <c r="FB41" s="145">
        <v>0</v>
      </c>
      <c r="FC41" s="145">
        <v>0</v>
      </c>
      <c r="FD41" s="145">
        <v>0</v>
      </c>
      <c r="FE41" s="145">
        <v>0</v>
      </c>
      <c r="FF41" s="145">
        <v>0</v>
      </c>
      <c r="FG41" s="145">
        <v>0</v>
      </c>
      <c r="FH41" s="145">
        <v>0</v>
      </c>
      <c r="FI41" s="145">
        <v>0</v>
      </c>
      <c r="FJ41" s="145">
        <v>0</v>
      </c>
      <c r="FK41" s="145">
        <v>0</v>
      </c>
      <c r="FL41" s="145">
        <v>0</v>
      </c>
      <c r="FM41" s="145">
        <v>0</v>
      </c>
      <c r="FN41" s="145">
        <v>0</v>
      </c>
      <c r="FO41" s="145">
        <v>0</v>
      </c>
      <c r="FP41" s="145">
        <v>0</v>
      </c>
      <c r="FQ41" s="145">
        <v>0</v>
      </c>
      <c r="FR41" s="145">
        <v>0</v>
      </c>
      <c r="FS41" s="145">
        <v>0</v>
      </c>
      <c r="FT41" s="145">
        <v>0</v>
      </c>
      <c r="FU41" s="145">
        <v>0</v>
      </c>
      <c r="FV41" s="145">
        <v>0</v>
      </c>
      <c r="FW41" s="145">
        <v>0</v>
      </c>
      <c r="FX41" s="143"/>
      <c r="FY41" s="146" t="str">
        <f>_xlfn.XLOOKUP($E41,'Key assumptions'!$B$112:$B$120,'Key assumptions'!$C$112:$C$120,0)</f>
        <v>Nominal</v>
      </c>
      <c r="FZ41" s="146" cm="1">
        <f t="array" ref="FZ41">IF($FY41=0,0,_xlfn.IFS($FY41='Key assumptions'!$C$120,_xlfn.XLOOKUP(LEFT(FZ$7,6),Inflation_Year,Inflation_NominaltoReal),TRUE,_xlfn.XLOOKUP($FY41,Inflation_Year,NominaltoReal)))</f>
        <v>1.0197075870962191</v>
      </c>
      <c r="GA41" s="146" cm="1">
        <f t="array" ref="GA41">IF($FY41=0,0,_xlfn.IFS($FY41='Key assumptions'!$C$120,_xlfn.XLOOKUP(LEFT(GA$7,6),Inflation_Year,Inflation_NominaltoReal),TRUE,_xlfn.XLOOKUP($FY41,Inflation_Year,NominaltoReal)))</f>
        <v>0.98700804022984445</v>
      </c>
      <c r="GB41" s="146" cm="1">
        <f t="array" ref="GB41">IF($FY41=0,0,_xlfn.IFS($FY41='Key assumptions'!$C$120,_xlfn.XLOOKUP(LEFT(GB$7,6),Inflation_Year,Inflation_NominaltoReal),TRUE,_xlfn.XLOOKUP($FY41,Inflation_Year,NominaltoReal)))</f>
        <v>0.96152830081941731</v>
      </c>
      <c r="GC41" s="146" cm="1">
        <f t="array" ref="GC41">IF($FY41=0,0,_xlfn.IFS($FY41='Key assumptions'!$C$120,_xlfn.XLOOKUP(LEFT(GC$7,6),Inflation_Year,Inflation_NominaltoReal),TRUE,_xlfn.XLOOKUP($FY41,Inflation_Year,NominaltoReal)))</f>
        <v>0.93670632415656829</v>
      </c>
      <c r="GD41" s="146" cm="1">
        <f t="array" ref="GD41">IF($FY41=0,0,_xlfn.IFS($FY41='Key assumptions'!$C$120,_xlfn.XLOOKUP(LEFT(GD$7,6),Inflation_Year,Inflation_NominaltoReal),TRUE,_xlfn.XLOOKUP($FY41,Inflation_Year,NominaltoReal)))</f>
        <v>0.91252513001143176</v>
      </c>
      <c r="GE41" s="146" cm="1">
        <f t="array" ref="GE41">IF($FY41=0,0,_xlfn.IFS($FY41='Key assumptions'!$C$120,_xlfn.XLOOKUP(LEFT(GE$7,6),Inflation_Year,Inflation_NominaltoReal),TRUE,_xlfn.XLOOKUP($FY41,Inflation_Year,NominaltoReal)))</f>
        <v>0.88896817650095872</v>
      </c>
      <c r="GF41" s="146" cm="1">
        <f t="array" ref="GF41">IF($FY41=0,0,_xlfn.IFS($FY41='Key assumptions'!$C$120,_xlfn.XLOOKUP(LEFT(GF$7,6),Inflation_Year,Inflation_NominaltoReal),TRUE,_xlfn.XLOOKUP($FY41,Inflation_Year,NominaltoReal)))</f>
        <v>0.86601934877293718</v>
      </c>
      <c r="GG41" s="143"/>
      <c r="GH41" s="145" cm="1">
        <f t="array" ref="GH41">SUMPRODUCT(--($CR$7:$FW$7&gt;=GH$5),--($CR$7:$FW$7&lt;=GH$6),$CR41:$FW41)*FZ41</f>
        <v>398549.39636689919</v>
      </c>
      <c r="GI41" s="145" cm="1">
        <f t="array" ref="GI41">SUMPRODUCT(--($CR$7:$FW$7&gt;=GI$5),--($CR$7:$FW$7&lt;=GI$6),$CR41:$FW41)*GA41</f>
        <v>583452.42177028407</v>
      </c>
      <c r="GJ41" s="145" cm="1">
        <f t="array" ref="GJ41">SUMPRODUCT(--($CR$7:$FW$7&gt;=GJ$5),--($CR$7:$FW$7&lt;=GJ$6),$CR41:$FW41)*GB41</f>
        <v>576709.43460791837</v>
      </c>
      <c r="GK41" s="145" cm="1">
        <f t="array" ref="GK41">SUMPRODUCT(--($CR$7:$FW$7&gt;=GK$5),--($CR$7:$FW$7&lt;=GK$6),$CR41:$FW41)*GC41</f>
        <v>153113.82840536782</v>
      </c>
      <c r="GL41" s="145" cm="1">
        <f t="array" ref="GL41">SUMPRODUCT(--($CR$7:$FW$7&gt;=GL$5),--($CR$7:$FW$7&lt;=GL$6),$CR41:$FW41)*GD41</f>
        <v>0</v>
      </c>
      <c r="GM41" s="145" cm="1">
        <f t="array" ref="GM41">SUMPRODUCT(--($CR$7:$FW$7&gt;=GM$5),--($CR$7:$FW$7&lt;=GM$6),$CR41:$FW41)*GE41</f>
        <v>0</v>
      </c>
      <c r="GN41" s="145" cm="1">
        <f t="array" ref="GN41">SUMPRODUCT(--($CR$7:$FW$7&gt;=GN$5),--($CR$7:$FW$7&lt;=GN$6),$CR41:$FW41)*GF41</f>
        <v>0</v>
      </c>
      <c r="GO41" s="145">
        <f t="shared" si="18"/>
        <v>1711825.0811504696</v>
      </c>
      <c r="GP41" s="87"/>
      <c r="GQ41" s="89"/>
      <c r="GR41" s="145" cm="1">
        <f t="array" ref="GR41">SUMPRODUCT(--($CR$7:$FW$7&gt;=GR$5),--($CR$7:$FW$7&lt;=GR$6),$CR41:$FW41)</f>
        <v>236786.54999999996</v>
      </c>
      <c r="GS41" s="89"/>
      <c r="GT41" s="214" cm="1">
        <f t="array" ref="GT41">--AND(MIN(IF($K41:$CP41&lt;&gt;0,$K$7:$CP$7))&gt;=GT$5,MIN(IF($K41:$CP41&lt;&gt;0,$K$7:$CP$7))&lt;=GT$6)</f>
        <v>1</v>
      </c>
      <c r="GU41" s="214" cm="1">
        <f t="array" ref="GU41">--AND(MIN(IF($K41:$CP41&lt;&gt;0,$K$7:$CP$7))&gt;=GU$5,MIN(IF($K41:$CP41&lt;&gt;0,$K$7:$CP$7))&lt;=GU$6)</f>
        <v>0</v>
      </c>
      <c r="GV41" s="214" cm="1">
        <f t="array" ref="GV41">--AND(MIN(IF($K41:$CP41&lt;&gt;0,$K$7:$CP$7))&gt;=GV$5,MIN(IF($K41:$CP41&lt;&gt;0,$K$7:$CP$7))&lt;=GV$6)</f>
        <v>0</v>
      </c>
      <c r="GW41" s="214" cm="1">
        <f t="array" ref="GW41">--AND(MIN(IF($K41:$CP41&lt;&gt;0,$K$7:$CP$7))&gt;=GW$5,MIN(IF($K41:$CP41&lt;&gt;0,$K$7:$CP$7))&lt;=GW$6)</f>
        <v>0</v>
      </c>
      <c r="GX41" s="214" cm="1">
        <f t="array" ref="GX41">--AND(MIN(IF($K41:$CP41&lt;&gt;0,$K$7:$CP$7))&gt;=GX$5,MIN(IF($K41:$CP41&lt;&gt;0,$K$7:$CP$7))&lt;=GX$6)</f>
        <v>0</v>
      </c>
      <c r="GY41" s="214" cm="1">
        <f t="array" ref="GY41">--AND(MIN(IF($K41:$CP41&lt;&gt;0,$K$7:$CP$7))&gt;=GY$5,MIN(IF($K41:$CP41&lt;&gt;0,$K$7:$CP$7))&lt;=GY$6)</f>
        <v>0</v>
      </c>
      <c r="GZ41" s="214" cm="1">
        <f t="array" ref="GZ41">--AND(MIN(IF($K41:$CP41&lt;&gt;0,$K$7:$CP$7))&gt;=GZ$5,MIN(IF($K41:$CP41&lt;&gt;0,$K$7:$CP$7))&lt;=GZ$6)</f>
        <v>0</v>
      </c>
      <c r="HA41" s="214">
        <f t="shared" si="0"/>
        <v>1</v>
      </c>
      <c r="HC41" s="214" cm="1">
        <f t="array" ref="HC41">--AND(MIN(IF($K41:$CP41&lt;&gt;0,$K$7:$CP$7))&gt;=HC$5,MIN(IF($K41:$CP41&lt;&gt;0,$K$7:$CP$7))&lt;=HC$6)</f>
        <v>1</v>
      </c>
      <c r="HE41" s="147" t="str">
        <f t="shared" si="19"/>
        <v>No</v>
      </c>
      <c r="HF41" s="147" t="str">
        <f t="shared" si="20"/>
        <v>No</v>
      </c>
      <c r="HG41" s="147">
        <f>IF($HF41="Yes",0,$H41*avg_hrs*12*'Key assumptions'!$D$87)</f>
        <v>655954.95537537034</v>
      </c>
      <c r="HH41" s="147">
        <f>IF(HE41="Yes",'Key assumptions'!$D$84*HG41,0)</f>
        <v>0</v>
      </c>
      <c r="HI41" s="144">
        <f>IFERROR(AVERAGEIFS($K41:$CP41,$K$7:$CP$7,"&gt;="&amp;'Key assumptions'!$D$24,$K$7:$CP$7,"&lt;="&amp;'Key assumptions'!$D$25),0)</f>
        <v>0.79585326953748026</v>
      </c>
      <c r="HJ41" s="148">
        <f t="shared" si="22"/>
        <v>0</v>
      </c>
      <c r="HK41" s="148">
        <f t="shared" si="1"/>
        <v>0</v>
      </c>
      <c r="HL41" s="148">
        <f t="shared" si="2"/>
        <v>0</v>
      </c>
      <c r="HM41" s="148">
        <f t="shared" si="3"/>
        <v>0</v>
      </c>
      <c r="HN41" s="148">
        <f t="shared" si="4"/>
        <v>0</v>
      </c>
      <c r="HO41" s="148">
        <f t="shared" si="5"/>
        <v>0</v>
      </c>
      <c r="HP41" s="148">
        <f t="shared" si="6"/>
        <v>0</v>
      </c>
      <c r="HQ41" s="148">
        <f t="shared" si="7"/>
        <v>0</v>
      </c>
      <c r="HR41" s="147">
        <f t="shared" si="8"/>
        <v>0</v>
      </c>
      <c r="HS41" s="89"/>
      <c r="HU41" s="147">
        <f>$HJ41*HC41/(1+'Key assumptions'!G63)^0.75</f>
        <v>0</v>
      </c>
      <c r="HW41" s="216">
        <f t="shared" si="9"/>
        <v>0.79585326953748026</v>
      </c>
      <c r="HX41" s="216">
        <f t="shared" si="10"/>
        <v>0</v>
      </c>
      <c r="HY41" s="216">
        <f t="shared" si="11"/>
        <v>0</v>
      </c>
      <c r="HZ41" s="216">
        <f t="shared" si="12"/>
        <v>0</v>
      </c>
      <c r="IA41" s="216">
        <f t="shared" si="13"/>
        <v>0</v>
      </c>
      <c r="IB41" s="216">
        <f t="shared" si="14"/>
        <v>0</v>
      </c>
      <c r="IC41" s="216">
        <f t="shared" si="15"/>
        <v>0</v>
      </c>
      <c r="ID41" s="216">
        <f t="shared" si="16"/>
        <v>0.79585326953748026</v>
      </c>
      <c r="IF41" s="216">
        <f t="shared" si="17"/>
        <v>0.79585326953748026</v>
      </c>
    </row>
    <row r="42" spans="2:240" x14ac:dyDescent="0.2">
      <c r="B42" s="141" t="str">
        <v>Project Delivery Management - Project Controls</v>
      </c>
      <c r="C42" s="141" t="str">
        <v>Level 4 ID Manager (Network Projects)</v>
      </c>
      <c r="D42" s="141" t="str">
        <v>Internal Labour</v>
      </c>
      <c r="E42" s="141" t="str">
        <v>$ Nominal</v>
      </c>
      <c r="F42" s="141" t="str">
        <v>Existing</v>
      </c>
      <c r="G42" s="141" t="str">
        <v>Normal time</v>
      </c>
      <c r="H42" s="142">
        <v>366.81</v>
      </c>
      <c r="I42" s="126">
        <v>1745223.0900000015</v>
      </c>
      <c r="J42" s="143">
        <v>0</v>
      </c>
      <c r="K42" s="144">
        <v>0</v>
      </c>
      <c r="L42" s="144">
        <v>0</v>
      </c>
      <c r="M42" s="144">
        <v>0</v>
      </c>
      <c r="N42" s="144">
        <v>0</v>
      </c>
      <c r="O42" s="144">
        <v>0</v>
      </c>
      <c r="P42" s="144">
        <v>0</v>
      </c>
      <c r="Q42" s="144">
        <v>0</v>
      </c>
      <c r="R42" s="144">
        <v>0</v>
      </c>
      <c r="S42" s="144">
        <v>0</v>
      </c>
      <c r="T42" s="144">
        <v>0</v>
      </c>
      <c r="U42" s="144">
        <v>0</v>
      </c>
      <c r="V42" s="144">
        <v>0</v>
      </c>
      <c r="W42" s="144">
        <v>0</v>
      </c>
      <c r="X42" s="144">
        <v>1</v>
      </c>
      <c r="Y42" s="144">
        <v>1</v>
      </c>
      <c r="Z42" s="144">
        <v>1</v>
      </c>
      <c r="AA42" s="144">
        <v>0.92105263157894735</v>
      </c>
      <c r="AB42" s="144">
        <v>0.92105263157894735</v>
      </c>
      <c r="AC42" s="144">
        <v>1</v>
      </c>
      <c r="AD42" s="144">
        <v>1</v>
      </c>
      <c r="AE42" s="144">
        <v>1</v>
      </c>
      <c r="AF42" s="144">
        <v>1</v>
      </c>
      <c r="AG42" s="144">
        <v>1</v>
      </c>
      <c r="AH42" s="144">
        <v>1</v>
      </c>
      <c r="AI42" s="144">
        <v>1</v>
      </c>
      <c r="AJ42" s="144">
        <v>1</v>
      </c>
      <c r="AK42" s="144">
        <v>1</v>
      </c>
      <c r="AL42" s="144">
        <v>1</v>
      </c>
      <c r="AM42" s="144">
        <v>1</v>
      </c>
      <c r="AN42" s="144">
        <v>1</v>
      </c>
      <c r="AO42" s="144">
        <v>1</v>
      </c>
      <c r="AP42" s="144">
        <v>1</v>
      </c>
      <c r="AQ42" s="144">
        <v>1</v>
      </c>
      <c r="AR42" s="144">
        <v>1</v>
      </c>
      <c r="AS42" s="144">
        <v>1</v>
      </c>
      <c r="AT42" s="144">
        <v>1</v>
      </c>
      <c r="AU42" s="144">
        <v>1</v>
      </c>
      <c r="AV42" s="144">
        <v>1</v>
      </c>
      <c r="AW42" s="144">
        <v>1</v>
      </c>
      <c r="AX42" s="144">
        <v>1</v>
      </c>
      <c r="AY42" s="144">
        <v>0.92105263157894735</v>
      </c>
      <c r="AZ42" s="144">
        <v>0.92105263157894735</v>
      </c>
      <c r="BA42" s="144">
        <v>1</v>
      </c>
      <c r="BB42" s="144">
        <v>1</v>
      </c>
      <c r="BC42" s="144">
        <v>1</v>
      </c>
      <c r="BD42" s="144">
        <v>1</v>
      </c>
      <c r="BE42" s="144">
        <v>1</v>
      </c>
      <c r="BF42" s="144">
        <v>1.3333333333333333</v>
      </c>
      <c r="BG42" s="144">
        <v>0</v>
      </c>
      <c r="BH42" s="144">
        <v>0</v>
      </c>
      <c r="BI42" s="144">
        <v>0</v>
      </c>
      <c r="BJ42" s="144">
        <v>0</v>
      </c>
      <c r="BK42" s="144">
        <v>0</v>
      </c>
      <c r="BL42" s="144">
        <v>0</v>
      </c>
      <c r="BM42" s="144">
        <v>0</v>
      </c>
      <c r="BN42" s="144">
        <v>0</v>
      </c>
      <c r="BO42" s="144">
        <v>0</v>
      </c>
      <c r="BP42" s="144">
        <v>0</v>
      </c>
      <c r="BQ42" s="144">
        <v>0</v>
      </c>
      <c r="BR42" s="144">
        <v>0</v>
      </c>
      <c r="BS42" s="144">
        <v>0</v>
      </c>
      <c r="BT42" s="144">
        <v>0</v>
      </c>
      <c r="BU42" s="144">
        <v>0</v>
      </c>
      <c r="BV42" s="144">
        <v>0</v>
      </c>
      <c r="BW42" s="144">
        <v>0</v>
      </c>
      <c r="BX42" s="144">
        <v>0</v>
      </c>
      <c r="BY42" s="144">
        <v>0</v>
      </c>
      <c r="BZ42" s="144">
        <v>0</v>
      </c>
      <c r="CA42" s="144">
        <v>0</v>
      </c>
      <c r="CB42" s="144">
        <v>0</v>
      </c>
      <c r="CC42" s="144">
        <v>0</v>
      </c>
      <c r="CD42" s="144">
        <v>0</v>
      </c>
      <c r="CE42" s="144">
        <v>0</v>
      </c>
      <c r="CF42" s="144">
        <v>0</v>
      </c>
      <c r="CG42" s="144">
        <v>0</v>
      </c>
      <c r="CH42" s="144">
        <v>0</v>
      </c>
      <c r="CI42" s="144">
        <v>0</v>
      </c>
      <c r="CJ42" s="144">
        <v>0</v>
      </c>
      <c r="CK42" s="144">
        <v>0</v>
      </c>
      <c r="CL42" s="144">
        <v>0</v>
      </c>
      <c r="CM42" s="144">
        <v>0</v>
      </c>
      <c r="CN42" s="144">
        <v>0</v>
      </c>
      <c r="CO42" s="144">
        <v>0</v>
      </c>
      <c r="CP42" s="144">
        <v>0</v>
      </c>
      <c r="CQ42" s="143">
        <v>0</v>
      </c>
      <c r="CR42" s="145">
        <v>0</v>
      </c>
      <c r="CS42" s="145">
        <v>0</v>
      </c>
      <c r="CT42" s="145">
        <v>0</v>
      </c>
      <c r="CU42" s="145">
        <v>0</v>
      </c>
      <c r="CV42" s="145">
        <v>0</v>
      </c>
      <c r="CW42" s="145">
        <v>0</v>
      </c>
      <c r="CX42" s="145">
        <v>0</v>
      </c>
      <c r="CY42" s="145">
        <v>0</v>
      </c>
      <c r="CZ42" s="145">
        <v>0</v>
      </c>
      <c r="DA42" s="145">
        <v>0</v>
      </c>
      <c r="DB42" s="145">
        <v>0</v>
      </c>
      <c r="DC42" s="145">
        <v>0</v>
      </c>
      <c r="DD42" s="145">
        <v>0</v>
      </c>
      <c r="DE42" s="145">
        <v>49849.799999999996</v>
      </c>
      <c r="DF42" s="145">
        <v>49849.799999999996</v>
      </c>
      <c r="DG42" s="145">
        <v>37387.35</v>
      </c>
      <c r="DH42" s="145">
        <v>49849.799999999996</v>
      </c>
      <c r="DI42" s="145">
        <v>49849.799999999996</v>
      </c>
      <c r="DJ42" s="145">
        <v>51353.4</v>
      </c>
      <c r="DK42" s="145">
        <v>51353.4</v>
      </c>
      <c r="DL42" s="145">
        <v>51353.4</v>
      </c>
      <c r="DM42" s="145">
        <v>51353.4</v>
      </c>
      <c r="DN42" s="145">
        <v>51353.4</v>
      </c>
      <c r="DO42" s="145">
        <v>38515.050000000003</v>
      </c>
      <c r="DP42" s="145">
        <v>38515.050000000003</v>
      </c>
      <c r="DQ42" s="145">
        <v>51353.4</v>
      </c>
      <c r="DR42" s="145">
        <v>51353.4</v>
      </c>
      <c r="DS42" s="145">
        <v>38515.050000000003</v>
      </c>
      <c r="DT42" s="145">
        <v>55755.12</v>
      </c>
      <c r="DU42" s="145">
        <v>55755.12</v>
      </c>
      <c r="DV42" s="145">
        <v>52887.799999999996</v>
      </c>
      <c r="DW42" s="145">
        <v>52887.799999999996</v>
      </c>
      <c r="DX42" s="145">
        <v>52887.799999999996</v>
      </c>
      <c r="DY42" s="145">
        <v>52887.799999999996</v>
      </c>
      <c r="DZ42" s="145">
        <v>52887.799999999996</v>
      </c>
      <c r="EA42" s="145">
        <v>39665.85</v>
      </c>
      <c r="EB42" s="145">
        <v>39665.85</v>
      </c>
      <c r="EC42" s="145">
        <v>52887.799999999996</v>
      </c>
      <c r="ED42" s="145">
        <v>52887.799999999996</v>
      </c>
      <c r="EE42" s="145">
        <v>39665.85</v>
      </c>
      <c r="EF42" s="145">
        <v>52887.799999999996</v>
      </c>
      <c r="EG42" s="145">
        <v>52887.799999999996</v>
      </c>
      <c r="EH42" s="145">
        <v>54486.6</v>
      </c>
      <c r="EI42" s="145">
        <v>54486.6</v>
      </c>
      <c r="EJ42" s="145">
        <v>54486.6</v>
      </c>
      <c r="EK42" s="145">
        <v>54486.6</v>
      </c>
      <c r="EL42" s="145">
        <v>54486.6</v>
      </c>
      <c r="EM42" s="145">
        <v>54486.6</v>
      </c>
      <c r="EN42" s="145">
        <v>0</v>
      </c>
      <c r="EO42" s="145">
        <v>0</v>
      </c>
      <c r="EP42" s="145">
        <v>0</v>
      </c>
      <c r="EQ42" s="145">
        <v>0</v>
      </c>
      <c r="ER42" s="145">
        <v>0</v>
      </c>
      <c r="ES42" s="145">
        <v>0</v>
      </c>
      <c r="ET42" s="145">
        <v>0</v>
      </c>
      <c r="EU42" s="145">
        <v>0</v>
      </c>
      <c r="EV42" s="145">
        <v>0</v>
      </c>
      <c r="EW42" s="145">
        <v>0</v>
      </c>
      <c r="EX42" s="145">
        <v>0</v>
      </c>
      <c r="EY42" s="145">
        <v>0</v>
      </c>
      <c r="EZ42" s="145">
        <v>0</v>
      </c>
      <c r="FA42" s="145">
        <v>0</v>
      </c>
      <c r="FB42" s="145">
        <v>0</v>
      </c>
      <c r="FC42" s="145">
        <v>0</v>
      </c>
      <c r="FD42" s="145">
        <v>0</v>
      </c>
      <c r="FE42" s="145">
        <v>0</v>
      </c>
      <c r="FF42" s="145">
        <v>0</v>
      </c>
      <c r="FG42" s="145">
        <v>0</v>
      </c>
      <c r="FH42" s="145">
        <v>0</v>
      </c>
      <c r="FI42" s="145">
        <v>0</v>
      </c>
      <c r="FJ42" s="145">
        <v>0</v>
      </c>
      <c r="FK42" s="145">
        <v>0</v>
      </c>
      <c r="FL42" s="145">
        <v>0</v>
      </c>
      <c r="FM42" s="145">
        <v>0</v>
      </c>
      <c r="FN42" s="145">
        <v>0</v>
      </c>
      <c r="FO42" s="145">
        <v>0</v>
      </c>
      <c r="FP42" s="145">
        <v>0</v>
      </c>
      <c r="FQ42" s="145">
        <v>0</v>
      </c>
      <c r="FR42" s="145">
        <v>0</v>
      </c>
      <c r="FS42" s="145">
        <v>0</v>
      </c>
      <c r="FT42" s="145">
        <v>0</v>
      </c>
      <c r="FU42" s="145">
        <v>0</v>
      </c>
      <c r="FV42" s="145">
        <v>0</v>
      </c>
      <c r="FW42" s="145">
        <v>0</v>
      </c>
      <c r="FX42" s="143"/>
      <c r="FY42" s="146" t="str">
        <f>_xlfn.XLOOKUP($E42,'Key assumptions'!$B$112:$B$120,'Key assumptions'!$C$112:$C$120,0)</f>
        <v>Nominal</v>
      </c>
      <c r="FZ42" s="146" cm="1">
        <f t="array" ref="FZ42">IF($FY42=0,0,_xlfn.IFS($FY42='Key assumptions'!$C$120,_xlfn.XLOOKUP(LEFT(FZ$7,6),Inflation_Year,Inflation_NominaltoReal),TRUE,_xlfn.XLOOKUP($FY42,Inflation_Year,NominaltoReal)))</f>
        <v>1.0197075870962191</v>
      </c>
      <c r="GA42" s="146" cm="1">
        <f t="array" ref="GA42">IF($FY42=0,0,_xlfn.IFS($FY42='Key assumptions'!$C$120,_xlfn.XLOOKUP(LEFT(GA$7,6),Inflation_Year,Inflation_NominaltoReal),TRUE,_xlfn.XLOOKUP($FY42,Inflation_Year,NominaltoReal)))</f>
        <v>0.98700804022984445</v>
      </c>
      <c r="GB42" s="146" cm="1">
        <f t="array" ref="GB42">IF($FY42=0,0,_xlfn.IFS($FY42='Key assumptions'!$C$120,_xlfn.XLOOKUP(LEFT(GB$7,6),Inflation_Year,Inflation_NominaltoReal),TRUE,_xlfn.XLOOKUP($FY42,Inflation_Year,NominaltoReal)))</f>
        <v>0.96152830081941731</v>
      </c>
      <c r="GC42" s="146" cm="1">
        <f t="array" ref="GC42">IF($FY42=0,0,_xlfn.IFS($FY42='Key assumptions'!$C$120,_xlfn.XLOOKUP(LEFT(GC$7,6),Inflation_Year,Inflation_NominaltoReal),TRUE,_xlfn.XLOOKUP($FY42,Inflation_Year,NominaltoReal)))</f>
        <v>0.93670632415656829</v>
      </c>
      <c r="GD42" s="146" cm="1">
        <f t="array" ref="GD42">IF($FY42=0,0,_xlfn.IFS($FY42='Key assumptions'!$C$120,_xlfn.XLOOKUP(LEFT(GD$7,6),Inflation_Year,Inflation_NominaltoReal),TRUE,_xlfn.XLOOKUP($FY42,Inflation_Year,NominaltoReal)))</f>
        <v>0.91252513001143176</v>
      </c>
      <c r="GE42" s="146" cm="1">
        <f t="array" ref="GE42">IF($FY42=0,0,_xlfn.IFS($FY42='Key assumptions'!$C$120,_xlfn.XLOOKUP(LEFT(GE$7,6),Inflation_Year,Inflation_NominaltoReal),TRUE,_xlfn.XLOOKUP($FY42,Inflation_Year,NominaltoReal)))</f>
        <v>0.88896817650095872</v>
      </c>
      <c r="GF42" s="146" cm="1">
        <f t="array" ref="GF42">IF($FY42=0,0,_xlfn.IFS($FY42='Key assumptions'!$C$120,_xlfn.XLOOKUP(LEFT(GF$7,6),Inflation_Year,Inflation_NominaltoReal),TRUE,_xlfn.XLOOKUP($FY42,Inflation_Year,NominaltoReal)))</f>
        <v>0.86601934877293718</v>
      </c>
      <c r="GG42" s="143"/>
      <c r="GH42" s="145" cm="1">
        <f t="array" ref="GH42">SUMPRODUCT(--($CR$7:$FW$7&gt;=GH$5),--($CR$7:$FW$7&lt;=GH$6),$CR42:$FW42)*FZ42</f>
        <v>398549.39636689919</v>
      </c>
      <c r="GI42" s="145" cm="1">
        <f t="array" ref="GI42">SUMPRODUCT(--($CR$7:$FW$7&gt;=GI$5),--($CR$7:$FW$7&lt;=GI$6),$CR42:$FW42)*GA42</f>
        <v>583452.42177028407</v>
      </c>
      <c r="GJ42" s="145" cm="1">
        <f t="array" ref="GJ42">SUMPRODUCT(--($CR$7:$FW$7&gt;=GJ$5),--($CR$7:$FW$7&lt;=GJ$6),$CR42:$FW42)*GB42</f>
        <v>576709.43460791837</v>
      </c>
      <c r="GK42" s="145" cm="1">
        <f t="array" ref="GK42">SUMPRODUCT(--($CR$7:$FW$7&gt;=GK$5),--($CR$7:$FW$7&lt;=GK$6),$CR42:$FW42)*GC42</f>
        <v>153113.82840536782</v>
      </c>
      <c r="GL42" s="145" cm="1">
        <f t="array" ref="GL42">SUMPRODUCT(--($CR$7:$FW$7&gt;=GL$5),--($CR$7:$FW$7&lt;=GL$6),$CR42:$FW42)*GD42</f>
        <v>0</v>
      </c>
      <c r="GM42" s="145" cm="1">
        <f t="array" ref="GM42">SUMPRODUCT(--($CR$7:$FW$7&gt;=GM$5),--($CR$7:$FW$7&lt;=GM$6),$CR42:$FW42)*GE42</f>
        <v>0</v>
      </c>
      <c r="GN42" s="145" cm="1">
        <f t="array" ref="GN42">SUMPRODUCT(--($CR$7:$FW$7&gt;=GN$5),--($CR$7:$FW$7&lt;=GN$6),$CR42:$FW42)*GF42</f>
        <v>0</v>
      </c>
      <c r="GO42" s="145">
        <f t="shared" si="18"/>
        <v>1711825.0811504696</v>
      </c>
      <c r="GP42" s="87"/>
      <c r="GQ42" s="89"/>
      <c r="GR42" s="145" cm="1">
        <f t="array" ref="GR42">SUMPRODUCT(--($CR$7:$FW$7&gt;=GR$5),--($CR$7:$FW$7&lt;=GR$6),$CR42:$FW42)</f>
        <v>236786.54999999996</v>
      </c>
      <c r="GS42" s="89"/>
      <c r="GT42" s="214" cm="1">
        <f t="array" ref="GT42">--AND(MIN(IF($K42:$CP42&lt;&gt;0,$K$7:$CP$7))&gt;=GT$5,MIN(IF($K42:$CP42&lt;&gt;0,$K$7:$CP$7))&lt;=GT$6)</f>
        <v>1</v>
      </c>
      <c r="GU42" s="214" cm="1">
        <f t="array" ref="GU42">--AND(MIN(IF($K42:$CP42&lt;&gt;0,$K$7:$CP$7))&gt;=GU$5,MIN(IF($K42:$CP42&lt;&gt;0,$K$7:$CP$7))&lt;=GU$6)</f>
        <v>0</v>
      </c>
      <c r="GV42" s="214" cm="1">
        <f t="array" ref="GV42">--AND(MIN(IF($K42:$CP42&lt;&gt;0,$K$7:$CP$7))&gt;=GV$5,MIN(IF($K42:$CP42&lt;&gt;0,$K$7:$CP$7))&lt;=GV$6)</f>
        <v>0</v>
      </c>
      <c r="GW42" s="214" cm="1">
        <f t="array" ref="GW42">--AND(MIN(IF($K42:$CP42&lt;&gt;0,$K$7:$CP$7))&gt;=GW$5,MIN(IF($K42:$CP42&lt;&gt;0,$K$7:$CP$7))&lt;=GW$6)</f>
        <v>0</v>
      </c>
      <c r="GX42" s="214" cm="1">
        <f t="array" ref="GX42">--AND(MIN(IF($K42:$CP42&lt;&gt;0,$K$7:$CP$7))&gt;=GX$5,MIN(IF($K42:$CP42&lt;&gt;0,$K$7:$CP$7))&lt;=GX$6)</f>
        <v>0</v>
      </c>
      <c r="GY42" s="214" cm="1">
        <f t="array" ref="GY42">--AND(MIN(IF($K42:$CP42&lt;&gt;0,$K$7:$CP$7))&gt;=GY$5,MIN(IF($K42:$CP42&lt;&gt;0,$K$7:$CP$7))&lt;=GY$6)</f>
        <v>0</v>
      </c>
      <c r="GZ42" s="214" cm="1">
        <f t="array" ref="GZ42">--AND(MIN(IF($K42:$CP42&lt;&gt;0,$K$7:$CP$7))&gt;=GZ$5,MIN(IF($K42:$CP42&lt;&gt;0,$K$7:$CP$7))&lt;=GZ$6)</f>
        <v>0</v>
      </c>
      <c r="HA42" s="214">
        <f t="shared" si="0"/>
        <v>1</v>
      </c>
      <c r="HC42" s="214" cm="1">
        <f t="array" ref="HC42">--AND(MIN(IF($K42:$CP42&lt;&gt;0,$K$7:$CP$7))&gt;=HC$5,MIN(IF($K42:$CP42&lt;&gt;0,$K$7:$CP$7))&lt;=HC$6)</f>
        <v>1</v>
      </c>
      <c r="HE42" s="147" t="str">
        <f t="shared" si="19"/>
        <v>No</v>
      </c>
      <c r="HF42" s="147" t="str">
        <f t="shared" si="20"/>
        <v>No</v>
      </c>
      <c r="HG42" s="147">
        <f>IF($HF42="Yes",0,$H42*avg_hrs*12*'Key assumptions'!$D$87)</f>
        <v>655954.95537537034</v>
      </c>
      <c r="HH42" s="147">
        <f>IF(HE42="Yes",'Key assumptions'!$D$84*HG42,0)</f>
        <v>0</v>
      </c>
      <c r="HI42" s="144">
        <f>IFERROR(AVERAGEIFS($K42:$CP42,$K$7:$CP$7,"&gt;="&amp;'Key assumptions'!$D$24,$K$7:$CP$7,"&lt;="&amp;'Key assumptions'!$D$25),0)</f>
        <v>0.79585326953748026</v>
      </c>
      <c r="HJ42" s="148">
        <f t="shared" si="22"/>
        <v>0</v>
      </c>
      <c r="HK42" s="148">
        <f t="shared" si="1"/>
        <v>0</v>
      </c>
      <c r="HL42" s="148">
        <f t="shared" si="2"/>
        <v>0</v>
      </c>
      <c r="HM42" s="148">
        <f t="shared" si="3"/>
        <v>0</v>
      </c>
      <c r="HN42" s="148">
        <f t="shared" si="4"/>
        <v>0</v>
      </c>
      <c r="HO42" s="148">
        <f t="shared" si="5"/>
        <v>0</v>
      </c>
      <c r="HP42" s="148">
        <f t="shared" si="6"/>
        <v>0</v>
      </c>
      <c r="HQ42" s="148">
        <f t="shared" si="7"/>
        <v>0</v>
      </c>
      <c r="HR42" s="147">
        <f t="shared" si="8"/>
        <v>0</v>
      </c>
      <c r="HS42" s="89"/>
      <c r="HU42" s="147">
        <f>$HJ42*HC42/(1+'Key assumptions'!G64)^0.75</f>
        <v>0</v>
      </c>
      <c r="HW42" s="216">
        <f t="shared" si="9"/>
        <v>0.79585326953748026</v>
      </c>
      <c r="HX42" s="216">
        <f t="shared" si="10"/>
        <v>0</v>
      </c>
      <c r="HY42" s="216">
        <f t="shared" si="11"/>
        <v>0</v>
      </c>
      <c r="HZ42" s="216">
        <f t="shared" si="12"/>
        <v>0</v>
      </c>
      <c r="IA42" s="216">
        <f t="shared" si="13"/>
        <v>0</v>
      </c>
      <c r="IB42" s="216">
        <f t="shared" si="14"/>
        <v>0</v>
      </c>
      <c r="IC42" s="216">
        <f t="shared" si="15"/>
        <v>0</v>
      </c>
      <c r="ID42" s="216">
        <f t="shared" si="16"/>
        <v>0.79585326953748026</v>
      </c>
      <c r="IF42" s="216">
        <f t="shared" si="17"/>
        <v>0.79585326953748026</v>
      </c>
    </row>
    <row r="43" spans="2:240" x14ac:dyDescent="0.2">
      <c r="B43" s="141" t="str">
        <v>Project Delivery Management - Project Controls</v>
      </c>
      <c r="C43" s="141" t="str">
        <v>Project Manager - Senior (Delivery Projects - Prescribed)</v>
      </c>
      <c r="D43" s="141" t="str">
        <v>Internal Labour</v>
      </c>
      <c r="E43" s="141" t="str">
        <v>$ Nominal</v>
      </c>
      <c r="F43" s="141" t="str">
        <v>Existing</v>
      </c>
      <c r="G43" s="141" t="str">
        <v>Normal time</v>
      </c>
      <c r="H43" s="142">
        <v>316.45</v>
      </c>
      <c r="I43" s="126">
        <v>3827788</v>
      </c>
      <c r="J43" s="143">
        <v>0</v>
      </c>
      <c r="K43" s="144">
        <v>0</v>
      </c>
      <c r="L43" s="144">
        <v>0</v>
      </c>
      <c r="M43" s="144">
        <v>0</v>
      </c>
      <c r="N43" s="144">
        <v>0</v>
      </c>
      <c r="O43" s="144">
        <v>0</v>
      </c>
      <c r="P43" s="144">
        <v>0</v>
      </c>
      <c r="Q43" s="144">
        <v>0</v>
      </c>
      <c r="R43" s="144">
        <v>0</v>
      </c>
      <c r="S43" s="144">
        <v>0</v>
      </c>
      <c r="T43" s="144">
        <v>0</v>
      </c>
      <c r="U43" s="144">
        <v>0</v>
      </c>
      <c r="V43" s="144">
        <v>0</v>
      </c>
      <c r="W43" s="144">
        <v>0</v>
      </c>
      <c r="X43" s="144">
        <v>2.4285714285714284</v>
      </c>
      <c r="Y43" s="144">
        <v>2.4285714285714284</v>
      </c>
      <c r="Z43" s="144">
        <v>3.2380952380952381</v>
      </c>
      <c r="AA43" s="144">
        <v>2.236842105263158</v>
      </c>
      <c r="AB43" s="144">
        <v>2.236842105263158</v>
      </c>
      <c r="AC43" s="144">
        <v>2.4285714285714284</v>
      </c>
      <c r="AD43" s="144">
        <v>2.4285714285714284</v>
      </c>
      <c r="AE43" s="144">
        <v>2.4285714285714284</v>
      </c>
      <c r="AF43" s="144">
        <v>2.4285714285714284</v>
      </c>
      <c r="AG43" s="144">
        <v>2.4285714285714284</v>
      </c>
      <c r="AH43" s="144">
        <v>3.2380952380952381</v>
      </c>
      <c r="AI43" s="144">
        <v>3.2380952380952381</v>
      </c>
      <c r="AJ43" s="144">
        <v>2.4285714285714284</v>
      </c>
      <c r="AK43" s="144">
        <v>2.4285714285714284</v>
      </c>
      <c r="AL43" s="144">
        <v>3.2380952380952381</v>
      </c>
      <c r="AM43" s="144">
        <v>2.236842105263158</v>
      </c>
      <c r="AN43" s="144">
        <v>2.236842105263158</v>
      </c>
      <c r="AO43" s="144">
        <v>2.4285714285714284</v>
      </c>
      <c r="AP43" s="144">
        <v>2.4285714285714284</v>
      </c>
      <c r="AQ43" s="144">
        <v>2.4285714285714284</v>
      </c>
      <c r="AR43" s="144">
        <v>2.4285714285714284</v>
      </c>
      <c r="AS43" s="144">
        <v>2.4285714285714284</v>
      </c>
      <c r="AT43" s="144">
        <v>3.2380952380952381</v>
      </c>
      <c r="AU43" s="144">
        <v>3.2380952380952381</v>
      </c>
      <c r="AV43" s="144">
        <v>2.4285714285714284</v>
      </c>
      <c r="AW43" s="144">
        <v>2.4285714285714284</v>
      </c>
      <c r="AX43" s="144">
        <v>3.2380952380952381</v>
      </c>
      <c r="AY43" s="144">
        <v>2.236842105263158</v>
      </c>
      <c r="AZ43" s="144">
        <v>2.236842105263158</v>
      </c>
      <c r="BA43" s="144">
        <v>2.4285714285714284</v>
      </c>
      <c r="BB43" s="144">
        <v>2.4285714285714284</v>
      </c>
      <c r="BC43" s="144">
        <v>2.4285714285714284</v>
      </c>
      <c r="BD43" s="144">
        <v>2.4285714285714284</v>
      </c>
      <c r="BE43" s="144">
        <v>2.4285714285714284</v>
      </c>
      <c r="BF43" s="144">
        <v>3.2380952380952381</v>
      </c>
      <c r="BG43" s="144">
        <v>0</v>
      </c>
      <c r="BH43" s="144">
        <v>0</v>
      </c>
      <c r="BI43" s="144">
        <v>0</v>
      </c>
      <c r="BJ43" s="144">
        <v>0</v>
      </c>
      <c r="BK43" s="144">
        <v>0</v>
      </c>
      <c r="BL43" s="144">
        <v>0</v>
      </c>
      <c r="BM43" s="144">
        <v>0</v>
      </c>
      <c r="BN43" s="144">
        <v>0</v>
      </c>
      <c r="BO43" s="144">
        <v>0</v>
      </c>
      <c r="BP43" s="144">
        <v>0</v>
      </c>
      <c r="BQ43" s="144">
        <v>0</v>
      </c>
      <c r="BR43" s="144">
        <v>0</v>
      </c>
      <c r="BS43" s="144">
        <v>0</v>
      </c>
      <c r="BT43" s="144">
        <v>0</v>
      </c>
      <c r="BU43" s="144">
        <v>0</v>
      </c>
      <c r="BV43" s="144">
        <v>0</v>
      </c>
      <c r="BW43" s="144">
        <v>0</v>
      </c>
      <c r="BX43" s="144">
        <v>0</v>
      </c>
      <c r="BY43" s="144">
        <v>0</v>
      </c>
      <c r="BZ43" s="144">
        <v>0</v>
      </c>
      <c r="CA43" s="144">
        <v>0</v>
      </c>
      <c r="CB43" s="144">
        <v>0</v>
      </c>
      <c r="CC43" s="144">
        <v>0</v>
      </c>
      <c r="CD43" s="144">
        <v>0</v>
      </c>
      <c r="CE43" s="144">
        <v>0</v>
      </c>
      <c r="CF43" s="144">
        <v>0</v>
      </c>
      <c r="CG43" s="144">
        <v>0</v>
      </c>
      <c r="CH43" s="144">
        <v>0</v>
      </c>
      <c r="CI43" s="144">
        <v>0</v>
      </c>
      <c r="CJ43" s="144">
        <v>0</v>
      </c>
      <c r="CK43" s="144">
        <v>0</v>
      </c>
      <c r="CL43" s="144">
        <v>0</v>
      </c>
      <c r="CM43" s="144">
        <v>0</v>
      </c>
      <c r="CN43" s="144">
        <v>0</v>
      </c>
      <c r="CO43" s="144">
        <v>0</v>
      </c>
      <c r="CP43" s="144">
        <v>0</v>
      </c>
      <c r="CQ43" s="143">
        <v>0</v>
      </c>
      <c r="CR43" s="145">
        <v>0</v>
      </c>
      <c r="CS43" s="145">
        <v>0</v>
      </c>
      <c r="CT43" s="145">
        <v>0</v>
      </c>
      <c r="CU43" s="145">
        <v>0</v>
      </c>
      <c r="CV43" s="145">
        <v>0</v>
      </c>
      <c r="CW43" s="145">
        <v>0</v>
      </c>
      <c r="CX43" s="145">
        <v>0</v>
      </c>
      <c r="CY43" s="145">
        <v>0</v>
      </c>
      <c r="CZ43" s="145">
        <v>0</v>
      </c>
      <c r="DA43" s="145">
        <v>0</v>
      </c>
      <c r="DB43" s="145">
        <v>0</v>
      </c>
      <c r="DC43" s="145">
        <v>0</v>
      </c>
      <c r="DD43" s="145">
        <v>0</v>
      </c>
      <c r="DE43" s="145">
        <v>104475.2</v>
      </c>
      <c r="DF43" s="145">
        <v>104475.2</v>
      </c>
      <c r="DG43" s="145">
        <v>104475.2</v>
      </c>
      <c r="DH43" s="145">
        <v>104475.2</v>
      </c>
      <c r="DI43" s="145">
        <v>104475.2</v>
      </c>
      <c r="DJ43" s="145">
        <v>107593</v>
      </c>
      <c r="DK43" s="145">
        <v>107593</v>
      </c>
      <c r="DL43" s="145">
        <v>107593</v>
      </c>
      <c r="DM43" s="145">
        <v>107593</v>
      </c>
      <c r="DN43" s="145">
        <v>107593</v>
      </c>
      <c r="DO43" s="145">
        <v>107593</v>
      </c>
      <c r="DP43" s="145">
        <v>107593</v>
      </c>
      <c r="DQ43" s="145">
        <v>107593</v>
      </c>
      <c r="DR43" s="145">
        <v>107593</v>
      </c>
      <c r="DS43" s="145">
        <v>107593</v>
      </c>
      <c r="DT43" s="145">
        <v>107593</v>
      </c>
      <c r="DU43" s="145">
        <v>107593</v>
      </c>
      <c r="DV43" s="145">
        <v>110789.00000000001</v>
      </c>
      <c r="DW43" s="145">
        <v>110789.00000000001</v>
      </c>
      <c r="DX43" s="145">
        <v>110789.00000000001</v>
      </c>
      <c r="DY43" s="145">
        <v>110789.00000000001</v>
      </c>
      <c r="DZ43" s="145">
        <v>110789.00000000001</v>
      </c>
      <c r="EA43" s="145">
        <v>110789.00000000001</v>
      </c>
      <c r="EB43" s="145">
        <v>110789.00000000001</v>
      </c>
      <c r="EC43" s="145">
        <v>110789.00000000001</v>
      </c>
      <c r="ED43" s="145">
        <v>110789.00000000001</v>
      </c>
      <c r="EE43" s="145">
        <v>110789.00000000001</v>
      </c>
      <c r="EF43" s="145">
        <v>110789.00000000001</v>
      </c>
      <c r="EG43" s="145">
        <v>110789.00000000001</v>
      </c>
      <c r="EH43" s="145">
        <v>114138</v>
      </c>
      <c r="EI43" s="145">
        <v>114138</v>
      </c>
      <c r="EJ43" s="145">
        <v>114138</v>
      </c>
      <c r="EK43" s="145">
        <v>114138</v>
      </c>
      <c r="EL43" s="145">
        <v>114138</v>
      </c>
      <c r="EM43" s="145">
        <v>114138</v>
      </c>
      <c r="EN43" s="145">
        <v>0</v>
      </c>
      <c r="EO43" s="145">
        <v>0</v>
      </c>
      <c r="EP43" s="145">
        <v>0</v>
      </c>
      <c r="EQ43" s="145">
        <v>0</v>
      </c>
      <c r="ER43" s="145">
        <v>0</v>
      </c>
      <c r="ES43" s="145">
        <v>0</v>
      </c>
      <c r="ET43" s="145">
        <v>0</v>
      </c>
      <c r="EU43" s="145">
        <v>0</v>
      </c>
      <c r="EV43" s="145">
        <v>0</v>
      </c>
      <c r="EW43" s="145">
        <v>0</v>
      </c>
      <c r="EX43" s="145">
        <v>0</v>
      </c>
      <c r="EY43" s="145">
        <v>0</v>
      </c>
      <c r="EZ43" s="145">
        <v>0</v>
      </c>
      <c r="FA43" s="145">
        <v>0</v>
      </c>
      <c r="FB43" s="145">
        <v>0</v>
      </c>
      <c r="FC43" s="145">
        <v>0</v>
      </c>
      <c r="FD43" s="145">
        <v>0</v>
      </c>
      <c r="FE43" s="145">
        <v>0</v>
      </c>
      <c r="FF43" s="145">
        <v>0</v>
      </c>
      <c r="FG43" s="145">
        <v>0</v>
      </c>
      <c r="FH43" s="145">
        <v>0</v>
      </c>
      <c r="FI43" s="145">
        <v>0</v>
      </c>
      <c r="FJ43" s="145">
        <v>0</v>
      </c>
      <c r="FK43" s="145">
        <v>0</v>
      </c>
      <c r="FL43" s="145">
        <v>0</v>
      </c>
      <c r="FM43" s="145">
        <v>0</v>
      </c>
      <c r="FN43" s="145">
        <v>0</v>
      </c>
      <c r="FO43" s="145">
        <v>0</v>
      </c>
      <c r="FP43" s="145">
        <v>0</v>
      </c>
      <c r="FQ43" s="145">
        <v>0</v>
      </c>
      <c r="FR43" s="145">
        <v>0</v>
      </c>
      <c r="FS43" s="145">
        <v>0</v>
      </c>
      <c r="FT43" s="145">
        <v>0</v>
      </c>
      <c r="FU43" s="145">
        <v>0</v>
      </c>
      <c r="FV43" s="145">
        <v>0</v>
      </c>
      <c r="FW43" s="145">
        <v>0</v>
      </c>
      <c r="FX43" s="143"/>
      <c r="FY43" s="146" t="str">
        <f>_xlfn.XLOOKUP($E43,'Key assumptions'!$B$112:$B$120,'Key assumptions'!$C$112:$C$120,0)</f>
        <v>Nominal</v>
      </c>
      <c r="FZ43" s="146" cm="1">
        <f t="array" ref="FZ43">IF($FY43=0,0,_xlfn.IFS($FY43='Key assumptions'!$C$120,_xlfn.XLOOKUP(LEFT(FZ$7,6),Inflation_Year,Inflation_NominaltoReal),TRUE,_xlfn.XLOOKUP($FY43,Inflation_Year,NominaltoReal)))</f>
        <v>1.0197075870962191</v>
      </c>
      <c r="GA43" s="146" cm="1">
        <f t="array" ref="GA43">IF($FY43=0,0,_xlfn.IFS($FY43='Key assumptions'!$C$120,_xlfn.XLOOKUP(LEFT(GA$7,6),Inflation_Year,Inflation_NominaltoReal),TRUE,_xlfn.XLOOKUP($FY43,Inflation_Year,NominaltoReal)))</f>
        <v>0.98700804022984445</v>
      </c>
      <c r="GB43" s="146" cm="1">
        <f t="array" ref="GB43">IF($FY43=0,0,_xlfn.IFS($FY43='Key assumptions'!$C$120,_xlfn.XLOOKUP(LEFT(GB$7,6),Inflation_Year,Inflation_NominaltoReal),TRUE,_xlfn.XLOOKUP($FY43,Inflation_Year,NominaltoReal)))</f>
        <v>0.96152830081941731</v>
      </c>
      <c r="GC43" s="146" cm="1">
        <f t="array" ref="GC43">IF($FY43=0,0,_xlfn.IFS($FY43='Key assumptions'!$C$120,_xlfn.XLOOKUP(LEFT(GC$7,6),Inflation_Year,Inflation_NominaltoReal),TRUE,_xlfn.XLOOKUP($FY43,Inflation_Year,NominaltoReal)))</f>
        <v>0.93670632415656829</v>
      </c>
      <c r="GD43" s="146" cm="1">
        <f t="array" ref="GD43">IF($FY43=0,0,_xlfn.IFS($FY43='Key assumptions'!$C$120,_xlfn.XLOOKUP(LEFT(GD$7,6),Inflation_Year,Inflation_NominaltoReal),TRUE,_xlfn.XLOOKUP($FY43,Inflation_Year,NominaltoReal)))</f>
        <v>0.91252513001143176</v>
      </c>
      <c r="GE43" s="146" cm="1">
        <f t="array" ref="GE43">IF($FY43=0,0,_xlfn.IFS($FY43='Key assumptions'!$C$120,_xlfn.XLOOKUP(LEFT(GE$7,6),Inflation_Year,Inflation_NominaltoReal),TRUE,_xlfn.XLOOKUP($FY43,Inflation_Year,NominaltoReal)))</f>
        <v>0.88896817650095872</v>
      </c>
      <c r="GF43" s="146" cm="1">
        <f t="array" ref="GF43">IF($FY43=0,0,_xlfn.IFS($FY43='Key assumptions'!$C$120,_xlfn.XLOOKUP(LEFT(GF$7,6),Inflation_Year,Inflation_NominaltoReal),TRUE,_xlfn.XLOOKUP($FY43,Inflation_Year,NominaltoReal)))</f>
        <v>0.86601934877293718</v>
      </c>
      <c r="GG43" s="143"/>
      <c r="GH43" s="145" cm="1">
        <f t="array" ref="GH43">SUMPRODUCT(--($CR$7:$FW$7&gt;=GH$5),--($CR$7:$FW$7&lt;=GH$6),$CR43:$FW43)*FZ43</f>
        <v>861810.96577230503</v>
      </c>
      <c r="GI43" s="145" cm="1">
        <f t="array" ref="GI43">SUMPRODUCT(--($CR$7:$FW$7&gt;=GI$5),--($CR$7:$FW$7&lt;=GI$6),$CR43:$FW43)*GA43</f>
        <v>1283805.3059591197</v>
      </c>
      <c r="GJ43" s="145" cm="1">
        <f t="array" ref="GJ43">SUMPRODUCT(--($CR$7:$FW$7&gt;=GJ$5),--($CR$7:$FW$7&lt;=GJ$6),$CR43:$FW43)*GB43</f>
        <v>1287981.5818721219</v>
      </c>
      <c r="GK43" s="145" cm="1">
        <f t="array" ref="GK43">SUMPRODUCT(--($CR$7:$FW$7&gt;=GK$5),--($CR$7:$FW$7&lt;=GK$6),$CR43:$FW43)*GC43</f>
        <v>320741.35927974718</v>
      </c>
      <c r="GL43" s="145" cm="1">
        <f t="array" ref="GL43">SUMPRODUCT(--($CR$7:$FW$7&gt;=GL$5),--($CR$7:$FW$7&lt;=GL$6),$CR43:$FW43)*GD43</f>
        <v>0</v>
      </c>
      <c r="GM43" s="145" cm="1">
        <f t="array" ref="GM43">SUMPRODUCT(--($CR$7:$FW$7&gt;=GM$5),--($CR$7:$FW$7&lt;=GM$6),$CR43:$FW43)*GE43</f>
        <v>0</v>
      </c>
      <c r="GN43" s="145" cm="1">
        <f t="array" ref="GN43">SUMPRODUCT(--($CR$7:$FW$7&gt;=GN$5),--($CR$7:$FW$7&lt;=GN$6),$CR43:$FW43)*GF43</f>
        <v>0</v>
      </c>
      <c r="GO43" s="145">
        <f t="shared" si="18"/>
        <v>3754339.2128832936</v>
      </c>
      <c r="GP43" s="87"/>
      <c r="GQ43" s="89"/>
      <c r="GR43" s="145" cm="1">
        <f t="array" ref="GR43">SUMPRODUCT(--($CR$7:$FW$7&gt;=GR$5),--($CR$7:$FW$7&lt;=GR$6),$CR43:$FW43)</f>
        <v>522376</v>
      </c>
      <c r="GS43" s="89"/>
      <c r="GT43" s="214" cm="1">
        <f t="array" ref="GT43">--AND(MIN(IF($K43:$CP43&lt;&gt;0,$K$7:$CP$7))&gt;=GT$5,MIN(IF($K43:$CP43&lt;&gt;0,$K$7:$CP$7))&lt;=GT$6)</f>
        <v>1</v>
      </c>
      <c r="GU43" s="214" cm="1">
        <f t="array" ref="GU43">--AND(MIN(IF($K43:$CP43&lt;&gt;0,$K$7:$CP$7))&gt;=GU$5,MIN(IF($K43:$CP43&lt;&gt;0,$K$7:$CP$7))&lt;=GU$6)</f>
        <v>0</v>
      </c>
      <c r="GV43" s="214" cm="1">
        <f t="array" ref="GV43">--AND(MIN(IF($K43:$CP43&lt;&gt;0,$K$7:$CP$7))&gt;=GV$5,MIN(IF($K43:$CP43&lt;&gt;0,$K$7:$CP$7))&lt;=GV$6)</f>
        <v>0</v>
      </c>
      <c r="GW43" s="214" cm="1">
        <f t="array" ref="GW43">--AND(MIN(IF($K43:$CP43&lt;&gt;0,$K$7:$CP$7))&gt;=GW$5,MIN(IF($K43:$CP43&lt;&gt;0,$K$7:$CP$7))&lt;=GW$6)</f>
        <v>0</v>
      </c>
      <c r="GX43" s="214" cm="1">
        <f t="array" ref="GX43">--AND(MIN(IF($K43:$CP43&lt;&gt;0,$K$7:$CP$7))&gt;=GX$5,MIN(IF($K43:$CP43&lt;&gt;0,$K$7:$CP$7))&lt;=GX$6)</f>
        <v>0</v>
      </c>
      <c r="GY43" s="214" cm="1">
        <f t="array" ref="GY43">--AND(MIN(IF($K43:$CP43&lt;&gt;0,$K$7:$CP$7))&gt;=GY$5,MIN(IF($K43:$CP43&lt;&gt;0,$K$7:$CP$7))&lt;=GY$6)</f>
        <v>0</v>
      </c>
      <c r="GZ43" s="214" cm="1">
        <f t="array" ref="GZ43">--AND(MIN(IF($K43:$CP43&lt;&gt;0,$K$7:$CP$7))&gt;=GZ$5,MIN(IF($K43:$CP43&lt;&gt;0,$K$7:$CP$7))&lt;=GZ$6)</f>
        <v>0</v>
      </c>
      <c r="HA43" s="214">
        <f t="shared" si="0"/>
        <v>1</v>
      </c>
      <c r="HC43" s="214" cm="1">
        <f t="array" ref="HC43">--AND(MIN(IF($K43:$CP43&lt;&gt;0,$K$7:$CP$7))&gt;=HC$5,MIN(IF($K43:$CP43&lt;&gt;0,$K$7:$CP$7))&lt;=HC$6)</f>
        <v>1</v>
      </c>
      <c r="HE43" s="147" t="str">
        <f t="shared" si="19"/>
        <v>No</v>
      </c>
      <c r="HF43" s="147" t="str">
        <f t="shared" si="20"/>
        <v>No</v>
      </c>
      <c r="HG43" s="147">
        <f>IF($HF43="Yes",0,$H43*avg_hrs*12*'Key assumptions'!$D$87)</f>
        <v>565897.7280568576</v>
      </c>
      <c r="HH43" s="147">
        <f>IF(HE43="Yes",'Key assumptions'!$D$84*HG43,0)</f>
        <v>0</v>
      </c>
      <c r="HI43" s="144">
        <f>IFERROR(AVERAGEIFS($K43:$CP43,$K$7:$CP$7,"&gt;="&amp;'Key assumptions'!$D$24,$K$7:$CP$7,"&lt;="&amp;'Key assumptions'!$D$25),0)</f>
        <v>2.0528594212804752</v>
      </c>
      <c r="HJ43" s="148">
        <f t="shared" si="22"/>
        <v>0</v>
      </c>
      <c r="HK43" s="148">
        <f t="shared" si="1"/>
        <v>0</v>
      </c>
      <c r="HL43" s="148">
        <f t="shared" si="2"/>
        <v>0</v>
      </c>
      <c r="HM43" s="148">
        <f t="shared" si="3"/>
        <v>0</v>
      </c>
      <c r="HN43" s="148">
        <f t="shared" si="4"/>
        <v>0</v>
      </c>
      <c r="HO43" s="148">
        <f t="shared" si="5"/>
        <v>0</v>
      </c>
      <c r="HP43" s="148">
        <f t="shared" si="6"/>
        <v>0</v>
      </c>
      <c r="HQ43" s="148">
        <f t="shared" si="7"/>
        <v>0</v>
      </c>
      <c r="HR43" s="147">
        <f t="shared" si="8"/>
        <v>0</v>
      </c>
      <c r="HS43" s="89"/>
      <c r="HU43" s="147">
        <f>$HJ43*HC43/(1+'Key assumptions'!G65)^0.75</f>
        <v>0</v>
      </c>
      <c r="HW43" s="216">
        <f t="shared" si="9"/>
        <v>2.0528594212804752</v>
      </c>
      <c r="HX43" s="216">
        <f t="shared" si="10"/>
        <v>0</v>
      </c>
      <c r="HY43" s="216">
        <f t="shared" si="11"/>
        <v>0</v>
      </c>
      <c r="HZ43" s="216">
        <f t="shared" si="12"/>
        <v>0</v>
      </c>
      <c r="IA43" s="216">
        <f t="shared" si="13"/>
        <v>0</v>
      </c>
      <c r="IB43" s="216">
        <f t="shared" si="14"/>
        <v>0</v>
      </c>
      <c r="IC43" s="216">
        <f t="shared" si="15"/>
        <v>0</v>
      </c>
      <c r="ID43" s="216">
        <f t="shared" si="16"/>
        <v>2.0528594212804752</v>
      </c>
      <c r="IF43" s="216">
        <f t="shared" si="17"/>
        <v>2.0528594212804752</v>
      </c>
    </row>
    <row r="44" spans="2:240" x14ac:dyDescent="0.2">
      <c r="B44" s="141" t="str">
        <v>Transaction Procurement Support</v>
      </c>
      <c r="C44" s="141" t="str">
        <v>Supply Specialist (Project Procurement)</v>
      </c>
      <c r="D44" s="141" t="str">
        <v>Internal Labour</v>
      </c>
      <c r="E44" s="141" t="str">
        <v>$ Nominal</v>
      </c>
      <c r="F44" s="141" t="str">
        <v>Existing</v>
      </c>
      <c r="G44" s="141" t="str">
        <v>Normal time</v>
      </c>
      <c r="H44" s="142">
        <v>169.4</v>
      </c>
      <c r="I44" s="126">
        <v>309734.04000000015</v>
      </c>
      <c r="J44" s="143">
        <v>0</v>
      </c>
      <c r="K44" s="144">
        <v>0</v>
      </c>
      <c r="L44" s="144">
        <v>0</v>
      </c>
      <c r="M44" s="144">
        <v>0</v>
      </c>
      <c r="N44" s="144">
        <v>0</v>
      </c>
      <c r="O44" s="144">
        <v>0</v>
      </c>
      <c r="P44" s="144">
        <v>0</v>
      </c>
      <c r="Q44" s="144">
        <v>0.5</v>
      </c>
      <c r="R44" s="144">
        <v>0.45</v>
      </c>
      <c r="S44" s="144">
        <v>0.25</v>
      </c>
      <c r="T44" s="144">
        <v>0.6</v>
      </c>
      <c r="U44" s="144">
        <v>0.4</v>
      </c>
      <c r="V44" s="144">
        <v>0.4</v>
      </c>
      <c r="W44" s="144">
        <v>0.53333333333333333</v>
      </c>
      <c r="X44" s="144">
        <v>0.25</v>
      </c>
      <c r="Y44" s="144">
        <v>0.25</v>
      </c>
      <c r="Z44" s="144">
        <v>0.33333333333333331</v>
      </c>
      <c r="AA44" s="144">
        <v>0.23026315789473684</v>
      </c>
      <c r="AB44" s="144">
        <v>0.23026315789473684</v>
      </c>
      <c r="AC44" s="144">
        <v>0.25</v>
      </c>
      <c r="AD44" s="144">
        <v>0.25</v>
      </c>
      <c r="AE44" s="144">
        <v>0.25</v>
      </c>
      <c r="AF44" s="144">
        <v>0.25</v>
      </c>
      <c r="AG44" s="144">
        <v>0.25</v>
      </c>
      <c r="AH44" s="144">
        <v>0.33333333333333331</v>
      </c>
      <c r="AI44" s="144">
        <v>0.33333333333333331</v>
      </c>
      <c r="AJ44" s="144">
        <v>0.25</v>
      </c>
      <c r="AK44" s="144">
        <v>0.25</v>
      </c>
      <c r="AL44" s="144">
        <v>0.33333333333333331</v>
      </c>
      <c r="AM44" s="144">
        <v>0.23026315789473684</v>
      </c>
      <c r="AN44" s="144">
        <v>0.23026315789473684</v>
      </c>
      <c r="AO44" s="144">
        <v>0.25</v>
      </c>
      <c r="AP44" s="144">
        <v>0.25</v>
      </c>
      <c r="AQ44" s="144">
        <v>0.25</v>
      </c>
      <c r="AR44" s="144">
        <v>0.25</v>
      </c>
      <c r="AS44" s="144">
        <v>0.25</v>
      </c>
      <c r="AT44" s="144">
        <v>0.33333333333333331</v>
      </c>
      <c r="AU44" s="144">
        <v>0.33333333333333331</v>
      </c>
      <c r="AV44" s="144">
        <v>0.25</v>
      </c>
      <c r="AW44" s="144">
        <v>0.25</v>
      </c>
      <c r="AX44" s="144">
        <v>0.33333333333333331</v>
      </c>
      <c r="AY44" s="144">
        <v>0.23026315789473684</v>
      </c>
      <c r="AZ44" s="144">
        <v>0.23026315789473684</v>
      </c>
      <c r="BA44" s="144">
        <v>0.25</v>
      </c>
      <c r="BB44" s="144">
        <v>0.25</v>
      </c>
      <c r="BC44" s="144">
        <v>0</v>
      </c>
      <c r="BD44" s="144">
        <v>0</v>
      </c>
      <c r="BE44" s="144">
        <v>0</v>
      </c>
      <c r="BF44" s="144">
        <v>0</v>
      </c>
      <c r="BG44" s="144">
        <v>0</v>
      </c>
      <c r="BH44" s="144">
        <v>0</v>
      </c>
      <c r="BI44" s="144">
        <v>0</v>
      </c>
      <c r="BJ44" s="144">
        <v>0</v>
      </c>
      <c r="BK44" s="144">
        <v>0</v>
      </c>
      <c r="BL44" s="144">
        <v>0</v>
      </c>
      <c r="BM44" s="144">
        <v>0</v>
      </c>
      <c r="BN44" s="144">
        <v>0</v>
      </c>
      <c r="BO44" s="144">
        <v>0</v>
      </c>
      <c r="BP44" s="144">
        <v>0</v>
      </c>
      <c r="BQ44" s="144">
        <v>0</v>
      </c>
      <c r="BR44" s="144">
        <v>0</v>
      </c>
      <c r="BS44" s="144">
        <v>0</v>
      </c>
      <c r="BT44" s="144">
        <v>0</v>
      </c>
      <c r="BU44" s="144">
        <v>0</v>
      </c>
      <c r="BV44" s="144">
        <v>0</v>
      </c>
      <c r="BW44" s="144">
        <v>0</v>
      </c>
      <c r="BX44" s="144">
        <v>0</v>
      </c>
      <c r="BY44" s="144">
        <v>0</v>
      </c>
      <c r="BZ44" s="144">
        <v>0</v>
      </c>
      <c r="CA44" s="144">
        <v>0</v>
      </c>
      <c r="CB44" s="144">
        <v>0</v>
      </c>
      <c r="CC44" s="144">
        <v>0</v>
      </c>
      <c r="CD44" s="144">
        <v>0</v>
      </c>
      <c r="CE44" s="144">
        <v>0</v>
      </c>
      <c r="CF44" s="144">
        <v>0</v>
      </c>
      <c r="CG44" s="144">
        <v>0</v>
      </c>
      <c r="CH44" s="144">
        <v>0</v>
      </c>
      <c r="CI44" s="144">
        <v>0</v>
      </c>
      <c r="CJ44" s="144">
        <v>0</v>
      </c>
      <c r="CK44" s="144">
        <v>0</v>
      </c>
      <c r="CL44" s="144">
        <v>0</v>
      </c>
      <c r="CM44" s="144">
        <v>0</v>
      </c>
      <c r="CN44" s="144">
        <v>0</v>
      </c>
      <c r="CO44" s="144">
        <v>0</v>
      </c>
      <c r="CP44" s="144">
        <v>0</v>
      </c>
      <c r="CQ44" s="143">
        <v>0</v>
      </c>
      <c r="CR44" s="145">
        <v>0</v>
      </c>
      <c r="CS44" s="145">
        <v>0</v>
      </c>
      <c r="CT44" s="145">
        <v>0</v>
      </c>
      <c r="CU44" s="145">
        <v>0</v>
      </c>
      <c r="CV44" s="145">
        <v>0</v>
      </c>
      <c r="CW44" s="145">
        <v>0</v>
      </c>
      <c r="CX44" s="145">
        <v>21023.799999999981</v>
      </c>
      <c r="CY44" s="145">
        <v>17758.439999999991</v>
      </c>
      <c r="CZ44" s="145">
        <v>11674.880000000001</v>
      </c>
      <c r="DA44" s="145">
        <v>25228.559999999983</v>
      </c>
      <c r="DB44" s="145">
        <v>16819.03999999999</v>
      </c>
      <c r="DC44" s="145">
        <v>12614.279999999999</v>
      </c>
      <c r="DD44" s="145">
        <v>16819.03999999999</v>
      </c>
      <c r="DE44" s="145">
        <v>5660.9000000000005</v>
      </c>
      <c r="DF44" s="145">
        <v>5929</v>
      </c>
      <c r="DG44" s="145">
        <v>5929</v>
      </c>
      <c r="DH44" s="145">
        <v>5929</v>
      </c>
      <c r="DI44" s="145">
        <v>5929</v>
      </c>
      <c r="DJ44" s="145">
        <v>5929</v>
      </c>
      <c r="DK44" s="145">
        <v>5929</v>
      </c>
      <c r="DL44" s="145">
        <v>5929</v>
      </c>
      <c r="DM44" s="145">
        <v>5929</v>
      </c>
      <c r="DN44" s="145">
        <v>5929</v>
      </c>
      <c r="DO44" s="145">
        <v>5929</v>
      </c>
      <c r="DP44" s="145">
        <v>5929</v>
      </c>
      <c r="DQ44" s="145">
        <v>5929</v>
      </c>
      <c r="DR44" s="145">
        <v>6104.7</v>
      </c>
      <c r="DS44" s="145">
        <v>6104.7</v>
      </c>
      <c r="DT44" s="145">
        <v>6104.7</v>
      </c>
      <c r="DU44" s="145">
        <v>6104.7</v>
      </c>
      <c r="DV44" s="145">
        <v>6104.7</v>
      </c>
      <c r="DW44" s="145">
        <v>6104.7</v>
      </c>
      <c r="DX44" s="145">
        <v>6104.7</v>
      </c>
      <c r="DY44" s="145">
        <v>6104.7</v>
      </c>
      <c r="DZ44" s="145">
        <v>6104.7</v>
      </c>
      <c r="EA44" s="145">
        <v>6104.7</v>
      </c>
      <c r="EB44" s="145">
        <v>6104.7</v>
      </c>
      <c r="EC44" s="145">
        <v>6104.7</v>
      </c>
      <c r="ED44" s="145">
        <v>6288.45</v>
      </c>
      <c r="EE44" s="145">
        <v>6288.45</v>
      </c>
      <c r="EF44" s="145">
        <v>6288.45</v>
      </c>
      <c r="EG44" s="145">
        <v>6288.45</v>
      </c>
      <c r="EH44" s="145">
        <v>6288.45</v>
      </c>
      <c r="EI44" s="145">
        <v>6288.45</v>
      </c>
      <c r="EJ44" s="145">
        <v>0</v>
      </c>
      <c r="EK44" s="145">
        <v>0</v>
      </c>
      <c r="EL44" s="145">
        <v>0</v>
      </c>
      <c r="EM44" s="145">
        <v>0</v>
      </c>
      <c r="EN44" s="145">
        <v>0</v>
      </c>
      <c r="EO44" s="145">
        <v>0</v>
      </c>
      <c r="EP44" s="145">
        <v>0</v>
      </c>
      <c r="EQ44" s="145">
        <v>0</v>
      </c>
      <c r="ER44" s="145">
        <v>0</v>
      </c>
      <c r="ES44" s="145">
        <v>0</v>
      </c>
      <c r="ET44" s="145">
        <v>0</v>
      </c>
      <c r="EU44" s="145">
        <v>0</v>
      </c>
      <c r="EV44" s="145">
        <v>0</v>
      </c>
      <c r="EW44" s="145">
        <v>0</v>
      </c>
      <c r="EX44" s="145">
        <v>0</v>
      </c>
      <c r="EY44" s="145">
        <v>0</v>
      </c>
      <c r="EZ44" s="145">
        <v>0</v>
      </c>
      <c r="FA44" s="145">
        <v>0</v>
      </c>
      <c r="FB44" s="145">
        <v>0</v>
      </c>
      <c r="FC44" s="145">
        <v>0</v>
      </c>
      <c r="FD44" s="145">
        <v>0</v>
      </c>
      <c r="FE44" s="145">
        <v>0</v>
      </c>
      <c r="FF44" s="145">
        <v>0</v>
      </c>
      <c r="FG44" s="145">
        <v>0</v>
      </c>
      <c r="FH44" s="145">
        <v>0</v>
      </c>
      <c r="FI44" s="145">
        <v>0</v>
      </c>
      <c r="FJ44" s="145">
        <v>0</v>
      </c>
      <c r="FK44" s="145">
        <v>0</v>
      </c>
      <c r="FL44" s="145">
        <v>0</v>
      </c>
      <c r="FM44" s="145">
        <v>0</v>
      </c>
      <c r="FN44" s="145">
        <v>0</v>
      </c>
      <c r="FO44" s="145">
        <v>0</v>
      </c>
      <c r="FP44" s="145">
        <v>0</v>
      </c>
      <c r="FQ44" s="145">
        <v>0</v>
      </c>
      <c r="FR44" s="145">
        <v>0</v>
      </c>
      <c r="FS44" s="145">
        <v>0</v>
      </c>
      <c r="FT44" s="145">
        <v>0</v>
      </c>
      <c r="FU44" s="145">
        <v>0</v>
      </c>
      <c r="FV44" s="145">
        <v>0</v>
      </c>
      <c r="FW44" s="145">
        <v>0</v>
      </c>
      <c r="FX44" s="143"/>
      <c r="FY44" s="146" t="str">
        <f>_xlfn.XLOOKUP($E44,'Key assumptions'!$B$112:$B$120,'Key assumptions'!$C$112:$C$120,0)</f>
        <v>Nominal</v>
      </c>
      <c r="FZ44" s="146" cm="1">
        <f t="array" ref="FZ44">IF($FY44=0,0,_xlfn.IFS($FY44='Key assumptions'!$C$120,_xlfn.XLOOKUP(LEFT(FZ$7,6),Inflation_Year,Inflation_NominaltoReal),TRUE,_xlfn.XLOOKUP($FY44,Inflation_Year,NominaltoReal)))</f>
        <v>1.0197075870962191</v>
      </c>
      <c r="GA44" s="146" cm="1">
        <f t="array" ref="GA44">IF($FY44=0,0,_xlfn.IFS($FY44='Key assumptions'!$C$120,_xlfn.XLOOKUP(LEFT(GA$7,6),Inflation_Year,Inflation_NominaltoReal),TRUE,_xlfn.XLOOKUP($FY44,Inflation_Year,NominaltoReal)))</f>
        <v>0.98700804022984445</v>
      </c>
      <c r="GB44" s="146" cm="1">
        <f t="array" ref="GB44">IF($FY44=0,0,_xlfn.IFS($FY44='Key assumptions'!$C$120,_xlfn.XLOOKUP(LEFT(GB$7,6),Inflation_Year,Inflation_NominaltoReal),TRUE,_xlfn.XLOOKUP($FY44,Inflation_Year,NominaltoReal)))</f>
        <v>0.96152830081941731</v>
      </c>
      <c r="GC44" s="146" cm="1">
        <f t="array" ref="GC44">IF($FY44=0,0,_xlfn.IFS($FY44='Key assumptions'!$C$120,_xlfn.XLOOKUP(LEFT(GC$7,6),Inflation_Year,Inflation_NominaltoReal),TRUE,_xlfn.XLOOKUP($FY44,Inflation_Year,NominaltoReal)))</f>
        <v>0.93670632415656829</v>
      </c>
      <c r="GD44" s="146" cm="1">
        <f t="array" ref="GD44">IF($FY44=0,0,_xlfn.IFS($FY44='Key assumptions'!$C$120,_xlfn.XLOOKUP(LEFT(GD$7,6),Inflation_Year,Inflation_NominaltoReal),TRUE,_xlfn.XLOOKUP($FY44,Inflation_Year,NominaltoReal)))</f>
        <v>0.91252513001143176</v>
      </c>
      <c r="GE44" s="146" cm="1">
        <f t="array" ref="GE44">IF($FY44=0,0,_xlfn.IFS($FY44='Key assumptions'!$C$120,_xlfn.XLOOKUP(LEFT(GE$7,6),Inflation_Year,Inflation_NominaltoReal),TRUE,_xlfn.XLOOKUP($FY44,Inflation_Year,NominaltoReal)))</f>
        <v>0.88896817650095872</v>
      </c>
      <c r="GF44" s="146" cm="1">
        <f t="array" ref="GF44">IF($FY44=0,0,_xlfn.IFS($FY44='Key assumptions'!$C$120,_xlfn.XLOOKUP(LEFT(GF$7,6),Inflation_Year,Inflation_NominaltoReal),TRUE,_xlfn.XLOOKUP($FY44,Inflation_Year,NominaltoReal)))</f>
        <v>0.86601934877293718</v>
      </c>
      <c r="GG44" s="143"/>
      <c r="GH44" s="145" cm="1">
        <f t="array" ref="GH44">SUMPRODUCT(--($CR$7:$FW$7&gt;=GH$5),--($CR$7:$FW$7&lt;=GH$6),$CR44:$FW44)*FZ44</f>
        <v>48093.386667047373</v>
      </c>
      <c r="GI44" s="145" cm="1">
        <f t="array" ref="GI44">SUMPRODUCT(--($CR$7:$FW$7&gt;=GI$5),--($CR$7:$FW$7&lt;=GI$6),$CR44:$FW44)*GA44</f>
        <v>71437.569234951632</v>
      </c>
      <c r="GJ44" s="145" cm="1">
        <f t="array" ref="GJ44">SUMPRODUCT(--($CR$7:$FW$7&gt;=GJ$5),--($CR$7:$FW$7&lt;=GJ$6),$CR44:$FW44)*GB44</f>
        <v>65628.344949788661</v>
      </c>
      <c r="GK44" s="145" cm="1">
        <f t="array" ref="GK44">SUMPRODUCT(--($CR$7:$FW$7&gt;=GK$5),--($CR$7:$FW$7&lt;=GK$6),$CR44:$FW44)*GC44</f>
        <v>0</v>
      </c>
      <c r="GL44" s="145" cm="1">
        <f t="array" ref="GL44">SUMPRODUCT(--($CR$7:$FW$7&gt;=GL$5),--($CR$7:$FW$7&lt;=GL$6),$CR44:$FW44)*GD44</f>
        <v>0</v>
      </c>
      <c r="GM44" s="145" cm="1">
        <f t="array" ref="GM44">SUMPRODUCT(--($CR$7:$FW$7&gt;=GM$5),--($CR$7:$FW$7&lt;=GM$6),$CR44:$FW44)*GE44</f>
        <v>0</v>
      </c>
      <c r="GN44" s="145" cm="1">
        <f t="array" ref="GN44">SUMPRODUCT(--($CR$7:$FW$7&gt;=GN$5),--($CR$7:$FW$7&lt;=GN$6),$CR44:$FW44)*GF44</f>
        <v>0</v>
      </c>
      <c r="GO44" s="145">
        <f t="shared" si="18"/>
        <v>185159.30085178767</v>
      </c>
      <c r="GP44" s="87"/>
      <c r="GQ44" s="89"/>
      <c r="GR44" s="145" cm="1">
        <f t="array" ref="GR44">SUMPRODUCT(--($CR$7:$FW$7&gt;=GR$5),--($CR$7:$FW$7&lt;=GR$6),$CR44:$FW44)</f>
        <v>29376.9</v>
      </c>
      <c r="GS44" s="89"/>
      <c r="GT44" s="214" cm="1">
        <f t="array" ref="GT44">--AND(MIN(IF($K44:$CP44&lt;&gt;0,$K$7:$CP$7))&gt;=GT$5,MIN(IF($K44:$CP44&lt;&gt;0,$K$7:$CP$7))&lt;=GT$6)</f>
        <v>0</v>
      </c>
      <c r="GU44" s="214" cm="1">
        <f t="array" ref="GU44">--AND(MIN(IF($K44:$CP44&lt;&gt;0,$K$7:$CP$7))&gt;=GU$5,MIN(IF($K44:$CP44&lt;&gt;0,$K$7:$CP$7))&lt;=GU$6)</f>
        <v>0</v>
      </c>
      <c r="GV44" s="214" cm="1">
        <f t="array" ref="GV44">--AND(MIN(IF($K44:$CP44&lt;&gt;0,$K$7:$CP$7))&gt;=GV$5,MIN(IF($K44:$CP44&lt;&gt;0,$K$7:$CP$7))&lt;=GV$6)</f>
        <v>0</v>
      </c>
      <c r="GW44" s="214" cm="1">
        <f t="array" ref="GW44">--AND(MIN(IF($K44:$CP44&lt;&gt;0,$K$7:$CP$7))&gt;=GW$5,MIN(IF($K44:$CP44&lt;&gt;0,$K$7:$CP$7))&lt;=GW$6)</f>
        <v>0</v>
      </c>
      <c r="GX44" s="214" cm="1">
        <f t="array" ref="GX44">--AND(MIN(IF($K44:$CP44&lt;&gt;0,$K$7:$CP$7))&gt;=GX$5,MIN(IF($K44:$CP44&lt;&gt;0,$K$7:$CP$7))&lt;=GX$6)</f>
        <v>0</v>
      </c>
      <c r="GY44" s="214" cm="1">
        <f t="array" ref="GY44">--AND(MIN(IF($K44:$CP44&lt;&gt;0,$K$7:$CP$7))&gt;=GY$5,MIN(IF($K44:$CP44&lt;&gt;0,$K$7:$CP$7))&lt;=GY$6)</f>
        <v>0</v>
      </c>
      <c r="GZ44" s="214" cm="1">
        <f t="array" ref="GZ44">--AND(MIN(IF($K44:$CP44&lt;&gt;0,$K$7:$CP$7))&gt;=GZ$5,MIN(IF($K44:$CP44&lt;&gt;0,$K$7:$CP$7))&lt;=GZ$6)</f>
        <v>0</v>
      </c>
      <c r="HA44" s="214">
        <f t="shared" si="0"/>
        <v>0</v>
      </c>
      <c r="HC44" s="214" cm="1">
        <f t="array" ref="HC44">--AND(MIN(IF($K44:$CP44&lt;&gt;0,$K$7:$CP$7))&gt;=HC$5,MIN(IF($K44:$CP44&lt;&gt;0,$K$7:$CP$7))&lt;=HC$6)</f>
        <v>0</v>
      </c>
      <c r="HE44" s="147" t="str">
        <f t="shared" si="19"/>
        <v>No</v>
      </c>
      <c r="HF44" s="147" t="str">
        <f t="shared" si="20"/>
        <v>No</v>
      </c>
      <c r="HG44" s="147">
        <f>IF($HF44="Yes",0,$H44*avg_hrs*12*'Key assumptions'!$D$87)</f>
        <v>302932.77020961186</v>
      </c>
      <c r="HH44" s="147">
        <f>IF(HE44="Yes",'Key assumptions'!$D$84*HG44,0)</f>
        <v>0</v>
      </c>
      <c r="HI44" s="144">
        <f>IFERROR(AVERAGEIFS($K44:$CP44,$K$7:$CP$7,"&gt;="&amp;'Key assumptions'!$D$24,$K$7:$CP$7,"&lt;="&amp;'Key assumptions'!$D$25),0)</f>
        <v>0.18670255183413079</v>
      </c>
      <c r="HJ44" s="148">
        <f t="shared" si="22"/>
        <v>0</v>
      </c>
      <c r="HK44" s="148">
        <f t="shared" si="1"/>
        <v>0</v>
      </c>
      <c r="HL44" s="148">
        <f t="shared" si="2"/>
        <v>0</v>
      </c>
      <c r="HM44" s="148">
        <f t="shared" si="3"/>
        <v>0</v>
      </c>
      <c r="HN44" s="148">
        <f t="shared" si="4"/>
        <v>0</v>
      </c>
      <c r="HO44" s="148">
        <f t="shared" si="5"/>
        <v>0</v>
      </c>
      <c r="HP44" s="148">
        <f t="shared" si="6"/>
        <v>0</v>
      </c>
      <c r="HQ44" s="148">
        <f t="shared" si="7"/>
        <v>0</v>
      </c>
      <c r="HR44" s="147">
        <f t="shared" si="8"/>
        <v>0</v>
      </c>
      <c r="HS44" s="89"/>
      <c r="HU44" s="147">
        <f>$HJ44*HC44/(1+'Key assumptions'!G66)^0.75</f>
        <v>0</v>
      </c>
      <c r="HW44" s="216">
        <f t="shared" si="9"/>
        <v>0</v>
      </c>
      <c r="HX44" s="216">
        <f t="shared" si="10"/>
        <v>0</v>
      </c>
      <c r="HY44" s="216">
        <f t="shared" si="11"/>
        <v>0</v>
      </c>
      <c r="HZ44" s="216">
        <f t="shared" si="12"/>
        <v>0</v>
      </c>
      <c r="IA44" s="216">
        <f t="shared" si="13"/>
        <v>0</v>
      </c>
      <c r="IB44" s="216">
        <f t="shared" si="14"/>
        <v>0</v>
      </c>
      <c r="IC44" s="216">
        <f t="shared" si="15"/>
        <v>0</v>
      </c>
      <c r="ID44" s="216">
        <f t="shared" si="16"/>
        <v>0</v>
      </c>
      <c r="IF44" s="216">
        <f t="shared" si="17"/>
        <v>0</v>
      </c>
    </row>
    <row r="45" spans="2:240" x14ac:dyDescent="0.2">
      <c r="B45" s="141" t="str">
        <v>Transaction Procurement Support</v>
      </c>
      <c r="C45" s="141" t="str">
        <v>Supply Specialist (Project Procurement)</v>
      </c>
      <c r="D45" s="141" t="str">
        <v>Internal Labour</v>
      </c>
      <c r="E45" s="141" t="str">
        <v>$ Nominal</v>
      </c>
      <c r="F45" s="141" t="str">
        <v>Existing</v>
      </c>
      <c r="G45" s="141" t="str">
        <v>Normal time</v>
      </c>
      <c r="H45" s="142">
        <v>169.4</v>
      </c>
      <c r="I45" s="126">
        <v>187796.00000000009</v>
      </c>
      <c r="J45" s="143">
        <v>0</v>
      </c>
      <c r="K45" s="144">
        <v>0</v>
      </c>
      <c r="L45" s="144">
        <v>0</v>
      </c>
      <c r="M45" s="144">
        <v>0</v>
      </c>
      <c r="N45" s="144">
        <v>0</v>
      </c>
      <c r="O45" s="144">
        <v>0</v>
      </c>
      <c r="P45" s="144">
        <v>0</v>
      </c>
      <c r="Q45" s="144">
        <v>0</v>
      </c>
      <c r="R45" s="144">
        <v>0</v>
      </c>
      <c r="S45" s="144">
        <v>0</v>
      </c>
      <c r="T45" s="144">
        <v>0</v>
      </c>
      <c r="U45" s="144">
        <v>0</v>
      </c>
      <c r="V45" s="144">
        <v>0</v>
      </c>
      <c r="W45" s="144">
        <v>0</v>
      </c>
      <c r="X45" s="144">
        <v>0.25</v>
      </c>
      <c r="Y45" s="144">
        <v>0.25</v>
      </c>
      <c r="Z45" s="144">
        <v>0.33333333333333331</v>
      </c>
      <c r="AA45" s="144">
        <v>0.23026315789473684</v>
      </c>
      <c r="AB45" s="144">
        <v>0.23026315789473684</v>
      </c>
      <c r="AC45" s="144">
        <v>0.25</v>
      </c>
      <c r="AD45" s="144">
        <v>0.25</v>
      </c>
      <c r="AE45" s="144">
        <v>0.25</v>
      </c>
      <c r="AF45" s="144">
        <v>0.25</v>
      </c>
      <c r="AG45" s="144">
        <v>0.25</v>
      </c>
      <c r="AH45" s="144">
        <v>0.33333333333333331</v>
      </c>
      <c r="AI45" s="144">
        <v>0.33333333333333331</v>
      </c>
      <c r="AJ45" s="144">
        <v>0.25</v>
      </c>
      <c r="AK45" s="144">
        <v>0.25</v>
      </c>
      <c r="AL45" s="144">
        <v>0.33333333333333331</v>
      </c>
      <c r="AM45" s="144">
        <v>0.23026315789473684</v>
      </c>
      <c r="AN45" s="144">
        <v>0.23026315789473684</v>
      </c>
      <c r="AO45" s="144">
        <v>0.25</v>
      </c>
      <c r="AP45" s="144">
        <v>0.25</v>
      </c>
      <c r="AQ45" s="144">
        <v>0.25</v>
      </c>
      <c r="AR45" s="144">
        <v>0.25</v>
      </c>
      <c r="AS45" s="144">
        <v>0.25</v>
      </c>
      <c r="AT45" s="144">
        <v>0.33333333333333331</v>
      </c>
      <c r="AU45" s="144">
        <v>0.33333333333333331</v>
      </c>
      <c r="AV45" s="144">
        <v>0.25</v>
      </c>
      <c r="AW45" s="144">
        <v>0.25</v>
      </c>
      <c r="AX45" s="144">
        <v>0.33333333333333331</v>
      </c>
      <c r="AY45" s="144">
        <v>0.23026315789473684</v>
      </c>
      <c r="AZ45" s="144">
        <v>0.23026315789473684</v>
      </c>
      <c r="BA45" s="144">
        <v>0.25</v>
      </c>
      <c r="BB45" s="144">
        <v>0.25</v>
      </c>
      <c r="BC45" s="144">
        <v>0</v>
      </c>
      <c r="BD45" s="144">
        <v>0</v>
      </c>
      <c r="BE45" s="144">
        <v>0</v>
      </c>
      <c r="BF45" s="144">
        <v>0</v>
      </c>
      <c r="BG45" s="144">
        <v>0</v>
      </c>
      <c r="BH45" s="144">
        <v>0</v>
      </c>
      <c r="BI45" s="144">
        <v>0</v>
      </c>
      <c r="BJ45" s="144">
        <v>0</v>
      </c>
      <c r="BK45" s="144">
        <v>0</v>
      </c>
      <c r="BL45" s="144">
        <v>0</v>
      </c>
      <c r="BM45" s="144">
        <v>0</v>
      </c>
      <c r="BN45" s="144">
        <v>0</v>
      </c>
      <c r="BO45" s="144">
        <v>0</v>
      </c>
      <c r="BP45" s="144">
        <v>0</v>
      </c>
      <c r="BQ45" s="144">
        <v>0</v>
      </c>
      <c r="BR45" s="144">
        <v>0</v>
      </c>
      <c r="BS45" s="144">
        <v>0</v>
      </c>
      <c r="BT45" s="144">
        <v>0</v>
      </c>
      <c r="BU45" s="144">
        <v>0</v>
      </c>
      <c r="BV45" s="144">
        <v>0</v>
      </c>
      <c r="BW45" s="144">
        <v>0</v>
      </c>
      <c r="BX45" s="144">
        <v>0</v>
      </c>
      <c r="BY45" s="144">
        <v>0</v>
      </c>
      <c r="BZ45" s="144">
        <v>0</v>
      </c>
      <c r="CA45" s="144">
        <v>0</v>
      </c>
      <c r="CB45" s="144">
        <v>0</v>
      </c>
      <c r="CC45" s="144">
        <v>0</v>
      </c>
      <c r="CD45" s="144">
        <v>0</v>
      </c>
      <c r="CE45" s="144">
        <v>0</v>
      </c>
      <c r="CF45" s="144">
        <v>0</v>
      </c>
      <c r="CG45" s="144">
        <v>0</v>
      </c>
      <c r="CH45" s="144">
        <v>0</v>
      </c>
      <c r="CI45" s="144">
        <v>0</v>
      </c>
      <c r="CJ45" s="144">
        <v>0</v>
      </c>
      <c r="CK45" s="144">
        <v>0</v>
      </c>
      <c r="CL45" s="144">
        <v>0</v>
      </c>
      <c r="CM45" s="144">
        <v>0</v>
      </c>
      <c r="CN45" s="144">
        <v>0</v>
      </c>
      <c r="CO45" s="144">
        <v>0</v>
      </c>
      <c r="CP45" s="144">
        <v>0</v>
      </c>
      <c r="CQ45" s="143">
        <v>0</v>
      </c>
      <c r="CR45" s="145">
        <v>0</v>
      </c>
      <c r="CS45" s="145">
        <v>0</v>
      </c>
      <c r="CT45" s="145">
        <v>0</v>
      </c>
      <c r="CU45" s="145">
        <v>0</v>
      </c>
      <c r="CV45" s="145">
        <v>0</v>
      </c>
      <c r="CW45" s="145">
        <v>0</v>
      </c>
      <c r="CX45" s="145">
        <v>0</v>
      </c>
      <c r="CY45" s="145">
        <v>0</v>
      </c>
      <c r="CZ45" s="145">
        <v>0</v>
      </c>
      <c r="DA45" s="145">
        <v>0</v>
      </c>
      <c r="DB45" s="145">
        <v>0</v>
      </c>
      <c r="DC45" s="145">
        <v>0</v>
      </c>
      <c r="DD45" s="145">
        <v>0</v>
      </c>
      <c r="DE45" s="145">
        <v>5660.9000000000005</v>
      </c>
      <c r="DF45" s="145">
        <v>5929</v>
      </c>
      <c r="DG45" s="145">
        <v>5929</v>
      </c>
      <c r="DH45" s="145">
        <v>5929</v>
      </c>
      <c r="DI45" s="145">
        <v>5929</v>
      </c>
      <c r="DJ45" s="145">
        <v>5929</v>
      </c>
      <c r="DK45" s="145">
        <v>5929</v>
      </c>
      <c r="DL45" s="145">
        <v>5929</v>
      </c>
      <c r="DM45" s="145">
        <v>5929</v>
      </c>
      <c r="DN45" s="145">
        <v>5929</v>
      </c>
      <c r="DO45" s="145">
        <v>5929</v>
      </c>
      <c r="DP45" s="145">
        <v>5929</v>
      </c>
      <c r="DQ45" s="145">
        <v>5929</v>
      </c>
      <c r="DR45" s="145">
        <v>6104.7</v>
      </c>
      <c r="DS45" s="145">
        <v>6104.7</v>
      </c>
      <c r="DT45" s="145">
        <v>6104.7</v>
      </c>
      <c r="DU45" s="145">
        <v>6104.7</v>
      </c>
      <c r="DV45" s="145">
        <v>6104.7</v>
      </c>
      <c r="DW45" s="145">
        <v>6104.7</v>
      </c>
      <c r="DX45" s="145">
        <v>6104.7</v>
      </c>
      <c r="DY45" s="145">
        <v>6104.7</v>
      </c>
      <c r="DZ45" s="145">
        <v>6104.7</v>
      </c>
      <c r="EA45" s="145">
        <v>6104.7</v>
      </c>
      <c r="EB45" s="145">
        <v>6104.7</v>
      </c>
      <c r="EC45" s="145">
        <v>6104.7</v>
      </c>
      <c r="ED45" s="145">
        <v>6288.45</v>
      </c>
      <c r="EE45" s="145">
        <v>6288.45</v>
      </c>
      <c r="EF45" s="145">
        <v>6288.45</v>
      </c>
      <c r="EG45" s="145">
        <v>6288.45</v>
      </c>
      <c r="EH45" s="145">
        <v>6288.45</v>
      </c>
      <c r="EI45" s="145">
        <v>6288.45</v>
      </c>
      <c r="EJ45" s="145">
        <v>0</v>
      </c>
      <c r="EK45" s="145">
        <v>0</v>
      </c>
      <c r="EL45" s="145">
        <v>0</v>
      </c>
      <c r="EM45" s="145">
        <v>0</v>
      </c>
      <c r="EN45" s="145">
        <v>0</v>
      </c>
      <c r="EO45" s="145">
        <v>0</v>
      </c>
      <c r="EP45" s="145">
        <v>0</v>
      </c>
      <c r="EQ45" s="145">
        <v>0</v>
      </c>
      <c r="ER45" s="145">
        <v>0</v>
      </c>
      <c r="ES45" s="145">
        <v>0</v>
      </c>
      <c r="ET45" s="145">
        <v>0</v>
      </c>
      <c r="EU45" s="145">
        <v>0</v>
      </c>
      <c r="EV45" s="145">
        <v>0</v>
      </c>
      <c r="EW45" s="145">
        <v>0</v>
      </c>
      <c r="EX45" s="145">
        <v>0</v>
      </c>
      <c r="EY45" s="145">
        <v>0</v>
      </c>
      <c r="EZ45" s="145">
        <v>0</v>
      </c>
      <c r="FA45" s="145">
        <v>0</v>
      </c>
      <c r="FB45" s="145">
        <v>0</v>
      </c>
      <c r="FC45" s="145">
        <v>0</v>
      </c>
      <c r="FD45" s="145">
        <v>0</v>
      </c>
      <c r="FE45" s="145">
        <v>0</v>
      </c>
      <c r="FF45" s="145">
        <v>0</v>
      </c>
      <c r="FG45" s="145">
        <v>0</v>
      </c>
      <c r="FH45" s="145">
        <v>0</v>
      </c>
      <c r="FI45" s="145">
        <v>0</v>
      </c>
      <c r="FJ45" s="145">
        <v>0</v>
      </c>
      <c r="FK45" s="145">
        <v>0</v>
      </c>
      <c r="FL45" s="145">
        <v>0</v>
      </c>
      <c r="FM45" s="145">
        <v>0</v>
      </c>
      <c r="FN45" s="145">
        <v>0</v>
      </c>
      <c r="FO45" s="145">
        <v>0</v>
      </c>
      <c r="FP45" s="145">
        <v>0</v>
      </c>
      <c r="FQ45" s="145">
        <v>0</v>
      </c>
      <c r="FR45" s="145">
        <v>0</v>
      </c>
      <c r="FS45" s="145">
        <v>0</v>
      </c>
      <c r="FT45" s="145">
        <v>0</v>
      </c>
      <c r="FU45" s="145">
        <v>0</v>
      </c>
      <c r="FV45" s="145">
        <v>0</v>
      </c>
      <c r="FW45" s="145">
        <v>0</v>
      </c>
      <c r="FX45" s="143"/>
      <c r="FY45" s="146" t="str">
        <f>_xlfn.XLOOKUP($E45,'Key assumptions'!$B$112:$B$120,'Key assumptions'!$C$112:$C$120,0)</f>
        <v>Nominal</v>
      </c>
      <c r="FZ45" s="146" cm="1">
        <f t="array" ref="FZ45">IF($FY45=0,0,_xlfn.IFS($FY45='Key assumptions'!$C$120,_xlfn.XLOOKUP(LEFT(FZ$7,6),Inflation_Year,Inflation_NominaltoReal),TRUE,_xlfn.XLOOKUP($FY45,Inflation_Year,NominaltoReal)))</f>
        <v>1.0197075870962191</v>
      </c>
      <c r="GA45" s="146" cm="1">
        <f t="array" ref="GA45">IF($FY45=0,0,_xlfn.IFS($FY45='Key assumptions'!$C$120,_xlfn.XLOOKUP(LEFT(GA$7,6),Inflation_Year,Inflation_NominaltoReal),TRUE,_xlfn.XLOOKUP($FY45,Inflation_Year,NominaltoReal)))</f>
        <v>0.98700804022984445</v>
      </c>
      <c r="GB45" s="146" cm="1">
        <f t="array" ref="GB45">IF($FY45=0,0,_xlfn.IFS($FY45='Key assumptions'!$C$120,_xlfn.XLOOKUP(LEFT(GB$7,6),Inflation_Year,Inflation_NominaltoReal),TRUE,_xlfn.XLOOKUP($FY45,Inflation_Year,NominaltoReal)))</f>
        <v>0.96152830081941731</v>
      </c>
      <c r="GC45" s="146" cm="1">
        <f t="array" ref="GC45">IF($FY45=0,0,_xlfn.IFS($FY45='Key assumptions'!$C$120,_xlfn.XLOOKUP(LEFT(GC$7,6),Inflation_Year,Inflation_NominaltoReal),TRUE,_xlfn.XLOOKUP($FY45,Inflation_Year,NominaltoReal)))</f>
        <v>0.93670632415656829</v>
      </c>
      <c r="GD45" s="146" cm="1">
        <f t="array" ref="GD45">IF($FY45=0,0,_xlfn.IFS($FY45='Key assumptions'!$C$120,_xlfn.XLOOKUP(LEFT(GD$7,6),Inflation_Year,Inflation_NominaltoReal),TRUE,_xlfn.XLOOKUP($FY45,Inflation_Year,NominaltoReal)))</f>
        <v>0.91252513001143176</v>
      </c>
      <c r="GE45" s="146" cm="1">
        <f t="array" ref="GE45">IF($FY45=0,0,_xlfn.IFS($FY45='Key assumptions'!$C$120,_xlfn.XLOOKUP(LEFT(GE$7,6),Inflation_Year,Inflation_NominaltoReal),TRUE,_xlfn.XLOOKUP($FY45,Inflation_Year,NominaltoReal)))</f>
        <v>0.88896817650095872</v>
      </c>
      <c r="GF45" s="146" cm="1">
        <f t="array" ref="GF45">IF($FY45=0,0,_xlfn.IFS($FY45='Key assumptions'!$C$120,_xlfn.XLOOKUP(LEFT(GF$7,6),Inflation_Year,Inflation_NominaltoReal),TRUE,_xlfn.XLOOKUP($FY45,Inflation_Year,NominaltoReal)))</f>
        <v>0.86601934877293718</v>
      </c>
      <c r="GG45" s="143"/>
      <c r="GH45" s="145" cm="1">
        <f t="array" ref="GH45">SUMPRODUCT(--($CR$7:$FW$7&gt;=GH$5),--($CR$7:$FW$7&lt;=GH$6),$CR45:$FW45)*FZ45</f>
        <v>48093.386667047373</v>
      </c>
      <c r="GI45" s="145" cm="1">
        <f t="array" ref="GI45">SUMPRODUCT(--($CR$7:$FW$7&gt;=GI$5),--($CR$7:$FW$7&lt;=GI$6),$CR45:$FW45)*GA45</f>
        <v>71437.569234951632</v>
      </c>
      <c r="GJ45" s="145" cm="1">
        <f t="array" ref="GJ45">SUMPRODUCT(--($CR$7:$FW$7&gt;=GJ$5),--($CR$7:$FW$7&lt;=GJ$6),$CR45:$FW45)*GB45</f>
        <v>65628.344949788661</v>
      </c>
      <c r="GK45" s="145" cm="1">
        <f t="array" ref="GK45">SUMPRODUCT(--($CR$7:$FW$7&gt;=GK$5),--($CR$7:$FW$7&lt;=GK$6),$CR45:$FW45)*GC45</f>
        <v>0</v>
      </c>
      <c r="GL45" s="145" cm="1">
        <f t="array" ref="GL45">SUMPRODUCT(--($CR$7:$FW$7&gt;=GL$5),--($CR$7:$FW$7&lt;=GL$6),$CR45:$FW45)*GD45</f>
        <v>0</v>
      </c>
      <c r="GM45" s="145" cm="1">
        <f t="array" ref="GM45">SUMPRODUCT(--($CR$7:$FW$7&gt;=GM$5),--($CR$7:$FW$7&lt;=GM$6),$CR45:$FW45)*GE45</f>
        <v>0</v>
      </c>
      <c r="GN45" s="145" cm="1">
        <f t="array" ref="GN45">SUMPRODUCT(--($CR$7:$FW$7&gt;=GN$5),--($CR$7:$FW$7&lt;=GN$6),$CR45:$FW45)*GF45</f>
        <v>0</v>
      </c>
      <c r="GO45" s="145">
        <f t="shared" si="18"/>
        <v>185159.30085178767</v>
      </c>
      <c r="GP45" s="87"/>
      <c r="GQ45" s="89"/>
      <c r="GR45" s="145" cm="1">
        <f t="array" ref="GR45">SUMPRODUCT(--($CR$7:$FW$7&gt;=GR$5),--($CR$7:$FW$7&lt;=GR$6),$CR45:$FW45)</f>
        <v>29376.9</v>
      </c>
      <c r="GS45" s="89"/>
      <c r="GT45" s="214" cm="1">
        <f t="array" ref="GT45">--AND(MIN(IF($K45:$CP45&lt;&gt;0,$K$7:$CP$7))&gt;=GT$5,MIN(IF($K45:$CP45&lt;&gt;0,$K$7:$CP$7))&lt;=GT$6)</f>
        <v>1</v>
      </c>
      <c r="GU45" s="214" cm="1">
        <f t="array" ref="GU45">--AND(MIN(IF($K45:$CP45&lt;&gt;0,$K$7:$CP$7))&gt;=GU$5,MIN(IF($K45:$CP45&lt;&gt;0,$K$7:$CP$7))&lt;=GU$6)</f>
        <v>0</v>
      </c>
      <c r="GV45" s="214" cm="1">
        <f t="array" ref="GV45">--AND(MIN(IF($K45:$CP45&lt;&gt;0,$K$7:$CP$7))&gt;=GV$5,MIN(IF($K45:$CP45&lt;&gt;0,$K$7:$CP$7))&lt;=GV$6)</f>
        <v>0</v>
      </c>
      <c r="GW45" s="214" cm="1">
        <f t="array" ref="GW45">--AND(MIN(IF($K45:$CP45&lt;&gt;0,$K$7:$CP$7))&gt;=GW$5,MIN(IF($K45:$CP45&lt;&gt;0,$K$7:$CP$7))&lt;=GW$6)</f>
        <v>0</v>
      </c>
      <c r="GX45" s="214" cm="1">
        <f t="array" ref="GX45">--AND(MIN(IF($K45:$CP45&lt;&gt;0,$K$7:$CP$7))&gt;=GX$5,MIN(IF($K45:$CP45&lt;&gt;0,$K$7:$CP$7))&lt;=GX$6)</f>
        <v>0</v>
      </c>
      <c r="GY45" s="214" cm="1">
        <f t="array" ref="GY45">--AND(MIN(IF($K45:$CP45&lt;&gt;0,$K$7:$CP$7))&gt;=GY$5,MIN(IF($K45:$CP45&lt;&gt;0,$K$7:$CP$7))&lt;=GY$6)</f>
        <v>0</v>
      </c>
      <c r="GZ45" s="214" cm="1">
        <f t="array" ref="GZ45">--AND(MIN(IF($K45:$CP45&lt;&gt;0,$K$7:$CP$7))&gt;=GZ$5,MIN(IF($K45:$CP45&lt;&gt;0,$K$7:$CP$7))&lt;=GZ$6)</f>
        <v>0</v>
      </c>
      <c r="HA45" s="214">
        <f t="shared" si="0"/>
        <v>1</v>
      </c>
      <c r="HC45" s="214" cm="1">
        <f t="array" ref="HC45">--AND(MIN(IF($K45:$CP45&lt;&gt;0,$K$7:$CP$7))&gt;=HC$5,MIN(IF($K45:$CP45&lt;&gt;0,$K$7:$CP$7))&lt;=HC$6)</f>
        <v>1</v>
      </c>
      <c r="HE45" s="147" t="str">
        <f t="shared" si="19"/>
        <v>No</v>
      </c>
      <c r="HF45" s="147" t="str">
        <f t="shared" si="20"/>
        <v>No</v>
      </c>
      <c r="HG45" s="147">
        <f>IF($HF45="Yes",0,$H45*avg_hrs*12*'Key assumptions'!$D$87)</f>
        <v>302932.77020961186</v>
      </c>
      <c r="HH45" s="147">
        <f>IF(HE45="Yes",'Key assumptions'!$D$84*HG45,0)</f>
        <v>0</v>
      </c>
      <c r="HI45" s="144">
        <f>IFERROR(AVERAGEIFS($K45:$CP45,$K$7:$CP$7,"&gt;="&amp;'Key assumptions'!$D$24,$K$7:$CP$7,"&lt;="&amp;'Key assumptions'!$D$25),0)</f>
        <v>0.18670255183413079</v>
      </c>
      <c r="HJ45" s="148">
        <f t="shared" si="22"/>
        <v>0</v>
      </c>
      <c r="HK45" s="148">
        <f t="shared" si="1"/>
        <v>0</v>
      </c>
      <c r="HL45" s="148">
        <f t="shared" si="2"/>
        <v>0</v>
      </c>
      <c r="HM45" s="148">
        <f t="shared" si="3"/>
        <v>0</v>
      </c>
      <c r="HN45" s="148">
        <f t="shared" si="4"/>
        <v>0</v>
      </c>
      <c r="HO45" s="148">
        <f t="shared" si="5"/>
        <v>0</v>
      </c>
      <c r="HP45" s="148">
        <f t="shared" si="6"/>
        <v>0</v>
      </c>
      <c r="HQ45" s="148">
        <f t="shared" si="7"/>
        <v>0</v>
      </c>
      <c r="HR45" s="147">
        <f t="shared" si="8"/>
        <v>0</v>
      </c>
      <c r="HS45" s="90"/>
      <c r="HU45" s="147">
        <f>$HJ45*HC45/(1+'Key assumptions'!G67)^0.75</f>
        <v>0</v>
      </c>
      <c r="HW45" s="216">
        <f t="shared" si="9"/>
        <v>0.18670255183413079</v>
      </c>
      <c r="HX45" s="216">
        <f t="shared" si="10"/>
        <v>0</v>
      </c>
      <c r="HY45" s="216">
        <f t="shared" si="11"/>
        <v>0</v>
      </c>
      <c r="HZ45" s="216">
        <f t="shared" si="12"/>
        <v>0</v>
      </c>
      <c r="IA45" s="216">
        <f t="shared" si="13"/>
        <v>0</v>
      </c>
      <c r="IB45" s="216">
        <f t="shared" si="14"/>
        <v>0</v>
      </c>
      <c r="IC45" s="216">
        <f t="shared" si="15"/>
        <v>0</v>
      </c>
      <c r="ID45" s="216">
        <f t="shared" si="16"/>
        <v>0.18670255183413079</v>
      </c>
      <c r="IF45" s="216">
        <f t="shared" si="17"/>
        <v>0.18670255183413079</v>
      </c>
    </row>
    <row r="46" spans="2:240" x14ac:dyDescent="0.2">
      <c r="B46" s="141" t="str">
        <v>Transaction Procurement Support</v>
      </c>
      <c r="C46" s="141" t="str">
        <v>Group Manager (Regulatory &amp; Policy)</v>
      </c>
      <c r="D46" s="141" t="str">
        <v>Internal Labour</v>
      </c>
      <c r="E46" s="141" t="str">
        <v>$ Nominal</v>
      </c>
      <c r="F46" s="141" t="str">
        <v>Existing</v>
      </c>
      <c r="G46" s="141" t="str">
        <v>Normal time</v>
      </c>
      <c r="H46" s="142">
        <v>513.16999999999996</v>
      </c>
      <c r="I46" s="126">
        <v>36307.599999999999</v>
      </c>
      <c r="J46" s="143">
        <v>0</v>
      </c>
      <c r="K46" s="144">
        <v>0</v>
      </c>
      <c r="L46" s="144">
        <v>0</v>
      </c>
      <c r="M46" s="144">
        <v>0</v>
      </c>
      <c r="N46" s="144">
        <v>0</v>
      </c>
      <c r="O46" s="144">
        <v>0</v>
      </c>
      <c r="P46" s="144">
        <v>0</v>
      </c>
      <c r="Q46" s="144">
        <v>0.2</v>
      </c>
      <c r="R46" s="144">
        <v>0.1</v>
      </c>
      <c r="S46" s="144">
        <v>0.05</v>
      </c>
      <c r="T46" s="144">
        <v>0.15</v>
      </c>
      <c r="U46" s="144">
        <v>0</v>
      </c>
      <c r="V46" s="144">
        <v>0</v>
      </c>
      <c r="W46" s="144">
        <v>0</v>
      </c>
      <c r="X46" s="144">
        <v>0.1</v>
      </c>
      <c r="Y46" s="144">
        <v>0</v>
      </c>
      <c r="Z46" s="144">
        <v>0</v>
      </c>
      <c r="AA46" s="144">
        <v>0</v>
      </c>
      <c r="AB46" s="144">
        <v>0</v>
      </c>
      <c r="AC46" s="144">
        <v>0</v>
      </c>
      <c r="AD46" s="144">
        <v>0</v>
      </c>
      <c r="AE46" s="144">
        <v>0</v>
      </c>
      <c r="AF46" s="144">
        <v>0</v>
      </c>
      <c r="AG46" s="144">
        <v>0</v>
      </c>
      <c r="AH46" s="144">
        <v>0</v>
      </c>
      <c r="AI46" s="144">
        <v>0</v>
      </c>
      <c r="AJ46" s="144">
        <v>0</v>
      </c>
      <c r="AK46" s="144">
        <v>0</v>
      </c>
      <c r="AL46" s="144">
        <v>0</v>
      </c>
      <c r="AM46" s="144">
        <v>0</v>
      </c>
      <c r="AN46" s="144">
        <v>0</v>
      </c>
      <c r="AO46" s="144">
        <v>0</v>
      </c>
      <c r="AP46" s="144">
        <v>0</v>
      </c>
      <c r="AQ46" s="144">
        <v>0</v>
      </c>
      <c r="AR46" s="144">
        <v>0</v>
      </c>
      <c r="AS46" s="144">
        <v>0</v>
      </c>
      <c r="AT46" s="144">
        <v>0</v>
      </c>
      <c r="AU46" s="144">
        <v>0</v>
      </c>
      <c r="AV46" s="144">
        <v>0</v>
      </c>
      <c r="AW46" s="144">
        <v>0</v>
      </c>
      <c r="AX46" s="144">
        <v>0</v>
      </c>
      <c r="AY46" s="144">
        <v>0</v>
      </c>
      <c r="AZ46" s="144">
        <v>0</v>
      </c>
      <c r="BA46" s="144">
        <v>0</v>
      </c>
      <c r="BB46" s="144">
        <v>0</v>
      </c>
      <c r="BC46" s="144">
        <v>0</v>
      </c>
      <c r="BD46" s="144">
        <v>0</v>
      </c>
      <c r="BE46" s="144">
        <v>0</v>
      </c>
      <c r="BF46" s="144">
        <v>0</v>
      </c>
      <c r="BG46" s="144">
        <v>0</v>
      </c>
      <c r="BH46" s="144">
        <v>0</v>
      </c>
      <c r="BI46" s="144">
        <v>0</v>
      </c>
      <c r="BJ46" s="144">
        <v>0</v>
      </c>
      <c r="BK46" s="144">
        <v>0</v>
      </c>
      <c r="BL46" s="144">
        <v>0</v>
      </c>
      <c r="BM46" s="144">
        <v>0</v>
      </c>
      <c r="BN46" s="144">
        <v>0</v>
      </c>
      <c r="BO46" s="144">
        <v>0</v>
      </c>
      <c r="BP46" s="144">
        <v>0</v>
      </c>
      <c r="BQ46" s="144">
        <v>0</v>
      </c>
      <c r="BR46" s="144">
        <v>0</v>
      </c>
      <c r="BS46" s="144">
        <v>0</v>
      </c>
      <c r="BT46" s="144">
        <v>0</v>
      </c>
      <c r="BU46" s="144">
        <v>0</v>
      </c>
      <c r="BV46" s="144">
        <v>0</v>
      </c>
      <c r="BW46" s="144">
        <v>0</v>
      </c>
      <c r="BX46" s="144">
        <v>0</v>
      </c>
      <c r="BY46" s="144">
        <v>0</v>
      </c>
      <c r="BZ46" s="144">
        <v>0</v>
      </c>
      <c r="CA46" s="144">
        <v>0</v>
      </c>
      <c r="CB46" s="144">
        <v>0</v>
      </c>
      <c r="CC46" s="144">
        <v>0</v>
      </c>
      <c r="CD46" s="144">
        <v>0</v>
      </c>
      <c r="CE46" s="144">
        <v>0</v>
      </c>
      <c r="CF46" s="144">
        <v>0</v>
      </c>
      <c r="CG46" s="144">
        <v>0</v>
      </c>
      <c r="CH46" s="144">
        <v>0</v>
      </c>
      <c r="CI46" s="144">
        <v>0</v>
      </c>
      <c r="CJ46" s="144">
        <v>0</v>
      </c>
      <c r="CK46" s="144">
        <v>0</v>
      </c>
      <c r="CL46" s="144">
        <v>0</v>
      </c>
      <c r="CM46" s="144">
        <v>0</v>
      </c>
      <c r="CN46" s="144">
        <v>0</v>
      </c>
      <c r="CO46" s="144">
        <v>0</v>
      </c>
      <c r="CP46" s="144">
        <v>0</v>
      </c>
      <c r="CQ46" s="143">
        <v>0</v>
      </c>
      <c r="CR46" s="145">
        <v>0</v>
      </c>
      <c r="CS46" s="145">
        <v>0</v>
      </c>
      <c r="CT46" s="145">
        <v>0</v>
      </c>
      <c r="CU46" s="145">
        <v>0</v>
      </c>
      <c r="CV46" s="145">
        <v>0</v>
      </c>
      <c r="CW46" s="145">
        <v>0</v>
      </c>
      <c r="CX46" s="145">
        <v>13949.039999999997</v>
      </c>
      <c r="CY46" s="145">
        <v>6974.5199999999995</v>
      </c>
      <c r="CZ46" s="145">
        <v>2102.38</v>
      </c>
      <c r="DA46" s="145">
        <v>6307.14</v>
      </c>
      <c r="DB46" s="145">
        <v>0</v>
      </c>
      <c r="DC46" s="145">
        <v>0</v>
      </c>
      <c r="DD46" s="145">
        <v>0</v>
      </c>
      <c r="DE46" s="145">
        <v>6974.52</v>
      </c>
      <c r="DF46" s="145">
        <v>0</v>
      </c>
      <c r="DG46" s="145">
        <v>0</v>
      </c>
      <c r="DH46" s="145">
        <v>0</v>
      </c>
      <c r="DI46" s="145">
        <v>0</v>
      </c>
      <c r="DJ46" s="145">
        <v>0</v>
      </c>
      <c r="DK46" s="145">
        <v>0</v>
      </c>
      <c r="DL46" s="145">
        <v>0</v>
      </c>
      <c r="DM46" s="145">
        <v>0</v>
      </c>
      <c r="DN46" s="145">
        <v>0</v>
      </c>
      <c r="DO46" s="145">
        <v>0</v>
      </c>
      <c r="DP46" s="145">
        <v>0</v>
      </c>
      <c r="DQ46" s="145">
        <v>0</v>
      </c>
      <c r="DR46" s="145">
        <v>0</v>
      </c>
      <c r="DS46" s="145">
        <v>0</v>
      </c>
      <c r="DT46" s="145">
        <v>0</v>
      </c>
      <c r="DU46" s="145">
        <v>0</v>
      </c>
      <c r="DV46" s="145">
        <v>0</v>
      </c>
      <c r="DW46" s="145">
        <v>0</v>
      </c>
      <c r="DX46" s="145">
        <v>0</v>
      </c>
      <c r="DY46" s="145">
        <v>0</v>
      </c>
      <c r="DZ46" s="145">
        <v>0</v>
      </c>
      <c r="EA46" s="145">
        <v>0</v>
      </c>
      <c r="EB46" s="145">
        <v>0</v>
      </c>
      <c r="EC46" s="145">
        <v>0</v>
      </c>
      <c r="ED46" s="145">
        <v>0</v>
      </c>
      <c r="EE46" s="145">
        <v>0</v>
      </c>
      <c r="EF46" s="145">
        <v>0</v>
      </c>
      <c r="EG46" s="145">
        <v>0</v>
      </c>
      <c r="EH46" s="145">
        <v>0</v>
      </c>
      <c r="EI46" s="145">
        <v>0</v>
      </c>
      <c r="EJ46" s="145">
        <v>0</v>
      </c>
      <c r="EK46" s="145">
        <v>0</v>
      </c>
      <c r="EL46" s="145">
        <v>0</v>
      </c>
      <c r="EM46" s="145">
        <v>0</v>
      </c>
      <c r="EN46" s="145">
        <v>0</v>
      </c>
      <c r="EO46" s="145">
        <v>0</v>
      </c>
      <c r="EP46" s="145">
        <v>0</v>
      </c>
      <c r="EQ46" s="145">
        <v>0</v>
      </c>
      <c r="ER46" s="145">
        <v>0</v>
      </c>
      <c r="ES46" s="145">
        <v>0</v>
      </c>
      <c r="ET46" s="145">
        <v>0</v>
      </c>
      <c r="EU46" s="145">
        <v>0</v>
      </c>
      <c r="EV46" s="145">
        <v>0</v>
      </c>
      <c r="EW46" s="145">
        <v>0</v>
      </c>
      <c r="EX46" s="145">
        <v>0</v>
      </c>
      <c r="EY46" s="145">
        <v>0</v>
      </c>
      <c r="EZ46" s="145">
        <v>0</v>
      </c>
      <c r="FA46" s="145">
        <v>0</v>
      </c>
      <c r="FB46" s="145">
        <v>0</v>
      </c>
      <c r="FC46" s="145">
        <v>0</v>
      </c>
      <c r="FD46" s="145">
        <v>0</v>
      </c>
      <c r="FE46" s="145">
        <v>0</v>
      </c>
      <c r="FF46" s="145">
        <v>0</v>
      </c>
      <c r="FG46" s="145">
        <v>0</v>
      </c>
      <c r="FH46" s="145">
        <v>0</v>
      </c>
      <c r="FI46" s="145">
        <v>0</v>
      </c>
      <c r="FJ46" s="145">
        <v>0</v>
      </c>
      <c r="FK46" s="145">
        <v>0</v>
      </c>
      <c r="FL46" s="145">
        <v>0</v>
      </c>
      <c r="FM46" s="145">
        <v>0</v>
      </c>
      <c r="FN46" s="145">
        <v>0</v>
      </c>
      <c r="FO46" s="145">
        <v>0</v>
      </c>
      <c r="FP46" s="145">
        <v>0</v>
      </c>
      <c r="FQ46" s="145">
        <v>0</v>
      </c>
      <c r="FR46" s="145">
        <v>0</v>
      </c>
      <c r="FS46" s="145">
        <v>0</v>
      </c>
      <c r="FT46" s="145">
        <v>0</v>
      </c>
      <c r="FU46" s="145">
        <v>0</v>
      </c>
      <c r="FV46" s="145">
        <v>0</v>
      </c>
      <c r="FW46" s="145">
        <v>0</v>
      </c>
      <c r="FX46" s="143"/>
      <c r="FY46" s="146" t="str">
        <f>_xlfn.XLOOKUP($E46,'Key assumptions'!$B$112:$B$120,'Key assumptions'!$C$112:$C$120,0)</f>
        <v>Nominal</v>
      </c>
      <c r="FZ46" s="146" cm="1">
        <f t="array" ref="FZ46">IF($FY46=0,0,_xlfn.IFS($FY46='Key assumptions'!$C$120,_xlfn.XLOOKUP(LEFT(FZ$7,6),Inflation_Year,Inflation_NominaltoReal),TRUE,_xlfn.XLOOKUP($FY46,Inflation_Year,NominaltoReal)))</f>
        <v>1.0197075870962191</v>
      </c>
      <c r="GA46" s="146" cm="1">
        <f t="array" ref="GA46">IF($FY46=0,0,_xlfn.IFS($FY46='Key assumptions'!$C$120,_xlfn.XLOOKUP(LEFT(GA$7,6),Inflation_Year,Inflation_NominaltoReal),TRUE,_xlfn.XLOOKUP($FY46,Inflation_Year,NominaltoReal)))</f>
        <v>0.98700804022984445</v>
      </c>
      <c r="GB46" s="146" cm="1">
        <f t="array" ref="GB46">IF($FY46=0,0,_xlfn.IFS($FY46='Key assumptions'!$C$120,_xlfn.XLOOKUP(LEFT(GB$7,6),Inflation_Year,Inflation_NominaltoReal),TRUE,_xlfn.XLOOKUP($FY46,Inflation_Year,NominaltoReal)))</f>
        <v>0.96152830081941731</v>
      </c>
      <c r="GC46" s="146" cm="1">
        <f t="array" ref="GC46">IF($FY46=0,0,_xlfn.IFS($FY46='Key assumptions'!$C$120,_xlfn.XLOOKUP(LEFT(GC$7,6),Inflation_Year,Inflation_NominaltoReal),TRUE,_xlfn.XLOOKUP($FY46,Inflation_Year,NominaltoReal)))</f>
        <v>0.93670632415656829</v>
      </c>
      <c r="GD46" s="146" cm="1">
        <f t="array" ref="GD46">IF($FY46=0,0,_xlfn.IFS($FY46='Key assumptions'!$C$120,_xlfn.XLOOKUP(LEFT(GD$7,6),Inflation_Year,Inflation_NominaltoReal),TRUE,_xlfn.XLOOKUP($FY46,Inflation_Year,NominaltoReal)))</f>
        <v>0.91252513001143176</v>
      </c>
      <c r="GE46" s="146" cm="1">
        <f t="array" ref="GE46">IF($FY46=0,0,_xlfn.IFS($FY46='Key assumptions'!$C$120,_xlfn.XLOOKUP(LEFT(GE$7,6),Inflation_Year,Inflation_NominaltoReal),TRUE,_xlfn.XLOOKUP($FY46,Inflation_Year,NominaltoReal)))</f>
        <v>0.88896817650095872</v>
      </c>
      <c r="GF46" s="146" cm="1">
        <f t="array" ref="GF46">IF($FY46=0,0,_xlfn.IFS($FY46='Key assumptions'!$C$120,_xlfn.XLOOKUP(LEFT(GF$7,6),Inflation_Year,Inflation_NominaltoReal),TRUE,_xlfn.XLOOKUP($FY46,Inflation_Year,NominaltoReal)))</f>
        <v>0.86601934877293718</v>
      </c>
      <c r="GG46" s="143"/>
      <c r="GH46" s="145" cm="1">
        <f t="array" ref="GH46">SUMPRODUCT(--($CR$7:$FW$7&gt;=GH$5),--($CR$7:$FW$7&lt;=GH$6),$CR46:$FW46)*FZ46</f>
        <v>7111.9709603543224</v>
      </c>
      <c r="GI46" s="145" cm="1">
        <f t="array" ref="GI46">SUMPRODUCT(--($CR$7:$FW$7&gt;=GI$5),--($CR$7:$FW$7&lt;=GI$6),$CR46:$FW46)*GA46</f>
        <v>0</v>
      </c>
      <c r="GJ46" s="145" cm="1">
        <f t="array" ref="GJ46">SUMPRODUCT(--($CR$7:$FW$7&gt;=GJ$5),--($CR$7:$FW$7&lt;=GJ$6),$CR46:$FW46)*GB46</f>
        <v>0</v>
      </c>
      <c r="GK46" s="145" cm="1">
        <f t="array" ref="GK46">SUMPRODUCT(--($CR$7:$FW$7&gt;=GK$5),--($CR$7:$FW$7&lt;=GK$6),$CR46:$FW46)*GC46</f>
        <v>0</v>
      </c>
      <c r="GL46" s="145" cm="1">
        <f t="array" ref="GL46">SUMPRODUCT(--($CR$7:$FW$7&gt;=GL$5),--($CR$7:$FW$7&lt;=GL$6),$CR46:$FW46)*GD46</f>
        <v>0</v>
      </c>
      <c r="GM46" s="145" cm="1">
        <f t="array" ref="GM46">SUMPRODUCT(--($CR$7:$FW$7&gt;=GM$5),--($CR$7:$FW$7&lt;=GM$6),$CR46:$FW46)*GE46</f>
        <v>0</v>
      </c>
      <c r="GN46" s="145" cm="1">
        <f t="array" ref="GN46">SUMPRODUCT(--($CR$7:$FW$7&gt;=GN$5),--($CR$7:$FW$7&lt;=GN$6),$CR46:$FW46)*GF46</f>
        <v>0</v>
      </c>
      <c r="GO46" s="145">
        <f t="shared" si="18"/>
        <v>7111.9709603543224</v>
      </c>
      <c r="GP46" s="87"/>
      <c r="GQ46" s="89"/>
      <c r="GR46" s="145" cm="1">
        <f t="array" ref="GR46">SUMPRODUCT(--($CR$7:$FW$7&gt;=GR$5),--($CR$7:$FW$7&lt;=GR$6),$CR46:$FW46)</f>
        <v>6974.52</v>
      </c>
      <c r="GS46" s="89"/>
      <c r="GT46" s="214" cm="1">
        <f t="array" ref="GT46">--AND(MIN(IF($K46:$CP46&lt;&gt;0,$K$7:$CP$7))&gt;=GT$5,MIN(IF($K46:$CP46&lt;&gt;0,$K$7:$CP$7))&lt;=GT$6)</f>
        <v>0</v>
      </c>
      <c r="GU46" s="214" cm="1">
        <f t="array" ref="GU46">--AND(MIN(IF($K46:$CP46&lt;&gt;0,$K$7:$CP$7))&gt;=GU$5,MIN(IF($K46:$CP46&lt;&gt;0,$K$7:$CP$7))&lt;=GU$6)</f>
        <v>0</v>
      </c>
      <c r="GV46" s="214" cm="1">
        <f t="array" ref="GV46">--AND(MIN(IF($K46:$CP46&lt;&gt;0,$K$7:$CP$7))&gt;=GV$5,MIN(IF($K46:$CP46&lt;&gt;0,$K$7:$CP$7))&lt;=GV$6)</f>
        <v>0</v>
      </c>
      <c r="GW46" s="214" cm="1">
        <f t="array" ref="GW46">--AND(MIN(IF($K46:$CP46&lt;&gt;0,$K$7:$CP$7))&gt;=GW$5,MIN(IF($K46:$CP46&lt;&gt;0,$K$7:$CP$7))&lt;=GW$6)</f>
        <v>0</v>
      </c>
      <c r="GX46" s="214" cm="1">
        <f t="array" ref="GX46">--AND(MIN(IF($K46:$CP46&lt;&gt;0,$K$7:$CP$7))&gt;=GX$5,MIN(IF($K46:$CP46&lt;&gt;0,$K$7:$CP$7))&lt;=GX$6)</f>
        <v>0</v>
      </c>
      <c r="GY46" s="214" cm="1">
        <f t="array" ref="GY46">--AND(MIN(IF($K46:$CP46&lt;&gt;0,$K$7:$CP$7))&gt;=GY$5,MIN(IF($K46:$CP46&lt;&gt;0,$K$7:$CP$7))&lt;=GY$6)</f>
        <v>0</v>
      </c>
      <c r="GZ46" s="214" cm="1">
        <f t="array" ref="GZ46">--AND(MIN(IF($K46:$CP46&lt;&gt;0,$K$7:$CP$7))&gt;=GZ$5,MIN(IF($K46:$CP46&lt;&gt;0,$K$7:$CP$7))&lt;=GZ$6)</f>
        <v>0</v>
      </c>
      <c r="HA46" s="214">
        <f t="shared" si="0"/>
        <v>0</v>
      </c>
      <c r="HC46" s="214" cm="1">
        <f t="array" ref="HC46">--AND(MIN(IF($K46:$CP46&lt;&gt;0,$K$7:$CP$7))&gt;=HC$5,MIN(IF($K46:$CP46&lt;&gt;0,$K$7:$CP$7))&lt;=HC$6)</f>
        <v>0</v>
      </c>
      <c r="HE46" s="147" t="str">
        <f t="shared" si="19"/>
        <v>No</v>
      </c>
      <c r="HF46" s="147" t="str">
        <f t="shared" si="20"/>
        <v>No</v>
      </c>
      <c r="HG46" s="147">
        <f>IF($HF46="Yes",0,$H46*avg_hrs*12*'Key assumptions'!$D$87)</f>
        <v>917686.00760605978</v>
      </c>
      <c r="HH46" s="147">
        <f>IF(HE46="Yes",'Key assumptions'!$D$84*HG46,0)</f>
        <v>0</v>
      </c>
      <c r="HI46" s="144">
        <f>IFERROR(AVERAGEIFS($K46:$CP46,$K$7:$CP$7,"&gt;="&amp;'Key assumptions'!$D$24,$K$7:$CP$7,"&lt;="&amp;'Key assumptions'!$D$25),0)</f>
        <v>2.2727272727272731E-3</v>
      </c>
      <c r="HJ46" s="148">
        <f t="shared" si="22"/>
        <v>0</v>
      </c>
      <c r="HK46" s="148">
        <f t="shared" si="1"/>
        <v>0</v>
      </c>
      <c r="HL46" s="148">
        <f t="shared" si="2"/>
        <v>0</v>
      </c>
      <c r="HM46" s="148">
        <f t="shared" si="3"/>
        <v>0</v>
      </c>
      <c r="HN46" s="148">
        <f t="shared" si="4"/>
        <v>0</v>
      </c>
      <c r="HO46" s="148">
        <f t="shared" si="5"/>
        <v>0</v>
      </c>
      <c r="HP46" s="148">
        <f t="shared" si="6"/>
        <v>0</v>
      </c>
      <c r="HQ46" s="148">
        <f t="shared" si="7"/>
        <v>0</v>
      </c>
      <c r="HR46" s="147">
        <f t="shared" si="8"/>
        <v>0</v>
      </c>
      <c r="HS46" s="89"/>
      <c r="HU46" s="147">
        <f>$HJ46*HC46/(1+'Key assumptions'!G68)^0.75</f>
        <v>0</v>
      </c>
      <c r="HW46" s="216">
        <f t="shared" si="9"/>
        <v>0</v>
      </c>
      <c r="HX46" s="216">
        <f t="shared" si="10"/>
        <v>0</v>
      </c>
      <c r="HY46" s="216">
        <f t="shared" si="11"/>
        <v>0</v>
      </c>
      <c r="HZ46" s="216">
        <f t="shared" si="12"/>
        <v>0</v>
      </c>
      <c r="IA46" s="216">
        <f t="shared" si="13"/>
        <v>0</v>
      </c>
      <c r="IB46" s="216">
        <f t="shared" si="14"/>
        <v>0</v>
      </c>
      <c r="IC46" s="216">
        <f t="shared" si="15"/>
        <v>0</v>
      </c>
      <c r="ID46" s="216">
        <f t="shared" si="16"/>
        <v>0</v>
      </c>
      <c r="IF46" s="216">
        <f t="shared" si="17"/>
        <v>0</v>
      </c>
    </row>
    <row r="47" spans="2:240" x14ac:dyDescent="0.2">
      <c r="B47" s="141" t="str">
        <v>Project Development</v>
      </c>
      <c r="C47" s="141" t="str">
        <v>HV Design Engineer - Senior (Eng&amp;Design Leadership)</v>
      </c>
      <c r="D47" s="141" t="str">
        <v>Internal Labour</v>
      </c>
      <c r="E47" s="141" t="str">
        <v>$ Nominal</v>
      </c>
      <c r="F47" s="141" t="str">
        <v>Existing</v>
      </c>
      <c r="G47" s="141" t="str">
        <v>Normal time</v>
      </c>
      <c r="H47" s="142">
        <v>273.48</v>
      </c>
      <c r="I47" s="126">
        <v>17508.690000000002</v>
      </c>
      <c r="J47" s="143">
        <v>0</v>
      </c>
      <c r="K47" s="144">
        <v>0</v>
      </c>
      <c r="L47" s="144">
        <v>0</v>
      </c>
      <c r="M47" s="144">
        <v>0</v>
      </c>
      <c r="N47" s="144">
        <v>0</v>
      </c>
      <c r="O47" s="144">
        <v>0</v>
      </c>
      <c r="P47" s="144">
        <v>0</v>
      </c>
      <c r="Q47" s="144">
        <v>5.7142857142857141E-2</v>
      </c>
      <c r="R47" s="144">
        <v>4.2857142857142858E-2</v>
      </c>
      <c r="S47" s="144">
        <v>1.4285714285714285E-2</v>
      </c>
      <c r="T47" s="144">
        <v>4.642857142857143E-2</v>
      </c>
      <c r="U47" s="144">
        <v>0.05</v>
      </c>
      <c r="V47" s="144">
        <v>0.16190476190476191</v>
      </c>
      <c r="W47" s="144">
        <v>2.8571428571428571E-2</v>
      </c>
      <c r="X47" s="144">
        <v>0</v>
      </c>
      <c r="Y47" s="144">
        <v>0</v>
      </c>
      <c r="Z47" s="144">
        <v>0</v>
      </c>
      <c r="AA47" s="144">
        <v>0</v>
      </c>
      <c r="AB47" s="144">
        <v>0</v>
      </c>
      <c r="AC47" s="144">
        <v>0</v>
      </c>
      <c r="AD47" s="144">
        <v>0</v>
      </c>
      <c r="AE47" s="144">
        <v>0</v>
      </c>
      <c r="AF47" s="144">
        <v>0</v>
      </c>
      <c r="AG47" s="144">
        <v>0</v>
      </c>
      <c r="AH47" s="144">
        <v>0</v>
      </c>
      <c r="AI47" s="144">
        <v>0</v>
      </c>
      <c r="AJ47" s="144">
        <v>0</v>
      </c>
      <c r="AK47" s="144">
        <v>0</v>
      </c>
      <c r="AL47" s="144">
        <v>0</v>
      </c>
      <c r="AM47" s="144">
        <v>0</v>
      </c>
      <c r="AN47" s="144">
        <v>0</v>
      </c>
      <c r="AO47" s="144">
        <v>0</v>
      </c>
      <c r="AP47" s="144">
        <v>0</v>
      </c>
      <c r="AQ47" s="144">
        <v>0</v>
      </c>
      <c r="AR47" s="144">
        <v>0</v>
      </c>
      <c r="AS47" s="144">
        <v>0</v>
      </c>
      <c r="AT47" s="144">
        <v>0</v>
      </c>
      <c r="AU47" s="144">
        <v>0</v>
      </c>
      <c r="AV47" s="144">
        <v>0</v>
      </c>
      <c r="AW47" s="144">
        <v>0</v>
      </c>
      <c r="AX47" s="144">
        <v>0</v>
      </c>
      <c r="AY47" s="144">
        <v>0</v>
      </c>
      <c r="AZ47" s="144">
        <v>0</v>
      </c>
      <c r="BA47" s="144">
        <v>0</v>
      </c>
      <c r="BB47" s="144">
        <v>0</v>
      </c>
      <c r="BC47" s="144">
        <v>0</v>
      </c>
      <c r="BD47" s="144">
        <v>0</v>
      </c>
      <c r="BE47" s="144">
        <v>0</v>
      </c>
      <c r="BF47" s="144">
        <v>0</v>
      </c>
      <c r="BG47" s="144">
        <v>0</v>
      </c>
      <c r="BH47" s="144">
        <v>0</v>
      </c>
      <c r="BI47" s="144">
        <v>0</v>
      </c>
      <c r="BJ47" s="144">
        <v>0</v>
      </c>
      <c r="BK47" s="144">
        <v>0</v>
      </c>
      <c r="BL47" s="144">
        <v>0</v>
      </c>
      <c r="BM47" s="144">
        <v>0</v>
      </c>
      <c r="BN47" s="144">
        <v>0</v>
      </c>
      <c r="BO47" s="144">
        <v>0</v>
      </c>
      <c r="BP47" s="144">
        <v>0</v>
      </c>
      <c r="BQ47" s="144">
        <v>0</v>
      </c>
      <c r="BR47" s="144">
        <v>0</v>
      </c>
      <c r="BS47" s="144">
        <v>0</v>
      </c>
      <c r="BT47" s="144">
        <v>0</v>
      </c>
      <c r="BU47" s="144">
        <v>0</v>
      </c>
      <c r="BV47" s="144">
        <v>0</v>
      </c>
      <c r="BW47" s="144">
        <v>0</v>
      </c>
      <c r="BX47" s="144">
        <v>0</v>
      </c>
      <c r="BY47" s="144">
        <v>0</v>
      </c>
      <c r="BZ47" s="144">
        <v>0</v>
      </c>
      <c r="CA47" s="144">
        <v>0</v>
      </c>
      <c r="CB47" s="144">
        <v>0</v>
      </c>
      <c r="CC47" s="144">
        <v>0</v>
      </c>
      <c r="CD47" s="144">
        <v>0</v>
      </c>
      <c r="CE47" s="144">
        <v>0</v>
      </c>
      <c r="CF47" s="144">
        <v>0</v>
      </c>
      <c r="CG47" s="144">
        <v>0</v>
      </c>
      <c r="CH47" s="144">
        <v>0</v>
      </c>
      <c r="CI47" s="144">
        <v>0</v>
      </c>
      <c r="CJ47" s="144">
        <v>0</v>
      </c>
      <c r="CK47" s="144">
        <v>0</v>
      </c>
      <c r="CL47" s="144">
        <v>0</v>
      </c>
      <c r="CM47" s="144">
        <v>0</v>
      </c>
      <c r="CN47" s="144">
        <v>0</v>
      </c>
      <c r="CO47" s="144">
        <v>0</v>
      </c>
      <c r="CP47" s="144">
        <v>0</v>
      </c>
      <c r="CQ47" s="143">
        <v>0</v>
      </c>
      <c r="CR47" s="145">
        <v>0</v>
      </c>
      <c r="CS47" s="145">
        <v>0</v>
      </c>
      <c r="CT47" s="145">
        <v>0</v>
      </c>
      <c r="CU47" s="145">
        <v>0</v>
      </c>
      <c r="CV47" s="145">
        <v>0</v>
      </c>
      <c r="CW47" s="145">
        <v>0</v>
      </c>
      <c r="CX47" s="145">
        <v>2731.9799999999996</v>
      </c>
      <c r="CY47" s="145">
        <v>2136.3900000000003</v>
      </c>
      <c r="CZ47" s="145">
        <v>712.13000000000011</v>
      </c>
      <c r="DA47" s="145">
        <v>2314.4300000000003</v>
      </c>
      <c r="DB47" s="145">
        <v>2492.4500000000003</v>
      </c>
      <c r="DC47" s="145">
        <v>6053.1100000000006</v>
      </c>
      <c r="DD47" s="145">
        <v>1068.1999999999998</v>
      </c>
      <c r="DE47" s="145">
        <v>0</v>
      </c>
      <c r="DF47" s="145">
        <v>0</v>
      </c>
      <c r="DG47" s="145">
        <v>0</v>
      </c>
      <c r="DH47" s="145">
        <v>0</v>
      </c>
      <c r="DI47" s="145">
        <v>0</v>
      </c>
      <c r="DJ47" s="145">
        <v>0</v>
      </c>
      <c r="DK47" s="145">
        <v>0</v>
      </c>
      <c r="DL47" s="145">
        <v>0</v>
      </c>
      <c r="DM47" s="145">
        <v>0</v>
      </c>
      <c r="DN47" s="145">
        <v>0</v>
      </c>
      <c r="DO47" s="145">
        <v>0</v>
      </c>
      <c r="DP47" s="145">
        <v>0</v>
      </c>
      <c r="DQ47" s="145">
        <v>0</v>
      </c>
      <c r="DR47" s="145">
        <v>0</v>
      </c>
      <c r="DS47" s="145">
        <v>0</v>
      </c>
      <c r="DT47" s="145">
        <v>0</v>
      </c>
      <c r="DU47" s="145">
        <v>0</v>
      </c>
      <c r="DV47" s="145">
        <v>0</v>
      </c>
      <c r="DW47" s="145">
        <v>0</v>
      </c>
      <c r="DX47" s="145">
        <v>0</v>
      </c>
      <c r="DY47" s="145">
        <v>0</v>
      </c>
      <c r="DZ47" s="145">
        <v>0</v>
      </c>
      <c r="EA47" s="145">
        <v>0</v>
      </c>
      <c r="EB47" s="145">
        <v>0</v>
      </c>
      <c r="EC47" s="145">
        <v>0</v>
      </c>
      <c r="ED47" s="145">
        <v>0</v>
      </c>
      <c r="EE47" s="145">
        <v>0</v>
      </c>
      <c r="EF47" s="145">
        <v>0</v>
      </c>
      <c r="EG47" s="145">
        <v>0</v>
      </c>
      <c r="EH47" s="145">
        <v>0</v>
      </c>
      <c r="EI47" s="145">
        <v>0</v>
      </c>
      <c r="EJ47" s="145">
        <v>0</v>
      </c>
      <c r="EK47" s="145">
        <v>0</v>
      </c>
      <c r="EL47" s="145">
        <v>0</v>
      </c>
      <c r="EM47" s="145">
        <v>0</v>
      </c>
      <c r="EN47" s="145">
        <v>0</v>
      </c>
      <c r="EO47" s="145">
        <v>0</v>
      </c>
      <c r="EP47" s="145">
        <v>0</v>
      </c>
      <c r="EQ47" s="145">
        <v>0</v>
      </c>
      <c r="ER47" s="145">
        <v>0</v>
      </c>
      <c r="ES47" s="145">
        <v>0</v>
      </c>
      <c r="ET47" s="145">
        <v>0</v>
      </c>
      <c r="EU47" s="145">
        <v>0</v>
      </c>
      <c r="EV47" s="145">
        <v>0</v>
      </c>
      <c r="EW47" s="145">
        <v>0</v>
      </c>
      <c r="EX47" s="145">
        <v>0</v>
      </c>
      <c r="EY47" s="145">
        <v>0</v>
      </c>
      <c r="EZ47" s="145">
        <v>0</v>
      </c>
      <c r="FA47" s="145">
        <v>0</v>
      </c>
      <c r="FB47" s="145">
        <v>0</v>
      </c>
      <c r="FC47" s="145">
        <v>0</v>
      </c>
      <c r="FD47" s="145">
        <v>0</v>
      </c>
      <c r="FE47" s="145">
        <v>0</v>
      </c>
      <c r="FF47" s="145">
        <v>0</v>
      </c>
      <c r="FG47" s="145">
        <v>0</v>
      </c>
      <c r="FH47" s="145">
        <v>0</v>
      </c>
      <c r="FI47" s="145">
        <v>0</v>
      </c>
      <c r="FJ47" s="145">
        <v>0</v>
      </c>
      <c r="FK47" s="145">
        <v>0</v>
      </c>
      <c r="FL47" s="145">
        <v>0</v>
      </c>
      <c r="FM47" s="145">
        <v>0</v>
      </c>
      <c r="FN47" s="145">
        <v>0</v>
      </c>
      <c r="FO47" s="145">
        <v>0</v>
      </c>
      <c r="FP47" s="145">
        <v>0</v>
      </c>
      <c r="FQ47" s="145">
        <v>0</v>
      </c>
      <c r="FR47" s="145">
        <v>0</v>
      </c>
      <c r="FS47" s="145">
        <v>0</v>
      </c>
      <c r="FT47" s="145">
        <v>0</v>
      </c>
      <c r="FU47" s="145">
        <v>0</v>
      </c>
      <c r="FV47" s="145">
        <v>0</v>
      </c>
      <c r="FW47" s="145">
        <v>0</v>
      </c>
      <c r="FX47" s="143"/>
      <c r="FY47" s="146" t="str">
        <f>_xlfn.XLOOKUP($E47,'Key assumptions'!$B$112:$B$120,'Key assumptions'!$C$112:$C$120,0)</f>
        <v>Nominal</v>
      </c>
      <c r="FZ47" s="146" cm="1">
        <f t="array" ref="FZ47">IF($FY47=0,0,_xlfn.IFS($FY47='Key assumptions'!$C$120,_xlfn.XLOOKUP(LEFT(FZ$7,6),Inflation_Year,Inflation_NominaltoReal),TRUE,_xlfn.XLOOKUP($FY47,Inflation_Year,NominaltoReal)))</f>
        <v>1.0197075870962191</v>
      </c>
      <c r="GA47" s="146" cm="1">
        <f t="array" ref="GA47">IF($FY47=0,0,_xlfn.IFS($FY47='Key assumptions'!$C$120,_xlfn.XLOOKUP(LEFT(GA$7,6),Inflation_Year,Inflation_NominaltoReal),TRUE,_xlfn.XLOOKUP($FY47,Inflation_Year,NominaltoReal)))</f>
        <v>0.98700804022984445</v>
      </c>
      <c r="GB47" s="146" cm="1">
        <f t="array" ref="GB47">IF($FY47=0,0,_xlfn.IFS($FY47='Key assumptions'!$C$120,_xlfn.XLOOKUP(LEFT(GB$7,6),Inflation_Year,Inflation_NominaltoReal),TRUE,_xlfn.XLOOKUP($FY47,Inflation_Year,NominaltoReal)))</f>
        <v>0.96152830081941731</v>
      </c>
      <c r="GC47" s="146" cm="1">
        <f t="array" ref="GC47">IF($FY47=0,0,_xlfn.IFS($FY47='Key assumptions'!$C$120,_xlfn.XLOOKUP(LEFT(GC$7,6),Inflation_Year,Inflation_NominaltoReal),TRUE,_xlfn.XLOOKUP($FY47,Inflation_Year,NominaltoReal)))</f>
        <v>0.93670632415656829</v>
      </c>
      <c r="GD47" s="146" cm="1">
        <f t="array" ref="GD47">IF($FY47=0,0,_xlfn.IFS($FY47='Key assumptions'!$C$120,_xlfn.XLOOKUP(LEFT(GD$7,6),Inflation_Year,Inflation_NominaltoReal),TRUE,_xlfn.XLOOKUP($FY47,Inflation_Year,NominaltoReal)))</f>
        <v>0.91252513001143176</v>
      </c>
      <c r="GE47" s="146" cm="1">
        <f t="array" ref="GE47">IF($FY47=0,0,_xlfn.IFS($FY47='Key assumptions'!$C$120,_xlfn.XLOOKUP(LEFT(GE$7,6),Inflation_Year,Inflation_NominaltoReal),TRUE,_xlfn.XLOOKUP($FY47,Inflation_Year,NominaltoReal)))</f>
        <v>0.88896817650095872</v>
      </c>
      <c r="GF47" s="146" cm="1">
        <f t="array" ref="GF47">IF($FY47=0,0,_xlfn.IFS($FY47='Key assumptions'!$C$120,_xlfn.XLOOKUP(LEFT(GF$7,6),Inflation_Year,Inflation_NominaltoReal),TRUE,_xlfn.XLOOKUP($FY47,Inflation_Year,NominaltoReal)))</f>
        <v>0.86601934877293718</v>
      </c>
      <c r="GG47" s="143"/>
      <c r="GH47" s="145" cm="1">
        <f t="array" ref="GH47">SUMPRODUCT(--($CR$7:$FW$7&gt;=GH$5),--($CR$7:$FW$7&lt;=GH$6),$CR47:$FW47)*FZ47</f>
        <v>0</v>
      </c>
      <c r="GI47" s="145" cm="1">
        <f t="array" ref="GI47">SUMPRODUCT(--($CR$7:$FW$7&gt;=GI$5),--($CR$7:$FW$7&lt;=GI$6),$CR47:$FW47)*GA47</f>
        <v>0</v>
      </c>
      <c r="GJ47" s="145" cm="1">
        <f t="array" ref="GJ47">SUMPRODUCT(--($CR$7:$FW$7&gt;=GJ$5),--($CR$7:$FW$7&lt;=GJ$6),$CR47:$FW47)*GB47</f>
        <v>0</v>
      </c>
      <c r="GK47" s="145" cm="1">
        <f t="array" ref="GK47">SUMPRODUCT(--($CR$7:$FW$7&gt;=GK$5),--($CR$7:$FW$7&lt;=GK$6),$CR47:$FW47)*GC47</f>
        <v>0</v>
      </c>
      <c r="GL47" s="145" cm="1">
        <f t="array" ref="GL47">SUMPRODUCT(--($CR$7:$FW$7&gt;=GL$5),--($CR$7:$FW$7&lt;=GL$6),$CR47:$FW47)*GD47</f>
        <v>0</v>
      </c>
      <c r="GM47" s="145" cm="1">
        <f t="array" ref="GM47">SUMPRODUCT(--($CR$7:$FW$7&gt;=GM$5),--($CR$7:$FW$7&lt;=GM$6),$CR47:$FW47)*GE47</f>
        <v>0</v>
      </c>
      <c r="GN47" s="145" cm="1">
        <f t="array" ref="GN47">SUMPRODUCT(--($CR$7:$FW$7&gt;=GN$5),--($CR$7:$FW$7&lt;=GN$6),$CR47:$FW47)*GF47</f>
        <v>0</v>
      </c>
      <c r="GO47" s="145">
        <f t="shared" si="18"/>
        <v>0</v>
      </c>
      <c r="GP47" s="87"/>
      <c r="GQ47" s="89"/>
      <c r="GR47" s="145" cm="1">
        <f t="array" ref="GR47">SUMPRODUCT(--($CR$7:$FW$7&gt;=GR$5),--($CR$7:$FW$7&lt;=GR$6),$CR47:$FW47)</f>
        <v>0</v>
      </c>
      <c r="GS47" s="89"/>
      <c r="GT47" s="214" cm="1">
        <f t="array" ref="GT47">--AND(MIN(IF($K47:$CP47&lt;&gt;0,$K$7:$CP$7))&gt;=GT$5,MIN(IF($K47:$CP47&lt;&gt;0,$K$7:$CP$7))&lt;=GT$6)</f>
        <v>0</v>
      </c>
      <c r="GU47" s="214" cm="1">
        <f t="array" ref="GU47">--AND(MIN(IF($K47:$CP47&lt;&gt;0,$K$7:$CP$7))&gt;=GU$5,MIN(IF($K47:$CP47&lt;&gt;0,$K$7:$CP$7))&lt;=GU$6)</f>
        <v>0</v>
      </c>
      <c r="GV47" s="214" cm="1">
        <f t="array" ref="GV47">--AND(MIN(IF($K47:$CP47&lt;&gt;0,$K$7:$CP$7))&gt;=GV$5,MIN(IF($K47:$CP47&lt;&gt;0,$K$7:$CP$7))&lt;=GV$6)</f>
        <v>0</v>
      </c>
      <c r="GW47" s="214" cm="1">
        <f t="array" ref="GW47">--AND(MIN(IF($K47:$CP47&lt;&gt;0,$K$7:$CP$7))&gt;=GW$5,MIN(IF($K47:$CP47&lt;&gt;0,$K$7:$CP$7))&lt;=GW$6)</f>
        <v>0</v>
      </c>
      <c r="GX47" s="214" cm="1">
        <f t="array" ref="GX47">--AND(MIN(IF($K47:$CP47&lt;&gt;0,$K$7:$CP$7))&gt;=GX$5,MIN(IF($K47:$CP47&lt;&gt;0,$K$7:$CP$7))&lt;=GX$6)</f>
        <v>0</v>
      </c>
      <c r="GY47" s="214" cm="1">
        <f t="array" ref="GY47">--AND(MIN(IF($K47:$CP47&lt;&gt;0,$K$7:$CP$7))&gt;=GY$5,MIN(IF($K47:$CP47&lt;&gt;0,$K$7:$CP$7))&lt;=GY$6)</f>
        <v>0</v>
      </c>
      <c r="GZ47" s="214" cm="1">
        <f t="array" ref="GZ47">--AND(MIN(IF($K47:$CP47&lt;&gt;0,$K$7:$CP$7))&gt;=GZ$5,MIN(IF($K47:$CP47&lt;&gt;0,$K$7:$CP$7))&lt;=GZ$6)</f>
        <v>0</v>
      </c>
      <c r="HA47" s="214">
        <f t="shared" si="0"/>
        <v>0</v>
      </c>
      <c r="HC47" s="214" cm="1">
        <f t="array" ref="HC47">--AND(MIN(IF($K47:$CP47&lt;&gt;0,$K$7:$CP$7))&gt;=HC$5,MIN(IF($K47:$CP47&lt;&gt;0,$K$7:$CP$7))&lt;=HC$6)</f>
        <v>0</v>
      </c>
      <c r="HE47" s="147" t="str">
        <f t="shared" si="19"/>
        <v>No</v>
      </c>
      <c r="HF47" s="147" t="str">
        <f t="shared" si="20"/>
        <v>No</v>
      </c>
      <c r="HG47" s="147">
        <f>IF($HF47="Yes",0,$H47*avg_hrs*12*'Key assumptions'!$D$87)</f>
        <v>489055.80871856346</v>
      </c>
      <c r="HH47" s="147">
        <f>IF(HE47="Yes",'Key assumptions'!$D$84*HG47,0)</f>
        <v>0</v>
      </c>
      <c r="HI47" s="144">
        <f>IFERROR(AVERAGEIFS($K47:$CP47,$K$7:$CP$7,"&gt;="&amp;'Key assumptions'!$D$24,$K$7:$CP$7,"&lt;="&amp;'Key assumptions'!$D$25),0)</f>
        <v>0</v>
      </c>
      <c r="HJ47" s="148">
        <f t="shared" si="22"/>
        <v>0</v>
      </c>
      <c r="HK47" s="148">
        <f t="shared" si="1"/>
        <v>0</v>
      </c>
      <c r="HL47" s="148">
        <f t="shared" si="2"/>
        <v>0</v>
      </c>
      <c r="HM47" s="148">
        <f t="shared" si="3"/>
        <v>0</v>
      </c>
      <c r="HN47" s="148">
        <f t="shared" si="4"/>
        <v>0</v>
      </c>
      <c r="HO47" s="148">
        <f t="shared" si="5"/>
        <v>0</v>
      </c>
      <c r="HP47" s="148">
        <f t="shared" si="6"/>
        <v>0</v>
      </c>
      <c r="HQ47" s="148">
        <f t="shared" si="7"/>
        <v>0</v>
      </c>
      <c r="HR47" s="147">
        <f t="shared" si="8"/>
        <v>0</v>
      </c>
      <c r="HS47" s="89"/>
      <c r="HU47" s="147">
        <f>$HJ47*HC47/(1+'Key assumptions'!G69)^0.75</f>
        <v>0</v>
      </c>
      <c r="HW47" s="216">
        <f t="shared" si="9"/>
        <v>0</v>
      </c>
      <c r="HX47" s="216">
        <f t="shared" si="10"/>
        <v>0</v>
      </c>
      <c r="HY47" s="216">
        <f t="shared" si="11"/>
        <v>0</v>
      </c>
      <c r="HZ47" s="216">
        <f t="shared" si="12"/>
        <v>0</v>
      </c>
      <c r="IA47" s="216">
        <f t="shared" si="13"/>
        <v>0</v>
      </c>
      <c r="IB47" s="216">
        <f t="shared" si="14"/>
        <v>0</v>
      </c>
      <c r="IC47" s="216">
        <f t="shared" si="15"/>
        <v>0</v>
      </c>
      <c r="ID47" s="216">
        <f t="shared" si="16"/>
        <v>0</v>
      </c>
      <c r="IF47" s="216">
        <f t="shared" si="17"/>
        <v>0</v>
      </c>
    </row>
    <row r="48" spans="2:240" x14ac:dyDescent="0.2">
      <c r="B48" s="141" t="str">
        <v>Project Development</v>
      </c>
      <c r="C48" s="141" t="str">
        <v>HV Design Engineer - Senior (Eng&amp;Design Leadership)</v>
      </c>
      <c r="D48" s="141" t="str">
        <v>Internal Labour</v>
      </c>
      <c r="E48" s="141" t="str">
        <v>$ Nominal</v>
      </c>
      <c r="F48" s="141" t="str">
        <v>Existing</v>
      </c>
      <c r="G48" s="141" t="str">
        <v>Normal time</v>
      </c>
      <c r="H48" s="142">
        <v>273.48</v>
      </c>
      <c r="I48" s="126">
        <v>1043539.2799999998</v>
      </c>
      <c r="J48" s="143">
        <v>0</v>
      </c>
      <c r="K48" s="144">
        <v>0</v>
      </c>
      <c r="L48" s="144">
        <v>0</v>
      </c>
      <c r="M48" s="144">
        <v>0</v>
      </c>
      <c r="N48" s="144">
        <v>0</v>
      </c>
      <c r="O48" s="144">
        <v>0</v>
      </c>
      <c r="P48" s="144">
        <v>0</v>
      </c>
      <c r="Q48" s="144">
        <v>0</v>
      </c>
      <c r="R48" s="144">
        <v>0</v>
      </c>
      <c r="S48" s="144">
        <v>0</v>
      </c>
      <c r="T48" s="144">
        <v>0</v>
      </c>
      <c r="U48" s="144">
        <v>0</v>
      </c>
      <c r="V48" s="144">
        <v>0</v>
      </c>
      <c r="W48" s="144">
        <v>0</v>
      </c>
      <c r="X48" s="144">
        <v>1.1000000000000001</v>
      </c>
      <c r="Y48" s="144">
        <v>1.65</v>
      </c>
      <c r="Z48" s="144">
        <v>2.8666666666666667</v>
      </c>
      <c r="AA48" s="144">
        <v>3.8684210526315788</v>
      </c>
      <c r="AB48" s="144">
        <v>3.9605263157894739</v>
      </c>
      <c r="AC48" s="144">
        <v>3.9</v>
      </c>
      <c r="AD48" s="144">
        <v>3.7</v>
      </c>
      <c r="AE48" s="144">
        <v>1.85</v>
      </c>
      <c r="AF48" s="144">
        <v>1.3</v>
      </c>
      <c r="AG48" s="144">
        <v>1.4</v>
      </c>
      <c r="AH48" s="144">
        <v>0.53333333333333333</v>
      </c>
      <c r="AI48" s="144">
        <v>1.6</v>
      </c>
      <c r="AJ48" s="144">
        <v>0.2</v>
      </c>
      <c r="AK48" s="144">
        <v>0.1</v>
      </c>
      <c r="AL48" s="144">
        <v>0.13333333333333333</v>
      </c>
      <c r="AM48" s="144">
        <v>9.2105263157894732E-2</v>
      </c>
      <c r="AN48" s="144">
        <v>0</v>
      </c>
      <c r="AO48" s="144">
        <v>0</v>
      </c>
      <c r="AP48" s="144">
        <v>0</v>
      </c>
      <c r="AQ48" s="144">
        <v>0</v>
      </c>
      <c r="AR48" s="144">
        <v>0</v>
      </c>
      <c r="AS48" s="144">
        <v>0</v>
      </c>
      <c r="AT48" s="144">
        <v>0</v>
      </c>
      <c r="AU48" s="144">
        <v>0</v>
      </c>
      <c r="AV48" s="144">
        <v>0</v>
      </c>
      <c r="AW48" s="144">
        <v>0</v>
      </c>
      <c r="AX48" s="144">
        <v>0</v>
      </c>
      <c r="AY48" s="144">
        <v>0</v>
      </c>
      <c r="AZ48" s="144">
        <v>0</v>
      </c>
      <c r="BA48" s="144">
        <v>0</v>
      </c>
      <c r="BB48" s="144">
        <v>0</v>
      </c>
      <c r="BC48" s="144">
        <v>0</v>
      </c>
      <c r="BD48" s="144">
        <v>0</v>
      </c>
      <c r="BE48" s="144">
        <v>0</v>
      </c>
      <c r="BF48" s="144">
        <v>0</v>
      </c>
      <c r="BG48" s="144">
        <v>0</v>
      </c>
      <c r="BH48" s="144">
        <v>0</v>
      </c>
      <c r="BI48" s="144">
        <v>0</v>
      </c>
      <c r="BJ48" s="144">
        <v>0</v>
      </c>
      <c r="BK48" s="144">
        <v>0</v>
      </c>
      <c r="BL48" s="144">
        <v>0</v>
      </c>
      <c r="BM48" s="144">
        <v>0</v>
      </c>
      <c r="BN48" s="144">
        <v>0</v>
      </c>
      <c r="BO48" s="144">
        <v>0</v>
      </c>
      <c r="BP48" s="144">
        <v>0</v>
      </c>
      <c r="BQ48" s="144">
        <v>0</v>
      </c>
      <c r="BR48" s="144">
        <v>0</v>
      </c>
      <c r="BS48" s="144">
        <v>0</v>
      </c>
      <c r="BT48" s="144">
        <v>0</v>
      </c>
      <c r="BU48" s="144">
        <v>0</v>
      </c>
      <c r="BV48" s="144">
        <v>0</v>
      </c>
      <c r="BW48" s="144">
        <v>0</v>
      </c>
      <c r="BX48" s="144">
        <v>0</v>
      </c>
      <c r="BY48" s="144">
        <v>0</v>
      </c>
      <c r="BZ48" s="144">
        <v>0</v>
      </c>
      <c r="CA48" s="144">
        <v>0</v>
      </c>
      <c r="CB48" s="144">
        <v>0</v>
      </c>
      <c r="CC48" s="144">
        <v>0</v>
      </c>
      <c r="CD48" s="144">
        <v>0</v>
      </c>
      <c r="CE48" s="144">
        <v>0</v>
      </c>
      <c r="CF48" s="144">
        <v>0</v>
      </c>
      <c r="CG48" s="144">
        <v>0</v>
      </c>
      <c r="CH48" s="144">
        <v>0</v>
      </c>
      <c r="CI48" s="144">
        <v>0</v>
      </c>
      <c r="CJ48" s="144">
        <v>0</v>
      </c>
      <c r="CK48" s="144">
        <v>0</v>
      </c>
      <c r="CL48" s="144">
        <v>0</v>
      </c>
      <c r="CM48" s="144">
        <v>0</v>
      </c>
      <c r="CN48" s="144">
        <v>0</v>
      </c>
      <c r="CO48" s="144">
        <v>0</v>
      </c>
      <c r="CP48" s="144">
        <v>0</v>
      </c>
      <c r="CQ48" s="143">
        <v>0</v>
      </c>
      <c r="CR48" s="145">
        <v>0</v>
      </c>
      <c r="CS48" s="145">
        <v>0</v>
      </c>
      <c r="CT48" s="145">
        <v>0</v>
      </c>
      <c r="CU48" s="145">
        <v>0</v>
      </c>
      <c r="CV48" s="145">
        <v>0</v>
      </c>
      <c r="CW48" s="145">
        <v>0</v>
      </c>
      <c r="CX48" s="145">
        <v>0</v>
      </c>
      <c r="CY48" s="145">
        <v>0</v>
      </c>
      <c r="CZ48" s="145">
        <v>0</v>
      </c>
      <c r="DA48" s="145">
        <v>0</v>
      </c>
      <c r="DB48" s="145">
        <v>0</v>
      </c>
      <c r="DC48" s="145">
        <v>0</v>
      </c>
      <c r="DD48" s="145">
        <v>0</v>
      </c>
      <c r="DE48" s="145">
        <v>40876.22</v>
      </c>
      <c r="DF48" s="145">
        <v>61314.33</v>
      </c>
      <c r="DG48" s="145">
        <v>79894.430000000008</v>
      </c>
      <c r="DH48" s="145">
        <v>156072.84</v>
      </c>
      <c r="DI48" s="145">
        <v>159788.86000000002</v>
      </c>
      <c r="DJ48" s="145">
        <v>149320.08000000002</v>
      </c>
      <c r="DK48" s="145">
        <v>141662.64000000001</v>
      </c>
      <c r="DL48" s="145">
        <v>70831.320000000007</v>
      </c>
      <c r="DM48" s="145">
        <v>49773.36</v>
      </c>
      <c r="DN48" s="145">
        <v>53602.080000000002</v>
      </c>
      <c r="DO48" s="145">
        <v>15314.880000000001</v>
      </c>
      <c r="DP48" s="145">
        <v>45944.639999999999</v>
      </c>
      <c r="DQ48" s="145">
        <v>7657.4400000000005</v>
      </c>
      <c r="DR48" s="145">
        <v>3828.7200000000003</v>
      </c>
      <c r="DS48" s="145">
        <v>3828.7200000000003</v>
      </c>
      <c r="DT48" s="145">
        <v>3828.7200000000003</v>
      </c>
      <c r="DU48" s="145">
        <v>0</v>
      </c>
      <c r="DV48" s="145">
        <v>0</v>
      </c>
      <c r="DW48" s="145">
        <v>0</v>
      </c>
      <c r="DX48" s="145">
        <v>0</v>
      </c>
      <c r="DY48" s="145">
        <v>0</v>
      </c>
      <c r="DZ48" s="145">
        <v>0</v>
      </c>
      <c r="EA48" s="145">
        <v>0</v>
      </c>
      <c r="EB48" s="145">
        <v>0</v>
      </c>
      <c r="EC48" s="145">
        <v>0</v>
      </c>
      <c r="ED48" s="145">
        <v>0</v>
      </c>
      <c r="EE48" s="145">
        <v>0</v>
      </c>
      <c r="EF48" s="145">
        <v>0</v>
      </c>
      <c r="EG48" s="145">
        <v>0</v>
      </c>
      <c r="EH48" s="145">
        <v>0</v>
      </c>
      <c r="EI48" s="145">
        <v>0</v>
      </c>
      <c r="EJ48" s="145">
        <v>0</v>
      </c>
      <c r="EK48" s="145">
        <v>0</v>
      </c>
      <c r="EL48" s="145">
        <v>0</v>
      </c>
      <c r="EM48" s="145">
        <v>0</v>
      </c>
      <c r="EN48" s="145">
        <v>0</v>
      </c>
      <c r="EO48" s="145">
        <v>0</v>
      </c>
      <c r="EP48" s="145">
        <v>0</v>
      </c>
      <c r="EQ48" s="145">
        <v>0</v>
      </c>
      <c r="ER48" s="145">
        <v>0</v>
      </c>
      <c r="ES48" s="145">
        <v>0</v>
      </c>
      <c r="ET48" s="145">
        <v>0</v>
      </c>
      <c r="EU48" s="145">
        <v>0</v>
      </c>
      <c r="EV48" s="145">
        <v>0</v>
      </c>
      <c r="EW48" s="145">
        <v>0</v>
      </c>
      <c r="EX48" s="145">
        <v>0</v>
      </c>
      <c r="EY48" s="145">
        <v>0</v>
      </c>
      <c r="EZ48" s="145">
        <v>0</v>
      </c>
      <c r="FA48" s="145">
        <v>0</v>
      </c>
      <c r="FB48" s="145">
        <v>0</v>
      </c>
      <c r="FC48" s="145">
        <v>0</v>
      </c>
      <c r="FD48" s="145">
        <v>0</v>
      </c>
      <c r="FE48" s="145">
        <v>0</v>
      </c>
      <c r="FF48" s="145">
        <v>0</v>
      </c>
      <c r="FG48" s="145">
        <v>0</v>
      </c>
      <c r="FH48" s="145">
        <v>0</v>
      </c>
      <c r="FI48" s="145">
        <v>0</v>
      </c>
      <c r="FJ48" s="145">
        <v>0</v>
      </c>
      <c r="FK48" s="145">
        <v>0</v>
      </c>
      <c r="FL48" s="145">
        <v>0</v>
      </c>
      <c r="FM48" s="145">
        <v>0</v>
      </c>
      <c r="FN48" s="145">
        <v>0</v>
      </c>
      <c r="FO48" s="145">
        <v>0</v>
      </c>
      <c r="FP48" s="145">
        <v>0</v>
      </c>
      <c r="FQ48" s="145">
        <v>0</v>
      </c>
      <c r="FR48" s="145">
        <v>0</v>
      </c>
      <c r="FS48" s="145">
        <v>0</v>
      </c>
      <c r="FT48" s="145">
        <v>0</v>
      </c>
      <c r="FU48" s="145">
        <v>0</v>
      </c>
      <c r="FV48" s="145">
        <v>0</v>
      </c>
      <c r="FW48" s="145">
        <v>0</v>
      </c>
      <c r="FX48" s="143"/>
      <c r="FY48" s="146" t="str">
        <f>_xlfn.XLOOKUP($E48,'Key assumptions'!$B$112:$B$120,'Key assumptions'!$C$112:$C$120,0)</f>
        <v>Nominal</v>
      </c>
      <c r="FZ48" s="146" cm="1">
        <f t="array" ref="FZ48">IF($FY48=0,0,_xlfn.IFS($FY48='Key assumptions'!$C$120,_xlfn.XLOOKUP(LEFT(FZ$7,6),Inflation_Year,Inflation_NominaltoReal),TRUE,_xlfn.XLOOKUP($FY48,Inflation_Year,NominaltoReal)))</f>
        <v>1.0197075870962191</v>
      </c>
      <c r="GA48" s="146" cm="1">
        <f t="array" ref="GA48">IF($FY48=0,0,_xlfn.IFS($FY48='Key assumptions'!$C$120,_xlfn.XLOOKUP(LEFT(GA$7,6),Inflation_Year,Inflation_NominaltoReal),TRUE,_xlfn.XLOOKUP($FY48,Inflation_Year,NominaltoReal)))</f>
        <v>0.98700804022984445</v>
      </c>
      <c r="GB48" s="146" cm="1">
        <f t="array" ref="GB48">IF($FY48=0,0,_xlfn.IFS($FY48='Key assumptions'!$C$120,_xlfn.XLOOKUP(LEFT(GB$7,6),Inflation_Year,Inflation_NominaltoReal),TRUE,_xlfn.XLOOKUP($FY48,Inflation_Year,NominaltoReal)))</f>
        <v>0.96152830081941731</v>
      </c>
      <c r="GC48" s="146" cm="1">
        <f t="array" ref="GC48">IF($FY48=0,0,_xlfn.IFS($FY48='Key assumptions'!$C$120,_xlfn.XLOOKUP(LEFT(GC$7,6),Inflation_Year,Inflation_NominaltoReal),TRUE,_xlfn.XLOOKUP($FY48,Inflation_Year,NominaltoReal)))</f>
        <v>0.93670632415656829</v>
      </c>
      <c r="GD48" s="146" cm="1">
        <f t="array" ref="GD48">IF($FY48=0,0,_xlfn.IFS($FY48='Key assumptions'!$C$120,_xlfn.XLOOKUP(LEFT(GD$7,6),Inflation_Year,Inflation_NominaltoReal),TRUE,_xlfn.XLOOKUP($FY48,Inflation_Year,NominaltoReal)))</f>
        <v>0.91252513001143176</v>
      </c>
      <c r="GE48" s="146" cm="1">
        <f t="array" ref="GE48">IF($FY48=0,0,_xlfn.IFS($FY48='Key assumptions'!$C$120,_xlfn.XLOOKUP(LEFT(GE$7,6),Inflation_Year,Inflation_NominaltoReal),TRUE,_xlfn.XLOOKUP($FY48,Inflation_Year,NominaltoReal)))</f>
        <v>0.88896817650095872</v>
      </c>
      <c r="GF48" s="146" cm="1">
        <f t="array" ref="GF48">IF($FY48=0,0,_xlfn.IFS($FY48='Key assumptions'!$C$120,_xlfn.XLOOKUP(LEFT(GF$7,6),Inflation_Year,Inflation_NominaltoReal),TRUE,_xlfn.XLOOKUP($FY48,Inflation_Year,NominaltoReal)))</f>
        <v>0.86601934877293718</v>
      </c>
      <c r="GG48" s="143"/>
      <c r="GH48" s="145" cm="1">
        <f t="array" ref="GH48">SUMPRODUCT(--($CR$7:$FW$7&gt;=GH$5),--($CR$7:$FW$7&lt;=GH$6),$CR48:$FW48)*FZ48</f>
        <v>876704.52927130798</v>
      </c>
      <c r="GI48" s="145" cm="1">
        <f t="array" ref="GI48">SUMPRODUCT(--($CR$7:$FW$7&gt;=GI$5),--($CR$7:$FW$7&lt;=GI$6),$CR48:$FW48)*GA48</f>
        <v>181390.9163418629</v>
      </c>
      <c r="GJ48" s="145" cm="1">
        <f t="array" ref="GJ48">SUMPRODUCT(--($CR$7:$FW$7&gt;=GJ$5),--($CR$7:$FW$7&lt;=GJ$6),$CR48:$FW48)*GB48</f>
        <v>0</v>
      </c>
      <c r="GK48" s="145" cm="1">
        <f t="array" ref="GK48">SUMPRODUCT(--($CR$7:$FW$7&gt;=GK$5),--($CR$7:$FW$7&lt;=GK$6),$CR48:$FW48)*GC48</f>
        <v>0</v>
      </c>
      <c r="GL48" s="145" cm="1">
        <f t="array" ref="GL48">SUMPRODUCT(--($CR$7:$FW$7&gt;=GL$5),--($CR$7:$FW$7&lt;=GL$6),$CR48:$FW48)*GD48</f>
        <v>0</v>
      </c>
      <c r="GM48" s="145" cm="1">
        <f t="array" ref="GM48">SUMPRODUCT(--($CR$7:$FW$7&gt;=GM$5),--($CR$7:$FW$7&lt;=GM$6),$CR48:$FW48)*GE48</f>
        <v>0</v>
      </c>
      <c r="GN48" s="145" cm="1">
        <f t="array" ref="GN48">SUMPRODUCT(--($CR$7:$FW$7&gt;=GN$5),--($CR$7:$FW$7&lt;=GN$6),$CR48:$FW48)*GF48</f>
        <v>0</v>
      </c>
      <c r="GO48" s="145">
        <f t="shared" si="18"/>
        <v>1058095.445613171</v>
      </c>
      <c r="GP48" s="87"/>
      <c r="GQ48" s="89"/>
      <c r="GR48" s="145" cm="1">
        <f t="array" ref="GR48">SUMPRODUCT(--($CR$7:$FW$7&gt;=GR$5),--($CR$7:$FW$7&lt;=GR$6),$CR48:$FW48)</f>
        <v>497946.68000000005</v>
      </c>
      <c r="GS48" s="89"/>
      <c r="GT48" s="214" cm="1">
        <f t="array" ref="GT48">--AND(MIN(IF($K48:$CP48&lt;&gt;0,$K$7:$CP$7))&gt;=GT$5,MIN(IF($K48:$CP48&lt;&gt;0,$K$7:$CP$7))&lt;=GT$6)</f>
        <v>1</v>
      </c>
      <c r="GU48" s="214" cm="1">
        <f t="array" ref="GU48">--AND(MIN(IF($K48:$CP48&lt;&gt;0,$K$7:$CP$7))&gt;=GU$5,MIN(IF($K48:$CP48&lt;&gt;0,$K$7:$CP$7))&lt;=GU$6)</f>
        <v>0</v>
      </c>
      <c r="GV48" s="214" cm="1">
        <f t="array" ref="GV48">--AND(MIN(IF($K48:$CP48&lt;&gt;0,$K$7:$CP$7))&gt;=GV$5,MIN(IF($K48:$CP48&lt;&gt;0,$K$7:$CP$7))&lt;=GV$6)</f>
        <v>0</v>
      </c>
      <c r="GW48" s="214" cm="1">
        <f t="array" ref="GW48">--AND(MIN(IF($K48:$CP48&lt;&gt;0,$K$7:$CP$7))&gt;=GW$5,MIN(IF($K48:$CP48&lt;&gt;0,$K$7:$CP$7))&lt;=GW$6)</f>
        <v>0</v>
      </c>
      <c r="GX48" s="214" cm="1">
        <f t="array" ref="GX48">--AND(MIN(IF($K48:$CP48&lt;&gt;0,$K$7:$CP$7))&gt;=GX$5,MIN(IF($K48:$CP48&lt;&gt;0,$K$7:$CP$7))&lt;=GX$6)</f>
        <v>0</v>
      </c>
      <c r="GY48" s="214" cm="1">
        <f t="array" ref="GY48">--AND(MIN(IF($K48:$CP48&lt;&gt;0,$K$7:$CP$7))&gt;=GY$5,MIN(IF($K48:$CP48&lt;&gt;0,$K$7:$CP$7))&lt;=GY$6)</f>
        <v>0</v>
      </c>
      <c r="GZ48" s="214" cm="1">
        <f t="array" ref="GZ48">--AND(MIN(IF($K48:$CP48&lt;&gt;0,$K$7:$CP$7))&gt;=GZ$5,MIN(IF($K48:$CP48&lt;&gt;0,$K$7:$CP$7))&lt;=GZ$6)</f>
        <v>0</v>
      </c>
      <c r="HA48" s="214">
        <f t="shared" si="0"/>
        <v>1</v>
      </c>
      <c r="HC48" s="214" cm="1">
        <f t="array" ref="HC48">--AND(MIN(IF($K48:$CP48&lt;&gt;0,$K$7:$CP$7))&gt;=HC$5,MIN(IF($K48:$CP48&lt;&gt;0,$K$7:$CP$7))&lt;=HC$6)</f>
        <v>1</v>
      </c>
      <c r="HE48" s="147" t="str">
        <f t="shared" si="19"/>
        <v>No</v>
      </c>
      <c r="HF48" s="147" t="str">
        <f t="shared" si="20"/>
        <v>No</v>
      </c>
      <c r="HG48" s="147">
        <f>IF($HF48="Yes",0,$H48*avg_hrs*12*'Key assumptions'!$D$87)</f>
        <v>489055.80871856346</v>
      </c>
      <c r="HH48" s="147">
        <f>IF(HE48="Yes",'Key assumptions'!$D$84*HG48,0)</f>
        <v>0</v>
      </c>
      <c r="HI48" s="144">
        <f>IFERROR(AVERAGEIFS($K48:$CP48,$K$7:$CP$7,"&gt;="&amp;'Key assumptions'!$D$24,$K$7:$CP$7,"&lt;="&amp;'Key assumptions'!$D$25),0)</f>
        <v>0.64214513556618824</v>
      </c>
      <c r="HJ48" s="148">
        <f t="shared" si="22"/>
        <v>0</v>
      </c>
      <c r="HK48" s="148">
        <f t="shared" si="1"/>
        <v>0</v>
      </c>
      <c r="HL48" s="148">
        <f t="shared" si="2"/>
        <v>0</v>
      </c>
      <c r="HM48" s="148">
        <f t="shared" si="3"/>
        <v>0</v>
      </c>
      <c r="HN48" s="148">
        <f t="shared" si="4"/>
        <v>0</v>
      </c>
      <c r="HO48" s="148">
        <f t="shared" si="5"/>
        <v>0</v>
      </c>
      <c r="HP48" s="148">
        <f t="shared" si="6"/>
        <v>0</v>
      </c>
      <c r="HQ48" s="148">
        <f t="shared" si="7"/>
        <v>0</v>
      </c>
      <c r="HR48" s="147">
        <f t="shared" si="8"/>
        <v>0</v>
      </c>
      <c r="HS48" s="89"/>
      <c r="HU48" s="147">
        <f>$HJ48*HC48/(1+'Key assumptions'!G70)^0.75</f>
        <v>0</v>
      </c>
      <c r="HW48" s="216">
        <f t="shared" si="9"/>
        <v>0.64214513556618824</v>
      </c>
      <c r="HX48" s="216">
        <f t="shared" si="10"/>
        <v>0</v>
      </c>
      <c r="HY48" s="216">
        <f t="shared" si="11"/>
        <v>0</v>
      </c>
      <c r="HZ48" s="216">
        <f t="shared" si="12"/>
        <v>0</v>
      </c>
      <c r="IA48" s="216">
        <f t="shared" si="13"/>
        <v>0</v>
      </c>
      <c r="IB48" s="216">
        <f t="shared" si="14"/>
        <v>0</v>
      </c>
      <c r="IC48" s="216">
        <f t="shared" si="15"/>
        <v>0</v>
      </c>
      <c r="ID48" s="216">
        <f t="shared" si="16"/>
        <v>0.64214513556618824</v>
      </c>
      <c r="IF48" s="216">
        <f t="shared" si="17"/>
        <v>0.64214513556618824</v>
      </c>
    </row>
    <row r="49" spans="2:240" x14ac:dyDescent="0.2">
      <c r="B49" s="141" t="str">
        <v>Project Development</v>
      </c>
      <c r="C49" s="141" t="str">
        <v>Civil Design Engineer (Eng&amp;Design Leadership)</v>
      </c>
      <c r="D49" s="141" t="str">
        <v>Internal Labour</v>
      </c>
      <c r="E49" s="141" t="str">
        <v>$ Nominal</v>
      </c>
      <c r="F49" s="141" t="str">
        <v>Existing</v>
      </c>
      <c r="G49" s="141" t="str">
        <v>Normal time</v>
      </c>
      <c r="H49" s="142">
        <v>205.24</v>
      </c>
      <c r="I49" s="126">
        <v>513147.61200000002</v>
      </c>
      <c r="J49" s="143">
        <v>0</v>
      </c>
      <c r="K49" s="144">
        <v>0</v>
      </c>
      <c r="L49" s="144">
        <v>0</v>
      </c>
      <c r="M49" s="144">
        <v>0</v>
      </c>
      <c r="N49" s="144">
        <v>0</v>
      </c>
      <c r="O49" s="144">
        <v>0</v>
      </c>
      <c r="P49" s="144">
        <v>0.3582894736842106</v>
      </c>
      <c r="Q49" s="144">
        <v>1.6653345369377348E-16</v>
      </c>
      <c r="R49" s="144">
        <v>0</v>
      </c>
      <c r="S49" s="144">
        <v>0.11114285714285708</v>
      </c>
      <c r="T49" s="144">
        <v>-7.4543545939117647E-17</v>
      </c>
      <c r="U49" s="144">
        <v>0.11114285714285711</v>
      </c>
      <c r="V49" s="144">
        <v>7.4095238095238256E-2</v>
      </c>
      <c r="W49" s="144">
        <v>0.22228571428571423</v>
      </c>
      <c r="X49" s="144">
        <v>0.2</v>
      </c>
      <c r="Y49" s="144">
        <v>1.65</v>
      </c>
      <c r="Z49" s="144">
        <v>2.2000000000000002</v>
      </c>
      <c r="AA49" s="144">
        <v>1.9342105263157894</v>
      </c>
      <c r="AB49" s="144">
        <v>2.0263157894736841</v>
      </c>
      <c r="AC49" s="144">
        <v>1.1499999999999999</v>
      </c>
      <c r="AD49" s="144">
        <v>1.05</v>
      </c>
      <c r="AE49" s="144">
        <v>1.1499999999999999</v>
      </c>
      <c r="AF49" s="144">
        <v>0.8</v>
      </c>
      <c r="AG49" s="144">
        <v>0.8</v>
      </c>
      <c r="AH49" s="144">
        <v>1.0666666666666667</v>
      </c>
      <c r="AI49" s="144">
        <v>2.8</v>
      </c>
      <c r="AJ49" s="144">
        <v>0.4</v>
      </c>
      <c r="AK49" s="144">
        <v>0.4</v>
      </c>
      <c r="AL49" s="144">
        <v>0.26666666666666666</v>
      </c>
      <c r="AM49" s="144">
        <v>0.18421052631578946</v>
      </c>
      <c r="AN49" s="144">
        <v>0.18421052631578946</v>
      </c>
      <c r="AO49" s="144">
        <v>0</v>
      </c>
      <c r="AP49" s="144">
        <v>0</v>
      </c>
      <c r="AQ49" s="144">
        <v>0</v>
      </c>
      <c r="AR49" s="144">
        <v>0</v>
      </c>
      <c r="AS49" s="144">
        <v>0</v>
      </c>
      <c r="AT49" s="144">
        <v>0</v>
      </c>
      <c r="AU49" s="144">
        <v>0</v>
      </c>
      <c r="AV49" s="144">
        <v>0</v>
      </c>
      <c r="AW49" s="144">
        <v>0</v>
      </c>
      <c r="AX49" s="144">
        <v>0</v>
      </c>
      <c r="AY49" s="144">
        <v>0</v>
      </c>
      <c r="AZ49" s="144">
        <v>0</v>
      </c>
      <c r="BA49" s="144">
        <v>0</v>
      </c>
      <c r="BB49" s="144">
        <v>0</v>
      </c>
      <c r="BC49" s="144">
        <v>0</v>
      </c>
      <c r="BD49" s="144">
        <v>0</v>
      </c>
      <c r="BE49" s="144">
        <v>0</v>
      </c>
      <c r="BF49" s="144">
        <v>0</v>
      </c>
      <c r="BG49" s="144">
        <v>0</v>
      </c>
      <c r="BH49" s="144">
        <v>0</v>
      </c>
      <c r="BI49" s="144">
        <v>0</v>
      </c>
      <c r="BJ49" s="144">
        <v>0</v>
      </c>
      <c r="BK49" s="144">
        <v>0</v>
      </c>
      <c r="BL49" s="144">
        <v>0</v>
      </c>
      <c r="BM49" s="144">
        <v>0</v>
      </c>
      <c r="BN49" s="144">
        <v>0</v>
      </c>
      <c r="BO49" s="144">
        <v>0</v>
      </c>
      <c r="BP49" s="144">
        <v>0</v>
      </c>
      <c r="BQ49" s="144">
        <v>0</v>
      </c>
      <c r="BR49" s="144">
        <v>0</v>
      </c>
      <c r="BS49" s="144">
        <v>0</v>
      </c>
      <c r="BT49" s="144">
        <v>0</v>
      </c>
      <c r="BU49" s="144">
        <v>0</v>
      </c>
      <c r="BV49" s="144">
        <v>0</v>
      </c>
      <c r="BW49" s="144">
        <v>0</v>
      </c>
      <c r="BX49" s="144">
        <v>0</v>
      </c>
      <c r="BY49" s="144">
        <v>0</v>
      </c>
      <c r="BZ49" s="144">
        <v>0</v>
      </c>
      <c r="CA49" s="144">
        <v>0</v>
      </c>
      <c r="CB49" s="144">
        <v>0</v>
      </c>
      <c r="CC49" s="144">
        <v>0</v>
      </c>
      <c r="CD49" s="144">
        <v>0</v>
      </c>
      <c r="CE49" s="144">
        <v>0</v>
      </c>
      <c r="CF49" s="144">
        <v>0</v>
      </c>
      <c r="CG49" s="144">
        <v>0</v>
      </c>
      <c r="CH49" s="144">
        <v>0</v>
      </c>
      <c r="CI49" s="144">
        <v>0</v>
      </c>
      <c r="CJ49" s="144">
        <v>0</v>
      </c>
      <c r="CK49" s="144">
        <v>0</v>
      </c>
      <c r="CL49" s="144">
        <v>0</v>
      </c>
      <c r="CM49" s="144">
        <v>0</v>
      </c>
      <c r="CN49" s="144">
        <v>0</v>
      </c>
      <c r="CO49" s="144">
        <v>0</v>
      </c>
      <c r="CP49" s="144">
        <v>0</v>
      </c>
      <c r="CQ49" s="143">
        <v>0</v>
      </c>
      <c r="CR49" s="145">
        <v>0</v>
      </c>
      <c r="CS49" s="145">
        <v>0</v>
      </c>
      <c r="CT49" s="145">
        <v>0</v>
      </c>
      <c r="CU49" s="145">
        <v>0</v>
      </c>
      <c r="CV49" s="145">
        <v>0</v>
      </c>
      <c r="CW49" s="145">
        <v>10443.811999999998</v>
      </c>
      <c r="CX49" s="145">
        <v>-1.4210854715202004E-13</v>
      </c>
      <c r="CY49" s="145">
        <v>0</v>
      </c>
      <c r="CZ49" s="145">
        <v>3048.3400000000011</v>
      </c>
      <c r="DA49" s="145">
        <v>8.5265128291212022E-14</v>
      </c>
      <c r="DB49" s="145">
        <v>3048.3399999999992</v>
      </c>
      <c r="DC49" s="145">
        <v>1524.1700000000014</v>
      </c>
      <c r="DD49" s="145">
        <v>4572.5099999999993</v>
      </c>
      <c r="DE49" s="145">
        <v>5485.48</v>
      </c>
      <c r="DF49" s="145">
        <v>47410.44</v>
      </c>
      <c r="DG49" s="145">
        <v>47410.44</v>
      </c>
      <c r="DH49" s="145">
        <v>60340.560000000005</v>
      </c>
      <c r="DI49" s="145">
        <v>63213.920000000006</v>
      </c>
      <c r="DJ49" s="145">
        <v>33043.64</v>
      </c>
      <c r="DK49" s="145">
        <v>30170.280000000002</v>
      </c>
      <c r="DL49" s="145">
        <v>33043.64</v>
      </c>
      <c r="DM49" s="145">
        <v>22986.880000000001</v>
      </c>
      <c r="DN49" s="145">
        <v>22986.880000000001</v>
      </c>
      <c r="DO49" s="145">
        <v>22986.880000000001</v>
      </c>
      <c r="DP49" s="145">
        <v>60340.560000000005</v>
      </c>
      <c r="DQ49" s="145">
        <v>11493.44</v>
      </c>
      <c r="DR49" s="145">
        <v>11838.96</v>
      </c>
      <c r="DS49" s="145">
        <v>5919.48</v>
      </c>
      <c r="DT49" s="145">
        <v>5919.48</v>
      </c>
      <c r="DU49" s="145">
        <v>5919.48</v>
      </c>
      <c r="DV49" s="145">
        <v>0</v>
      </c>
      <c r="DW49" s="145">
        <v>0</v>
      </c>
      <c r="DX49" s="145">
        <v>0</v>
      </c>
      <c r="DY49" s="145">
        <v>0</v>
      </c>
      <c r="DZ49" s="145">
        <v>0</v>
      </c>
      <c r="EA49" s="145">
        <v>0</v>
      </c>
      <c r="EB49" s="145">
        <v>0</v>
      </c>
      <c r="EC49" s="145">
        <v>0</v>
      </c>
      <c r="ED49" s="145">
        <v>0</v>
      </c>
      <c r="EE49" s="145">
        <v>0</v>
      </c>
      <c r="EF49" s="145">
        <v>0</v>
      </c>
      <c r="EG49" s="145">
        <v>0</v>
      </c>
      <c r="EH49" s="145">
        <v>0</v>
      </c>
      <c r="EI49" s="145">
        <v>0</v>
      </c>
      <c r="EJ49" s="145">
        <v>0</v>
      </c>
      <c r="EK49" s="145">
        <v>0</v>
      </c>
      <c r="EL49" s="145">
        <v>0</v>
      </c>
      <c r="EM49" s="145">
        <v>0</v>
      </c>
      <c r="EN49" s="145">
        <v>0</v>
      </c>
      <c r="EO49" s="145">
        <v>0</v>
      </c>
      <c r="EP49" s="145">
        <v>0</v>
      </c>
      <c r="EQ49" s="145">
        <v>0</v>
      </c>
      <c r="ER49" s="145">
        <v>0</v>
      </c>
      <c r="ES49" s="145">
        <v>0</v>
      </c>
      <c r="ET49" s="145">
        <v>0</v>
      </c>
      <c r="EU49" s="145">
        <v>0</v>
      </c>
      <c r="EV49" s="145">
        <v>0</v>
      </c>
      <c r="EW49" s="145">
        <v>0</v>
      </c>
      <c r="EX49" s="145">
        <v>0</v>
      </c>
      <c r="EY49" s="145">
        <v>0</v>
      </c>
      <c r="EZ49" s="145">
        <v>0</v>
      </c>
      <c r="FA49" s="145">
        <v>0</v>
      </c>
      <c r="FB49" s="145">
        <v>0</v>
      </c>
      <c r="FC49" s="145">
        <v>0</v>
      </c>
      <c r="FD49" s="145">
        <v>0</v>
      </c>
      <c r="FE49" s="145">
        <v>0</v>
      </c>
      <c r="FF49" s="145">
        <v>0</v>
      </c>
      <c r="FG49" s="145">
        <v>0</v>
      </c>
      <c r="FH49" s="145">
        <v>0</v>
      </c>
      <c r="FI49" s="145">
        <v>0</v>
      </c>
      <c r="FJ49" s="145">
        <v>0</v>
      </c>
      <c r="FK49" s="145">
        <v>0</v>
      </c>
      <c r="FL49" s="145">
        <v>0</v>
      </c>
      <c r="FM49" s="145">
        <v>0</v>
      </c>
      <c r="FN49" s="145">
        <v>0</v>
      </c>
      <c r="FO49" s="145">
        <v>0</v>
      </c>
      <c r="FP49" s="145">
        <v>0</v>
      </c>
      <c r="FQ49" s="145">
        <v>0</v>
      </c>
      <c r="FR49" s="145">
        <v>0</v>
      </c>
      <c r="FS49" s="145">
        <v>0</v>
      </c>
      <c r="FT49" s="145">
        <v>0</v>
      </c>
      <c r="FU49" s="145">
        <v>0</v>
      </c>
      <c r="FV49" s="145">
        <v>0</v>
      </c>
      <c r="FW49" s="145">
        <v>0</v>
      </c>
      <c r="FX49" s="143"/>
      <c r="FY49" s="146" t="str">
        <f>_xlfn.XLOOKUP($E49,'Key assumptions'!$B$112:$B$120,'Key assumptions'!$C$112:$C$120,0)</f>
        <v>Nominal</v>
      </c>
      <c r="FZ49" s="146" cm="1">
        <f t="array" ref="FZ49">IF($FY49=0,0,_xlfn.IFS($FY49='Key assumptions'!$C$120,_xlfn.XLOOKUP(LEFT(FZ$7,6),Inflation_Year,Inflation_NominaltoReal),TRUE,_xlfn.XLOOKUP($FY49,Inflation_Year,NominaltoReal)))</f>
        <v>1.0197075870962191</v>
      </c>
      <c r="GA49" s="146" cm="1">
        <f t="array" ref="GA49">IF($FY49=0,0,_xlfn.IFS($FY49='Key assumptions'!$C$120,_xlfn.XLOOKUP(LEFT(GA$7,6),Inflation_Year,Inflation_NominaltoReal),TRUE,_xlfn.XLOOKUP($FY49,Inflation_Year,NominaltoReal)))</f>
        <v>0.98700804022984445</v>
      </c>
      <c r="GB49" s="146" cm="1">
        <f t="array" ref="GB49">IF($FY49=0,0,_xlfn.IFS($FY49='Key assumptions'!$C$120,_xlfn.XLOOKUP(LEFT(GB$7,6),Inflation_Year,Inflation_NominaltoReal),TRUE,_xlfn.XLOOKUP($FY49,Inflation_Year,NominaltoReal)))</f>
        <v>0.96152830081941731</v>
      </c>
      <c r="GC49" s="146" cm="1">
        <f t="array" ref="GC49">IF($FY49=0,0,_xlfn.IFS($FY49='Key assumptions'!$C$120,_xlfn.XLOOKUP(LEFT(GC$7,6),Inflation_Year,Inflation_NominaltoReal),TRUE,_xlfn.XLOOKUP($FY49,Inflation_Year,NominaltoReal)))</f>
        <v>0.93670632415656829</v>
      </c>
      <c r="GD49" s="146" cm="1">
        <f t="array" ref="GD49">IF($FY49=0,0,_xlfn.IFS($FY49='Key assumptions'!$C$120,_xlfn.XLOOKUP(LEFT(GD$7,6),Inflation_Year,Inflation_NominaltoReal),TRUE,_xlfn.XLOOKUP($FY49,Inflation_Year,NominaltoReal)))</f>
        <v>0.91252513001143176</v>
      </c>
      <c r="GE49" s="146" cm="1">
        <f t="array" ref="GE49">IF($FY49=0,0,_xlfn.IFS($FY49='Key assumptions'!$C$120,_xlfn.XLOOKUP(LEFT(GE$7,6),Inflation_Year,Inflation_NominaltoReal),TRUE,_xlfn.XLOOKUP($FY49,Inflation_Year,NominaltoReal)))</f>
        <v>0.88896817650095872</v>
      </c>
      <c r="GF49" s="146" cm="1">
        <f t="array" ref="GF49">IF($FY49=0,0,_xlfn.IFS($FY49='Key assumptions'!$C$120,_xlfn.XLOOKUP(LEFT(GF$7,6),Inflation_Year,Inflation_NominaltoReal),TRUE,_xlfn.XLOOKUP($FY49,Inflation_Year,NominaltoReal)))</f>
        <v>0.86601934877293718</v>
      </c>
      <c r="GG49" s="143"/>
      <c r="GH49" s="145" cm="1">
        <f t="array" ref="GH49">SUMPRODUCT(--($CR$7:$FW$7&gt;=GH$5),--($CR$7:$FW$7&lt;=GH$6),$CR49:$FW49)*FZ49</f>
        <v>326427.16124910238</v>
      </c>
      <c r="GI49" s="145" cm="1">
        <f t="array" ref="GI49">SUMPRODUCT(--($CR$7:$FW$7&gt;=GI$5),--($CR$7:$FW$7&lt;=GI$6),$CR49:$FW49)*GA49</f>
        <v>168178.31347116531</v>
      </c>
      <c r="GJ49" s="145" cm="1">
        <f t="array" ref="GJ49">SUMPRODUCT(--($CR$7:$FW$7&gt;=GJ$5),--($CR$7:$FW$7&lt;=GJ$6),$CR49:$FW49)*GB49</f>
        <v>0</v>
      </c>
      <c r="GK49" s="145" cm="1">
        <f t="array" ref="GK49">SUMPRODUCT(--($CR$7:$FW$7&gt;=GK$5),--($CR$7:$FW$7&lt;=GK$6),$CR49:$FW49)*GC49</f>
        <v>0</v>
      </c>
      <c r="GL49" s="145" cm="1">
        <f t="array" ref="GL49">SUMPRODUCT(--($CR$7:$FW$7&gt;=GL$5),--($CR$7:$FW$7&lt;=GL$6),$CR49:$FW49)*GD49</f>
        <v>0</v>
      </c>
      <c r="GM49" s="145" cm="1">
        <f t="array" ref="GM49">SUMPRODUCT(--($CR$7:$FW$7&gt;=GM$5),--($CR$7:$FW$7&lt;=GM$6),$CR49:$FW49)*GE49</f>
        <v>0</v>
      </c>
      <c r="GN49" s="145" cm="1">
        <f t="array" ref="GN49">SUMPRODUCT(--($CR$7:$FW$7&gt;=GN$5),--($CR$7:$FW$7&lt;=GN$6),$CR49:$FW49)*GF49</f>
        <v>0</v>
      </c>
      <c r="GO49" s="145">
        <f t="shared" si="18"/>
        <v>494605.4747202677</v>
      </c>
      <c r="GP49" s="87"/>
      <c r="GQ49" s="89"/>
      <c r="GR49" s="145" cm="1">
        <f t="array" ref="GR49">SUMPRODUCT(--($CR$7:$FW$7&gt;=GR$5),--($CR$7:$FW$7&lt;=GR$6),$CR49:$FW49)</f>
        <v>223860.84000000003</v>
      </c>
      <c r="GS49" s="89"/>
      <c r="GT49" s="214" cm="1">
        <f t="array" ref="GT49">--AND(MIN(IF($K49:$CP49&lt;&gt;0,$K$7:$CP$7))&gt;=GT$5,MIN(IF($K49:$CP49&lt;&gt;0,$K$7:$CP$7))&lt;=GT$6)</f>
        <v>0</v>
      </c>
      <c r="GU49" s="214" cm="1">
        <f t="array" ref="GU49">--AND(MIN(IF($K49:$CP49&lt;&gt;0,$K$7:$CP$7))&gt;=GU$5,MIN(IF($K49:$CP49&lt;&gt;0,$K$7:$CP$7))&lt;=GU$6)</f>
        <v>0</v>
      </c>
      <c r="GV49" s="214" cm="1">
        <f t="array" ref="GV49">--AND(MIN(IF($K49:$CP49&lt;&gt;0,$K$7:$CP$7))&gt;=GV$5,MIN(IF($K49:$CP49&lt;&gt;0,$K$7:$CP$7))&lt;=GV$6)</f>
        <v>0</v>
      </c>
      <c r="GW49" s="214" cm="1">
        <f t="array" ref="GW49">--AND(MIN(IF($K49:$CP49&lt;&gt;0,$K$7:$CP$7))&gt;=GW$5,MIN(IF($K49:$CP49&lt;&gt;0,$K$7:$CP$7))&lt;=GW$6)</f>
        <v>0</v>
      </c>
      <c r="GX49" s="214" cm="1">
        <f t="array" ref="GX49">--AND(MIN(IF($K49:$CP49&lt;&gt;0,$K$7:$CP$7))&gt;=GX$5,MIN(IF($K49:$CP49&lt;&gt;0,$K$7:$CP$7))&lt;=GX$6)</f>
        <v>0</v>
      </c>
      <c r="GY49" s="214" cm="1">
        <f t="array" ref="GY49">--AND(MIN(IF($K49:$CP49&lt;&gt;0,$K$7:$CP$7))&gt;=GY$5,MIN(IF($K49:$CP49&lt;&gt;0,$K$7:$CP$7))&lt;=GY$6)</f>
        <v>0</v>
      </c>
      <c r="GZ49" s="214" cm="1">
        <f t="array" ref="GZ49">--AND(MIN(IF($K49:$CP49&lt;&gt;0,$K$7:$CP$7))&gt;=GZ$5,MIN(IF($K49:$CP49&lt;&gt;0,$K$7:$CP$7))&lt;=GZ$6)</f>
        <v>0</v>
      </c>
      <c r="HA49" s="214">
        <f t="shared" si="0"/>
        <v>0</v>
      </c>
      <c r="HC49" s="214" cm="1">
        <f t="array" ref="HC49">--AND(MIN(IF($K49:$CP49&lt;&gt;0,$K$7:$CP$7))&gt;=HC$5,MIN(IF($K49:$CP49&lt;&gt;0,$K$7:$CP$7))&lt;=HC$6)</f>
        <v>0</v>
      </c>
      <c r="HE49" s="147" t="str">
        <f t="shared" si="19"/>
        <v>No</v>
      </c>
      <c r="HF49" s="147" t="str">
        <f t="shared" si="20"/>
        <v>No</v>
      </c>
      <c r="HG49" s="147">
        <f>IF($HF49="Yes",0,$H49*avg_hrs*12*'Key assumptions'!$D$87)</f>
        <v>367024.33151015785</v>
      </c>
      <c r="HH49" s="147">
        <f>IF(HE49="Yes",'Key assumptions'!$D$84*HG49,0)</f>
        <v>0</v>
      </c>
      <c r="HI49" s="144">
        <f>IFERROR(AVERAGEIFS($K49:$CP49,$K$7:$CP$7,"&gt;="&amp;'Key assumptions'!$D$24,$K$7:$CP$7,"&lt;="&amp;'Key assumptions'!$D$25),0)</f>
        <v>0.41505183413078156</v>
      </c>
      <c r="HJ49" s="148">
        <f t="shared" si="22"/>
        <v>0</v>
      </c>
      <c r="HK49" s="148">
        <f t="shared" si="1"/>
        <v>0</v>
      </c>
      <c r="HL49" s="148">
        <f t="shared" si="2"/>
        <v>0</v>
      </c>
      <c r="HM49" s="148">
        <f t="shared" si="3"/>
        <v>0</v>
      </c>
      <c r="HN49" s="148">
        <f t="shared" si="4"/>
        <v>0</v>
      </c>
      <c r="HO49" s="148">
        <f t="shared" si="5"/>
        <v>0</v>
      </c>
      <c r="HP49" s="148">
        <f t="shared" si="6"/>
        <v>0</v>
      </c>
      <c r="HQ49" s="148">
        <f t="shared" si="7"/>
        <v>0</v>
      </c>
      <c r="HR49" s="147">
        <f t="shared" si="8"/>
        <v>0</v>
      </c>
      <c r="HS49" s="89"/>
      <c r="HU49" s="147">
        <f>$HJ49*HC49/(1+'Key assumptions'!G71)^0.75</f>
        <v>0</v>
      </c>
      <c r="HW49" s="216">
        <f t="shared" si="9"/>
        <v>0</v>
      </c>
      <c r="HX49" s="216">
        <f t="shared" si="10"/>
        <v>0</v>
      </c>
      <c r="HY49" s="216">
        <f t="shared" si="11"/>
        <v>0</v>
      </c>
      <c r="HZ49" s="216">
        <f t="shared" si="12"/>
        <v>0</v>
      </c>
      <c r="IA49" s="216">
        <f t="shared" si="13"/>
        <v>0</v>
      </c>
      <c r="IB49" s="216">
        <f t="shared" si="14"/>
        <v>0</v>
      </c>
      <c r="IC49" s="216">
        <f t="shared" si="15"/>
        <v>0</v>
      </c>
      <c r="ID49" s="216">
        <f t="shared" si="16"/>
        <v>0</v>
      </c>
      <c r="IF49" s="216">
        <f t="shared" si="17"/>
        <v>0</v>
      </c>
    </row>
    <row r="50" spans="2:240" x14ac:dyDescent="0.2">
      <c r="B50" s="141" t="str">
        <v>Project Development</v>
      </c>
      <c r="C50" s="141" t="str">
        <v>TL Design Engineer (Eng&amp;Design Leadership)</v>
      </c>
      <c r="D50" s="141" t="str">
        <v>Internal Labour</v>
      </c>
      <c r="E50" s="141" t="str">
        <v>$ Nominal</v>
      </c>
      <c r="F50" s="141" t="str">
        <v>Existing</v>
      </c>
      <c r="G50" s="141" t="str">
        <v>Normal time</v>
      </c>
      <c r="H50" s="142">
        <v>212.32</v>
      </c>
      <c r="I50" s="126">
        <v>89174.400000000009</v>
      </c>
      <c r="J50" s="143">
        <v>0</v>
      </c>
      <c r="K50" s="144">
        <v>0</v>
      </c>
      <c r="L50" s="144">
        <v>0</v>
      </c>
      <c r="M50" s="144">
        <v>0</v>
      </c>
      <c r="N50" s="144">
        <v>0</v>
      </c>
      <c r="O50" s="144">
        <v>0</v>
      </c>
      <c r="P50" s="144">
        <v>0</v>
      </c>
      <c r="Q50" s="144">
        <v>0</v>
      </c>
      <c r="R50" s="144">
        <v>0</v>
      </c>
      <c r="S50" s="144">
        <v>0</v>
      </c>
      <c r="T50" s="144">
        <v>0</v>
      </c>
      <c r="U50" s="144">
        <v>0</v>
      </c>
      <c r="V50" s="144">
        <v>0</v>
      </c>
      <c r="W50" s="144">
        <v>0</v>
      </c>
      <c r="X50" s="144">
        <v>0</v>
      </c>
      <c r="Y50" s="144">
        <v>0</v>
      </c>
      <c r="Z50" s="144">
        <v>0.33333333333333331</v>
      </c>
      <c r="AA50" s="144">
        <v>0.23026315789473684</v>
      </c>
      <c r="AB50" s="144">
        <v>0.23026315789473684</v>
      </c>
      <c r="AC50" s="144">
        <v>0.25</v>
      </c>
      <c r="AD50" s="144">
        <v>0.45</v>
      </c>
      <c r="AE50" s="144">
        <v>0.45</v>
      </c>
      <c r="AF50" s="144">
        <v>0.45</v>
      </c>
      <c r="AG50" s="144">
        <v>0.45</v>
      </c>
      <c r="AH50" s="144">
        <v>0.26666666666666666</v>
      </c>
      <c r="AI50" s="144">
        <v>0</v>
      </c>
      <c r="AJ50" s="144">
        <v>0</v>
      </c>
      <c r="AK50" s="144">
        <v>0</v>
      </c>
      <c r="AL50" s="144">
        <v>0</v>
      </c>
      <c r="AM50" s="144">
        <v>0</v>
      </c>
      <c r="AN50" s="144">
        <v>0</v>
      </c>
      <c r="AO50" s="144">
        <v>0</v>
      </c>
      <c r="AP50" s="144">
        <v>0</v>
      </c>
      <c r="AQ50" s="144">
        <v>0</v>
      </c>
      <c r="AR50" s="144">
        <v>0</v>
      </c>
      <c r="AS50" s="144">
        <v>0</v>
      </c>
      <c r="AT50" s="144">
        <v>0</v>
      </c>
      <c r="AU50" s="144">
        <v>0</v>
      </c>
      <c r="AV50" s="144">
        <v>0</v>
      </c>
      <c r="AW50" s="144">
        <v>0</v>
      </c>
      <c r="AX50" s="144">
        <v>0</v>
      </c>
      <c r="AY50" s="144">
        <v>0</v>
      </c>
      <c r="AZ50" s="144">
        <v>0</v>
      </c>
      <c r="BA50" s="144">
        <v>0</v>
      </c>
      <c r="BB50" s="144">
        <v>0</v>
      </c>
      <c r="BC50" s="144">
        <v>0</v>
      </c>
      <c r="BD50" s="144">
        <v>0</v>
      </c>
      <c r="BE50" s="144">
        <v>0</v>
      </c>
      <c r="BF50" s="144">
        <v>0</v>
      </c>
      <c r="BG50" s="144">
        <v>0</v>
      </c>
      <c r="BH50" s="144">
        <v>0</v>
      </c>
      <c r="BI50" s="144">
        <v>0</v>
      </c>
      <c r="BJ50" s="144">
        <v>0</v>
      </c>
      <c r="BK50" s="144">
        <v>0</v>
      </c>
      <c r="BL50" s="144">
        <v>0</v>
      </c>
      <c r="BM50" s="144">
        <v>0</v>
      </c>
      <c r="BN50" s="144">
        <v>0</v>
      </c>
      <c r="BO50" s="144">
        <v>0</v>
      </c>
      <c r="BP50" s="144">
        <v>0</v>
      </c>
      <c r="BQ50" s="144">
        <v>0</v>
      </c>
      <c r="BR50" s="144">
        <v>0</v>
      </c>
      <c r="BS50" s="144">
        <v>0</v>
      </c>
      <c r="BT50" s="144">
        <v>0</v>
      </c>
      <c r="BU50" s="144">
        <v>0</v>
      </c>
      <c r="BV50" s="144">
        <v>0</v>
      </c>
      <c r="BW50" s="144">
        <v>0</v>
      </c>
      <c r="BX50" s="144">
        <v>0</v>
      </c>
      <c r="BY50" s="144">
        <v>0</v>
      </c>
      <c r="BZ50" s="144">
        <v>0</v>
      </c>
      <c r="CA50" s="144">
        <v>0</v>
      </c>
      <c r="CB50" s="144">
        <v>0</v>
      </c>
      <c r="CC50" s="144">
        <v>0</v>
      </c>
      <c r="CD50" s="144">
        <v>0</v>
      </c>
      <c r="CE50" s="144">
        <v>0</v>
      </c>
      <c r="CF50" s="144">
        <v>0</v>
      </c>
      <c r="CG50" s="144">
        <v>0</v>
      </c>
      <c r="CH50" s="144">
        <v>0</v>
      </c>
      <c r="CI50" s="144">
        <v>0</v>
      </c>
      <c r="CJ50" s="144">
        <v>0</v>
      </c>
      <c r="CK50" s="144">
        <v>0</v>
      </c>
      <c r="CL50" s="144">
        <v>0</v>
      </c>
      <c r="CM50" s="144">
        <v>0</v>
      </c>
      <c r="CN50" s="144">
        <v>0</v>
      </c>
      <c r="CO50" s="144">
        <v>0</v>
      </c>
      <c r="CP50" s="144">
        <v>0</v>
      </c>
      <c r="CQ50" s="143">
        <v>0</v>
      </c>
      <c r="CR50" s="145">
        <v>0</v>
      </c>
      <c r="CS50" s="145">
        <v>0</v>
      </c>
      <c r="CT50" s="145">
        <v>0</v>
      </c>
      <c r="CU50" s="145">
        <v>0</v>
      </c>
      <c r="CV50" s="145">
        <v>0</v>
      </c>
      <c r="CW50" s="145">
        <v>0</v>
      </c>
      <c r="CX50" s="145">
        <v>0</v>
      </c>
      <c r="CY50" s="145">
        <v>0</v>
      </c>
      <c r="CZ50" s="145">
        <v>0</v>
      </c>
      <c r="DA50" s="145">
        <v>0</v>
      </c>
      <c r="DB50" s="145">
        <v>0</v>
      </c>
      <c r="DC50" s="145">
        <v>0</v>
      </c>
      <c r="DD50" s="145">
        <v>0</v>
      </c>
      <c r="DE50" s="145">
        <v>0</v>
      </c>
      <c r="DF50" s="145">
        <v>0</v>
      </c>
      <c r="DG50" s="145">
        <v>7431.2</v>
      </c>
      <c r="DH50" s="145">
        <v>7431.2</v>
      </c>
      <c r="DI50" s="145">
        <v>7431.2</v>
      </c>
      <c r="DJ50" s="145">
        <v>7431.2</v>
      </c>
      <c r="DK50" s="145">
        <v>13376.16</v>
      </c>
      <c r="DL50" s="145">
        <v>13376.16</v>
      </c>
      <c r="DM50" s="145">
        <v>13376.16</v>
      </c>
      <c r="DN50" s="145">
        <v>13376.16</v>
      </c>
      <c r="DO50" s="145">
        <v>5944.96</v>
      </c>
      <c r="DP50" s="145">
        <v>0</v>
      </c>
      <c r="DQ50" s="145">
        <v>0</v>
      </c>
      <c r="DR50" s="145">
        <v>0</v>
      </c>
      <c r="DS50" s="145">
        <v>0</v>
      </c>
      <c r="DT50" s="145">
        <v>0</v>
      </c>
      <c r="DU50" s="145">
        <v>0</v>
      </c>
      <c r="DV50" s="145">
        <v>0</v>
      </c>
      <c r="DW50" s="145">
        <v>0</v>
      </c>
      <c r="DX50" s="145">
        <v>0</v>
      </c>
      <c r="DY50" s="145">
        <v>0</v>
      </c>
      <c r="DZ50" s="145">
        <v>0</v>
      </c>
      <c r="EA50" s="145">
        <v>0</v>
      </c>
      <c r="EB50" s="145">
        <v>0</v>
      </c>
      <c r="EC50" s="145">
        <v>0</v>
      </c>
      <c r="ED50" s="145">
        <v>0</v>
      </c>
      <c r="EE50" s="145">
        <v>0</v>
      </c>
      <c r="EF50" s="145">
        <v>0</v>
      </c>
      <c r="EG50" s="145">
        <v>0</v>
      </c>
      <c r="EH50" s="145">
        <v>0</v>
      </c>
      <c r="EI50" s="145">
        <v>0</v>
      </c>
      <c r="EJ50" s="145">
        <v>0</v>
      </c>
      <c r="EK50" s="145">
        <v>0</v>
      </c>
      <c r="EL50" s="145">
        <v>0</v>
      </c>
      <c r="EM50" s="145">
        <v>0</v>
      </c>
      <c r="EN50" s="145">
        <v>0</v>
      </c>
      <c r="EO50" s="145">
        <v>0</v>
      </c>
      <c r="EP50" s="145">
        <v>0</v>
      </c>
      <c r="EQ50" s="145">
        <v>0</v>
      </c>
      <c r="ER50" s="145">
        <v>0</v>
      </c>
      <c r="ES50" s="145">
        <v>0</v>
      </c>
      <c r="ET50" s="145">
        <v>0</v>
      </c>
      <c r="EU50" s="145">
        <v>0</v>
      </c>
      <c r="EV50" s="145">
        <v>0</v>
      </c>
      <c r="EW50" s="145">
        <v>0</v>
      </c>
      <c r="EX50" s="145">
        <v>0</v>
      </c>
      <c r="EY50" s="145">
        <v>0</v>
      </c>
      <c r="EZ50" s="145">
        <v>0</v>
      </c>
      <c r="FA50" s="145">
        <v>0</v>
      </c>
      <c r="FB50" s="145">
        <v>0</v>
      </c>
      <c r="FC50" s="145">
        <v>0</v>
      </c>
      <c r="FD50" s="145">
        <v>0</v>
      </c>
      <c r="FE50" s="145">
        <v>0</v>
      </c>
      <c r="FF50" s="145">
        <v>0</v>
      </c>
      <c r="FG50" s="145">
        <v>0</v>
      </c>
      <c r="FH50" s="145">
        <v>0</v>
      </c>
      <c r="FI50" s="145">
        <v>0</v>
      </c>
      <c r="FJ50" s="145">
        <v>0</v>
      </c>
      <c r="FK50" s="145">
        <v>0</v>
      </c>
      <c r="FL50" s="145">
        <v>0</v>
      </c>
      <c r="FM50" s="145">
        <v>0</v>
      </c>
      <c r="FN50" s="145">
        <v>0</v>
      </c>
      <c r="FO50" s="145">
        <v>0</v>
      </c>
      <c r="FP50" s="145">
        <v>0</v>
      </c>
      <c r="FQ50" s="145">
        <v>0</v>
      </c>
      <c r="FR50" s="145">
        <v>0</v>
      </c>
      <c r="FS50" s="145">
        <v>0</v>
      </c>
      <c r="FT50" s="145">
        <v>0</v>
      </c>
      <c r="FU50" s="145">
        <v>0</v>
      </c>
      <c r="FV50" s="145">
        <v>0</v>
      </c>
      <c r="FW50" s="145">
        <v>0</v>
      </c>
      <c r="FX50" s="143"/>
      <c r="FY50" s="146" t="str">
        <f>_xlfn.XLOOKUP($E50,'Key assumptions'!$B$112:$B$120,'Key assumptions'!$C$112:$C$120,0)</f>
        <v>Nominal</v>
      </c>
      <c r="FZ50" s="146" cm="1">
        <f t="array" ref="FZ50">IF($FY50=0,0,_xlfn.IFS($FY50='Key assumptions'!$C$120,_xlfn.XLOOKUP(LEFT(FZ$7,6),Inflation_Year,Inflation_NominaltoReal),TRUE,_xlfn.XLOOKUP($FY50,Inflation_Year,NominaltoReal)))</f>
        <v>1.0197075870962191</v>
      </c>
      <c r="GA50" s="146" cm="1">
        <f t="array" ref="GA50">IF($FY50=0,0,_xlfn.IFS($FY50='Key assumptions'!$C$120,_xlfn.XLOOKUP(LEFT(GA$7,6),Inflation_Year,Inflation_NominaltoReal),TRUE,_xlfn.XLOOKUP($FY50,Inflation_Year,NominaltoReal)))</f>
        <v>0.98700804022984445</v>
      </c>
      <c r="GB50" s="146" cm="1">
        <f t="array" ref="GB50">IF($FY50=0,0,_xlfn.IFS($FY50='Key assumptions'!$C$120,_xlfn.XLOOKUP(LEFT(GB$7,6),Inflation_Year,Inflation_NominaltoReal),TRUE,_xlfn.XLOOKUP($FY50,Inflation_Year,NominaltoReal)))</f>
        <v>0.96152830081941731</v>
      </c>
      <c r="GC50" s="146" cm="1">
        <f t="array" ref="GC50">IF($FY50=0,0,_xlfn.IFS($FY50='Key assumptions'!$C$120,_xlfn.XLOOKUP(LEFT(GC$7,6),Inflation_Year,Inflation_NominaltoReal),TRUE,_xlfn.XLOOKUP($FY50,Inflation_Year,NominaltoReal)))</f>
        <v>0.93670632415656829</v>
      </c>
      <c r="GD50" s="146" cm="1">
        <f t="array" ref="GD50">IF($FY50=0,0,_xlfn.IFS($FY50='Key assumptions'!$C$120,_xlfn.XLOOKUP(LEFT(GD$7,6),Inflation_Year,Inflation_NominaltoReal),TRUE,_xlfn.XLOOKUP($FY50,Inflation_Year,NominaltoReal)))</f>
        <v>0.91252513001143176</v>
      </c>
      <c r="GE50" s="146" cm="1">
        <f t="array" ref="GE50">IF($FY50=0,0,_xlfn.IFS($FY50='Key assumptions'!$C$120,_xlfn.XLOOKUP(LEFT(GE$7,6),Inflation_Year,Inflation_NominaltoReal),TRUE,_xlfn.XLOOKUP($FY50,Inflation_Year,NominaltoReal)))</f>
        <v>0.88896817650095872</v>
      </c>
      <c r="GF50" s="146" cm="1">
        <f t="array" ref="GF50">IF($FY50=0,0,_xlfn.IFS($FY50='Key assumptions'!$C$120,_xlfn.XLOOKUP(LEFT(GF$7,6),Inflation_Year,Inflation_NominaltoReal),TRUE,_xlfn.XLOOKUP($FY50,Inflation_Year,NominaltoReal)))</f>
        <v>0.86601934877293718</v>
      </c>
      <c r="GG50" s="143"/>
      <c r="GH50" s="145" cm="1">
        <f t="array" ref="GH50">SUMPRODUCT(--($CR$7:$FW$7&gt;=GH$5),--($CR$7:$FW$7&lt;=GH$6),$CR50:$FW50)*FZ50</f>
        <v>57590.147761343615</v>
      </c>
      <c r="GI50" s="145" cm="1">
        <f t="array" ref="GI50">SUMPRODUCT(--($CR$7:$FW$7&gt;=GI$5),--($CR$7:$FW$7&lt;=GI$6),$CR50:$FW50)*GA50</f>
        <v>32272.478253646488</v>
      </c>
      <c r="GJ50" s="145" cm="1">
        <f t="array" ref="GJ50">SUMPRODUCT(--($CR$7:$FW$7&gt;=GJ$5),--($CR$7:$FW$7&lt;=GJ$6),$CR50:$FW50)*GB50</f>
        <v>0</v>
      </c>
      <c r="GK50" s="145" cm="1">
        <f t="array" ref="GK50">SUMPRODUCT(--($CR$7:$FW$7&gt;=GK$5),--($CR$7:$FW$7&lt;=GK$6),$CR50:$FW50)*GC50</f>
        <v>0</v>
      </c>
      <c r="GL50" s="145" cm="1">
        <f t="array" ref="GL50">SUMPRODUCT(--($CR$7:$FW$7&gt;=GL$5),--($CR$7:$FW$7&lt;=GL$6),$CR50:$FW50)*GD50</f>
        <v>0</v>
      </c>
      <c r="GM50" s="145" cm="1">
        <f t="array" ref="GM50">SUMPRODUCT(--($CR$7:$FW$7&gt;=GM$5),--($CR$7:$FW$7&lt;=GM$6),$CR50:$FW50)*GE50</f>
        <v>0</v>
      </c>
      <c r="GN50" s="145" cm="1">
        <f t="array" ref="GN50">SUMPRODUCT(--($CR$7:$FW$7&gt;=GN$5),--($CR$7:$FW$7&lt;=GN$6),$CR50:$FW50)*GF50</f>
        <v>0</v>
      </c>
      <c r="GO50" s="145">
        <f t="shared" si="18"/>
        <v>89862.626014990106</v>
      </c>
      <c r="GP50" s="87"/>
      <c r="GQ50" s="89"/>
      <c r="GR50" s="145" cm="1">
        <f t="array" ref="GR50">SUMPRODUCT(--($CR$7:$FW$7&gt;=GR$5),--($CR$7:$FW$7&lt;=GR$6),$CR50:$FW50)</f>
        <v>22293.599999999999</v>
      </c>
      <c r="GS50" s="89"/>
      <c r="GT50" s="214" cm="1">
        <f t="array" ref="GT50">--AND(MIN(IF($K50:$CP50&lt;&gt;0,$K$7:$CP$7))&gt;=GT$5,MIN(IF($K50:$CP50&lt;&gt;0,$K$7:$CP$7))&lt;=GT$6)</f>
        <v>1</v>
      </c>
      <c r="GU50" s="214" cm="1">
        <f t="array" ref="GU50">--AND(MIN(IF($K50:$CP50&lt;&gt;0,$K$7:$CP$7))&gt;=GU$5,MIN(IF($K50:$CP50&lt;&gt;0,$K$7:$CP$7))&lt;=GU$6)</f>
        <v>0</v>
      </c>
      <c r="GV50" s="214" cm="1">
        <f t="array" ref="GV50">--AND(MIN(IF($K50:$CP50&lt;&gt;0,$K$7:$CP$7))&gt;=GV$5,MIN(IF($K50:$CP50&lt;&gt;0,$K$7:$CP$7))&lt;=GV$6)</f>
        <v>0</v>
      </c>
      <c r="GW50" s="214" cm="1">
        <f t="array" ref="GW50">--AND(MIN(IF($K50:$CP50&lt;&gt;0,$K$7:$CP$7))&gt;=GW$5,MIN(IF($K50:$CP50&lt;&gt;0,$K$7:$CP$7))&lt;=GW$6)</f>
        <v>0</v>
      </c>
      <c r="GX50" s="214" cm="1">
        <f t="array" ref="GX50">--AND(MIN(IF($K50:$CP50&lt;&gt;0,$K$7:$CP$7))&gt;=GX$5,MIN(IF($K50:$CP50&lt;&gt;0,$K$7:$CP$7))&lt;=GX$6)</f>
        <v>0</v>
      </c>
      <c r="GY50" s="214" cm="1">
        <f t="array" ref="GY50">--AND(MIN(IF($K50:$CP50&lt;&gt;0,$K$7:$CP$7))&gt;=GY$5,MIN(IF($K50:$CP50&lt;&gt;0,$K$7:$CP$7))&lt;=GY$6)</f>
        <v>0</v>
      </c>
      <c r="GZ50" s="214" cm="1">
        <f t="array" ref="GZ50">--AND(MIN(IF($K50:$CP50&lt;&gt;0,$K$7:$CP$7))&gt;=GZ$5,MIN(IF($K50:$CP50&lt;&gt;0,$K$7:$CP$7))&lt;=GZ$6)</f>
        <v>0</v>
      </c>
      <c r="HA50" s="214">
        <f t="shared" si="0"/>
        <v>1</v>
      </c>
      <c r="HC50" s="214" cm="1">
        <f t="array" ref="HC50">--AND(MIN(IF($K50:$CP50&lt;&gt;0,$K$7:$CP$7))&gt;=HC$5,MIN(IF($K50:$CP50&lt;&gt;0,$K$7:$CP$7))&lt;=HC$6)</f>
        <v>1</v>
      </c>
      <c r="HE50" s="147" t="str">
        <f t="shared" si="19"/>
        <v>No</v>
      </c>
      <c r="HF50" s="147" t="str">
        <f t="shared" si="20"/>
        <v>No</v>
      </c>
      <c r="HG50" s="147">
        <f>IF($HF50="Yes",0,$H50*avg_hrs*12*'Key assumptions'!$D$87)</f>
        <v>379685.27609743091</v>
      </c>
      <c r="HH50" s="147">
        <f>IF(HE50="Yes",'Key assumptions'!$D$84*HG50,0)</f>
        <v>0</v>
      </c>
      <c r="HI50" s="144">
        <f>IFERROR(AVERAGEIFS($K50:$CP50,$K$7:$CP$7,"&gt;="&amp;'Key assumptions'!$D$24,$K$7:$CP$7,"&lt;="&amp;'Key assumptions'!$D$25),0)</f>
        <v>7.0693779904306225E-2</v>
      </c>
      <c r="HJ50" s="148">
        <f t="shared" si="22"/>
        <v>0</v>
      </c>
      <c r="HK50" s="148">
        <f t="shared" si="1"/>
        <v>0</v>
      </c>
      <c r="HL50" s="148">
        <f t="shared" si="2"/>
        <v>0</v>
      </c>
      <c r="HM50" s="148">
        <f t="shared" si="3"/>
        <v>0</v>
      </c>
      <c r="HN50" s="148">
        <f t="shared" si="4"/>
        <v>0</v>
      </c>
      <c r="HO50" s="148">
        <f t="shared" si="5"/>
        <v>0</v>
      </c>
      <c r="HP50" s="148">
        <f t="shared" si="6"/>
        <v>0</v>
      </c>
      <c r="HQ50" s="148">
        <f t="shared" si="7"/>
        <v>0</v>
      </c>
      <c r="HR50" s="147">
        <f t="shared" si="8"/>
        <v>0</v>
      </c>
      <c r="HS50" s="90"/>
      <c r="HU50" s="147">
        <f>$HJ50*HC50/(1+'Key assumptions'!G72)^0.75</f>
        <v>0</v>
      </c>
      <c r="HW50" s="216">
        <f t="shared" si="9"/>
        <v>7.0693779904306225E-2</v>
      </c>
      <c r="HX50" s="216">
        <f t="shared" si="10"/>
        <v>0</v>
      </c>
      <c r="HY50" s="216">
        <f t="shared" si="11"/>
        <v>0</v>
      </c>
      <c r="HZ50" s="216">
        <f t="shared" si="12"/>
        <v>0</v>
      </c>
      <c r="IA50" s="216">
        <f t="shared" si="13"/>
        <v>0</v>
      </c>
      <c r="IB50" s="216">
        <f t="shared" si="14"/>
        <v>0</v>
      </c>
      <c r="IC50" s="216">
        <f t="shared" si="15"/>
        <v>0</v>
      </c>
      <c r="ID50" s="216">
        <f t="shared" si="16"/>
        <v>7.0693779904306225E-2</v>
      </c>
      <c r="IF50" s="216">
        <f t="shared" si="17"/>
        <v>7.0693779904306225E-2</v>
      </c>
    </row>
    <row r="51" spans="2:240" x14ac:dyDescent="0.2">
      <c r="B51" s="141" t="str">
        <v>Project Development</v>
      </c>
      <c r="C51" s="141" t="str">
        <v>Automation Design Engineer (Eng&amp;Design Leadership)</v>
      </c>
      <c r="D51" s="141" t="str">
        <v>Internal Labour</v>
      </c>
      <c r="E51" s="141" t="str">
        <v>$ Nominal</v>
      </c>
      <c r="F51" s="141" t="str">
        <v>Existing</v>
      </c>
      <c r="G51" s="141" t="str">
        <v>Normal time</v>
      </c>
      <c r="H51" s="142">
        <v>190.85</v>
      </c>
      <c r="I51" s="126">
        <v>625097.83000000007</v>
      </c>
      <c r="J51" s="143">
        <v>0</v>
      </c>
      <c r="K51" s="144">
        <v>0</v>
      </c>
      <c r="L51" s="144">
        <v>0</v>
      </c>
      <c r="M51" s="144">
        <v>0</v>
      </c>
      <c r="N51" s="144">
        <v>0</v>
      </c>
      <c r="O51" s="144">
        <v>0</v>
      </c>
      <c r="P51" s="144">
        <v>0</v>
      </c>
      <c r="Q51" s="144">
        <v>0.25</v>
      </c>
      <c r="R51" s="144">
        <v>0.22857142857142856</v>
      </c>
      <c r="S51" s="144">
        <v>0</v>
      </c>
      <c r="T51" s="144">
        <v>0.2</v>
      </c>
      <c r="U51" s="144">
        <v>0.05</v>
      </c>
      <c r="V51" s="144">
        <v>0.13333333333333333</v>
      </c>
      <c r="W51" s="144">
        <v>6.6666666666666666E-2</v>
      </c>
      <c r="X51" s="144">
        <v>1</v>
      </c>
      <c r="Y51" s="144">
        <v>0.55000000000000004</v>
      </c>
      <c r="Z51" s="144">
        <v>0.6</v>
      </c>
      <c r="AA51" s="144">
        <v>1.1973684210526316</v>
      </c>
      <c r="AB51" s="144">
        <v>2.0263157894736841</v>
      </c>
      <c r="AC51" s="144">
        <v>2.7</v>
      </c>
      <c r="AD51" s="144">
        <v>2.2999999999999998</v>
      </c>
      <c r="AE51" s="144">
        <v>2.4</v>
      </c>
      <c r="AF51" s="144">
        <v>2.4</v>
      </c>
      <c r="AG51" s="144">
        <v>1.3</v>
      </c>
      <c r="AH51" s="144">
        <v>0.26666666666666666</v>
      </c>
      <c r="AI51" s="144">
        <v>1.6</v>
      </c>
      <c r="AJ51" s="144">
        <v>1.2</v>
      </c>
      <c r="AK51" s="144">
        <v>0.2</v>
      </c>
      <c r="AL51" s="144">
        <v>0.6</v>
      </c>
      <c r="AM51" s="144">
        <v>0.41447368421052633</v>
      </c>
      <c r="AN51" s="144">
        <v>0.41447368421052633</v>
      </c>
      <c r="AO51" s="144">
        <v>0.45</v>
      </c>
      <c r="AP51" s="144">
        <v>0.25</v>
      </c>
      <c r="AQ51" s="144">
        <v>0.25</v>
      </c>
      <c r="AR51" s="144">
        <v>0.25</v>
      </c>
      <c r="AS51" s="144">
        <v>0</v>
      </c>
      <c r="AT51" s="144">
        <v>0</v>
      </c>
      <c r="AU51" s="144">
        <v>0</v>
      </c>
      <c r="AV51" s="144">
        <v>0</v>
      </c>
      <c r="AW51" s="144">
        <v>0</v>
      </c>
      <c r="AX51" s="144">
        <v>0</v>
      </c>
      <c r="AY51" s="144">
        <v>0</v>
      </c>
      <c r="AZ51" s="144">
        <v>0</v>
      </c>
      <c r="BA51" s="144">
        <v>0</v>
      </c>
      <c r="BB51" s="144">
        <v>0</v>
      </c>
      <c r="BC51" s="144">
        <v>0</v>
      </c>
      <c r="BD51" s="144">
        <v>0</v>
      </c>
      <c r="BE51" s="144">
        <v>0</v>
      </c>
      <c r="BF51" s="144">
        <v>0</v>
      </c>
      <c r="BG51" s="144">
        <v>0</v>
      </c>
      <c r="BH51" s="144">
        <v>0</v>
      </c>
      <c r="BI51" s="144">
        <v>0</v>
      </c>
      <c r="BJ51" s="144">
        <v>0</v>
      </c>
      <c r="BK51" s="144">
        <v>0</v>
      </c>
      <c r="BL51" s="144">
        <v>0</v>
      </c>
      <c r="BM51" s="144">
        <v>0</v>
      </c>
      <c r="BN51" s="144">
        <v>0</v>
      </c>
      <c r="BO51" s="144">
        <v>0</v>
      </c>
      <c r="BP51" s="144">
        <v>0</v>
      </c>
      <c r="BQ51" s="144">
        <v>0</v>
      </c>
      <c r="BR51" s="144">
        <v>0</v>
      </c>
      <c r="BS51" s="144">
        <v>0</v>
      </c>
      <c r="BT51" s="144">
        <v>0</v>
      </c>
      <c r="BU51" s="144">
        <v>0</v>
      </c>
      <c r="BV51" s="144">
        <v>0</v>
      </c>
      <c r="BW51" s="144">
        <v>0</v>
      </c>
      <c r="BX51" s="144">
        <v>0</v>
      </c>
      <c r="BY51" s="144">
        <v>0</v>
      </c>
      <c r="BZ51" s="144">
        <v>0</v>
      </c>
      <c r="CA51" s="144">
        <v>0</v>
      </c>
      <c r="CB51" s="144">
        <v>0</v>
      </c>
      <c r="CC51" s="144">
        <v>0</v>
      </c>
      <c r="CD51" s="144">
        <v>0</v>
      </c>
      <c r="CE51" s="144">
        <v>0</v>
      </c>
      <c r="CF51" s="144">
        <v>0</v>
      </c>
      <c r="CG51" s="144">
        <v>0</v>
      </c>
      <c r="CH51" s="144">
        <v>0</v>
      </c>
      <c r="CI51" s="144">
        <v>0</v>
      </c>
      <c r="CJ51" s="144">
        <v>0</v>
      </c>
      <c r="CK51" s="144">
        <v>0</v>
      </c>
      <c r="CL51" s="144">
        <v>0</v>
      </c>
      <c r="CM51" s="144">
        <v>0</v>
      </c>
      <c r="CN51" s="144">
        <v>0</v>
      </c>
      <c r="CO51" s="144">
        <v>0</v>
      </c>
      <c r="CP51" s="144">
        <v>0</v>
      </c>
      <c r="CQ51" s="143">
        <v>0</v>
      </c>
      <c r="CR51" s="145">
        <v>0</v>
      </c>
      <c r="CS51" s="145">
        <v>0</v>
      </c>
      <c r="CT51" s="145">
        <v>0</v>
      </c>
      <c r="CU51" s="145">
        <v>0</v>
      </c>
      <c r="CV51" s="145">
        <v>0</v>
      </c>
      <c r="CW51" s="145">
        <v>0</v>
      </c>
      <c r="CX51" s="145">
        <v>10511.900000000001</v>
      </c>
      <c r="CY51" s="145">
        <v>8281.76</v>
      </c>
      <c r="CZ51" s="145">
        <v>1329.1200000000003</v>
      </c>
      <c r="DA51" s="145">
        <v>8409.52</v>
      </c>
      <c r="DB51" s="145">
        <v>2265.3000000000002</v>
      </c>
      <c r="DC51" s="145">
        <v>4530.5999999999995</v>
      </c>
      <c r="DD51" s="145">
        <v>2265.3000000000002</v>
      </c>
      <c r="DE51" s="145">
        <v>25513.600000000002</v>
      </c>
      <c r="DF51" s="145">
        <v>14696.220000000001</v>
      </c>
      <c r="DG51" s="145">
        <v>12024.18</v>
      </c>
      <c r="DH51" s="145">
        <v>34736.520000000004</v>
      </c>
      <c r="DI51" s="145">
        <v>58784.880000000005</v>
      </c>
      <c r="DJ51" s="145">
        <v>72145.08</v>
      </c>
      <c r="DK51" s="145">
        <v>61456.920000000006</v>
      </c>
      <c r="DL51" s="145">
        <v>64128.960000000006</v>
      </c>
      <c r="DM51" s="145">
        <v>64128.960000000006</v>
      </c>
      <c r="DN51" s="145">
        <v>34736.520000000004</v>
      </c>
      <c r="DO51" s="145">
        <v>5344.08</v>
      </c>
      <c r="DP51" s="145">
        <v>32064.480000000003</v>
      </c>
      <c r="DQ51" s="145">
        <v>32064.480000000003</v>
      </c>
      <c r="DR51" s="145">
        <v>5503.96</v>
      </c>
      <c r="DS51" s="145">
        <v>12383.91</v>
      </c>
      <c r="DT51" s="145">
        <v>12383.91</v>
      </c>
      <c r="DU51" s="145">
        <v>12383.91</v>
      </c>
      <c r="DV51" s="145">
        <v>12383.91</v>
      </c>
      <c r="DW51" s="145">
        <v>6879.95</v>
      </c>
      <c r="DX51" s="145">
        <v>6879.95</v>
      </c>
      <c r="DY51" s="145">
        <v>6879.95</v>
      </c>
      <c r="DZ51" s="145">
        <v>0</v>
      </c>
      <c r="EA51" s="145">
        <v>0</v>
      </c>
      <c r="EB51" s="145">
        <v>0</v>
      </c>
      <c r="EC51" s="145">
        <v>0</v>
      </c>
      <c r="ED51" s="145">
        <v>0</v>
      </c>
      <c r="EE51" s="145">
        <v>0</v>
      </c>
      <c r="EF51" s="145">
        <v>0</v>
      </c>
      <c r="EG51" s="145">
        <v>0</v>
      </c>
      <c r="EH51" s="145">
        <v>0</v>
      </c>
      <c r="EI51" s="145">
        <v>0</v>
      </c>
      <c r="EJ51" s="145">
        <v>0</v>
      </c>
      <c r="EK51" s="145">
        <v>0</v>
      </c>
      <c r="EL51" s="145">
        <v>0</v>
      </c>
      <c r="EM51" s="145">
        <v>0</v>
      </c>
      <c r="EN51" s="145">
        <v>0</v>
      </c>
      <c r="EO51" s="145">
        <v>0</v>
      </c>
      <c r="EP51" s="145">
        <v>0</v>
      </c>
      <c r="EQ51" s="145">
        <v>0</v>
      </c>
      <c r="ER51" s="145">
        <v>0</v>
      </c>
      <c r="ES51" s="145">
        <v>0</v>
      </c>
      <c r="ET51" s="145">
        <v>0</v>
      </c>
      <c r="EU51" s="145">
        <v>0</v>
      </c>
      <c r="EV51" s="145">
        <v>0</v>
      </c>
      <c r="EW51" s="145">
        <v>0</v>
      </c>
      <c r="EX51" s="145">
        <v>0</v>
      </c>
      <c r="EY51" s="145">
        <v>0</v>
      </c>
      <c r="EZ51" s="145">
        <v>0</v>
      </c>
      <c r="FA51" s="145">
        <v>0</v>
      </c>
      <c r="FB51" s="145">
        <v>0</v>
      </c>
      <c r="FC51" s="145">
        <v>0</v>
      </c>
      <c r="FD51" s="145">
        <v>0</v>
      </c>
      <c r="FE51" s="145">
        <v>0</v>
      </c>
      <c r="FF51" s="145">
        <v>0</v>
      </c>
      <c r="FG51" s="145">
        <v>0</v>
      </c>
      <c r="FH51" s="145">
        <v>0</v>
      </c>
      <c r="FI51" s="145">
        <v>0</v>
      </c>
      <c r="FJ51" s="145">
        <v>0</v>
      </c>
      <c r="FK51" s="145">
        <v>0</v>
      </c>
      <c r="FL51" s="145">
        <v>0</v>
      </c>
      <c r="FM51" s="145">
        <v>0</v>
      </c>
      <c r="FN51" s="145">
        <v>0</v>
      </c>
      <c r="FO51" s="145">
        <v>0</v>
      </c>
      <c r="FP51" s="145">
        <v>0</v>
      </c>
      <c r="FQ51" s="145">
        <v>0</v>
      </c>
      <c r="FR51" s="145">
        <v>0</v>
      </c>
      <c r="FS51" s="145">
        <v>0</v>
      </c>
      <c r="FT51" s="145">
        <v>0</v>
      </c>
      <c r="FU51" s="145">
        <v>0</v>
      </c>
      <c r="FV51" s="145">
        <v>0</v>
      </c>
      <c r="FW51" s="145">
        <v>0</v>
      </c>
      <c r="FX51" s="143"/>
      <c r="FY51" s="146" t="str">
        <f>_xlfn.XLOOKUP($E51,'Key assumptions'!$B$112:$B$120,'Key assumptions'!$C$112:$C$120,0)</f>
        <v>Nominal</v>
      </c>
      <c r="FZ51" s="146" cm="1">
        <f t="array" ref="FZ51">IF($FY51=0,0,_xlfn.IFS($FY51='Key assumptions'!$C$120,_xlfn.XLOOKUP(LEFT(FZ$7,6),Inflation_Year,Inflation_NominaltoReal),TRUE,_xlfn.XLOOKUP($FY51,Inflation_Year,NominaltoReal)))</f>
        <v>1.0197075870962191</v>
      </c>
      <c r="GA51" s="146" cm="1">
        <f t="array" ref="GA51">IF($FY51=0,0,_xlfn.IFS($FY51='Key assumptions'!$C$120,_xlfn.XLOOKUP(LEFT(GA$7,6),Inflation_Year,Inflation_NominaltoReal),TRUE,_xlfn.XLOOKUP($FY51,Inflation_Year,NominaltoReal)))</f>
        <v>0.98700804022984445</v>
      </c>
      <c r="GB51" s="146" cm="1">
        <f t="array" ref="GB51">IF($FY51=0,0,_xlfn.IFS($FY51='Key assumptions'!$C$120,_xlfn.XLOOKUP(LEFT(GB$7,6),Inflation_Year,Inflation_NominaltoReal),TRUE,_xlfn.XLOOKUP($FY51,Inflation_Year,NominaltoReal)))</f>
        <v>0.96152830081941731</v>
      </c>
      <c r="GC51" s="146" cm="1">
        <f t="array" ref="GC51">IF($FY51=0,0,_xlfn.IFS($FY51='Key assumptions'!$C$120,_xlfn.XLOOKUP(LEFT(GC$7,6),Inflation_Year,Inflation_NominaltoReal),TRUE,_xlfn.XLOOKUP($FY51,Inflation_Year,NominaltoReal)))</f>
        <v>0.93670632415656829</v>
      </c>
      <c r="GD51" s="146" cm="1">
        <f t="array" ref="GD51">IF($FY51=0,0,_xlfn.IFS($FY51='Key assumptions'!$C$120,_xlfn.XLOOKUP(LEFT(GD$7,6),Inflation_Year,Inflation_NominaltoReal),TRUE,_xlfn.XLOOKUP($FY51,Inflation_Year,NominaltoReal)))</f>
        <v>0.91252513001143176</v>
      </c>
      <c r="GE51" s="146" cm="1">
        <f t="array" ref="GE51">IF($FY51=0,0,_xlfn.IFS($FY51='Key assumptions'!$C$120,_xlfn.XLOOKUP(LEFT(GE$7,6),Inflation_Year,Inflation_NominaltoReal),TRUE,_xlfn.XLOOKUP($FY51,Inflation_Year,NominaltoReal)))</f>
        <v>0.88896817650095872</v>
      </c>
      <c r="GF51" s="146" cm="1">
        <f t="array" ref="GF51">IF($FY51=0,0,_xlfn.IFS($FY51='Key assumptions'!$C$120,_xlfn.XLOOKUP(LEFT(GF$7,6),Inflation_Year,Inflation_NominaltoReal),TRUE,_xlfn.XLOOKUP($FY51,Inflation_Year,NominaltoReal)))</f>
        <v>0.86601934877293718</v>
      </c>
      <c r="GG51" s="143"/>
      <c r="GH51" s="145" cm="1">
        <f t="array" ref="GH51">SUMPRODUCT(--($CR$7:$FW$7&gt;=GH$5),--($CR$7:$FW$7&lt;=GH$6),$CR51:$FW51)*FZ51</f>
        <v>350255.6473560633</v>
      </c>
      <c r="GI51" s="145" cm="1">
        <f t="array" ref="GI51">SUMPRODUCT(--($CR$7:$FW$7&gt;=GI$5),--($CR$7:$FW$7&lt;=GI$6),$CR51:$FW51)*GA51</f>
        <v>234057.13238418571</v>
      </c>
      <c r="GJ51" s="145" cm="1">
        <f t="array" ref="GJ51">SUMPRODUCT(--($CR$7:$FW$7&gt;=GJ$5),--($CR$7:$FW$7&lt;=GJ$6),$CR51:$FW51)*GB51</f>
        <v>6615.2666332225499</v>
      </c>
      <c r="GK51" s="145" cm="1">
        <f t="array" ref="GK51">SUMPRODUCT(--($CR$7:$FW$7&gt;=GK$5),--($CR$7:$FW$7&lt;=GK$6),$CR51:$FW51)*GC51</f>
        <v>0</v>
      </c>
      <c r="GL51" s="145" cm="1">
        <f t="array" ref="GL51">SUMPRODUCT(--($CR$7:$FW$7&gt;=GL$5),--($CR$7:$FW$7&lt;=GL$6),$CR51:$FW51)*GD51</f>
        <v>0</v>
      </c>
      <c r="GM51" s="145" cm="1">
        <f t="array" ref="GM51">SUMPRODUCT(--($CR$7:$FW$7&gt;=GM$5),--($CR$7:$FW$7&lt;=GM$6),$CR51:$FW51)*GE51</f>
        <v>0</v>
      </c>
      <c r="GN51" s="145" cm="1">
        <f t="array" ref="GN51">SUMPRODUCT(--($CR$7:$FW$7&gt;=GN$5),--($CR$7:$FW$7&lt;=GN$6),$CR51:$FW51)*GF51</f>
        <v>0</v>
      </c>
      <c r="GO51" s="145">
        <f t="shared" si="18"/>
        <v>590928.04637347162</v>
      </c>
      <c r="GP51" s="87"/>
      <c r="GQ51" s="89"/>
      <c r="GR51" s="145" cm="1">
        <f t="array" ref="GR51">SUMPRODUCT(--($CR$7:$FW$7&gt;=GR$5),--($CR$7:$FW$7&lt;=GR$6),$CR51:$FW51)</f>
        <v>145755.40000000002</v>
      </c>
      <c r="GS51" s="89"/>
      <c r="GT51" s="214" cm="1">
        <f t="array" ref="GT51">--AND(MIN(IF($K51:$CP51&lt;&gt;0,$K$7:$CP$7))&gt;=GT$5,MIN(IF($K51:$CP51&lt;&gt;0,$K$7:$CP$7))&lt;=GT$6)</f>
        <v>0</v>
      </c>
      <c r="GU51" s="214" cm="1">
        <f t="array" ref="GU51">--AND(MIN(IF($K51:$CP51&lt;&gt;0,$K$7:$CP$7))&gt;=GU$5,MIN(IF($K51:$CP51&lt;&gt;0,$K$7:$CP$7))&lt;=GU$6)</f>
        <v>0</v>
      </c>
      <c r="GV51" s="214" cm="1">
        <f t="array" ref="GV51">--AND(MIN(IF($K51:$CP51&lt;&gt;0,$K$7:$CP$7))&gt;=GV$5,MIN(IF($K51:$CP51&lt;&gt;0,$K$7:$CP$7))&lt;=GV$6)</f>
        <v>0</v>
      </c>
      <c r="GW51" s="214" cm="1">
        <f t="array" ref="GW51">--AND(MIN(IF($K51:$CP51&lt;&gt;0,$K$7:$CP$7))&gt;=GW$5,MIN(IF($K51:$CP51&lt;&gt;0,$K$7:$CP$7))&lt;=GW$6)</f>
        <v>0</v>
      </c>
      <c r="GX51" s="214" cm="1">
        <f t="array" ref="GX51">--AND(MIN(IF($K51:$CP51&lt;&gt;0,$K$7:$CP$7))&gt;=GX$5,MIN(IF($K51:$CP51&lt;&gt;0,$K$7:$CP$7))&lt;=GX$6)</f>
        <v>0</v>
      </c>
      <c r="GY51" s="214" cm="1">
        <f t="array" ref="GY51">--AND(MIN(IF($K51:$CP51&lt;&gt;0,$K$7:$CP$7))&gt;=GY$5,MIN(IF($K51:$CP51&lt;&gt;0,$K$7:$CP$7))&lt;=GY$6)</f>
        <v>0</v>
      </c>
      <c r="GZ51" s="214" cm="1">
        <f t="array" ref="GZ51">--AND(MIN(IF($K51:$CP51&lt;&gt;0,$K$7:$CP$7))&gt;=GZ$5,MIN(IF($K51:$CP51&lt;&gt;0,$K$7:$CP$7))&lt;=GZ$6)</f>
        <v>0</v>
      </c>
      <c r="HA51" s="214">
        <f t="shared" si="0"/>
        <v>0</v>
      </c>
      <c r="HC51" s="214" cm="1">
        <f t="array" ref="HC51">--AND(MIN(IF($K51:$CP51&lt;&gt;0,$K$7:$CP$7))&gt;=HC$5,MIN(IF($K51:$CP51&lt;&gt;0,$K$7:$CP$7))&lt;=HC$6)</f>
        <v>0</v>
      </c>
      <c r="HE51" s="147" t="str">
        <f t="shared" si="19"/>
        <v>No</v>
      </c>
      <c r="HF51" s="147" t="str">
        <f t="shared" si="20"/>
        <v>No</v>
      </c>
      <c r="HG51" s="147">
        <f>IF($HF51="Yes",0,$H51*avg_hrs*12*'Key assumptions'!$D$87)</f>
        <v>341291.14046342636</v>
      </c>
      <c r="HH51" s="147">
        <f>IF(HE51="Yes",'Key assumptions'!$D$84*HG51,0)</f>
        <v>0</v>
      </c>
      <c r="HI51" s="144">
        <f>IFERROR(AVERAGEIFS($K51:$CP51,$K$7:$CP$7,"&gt;="&amp;'Key assumptions'!$D$24,$K$7:$CP$7,"&lt;="&amp;'Key assumptions'!$D$25),0)</f>
        <v>0.50839314194577367</v>
      </c>
      <c r="HJ51" s="148">
        <f t="shared" si="22"/>
        <v>0</v>
      </c>
      <c r="HK51" s="148">
        <f t="shared" si="1"/>
        <v>0</v>
      </c>
      <c r="HL51" s="148">
        <f t="shared" si="2"/>
        <v>0</v>
      </c>
      <c r="HM51" s="148">
        <f t="shared" si="3"/>
        <v>0</v>
      </c>
      <c r="HN51" s="148">
        <f t="shared" si="4"/>
        <v>0</v>
      </c>
      <c r="HO51" s="148">
        <f t="shared" si="5"/>
        <v>0</v>
      </c>
      <c r="HP51" s="148">
        <f t="shared" si="6"/>
        <v>0</v>
      </c>
      <c r="HQ51" s="148">
        <f t="shared" si="7"/>
        <v>0</v>
      </c>
      <c r="HR51" s="147">
        <f t="shared" si="8"/>
        <v>0</v>
      </c>
      <c r="HS51" s="89"/>
      <c r="HU51" s="147">
        <f>$HJ51*HC51/(1+'Key assumptions'!G73)^0.75</f>
        <v>0</v>
      </c>
      <c r="HW51" s="216">
        <f t="shared" si="9"/>
        <v>0</v>
      </c>
      <c r="HX51" s="216">
        <f t="shared" si="10"/>
        <v>0</v>
      </c>
      <c r="HY51" s="216">
        <f t="shared" si="11"/>
        <v>0</v>
      </c>
      <c r="HZ51" s="216">
        <f t="shared" si="12"/>
        <v>0</v>
      </c>
      <c r="IA51" s="216">
        <f t="shared" si="13"/>
        <v>0</v>
      </c>
      <c r="IB51" s="216">
        <f t="shared" si="14"/>
        <v>0</v>
      </c>
      <c r="IC51" s="216">
        <f t="shared" si="15"/>
        <v>0</v>
      </c>
      <c r="ID51" s="216">
        <f t="shared" si="16"/>
        <v>0</v>
      </c>
      <c r="IF51" s="216">
        <f t="shared" si="17"/>
        <v>0</v>
      </c>
    </row>
    <row r="52" spans="2:240" x14ac:dyDescent="0.2">
      <c r="B52" s="141" t="str">
        <v>Project Development</v>
      </c>
      <c r="C52" s="141" t="str">
        <v>Telecommunications Design Engineer (Eng&amp;Design Leadership)</v>
      </c>
      <c r="D52" s="141" t="str">
        <v>Internal Labour</v>
      </c>
      <c r="E52" s="141" t="str">
        <v>$ Nominal</v>
      </c>
      <c r="F52" s="141" t="str">
        <v>Existing</v>
      </c>
      <c r="G52" s="141" t="str">
        <v>Normal time</v>
      </c>
      <c r="H52" s="142">
        <v>214.83</v>
      </c>
      <c r="I52" s="126">
        <v>146020.23000000004</v>
      </c>
      <c r="J52" s="143">
        <v>0</v>
      </c>
      <c r="K52" s="144">
        <v>0</v>
      </c>
      <c r="L52" s="144">
        <v>0</v>
      </c>
      <c r="M52" s="144">
        <v>0</v>
      </c>
      <c r="N52" s="144">
        <v>0</v>
      </c>
      <c r="O52" s="144">
        <v>0</v>
      </c>
      <c r="P52" s="144">
        <v>0</v>
      </c>
      <c r="Q52" s="144">
        <v>0.10199999999999999</v>
      </c>
      <c r="R52" s="144">
        <v>7.6999999999999999E-2</v>
      </c>
      <c r="S52" s="144">
        <v>0.13614285714285715</v>
      </c>
      <c r="T52" s="144">
        <v>5.2000000000000005E-2</v>
      </c>
      <c r="U52" s="144">
        <v>0.10757142857142855</v>
      </c>
      <c r="V52" s="144">
        <v>6.6666666666666666E-2</v>
      </c>
      <c r="W52" s="144">
        <v>0.16933333333333334</v>
      </c>
      <c r="X52" s="144">
        <v>0.2</v>
      </c>
      <c r="Y52" s="144">
        <v>0.5</v>
      </c>
      <c r="Z52" s="144">
        <v>0.66666666666666663</v>
      </c>
      <c r="AA52" s="144">
        <v>0.46052631578947367</v>
      </c>
      <c r="AB52" s="144">
        <v>0.46052631578947367</v>
      </c>
      <c r="AC52" s="144">
        <v>0.5</v>
      </c>
      <c r="AD52" s="144">
        <v>0.5</v>
      </c>
      <c r="AE52" s="144">
        <v>0.5</v>
      </c>
      <c r="AF52" s="144">
        <v>0.5</v>
      </c>
      <c r="AG52" s="144">
        <v>0</v>
      </c>
      <c r="AH52" s="144">
        <v>0</v>
      </c>
      <c r="AI52" s="144">
        <v>0</v>
      </c>
      <c r="AJ52" s="144">
        <v>0</v>
      </c>
      <c r="AK52" s="144">
        <v>0</v>
      </c>
      <c r="AL52" s="144">
        <v>0</v>
      </c>
      <c r="AM52" s="144">
        <v>0</v>
      </c>
      <c r="AN52" s="144">
        <v>0</v>
      </c>
      <c r="AO52" s="144">
        <v>0</v>
      </c>
      <c r="AP52" s="144">
        <v>0</v>
      </c>
      <c r="AQ52" s="144">
        <v>0</v>
      </c>
      <c r="AR52" s="144">
        <v>0</v>
      </c>
      <c r="AS52" s="144">
        <v>0</v>
      </c>
      <c r="AT52" s="144">
        <v>0</v>
      </c>
      <c r="AU52" s="144">
        <v>0</v>
      </c>
      <c r="AV52" s="144">
        <v>0</v>
      </c>
      <c r="AW52" s="144">
        <v>0</v>
      </c>
      <c r="AX52" s="144">
        <v>0</v>
      </c>
      <c r="AY52" s="144">
        <v>0</v>
      </c>
      <c r="AZ52" s="144">
        <v>0</v>
      </c>
      <c r="BA52" s="144">
        <v>0</v>
      </c>
      <c r="BB52" s="144">
        <v>0</v>
      </c>
      <c r="BC52" s="144">
        <v>0</v>
      </c>
      <c r="BD52" s="144">
        <v>0</v>
      </c>
      <c r="BE52" s="144">
        <v>0</v>
      </c>
      <c r="BF52" s="144">
        <v>0</v>
      </c>
      <c r="BG52" s="144">
        <v>0</v>
      </c>
      <c r="BH52" s="144">
        <v>0</v>
      </c>
      <c r="BI52" s="144">
        <v>0</v>
      </c>
      <c r="BJ52" s="144">
        <v>0</v>
      </c>
      <c r="BK52" s="144">
        <v>0</v>
      </c>
      <c r="BL52" s="144">
        <v>0</v>
      </c>
      <c r="BM52" s="144">
        <v>0</v>
      </c>
      <c r="BN52" s="144">
        <v>0</v>
      </c>
      <c r="BO52" s="144">
        <v>0</v>
      </c>
      <c r="BP52" s="144">
        <v>0</v>
      </c>
      <c r="BQ52" s="144">
        <v>0</v>
      </c>
      <c r="BR52" s="144">
        <v>0</v>
      </c>
      <c r="BS52" s="144">
        <v>0</v>
      </c>
      <c r="BT52" s="144">
        <v>0</v>
      </c>
      <c r="BU52" s="144">
        <v>0</v>
      </c>
      <c r="BV52" s="144">
        <v>0</v>
      </c>
      <c r="BW52" s="144">
        <v>0</v>
      </c>
      <c r="BX52" s="144">
        <v>0</v>
      </c>
      <c r="BY52" s="144">
        <v>0</v>
      </c>
      <c r="BZ52" s="144">
        <v>0</v>
      </c>
      <c r="CA52" s="144">
        <v>0</v>
      </c>
      <c r="CB52" s="144">
        <v>0</v>
      </c>
      <c r="CC52" s="144">
        <v>0</v>
      </c>
      <c r="CD52" s="144">
        <v>0</v>
      </c>
      <c r="CE52" s="144">
        <v>0</v>
      </c>
      <c r="CF52" s="144">
        <v>0</v>
      </c>
      <c r="CG52" s="144">
        <v>0</v>
      </c>
      <c r="CH52" s="144">
        <v>0</v>
      </c>
      <c r="CI52" s="144">
        <v>0</v>
      </c>
      <c r="CJ52" s="144">
        <v>0</v>
      </c>
      <c r="CK52" s="144">
        <v>0</v>
      </c>
      <c r="CL52" s="144">
        <v>0</v>
      </c>
      <c r="CM52" s="144">
        <v>0</v>
      </c>
      <c r="CN52" s="144">
        <v>0</v>
      </c>
      <c r="CO52" s="144">
        <v>0</v>
      </c>
      <c r="CP52" s="144">
        <v>0</v>
      </c>
      <c r="CQ52" s="143">
        <v>0</v>
      </c>
      <c r="CR52" s="145">
        <v>0</v>
      </c>
      <c r="CS52" s="145">
        <v>0</v>
      </c>
      <c r="CT52" s="145">
        <v>0</v>
      </c>
      <c r="CU52" s="145">
        <v>0</v>
      </c>
      <c r="CV52" s="145">
        <v>0</v>
      </c>
      <c r="CW52" s="145">
        <v>0</v>
      </c>
      <c r="CX52" s="145">
        <v>2797.57</v>
      </c>
      <c r="CY52" s="145">
        <v>2111.9</v>
      </c>
      <c r="CZ52" s="145">
        <v>4116.7299999999996</v>
      </c>
      <c r="DA52" s="145">
        <v>1691.56</v>
      </c>
      <c r="DB52" s="145">
        <v>3499.3</v>
      </c>
      <c r="DC52" s="145">
        <v>1626.5</v>
      </c>
      <c r="DD52" s="145">
        <v>4131.3099999999995</v>
      </c>
      <c r="DE52" s="145">
        <v>5740.56</v>
      </c>
      <c r="DF52" s="145">
        <v>15038.1</v>
      </c>
      <c r="DG52" s="145">
        <v>15038.1</v>
      </c>
      <c r="DH52" s="145">
        <v>15038.1</v>
      </c>
      <c r="DI52" s="145">
        <v>15038.1</v>
      </c>
      <c r="DJ52" s="145">
        <v>15038.1</v>
      </c>
      <c r="DK52" s="145">
        <v>15038.1</v>
      </c>
      <c r="DL52" s="145">
        <v>15038.1</v>
      </c>
      <c r="DM52" s="145">
        <v>15038.1</v>
      </c>
      <c r="DN52" s="145">
        <v>0</v>
      </c>
      <c r="DO52" s="145">
        <v>0</v>
      </c>
      <c r="DP52" s="145">
        <v>0</v>
      </c>
      <c r="DQ52" s="145">
        <v>0</v>
      </c>
      <c r="DR52" s="145">
        <v>0</v>
      </c>
      <c r="DS52" s="145">
        <v>0</v>
      </c>
      <c r="DT52" s="145">
        <v>0</v>
      </c>
      <c r="DU52" s="145">
        <v>0</v>
      </c>
      <c r="DV52" s="145">
        <v>0</v>
      </c>
      <c r="DW52" s="145">
        <v>0</v>
      </c>
      <c r="DX52" s="145">
        <v>0</v>
      </c>
      <c r="DY52" s="145">
        <v>0</v>
      </c>
      <c r="DZ52" s="145">
        <v>0</v>
      </c>
      <c r="EA52" s="145">
        <v>0</v>
      </c>
      <c r="EB52" s="145">
        <v>0</v>
      </c>
      <c r="EC52" s="145">
        <v>0</v>
      </c>
      <c r="ED52" s="145">
        <v>0</v>
      </c>
      <c r="EE52" s="145">
        <v>0</v>
      </c>
      <c r="EF52" s="145">
        <v>0</v>
      </c>
      <c r="EG52" s="145">
        <v>0</v>
      </c>
      <c r="EH52" s="145">
        <v>0</v>
      </c>
      <c r="EI52" s="145">
        <v>0</v>
      </c>
      <c r="EJ52" s="145">
        <v>0</v>
      </c>
      <c r="EK52" s="145">
        <v>0</v>
      </c>
      <c r="EL52" s="145">
        <v>0</v>
      </c>
      <c r="EM52" s="145">
        <v>0</v>
      </c>
      <c r="EN52" s="145">
        <v>0</v>
      </c>
      <c r="EO52" s="145">
        <v>0</v>
      </c>
      <c r="EP52" s="145">
        <v>0</v>
      </c>
      <c r="EQ52" s="145">
        <v>0</v>
      </c>
      <c r="ER52" s="145">
        <v>0</v>
      </c>
      <c r="ES52" s="145">
        <v>0</v>
      </c>
      <c r="ET52" s="145">
        <v>0</v>
      </c>
      <c r="EU52" s="145">
        <v>0</v>
      </c>
      <c r="EV52" s="145">
        <v>0</v>
      </c>
      <c r="EW52" s="145">
        <v>0</v>
      </c>
      <c r="EX52" s="145">
        <v>0</v>
      </c>
      <c r="EY52" s="145">
        <v>0</v>
      </c>
      <c r="EZ52" s="145">
        <v>0</v>
      </c>
      <c r="FA52" s="145">
        <v>0</v>
      </c>
      <c r="FB52" s="145">
        <v>0</v>
      </c>
      <c r="FC52" s="145">
        <v>0</v>
      </c>
      <c r="FD52" s="145">
        <v>0</v>
      </c>
      <c r="FE52" s="145">
        <v>0</v>
      </c>
      <c r="FF52" s="145">
        <v>0</v>
      </c>
      <c r="FG52" s="145">
        <v>0</v>
      </c>
      <c r="FH52" s="145">
        <v>0</v>
      </c>
      <c r="FI52" s="145">
        <v>0</v>
      </c>
      <c r="FJ52" s="145">
        <v>0</v>
      </c>
      <c r="FK52" s="145">
        <v>0</v>
      </c>
      <c r="FL52" s="145">
        <v>0</v>
      </c>
      <c r="FM52" s="145">
        <v>0</v>
      </c>
      <c r="FN52" s="145">
        <v>0</v>
      </c>
      <c r="FO52" s="145">
        <v>0</v>
      </c>
      <c r="FP52" s="145">
        <v>0</v>
      </c>
      <c r="FQ52" s="145">
        <v>0</v>
      </c>
      <c r="FR52" s="145">
        <v>0</v>
      </c>
      <c r="FS52" s="145">
        <v>0</v>
      </c>
      <c r="FT52" s="145">
        <v>0</v>
      </c>
      <c r="FU52" s="145">
        <v>0</v>
      </c>
      <c r="FV52" s="145">
        <v>0</v>
      </c>
      <c r="FW52" s="145">
        <v>0</v>
      </c>
      <c r="FX52" s="143"/>
      <c r="FY52" s="146" t="str">
        <f>_xlfn.XLOOKUP($E52,'Key assumptions'!$B$112:$B$120,'Key assumptions'!$C$112:$C$120,0)</f>
        <v>Nominal</v>
      </c>
      <c r="FZ52" s="146" cm="1">
        <f t="array" ref="FZ52">IF($FY52=0,0,_xlfn.IFS($FY52='Key assumptions'!$C$120,_xlfn.XLOOKUP(LEFT(FZ$7,6),Inflation_Year,Inflation_NominaltoReal),TRUE,_xlfn.XLOOKUP($FY52,Inflation_Year,NominaltoReal)))</f>
        <v>1.0197075870962191</v>
      </c>
      <c r="GA52" s="146" cm="1">
        <f t="array" ref="GA52">IF($FY52=0,0,_xlfn.IFS($FY52='Key assumptions'!$C$120,_xlfn.XLOOKUP(LEFT(GA$7,6),Inflation_Year,Inflation_NominaltoReal),TRUE,_xlfn.XLOOKUP($FY52,Inflation_Year,NominaltoReal)))</f>
        <v>0.98700804022984445</v>
      </c>
      <c r="GB52" s="146" cm="1">
        <f t="array" ref="GB52">IF($FY52=0,0,_xlfn.IFS($FY52='Key assumptions'!$C$120,_xlfn.XLOOKUP(LEFT(GB$7,6),Inflation_Year,Inflation_NominaltoReal),TRUE,_xlfn.XLOOKUP($FY52,Inflation_Year,NominaltoReal)))</f>
        <v>0.96152830081941731</v>
      </c>
      <c r="GC52" s="146" cm="1">
        <f t="array" ref="GC52">IF($FY52=0,0,_xlfn.IFS($FY52='Key assumptions'!$C$120,_xlfn.XLOOKUP(LEFT(GC$7,6),Inflation_Year,Inflation_NominaltoReal),TRUE,_xlfn.XLOOKUP($FY52,Inflation_Year,NominaltoReal)))</f>
        <v>0.93670632415656829</v>
      </c>
      <c r="GD52" s="146" cm="1">
        <f t="array" ref="GD52">IF($FY52=0,0,_xlfn.IFS($FY52='Key assumptions'!$C$120,_xlfn.XLOOKUP(LEFT(GD$7,6),Inflation_Year,Inflation_NominaltoReal),TRUE,_xlfn.XLOOKUP($FY52,Inflation_Year,NominaltoReal)))</f>
        <v>0.91252513001143176</v>
      </c>
      <c r="GE52" s="146" cm="1">
        <f t="array" ref="GE52">IF($FY52=0,0,_xlfn.IFS($FY52='Key assumptions'!$C$120,_xlfn.XLOOKUP(LEFT(GE$7,6),Inflation_Year,Inflation_NominaltoReal),TRUE,_xlfn.XLOOKUP($FY52,Inflation_Year,NominaltoReal)))</f>
        <v>0.88896817650095872</v>
      </c>
      <c r="GF52" s="146" cm="1">
        <f t="array" ref="GF52">IF($FY52=0,0,_xlfn.IFS($FY52='Key assumptions'!$C$120,_xlfn.XLOOKUP(LEFT(GF$7,6),Inflation_Year,Inflation_NominaltoReal),TRUE,_xlfn.XLOOKUP($FY52,Inflation_Year,NominaltoReal)))</f>
        <v>0.86601934877293718</v>
      </c>
      <c r="GG52" s="143"/>
      <c r="GH52" s="145" cm="1">
        <f t="array" ref="GH52">SUMPRODUCT(--($CR$7:$FW$7&gt;=GH$5),--($CR$7:$FW$7&lt;=GH$6),$CR52:$FW52)*FZ52</f>
        <v>113194.94524476267</v>
      </c>
      <c r="GI52" s="145" cm="1">
        <f t="array" ref="GI52">SUMPRODUCT(--($CR$7:$FW$7&gt;=GI$5),--($CR$7:$FW$7&lt;=GI$6),$CR52:$FW52)*GA52</f>
        <v>14842.725609780424</v>
      </c>
      <c r="GJ52" s="145" cm="1">
        <f t="array" ref="GJ52">SUMPRODUCT(--($CR$7:$FW$7&gt;=GJ$5),--($CR$7:$FW$7&lt;=GJ$6),$CR52:$FW52)*GB52</f>
        <v>0</v>
      </c>
      <c r="GK52" s="145" cm="1">
        <f t="array" ref="GK52">SUMPRODUCT(--($CR$7:$FW$7&gt;=GK$5),--($CR$7:$FW$7&lt;=GK$6),$CR52:$FW52)*GC52</f>
        <v>0</v>
      </c>
      <c r="GL52" s="145" cm="1">
        <f t="array" ref="GL52">SUMPRODUCT(--($CR$7:$FW$7&gt;=GL$5),--($CR$7:$FW$7&lt;=GL$6),$CR52:$FW52)*GD52</f>
        <v>0</v>
      </c>
      <c r="GM52" s="145" cm="1">
        <f t="array" ref="GM52">SUMPRODUCT(--($CR$7:$FW$7&gt;=GM$5),--($CR$7:$FW$7&lt;=GM$6),$CR52:$FW52)*GE52</f>
        <v>0</v>
      </c>
      <c r="GN52" s="145" cm="1">
        <f t="array" ref="GN52">SUMPRODUCT(--($CR$7:$FW$7&gt;=GN$5),--($CR$7:$FW$7&lt;=GN$6),$CR52:$FW52)*GF52</f>
        <v>0</v>
      </c>
      <c r="GO52" s="145">
        <f t="shared" si="18"/>
        <v>128037.67085454309</v>
      </c>
      <c r="GP52" s="87"/>
      <c r="GQ52" s="89"/>
      <c r="GR52" s="145" cm="1">
        <f t="array" ref="GR52">SUMPRODUCT(--($CR$7:$FW$7&gt;=GR$5),--($CR$7:$FW$7&lt;=GR$6),$CR52:$FW52)</f>
        <v>65892.960000000006</v>
      </c>
      <c r="GS52" s="89"/>
      <c r="GT52" s="214" cm="1">
        <f t="array" ref="GT52">--AND(MIN(IF($K52:$CP52&lt;&gt;0,$K$7:$CP$7))&gt;=GT$5,MIN(IF($K52:$CP52&lt;&gt;0,$K$7:$CP$7))&lt;=GT$6)</f>
        <v>0</v>
      </c>
      <c r="GU52" s="214" cm="1">
        <f t="array" ref="GU52">--AND(MIN(IF($K52:$CP52&lt;&gt;0,$K$7:$CP$7))&gt;=GU$5,MIN(IF($K52:$CP52&lt;&gt;0,$K$7:$CP$7))&lt;=GU$6)</f>
        <v>0</v>
      </c>
      <c r="GV52" s="214" cm="1">
        <f t="array" ref="GV52">--AND(MIN(IF($K52:$CP52&lt;&gt;0,$K$7:$CP$7))&gt;=GV$5,MIN(IF($K52:$CP52&lt;&gt;0,$K$7:$CP$7))&lt;=GV$6)</f>
        <v>0</v>
      </c>
      <c r="GW52" s="214" cm="1">
        <f t="array" ref="GW52">--AND(MIN(IF($K52:$CP52&lt;&gt;0,$K$7:$CP$7))&gt;=GW$5,MIN(IF($K52:$CP52&lt;&gt;0,$K$7:$CP$7))&lt;=GW$6)</f>
        <v>0</v>
      </c>
      <c r="GX52" s="214" cm="1">
        <f t="array" ref="GX52">--AND(MIN(IF($K52:$CP52&lt;&gt;0,$K$7:$CP$7))&gt;=GX$5,MIN(IF($K52:$CP52&lt;&gt;0,$K$7:$CP$7))&lt;=GX$6)</f>
        <v>0</v>
      </c>
      <c r="GY52" s="214" cm="1">
        <f t="array" ref="GY52">--AND(MIN(IF($K52:$CP52&lt;&gt;0,$K$7:$CP$7))&gt;=GY$5,MIN(IF($K52:$CP52&lt;&gt;0,$K$7:$CP$7))&lt;=GY$6)</f>
        <v>0</v>
      </c>
      <c r="GZ52" s="214" cm="1">
        <f t="array" ref="GZ52">--AND(MIN(IF($K52:$CP52&lt;&gt;0,$K$7:$CP$7))&gt;=GZ$5,MIN(IF($K52:$CP52&lt;&gt;0,$K$7:$CP$7))&lt;=GZ$6)</f>
        <v>0</v>
      </c>
      <c r="HA52" s="214">
        <f t="shared" si="0"/>
        <v>0</v>
      </c>
      <c r="HC52" s="214" cm="1">
        <f t="array" ref="HC52">--AND(MIN(IF($K52:$CP52&lt;&gt;0,$K$7:$CP$7))&gt;=HC$5,MIN(IF($K52:$CP52&lt;&gt;0,$K$7:$CP$7))&lt;=HC$6)</f>
        <v>0</v>
      </c>
      <c r="HE52" s="147" t="str">
        <f t="shared" si="19"/>
        <v>No</v>
      </c>
      <c r="HF52" s="147" t="str">
        <f t="shared" si="20"/>
        <v>No</v>
      </c>
      <c r="HG52" s="147">
        <f>IF($HF52="Yes",0,$H52*avg_hrs*12*'Key assumptions'!$D$87)</f>
        <v>384173.83131128055</v>
      </c>
      <c r="HH52" s="147">
        <f>IF(HE52="Yes",'Key assumptions'!$D$84*HG52,0)</f>
        <v>0</v>
      </c>
      <c r="HI52" s="144">
        <f>IFERROR(AVERAGEIFS($K52:$CP52,$K$7:$CP$7,"&gt;="&amp;'Key assumptions'!$D$24,$K$7:$CP$7,"&lt;="&amp;'Key assumptions'!$D$25),0)</f>
        <v>9.7448165869218506E-2</v>
      </c>
      <c r="HJ52" s="148">
        <f t="shared" si="22"/>
        <v>0</v>
      </c>
      <c r="HK52" s="148">
        <f t="shared" si="1"/>
        <v>0</v>
      </c>
      <c r="HL52" s="148">
        <f t="shared" si="2"/>
        <v>0</v>
      </c>
      <c r="HM52" s="148">
        <f t="shared" si="3"/>
        <v>0</v>
      </c>
      <c r="HN52" s="148">
        <f t="shared" si="4"/>
        <v>0</v>
      </c>
      <c r="HO52" s="148">
        <f t="shared" si="5"/>
        <v>0</v>
      </c>
      <c r="HP52" s="148">
        <f t="shared" si="6"/>
        <v>0</v>
      </c>
      <c r="HQ52" s="148">
        <f t="shared" si="7"/>
        <v>0</v>
      </c>
      <c r="HR52" s="147">
        <f t="shared" si="8"/>
        <v>0</v>
      </c>
      <c r="HS52" s="89"/>
      <c r="HU52" s="147">
        <f>$HJ52*HC52/(1+'Key assumptions'!G74)^0.75</f>
        <v>0</v>
      </c>
      <c r="HW52" s="216">
        <f t="shared" si="9"/>
        <v>0</v>
      </c>
      <c r="HX52" s="216">
        <f t="shared" si="10"/>
        <v>0</v>
      </c>
      <c r="HY52" s="216">
        <f t="shared" si="11"/>
        <v>0</v>
      </c>
      <c r="HZ52" s="216">
        <f t="shared" si="12"/>
        <v>0</v>
      </c>
      <c r="IA52" s="216">
        <f t="shared" si="13"/>
        <v>0</v>
      </c>
      <c r="IB52" s="216">
        <f t="shared" si="14"/>
        <v>0</v>
      </c>
      <c r="IC52" s="216">
        <f t="shared" si="15"/>
        <v>0</v>
      </c>
      <c r="ID52" s="216">
        <f t="shared" si="16"/>
        <v>0</v>
      </c>
      <c r="IF52" s="216">
        <f t="shared" si="17"/>
        <v>0</v>
      </c>
    </row>
    <row r="53" spans="2:240" x14ac:dyDescent="0.2">
      <c r="B53" s="141" t="str">
        <v>Project Development</v>
      </c>
      <c r="C53" s="141" t="str">
        <v>Design Engineer - Senior (Eng&amp;Design Leadership)</v>
      </c>
      <c r="D53" s="141" t="str">
        <v>Internal Labour</v>
      </c>
      <c r="E53" s="141" t="str">
        <v>$ Nominal</v>
      </c>
      <c r="F53" s="141" t="str">
        <v>Existing</v>
      </c>
      <c r="G53" s="141" t="str">
        <v>Normal time</v>
      </c>
      <c r="H53" s="142">
        <v>297.43</v>
      </c>
      <c r="I53" s="126">
        <v>207949.90999999992</v>
      </c>
      <c r="J53" s="143">
        <v>0</v>
      </c>
      <c r="K53" s="144">
        <v>0</v>
      </c>
      <c r="L53" s="144">
        <v>0</v>
      </c>
      <c r="M53" s="144">
        <v>0</v>
      </c>
      <c r="N53" s="144">
        <v>0</v>
      </c>
      <c r="O53" s="144">
        <v>0</v>
      </c>
      <c r="P53" s="144">
        <v>0</v>
      </c>
      <c r="Q53" s="144">
        <v>0.35</v>
      </c>
      <c r="R53" s="144">
        <v>0.1</v>
      </c>
      <c r="S53" s="144">
        <v>0.25</v>
      </c>
      <c r="T53" s="144">
        <v>0.1</v>
      </c>
      <c r="U53" s="144">
        <v>0</v>
      </c>
      <c r="V53" s="144">
        <v>6.6666666666666666E-2</v>
      </c>
      <c r="W53" s="144">
        <v>0.13333333333333333</v>
      </c>
      <c r="X53" s="144">
        <v>0.25</v>
      </c>
      <c r="Y53" s="144">
        <v>0.25</v>
      </c>
      <c r="Z53" s="144">
        <v>0.33333333333333331</v>
      </c>
      <c r="AA53" s="144">
        <v>0.23026315789473684</v>
      </c>
      <c r="AB53" s="144">
        <v>0.23026315789473684</v>
      </c>
      <c r="AC53" s="144">
        <v>0.25</v>
      </c>
      <c r="AD53" s="144">
        <v>0.25</v>
      </c>
      <c r="AE53" s="144">
        <v>0.25</v>
      </c>
      <c r="AF53" s="144">
        <v>0.25</v>
      </c>
      <c r="AG53" s="144">
        <v>0.25</v>
      </c>
      <c r="AH53" s="144">
        <v>0.33333333333333331</v>
      </c>
      <c r="AI53" s="144">
        <v>0.33333333333333331</v>
      </c>
      <c r="AJ53" s="144">
        <v>0.25</v>
      </c>
      <c r="AK53" s="144">
        <v>0.25</v>
      </c>
      <c r="AL53" s="144">
        <v>0.33333333333333331</v>
      </c>
      <c r="AM53" s="144">
        <v>0.23026315789473684</v>
      </c>
      <c r="AN53" s="144">
        <v>0</v>
      </c>
      <c r="AO53" s="144">
        <v>0</v>
      </c>
      <c r="AP53" s="144">
        <v>0</v>
      </c>
      <c r="AQ53" s="144">
        <v>0</v>
      </c>
      <c r="AR53" s="144">
        <v>0</v>
      </c>
      <c r="AS53" s="144">
        <v>0</v>
      </c>
      <c r="AT53" s="144">
        <v>0</v>
      </c>
      <c r="AU53" s="144">
        <v>0</v>
      </c>
      <c r="AV53" s="144">
        <v>0</v>
      </c>
      <c r="AW53" s="144">
        <v>0</v>
      </c>
      <c r="AX53" s="144">
        <v>0</v>
      </c>
      <c r="AY53" s="144">
        <v>0</v>
      </c>
      <c r="AZ53" s="144">
        <v>0</v>
      </c>
      <c r="BA53" s="144">
        <v>0</v>
      </c>
      <c r="BB53" s="144">
        <v>0</v>
      </c>
      <c r="BC53" s="144">
        <v>0</v>
      </c>
      <c r="BD53" s="144">
        <v>0</v>
      </c>
      <c r="BE53" s="144">
        <v>0</v>
      </c>
      <c r="BF53" s="144">
        <v>0</v>
      </c>
      <c r="BG53" s="144">
        <v>0</v>
      </c>
      <c r="BH53" s="144">
        <v>0</v>
      </c>
      <c r="BI53" s="144">
        <v>0</v>
      </c>
      <c r="BJ53" s="144">
        <v>0</v>
      </c>
      <c r="BK53" s="144">
        <v>0</v>
      </c>
      <c r="BL53" s="144">
        <v>0</v>
      </c>
      <c r="BM53" s="144">
        <v>0</v>
      </c>
      <c r="BN53" s="144">
        <v>0</v>
      </c>
      <c r="BO53" s="144">
        <v>0</v>
      </c>
      <c r="BP53" s="144">
        <v>0</v>
      </c>
      <c r="BQ53" s="144">
        <v>0</v>
      </c>
      <c r="BR53" s="144">
        <v>0</v>
      </c>
      <c r="BS53" s="144">
        <v>0</v>
      </c>
      <c r="BT53" s="144">
        <v>0</v>
      </c>
      <c r="BU53" s="144">
        <v>0</v>
      </c>
      <c r="BV53" s="144">
        <v>0</v>
      </c>
      <c r="BW53" s="144">
        <v>0</v>
      </c>
      <c r="BX53" s="144">
        <v>0</v>
      </c>
      <c r="BY53" s="144">
        <v>0</v>
      </c>
      <c r="BZ53" s="144">
        <v>0</v>
      </c>
      <c r="CA53" s="144">
        <v>0</v>
      </c>
      <c r="CB53" s="144">
        <v>0</v>
      </c>
      <c r="CC53" s="144">
        <v>0</v>
      </c>
      <c r="CD53" s="144">
        <v>0</v>
      </c>
      <c r="CE53" s="144">
        <v>0</v>
      </c>
      <c r="CF53" s="144">
        <v>0</v>
      </c>
      <c r="CG53" s="144">
        <v>0</v>
      </c>
      <c r="CH53" s="144">
        <v>0</v>
      </c>
      <c r="CI53" s="144">
        <v>0</v>
      </c>
      <c r="CJ53" s="144">
        <v>0</v>
      </c>
      <c r="CK53" s="144">
        <v>0</v>
      </c>
      <c r="CL53" s="144">
        <v>0</v>
      </c>
      <c r="CM53" s="144">
        <v>0</v>
      </c>
      <c r="CN53" s="144">
        <v>0</v>
      </c>
      <c r="CO53" s="144">
        <v>0</v>
      </c>
      <c r="CP53" s="144">
        <v>0</v>
      </c>
      <c r="CQ53" s="143">
        <v>0</v>
      </c>
      <c r="CR53" s="145">
        <v>0</v>
      </c>
      <c r="CS53" s="145">
        <v>0</v>
      </c>
      <c r="CT53" s="145">
        <v>0</v>
      </c>
      <c r="CU53" s="145">
        <v>0</v>
      </c>
      <c r="CV53" s="145">
        <v>0</v>
      </c>
      <c r="CW53" s="145">
        <v>0</v>
      </c>
      <c r="CX53" s="145">
        <v>15733.260000000002</v>
      </c>
      <c r="CY53" s="145">
        <v>4530.6000000000004</v>
      </c>
      <c r="CZ53" s="145">
        <v>11326.5</v>
      </c>
      <c r="DA53" s="145">
        <v>4530.6000000000004</v>
      </c>
      <c r="DB53" s="145">
        <v>0</v>
      </c>
      <c r="DC53" s="145">
        <v>2265.3000000000002</v>
      </c>
      <c r="DD53" s="145">
        <v>4530.6000000000004</v>
      </c>
      <c r="DE53" s="145">
        <v>10104.5</v>
      </c>
      <c r="DF53" s="145">
        <v>10104.5</v>
      </c>
      <c r="DG53" s="145">
        <v>10104.5</v>
      </c>
      <c r="DH53" s="145">
        <v>10104.5</v>
      </c>
      <c r="DI53" s="145">
        <v>10104.5</v>
      </c>
      <c r="DJ53" s="145">
        <v>10410.050000000001</v>
      </c>
      <c r="DK53" s="145">
        <v>10410.050000000001</v>
      </c>
      <c r="DL53" s="145">
        <v>10410.050000000001</v>
      </c>
      <c r="DM53" s="145">
        <v>10410.050000000001</v>
      </c>
      <c r="DN53" s="145">
        <v>10410.050000000001</v>
      </c>
      <c r="DO53" s="145">
        <v>10410.050000000001</v>
      </c>
      <c r="DP53" s="145">
        <v>10410.050000000001</v>
      </c>
      <c r="DQ53" s="145">
        <v>10410.050000000001</v>
      </c>
      <c r="DR53" s="145">
        <v>10410.050000000001</v>
      </c>
      <c r="DS53" s="145">
        <v>10410.050000000001</v>
      </c>
      <c r="DT53" s="145">
        <v>10410.050000000001</v>
      </c>
      <c r="DU53" s="145">
        <v>0</v>
      </c>
      <c r="DV53" s="145">
        <v>0</v>
      </c>
      <c r="DW53" s="145">
        <v>0</v>
      </c>
      <c r="DX53" s="145">
        <v>0</v>
      </c>
      <c r="DY53" s="145">
        <v>0</v>
      </c>
      <c r="DZ53" s="145">
        <v>0</v>
      </c>
      <c r="EA53" s="145">
        <v>0</v>
      </c>
      <c r="EB53" s="145">
        <v>0</v>
      </c>
      <c r="EC53" s="145">
        <v>0</v>
      </c>
      <c r="ED53" s="145">
        <v>0</v>
      </c>
      <c r="EE53" s="145">
        <v>0</v>
      </c>
      <c r="EF53" s="145">
        <v>0</v>
      </c>
      <c r="EG53" s="145">
        <v>0</v>
      </c>
      <c r="EH53" s="145">
        <v>0</v>
      </c>
      <c r="EI53" s="145">
        <v>0</v>
      </c>
      <c r="EJ53" s="145">
        <v>0</v>
      </c>
      <c r="EK53" s="145">
        <v>0</v>
      </c>
      <c r="EL53" s="145">
        <v>0</v>
      </c>
      <c r="EM53" s="145">
        <v>0</v>
      </c>
      <c r="EN53" s="145">
        <v>0</v>
      </c>
      <c r="EO53" s="145">
        <v>0</v>
      </c>
      <c r="EP53" s="145">
        <v>0</v>
      </c>
      <c r="EQ53" s="145">
        <v>0</v>
      </c>
      <c r="ER53" s="145">
        <v>0</v>
      </c>
      <c r="ES53" s="145">
        <v>0</v>
      </c>
      <c r="ET53" s="145">
        <v>0</v>
      </c>
      <c r="EU53" s="145">
        <v>0</v>
      </c>
      <c r="EV53" s="145">
        <v>0</v>
      </c>
      <c r="EW53" s="145">
        <v>0</v>
      </c>
      <c r="EX53" s="145">
        <v>0</v>
      </c>
      <c r="EY53" s="145">
        <v>0</v>
      </c>
      <c r="EZ53" s="145">
        <v>0</v>
      </c>
      <c r="FA53" s="145">
        <v>0</v>
      </c>
      <c r="FB53" s="145">
        <v>0</v>
      </c>
      <c r="FC53" s="145">
        <v>0</v>
      </c>
      <c r="FD53" s="145">
        <v>0</v>
      </c>
      <c r="FE53" s="145">
        <v>0</v>
      </c>
      <c r="FF53" s="145">
        <v>0</v>
      </c>
      <c r="FG53" s="145">
        <v>0</v>
      </c>
      <c r="FH53" s="145">
        <v>0</v>
      </c>
      <c r="FI53" s="145">
        <v>0</v>
      </c>
      <c r="FJ53" s="145">
        <v>0</v>
      </c>
      <c r="FK53" s="145">
        <v>0</v>
      </c>
      <c r="FL53" s="145">
        <v>0</v>
      </c>
      <c r="FM53" s="145">
        <v>0</v>
      </c>
      <c r="FN53" s="145">
        <v>0</v>
      </c>
      <c r="FO53" s="145">
        <v>0</v>
      </c>
      <c r="FP53" s="145">
        <v>0</v>
      </c>
      <c r="FQ53" s="145">
        <v>0</v>
      </c>
      <c r="FR53" s="145">
        <v>0</v>
      </c>
      <c r="FS53" s="145">
        <v>0</v>
      </c>
      <c r="FT53" s="145">
        <v>0</v>
      </c>
      <c r="FU53" s="145">
        <v>0</v>
      </c>
      <c r="FV53" s="145">
        <v>0</v>
      </c>
      <c r="FW53" s="145">
        <v>0</v>
      </c>
      <c r="FX53" s="143"/>
      <c r="FY53" s="146" t="str">
        <f>_xlfn.XLOOKUP($E53,'Key assumptions'!$B$112:$B$120,'Key assumptions'!$C$112:$C$120,0)</f>
        <v>Nominal</v>
      </c>
      <c r="FZ53" s="146" cm="1">
        <f t="array" ref="FZ53">IF($FY53=0,0,_xlfn.IFS($FY53='Key assumptions'!$C$120,_xlfn.XLOOKUP(LEFT(FZ$7,6),Inflation_Year,Inflation_NominaltoReal),TRUE,_xlfn.XLOOKUP($FY53,Inflation_Year,NominaltoReal)))</f>
        <v>1.0197075870962191</v>
      </c>
      <c r="GA53" s="146" cm="1">
        <f t="array" ref="GA53">IF($FY53=0,0,_xlfn.IFS($FY53='Key assumptions'!$C$120,_xlfn.XLOOKUP(LEFT(GA$7,6),Inflation_Year,Inflation_NominaltoReal),TRUE,_xlfn.XLOOKUP($FY53,Inflation_Year,NominaltoReal)))</f>
        <v>0.98700804022984445</v>
      </c>
      <c r="GB53" s="146" cm="1">
        <f t="array" ref="GB53">IF($FY53=0,0,_xlfn.IFS($FY53='Key assumptions'!$C$120,_xlfn.XLOOKUP(LEFT(GB$7,6),Inflation_Year,Inflation_NominaltoReal),TRUE,_xlfn.XLOOKUP($FY53,Inflation_Year,NominaltoReal)))</f>
        <v>0.96152830081941731</v>
      </c>
      <c r="GC53" s="146" cm="1">
        <f t="array" ref="GC53">IF($FY53=0,0,_xlfn.IFS($FY53='Key assumptions'!$C$120,_xlfn.XLOOKUP(LEFT(GC$7,6),Inflation_Year,Inflation_NominaltoReal),TRUE,_xlfn.XLOOKUP($FY53,Inflation_Year,NominaltoReal)))</f>
        <v>0.93670632415656829</v>
      </c>
      <c r="GD53" s="146" cm="1">
        <f t="array" ref="GD53">IF($FY53=0,0,_xlfn.IFS($FY53='Key assumptions'!$C$120,_xlfn.XLOOKUP(LEFT(GD$7,6),Inflation_Year,Inflation_NominaltoReal),TRUE,_xlfn.XLOOKUP($FY53,Inflation_Year,NominaltoReal)))</f>
        <v>0.91252513001143176</v>
      </c>
      <c r="GE53" s="146" cm="1">
        <f t="array" ref="GE53">IF($FY53=0,0,_xlfn.IFS($FY53='Key assumptions'!$C$120,_xlfn.XLOOKUP(LEFT(GE$7,6),Inflation_Year,Inflation_NominaltoReal),TRUE,_xlfn.XLOOKUP($FY53,Inflation_Year,NominaltoReal)))</f>
        <v>0.88896817650095872</v>
      </c>
      <c r="GF53" s="146" cm="1">
        <f t="array" ref="GF53">IF($FY53=0,0,_xlfn.IFS($FY53='Key assumptions'!$C$120,_xlfn.XLOOKUP(LEFT(GF$7,6),Inflation_Year,Inflation_NominaltoReal),TRUE,_xlfn.XLOOKUP($FY53,Inflation_Year,NominaltoReal)))</f>
        <v>0.86601934877293718</v>
      </c>
      <c r="GG53" s="143"/>
      <c r="GH53" s="145" cm="1">
        <f t="array" ref="GH53">SUMPRODUCT(--($CR$7:$FW$7&gt;=GH$5),--($CR$7:$FW$7&lt;=GH$6),$CR53:$FW53)*FZ53</f>
        <v>83363.797470221733</v>
      </c>
      <c r="GI53" s="145" cm="1">
        <f t="array" ref="GI53">SUMPRODUCT(--($CR$7:$FW$7&gt;=GI$5),--($CR$7:$FW$7&lt;=GI$6),$CR53:$FW53)*GA53</f>
        <v>82198.424393557551</v>
      </c>
      <c r="GJ53" s="145" cm="1">
        <f t="array" ref="GJ53">SUMPRODUCT(--($CR$7:$FW$7&gt;=GJ$5),--($CR$7:$FW$7&lt;=GJ$6),$CR53:$FW53)*GB53</f>
        <v>0</v>
      </c>
      <c r="GK53" s="145" cm="1">
        <f t="array" ref="GK53">SUMPRODUCT(--($CR$7:$FW$7&gt;=GK$5),--($CR$7:$FW$7&lt;=GK$6),$CR53:$FW53)*GC53</f>
        <v>0</v>
      </c>
      <c r="GL53" s="145" cm="1">
        <f t="array" ref="GL53">SUMPRODUCT(--($CR$7:$FW$7&gt;=GL$5),--($CR$7:$FW$7&lt;=GL$6),$CR53:$FW53)*GD53</f>
        <v>0</v>
      </c>
      <c r="GM53" s="145" cm="1">
        <f t="array" ref="GM53">SUMPRODUCT(--($CR$7:$FW$7&gt;=GM$5),--($CR$7:$FW$7&lt;=GM$6),$CR53:$FW53)*GE53</f>
        <v>0</v>
      </c>
      <c r="GN53" s="145" cm="1">
        <f t="array" ref="GN53">SUMPRODUCT(--($CR$7:$FW$7&gt;=GN$5),--($CR$7:$FW$7&lt;=GN$6),$CR53:$FW53)*GF53</f>
        <v>0</v>
      </c>
      <c r="GO53" s="145">
        <f t="shared" si="18"/>
        <v>165562.2218637793</v>
      </c>
      <c r="GP53" s="87"/>
      <c r="GQ53" s="89"/>
      <c r="GR53" s="145" cm="1">
        <f t="array" ref="GR53">SUMPRODUCT(--($CR$7:$FW$7&gt;=GR$5),--($CR$7:$FW$7&lt;=GR$6),$CR53:$FW53)</f>
        <v>50522.5</v>
      </c>
      <c r="GS53" s="89"/>
      <c r="GT53" s="214" cm="1">
        <f t="array" ref="GT53">--AND(MIN(IF($K53:$CP53&lt;&gt;0,$K$7:$CP$7))&gt;=GT$5,MIN(IF($K53:$CP53&lt;&gt;0,$K$7:$CP$7))&lt;=GT$6)</f>
        <v>0</v>
      </c>
      <c r="GU53" s="214" cm="1">
        <f t="array" ref="GU53">--AND(MIN(IF($K53:$CP53&lt;&gt;0,$K$7:$CP$7))&gt;=GU$5,MIN(IF($K53:$CP53&lt;&gt;0,$K$7:$CP$7))&lt;=GU$6)</f>
        <v>0</v>
      </c>
      <c r="GV53" s="214" cm="1">
        <f t="array" ref="GV53">--AND(MIN(IF($K53:$CP53&lt;&gt;0,$K$7:$CP$7))&gt;=GV$5,MIN(IF($K53:$CP53&lt;&gt;0,$K$7:$CP$7))&lt;=GV$6)</f>
        <v>0</v>
      </c>
      <c r="GW53" s="214" cm="1">
        <f t="array" ref="GW53">--AND(MIN(IF($K53:$CP53&lt;&gt;0,$K$7:$CP$7))&gt;=GW$5,MIN(IF($K53:$CP53&lt;&gt;0,$K$7:$CP$7))&lt;=GW$6)</f>
        <v>0</v>
      </c>
      <c r="GX53" s="214" cm="1">
        <f t="array" ref="GX53">--AND(MIN(IF($K53:$CP53&lt;&gt;0,$K$7:$CP$7))&gt;=GX$5,MIN(IF($K53:$CP53&lt;&gt;0,$K$7:$CP$7))&lt;=GX$6)</f>
        <v>0</v>
      </c>
      <c r="GY53" s="214" cm="1">
        <f t="array" ref="GY53">--AND(MIN(IF($K53:$CP53&lt;&gt;0,$K$7:$CP$7))&gt;=GY$5,MIN(IF($K53:$CP53&lt;&gt;0,$K$7:$CP$7))&lt;=GY$6)</f>
        <v>0</v>
      </c>
      <c r="GZ53" s="214" cm="1">
        <f t="array" ref="GZ53">--AND(MIN(IF($K53:$CP53&lt;&gt;0,$K$7:$CP$7))&gt;=GZ$5,MIN(IF($K53:$CP53&lt;&gt;0,$K$7:$CP$7))&lt;=GZ$6)</f>
        <v>0</v>
      </c>
      <c r="HA53" s="214">
        <f t="shared" si="0"/>
        <v>0</v>
      </c>
      <c r="HC53" s="214" cm="1">
        <f t="array" ref="HC53">--AND(MIN(IF($K53:$CP53&lt;&gt;0,$K$7:$CP$7))&gt;=HC$5,MIN(IF($K53:$CP53&lt;&gt;0,$K$7:$CP$7))&lt;=HC$6)</f>
        <v>0</v>
      </c>
      <c r="HE53" s="147" t="str">
        <f t="shared" si="19"/>
        <v>No</v>
      </c>
      <c r="HF53" s="147" t="str">
        <f t="shared" si="20"/>
        <v>No</v>
      </c>
      <c r="HG53" s="147">
        <f>IF($HF53="Yes",0,$H53*avg_hrs*12*'Key assumptions'!$D$87)</f>
        <v>531884.85149613256</v>
      </c>
      <c r="HH53" s="147">
        <f>IF(HE53="Yes",'Key assumptions'!$D$84*HG53,0)</f>
        <v>0</v>
      </c>
      <c r="HI53" s="144">
        <f>IFERROR(AVERAGEIFS($K53:$CP53,$K$7:$CP$7,"&gt;="&amp;'Key assumptions'!$D$24,$K$7:$CP$7,"&lt;="&amp;'Key assumptions'!$D$25),0)</f>
        <v>9.7139154704944192E-2</v>
      </c>
      <c r="HJ53" s="148">
        <f t="shared" si="22"/>
        <v>0</v>
      </c>
      <c r="HK53" s="148">
        <f t="shared" si="1"/>
        <v>0</v>
      </c>
      <c r="HL53" s="148">
        <f t="shared" si="2"/>
        <v>0</v>
      </c>
      <c r="HM53" s="148">
        <f t="shared" si="3"/>
        <v>0</v>
      </c>
      <c r="HN53" s="148">
        <f t="shared" si="4"/>
        <v>0</v>
      </c>
      <c r="HO53" s="148">
        <f t="shared" si="5"/>
        <v>0</v>
      </c>
      <c r="HP53" s="148">
        <f t="shared" si="6"/>
        <v>0</v>
      </c>
      <c r="HQ53" s="148">
        <f t="shared" si="7"/>
        <v>0</v>
      </c>
      <c r="HR53" s="147">
        <f t="shared" si="8"/>
        <v>0</v>
      </c>
      <c r="HS53" s="89"/>
      <c r="HU53" s="147">
        <f>$HJ53*HC53/(1+'Key assumptions'!G75)^0.75</f>
        <v>0</v>
      </c>
      <c r="HW53" s="216">
        <f t="shared" si="9"/>
        <v>0</v>
      </c>
      <c r="HX53" s="216">
        <f t="shared" si="10"/>
        <v>0</v>
      </c>
      <c r="HY53" s="216">
        <f t="shared" si="11"/>
        <v>0</v>
      </c>
      <c r="HZ53" s="216">
        <f t="shared" si="12"/>
        <v>0</v>
      </c>
      <c r="IA53" s="216">
        <f t="shared" si="13"/>
        <v>0</v>
      </c>
      <c r="IB53" s="216">
        <f t="shared" si="14"/>
        <v>0</v>
      </c>
      <c r="IC53" s="216">
        <f t="shared" si="15"/>
        <v>0</v>
      </c>
      <c r="ID53" s="216">
        <f t="shared" si="16"/>
        <v>0</v>
      </c>
      <c r="IF53" s="216">
        <f t="shared" si="17"/>
        <v>0</v>
      </c>
    </row>
    <row r="54" spans="2:240" x14ac:dyDescent="0.2">
      <c r="B54" s="141" t="str">
        <v>Project Development</v>
      </c>
      <c r="C54" s="141" t="str">
        <v>Control Design Engineer - Senior (Secondary Design)</v>
      </c>
      <c r="D54" s="141" t="str">
        <v>Internal Labour</v>
      </c>
      <c r="E54" s="141" t="str">
        <v>$ Nominal</v>
      </c>
      <c r="F54" s="141" t="str">
        <v>Existing</v>
      </c>
      <c r="G54" s="141" t="str">
        <v>Normal time</v>
      </c>
      <c r="H54" s="142">
        <v>295.87</v>
      </c>
      <c r="I54" s="126">
        <v>1135088.6640000003</v>
      </c>
      <c r="J54" s="143">
        <v>0</v>
      </c>
      <c r="K54" s="144">
        <v>0</v>
      </c>
      <c r="L54" s="144">
        <v>0</v>
      </c>
      <c r="M54" s="144">
        <v>0</v>
      </c>
      <c r="N54" s="144">
        <v>0</v>
      </c>
      <c r="O54" s="144">
        <v>0</v>
      </c>
      <c r="P54" s="144">
        <v>0</v>
      </c>
      <c r="Q54" s="144">
        <v>0.69542857142857173</v>
      </c>
      <c r="R54" s="144">
        <v>0.15557142857142858</v>
      </c>
      <c r="S54" s="144">
        <v>3.9285714285714292E-2</v>
      </c>
      <c r="T54" s="144">
        <v>2.1428571428571429E-2</v>
      </c>
      <c r="U54" s="144">
        <v>2.5000000000000001E-2</v>
      </c>
      <c r="V54" s="144">
        <v>1.2190476190476191E-2</v>
      </c>
      <c r="W54" s="144">
        <v>0</v>
      </c>
      <c r="X54" s="144">
        <v>1</v>
      </c>
      <c r="Y54" s="144">
        <v>0.55000000000000004</v>
      </c>
      <c r="Z54" s="144">
        <v>1.8</v>
      </c>
      <c r="AA54" s="144">
        <v>2.1644736842105261</v>
      </c>
      <c r="AB54" s="144">
        <v>4.4671052631578947</v>
      </c>
      <c r="AC54" s="144">
        <v>4.3499999999999996</v>
      </c>
      <c r="AD54" s="144">
        <v>2.1</v>
      </c>
      <c r="AE54" s="144">
        <v>1.65</v>
      </c>
      <c r="AF54" s="144">
        <v>2.0499999999999998</v>
      </c>
      <c r="AG54" s="144">
        <v>1.7</v>
      </c>
      <c r="AH54" s="144">
        <v>1.0666666666666667</v>
      </c>
      <c r="AI54" s="144">
        <v>1.0666666666666667</v>
      </c>
      <c r="AJ54" s="144">
        <v>1</v>
      </c>
      <c r="AK54" s="144">
        <v>0.6</v>
      </c>
      <c r="AL54" s="144">
        <v>0.8</v>
      </c>
      <c r="AM54" s="144">
        <v>0.55263157894736847</v>
      </c>
      <c r="AN54" s="144">
        <v>0.18421052631578946</v>
      </c>
      <c r="AO54" s="144">
        <v>0.2</v>
      </c>
      <c r="AP54" s="144">
        <v>0</v>
      </c>
      <c r="AQ54" s="144">
        <v>0</v>
      </c>
      <c r="AR54" s="144">
        <v>0</v>
      </c>
      <c r="AS54" s="144">
        <v>0</v>
      </c>
      <c r="AT54" s="144">
        <v>0</v>
      </c>
      <c r="AU54" s="144">
        <v>0</v>
      </c>
      <c r="AV54" s="144">
        <v>0</v>
      </c>
      <c r="AW54" s="144">
        <v>0</v>
      </c>
      <c r="AX54" s="144">
        <v>0</v>
      </c>
      <c r="AY54" s="144">
        <v>0</v>
      </c>
      <c r="AZ54" s="144">
        <v>0</v>
      </c>
      <c r="BA54" s="144">
        <v>0</v>
      </c>
      <c r="BB54" s="144">
        <v>0</v>
      </c>
      <c r="BC54" s="144">
        <v>0</v>
      </c>
      <c r="BD54" s="144">
        <v>0</v>
      </c>
      <c r="BE54" s="144">
        <v>0</v>
      </c>
      <c r="BF54" s="144">
        <v>0</v>
      </c>
      <c r="BG54" s="144">
        <v>0</v>
      </c>
      <c r="BH54" s="144">
        <v>0</v>
      </c>
      <c r="BI54" s="144">
        <v>0</v>
      </c>
      <c r="BJ54" s="144">
        <v>0</v>
      </c>
      <c r="BK54" s="144">
        <v>0</v>
      </c>
      <c r="BL54" s="144">
        <v>0</v>
      </c>
      <c r="BM54" s="144">
        <v>0</v>
      </c>
      <c r="BN54" s="144">
        <v>0</v>
      </c>
      <c r="BO54" s="144">
        <v>0</v>
      </c>
      <c r="BP54" s="144">
        <v>0</v>
      </c>
      <c r="BQ54" s="144">
        <v>0</v>
      </c>
      <c r="BR54" s="144">
        <v>0</v>
      </c>
      <c r="BS54" s="144">
        <v>0</v>
      </c>
      <c r="BT54" s="144">
        <v>0</v>
      </c>
      <c r="BU54" s="144">
        <v>0</v>
      </c>
      <c r="BV54" s="144">
        <v>0</v>
      </c>
      <c r="BW54" s="144">
        <v>0</v>
      </c>
      <c r="BX54" s="144">
        <v>0</v>
      </c>
      <c r="BY54" s="144">
        <v>0</v>
      </c>
      <c r="BZ54" s="144">
        <v>0</v>
      </c>
      <c r="CA54" s="144">
        <v>0</v>
      </c>
      <c r="CB54" s="144">
        <v>0</v>
      </c>
      <c r="CC54" s="144">
        <v>0</v>
      </c>
      <c r="CD54" s="144">
        <v>0</v>
      </c>
      <c r="CE54" s="144">
        <v>0</v>
      </c>
      <c r="CF54" s="144">
        <v>0</v>
      </c>
      <c r="CG54" s="144">
        <v>0</v>
      </c>
      <c r="CH54" s="144">
        <v>0</v>
      </c>
      <c r="CI54" s="144">
        <v>0</v>
      </c>
      <c r="CJ54" s="144">
        <v>0</v>
      </c>
      <c r="CK54" s="144">
        <v>0</v>
      </c>
      <c r="CL54" s="144">
        <v>0</v>
      </c>
      <c r="CM54" s="144">
        <v>0</v>
      </c>
      <c r="CN54" s="144">
        <v>0</v>
      </c>
      <c r="CO54" s="144">
        <v>0</v>
      </c>
      <c r="CP54" s="144">
        <v>0</v>
      </c>
      <c r="CQ54" s="143">
        <v>0</v>
      </c>
      <c r="CR54" s="145">
        <v>0</v>
      </c>
      <c r="CS54" s="145">
        <v>0</v>
      </c>
      <c r="CT54" s="145">
        <v>0</v>
      </c>
      <c r="CU54" s="145">
        <v>0</v>
      </c>
      <c r="CV54" s="145">
        <v>0</v>
      </c>
      <c r="CW54" s="145">
        <v>0</v>
      </c>
      <c r="CX54" s="145">
        <v>19407.836000000007</v>
      </c>
      <c r="CY54" s="145">
        <v>3523.9799999999996</v>
      </c>
      <c r="CZ54" s="145">
        <v>1509.6400000000006</v>
      </c>
      <c r="DA54" s="145">
        <v>553.56000000000006</v>
      </c>
      <c r="DB54" s="145">
        <v>790.69</v>
      </c>
      <c r="DC54" s="145">
        <v>368.55800000000005</v>
      </c>
      <c r="DD54" s="145">
        <v>0</v>
      </c>
      <c r="DE54" s="145">
        <v>39545.800000000003</v>
      </c>
      <c r="DF54" s="145">
        <v>22782.76</v>
      </c>
      <c r="DG54" s="145">
        <v>55921.32</v>
      </c>
      <c r="DH54" s="145">
        <v>97344.52</v>
      </c>
      <c r="DI54" s="145">
        <v>200902.52</v>
      </c>
      <c r="DJ54" s="145">
        <v>180190.91999999998</v>
      </c>
      <c r="DK54" s="145">
        <v>86988.72</v>
      </c>
      <c r="DL54" s="145">
        <v>68348.28</v>
      </c>
      <c r="DM54" s="145">
        <v>84917.56</v>
      </c>
      <c r="DN54" s="145">
        <v>70419.44</v>
      </c>
      <c r="DO54" s="145">
        <v>33138.559999999998</v>
      </c>
      <c r="DP54" s="145">
        <v>33138.559999999998</v>
      </c>
      <c r="DQ54" s="145">
        <v>41423.199999999997</v>
      </c>
      <c r="DR54" s="145">
        <v>25601.519999999997</v>
      </c>
      <c r="DS54" s="145">
        <v>25601.519999999997</v>
      </c>
      <c r="DT54" s="145">
        <v>25601.519999999997</v>
      </c>
      <c r="DU54" s="145">
        <v>8533.84</v>
      </c>
      <c r="DV54" s="145">
        <v>8533.84</v>
      </c>
      <c r="DW54" s="145">
        <v>0</v>
      </c>
      <c r="DX54" s="145">
        <v>0</v>
      </c>
      <c r="DY54" s="145">
        <v>0</v>
      </c>
      <c r="DZ54" s="145">
        <v>0</v>
      </c>
      <c r="EA54" s="145">
        <v>0</v>
      </c>
      <c r="EB54" s="145">
        <v>0</v>
      </c>
      <c r="EC54" s="145">
        <v>0</v>
      </c>
      <c r="ED54" s="145">
        <v>0</v>
      </c>
      <c r="EE54" s="145">
        <v>0</v>
      </c>
      <c r="EF54" s="145">
        <v>0</v>
      </c>
      <c r="EG54" s="145">
        <v>0</v>
      </c>
      <c r="EH54" s="145">
        <v>0</v>
      </c>
      <c r="EI54" s="145">
        <v>0</v>
      </c>
      <c r="EJ54" s="145">
        <v>0</v>
      </c>
      <c r="EK54" s="145">
        <v>0</v>
      </c>
      <c r="EL54" s="145">
        <v>0</v>
      </c>
      <c r="EM54" s="145">
        <v>0</v>
      </c>
      <c r="EN54" s="145">
        <v>0</v>
      </c>
      <c r="EO54" s="145">
        <v>0</v>
      </c>
      <c r="EP54" s="145">
        <v>0</v>
      </c>
      <c r="EQ54" s="145">
        <v>0</v>
      </c>
      <c r="ER54" s="145">
        <v>0</v>
      </c>
      <c r="ES54" s="145">
        <v>0</v>
      </c>
      <c r="ET54" s="145">
        <v>0</v>
      </c>
      <c r="EU54" s="145">
        <v>0</v>
      </c>
      <c r="EV54" s="145">
        <v>0</v>
      </c>
      <c r="EW54" s="145">
        <v>0</v>
      </c>
      <c r="EX54" s="145">
        <v>0</v>
      </c>
      <c r="EY54" s="145">
        <v>0</v>
      </c>
      <c r="EZ54" s="145">
        <v>0</v>
      </c>
      <c r="FA54" s="145">
        <v>0</v>
      </c>
      <c r="FB54" s="145">
        <v>0</v>
      </c>
      <c r="FC54" s="145">
        <v>0</v>
      </c>
      <c r="FD54" s="145">
        <v>0</v>
      </c>
      <c r="FE54" s="145">
        <v>0</v>
      </c>
      <c r="FF54" s="145">
        <v>0</v>
      </c>
      <c r="FG54" s="145">
        <v>0</v>
      </c>
      <c r="FH54" s="145">
        <v>0</v>
      </c>
      <c r="FI54" s="145">
        <v>0</v>
      </c>
      <c r="FJ54" s="145">
        <v>0</v>
      </c>
      <c r="FK54" s="145">
        <v>0</v>
      </c>
      <c r="FL54" s="145">
        <v>0</v>
      </c>
      <c r="FM54" s="145">
        <v>0</v>
      </c>
      <c r="FN54" s="145">
        <v>0</v>
      </c>
      <c r="FO54" s="145">
        <v>0</v>
      </c>
      <c r="FP54" s="145">
        <v>0</v>
      </c>
      <c r="FQ54" s="145">
        <v>0</v>
      </c>
      <c r="FR54" s="145">
        <v>0</v>
      </c>
      <c r="FS54" s="145">
        <v>0</v>
      </c>
      <c r="FT54" s="145">
        <v>0</v>
      </c>
      <c r="FU54" s="145">
        <v>0</v>
      </c>
      <c r="FV54" s="145">
        <v>0</v>
      </c>
      <c r="FW54" s="145">
        <v>0</v>
      </c>
      <c r="FX54" s="143"/>
      <c r="FY54" s="146" t="str">
        <f>_xlfn.XLOOKUP($E54,'Key assumptions'!$B$112:$B$120,'Key assumptions'!$C$112:$C$120,0)</f>
        <v>Nominal</v>
      </c>
      <c r="FZ54" s="146" cm="1">
        <f t="array" ref="FZ54">IF($FY54=0,0,_xlfn.IFS($FY54='Key assumptions'!$C$120,_xlfn.XLOOKUP(LEFT(FZ$7,6),Inflation_Year,Inflation_NominaltoReal),TRUE,_xlfn.XLOOKUP($FY54,Inflation_Year,NominaltoReal)))</f>
        <v>1.0197075870962191</v>
      </c>
      <c r="GA54" s="146" cm="1">
        <f t="array" ref="GA54">IF($FY54=0,0,_xlfn.IFS($FY54='Key assumptions'!$C$120,_xlfn.XLOOKUP(LEFT(GA$7,6),Inflation_Year,Inflation_NominaltoReal),TRUE,_xlfn.XLOOKUP($FY54,Inflation_Year,NominaltoReal)))</f>
        <v>0.98700804022984445</v>
      </c>
      <c r="GB54" s="146" cm="1">
        <f t="array" ref="GB54">IF($FY54=0,0,_xlfn.IFS($FY54='Key assumptions'!$C$120,_xlfn.XLOOKUP(LEFT(GB$7,6),Inflation_Year,Inflation_NominaltoReal),TRUE,_xlfn.XLOOKUP($FY54,Inflation_Year,NominaltoReal)))</f>
        <v>0.96152830081941731</v>
      </c>
      <c r="GC54" s="146" cm="1">
        <f t="array" ref="GC54">IF($FY54=0,0,_xlfn.IFS($FY54='Key assumptions'!$C$120,_xlfn.XLOOKUP(LEFT(GC$7,6),Inflation_Year,Inflation_NominaltoReal),TRUE,_xlfn.XLOOKUP($FY54,Inflation_Year,NominaltoReal)))</f>
        <v>0.93670632415656829</v>
      </c>
      <c r="GD54" s="146" cm="1">
        <f t="array" ref="GD54">IF($FY54=0,0,_xlfn.IFS($FY54='Key assumptions'!$C$120,_xlfn.XLOOKUP(LEFT(GD$7,6),Inflation_Year,Inflation_NominaltoReal),TRUE,_xlfn.XLOOKUP($FY54,Inflation_Year,NominaltoReal)))</f>
        <v>0.91252513001143176</v>
      </c>
      <c r="GE54" s="146" cm="1">
        <f t="array" ref="GE54">IF($FY54=0,0,_xlfn.IFS($FY54='Key assumptions'!$C$120,_xlfn.XLOOKUP(LEFT(GE$7,6),Inflation_Year,Inflation_NominaltoReal),TRUE,_xlfn.XLOOKUP($FY54,Inflation_Year,NominaltoReal)))</f>
        <v>0.88896817650095872</v>
      </c>
      <c r="GF54" s="146" cm="1">
        <f t="array" ref="GF54">IF($FY54=0,0,_xlfn.IFS($FY54='Key assumptions'!$C$120,_xlfn.XLOOKUP(LEFT(GF$7,6),Inflation_Year,Inflation_NominaltoReal),TRUE,_xlfn.XLOOKUP($FY54,Inflation_Year,NominaltoReal)))</f>
        <v>0.86601934877293718</v>
      </c>
      <c r="GG54" s="143"/>
      <c r="GH54" s="145" cm="1">
        <f t="array" ref="GH54">SUMPRODUCT(--($CR$7:$FW$7&gt;=GH$5),--($CR$7:$FW$7&lt;=GH$6),$CR54:$FW54)*FZ54</f>
        <v>766845.43503282033</v>
      </c>
      <c r="GI54" s="145" cm="1">
        <f t="array" ref="GI54">SUMPRODUCT(--($CR$7:$FW$7&gt;=GI$5),--($CR$7:$FW$7&lt;=GI$6),$CR54:$FW54)*GA54</f>
        <v>352272.60535489622</v>
      </c>
      <c r="GJ54" s="145" cm="1">
        <f t="array" ref="GJ54">SUMPRODUCT(--($CR$7:$FW$7&gt;=GJ$5),--($CR$7:$FW$7&lt;=GJ$6),$CR54:$FW54)*GB54</f>
        <v>0</v>
      </c>
      <c r="GK54" s="145" cm="1">
        <f t="array" ref="GK54">SUMPRODUCT(--($CR$7:$FW$7&gt;=GK$5),--($CR$7:$FW$7&lt;=GK$6),$CR54:$FW54)*GC54</f>
        <v>0</v>
      </c>
      <c r="GL54" s="145" cm="1">
        <f t="array" ref="GL54">SUMPRODUCT(--($CR$7:$FW$7&gt;=GL$5),--($CR$7:$FW$7&lt;=GL$6),$CR54:$FW54)*GD54</f>
        <v>0</v>
      </c>
      <c r="GM54" s="145" cm="1">
        <f t="array" ref="GM54">SUMPRODUCT(--($CR$7:$FW$7&gt;=GM$5),--($CR$7:$FW$7&lt;=GM$6),$CR54:$FW54)*GE54</f>
        <v>0</v>
      </c>
      <c r="GN54" s="145" cm="1">
        <f t="array" ref="GN54">SUMPRODUCT(--($CR$7:$FW$7&gt;=GN$5),--($CR$7:$FW$7&lt;=GN$6),$CR54:$FW54)*GF54</f>
        <v>0</v>
      </c>
      <c r="GO54" s="145">
        <f t="shared" si="18"/>
        <v>1119118.0403877166</v>
      </c>
      <c r="GP54" s="87"/>
      <c r="GQ54" s="89"/>
      <c r="GR54" s="145" cm="1">
        <f t="array" ref="GR54">SUMPRODUCT(--($CR$7:$FW$7&gt;=GR$5),--($CR$7:$FW$7&lt;=GR$6),$CR54:$FW54)</f>
        <v>416496.92000000004</v>
      </c>
      <c r="GS54" s="89"/>
      <c r="GT54" s="214" cm="1">
        <f t="array" ref="GT54">--AND(MIN(IF($K54:$CP54&lt;&gt;0,$K$7:$CP$7))&gt;=GT$5,MIN(IF($K54:$CP54&lt;&gt;0,$K$7:$CP$7))&lt;=GT$6)</f>
        <v>0</v>
      </c>
      <c r="GU54" s="214" cm="1">
        <f t="array" ref="GU54">--AND(MIN(IF($K54:$CP54&lt;&gt;0,$K$7:$CP$7))&gt;=GU$5,MIN(IF($K54:$CP54&lt;&gt;0,$K$7:$CP$7))&lt;=GU$6)</f>
        <v>0</v>
      </c>
      <c r="GV54" s="214" cm="1">
        <f t="array" ref="GV54">--AND(MIN(IF($K54:$CP54&lt;&gt;0,$K$7:$CP$7))&gt;=GV$5,MIN(IF($K54:$CP54&lt;&gt;0,$K$7:$CP$7))&lt;=GV$6)</f>
        <v>0</v>
      </c>
      <c r="GW54" s="214" cm="1">
        <f t="array" ref="GW54">--AND(MIN(IF($K54:$CP54&lt;&gt;0,$K$7:$CP$7))&gt;=GW$5,MIN(IF($K54:$CP54&lt;&gt;0,$K$7:$CP$7))&lt;=GW$6)</f>
        <v>0</v>
      </c>
      <c r="GX54" s="214" cm="1">
        <f t="array" ref="GX54">--AND(MIN(IF($K54:$CP54&lt;&gt;0,$K$7:$CP$7))&gt;=GX$5,MIN(IF($K54:$CP54&lt;&gt;0,$K$7:$CP$7))&lt;=GX$6)</f>
        <v>0</v>
      </c>
      <c r="GY54" s="214" cm="1">
        <f t="array" ref="GY54">--AND(MIN(IF($K54:$CP54&lt;&gt;0,$K$7:$CP$7))&gt;=GY$5,MIN(IF($K54:$CP54&lt;&gt;0,$K$7:$CP$7))&lt;=GY$6)</f>
        <v>0</v>
      </c>
      <c r="GZ54" s="214" cm="1">
        <f t="array" ref="GZ54">--AND(MIN(IF($K54:$CP54&lt;&gt;0,$K$7:$CP$7))&gt;=GZ$5,MIN(IF($K54:$CP54&lt;&gt;0,$K$7:$CP$7))&lt;=GZ$6)</f>
        <v>0</v>
      </c>
      <c r="HA54" s="214">
        <f t="shared" si="0"/>
        <v>0</v>
      </c>
      <c r="HC54" s="214" cm="1">
        <f t="array" ref="HC54">--AND(MIN(IF($K54:$CP54&lt;&gt;0,$K$7:$CP$7))&gt;=HC$5,MIN(IF($K54:$CP54&lt;&gt;0,$K$7:$CP$7))&lt;=HC$6)</f>
        <v>0</v>
      </c>
      <c r="HE54" s="147" t="str">
        <f t="shared" si="19"/>
        <v>No</v>
      </c>
      <c r="HF54" s="147" t="str">
        <f t="shared" si="20"/>
        <v>No</v>
      </c>
      <c r="HG54" s="147">
        <f>IF($HF54="Yes",0,$H54*avg_hrs*12*'Key assumptions'!$D$87)</f>
        <v>529095.15184130974</v>
      </c>
      <c r="HH54" s="147">
        <f>IF(HE54="Yes",'Key assumptions'!$D$84*HG54,0)</f>
        <v>0</v>
      </c>
      <c r="HI54" s="144">
        <f>IFERROR(AVERAGEIFS($K54:$CP54,$K$7:$CP$7,"&gt;="&amp;'Key assumptions'!$D$24,$K$7:$CP$7,"&lt;="&amp;'Key assumptions'!$D$25),0)</f>
        <v>0.62049441786283899</v>
      </c>
      <c r="HJ54" s="148">
        <f t="shared" si="22"/>
        <v>0</v>
      </c>
      <c r="HK54" s="148">
        <f t="shared" si="1"/>
        <v>0</v>
      </c>
      <c r="HL54" s="148">
        <f t="shared" si="2"/>
        <v>0</v>
      </c>
      <c r="HM54" s="148">
        <f t="shared" si="3"/>
        <v>0</v>
      </c>
      <c r="HN54" s="148">
        <f t="shared" si="4"/>
        <v>0</v>
      </c>
      <c r="HO54" s="148">
        <f t="shared" si="5"/>
        <v>0</v>
      </c>
      <c r="HP54" s="148">
        <f t="shared" si="6"/>
        <v>0</v>
      </c>
      <c r="HQ54" s="148">
        <f t="shared" si="7"/>
        <v>0</v>
      </c>
      <c r="HR54" s="147">
        <f t="shared" si="8"/>
        <v>0</v>
      </c>
      <c r="HS54" s="90"/>
      <c r="HU54" s="147">
        <f>$HJ54*HC54/(1+'Key assumptions'!G76)^0.75</f>
        <v>0</v>
      </c>
      <c r="HW54" s="216">
        <f t="shared" si="9"/>
        <v>0</v>
      </c>
      <c r="HX54" s="216">
        <f t="shared" si="10"/>
        <v>0</v>
      </c>
      <c r="HY54" s="216">
        <f t="shared" si="11"/>
        <v>0</v>
      </c>
      <c r="HZ54" s="216">
        <f t="shared" si="12"/>
        <v>0</v>
      </c>
      <c r="IA54" s="216">
        <f t="shared" si="13"/>
        <v>0</v>
      </c>
      <c r="IB54" s="216">
        <f t="shared" si="14"/>
        <v>0</v>
      </c>
      <c r="IC54" s="216">
        <f t="shared" si="15"/>
        <v>0</v>
      </c>
      <c r="ID54" s="216">
        <f t="shared" si="16"/>
        <v>0</v>
      </c>
      <c r="IF54" s="216">
        <f t="shared" si="17"/>
        <v>0</v>
      </c>
    </row>
    <row r="55" spans="2:240" x14ac:dyDescent="0.2">
      <c r="B55" s="141" t="str">
        <v>Project Development</v>
      </c>
      <c r="C55" s="141" t="str">
        <v>Protection Design Engineer (Eng&amp;Design Leadership)</v>
      </c>
      <c r="D55" s="141" t="str">
        <v>Internal Labour</v>
      </c>
      <c r="E55" s="141" t="str">
        <v>$ Nominal</v>
      </c>
      <c r="F55" s="141" t="str">
        <v>Existing</v>
      </c>
      <c r="G55" s="141" t="str">
        <v>Normal time</v>
      </c>
      <c r="H55" s="142">
        <v>205.24</v>
      </c>
      <c r="I55" s="126">
        <v>616362.94000000006</v>
      </c>
      <c r="J55" s="143">
        <v>0</v>
      </c>
      <c r="K55" s="144">
        <v>0</v>
      </c>
      <c r="L55" s="144">
        <v>0</v>
      </c>
      <c r="M55" s="144">
        <v>0</v>
      </c>
      <c r="N55" s="144">
        <v>0</v>
      </c>
      <c r="O55" s="144">
        <v>0</v>
      </c>
      <c r="P55" s="144">
        <v>0</v>
      </c>
      <c r="Q55" s="144">
        <v>0.33342857142857169</v>
      </c>
      <c r="R55" s="144">
        <v>1.5860328923216521E-17</v>
      </c>
      <c r="S55" s="144">
        <v>0</v>
      </c>
      <c r="T55" s="144">
        <v>0</v>
      </c>
      <c r="U55" s="144">
        <v>0</v>
      </c>
      <c r="V55" s="144">
        <v>0.14819047619047607</v>
      </c>
      <c r="W55" s="144">
        <v>0.22228571428571423</v>
      </c>
      <c r="X55" s="144">
        <v>1</v>
      </c>
      <c r="Y55" s="144">
        <v>0.5</v>
      </c>
      <c r="Z55" s="144">
        <v>0.66666666666666663</v>
      </c>
      <c r="AA55" s="144">
        <v>1.1973684210526316</v>
      </c>
      <c r="AB55" s="144">
        <v>2.0263157894736841</v>
      </c>
      <c r="AC55" s="144">
        <v>2.2999999999999998</v>
      </c>
      <c r="AD55" s="144">
        <v>1.55</v>
      </c>
      <c r="AE55" s="144">
        <v>1.6</v>
      </c>
      <c r="AF55" s="144">
        <v>0.5</v>
      </c>
      <c r="AG55" s="144">
        <v>1.05</v>
      </c>
      <c r="AH55" s="144">
        <v>0</v>
      </c>
      <c r="AI55" s="144">
        <v>0.66666666666666663</v>
      </c>
      <c r="AJ55" s="144">
        <v>0</v>
      </c>
      <c r="AK55" s="144">
        <v>0</v>
      </c>
      <c r="AL55" s="144">
        <v>1.4666666666666666</v>
      </c>
      <c r="AM55" s="144">
        <v>0.96710526315789469</v>
      </c>
      <c r="AN55" s="144">
        <v>1.013157894736842</v>
      </c>
      <c r="AO55" s="144">
        <v>1.1000000000000001</v>
      </c>
      <c r="AP55" s="144">
        <v>1.1000000000000001</v>
      </c>
      <c r="AQ55" s="144">
        <v>1.1000000000000001</v>
      </c>
      <c r="AR55" s="144">
        <v>1.05</v>
      </c>
      <c r="AS55" s="144">
        <v>0</v>
      </c>
      <c r="AT55" s="144">
        <v>0</v>
      </c>
      <c r="AU55" s="144">
        <v>0</v>
      </c>
      <c r="AV55" s="144">
        <v>0</v>
      </c>
      <c r="AW55" s="144">
        <v>0</v>
      </c>
      <c r="AX55" s="144">
        <v>0</v>
      </c>
      <c r="AY55" s="144">
        <v>0</v>
      </c>
      <c r="AZ55" s="144">
        <v>0</v>
      </c>
      <c r="BA55" s="144">
        <v>0</v>
      </c>
      <c r="BB55" s="144">
        <v>0</v>
      </c>
      <c r="BC55" s="144">
        <v>0</v>
      </c>
      <c r="BD55" s="144">
        <v>0</v>
      </c>
      <c r="BE55" s="144">
        <v>0</v>
      </c>
      <c r="BF55" s="144">
        <v>0</v>
      </c>
      <c r="BG55" s="144">
        <v>0</v>
      </c>
      <c r="BH55" s="144">
        <v>0</v>
      </c>
      <c r="BI55" s="144">
        <v>0</v>
      </c>
      <c r="BJ55" s="144">
        <v>0</v>
      </c>
      <c r="BK55" s="144">
        <v>0</v>
      </c>
      <c r="BL55" s="144">
        <v>0</v>
      </c>
      <c r="BM55" s="144">
        <v>0</v>
      </c>
      <c r="BN55" s="144">
        <v>0</v>
      </c>
      <c r="BO55" s="144">
        <v>0</v>
      </c>
      <c r="BP55" s="144">
        <v>0</v>
      </c>
      <c r="BQ55" s="144">
        <v>0</v>
      </c>
      <c r="BR55" s="144">
        <v>0</v>
      </c>
      <c r="BS55" s="144">
        <v>0</v>
      </c>
      <c r="BT55" s="144">
        <v>0</v>
      </c>
      <c r="BU55" s="144">
        <v>0</v>
      </c>
      <c r="BV55" s="144">
        <v>0</v>
      </c>
      <c r="BW55" s="144">
        <v>0</v>
      </c>
      <c r="BX55" s="144">
        <v>0</v>
      </c>
      <c r="BY55" s="144">
        <v>0</v>
      </c>
      <c r="BZ55" s="144">
        <v>0</v>
      </c>
      <c r="CA55" s="144">
        <v>0</v>
      </c>
      <c r="CB55" s="144">
        <v>0</v>
      </c>
      <c r="CC55" s="144">
        <v>0</v>
      </c>
      <c r="CD55" s="144">
        <v>0</v>
      </c>
      <c r="CE55" s="144">
        <v>0</v>
      </c>
      <c r="CF55" s="144">
        <v>0</v>
      </c>
      <c r="CG55" s="144">
        <v>0</v>
      </c>
      <c r="CH55" s="144">
        <v>0</v>
      </c>
      <c r="CI55" s="144">
        <v>0</v>
      </c>
      <c r="CJ55" s="144">
        <v>0</v>
      </c>
      <c r="CK55" s="144">
        <v>0</v>
      </c>
      <c r="CL55" s="144">
        <v>0</v>
      </c>
      <c r="CM55" s="144">
        <v>0</v>
      </c>
      <c r="CN55" s="144">
        <v>0</v>
      </c>
      <c r="CO55" s="144">
        <v>0</v>
      </c>
      <c r="CP55" s="144">
        <v>0</v>
      </c>
      <c r="CQ55" s="143">
        <v>0</v>
      </c>
      <c r="CR55" s="145">
        <v>0</v>
      </c>
      <c r="CS55" s="145">
        <v>0</v>
      </c>
      <c r="CT55" s="145">
        <v>0</v>
      </c>
      <c r="CU55" s="145">
        <v>0</v>
      </c>
      <c r="CV55" s="145">
        <v>0</v>
      </c>
      <c r="CW55" s="145">
        <v>0</v>
      </c>
      <c r="CX55" s="145">
        <v>8613.2999999999956</v>
      </c>
      <c r="CY55" s="145">
        <v>860.38999999999987</v>
      </c>
      <c r="CZ55" s="145">
        <v>0</v>
      </c>
      <c r="DA55" s="145">
        <v>0</v>
      </c>
      <c r="DB55" s="145">
        <v>0</v>
      </c>
      <c r="DC55" s="145">
        <v>3473.6800000000003</v>
      </c>
      <c r="DD55" s="145">
        <v>6244.73</v>
      </c>
      <c r="DE55" s="145">
        <v>27427.399999999998</v>
      </c>
      <c r="DF55" s="145">
        <v>14366.800000000001</v>
      </c>
      <c r="DG55" s="145">
        <v>14366.800000000001</v>
      </c>
      <c r="DH55" s="145">
        <v>37353.68</v>
      </c>
      <c r="DI55" s="145">
        <v>63213.920000000006</v>
      </c>
      <c r="DJ55" s="145">
        <v>66087.28</v>
      </c>
      <c r="DK55" s="145">
        <v>44537.08</v>
      </c>
      <c r="DL55" s="145">
        <v>45973.760000000002</v>
      </c>
      <c r="DM55" s="145">
        <v>14366.800000000001</v>
      </c>
      <c r="DN55" s="145">
        <v>30170.280000000002</v>
      </c>
      <c r="DO55" s="145">
        <v>0</v>
      </c>
      <c r="DP55" s="145">
        <v>14366.800000000001</v>
      </c>
      <c r="DQ55" s="145">
        <v>0</v>
      </c>
      <c r="DR55" s="145">
        <v>0</v>
      </c>
      <c r="DS55" s="145">
        <v>32557.14</v>
      </c>
      <c r="DT55" s="145">
        <v>31077.27</v>
      </c>
      <c r="DU55" s="145">
        <v>32557.14</v>
      </c>
      <c r="DV55" s="145">
        <v>32557.14</v>
      </c>
      <c r="DW55" s="145">
        <v>32557.14</v>
      </c>
      <c r="DX55" s="145">
        <v>32557.14</v>
      </c>
      <c r="DY55" s="145">
        <v>31077.27</v>
      </c>
      <c r="DZ55" s="145">
        <v>0</v>
      </c>
      <c r="EA55" s="145">
        <v>0</v>
      </c>
      <c r="EB55" s="145">
        <v>0</v>
      </c>
      <c r="EC55" s="145">
        <v>0</v>
      </c>
      <c r="ED55" s="145">
        <v>0</v>
      </c>
      <c r="EE55" s="145">
        <v>0</v>
      </c>
      <c r="EF55" s="145">
        <v>0</v>
      </c>
      <c r="EG55" s="145">
        <v>0</v>
      </c>
      <c r="EH55" s="145">
        <v>0</v>
      </c>
      <c r="EI55" s="145">
        <v>0</v>
      </c>
      <c r="EJ55" s="145">
        <v>0</v>
      </c>
      <c r="EK55" s="145">
        <v>0</v>
      </c>
      <c r="EL55" s="145">
        <v>0</v>
      </c>
      <c r="EM55" s="145">
        <v>0</v>
      </c>
      <c r="EN55" s="145">
        <v>0</v>
      </c>
      <c r="EO55" s="145">
        <v>0</v>
      </c>
      <c r="EP55" s="145">
        <v>0</v>
      </c>
      <c r="EQ55" s="145">
        <v>0</v>
      </c>
      <c r="ER55" s="145">
        <v>0</v>
      </c>
      <c r="ES55" s="145">
        <v>0</v>
      </c>
      <c r="ET55" s="145">
        <v>0</v>
      </c>
      <c r="EU55" s="145">
        <v>0</v>
      </c>
      <c r="EV55" s="145">
        <v>0</v>
      </c>
      <c r="EW55" s="145">
        <v>0</v>
      </c>
      <c r="EX55" s="145">
        <v>0</v>
      </c>
      <c r="EY55" s="145">
        <v>0</v>
      </c>
      <c r="EZ55" s="145">
        <v>0</v>
      </c>
      <c r="FA55" s="145">
        <v>0</v>
      </c>
      <c r="FB55" s="145">
        <v>0</v>
      </c>
      <c r="FC55" s="145">
        <v>0</v>
      </c>
      <c r="FD55" s="145">
        <v>0</v>
      </c>
      <c r="FE55" s="145">
        <v>0</v>
      </c>
      <c r="FF55" s="145">
        <v>0</v>
      </c>
      <c r="FG55" s="145">
        <v>0</v>
      </c>
      <c r="FH55" s="145">
        <v>0</v>
      </c>
      <c r="FI55" s="145">
        <v>0</v>
      </c>
      <c r="FJ55" s="145">
        <v>0</v>
      </c>
      <c r="FK55" s="145">
        <v>0</v>
      </c>
      <c r="FL55" s="145">
        <v>0</v>
      </c>
      <c r="FM55" s="145">
        <v>0</v>
      </c>
      <c r="FN55" s="145">
        <v>0</v>
      </c>
      <c r="FO55" s="145">
        <v>0</v>
      </c>
      <c r="FP55" s="145">
        <v>0</v>
      </c>
      <c r="FQ55" s="145">
        <v>0</v>
      </c>
      <c r="FR55" s="145">
        <v>0</v>
      </c>
      <c r="FS55" s="145">
        <v>0</v>
      </c>
      <c r="FT55" s="145">
        <v>0</v>
      </c>
      <c r="FU55" s="145">
        <v>0</v>
      </c>
      <c r="FV55" s="145">
        <v>0</v>
      </c>
      <c r="FW55" s="145">
        <v>0</v>
      </c>
      <c r="FX55" s="143"/>
      <c r="FY55" s="146" t="str">
        <f>_xlfn.XLOOKUP($E55,'Key assumptions'!$B$112:$B$120,'Key assumptions'!$C$112:$C$120,0)</f>
        <v>Nominal</v>
      </c>
      <c r="FZ55" s="146" cm="1">
        <f t="array" ref="FZ55">IF($FY55=0,0,_xlfn.IFS($FY55='Key assumptions'!$C$120,_xlfn.XLOOKUP(LEFT(FZ$7,6),Inflation_Year,Inflation_NominaltoReal),TRUE,_xlfn.XLOOKUP($FY55,Inflation_Year,NominaltoReal)))</f>
        <v>1.0197075870962191</v>
      </c>
      <c r="GA55" s="146" cm="1">
        <f t="array" ref="GA55">IF($FY55=0,0,_xlfn.IFS($FY55='Key assumptions'!$C$120,_xlfn.XLOOKUP(LEFT(GA$7,6),Inflation_Year,Inflation_NominaltoReal),TRUE,_xlfn.XLOOKUP($FY55,Inflation_Year,NominaltoReal)))</f>
        <v>0.98700804022984445</v>
      </c>
      <c r="GB55" s="146" cm="1">
        <f t="array" ref="GB55">IF($FY55=0,0,_xlfn.IFS($FY55='Key assumptions'!$C$120,_xlfn.XLOOKUP(LEFT(GB$7,6),Inflation_Year,Inflation_NominaltoReal),TRUE,_xlfn.XLOOKUP($FY55,Inflation_Year,NominaltoReal)))</f>
        <v>0.96152830081941731</v>
      </c>
      <c r="GC55" s="146" cm="1">
        <f t="array" ref="GC55">IF($FY55=0,0,_xlfn.IFS($FY55='Key assumptions'!$C$120,_xlfn.XLOOKUP(LEFT(GC$7,6),Inflation_Year,Inflation_NominaltoReal),TRUE,_xlfn.XLOOKUP($FY55,Inflation_Year,NominaltoReal)))</f>
        <v>0.93670632415656829</v>
      </c>
      <c r="GD55" s="146" cm="1">
        <f t="array" ref="GD55">IF($FY55=0,0,_xlfn.IFS($FY55='Key assumptions'!$C$120,_xlfn.XLOOKUP(LEFT(GD$7,6),Inflation_Year,Inflation_NominaltoReal),TRUE,_xlfn.XLOOKUP($FY55,Inflation_Year,NominaltoReal)))</f>
        <v>0.91252513001143176</v>
      </c>
      <c r="GE55" s="146" cm="1">
        <f t="array" ref="GE55">IF($FY55=0,0,_xlfn.IFS($FY55='Key assumptions'!$C$120,_xlfn.XLOOKUP(LEFT(GE$7,6),Inflation_Year,Inflation_NominaltoReal),TRUE,_xlfn.XLOOKUP($FY55,Inflation_Year,NominaltoReal)))</f>
        <v>0.88896817650095872</v>
      </c>
      <c r="GF55" s="146" cm="1">
        <f t="array" ref="GF55">IF($FY55=0,0,_xlfn.IFS($FY55='Key assumptions'!$C$120,_xlfn.XLOOKUP(LEFT(GF$7,6),Inflation_Year,Inflation_NominaltoReal),TRUE,_xlfn.XLOOKUP($FY55,Inflation_Year,NominaltoReal)))</f>
        <v>0.86601934877293718</v>
      </c>
      <c r="GG55" s="143"/>
      <c r="GH55" s="145" cm="1">
        <f t="array" ref="GH55">SUMPRODUCT(--($CR$7:$FW$7&gt;=GH$5),--($CR$7:$FW$7&lt;=GH$6),$CR55:$FW55)*FZ55</f>
        <v>319501.63362397271</v>
      </c>
      <c r="GI55" s="145" cm="1">
        <f t="array" ref="GI55">SUMPRODUCT(--($CR$7:$FW$7&gt;=GI$5),--($CR$7:$FW$7&lt;=GI$6),$CR55:$FW55)*GA55</f>
        <v>249482.91325357108</v>
      </c>
      <c r="GJ55" s="145" cm="1">
        <f t="array" ref="GJ55">SUMPRODUCT(--($CR$7:$FW$7&gt;=GJ$5),--($CR$7:$FW$7&lt;=GJ$6),$CR55:$FW55)*GB55</f>
        <v>29881.674617206252</v>
      </c>
      <c r="GK55" s="145" cm="1">
        <f t="array" ref="GK55">SUMPRODUCT(--($CR$7:$FW$7&gt;=GK$5),--($CR$7:$FW$7&lt;=GK$6),$CR55:$FW55)*GC55</f>
        <v>0</v>
      </c>
      <c r="GL55" s="145" cm="1">
        <f t="array" ref="GL55">SUMPRODUCT(--($CR$7:$FW$7&gt;=GL$5),--($CR$7:$FW$7&lt;=GL$6),$CR55:$FW55)*GD55</f>
        <v>0</v>
      </c>
      <c r="GM55" s="145" cm="1">
        <f t="array" ref="GM55">SUMPRODUCT(--($CR$7:$FW$7&gt;=GM$5),--($CR$7:$FW$7&lt;=GM$6),$CR55:$FW55)*GE55</f>
        <v>0</v>
      </c>
      <c r="GN55" s="145" cm="1">
        <f t="array" ref="GN55">SUMPRODUCT(--($CR$7:$FW$7&gt;=GN$5),--($CR$7:$FW$7&lt;=GN$6),$CR55:$FW55)*GF55</f>
        <v>0</v>
      </c>
      <c r="GO55" s="145">
        <f t="shared" si="18"/>
        <v>598866.22149475</v>
      </c>
      <c r="GP55" s="87"/>
      <c r="GQ55" s="89"/>
      <c r="GR55" s="145" cm="1">
        <f t="array" ref="GR55">SUMPRODUCT(--($CR$7:$FW$7&gt;=GR$5),--($CR$7:$FW$7&lt;=GR$6),$CR55:$FW55)</f>
        <v>156728.6</v>
      </c>
      <c r="GS55" s="89"/>
      <c r="GT55" s="214" cm="1">
        <f t="array" ref="GT55">--AND(MIN(IF($K55:$CP55&lt;&gt;0,$K$7:$CP$7))&gt;=GT$5,MIN(IF($K55:$CP55&lt;&gt;0,$K$7:$CP$7))&lt;=GT$6)</f>
        <v>0</v>
      </c>
      <c r="GU55" s="214" cm="1">
        <f t="array" ref="GU55">--AND(MIN(IF($K55:$CP55&lt;&gt;0,$K$7:$CP$7))&gt;=GU$5,MIN(IF($K55:$CP55&lt;&gt;0,$K$7:$CP$7))&lt;=GU$6)</f>
        <v>0</v>
      </c>
      <c r="GV55" s="214" cm="1">
        <f t="array" ref="GV55">--AND(MIN(IF($K55:$CP55&lt;&gt;0,$K$7:$CP$7))&gt;=GV$5,MIN(IF($K55:$CP55&lt;&gt;0,$K$7:$CP$7))&lt;=GV$6)</f>
        <v>0</v>
      </c>
      <c r="GW55" s="214" cm="1">
        <f t="array" ref="GW55">--AND(MIN(IF($K55:$CP55&lt;&gt;0,$K$7:$CP$7))&gt;=GW$5,MIN(IF($K55:$CP55&lt;&gt;0,$K$7:$CP$7))&lt;=GW$6)</f>
        <v>0</v>
      </c>
      <c r="GX55" s="214" cm="1">
        <f t="array" ref="GX55">--AND(MIN(IF($K55:$CP55&lt;&gt;0,$K$7:$CP$7))&gt;=GX$5,MIN(IF($K55:$CP55&lt;&gt;0,$K$7:$CP$7))&lt;=GX$6)</f>
        <v>0</v>
      </c>
      <c r="GY55" s="214" cm="1">
        <f t="array" ref="GY55">--AND(MIN(IF($K55:$CP55&lt;&gt;0,$K$7:$CP$7))&gt;=GY$5,MIN(IF($K55:$CP55&lt;&gt;0,$K$7:$CP$7))&lt;=GY$6)</f>
        <v>0</v>
      </c>
      <c r="GZ55" s="214" cm="1">
        <f t="array" ref="GZ55">--AND(MIN(IF($K55:$CP55&lt;&gt;0,$K$7:$CP$7))&gt;=GZ$5,MIN(IF($K55:$CP55&lt;&gt;0,$K$7:$CP$7))&lt;=GZ$6)</f>
        <v>0</v>
      </c>
      <c r="HA55" s="214">
        <f t="shared" si="0"/>
        <v>0</v>
      </c>
      <c r="HC55" s="214" cm="1">
        <f t="array" ref="HC55">--AND(MIN(IF($K55:$CP55&lt;&gt;0,$K$7:$CP$7))&gt;=HC$5,MIN(IF($K55:$CP55&lt;&gt;0,$K$7:$CP$7))&lt;=HC$6)</f>
        <v>0</v>
      </c>
      <c r="HE55" s="147" t="str">
        <f t="shared" si="19"/>
        <v>No</v>
      </c>
      <c r="HF55" s="147" t="str">
        <f t="shared" si="20"/>
        <v>No</v>
      </c>
      <c r="HG55" s="147">
        <f>IF($HF55="Yes",0,$H55*avg_hrs*12*'Key assumptions'!$D$87)</f>
        <v>367024.33151015785</v>
      </c>
      <c r="HH55" s="147">
        <f>IF(HE55="Yes",'Key assumptions'!$D$84*HG55,0)</f>
        <v>0</v>
      </c>
      <c r="HI55" s="144">
        <f>IFERROR(AVERAGEIFS($K55:$CP55,$K$7:$CP$7,"&gt;="&amp;'Key assumptions'!$D$24,$K$7:$CP$7,"&lt;="&amp;'Key assumptions'!$D$25),0)</f>
        <v>0.47395334928229677</v>
      </c>
      <c r="HJ55" s="148">
        <f t="shared" si="22"/>
        <v>0</v>
      </c>
      <c r="HK55" s="148">
        <f t="shared" si="1"/>
        <v>0</v>
      </c>
      <c r="HL55" s="148">
        <f t="shared" si="2"/>
        <v>0</v>
      </c>
      <c r="HM55" s="148">
        <f t="shared" si="3"/>
        <v>0</v>
      </c>
      <c r="HN55" s="148">
        <f t="shared" si="4"/>
        <v>0</v>
      </c>
      <c r="HO55" s="148">
        <f t="shared" si="5"/>
        <v>0</v>
      </c>
      <c r="HP55" s="148">
        <f t="shared" si="6"/>
        <v>0</v>
      </c>
      <c r="HQ55" s="148">
        <f t="shared" si="7"/>
        <v>0</v>
      </c>
      <c r="HR55" s="147">
        <f t="shared" si="8"/>
        <v>0</v>
      </c>
      <c r="HS55" s="89"/>
      <c r="HU55" s="147">
        <f>$HJ55*HC55/(1+'Key assumptions'!G77)^0.75</f>
        <v>0</v>
      </c>
      <c r="HW55" s="216">
        <f t="shared" si="9"/>
        <v>0</v>
      </c>
      <c r="HX55" s="216">
        <f t="shared" si="10"/>
        <v>0</v>
      </c>
      <c r="HY55" s="216">
        <f t="shared" si="11"/>
        <v>0</v>
      </c>
      <c r="HZ55" s="216">
        <f t="shared" si="12"/>
        <v>0</v>
      </c>
      <c r="IA55" s="216">
        <f t="shared" si="13"/>
        <v>0</v>
      </c>
      <c r="IB55" s="216">
        <f t="shared" si="14"/>
        <v>0</v>
      </c>
      <c r="IC55" s="216">
        <f t="shared" si="15"/>
        <v>0</v>
      </c>
      <c r="ID55" s="216">
        <f t="shared" si="16"/>
        <v>0</v>
      </c>
      <c r="IF55" s="216">
        <f t="shared" si="17"/>
        <v>0</v>
      </c>
    </row>
    <row r="56" spans="2:240" x14ac:dyDescent="0.2">
      <c r="B56" s="141" t="str">
        <v>Project Development</v>
      </c>
      <c r="C56" s="141" t="str">
        <v>Maintenance Manager (Maintenance Engineering Substations)</v>
      </c>
      <c r="D56" s="141" t="str">
        <v>Internal Labour</v>
      </c>
      <c r="E56" s="141" t="str">
        <v>$ Nominal</v>
      </c>
      <c r="F56" s="141" t="str">
        <v>Existing</v>
      </c>
      <c r="G56" s="141" t="str">
        <v>Normal time</v>
      </c>
      <c r="H56" s="142">
        <v>311.75</v>
      </c>
      <c r="I56" s="126">
        <v>50227.98000000001</v>
      </c>
      <c r="J56" s="143">
        <v>0</v>
      </c>
      <c r="K56" s="144">
        <v>0</v>
      </c>
      <c r="L56" s="144">
        <v>0</v>
      </c>
      <c r="M56" s="144">
        <v>0</v>
      </c>
      <c r="N56" s="144">
        <v>0</v>
      </c>
      <c r="O56" s="144">
        <v>0</v>
      </c>
      <c r="P56" s="144">
        <v>0</v>
      </c>
      <c r="Q56" s="144">
        <v>0.26428571428571429</v>
      </c>
      <c r="R56" s="144">
        <v>0.24285714285714285</v>
      </c>
      <c r="S56" s="144">
        <v>0.15714285714285714</v>
      </c>
      <c r="T56" s="144">
        <v>0.20714285714285716</v>
      </c>
      <c r="U56" s="144">
        <v>8.5714285714285715E-2</v>
      </c>
      <c r="V56" s="144">
        <v>0.22857142857142856</v>
      </c>
      <c r="W56" s="144">
        <v>7.6190476190476197E-2</v>
      </c>
      <c r="X56" s="144">
        <v>0</v>
      </c>
      <c r="Y56" s="144">
        <v>0</v>
      </c>
      <c r="Z56" s="144">
        <v>0</v>
      </c>
      <c r="AA56" s="144">
        <v>0</v>
      </c>
      <c r="AB56" s="144">
        <v>0</v>
      </c>
      <c r="AC56" s="144">
        <v>0</v>
      </c>
      <c r="AD56" s="144">
        <v>0</v>
      </c>
      <c r="AE56" s="144">
        <v>0</v>
      </c>
      <c r="AF56" s="144">
        <v>0</v>
      </c>
      <c r="AG56" s="144">
        <v>0</v>
      </c>
      <c r="AH56" s="144">
        <v>0</v>
      </c>
      <c r="AI56" s="144">
        <v>0</v>
      </c>
      <c r="AJ56" s="144">
        <v>0</v>
      </c>
      <c r="AK56" s="144">
        <v>0</v>
      </c>
      <c r="AL56" s="144">
        <v>0</v>
      </c>
      <c r="AM56" s="144">
        <v>0</v>
      </c>
      <c r="AN56" s="144">
        <v>0</v>
      </c>
      <c r="AO56" s="144">
        <v>0</v>
      </c>
      <c r="AP56" s="144">
        <v>0</v>
      </c>
      <c r="AQ56" s="144">
        <v>0</v>
      </c>
      <c r="AR56" s="144">
        <v>0</v>
      </c>
      <c r="AS56" s="144">
        <v>0</v>
      </c>
      <c r="AT56" s="144">
        <v>0</v>
      </c>
      <c r="AU56" s="144">
        <v>0</v>
      </c>
      <c r="AV56" s="144">
        <v>0</v>
      </c>
      <c r="AW56" s="144">
        <v>0</v>
      </c>
      <c r="AX56" s="144">
        <v>0</v>
      </c>
      <c r="AY56" s="144">
        <v>0</v>
      </c>
      <c r="AZ56" s="144">
        <v>0</v>
      </c>
      <c r="BA56" s="144">
        <v>0</v>
      </c>
      <c r="BB56" s="144">
        <v>0</v>
      </c>
      <c r="BC56" s="144">
        <v>0</v>
      </c>
      <c r="BD56" s="144">
        <v>0</v>
      </c>
      <c r="BE56" s="144">
        <v>0</v>
      </c>
      <c r="BF56" s="144">
        <v>0</v>
      </c>
      <c r="BG56" s="144">
        <v>0</v>
      </c>
      <c r="BH56" s="144">
        <v>0</v>
      </c>
      <c r="BI56" s="144">
        <v>0</v>
      </c>
      <c r="BJ56" s="144">
        <v>0</v>
      </c>
      <c r="BK56" s="144">
        <v>0</v>
      </c>
      <c r="BL56" s="144">
        <v>0</v>
      </c>
      <c r="BM56" s="144">
        <v>0</v>
      </c>
      <c r="BN56" s="144">
        <v>0</v>
      </c>
      <c r="BO56" s="144">
        <v>0</v>
      </c>
      <c r="BP56" s="144">
        <v>0</v>
      </c>
      <c r="BQ56" s="144">
        <v>0</v>
      </c>
      <c r="BR56" s="144">
        <v>0</v>
      </c>
      <c r="BS56" s="144">
        <v>0</v>
      </c>
      <c r="BT56" s="144">
        <v>0</v>
      </c>
      <c r="BU56" s="144">
        <v>0</v>
      </c>
      <c r="BV56" s="144">
        <v>0</v>
      </c>
      <c r="BW56" s="144">
        <v>0</v>
      </c>
      <c r="BX56" s="144">
        <v>0</v>
      </c>
      <c r="BY56" s="144">
        <v>0</v>
      </c>
      <c r="BZ56" s="144">
        <v>0</v>
      </c>
      <c r="CA56" s="144">
        <v>0</v>
      </c>
      <c r="CB56" s="144">
        <v>0</v>
      </c>
      <c r="CC56" s="144">
        <v>0</v>
      </c>
      <c r="CD56" s="144">
        <v>0</v>
      </c>
      <c r="CE56" s="144">
        <v>0</v>
      </c>
      <c r="CF56" s="144">
        <v>0</v>
      </c>
      <c r="CG56" s="144">
        <v>0</v>
      </c>
      <c r="CH56" s="144">
        <v>0</v>
      </c>
      <c r="CI56" s="144">
        <v>0</v>
      </c>
      <c r="CJ56" s="144">
        <v>0</v>
      </c>
      <c r="CK56" s="144">
        <v>0</v>
      </c>
      <c r="CL56" s="144">
        <v>0</v>
      </c>
      <c r="CM56" s="144">
        <v>0</v>
      </c>
      <c r="CN56" s="144">
        <v>0</v>
      </c>
      <c r="CO56" s="144">
        <v>0</v>
      </c>
      <c r="CP56" s="144">
        <v>0</v>
      </c>
      <c r="CQ56" s="143">
        <v>0</v>
      </c>
      <c r="CR56" s="145">
        <v>0</v>
      </c>
      <c r="CS56" s="145">
        <v>0</v>
      </c>
      <c r="CT56" s="145">
        <v>0</v>
      </c>
      <c r="CU56" s="145">
        <v>0</v>
      </c>
      <c r="CV56" s="145">
        <v>0</v>
      </c>
      <c r="CW56" s="145">
        <v>0</v>
      </c>
      <c r="CX56" s="145">
        <v>11195.400000000003</v>
      </c>
      <c r="CY56" s="145">
        <v>10287.680000000004</v>
      </c>
      <c r="CZ56" s="145">
        <v>6656.7199999999993</v>
      </c>
      <c r="DA56" s="145">
        <v>8774.77</v>
      </c>
      <c r="DB56" s="145">
        <v>3630.9300000000003</v>
      </c>
      <c r="DC56" s="145">
        <v>7261.8599999999988</v>
      </c>
      <c r="DD56" s="145">
        <v>2420.62</v>
      </c>
      <c r="DE56" s="145">
        <v>0</v>
      </c>
      <c r="DF56" s="145">
        <v>0</v>
      </c>
      <c r="DG56" s="145">
        <v>0</v>
      </c>
      <c r="DH56" s="145">
        <v>0</v>
      </c>
      <c r="DI56" s="145">
        <v>0</v>
      </c>
      <c r="DJ56" s="145">
        <v>0</v>
      </c>
      <c r="DK56" s="145">
        <v>0</v>
      </c>
      <c r="DL56" s="145">
        <v>0</v>
      </c>
      <c r="DM56" s="145">
        <v>0</v>
      </c>
      <c r="DN56" s="145">
        <v>0</v>
      </c>
      <c r="DO56" s="145">
        <v>0</v>
      </c>
      <c r="DP56" s="145">
        <v>0</v>
      </c>
      <c r="DQ56" s="145">
        <v>0</v>
      </c>
      <c r="DR56" s="145">
        <v>0</v>
      </c>
      <c r="DS56" s="145">
        <v>0</v>
      </c>
      <c r="DT56" s="145">
        <v>0</v>
      </c>
      <c r="DU56" s="145">
        <v>0</v>
      </c>
      <c r="DV56" s="145">
        <v>0</v>
      </c>
      <c r="DW56" s="145">
        <v>0</v>
      </c>
      <c r="DX56" s="145">
        <v>0</v>
      </c>
      <c r="DY56" s="145">
        <v>0</v>
      </c>
      <c r="DZ56" s="145">
        <v>0</v>
      </c>
      <c r="EA56" s="145">
        <v>0</v>
      </c>
      <c r="EB56" s="145">
        <v>0</v>
      </c>
      <c r="EC56" s="145">
        <v>0</v>
      </c>
      <c r="ED56" s="145">
        <v>0</v>
      </c>
      <c r="EE56" s="145">
        <v>0</v>
      </c>
      <c r="EF56" s="145">
        <v>0</v>
      </c>
      <c r="EG56" s="145">
        <v>0</v>
      </c>
      <c r="EH56" s="145">
        <v>0</v>
      </c>
      <c r="EI56" s="145">
        <v>0</v>
      </c>
      <c r="EJ56" s="145">
        <v>0</v>
      </c>
      <c r="EK56" s="145">
        <v>0</v>
      </c>
      <c r="EL56" s="145">
        <v>0</v>
      </c>
      <c r="EM56" s="145">
        <v>0</v>
      </c>
      <c r="EN56" s="145">
        <v>0</v>
      </c>
      <c r="EO56" s="145">
        <v>0</v>
      </c>
      <c r="EP56" s="145">
        <v>0</v>
      </c>
      <c r="EQ56" s="145">
        <v>0</v>
      </c>
      <c r="ER56" s="145">
        <v>0</v>
      </c>
      <c r="ES56" s="145">
        <v>0</v>
      </c>
      <c r="ET56" s="145">
        <v>0</v>
      </c>
      <c r="EU56" s="145">
        <v>0</v>
      </c>
      <c r="EV56" s="145">
        <v>0</v>
      </c>
      <c r="EW56" s="145">
        <v>0</v>
      </c>
      <c r="EX56" s="145">
        <v>0</v>
      </c>
      <c r="EY56" s="145">
        <v>0</v>
      </c>
      <c r="EZ56" s="145">
        <v>0</v>
      </c>
      <c r="FA56" s="145">
        <v>0</v>
      </c>
      <c r="FB56" s="145">
        <v>0</v>
      </c>
      <c r="FC56" s="145">
        <v>0</v>
      </c>
      <c r="FD56" s="145">
        <v>0</v>
      </c>
      <c r="FE56" s="145">
        <v>0</v>
      </c>
      <c r="FF56" s="145">
        <v>0</v>
      </c>
      <c r="FG56" s="145">
        <v>0</v>
      </c>
      <c r="FH56" s="145">
        <v>0</v>
      </c>
      <c r="FI56" s="145">
        <v>0</v>
      </c>
      <c r="FJ56" s="145">
        <v>0</v>
      </c>
      <c r="FK56" s="145">
        <v>0</v>
      </c>
      <c r="FL56" s="145">
        <v>0</v>
      </c>
      <c r="FM56" s="145">
        <v>0</v>
      </c>
      <c r="FN56" s="145">
        <v>0</v>
      </c>
      <c r="FO56" s="145">
        <v>0</v>
      </c>
      <c r="FP56" s="145">
        <v>0</v>
      </c>
      <c r="FQ56" s="145">
        <v>0</v>
      </c>
      <c r="FR56" s="145">
        <v>0</v>
      </c>
      <c r="FS56" s="145">
        <v>0</v>
      </c>
      <c r="FT56" s="145">
        <v>0</v>
      </c>
      <c r="FU56" s="145">
        <v>0</v>
      </c>
      <c r="FV56" s="145">
        <v>0</v>
      </c>
      <c r="FW56" s="145">
        <v>0</v>
      </c>
      <c r="FX56" s="143"/>
      <c r="FY56" s="146" t="str">
        <f>_xlfn.XLOOKUP($E56,'Key assumptions'!$B$112:$B$120,'Key assumptions'!$C$112:$C$120,0)</f>
        <v>Nominal</v>
      </c>
      <c r="FZ56" s="146" cm="1">
        <f t="array" ref="FZ56">IF($FY56=0,0,_xlfn.IFS($FY56='Key assumptions'!$C$120,_xlfn.XLOOKUP(LEFT(FZ$7,6),Inflation_Year,Inflation_NominaltoReal),TRUE,_xlfn.XLOOKUP($FY56,Inflation_Year,NominaltoReal)))</f>
        <v>1.0197075870962191</v>
      </c>
      <c r="GA56" s="146" cm="1">
        <f t="array" ref="GA56">IF($FY56=0,0,_xlfn.IFS($FY56='Key assumptions'!$C$120,_xlfn.XLOOKUP(LEFT(GA$7,6),Inflation_Year,Inflation_NominaltoReal),TRUE,_xlfn.XLOOKUP($FY56,Inflation_Year,NominaltoReal)))</f>
        <v>0.98700804022984445</v>
      </c>
      <c r="GB56" s="146" cm="1">
        <f t="array" ref="GB56">IF($FY56=0,0,_xlfn.IFS($FY56='Key assumptions'!$C$120,_xlfn.XLOOKUP(LEFT(GB$7,6),Inflation_Year,Inflation_NominaltoReal),TRUE,_xlfn.XLOOKUP($FY56,Inflation_Year,NominaltoReal)))</f>
        <v>0.96152830081941731</v>
      </c>
      <c r="GC56" s="146" cm="1">
        <f t="array" ref="GC56">IF($FY56=0,0,_xlfn.IFS($FY56='Key assumptions'!$C$120,_xlfn.XLOOKUP(LEFT(GC$7,6),Inflation_Year,Inflation_NominaltoReal),TRUE,_xlfn.XLOOKUP($FY56,Inflation_Year,NominaltoReal)))</f>
        <v>0.93670632415656829</v>
      </c>
      <c r="GD56" s="146" cm="1">
        <f t="array" ref="GD56">IF($FY56=0,0,_xlfn.IFS($FY56='Key assumptions'!$C$120,_xlfn.XLOOKUP(LEFT(GD$7,6),Inflation_Year,Inflation_NominaltoReal),TRUE,_xlfn.XLOOKUP($FY56,Inflation_Year,NominaltoReal)))</f>
        <v>0.91252513001143176</v>
      </c>
      <c r="GE56" s="146" cm="1">
        <f t="array" ref="GE56">IF($FY56=0,0,_xlfn.IFS($FY56='Key assumptions'!$C$120,_xlfn.XLOOKUP(LEFT(GE$7,6),Inflation_Year,Inflation_NominaltoReal),TRUE,_xlfn.XLOOKUP($FY56,Inflation_Year,NominaltoReal)))</f>
        <v>0.88896817650095872</v>
      </c>
      <c r="GF56" s="146" cm="1">
        <f t="array" ref="GF56">IF($FY56=0,0,_xlfn.IFS($FY56='Key assumptions'!$C$120,_xlfn.XLOOKUP(LEFT(GF$7,6),Inflation_Year,Inflation_NominaltoReal),TRUE,_xlfn.XLOOKUP($FY56,Inflation_Year,NominaltoReal)))</f>
        <v>0.86601934877293718</v>
      </c>
      <c r="GG56" s="143"/>
      <c r="GH56" s="145" cm="1">
        <f t="array" ref="GH56">SUMPRODUCT(--($CR$7:$FW$7&gt;=GH$5),--($CR$7:$FW$7&lt;=GH$6),$CR56:$FW56)*FZ56</f>
        <v>0</v>
      </c>
      <c r="GI56" s="145" cm="1">
        <f t="array" ref="GI56">SUMPRODUCT(--($CR$7:$FW$7&gt;=GI$5),--($CR$7:$FW$7&lt;=GI$6),$CR56:$FW56)*GA56</f>
        <v>0</v>
      </c>
      <c r="GJ56" s="145" cm="1">
        <f t="array" ref="GJ56">SUMPRODUCT(--($CR$7:$FW$7&gt;=GJ$5),--($CR$7:$FW$7&lt;=GJ$6),$CR56:$FW56)*GB56</f>
        <v>0</v>
      </c>
      <c r="GK56" s="145" cm="1">
        <f t="array" ref="GK56">SUMPRODUCT(--($CR$7:$FW$7&gt;=GK$5),--($CR$7:$FW$7&lt;=GK$6),$CR56:$FW56)*GC56</f>
        <v>0</v>
      </c>
      <c r="GL56" s="145" cm="1">
        <f t="array" ref="GL56">SUMPRODUCT(--($CR$7:$FW$7&gt;=GL$5),--($CR$7:$FW$7&lt;=GL$6),$CR56:$FW56)*GD56</f>
        <v>0</v>
      </c>
      <c r="GM56" s="145" cm="1">
        <f t="array" ref="GM56">SUMPRODUCT(--($CR$7:$FW$7&gt;=GM$5),--($CR$7:$FW$7&lt;=GM$6),$CR56:$FW56)*GE56</f>
        <v>0</v>
      </c>
      <c r="GN56" s="145" cm="1">
        <f t="array" ref="GN56">SUMPRODUCT(--($CR$7:$FW$7&gt;=GN$5),--($CR$7:$FW$7&lt;=GN$6),$CR56:$FW56)*GF56</f>
        <v>0</v>
      </c>
      <c r="GO56" s="145">
        <f t="shared" si="18"/>
        <v>0</v>
      </c>
      <c r="GP56" s="87"/>
      <c r="GQ56" s="89"/>
      <c r="GR56" s="145" cm="1">
        <f t="array" ref="GR56">SUMPRODUCT(--($CR$7:$FW$7&gt;=GR$5),--($CR$7:$FW$7&lt;=GR$6),$CR56:$FW56)</f>
        <v>0</v>
      </c>
      <c r="GS56" s="89"/>
      <c r="GT56" s="214" cm="1">
        <f t="array" ref="GT56">--AND(MIN(IF($K56:$CP56&lt;&gt;0,$K$7:$CP$7))&gt;=GT$5,MIN(IF($K56:$CP56&lt;&gt;0,$K$7:$CP$7))&lt;=GT$6)</f>
        <v>0</v>
      </c>
      <c r="GU56" s="214" cm="1">
        <f t="array" ref="GU56">--AND(MIN(IF($K56:$CP56&lt;&gt;0,$K$7:$CP$7))&gt;=GU$5,MIN(IF($K56:$CP56&lt;&gt;0,$K$7:$CP$7))&lt;=GU$6)</f>
        <v>0</v>
      </c>
      <c r="GV56" s="214" cm="1">
        <f t="array" ref="GV56">--AND(MIN(IF($K56:$CP56&lt;&gt;0,$K$7:$CP$7))&gt;=GV$5,MIN(IF($K56:$CP56&lt;&gt;0,$K$7:$CP$7))&lt;=GV$6)</f>
        <v>0</v>
      </c>
      <c r="GW56" s="214" cm="1">
        <f t="array" ref="GW56">--AND(MIN(IF($K56:$CP56&lt;&gt;0,$K$7:$CP$7))&gt;=GW$5,MIN(IF($K56:$CP56&lt;&gt;0,$K$7:$CP$7))&lt;=GW$6)</f>
        <v>0</v>
      </c>
      <c r="GX56" s="214" cm="1">
        <f t="array" ref="GX56">--AND(MIN(IF($K56:$CP56&lt;&gt;0,$K$7:$CP$7))&gt;=GX$5,MIN(IF($K56:$CP56&lt;&gt;0,$K$7:$CP$7))&lt;=GX$6)</f>
        <v>0</v>
      </c>
      <c r="GY56" s="214" cm="1">
        <f t="array" ref="GY56">--AND(MIN(IF($K56:$CP56&lt;&gt;0,$K$7:$CP$7))&gt;=GY$5,MIN(IF($K56:$CP56&lt;&gt;0,$K$7:$CP$7))&lt;=GY$6)</f>
        <v>0</v>
      </c>
      <c r="GZ56" s="214" cm="1">
        <f t="array" ref="GZ56">--AND(MIN(IF($K56:$CP56&lt;&gt;0,$K$7:$CP$7))&gt;=GZ$5,MIN(IF($K56:$CP56&lt;&gt;0,$K$7:$CP$7))&lt;=GZ$6)</f>
        <v>0</v>
      </c>
      <c r="HA56" s="214">
        <f t="shared" si="0"/>
        <v>0</v>
      </c>
      <c r="HC56" s="214" cm="1">
        <f t="array" ref="HC56">--AND(MIN(IF($K56:$CP56&lt;&gt;0,$K$7:$CP$7))&gt;=HC$5,MIN(IF($K56:$CP56&lt;&gt;0,$K$7:$CP$7))&lt;=HC$6)</f>
        <v>0</v>
      </c>
      <c r="HE56" s="147" t="str">
        <f t="shared" si="19"/>
        <v>No</v>
      </c>
      <c r="HF56" s="147" t="str">
        <f t="shared" si="20"/>
        <v>No</v>
      </c>
      <c r="HG56" s="147">
        <f>IF($HF56="Yes",0,$H56*avg_hrs*12*'Key assumptions'!$D$87)</f>
        <v>557492.86371219892</v>
      </c>
      <c r="HH56" s="147">
        <f>IF(HE56="Yes",'Key assumptions'!$D$84*HG56,0)</f>
        <v>0</v>
      </c>
      <c r="HI56" s="144">
        <f>IFERROR(AVERAGEIFS($K56:$CP56,$K$7:$CP$7,"&gt;="&amp;'Key assumptions'!$D$24,$K$7:$CP$7,"&lt;="&amp;'Key assumptions'!$D$25),0)</f>
        <v>0</v>
      </c>
      <c r="HJ56" s="148">
        <f t="shared" si="22"/>
        <v>0</v>
      </c>
      <c r="HK56" s="148">
        <f t="shared" si="1"/>
        <v>0</v>
      </c>
      <c r="HL56" s="148">
        <f t="shared" si="2"/>
        <v>0</v>
      </c>
      <c r="HM56" s="148">
        <f t="shared" si="3"/>
        <v>0</v>
      </c>
      <c r="HN56" s="148">
        <f t="shared" si="4"/>
        <v>0</v>
      </c>
      <c r="HO56" s="148">
        <f t="shared" si="5"/>
        <v>0</v>
      </c>
      <c r="HP56" s="148">
        <f t="shared" si="6"/>
        <v>0</v>
      </c>
      <c r="HQ56" s="148">
        <f t="shared" si="7"/>
        <v>0</v>
      </c>
      <c r="HR56" s="147">
        <f t="shared" si="8"/>
        <v>0</v>
      </c>
      <c r="HS56" s="89"/>
      <c r="HU56" s="147">
        <f>$HJ56*HC56/(1+'Key assumptions'!G78)^0.75</f>
        <v>0</v>
      </c>
      <c r="HW56" s="216">
        <f t="shared" si="9"/>
        <v>0</v>
      </c>
      <c r="HX56" s="216">
        <f t="shared" si="10"/>
        <v>0</v>
      </c>
      <c r="HY56" s="216">
        <f t="shared" si="11"/>
        <v>0</v>
      </c>
      <c r="HZ56" s="216">
        <f t="shared" si="12"/>
        <v>0</v>
      </c>
      <c r="IA56" s="216">
        <f t="shared" si="13"/>
        <v>0</v>
      </c>
      <c r="IB56" s="216">
        <f t="shared" si="14"/>
        <v>0</v>
      </c>
      <c r="IC56" s="216">
        <f t="shared" si="15"/>
        <v>0</v>
      </c>
      <c r="ID56" s="216">
        <f t="shared" si="16"/>
        <v>0</v>
      </c>
      <c r="IF56" s="216">
        <f t="shared" si="17"/>
        <v>0</v>
      </c>
    </row>
    <row r="57" spans="2:240" x14ac:dyDescent="0.2">
      <c r="B57" s="141" t="str">
        <v>Project Development</v>
      </c>
      <c r="C57" s="141" t="str">
        <v>Level 5 ID Manager (Secondary Design)</v>
      </c>
      <c r="D57" s="141" t="str">
        <v>Internal Labour</v>
      </c>
      <c r="E57" s="141" t="str">
        <v>$ Nominal</v>
      </c>
      <c r="F57" s="141" t="str">
        <v>Existing</v>
      </c>
      <c r="G57" s="141" t="str">
        <v>Normal time</v>
      </c>
      <c r="H57" s="142">
        <v>333.23</v>
      </c>
      <c r="I57" s="126">
        <v>29449.030000000002</v>
      </c>
      <c r="J57" s="143">
        <v>0</v>
      </c>
      <c r="K57" s="144">
        <v>0</v>
      </c>
      <c r="L57" s="144">
        <v>0</v>
      </c>
      <c r="M57" s="144">
        <v>0</v>
      </c>
      <c r="N57" s="144">
        <v>0</v>
      </c>
      <c r="O57" s="144">
        <v>0</v>
      </c>
      <c r="P57" s="144">
        <v>0</v>
      </c>
      <c r="Q57" s="144">
        <v>0</v>
      </c>
      <c r="R57" s="144">
        <v>0</v>
      </c>
      <c r="S57" s="144">
        <v>0.3</v>
      </c>
      <c r="T57" s="144">
        <v>0.15</v>
      </c>
      <c r="U57" s="144">
        <v>0.05</v>
      </c>
      <c r="V57" s="144">
        <v>0</v>
      </c>
      <c r="W57" s="144">
        <v>0.2</v>
      </c>
      <c r="X57" s="144">
        <v>0</v>
      </c>
      <c r="Y57" s="144">
        <v>0</v>
      </c>
      <c r="Z57" s="144">
        <v>0</v>
      </c>
      <c r="AA57" s="144">
        <v>0</v>
      </c>
      <c r="AB57" s="144">
        <v>0</v>
      </c>
      <c r="AC57" s="144">
        <v>0</v>
      </c>
      <c r="AD57" s="144">
        <v>0</v>
      </c>
      <c r="AE57" s="144">
        <v>0</v>
      </c>
      <c r="AF57" s="144">
        <v>0</v>
      </c>
      <c r="AG57" s="144">
        <v>0</v>
      </c>
      <c r="AH57" s="144">
        <v>0</v>
      </c>
      <c r="AI57" s="144">
        <v>0</v>
      </c>
      <c r="AJ57" s="144">
        <v>0</v>
      </c>
      <c r="AK57" s="144">
        <v>0</v>
      </c>
      <c r="AL57" s="144">
        <v>0</v>
      </c>
      <c r="AM57" s="144">
        <v>0</v>
      </c>
      <c r="AN57" s="144">
        <v>0</v>
      </c>
      <c r="AO57" s="144">
        <v>0</v>
      </c>
      <c r="AP57" s="144">
        <v>0</v>
      </c>
      <c r="AQ57" s="144">
        <v>0</v>
      </c>
      <c r="AR57" s="144">
        <v>0</v>
      </c>
      <c r="AS57" s="144">
        <v>0</v>
      </c>
      <c r="AT57" s="144">
        <v>0</v>
      </c>
      <c r="AU57" s="144">
        <v>0</v>
      </c>
      <c r="AV57" s="144">
        <v>0</v>
      </c>
      <c r="AW57" s="144">
        <v>0</v>
      </c>
      <c r="AX57" s="144">
        <v>0</v>
      </c>
      <c r="AY57" s="144">
        <v>0</v>
      </c>
      <c r="AZ57" s="144">
        <v>0</v>
      </c>
      <c r="BA57" s="144">
        <v>0</v>
      </c>
      <c r="BB57" s="144">
        <v>0</v>
      </c>
      <c r="BC57" s="144">
        <v>0</v>
      </c>
      <c r="BD57" s="144">
        <v>0</v>
      </c>
      <c r="BE57" s="144">
        <v>0</v>
      </c>
      <c r="BF57" s="144">
        <v>0</v>
      </c>
      <c r="BG57" s="144">
        <v>0</v>
      </c>
      <c r="BH57" s="144">
        <v>0</v>
      </c>
      <c r="BI57" s="144">
        <v>0</v>
      </c>
      <c r="BJ57" s="144">
        <v>0</v>
      </c>
      <c r="BK57" s="144">
        <v>0</v>
      </c>
      <c r="BL57" s="144">
        <v>0</v>
      </c>
      <c r="BM57" s="144">
        <v>0</v>
      </c>
      <c r="BN57" s="144">
        <v>0</v>
      </c>
      <c r="BO57" s="144">
        <v>0</v>
      </c>
      <c r="BP57" s="144">
        <v>0</v>
      </c>
      <c r="BQ57" s="144">
        <v>0</v>
      </c>
      <c r="BR57" s="144">
        <v>0</v>
      </c>
      <c r="BS57" s="144">
        <v>0</v>
      </c>
      <c r="BT57" s="144">
        <v>0</v>
      </c>
      <c r="BU57" s="144">
        <v>0</v>
      </c>
      <c r="BV57" s="144">
        <v>0</v>
      </c>
      <c r="BW57" s="144">
        <v>0</v>
      </c>
      <c r="BX57" s="144">
        <v>0</v>
      </c>
      <c r="BY57" s="144">
        <v>0</v>
      </c>
      <c r="BZ57" s="144">
        <v>0</v>
      </c>
      <c r="CA57" s="144">
        <v>0</v>
      </c>
      <c r="CB57" s="144">
        <v>0</v>
      </c>
      <c r="CC57" s="144">
        <v>0</v>
      </c>
      <c r="CD57" s="144">
        <v>0</v>
      </c>
      <c r="CE57" s="144">
        <v>0</v>
      </c>
      <c r="CF57" s="144">
        <v>0</v>
      </c>
      <c r="CG57" s="144">
        <v>0</v>
      </c>
      <c r="CH57" s="144">
        <v>0</v>
      </c>
      <c r="CI57" s="144">
        <v>0</v>
      </c>
      <c r="CJ57" s="144">
        <v>0</v>
      </c>
      <c r="CK57" s="144">
        <v>0</v>
      </c>
      <c r="CL57" s="144">
        <v>0</v>
      </c>
      <c r="CM57" s="144">
        <v>0</v>
      </c>
      <c r="CN57" s="144">
        <v>0</v>
      </c>
      <c r="CO57" s="144">
        <v>0</v>
      </c>
      <c r="CP57" s="144">
        <v>0</v>
      </c>
      <c r="CQ57" s="143">
        <v>0</v>
      </c>
      <c r="CR57" s="145">
        <v>0</v>
      </c>
      <c r="CS57" s="145">
        <v>0</v>
      </c>
      <c r="CT57" s="145">
        <v>0</v>
      </c>
      <c r="CU57" s="145">
        <v>0</v>
      </c>
      <c r="CV57" s="145">
        <v>0</v>
      </c>
      <c r="CW57" s="145">
        <v>0</v>
      </c>
      <c r="CX57" s="145">
        <v>0</v>
      </c>
      <c r="CY57" s="145">
        <v>0</v>
      </c>
      <c r="CZ57" s="145">
        <v>13591.86</v>
      </c>
      <c r="DA57" s="145">
        <v>6795.93</v>
      </c>
      <c r="DB57" s="145">
        <v>2265.3100000000004</v>
      </c>
      <c r="DC57" s="145">
        <v>0</v>
      </c>
      <c r="DD57" s="145">
        <v>6795.93</v>
      </c>
      <c r="DE57" s="145">
        <v>0</v>
      </c>
      <c r="DF57" s="145">
        <v>0</v>
      </c>
      <c r="DG57" s="145">
        <v>0</v>
      </c>
      <c r="DH57" s="145">
        <v>0</v>
      </c>
      <c r="DI57" s="145">
        <v>0</v>
      </c>
      <c r="DJ57" s="145">
        <v>0</v>
      </c>
      <c r="DK57" s="145">
        <v>0</v>
      </c>
      <c r="DL57" s="145">
        <v>0</v>
      </c>
      <c r="DM57" s="145">
        <v>0</v>
      </c>
      <c r="DN57" s="145">
        <v>0</v>
      </c>
      <c r="DO57" s="145">
        <v>0</v>
      </c>
      <c r="DP57" s="145">
        <v>0</v>
      </c>
      <c r="DQ57" s="145">
        <v>0</v>
      </c>
      <c r="DR57" s="145">
        <v>0</v>
      </c>
      <c r="DS57" s="145">
        <v>0</v>
      </c>
      <c r="DT57" s="145">
        <v>0</v>
      </c>
      <c r="DU57" s="145">
        <v>0</v>
      </c>
      <c r="DV57" s="145">
        <v>0</v>
      </c>
      <c r="DW57" s="145">
        <v>0</v>
      </c>
      <c r="DX57" s="145">
        <v>0</v>
      </c>
      <c r="DY57" s="145">
        <v>0</v>
      </c>
      <c r="DZ57" s="145">
        <v>0</v>
      </c>
      <c r="EA57" s="145">
        <v>0</v>
      </c>
      <c r="EB57" s="145">
        <v>0</v>
      </c>
      <c r="EC57" s="145">
        <v>0</v>
      </c>
      <c r="ED57" s="145">
        <v>0</v>
      </c>
      <c r="EE57" s="145">
        <v>0</v>
      </c>
      <c r="EF57" s="145">
        <v>0</v>
      </c>
      <c r="EG57" s="145">
        <v>0</v>
      </c>
      <c r="EH57" s="145">
        <v>0</v>
      </c>
      <c r="EI57" s="145">
        <v>0</v>
      </c>
      <c r="EJ57" s="145">
        <v>0</v>
      </c>
      <c r="EK57" s="145">
        <v>0</v>
      </c>
      <c r="EL57" s="145">
        <v>0</v>
      </c>
      <c r="EM57" s="145">
        <v>0</v>
      </c>
      <c r="EN57" s="145">
        <v>0</v>
      </c>
      <c r="EO57" s="145">
        <v>0</v>
      </c>
      <c r="EP57" s="145">
        <v>0</v>
      </c>
      <c r="EQ57" s="145">
        <v>0</v>
      </c>
      <c r="ER57" s="145">
        <v>0</v>
      </c>
      <c r="ES57" s="145">
        <v>0</v>
      </c>
      <c r="ET57" s="145">
        <v>0</v>
      </c>
      <c r="EU57" s="145">
        <v>0</v>
      </c>
      <c r="EV57" s="145">
        <v>0</v>
      </c>
      <c r="EW57" s="145">
        <v>0</v>
      </c>
      <c r="EX57" s="145">
        <v>0</v>
      </c>
      <c r="EY57" s="145">
        <v>0</v>
      </c>
      <c r="EZ57" s="145">
        <v>0</v>
      </c>
      <c r="FA57" s="145">
        <v>0</v>
      </c>
      <c r="FB57" s="145">
        <v>0</v>
      </c>
      <c r="FC57" s="145">
        <v>0</v>
      </c>
      <c r="FD57" s="145">
        <v>0</v>
      </c>
      <c r="FE57" s="145">
        <v>0</v>
      </c>
      <c r="FF57" s="145">
        <v>0</v>
      </c>
      <c r="FG57" s="145">
        <v>0</v>
      </c>
      <c r="FH57" s="145">
        <v>0</v>
      </c>
      <c r="FI57" s="145">
        <v>0</v>
      </c>
      <c r="FJ57" s="145">
        <v>0</v>
      </c>
      <c r="FK57" s="145">
        <v>0</v>
      </c>
      <c r="FL57" s="145">
        <v>0</v>
      </c>
      <c r="FM57" s="145">
        <v>0</v>
      </c>
      <c r="FN57" s="145">
        <v>0</v>
      </c>
      <c r="FO57" s="145">
        <v>0</v>
      </c>
      <c r="FP57" s="145">
        <v>0</v>
      </c>
      <c r="FQ57" s="145">
        <v>0</v>
      </c>
      <c r="FR57" s="145">
        <v>0</v>
      </c>
      <c r="FS57" s="145">
        <v>0</v>
      </c>
      <c r="FT57" s="145">
        <v>0</v>
      </c>
      <c r="FU57" s="145">
        <v>0</v>
      </c>
      <c r="FV57" s="145">
        <v>0</v>
      </c>
      <c r="FW57" s="145">
        <v>0</v>
      </c>
      <c r="FX57" s="143"/>
      <c r="FY57" s="146" t="str">
        <f>_xlfn.XLOOKUP($E57,'Key assumptions'!$B$112:$B$120,'Key assumptions'!$C$112:$C$120,0)</f>
        <v>Nominal</v>
      </c>
      <c r="FZ57" s="146" cm="1">
        <f t="array" ref="FZ57">IF($FY57=0,0,_xlfn.IFS($FY57='Key assumptions'!$C$120,_xlfn.XLOOKUP(LEFT(FZ$7,6),Inflation_Year,Inflation_NominaltoReal),TRUE,_xlfn.XLOOKUP($FY57,Inflation_Year,NominaltoReal)))</f>
        <v>1.0197075870962191</v>
      </c>
      <c r="GA57" s="146" cm="1">
        <f t="array" ref="GA57">IF($FY57=0,0,_xlfn.IFS($FY57='Key assumptions'!$C$120,_xlfn.XLOOKUP(LEFT(GA$7,6),Inflation_Year,Inflation_NominaltoReal),TRUE,_xlfn.XLOOKUP($FY57,Inflation_Year,NominaltoReal)))</f>
        <v>0.98700804022984445</v>
      </c>
      <c r="GB57" s="146" cm="1">
        <f t="array" ref="GB57">IF($FY57=0,0,_xlfn.IFS($FY57='Key assumptions'!$C$120,_xlfn.XLOOKUP(LEFT(GB$7,6),Inflation_Year,Inflation_NominaltoReal),TRUE,_xlfn.XLOOKUP($FY57,Inflation_Year,NominaltoReal)))</f>
        <v>0.96152830081941731</v>
      </c>
      <c r="GC57" s="146" cm="1">
        <f t="array" ref="GC57">IF($FY57=0,0,_xlfn.IFS($FY57='Key assumptions'!$C$120,_xlfn.XLOOKUP(LEFT(GC$7,6),Inflation_Year,Inflation_NominaltoReal),TRUE,_xlfn.XLOOKUP($FY57,Inflation_Year,NominaltoReal)))</f>
        <v>0.93670632415656829</v>
      </c>
      <c r="GD57" s="146" cm="1">
        <f t="array" ref="GD57">IF($FY57=0,0,_xlfn.IFS($FY57='Key assumptions'!$C$120,_xlfn.XLOOKUP(LEFT(GD$7,6),Inflation_Year,Inflation_NominaltoReal),TRUE,_xlfn.XLOOKUP($FY57,Inflation_Year,NominaltoReal)))</f>
        <v>0.91252513001143176</v>
      </c>
      <c r="GE57" s="146" cm="1">
        <f t="array" ref="GE57">IF($FY57=0,0,_xlfn.IFS($FY57='Key assumptions'!$C$120,_xlfn.XLOOKUP(LEFT(GE$7,6),Inflation_Year,Inflation_NominaltoReal),TRUE,_xlfn.XLOOKUP($FY57,Inflation_Year,NominaltoReal)))</f>
        <v>0.88896817650095872</v>
      </c>
      <c r="GF57" s="146" cm="1">
        <f t="array" ref="GF57">IF($FY57=0,0,_xlfn.IFS($FY57='Key assumptions'!$C$120,_xlfn.XLOOKUP(LEFT(GF$7,6),Inflation_Year,Inflation_NominaltoReal),TRUE,_xlfn.XLOOKUP($FY57,Inflation_Year,NominaltoReal)))</f>
        <v>0.86601934877293718</v>
      </c>
      <c r="GG57" s="143"/>
      <c r="GH57" s="145" cm="1">
        <f t="array" ref="GH57">SUMPRODUCT(--($CR$7:$FW$7&gt;=GH$5),--($CR$7:$FW$7&lt;=GH$6),$CR57:$FW57)*FZ57</f>
        <v>0</v>
      </c>
      <c r="GI57" s="145" cm="1">
        <f t="array" ref="GI57">SUMPRODUCT(--($CR$7:$FW$7&gt;=GI$5),--($CR$7:$FW$7&lt;=GI$6),$CR57:$FW57)*GA57</f>
        <v>0</v>
      </c>
      <c r="GJ57" s="145" cm="1">
        <f t="array" ref="GJ57">SUMPRODUCT(--($CR$7:$FW$7&gt;=GJ$5),--($CR$7:$FW$7&lt;=GJ$6),$CR57:$FW57)*GB57</f>
        <v>0</v>
      </c>
      <c r="GK57" s="145" cm="1">
        <f t="array" ref="GK57">SUMPRODUCT(--($CR$7:$FW$7&gt;=GK$5),--($CR$7:$FW$7&lt;=GK$6),$CR57:$FW57)*GC57</f>
        <v>0</v>
      </c>
      <c r="GL57" s="145" cm="1">
        <f t="array" ref="GL57">SUMPRODUCT(--($CR$7:$FW$7&gt;=GL$5),--($CR$7:$FW$7&lt;=GL$6),$CR57:$FW57)*GD57</f>
        <v>0</v>
      </c>
      <c r="GM57" s="145" cm="1">
        <f t="array" ref="GM57">SUMPRODUCT(--($CR$7:$FW$7&gt;=GM$5),--($CR$7:$FW$7&lt;=GM$6),$CR57:$FW57)*GE57</f>
        <v>0</v>
      </c>
      <c r="GN57" s="145" cm="1">
        <f t="array" ref="GN57">SUMPRODUCT(--($CR$7:$FW$7&gt;=GN$5),--($CR$7:$FW$7&lt;=GN$6),$CR57:$FW57)*GF57</f>
        <v>0</v>
      </c>
      <c r="GO57" s="145">
        <f t="shared" si="18"/>
        <v>0</v>
      </c>
      <c r="GP57" s="87"/>
      <c r="GQ57" s="89"/>
      <c r="GR57" s="145" cm="1">
        <f t="array" ref="GR57">SUMPRODUCT(--($CR$7:$FW$7&gt;=GR$5),--($CR$7:$FW$7&lt;=GR$6),$CR57:$FW57)</f>
        <v>0</v>
      </c>
      <c r="GS57" s="89"/>
      <c r="GT57" s="214" cm="1">
        <f t="array" ref="GT57">--AND(MIN(IF($K57:$CP57&lt;&gt;0,$K$7:$CP$7))&gt;=GT$5,MIN(IF($K57:$CP57&lt;&gt;0,$K$7:$CP$7))&lt;=GT$6)</f>
        <v>0</v>
      </c>
      <c r="GU57" s="214" cm="1">
        <f t="array" ref="GU57">--AND(MIN(IF($K57:$CP57&lt;&gt;0,$K$7:$CP$7))&gt;=GU$5,MIN(IF($K57:$CP57&lt;&gt;0,$K$7:$CP$7))&lt;=GU$6)</f>
        <v>0</v>
      </c>
      <c r="GV57" s="214" cm="1">
        <f t="array" ref="GV57">--AND(MIN(IF($K57:$CP57&lt;&gt;0,$K$7:$CP$7))&gt;=GV$5,MIN(IF($K57:$CP57&lt;&gt;0,$K$7:$CP$7))&lt;=GV$6)</f>
        <v>0</v>
      </c>
      <c r="GW57" s="214" cm="1">
        <f t="array" ref="GW57">--AND(MIN(IF($K57:$CP57&lt;&gt;0,$K$7:$CP$7))&gt;=GW$5,MIN(IF($K57:$CP57&lt;&gt;0,$K$7:$CP$7))&lt;=GW$6)</f>
        <v>0</v>
      </c>
      <c r="GX57" s="214" cm="1">
        <f t="array" ref="GX57">--AND(MIN(IF($K57:$CP57&lt;&gt;0,$K$7:$CP$7))&gt;=GX$5,MIN(IF($K57:$CP57&lt;&gt;0,$K$7:$CP$7))&lt;=GX$6)</f>
        <v>0</v>
      </c>
      <c r="GY57" s="214" cm="1">
        <f t="array" ref="GY57">--AND(MIN(IF($K57:$CP57&lt;&gt;0,$K$7:$CP$7))&gt;=GY$5,MIN(IF($K57:$CP57&lt;&gt;0,$K$7:$CP$7))&lt;=GY$6)</f>
        <v>0</v>
      </c>
      <c r="GZ57" s="214" cm="1">
        <f t="array" ref="GZ57">--AND(MIN(IF($K57:$CP57&lt;&gt;0,$K$7:$CP$7))&gt;=GZ$5,MIN(IF($K57:$CP57&lt;&gt;0,$K$7:$CP$7))&lt;=GZ$6)</f>
        <v>0</v>
      </c>
      <c r="HA57" s="214">
        <f t="shared" si="0"/>
        <v>0</v>
      </c>
      <c r="HC57" s="214" cm="1">
        <f t="array" ref="HC57">--AND(MIN(IF($K57:$CP57&lt;&gt;0,$K$7:$CP$7))&gt;=HC$5,MIN(IF($K57:$CP57&lt;&gt;0,$K$7:$CP$7))&lt;=HC$6)</f>
        <v>0</v>
      </c>
      <c r="HE57" s="147" t="str">
        <f t="shared" si="19"/>
        <v>No</v>
      </c>
      <c r="HF57" s="147" t="str">
        <f t="shared" si="20"/>
        <v>No</v>
      </c>
      <c r="HG57" s="147">
        <f>IF($HF57="Yes",0,$H57*avg_hrs*12*'Key assumptions'!$D$87)</f>
        <v>595904.88203629851</v>
      </c>
      <c r="HH57" s="147">
        <f>IF(HE57="Yes",'Key assumptions'!$D$84*HG57,0)</f>
        <v>0</v>
      </c>
      <c r="HI57" s="144">
        <f>IFERROR(AVERAGEIFS($K57:$CP57,$K$7:$CP$7,"&gt;="&amp;'Key assumptions'!$D$24,$K$7:$CP$7,"&lt;="&amp;'Key assumptions'!$D$25),0)</f>
        <v>0</v>
      </c>
      <c r="HJ57" s="148">
        <f t="shared" si="22"/>
        <v>0</v>
      </c>
      <c r="HK57" s="148">
        <f t="shared" si="1"/>
        <v>0</v>
      </c>
      <c r="HL57" s="148">
        <f t="shared" si="2"/>
        <v>0</v>
      </c>
      <c r="HM57" s="148">
        <f t="shared" si="3"/>
        <v>0</v>
      </c>
      <c r="HN57" s="148">
        <f t="shared" si="4"/>
        <v>0</v>
      </c>
      <c r="HO57" s="148">
        <f t="shared" si="5"/>
        <v>0</v>
      </c>
      <c r="HP57" s="148">
        <f t="shared" si="6"/>
        <v>0</v>
      </c>
      <c r="HQ57" s="148">
        <f t="shared" si="7"/>
        <v>0</v>
      </c>
      <c r="HR57" s="147">
        <f t="shared" si="8"/>
        <v>0</v>
      </c>
      <c r="HS57" s="90"/>
      <c r="HU57" s="147">
        <f>$HJ57*HC57/(1+'Key assumptions'!G79)^0.75</f>
        <v>0</v>
      </c>
      <c r="HW57" s="216">
        <f t="shared" si="9"/>
        <v>0</v>
      </c>
      <c r="HX57" s="216">
        <f t="shared" si="10"/>
        <v>0</v>
      </c>
      <c r="HY57" s="216">
        <f t="shared" si="11"/>
        <v>0</v>
      </c>
      <c r="HZ57" s="216">
        <f t="shared" si="12"/>
        <v>0</v>
      </c>
      <c r="IA57" s="216">
        <f t="shared" si="13"/>
        <v>0</v>
      </c>
      <c r="IB57" s="216">
        <f t="shared" si="14"/>
        <v>0</v>
      </c>
      <c r="IC57" s="216">
        <f t="shared" si="15"/>
        <v>0</v>
      </c>
      <c r="ID57" s="216">
        <f t="shared" si="16"/>
        <v>0</v>
      </c>
      <c r="IF57" s="216">
        <f t="shared" si="17"/>
        <v>0</v>
      </c>
    </row>
    <row r="58" spans="2:240" x14ac:dyDescent="0.2">
      <c r="B58" s="141" t="str">
        <v>Project Development</v>
      </c>
      <c r="C58" s="141" t="str">
        <v>Protection Design Engineer (Eng&amp;Design Leadership)</v>
      </c>
      <c r="D58" s="141" t="str">
        <v>Internal Labour</v>
      </c>
      <c r="E58" s="141" t="str">
        <v>$ Nominal</v>
      </c>
      <c r="F58" s="141" t="str">
        <v>Existing</v>
      </c>
      <c r="G58" s="141" t="str">
        <v>Normal time</v>
      </c>
      <c r="H58" s="142">
        <v>205.24</v>
      </c>
      <c r="I58" s="126">
        <v>204792.14</v>
      </c>
      <c r="J58" s="143">
        <v>0</v>
      </c>
      <c r="K58" s="144">
        <v>0</v>
      </c>
      <c r="L58" s="144">
        <v>0</v>
      </c>
      <c r="M58" s="144">
        <v>0</v>
      </c>
      <c r="N58" s="144">
        <v>0</v>
      </c>
      <c r="O58" s="144">
        <v>0</v>
      </c>
      <c r="P58" s="144">
        <v>0</v>
      </c>
      <c r="Q58" s="144">
        <v>0</v>
      </c>
      <c r="R58" s="144">
        <v>0</v>
      </c>
      <c r="S58" s="144">
        <v>0</v>
      </c>
      <c r="T58" s="144">
        <v>0</v>
      </c>
      <c r="U58" s="144">
        <v>0</v>
      </c>
      <c r="V58" s="144">
        <v>0</v>
      </c>
      <c r="W58" s="144">
        <v>0</v>
      </c>
      <c r="X58" s="144">
        <v>0.5</v>
      </c>
      <c r="Y58" s="144">
        <v>0.5</v>
      </c>
      <c r="Z58" s="144">
        <v>1.3333333333333333</v>
      </c>
      <c r="AA58" s="144">
        <v>1.1513157894736843</v>
      </c>
      <c r="AB58" s="144">
        <v>1.1973684210526316</v>
      </c>
      <c r="AC58" s="144">
        <v>1.35</v>
      </c>
      <c r="AD58" s="144">
        <v>1.25</v>
      </c>
      <c r="AE58" s="144">
        <v>0</v>
      </c>
      <c r="AF58" s="144">
        <v>0</v>
      </c>
      <c r="AG58" s="144">
        <v>0</v>
      </c>
      <c r="AH58" s="144">
        <v>0</v>
      </c>
      <c r="AI58" s="144">
        <v>0</v>
      </c>
      <c r="AJ58" s="144">
        <v>0</v>
      </c>
      <c r="AK58" s="144">
        <v>0</v>
      </c>
      <c r="AL58" s="144">
        <v>0</v>
      </c>
      <c r="AM58" s="144">
        <v>0</v>
      </c>
      <c r="AN58" s="144">
        <v>0</v>
      </c>
      <c r="AO58" s="144">
        <v>0</v>
      </c>
      <c r="AP58" s="144">
        <v>0</v>
      </c>
      <c r="AQ58" s="144">
        <v>0</v>
      </c>
      <c r="AR58" s="144">
        <v>0</v>
      </c>
      <c r="AS58" s="144">
        <v>0</v>
      </c>
      <c r="AT58" s="144">
        <v>0</v>
      </c>
      <c r="AU58" s="144">
        <v>0</v>
      </c>
      <c r="AV58" s="144">
        <v>0</v>
      </c>
      <c r="AW58" s="144">
        <v>0</v>
      </c>
      <c r="AX58" s="144">
        <v>0</v>
      </c>
      <c r="AY58" s="144">
        <v>0</v>
      </c>
      <c r="AZ58" s="144">
        <v>0</v>
      </c>
      <c r="BA58" s="144">
        <v>0</v>
      </c>
      <c r="BB58" s="144">
        <v>0</v>
      </c>
      <c r="BC58" s="144">
        <v>0</v>
      </c>
      <c r="BD58" s="144">
        <v>0</v>
      </c>
      <c r="BE58" s="144">
        <v>0</v>
      </c>
      <c r="BF58" s="144">
        <v>0</v>
      </c>
      <c r="BG58" s="144">
        <v>0</v>
      </c>
      <c r="BH58" s="144">
        <v>0</v>
      </c>
      <c r="BI58" s="144">
        <v>0</v>
      </c>
      <c r="BJ58" s="144">
        <v>0</v>
      </c>
      <c r="BK58" s="144">
        <v>0</v>
      </c>
      <c r="BL58" s="144">
        <v>0</v>
      </c>
      <c r="BM58" s="144">
        <v>0</v>
      </c>
      <c r="BN58" s="144">
        <v>0</v>
      </c>
      <c r="BO58" s="144">
        <v>0</v>
      </c>
      <c r="BP58" s="144">
        <v>0</v>
      </c>
      <c r="BQ58" s="144">
        <v>0</v>
      </c>
      <c r="BR58" s="144">
        <v>0</v>
      </c>
      <c r="BS58" s="144">
        <v>0</v>
      </c>
      <c r="BT58" s="144">
        <v>0</v>
      </c>
      <c r="BU58" s="144">
        <v>0</v>
      </c>
      <c r="BV58" s="144">
        <v>0</v>
      </c>
      <c r="BW58" s="144">
        <v>0</v>
      </c>
      <c r="BX58" s="144">
        <v>0</v>
      </c>
      <c r="BY58" s="144">
        <v>0</v>
      </c>
      <c r="BZ58" s="144">
        <v>0</v>
      </c>
      <c r="CA58" s="144">
        <v>0</v>
      </c>
      <c r="CB58" s="144">
        <v>0</v>
      </c>
      <c r="CC58" s="144">
        <v>0</v>
      </c>
      <c r="CD58" s="144">
        <v>0</v>
      </c>
      <c r="CE58" s="144">
        <v>0</v>
      </c>
      <c r="CF58" s="144">
        <v>0</v>
      </c>
      <c r="CG58" s="144">
        <v>0</v>
      </c>
      <c r="CH58" s="144">
        <v>0</v>
      </c>
      <c r="CI58" s="144">
        <v>0</v>
      </c>
      <c r="CJ58" s="144">
        <v>0</v>
      </c>
      <c r="CK58" s="144">
        <v>0</v>
      </c>
      <c r="CL58" s="144">
        <v>0</v>
      </c>
      <c r="CM58" s="144">
        <v>0</v>
      </c>
      <c r="CN58" s="144">
        <v>0</v>
      </c>
      <c r="CO58" s="144">
        <v>0</v>
      </c>
      <c r="CP58" s="144">
        <v>0</v>
      </c>
      <c r="CQ58" s="143">
        <v>0</v>
      </c>
      <c r="CR58" s="145">
        <v>0</v>
      </c>
      <c r="CS58" s="145">
        <v>0</v>
      </c>
      <c r="CT58" s="145">
        <v>0</v>
      </c>
      <c r="CU58" s="145">
        <v>0</v>
      </c>
      <c r="CV58" s="145">
        <v>0</v>
      </c>
      <c r="CW58" s="145">
        <v>0</v>
      </c>
      <c r="CX58" s="145">
        <v>0</v>
      </c>
      <c r="CY58" s="145">
        <v>0</v>
      </c>
      <c r="CZ58" s="145">
        <v>0</v>
      </c>
      <c r="DA58" s="145">
        <v>0</v>
      </c>
      <c r="DB58" s="145">
        <v>0</v>
      </c>
      <c r="DC58" s="145">
        <v>0</v>
      </c>
      <c r="DD58" s="145">
        <v>0</v>
      </c>
      <c r="DE58" s="145">
        <v>13713.699999999999</v>
      </c>
      <c r="DF58" s="145">
        <v>14366.800000000001</v>
      </c>
      <c r="DG58" s="145">
        <v>28733.600000000002</v>
      </c>
      <c r="DH58" s="145">
        <v>35917</v>
      </c>
      <c r="DI58" s="145">
        <v>37353.68</v>
      </c>
      <c r="DJ58" s="145">
        <v>38790.36</v>
      </c>
      <c r="DK58" s="145">
        <v>35917</v>
      </c>
      <c r="DL58" s="145">
        <v>0</v>
      </c>
      <c r="DM58" s="145">
        <v>0</v>
      </c>
      <c r="DN58" s="145">
        <v>0</v>
      </c>
      <c r="DO58" s="145">
        <v>0</v>
      </c>
      <c r="DP58" s="145">
        <v>0</v>
      </c>
      <c r="DQ58" s="145">
        <v>0</v>
      </c>
      <c r="DR58" s="145">
        <v>0</v>
      </c>
      <c r="DS58" s="145">
        <v>0</v>
      </c>
      <c r="DT58" s="145">
        <v>0</v>
      </c>
      <c r="DU58" s="145">
        <v>0</v>
      </c>
      <c r="DV58" s="145">
        <v>0</v>
      </c>
      <c r="DW58" s="145">
        <v>0</v>
      </c>
      <c r="DX58" s="145">
        <v>0</v>
      </c>
      <c r="DY58" s="145">
        <v>0</v>
      </c>
      <c r="DZ58" s="145">
        <v>0</v>
      </c>
      <c r="EA58" s="145">
        <v>0</v>
      </c>
      <c r="EB58" s="145">
        <v>0</v>
      </c>
      <c r="EC58" s="145">
        <v>0</v>
      </c>
      <c r="ED58" s="145">
        <v>0</v>
      </c>
      <c r="EE58" s="145">
        <v>0</v>
      </c>
      <c r="EF58" s="145">
        <v>0</v>
      </c>
      <c r="EG58" s="145">
        <v>0</v>
      </c>
      <c r="EH58" s="145">
        <v>0</v>
      </c>
      <c r="EI58" s="145">
        <v>0</v>
      </c>
      <c r="EJ58" s="145">
        <v>0</v>
      </c>
      <c r="EK58" s="145">
        <v>0</v>
      </c>
      <c r="EL58" s="145">
        <v>0</v>
      </c>
      <c r="EM58" s="145">
        <v>0</v>
      </c>
      <c r="EN58" s="145">
        <v>0</v>
      </c>
      <c r="EO58" s="145">
        <v>0</v>
      </c>
      <c r="EP58" s="145">
        <v>0</v>
      </c>
      <c r="EQ58" s="145">
        <v>0</v>
      </c>
      <c r="ER58" s="145">
        <v>0</v>
      </c>
      <c r="ES58" s="145">
        <v>0</v>
      </c>
      <c r="ET58" s="145">
        <v>0</v>
      </c>
      <c r="EU58" s="145">
        <v>0</v>
      </c>
      <c r="EV58" s="145">
        <v>0</v>
      </c>
      <c r="EW58" s="145">
        <v>0</v>
      </c>
      <c r="EX58" s="145">
        <v>0</v>
      </c>
      <c r="EY58" s="145">
        <v>0</v>
      </c>
      <c r="EZ58" s="145">
        <v>0</v>
      </c>
      <c r="FA58" s="145">
        <v>0</v>
      </c>
      <c r="FB58" s="145">
        <v>0</v>
      </c>
      <c r="FC58" s="145">
        <v>0</v>
      </c>
      <c r="FD58" s="145">
        <v>0</v>
      </c>
      <c r="FE58" s="145">
        <v>0</v>
      </c>
      <c r="FF58" s="145">
        <v>0</v>
      </c>
      <c r="FG58" s="145">
        <v>0</v>
      </c>
      <c r="FH58" s="145">
        <v>0</v>
      </c>
      <c r="FI58" s="145">
        <v>0</v>
      </c>
      <c r="FJ58" s="145">
        <v>0</v>
      </c>
      <c r="FK58" s="145">
        <v>0</v>
      </c>
      <c r="FL58" s="145">
        <v>0</v>
      </c>
      <c r="FM58" s="145">
        <v>0</v>
      </c>
      <c r="FN58" s="145">
        <v>0</v>
      </c>
      <c r="FO58" s="145">
        <v>0</v>
      </c>
      <c r="FP58" s="145">
        <v>0</v>
      </c>
      <c r="FQ58" s="145">
        <v>0</v>
      </c>
      <c r="FR58" s="145">
        <v>0</v>
      </c>
      <c r="FS58" s="145">
        <v>0</v>
      </c>
      <c r="FT58" s="145">
        <v>0</v>
      </c>
      <c r="FU58" s="145">
        <v>0</v>
      </c>
      <c r="FV58" s="145">
        <v>0</v>
      </c>
      <c r="FW58" s="145">
        <v>0</v>
      </c>
      <c r="FX58" s="143"/>
      <c r="FY58" s="146" t="str">
        <f>_xlfn.XLOOKUP($E58,'Key assumptions'!$B$112:$B$120,'Key assumptions'!$C$112:$C$120,0)</f>
        <v>Nominal</v>
      </c>
      <c r="FZ58" s="146" cm="1">
        <f t="array" ref="FZ58">IF($FY58=0,0,_xlfn.IFS($FY58='Key assumptions'!$C$120,_xlfn.XLOOKUP(LEFT(FZ$7,6),Inflation_Year,Inflation_NominaltoReal),TRUE,_xlfn.XLOOKUP($FY58,Inflation_Year,NominaltoReal)))</f>
        <v>1.0197075870962191</v>
      </c>
      <c r="GA58" s="146" cm="1">
        <f t="array" ref="GA58">IF($FY58=0,0,_xlfn.IFS($FY58='Key assumptions'!$C$120,_xlfn.XLOOKUP(LEFT(GA$7,6),Inflation_Year,Inflation_NominaltoReal),TRUE,_xlfn.XLOOKUP($FY58,Inflation_Year,NominaltoReal)))</f>
        <v>0.98700804022984445</v>
      </c>
      <c r="GB58" s="146" cm="1">
        <f t="array" ref="GB58">IF($FY58=0,0,_xlfn.IFS($FY58='Key assumptions'!$C$120,_xlfn.XLOOKUP(LEFT(GB$7,6),Inflation_Year,Inflation_NominaltoReal),TRUE,_xlfn.XLOOKUP($FY58,Inflation_Year,NominaltoReal)))</f>
        <v>0.96152830081941731</v>
      </c>
      <c r="GC58" s="146" cm="1">
        <f t="array" ref="GC58">IF($FY58=0,0,_xlfn.IFS($FY58='Key assumptions'!$C$120,_xlfn.XLOOKUP(LEFT(GC$7,6),Inflation_Year,Inflation_NominaltoReal),TRUE,_xlfn.XLOOKUP($FY58,Inflation_Year,NominaltoReal)))</f>
        <v>0.93670632415656829</v>
      </c>
      <c r="GD58" s="146" cm="1">
        <f t="array" ref="GD58">IF($FY58=0,0,_xlfn.IFS($FY58='Key assumptions'!$C$120,_xlfn.XLOOKUP(LEFT(GD$7,6),Inflation_Year,Inflation_NominaltoReal),TRUE,_xlfn.XLOOKUP($FY58,Inflation_Year,NominaltoReal)))</f>
        <v>0.91252513001143176</v>
      </c>
      <c r="GE58" s="146" cm="1">
        <f t="array" ref="GE58">IF($FY58=0,0,_xlfn.IFS($FY58='Key assumptions'!$C$120,_xlfn.XLOOKUP(LEFT(GE$7,6),Inflation_Year,Inflation_NominaltoReal),TRUE,_xlfn.XLOOKUP($FY58,Inflation_Year,NominaltoReal)))</f>
        <v>0.88896817650095872</v>
      </c>
      <c r="GF58" s="146" cm="1">
        <f t="array" ref="GF58">IF($FY58=0,0,_xlfn.IFS($FY58='Key assumptions'!$C$120,_xlfn.XLOOKUP(LEFT(GF$7,6),Inflation_Year,Inflation_NominaltoReal),TRUE,_xlfn.XLOOKUP($FY58,Inflation_Year,NominaltoReal)))</f>
        <v>0.86601934877293718</v>
      </c>
      <c r="GG58" s="143"/>
      <c r="GH58" s="145" cm="1">
        <f t="array" ref="GH58">SUMPRODUCT(--($CR$7:$FW$7&gt;=GH$5),--($CR$7:$FW$7&lt;=GH$6),$CR58:$FW58)*FZ58</f>
        <v>208828.09893567112</v>
      </c>
      <c r="GI58" s="145" cm="1">
        <f t="array" ref="GI58">SUMPRODUCT(--($CR$7:$FW$7&gt;=GI$5),--($CR$7:$FW$7&lt;=GI$6),$CR58:$FW58)*GA58</f>
        <v>0</v>
      </c>
      <c r="GJ58" s="145" cm="1">
        <f t="array" ref="GJ58">SUMPRODUCT(--($CR$7:$FW$7&gt;=GJ$5),--($CR$7:$FW$7&lt;=GJ$6),$CR58:$FW58)*GB58</f>
        <v>0</v>
      </c>
      <c r="GK58" s="145" cm="1">
        <f t="array" ref="GK58">SUMPRODUCT(--($CR$7:$FW$7&gt;=GK$5),--($CR$7:$FW$7&lt;=GK$6),$CR58:$FW58)*GC58</f>
        <v>0</v>
      </c>
      <c r="GL58" s="145" cm="1">
        <f t="array" ref="GL58">SUMPRODUCT(--($CR$7:$FW$7&gt;=GL$5),--($CR$7:$FW$7&lt;=GL$6),$CR58:$FW58)*GD58</f>
        <v>0</v>
      </c>
      <c r="GM58" s="145" cm="1">
        <f t="array" ref="GM58">SUMPRODUCT(--($CR$7:$FW$7&gt;=GM$5),--($CR$7:$FW$7&lt;=GM$6),$CR58:$FW58)*GE58</f>
        <v>0</v>
      </c>
      <c r="GN58" s="145" cm="1">
        <f t="array" ref="GN58">SUMPRODUCT(--($CR$7:$FW$7&gt;=GN$5),--($CR$7:$FW$7&lt;=GN$6),$CR58:$FW58)*GF58</f>
        <v>0</v>
      </c>
      <c r="GO58" s="145">
        <f t="shared" si="18"/>
        <v>208828.09893567112</v>
      </c>
      <c r="GP58" s="87"/>
      <c r="GQ58" s="89"/>
      <c r="GR58" s="145" cm="1">
        <f t="array" ref="GR58">SUMPRODUCT(--($CR$7:$FW$7&gt;=GR$5),--($CR$7:$FW$7&lt;=GR$6),$CR58:$FW58)</f>
        <v>130084.78</v>
      </c>
      <c r="GS58" s="89"/>
      <c r="GT58" s="214" cm="1">
        <f t="array" ref="GT58">--AND(MIN(IF($K58:$CP58&lt;&gt;0,$K$7:$CP$7))&gt;=GT$5,MIN(IF($K58:$CP58&lt;&gt;0,$K$7:$CP$7))&lt;=GT$6)</f>
        <v>1</v>
      </c>
      <c r="GU58" s="214" cm="1">
        <f t="array" ref="GU58">--AND(MIN(IF($K58:$CP58&lt;&gt;0,$K$7:$CP$7))&gt;=GU$5,MIN(IF($K58:$CP58&lt;&gt;0,$K$7:$CP$7))&lt;=GU$6)</f>
        <v>0</v>
      </c>
      <c r="GV58" s="214" cm="1">
        <f t="array" ref="GV58">--AND(MIN(IF($K58:$CP58&lt;&gt;0,$K$7:$CP$7))&gt;=GV$5,MIN(IF($K58:$CP58&lt;&gt;0,$K$7:$CP$7))&lt;=GV$6)</f>
        <v>0</v>
      </c>
      <c r="GW58" s="214" cm="1">
        <f t="array" ref="GW58">--AND(MIN(IF($K58:$CP58&lt;&gt;0,$K$7:$CP$7))&gt;=GW$5,MIN(IF($K58:$CP58&lt;&gt;0,$K$7:$CP$7))&lt;=GW$6)</f>
        <v>0</v>
      </c>
      <c r="GX58" s="214" cm="1">
        <f t="array" ref="GX58">--AND(MIN(IF($K58:$CP58&lt;&gt;0,$K$7:$CP$7))&gt;=GX$5,MIN(IF($K58:$CP58&lt;&gt;0,$K$7:$CP$7))&lt;=GX$6)</f>
        <v>0</v>
      </c>
      <c r="GY58" s="214" cm="1">
        <f t="array" ref="GY58">--AND(MIN(IF($K58:$CP58&lt;&gt;0,$K$7:$CP$7))&gt;=GY$5,MIN(IF($K58:$CP58&lt;&gt;0,$K$7:$CP$7))&lt;=GY$6)</f>
        <v>0</v>
      </c>
      <c r="GZ58" s="214" cm="1">
        <f t="array" ref="GZ58">--AND(MIN(IF($K58:$CP58&lt;&gt;0,$K$7:$CP$7))&gt;=GZ$5,MIN(IF($K58:$CP58&lt;&gt;0,$K$7:$CP$7))&lt;=GZ$6)</f>
        <v>0</v>
      </c>
      <c r="HA58" s="214">
        <f t="shared" si="0"/>
        <v>1</v>
      </c>
      <c r="HC58" s="214" cm="1">
        <f t="array" ref="HC58">--AND(MIN(IF($K58:$CP58&lt;&gt;0,$K$7:$CP$7))&gt;=HC$5,MIN(IF($K58:$CP58&lt;&gt;0,$K$7:$CP$7))&lt;=HC$6)</f>
        <v>1</v>
      </c>
      <c r="HE58" s="147" t="str">
        <f t="shared" si="19"/>
        <v>No</v>
      </c>
      <c r="HF58" s="147" t="str">
        <f t="shared" si="20"/>
        <v>No</v>
      </c>
      <c r="HG58" s="147">
        <f>IF($HF58="Yes",0,$H58*avg_hrs*12*'Key assumptions'!$D$87)</f>
        <v>367024.33151015785</v>
      </c>
      <c r="HH58" s="147">
        <f>IF(HE58="Yes",'Key assumptions'!$D$84*HG58,0)</f>
        <v>0</v>
      </c>
      <c r="HI58" s="144">
        <f>IFERROR(AVERAGEIFS($K58:$CP58,$K$7:$CP$7,"&gt;="&amp;'Key assumptions'!$D$24,$K$7:$CP$7,"&lt;="&amp;'Key assumptions'!$D$25),0)</f>
        <v>0.16550039872408293</v>
      </c>
      <c r="HJ58" s="148">
        <f t="shared" si="22"/>
        <v>0</v>
      </c>
      <c r="HK58" s="148">
        <f t="shared" si="1"/>
        <v>0</v>
      </c>
      <c r="HL58" s="148">
        <f t="shared" si="2"/>
        <v>0</v>
      </c>
      <c r="HM58" s="148">
        <f t="shared" si="3"/>
        <v>0</v>
      </c>
      <c r="HN58" s="148">
        <f t="shared" si="4"/>
        <v>0</v>
      </c>
      <c r="HO58" s="148">
        <f t="shared" si="5"/>
        <v>0</v>
      </c>
      <c r="HP58" s="148">
        <f t="shared" si="6"/>
        <v>0</v>
      </c>
      <c r="HQ58" s="148">
        <f t="shared" si="7"/>
        <v>0</v>
      </c>
      <c r="HR58" s="147">
        <f t="shared" si="8"/>
        <v>0</v>
      </c>
      <c r="HS58" s="89"/>
      <c r="HU58" s="147">
        <f>$HJ58*HC58/(1+'Key assumptions'!G80)^0.75</f>
        <v>0</v>
      </c>
      <c r="HW58" s="216">
        <f t="shared" si="9"/>
        <v>0.16550039872408293</v>
      </c>
      <c r="HX58" s="216">
        <f t="shared" si="10"/>
        <v>0</v>
      </c>
      <c r="HY58" s="216">
        <f t="shared" si="11"/>
        <v>0</v>
      </c>
      <c r="HZ58" s="216">
        <f t="shared" si="12"/>
        <v>0</v>
      </c>
      <c r="IA58" s="216">
        <f t="shared" si="13"/>
        <v>0</v>
      </c>
      <c r="IB58" s="216">
        <f t="shared" si="14"/>
        <v>0</v>
      </c>
      <c r="IC58" s="216">
        <f t="shared" si="15"/>
        <v>0</v>
      </c>
      <c r="ID58" s="216">
        <f t="shared" si="16"/>
        <v>0.16550039872408293</v>
      </c>
      <c r="IF58" s="216">
        <f t="shared" si="17"/>
        <v>0.16550039872408293</v>
      </c>
    </row>
    <row r="59" spans="2:240" x14ac:dyDescent="0.2">
      <c r="B59" s="141" t="str">
        <v>Land and Environment</v>
      </c>
      <c r="C59" s="141" t="str">
        <v>Environment Officer (Safety and Environmental Delivery)</v>
      </c>
      <c r="D59" s="141" t="str">
        <v>Internal Labour</v>
      </c>
      <c r="E59" s="141" t="str">
        <v>$ Nominal</v>
      </c>
      <c r="F59" s="141" t="str">
        <v>Existing</v>
      </c>
      <c r="G59" s="141" t="str">
        <v>Normal time</v>
      </c>
      <c r="H59" s="142">
        <v>210.04</v>
      </c>
      <c r="I59" s="126">
        <v>22518.719999999998</v>
      </c>
      <c r="J59" s="143">
        <v>0</v>
      </c>
      <c r="K59" s="144">
        <v>0</v>
      </c>
      <c r="L59" s="144">
        <v>0</v>
      </c>
      <c r="M59" s="144">
        <v>0</v>
      </c>
      <c r="N59" s="144">
        <v>0</v>
      </c>
      <c r="O59" s="144">
        <v>0</v>
      </c>
      <c r="P59" s="144">
        <v>0</v>
      </c>
      <c r="Q59" s="144">
        <v>0</v>
      </c>
      <c r="R59" s="144">
        <v>0</v>
      </c>
      <c r="S59" s="144">
        <v>2.8571428571428571E-2</v>
      </c>
      <c r="T59" s="144">
        <v>0.1</v>
      </c>
      <c r="U59" s="144">
        <v>0.16071428571428573</v>
      </c>
      <c r="V59" s="144">
        <v>0.2857142857142857</v>
      </c>
      <c r="W59" s="144">
        <v>7.1428571428571425E-2</v>
      </c>
      <c r="X59" s="144">
        <v>0</v>
      </c>
      <c r="Y59" s="144">
        <v>0</v>
      </c>
      <c r="Z59" s="144">
        <v>0</v>
      </c>
      <c r="AA59" s="144">
        <v>0</v>
      </c>
      <c r="AB59" s="144">
        <v>0</v>
      </c>
      <c r="AC59" s="144">
        <v>0</v>
      </c>
      <c r="AD59" s="144">
        <v>0</v>
      </c>
      <c r="AE59" s="144">
        <v>0</v>
      </c>
      <c r="AF59" s="144">
        <v>0</v>
      </c>
      <c r="AG59" s="144">
        <v>0</v>
      </c>
      <c r="AH59" s="144">
        <v>0</v>
      </c>
      <c r="AI59" s="144">
        <v>0</v>
      </c>
      <c r="AJ59" s="144">
        <v>0</v>
      </c>
      <c r="AK59" s="144">
        <v>0</v>
      </c>
      <c r="AL59" s="144">
        <v>0</v>
      </c>
      <c r="AM59" s="144">
        <v>0</v>
      </c>
      <c r="AN59" s="144">
        <v>0</v>
      </c>
      <c r="AO59" s="144">
        <v>0</v>
      </c>
      <c r="AP59" s="144">
        <v>0</v>
      </c>
      <c r="AQ59" s="144">
        <v>0</v>
      </c>
      <c r="AR59" s="144">
        <v>0</v>
      </c>
      <c r="AS59" s="144">
        <v>0</v>
      </c>
      <c r="AT59" s="144">
        <v>0</v>
      </c>
      <c r="AU59" s="144">
        <v>0</v>
      </c>
      <c r="AV59" s="144">
        <v>0</v>
      </c>
      <c r="AW59" s="144">
        <v>0</v>
      </c>
      <c r="AX59" s="144">
        <v>0</v>
      </c>
      <c r="AY59" s="144">
        <v>0</v>
      </c>
      <c r="AZ59" s="144">
        <v>0</v>
      </c>
      <c r="BA59" s="144">
        <v>0</v>
      </c>
      <c r="BB59" s="144">
        <v>0</v>
      </c>
      <c r="BC59" s="144">
        <v>0</v>
      </c>
      <c r="BD59" s="144">
        <v>0</v>
      </c>
      <c r="BE59" s="144">
        <v>0</v>
      </c>
      <c r="BF59" s="144">
        <v>0</v>
      </c>
      <c r="BG59" s="144">
        <v>0</v>
      </c>
      <c r="BH59" s="144">
        <v>0</v>
      </c>
      <c r="BI59" s="144">
        <v>0</v>
      </c>
      <c r="BJ59" s="144">
        <v>0</v>
      </c>
      <c r="BK59" s="144">
        <v>0</v>
      </c>
      <c r="BL59" s="144">
        <v>0</v>
      </c>
      <c r="BM59" s="144">
        <v>0</v>
      </c>
      <c r="BN59" s="144">
        <v>0</v>
      </c>
      <c r="BO59" s="144">
        <v>0</v>
      </c>
      <c r="BP59" s="144">
        <v>0</v>
      </c>
      <c r="BQ59" s="144">
        <v>0</v>
      </c>
      <c r="BR59" s="144">
        <v>0</v>
      </c>
      <c r="BS59" s="144">
        <v>0</v>
      </c>
      <c r="BT59" s="144">
        <v>0</v>
      </c>
      <c r="BU59" s="144">
        <v>0</v>
      </c>
      <c r="BV59" s="144">
        <v>0</v>
      </c>
      <c r="BW59" s="144">
        <v>0</v>
      </c>
      <c r="BX59" s="144">
        <v>0</v>
      </c>
      <c r="BY59" s="144">
        <v>0</v>
      </c>
      <c r="BZ59" s="144">
        <v>0</v>
      </c>
      <c r="CA59" s="144">
        <v>0</v>
      </c>
      <c r="CB59" s="144">
        <v>0</v>
      </c>
      <c r="CC59" s="144">
        <v>0</v>
      </c>
      <c r="CD59" s="144">
        <v>0</v>
      </c>
      <c r="CE59" s="144">
        <v>0</v>
      </c>
      <c r="CF59" s="144">
        <v>0</v>
      </c>
      <c r="CG59" s="144">
        <v>0</v>
      </c>
      <c r="CH59" s="144">
        <v>0</v>
      </c>
      <c r="CI59" s="144">
        <v>0</v>
      </c>
      <c r="CJ59" s="144">
        <v>0</v>
      </c>
      <c r="CK59" s="144">
        <v>0</v>
      </c>
      <c r="CL59" s="144">
        <v>0</v>
      </c>
      <c r="CM59" s="144">
        <v>0</v>
      </c>
      <c r="CN59" s="144">
        <v>0</v>
      </c>
      <c r="CO59" s="144">
        <v>0</v>
      </c>
      <c r="CP59" s="144">
        <v>0</v>
      </c>
      <c r="CQ59" s="143">
        <v>0</v>
      </c>
      <c r="CR59" s="145">
        <v>0</v>
      </c>
      <c r="CS59" s="145">
        <v>0</v>
      </c>
      <c r="CT59" s="145">
        <v>0</v>
      </c>
      <c r="CU59" s="145">
        <v>0</v>
      </c>
      <c r="CV59" s="145">
        <v>0</v>
      </c>
      <c r="CW59" s="145">
        <v>0</v>
      </c>
      <c r="CX59" s="145">
        <v>0</v>
      </c>
      <c r="CY59" s="145">
        <v>0</v>
      </c>
      <c r="CZ59" s="145">
        <v>1154.8000000000002</v>
      </c>
      <c r="DA59" s="145">
        <v>4041.84</v>
      </c>
      <c r="DB59" s="145">
        <v>6495.78</v>
      </c>
      <c r="DC59" s="145">
        <v>8661.0399999999991</v>
      </c>
      <c r="DD59" s="145">
        <v>2165.2599999999998</v>
      </c>
      <c r="DE59" s="145">
        <v>0</v>
      </c>
      <c r="DF59" s="145">
        <v>0</v>
      </c>
      <c r="DG59" s="145">
        <v>0</v>
      </c>
      <c r="DH59" s="145">
        <v>0</v>
      </c>
      <c r="DI59" s="145">
        <v>0</v>
      </c>
      <c r="DJ59" s="145">
        <v>0</v>
      </c>
      <c r="DK59" s="145">
        <v>0</v>
      </c>
      <c r="DL59" s="145">
        <v>0</v>
      </c>
      <c r="DM59" s="145">
        <v>0</v>
      </c>
      <c r="DN59" s="145">
        <v>0</v>
      </c>
      <c r="DO59" s="145">
        <v>0</v>
      </c>
      <c r="DP59" s="145">
        <v>0</v>
      </c>
      <c r="DQ59" s="145">
        <v>0</v>
      </c>
      <c r="DR59" s="145">
        <v>0</v>
      </c>
      <c r="DS59" s="145">
        <v>0</v>
      </c>
      <c r="DT59" s="145">
        <v>0</v>
      </c>
      <c r="DU59" s="145">
        <v>0</v>
      </c>
      <c r="DV59" s="145">
        <v>0</v>
      </c>
      <c r="DW59" s="145">
        <v>0</v>
      </c>
      <c r="DX59" s="145">
        <v>0</v>
      </c>
      <c r="DY59" s="145">
        <v>0</v>
      </c>
      <c r="DZ59" s="145">
        <v>0</v>
      </c>
      <c r="EA59" s="145">
        <v>0</v>
      </c>
      <c r="EB59" s="145">
        <v>0</v>
      </c>
      <c r="EC59" s="145">
        <v>0</v>
      </c>
      <c r="ED59" s="145">
        <v>0</v>
      </c>
      <c r="EE59" s="145">
        <v>0</v>
      </c>
      <c r="EF59" s="145">
        <v>0</v>
      </c>
      <c r="EG59" s="145">
        <v>0</v>
      </c>
      <c r="EH59" s="145">
        <v>0</v>
      </c>
      <c r="EI59" s="145">
        <v>0</v>
      </c>
      <c r="EJ59" s="145">
        <v>0</v>
      </c>
      <c r="EK59" s="145">
        <v>0</v>
      </c>
      <c r="EL59" s="145">
        <v>0</v>
      </c>
      <c r="EM59" s="145">
        <v>0</v>
      </c>
      <c r="EN59" s="145">
        <v>0</v>
      </c>
      <c r="EO59" s="145">
        <v>0</v>
      </c>
      <c r="EP59" s="145">
        <v>0</v>
      </c>
      <c r="EQ59" s="145">
        <v>0</v>
      </c>
      <c r="ER59" s="145">
        <v>0</v>
      </c>
      <c r="ES59" s="145">
        <v>0</v>
      </c>
      <c r="ET59" s="145">
        <v>0</v>
      </c>
      <c r="EU59" s="145">
        <v>0</v>
      </c>
      <c r="EV59" s="145">
        <v>0</v>
      </c>
      <c r="EW59" s="145">
        <v>0</v>
      </c>
      <c r="EX59" s="145">
        <v>0</v>
      </c>
      <c r="EY59" s="145">
        <v>0</v>
      </c>
      <c r="EZ59" s="145">
        <v>0</v>
      </c>
      <c r="FA59" s="145">
        <v>0</v>
      </c>
      <c r="FB59" s="145">
        <v>0</v>
      </c>
      <c r="FC59" s="145">
        <v>0</v>
      </c>
      <c r="FD59" s="145">
        <v>0</v>
      </c>
      <c r="FE59" s="145">
        <v>0</v>
      </c>
      <c r="FF59" s="145">
        <v>0</v>
      </c>
      <c r="FG59" s="145">
        <v>0</v>
      </c>
      <c r="FH59" s="145">
        <v>0</v>
      </c>
      <c r="FI59" s="145">
        <v>0</v>
      </c>
      <c r="FJ59" s="145">
        <v>0</v>
      </c>
      <c r="FK59" s="145">
        <v>0</v>
      </c>
      <c r="FL59" s="145">
        <v>0</v>
      </c>
      <c r="FM59" s="145">
        <v>0</v>
      </c>
      <c r="FN59" s="145">
        <v>0</v>
      </c>
      <c r="FO59" s="145">
        <v>0</v>
      </c>
      <c r="FP59" s="145">
        <v>0</v>
      </c>
      <c r="FQ59" s="145">
        <v>0</v>
      </c>
      <c r="FR59" s="145">
        <v>0</v>
      </c>
      <c r="FS59" s="145">
        <v>0</v>
      </c>
      <c r="FT59" s="145">
        <v>0</v>
      </c>
      <c r="FU59" s="145">
        <v>0</v>
      </c>
      <c r="FV59" s="145">
        <v>0</v>
      </c>
      <c r="FW59" s="145">
        <v>0</v>
      </c>
      <c r="FX59" s="143"/>
      <c r="FY59" s="146" t="str">
        <f>_xlfn.XLOOKUP($E59,'Key assumptions'!$B$112:$B$120,'Key assumptions'!$C$112:$C$120,0)</f>
        <v>Nominal</v>
      </c>
      <c r="FZ59" s="146" cm="1">
        <f t="array" ref="FZ59">IF($FY59=0,0,_xlfn.IFS($FY59='Key assumptions'!$C$120,_xlfn.XLOOKUP(LEFT(FZ$7,6),Inflation_Year,Inflation_NominaltoReal),TRUE,_xlfn.XLOOKUP($FY59,Inflation_Year,NominaltoReal)))</f>
        <v>1.0197075870962191</v>
      </c>
      <c r="GA59" s="146" cm="1">
        <f t="array" ref="GA59">IF($FY59=0,0,_xlfn.IFS($FY59='Key assumptions'!$C$120,_xlfn.XLOOKUP(LEFT(GA$7,6),Inflation_Year,Inflation_NominaltoReal),TRUE,_xlfn.XLOOKUP($FY59,Inflation_Year,NominaltoReal)))</f>
        <v>0.98700804022984445</v>
      </c>
      <c r="GB59" s="146" cm="1">
        <f t="array" ref="GB59">IF($FY59=0,0,_xlfn.IFS($FY59='Key assumptions'!$C$120,_xlfn.XLOOKUP(LEFT(GB$7,6),Inflation_Year,Inflation_NominaltoReal),TRUE,_xlfn.XLOOKUP($FY59,Inflation_Year,NominaltoReal)))</f>
        <v>0.96152830081941731</v>
      </c>
      <c r="GC59" s="146" cm="1">
        <f t="array" ref="GC59">IF($FY59=0,0,_xlfn.IFS($FY59='Key assumptions'!$C$120,_xlfn.XLOOKUP(LEFT(GC$7,6),Inflation_Year,Inflation_NominaltoReal),TRUE,_xlfn.XLOOKUP($FY59,Inflation_Year,NominaltoReal)))</f>
        <v>0.93670632415656829</v>
      </c>
      <c r="GD59" s="146" cm="1">
        <f t="array" ref="GD59">IF($FY59=0,0,_xlfn.IFS($FY59='Key assumptions'!$C$120,_xlfn.XLOOKUP(LEFT(GD$7,6),Inflation_Year,Inflation_NominaltoReal),TRUE,_xlfn.XLOOKUP($FY59,Inflation_Year,NominaltoReal)))</f>
        <v>0.91252513001143176</v>
      </c>
      <c r="GE59" s="146" cm="1">
        <f t="array" ref="GE59">IF($FY59=0,0,_xlfn.IFS($FY59='Key assumptions'!$C$120,_xlfn.XLOOKUP(LEFT(GE$7,6),Inflation_Year,Inflation_NominaltoReal),TRUE,_xlfn.XLOOKUP($FY59,Inflation_Year,NominaltoReal)))</f>
        <v>0.88896817650095872</v>
      </c>
      <c r="GF59" s="146" cm="1">
        <f t="array" ref="GF59">IF($FY59=0,0,_xlfn.IFS($FY59='Key assumptions'!$C$120,_xlfn.XLOOKUP(LEFT(GF$7,6),Inflation_Year,Inflation_NominaltoReal),TRUE,_xlfn.XLOOKUP($FY59,Inflation_Year,NominaltoReal)))</f>
        <v>0.86601934877293718</v>
      </c>
      <c r="GG59" s="143"/>
      <c r="GH59" s="145" cm="1">
        <f t="array" ref="GH59">SUMPRODUCT(--($CR$7:$FW$7&gt;=GH$5),--($CR$7:$FW$7&lt;=GH$6),$CR59:$FW59)*FZ59</f>
        <v>0</v>
      </c>
      <c r="GI59" s="145" cm="1">
        <f t="array" ref="GI59">SUMPRODUCT(--($CR$7:$FW$7&gt;=GI$5),--($CR$7:$FW$7&lt;=GI$6),$CR59:$FW59)*GA59</f>
        <v>0</v>
      </c>
      <c r="GJ59" s="145" cm="1">
        <f t="array" ref="GJ59">SUMPRODUCT(--($CR$7:$FW$7&gt;=GJ$5),--($CR$7:$FW$7&lt;=GJ$6),$CR59:$FW59)*GB59</f>
        <v>0</v>
      </c>
      <c r="GK59" s="145" cm="1">
        <f t="array" ref="GK59">SUMPRODUCT(--($CR$7:$FW$7&gt;=GK$5),--($CR$7:$FW$7&lt;=GK$6),$CR59:$FW59)*GC59</f>
        <v>0</v>
      </c>
      <c r="GL59" s="145" cm="1">
        <f t="array" ref="GL59">SUMPRODUCT(--($CR$7:$FW$7&gt;=GL$5),--($CR$7:$FW$7&lt;=GL$6),$CR59:$FW59)*GD59</f>
        <v>0</v>
      </c>
      <c r="GM59" s="145" cm="1">
        <f t="array" ref="GM59">SUMPRODUCT(--($CR$7:$FW$7&gt;=GM$5),--($CR$7:$FW$7&lt;=GM$6),$CR59:$FW59)*GE59</f>
        <v>0</v>
      </c>
      <c r="GN59" s="145" cm="1">
        <f t="array" ref="GN59">SUMPRODUCT(--($CR$7:$FW$7&gt;=GN$5),--($CR$7:$FW$7&lt;=GN$6),$CR59:$FW59)*GF59</f>
        <v>0</v>
      </c>
      <c r="GO59" s="145">
        <f t="shared" si="18"/>
        <v>0</v>
      </c>
      <c r="GP59" s="87"/>
      <c r="GQ59" s="89"/>
      <c r="GR59" s="145" cm="1">
        <f t="array" ref="GR59">SUMPRODUCT(--($CR$7:$FW$7&gt;=GR$5),--($CR$7:$FW$7&lt;=GR$6),$CR59:$FW59)</f>
        <v>0</v>
      </c>
      <c r="GS59" s="89"/>
      <c r="GT59" s="214" cm="1">
        <f t="array" ref="GT59">--AND(MIN(IF($K59:$CP59&lt;&gt;0,$K$7:$CP$7))&gt;=GT$5,MIN(IF($K59:$CP59&lt;&gt;0,$K$7:$CP$7))&lt;=GT$6)</f>
        <v>0</v>
      </c>
      <c r="GU59" s="214" cm="1">
        <f t="array" ref="GU59">--AND(MIN(IF($K59:$CP59&lt;&gt;0,$K$7:$CP$7))&gt;=GU$5,MIN(IF($K59:$CP59&lt;&gt;0,$K$7:$CP$7))&lt;=GU$6)</f>
        <v>0</v>
      </c>
      <c r="GV59" s="214" cm="1">
        <f t="array" ref="GV59">--AND(MIN(IF($K59:$CP59&lt;&gt;0,$K$7:$CP$7))&gt;=GV$5,MIN(IF($K59:$CP59&lt;&gt;0,$K$7:$CP$7))&lt;=GV$6)</f>
        <v>0</v>
      </c>
      <c r="GW59" s="214" cm="1">
        <f t="array" ref="GW59">--AND(MIN(IF($K59:$CP59&lt;&gt;0,$K$7:$CP$7))&gt;=GW$5,MIN(IF($K59:$CP59&lt;&gt;0,$K$7:$CP$7))&lt;=GW$6)</f>
        <v>0</v>
      </c>
      <c r="GX59" s="214" cm="1">
        <f t="array" ref="GX59">--AND(MIN(IF($K59:$CP59&lt;&gt;0,$K$7:$CP$7))&gt;=GX$5,MIN(IF($K59:$CP59&lt;&gt;0,$K$7:$CP$7))&lt;=GX$6)</f>
        <v>0</v>
      </c>
      <c r="GY59" s="214" cm="1">
        <f t="array" ref="GY59">--AND(MIN(IF($K59:$CP59&lt;&gt;0,$K$7:$CP$7))&gt;=GY$5,MIN(IF($K59:$CP59&lt;&gt;0,$K$7:$CP$7))&lt;=GY$6)</f>
        <v>0</v>
      </c>
      <c r="GZ59" s="214" cm="1">
        <f t="array" ref="GZ59">--AND(MIN(IF($K59:$CP59&lt;&gt;0,$K$7:$CP$7))&gt;=GZ$5,MIN(IF($K59:$CP59&lt;&gt;0,$K$7:$CP$7))&lt;=GZ$6)</f>
        <v>0</v>
      </c>
      <c r="HA59" s="214">
        <f t="shared" si="0"/>
        <v>0</v>
      </c>
      <c r="HC59" s="214" cm="1">
        <f t="array" ref="HC59">--AND(MIN(IF($K59:$CP59&lt;&gt;0,$K$7:$CP$7))&gt;=HC$5,MIN(IF($K59:$CP59&lt;&gt;0,$K$7:$CP$7))&lt;=HC$6)</f>
        <v>0</v>
      </c>
      <c r="HE59" s="147" t="str">
        <f t="shared" si="19"/>
        <v>No</v>
      </c>
      <c r="HF59" s="147" t="str">
        <f t="shared" si="20"/>
        <v>No</v>
      </c>
      <c r="HG59" s="147">
        <f>IF($HF59="Yes",0,$H59*avg_hrs*12*'Key assumptions'!$D$87)</f>
        <v>375608.02275576669</v>
      </c>
      <c r="HH59" s="147">
        <f>IF(HE59="Yes",'Key assumptions'!$D$84*HG59,0)</f>
        <v>0</v>
      </c>
      <c r="HI59" s="144">
        <f>IFERROR(AVERAGEIFS($K59:$CP59,$K$7:$CP$7,"&gt;="&amp;'Key assumptions'!$D$24,$K$7:$CP$7,"&lt;="&amp;'Key assumptions'!$D$25),0)</f>
        <v>0</v>
      </c>
      <c r="HJ59" s="148">
        <f t="shared" si="22"/>
        <v>0</v>
      </c>
      <c r="HK59" s="148">
        <f t="shared" si="1"/>
        <v>0</v>
      </c>
      <c r="HL59" s="148">
        <f t="shared" si="2"/>
        <v>0</v>
      </c>
      <c r="HM59" s="148">
        <f t="shared" si="3"/>
        <v>0</v>
      </c>
      <c r="HN59" s="148">
        <f t="shared" si="4"/>
        <v>0</v>
      </c>
      <c r="HO59" s="148">
        <f t="shared" si="5"/>
        <v>0</v>
      </c>
      <c r="HP59" s="148">
        <f t="shared" si="6"/>
        <v>0</v>
      </c>
      <c r="HQ59" s="148">
        <f t="shared" si="7"/>
        <v>0</v>
      </c>
      <c r="HR59" s="147">
        <f t="shared" si="8"/>
        <v>0</v>
      </c>
      <c r="HS59" s="89"/>
      <c r="HU59" s="147">
        <f>$HJ59*HC59/(1+'Key assumptions'!G81)^0.75</f>
        <v>0</v>
      </c>
      <c r="HW59" s="216">
        <f t="shared" si="9"/>
        <v>0</v>
      </c>
      <c r="HX59" s="216">
        <f t="shared" si="10"/>
        <v>0</v>
      </c>
      <c r="HY59" s="216">
        <f t="shared" si="11"/>
        <v>0</v>
      </c>
      <c r="HZ59" s="216">
        <f t="shared" si="12"/>
        <v>0</v>
      </c>
      <c r="IA59" s="216">
        <f t="shared" si="13"/>
        <v>0</v>
      </c>
      <c r="IB59" s="216">
        <f t="shared" si="14"/>
        <v>0</v>
      </c>
      <c r="IC59" s="216">
        <f t="shared" si="15"/>
        <v>0</v>
      </c>
      <c r="ID59" s="216">
        <f t="shared" si="16"/>
        <v>0</v>
      </c>
      <c r="IF59" s="216">
        <f t="shared" si="17"/>
        <v>0</v>
      </c>
    </row>
    <row r="60" spans="2:240" x14ac:dyDescent="0.2">
      <c r="B60" s="141" t="str">
        <v>Land and Environment</v>
      </c>
      <c r="C60" s="141" t="str">
        <v>Property and Environment - Senior (Enviro Approval)</v>
      </c>
      <c r="D60" s="141" t="str">
        <v>Internal Labour</v>
      </c>
      <c r="E60" s="141" t="str">
        <v>$ Nominal</v>
      </c>
      <c r="F60" s="141" t="str">
        <v>New</v>
      </c>
      <c r="G60" s="141" t="str">
        <v>Normal time</v>
      </c>
      <c r="H60" s="142">
        <v>297.43</v>
      </c>
      <c r="I60" s="126">
        <v>10410.050000000001</v>
      </c>
      <c r="J60" s="143">
        <v>0</v>
      </c>
      <c r="K60" s="144">
        <v>0</v>
      </c>
      <c r="L60" s="144">
        <v>0</v>
      </c>
      <c r="M60" s="144">
        <v>0</v>
      </c>
      <c r="N60" s="144">
        <v>0</v>
      </c>
      <c r="O60" s="144">
        <v>0</v>
      </c>
      <c r="P60" s="144">
        <v>0</v>
      </c>
      <c r="Q60" s="144">
        <v>0</v>
      </c>
      <c r="R60" s="144">
        <v>0</v>
      </c>
      <c r="S60" s="144">
        <v>0</v>
      </c>
      <c r="T60" s="144">
        <v>0</v>
      </c>
      <c r="U60" s="144">
        <v>0</v>
      </c>
      <c r="V60" s="144">
        <v>0</v>
      </c>
      <c r="W60" s="144">
        <v>0</v>
      </c>
      <c r="X60" s="144">
        <v>0</v>
      </c>
      <c r="Y60" s="144">
        <v>0</v>
      </c>
      <c r="Z60" s="144">
        <v>0</v>
      </c>
      <c r="AA60" s="144">
        <v>0</v>
      </c>
      <c r="AB60" s="144">
        <v>0</v>
      </c>
      <c r="AC60" s="144">
        <v>0</v>
      </c>
      <c r="AD60" s="144">
        <v>0.25</v>
      </c>
      <c r="AE60" s="144">
        <v>0</v>
      </c>
      <c r="AF60" s="144">
        <v>0</v>
      </c>
      <c r="AG60" s="144">
        <v>0</v>
      </c>
      <c r="AH60" s="144">
        <v>0</v>
      </c>
      <c r="AI60" s="144">
        <v>0</v>
      </c>
      <c r="AJ60" s="144">
        <v>0</v>
      </c>
      <c r="AK60" s="144">
        <v>0</v>
      </c>
      <c r="AL60" s="144">
        <v>0</v>
      </c>
      <c r="AM60" s="144">
        <v>0</v>
      </c>
      <c r="AN60" s="144">
        <v>0</v>
      </c>
      <c r="AO60" s="144">
        <v>0</v>
      </c>
      <c r="AP60" s="144">
        <v>0</v>
      </c>
      <c r="AQ60" s="144">
        <v>0</v>
      </c>
      <c r="AR60" s="144">
        <v>0</v>
      </c>
      <c r="AS60" s="144">
        <v>0</v>
      </c>
      <c r="AT60" s="144">
        <v>0</v>
      </c>
      <c r="AU60" s="144">
        <v>0</v>
      </c>
      <c r="AV60" s="144">
        <v>0</v>
      </c>
      <c r="AW60" s="144">
        <v>0</v>
      </c>
      <c r="AX60" s="144">
        <v>0</v>
      </c>
      <c r="AY60" s="144">
        <v>0</v>
      </c>
      <c r="AZ60" s="144">
        <v>0</v>
      </c>
      <c r="BA60" s="144">
        <v>0</v>
      </c>
      <c r="BB60" s="144">
        <v>0</v>
      </c>
      <c r="BC60" s="144">
        <v>0</v>
      </c>
      <c r="BD60" s="144">
        <v>0</v>
      </c>
      <c r="BE60" s="144">
        <v>0</v>
      </c>
      <c r="BF60" s="144">
        <v>0</v>
      </c>
      <c r="BG60" s="144">
        <v>0</v>
      </c>
      <c r="BH60" s="144">
        <v>0</v>
      </c>
      <c r="BI60" s="144">
        <v>0</v>
      </c>
      <c r="BJ60" s="144">
        <v>0</v>
      </c>
      <c r="BK60" s="144">
        <v>0</v>
      </c>
      <c r="BL60" s="144">
        <v>0</v>
      </c>
      <c r="BM60" s="144">
        <v>0</v>
      </c>
      <c r="BN60" s="144">
        <v>0</v>
      </c>
      <c r="BO60" s="144">
        <v>0</v>
      </c>
      <c r="BP60" s="144">
        <v>0</v>
      </c>
      <c r="BQ60" s="144">
        <v>0</v>
      </c>
      <c r="BR60" s="144">
        <v>0</v>
      </c>
      <c r="BS60" s="144">
        <v>0</v>
      </c>
      <c r="BT60" s="144">
        <v>0</v>
      </c>
      <c r="BU60" s="144">
        <v>0</v>
      </c>
      <c r="BV60" s="144">
        <v>0</v>
      </c>
      <c r="BW60" s="144">
        <v>0</v>
      </c>
      <c r="BX60" s="144">
        <v>0</v>
      </c>
      <c r="BY60" s="144">
        <v>0</v>
      </c>
      <c r="BZ60" s="144">
        <v>0</v>
      </c>
      <c r="CA60" s="144">
        <v>0</v>
      </c>
      <c r="CB60" s="144">
        <v>0</v>
      </c>
      <c r="CC60" s="144">
        <v>0</v>
      </c>
      <c r="CD60" s="144">
        <v>0</v>
      </c>
      <c r="CE60" s="144">
        <v>0</v>
      </c>
      <c r="CF60" s="144">
        <v>0</v>
      </c>
      <c r="CG60" s="144">
        <v>0</v>
      </c>
      <c r="CH60" s="144">
        <v>0</v>
      </c>
      <c r="CI60" s="144">
        <v>0</v>
      </c>
      <c r="CJ60" s="144">
        <v>0</v>
      </c>
      <c r="CK60" s="144">
        <v>0</v>
      </c>
      <c r="CL60" s="144">
        <v>0</v>
      </c>
      <c r="CM60" s="144">
        <v>0</v>
      </c>
      <c r="CN60" s="144">
        <v>0</v>
      </c>
      <c r="CO60" s="144">
        <v>0</v>
      </c>
      <c r="CP60" s="144">
        <v>0</v>
      </c>
      <c r="CQ60" s="143">
        <v>0</v>
      </c>
      <c r="CR60" s="145">
        <v>0</v>
      </c>
      <c r="CS60" s="145">
        <v>0</v>
      </c>
      <c r="CT60" s="145">
        <v>0</v>
      </c>
      <c r="CU60" s="145">
        <v>0</v>
      </c>
      <c r="CV60" s="145">
        <v>0</v>
      </c>
      <c r="CW60" s="145">
        <v>0</v>
      </c>
      <c r="CX60" s="145">
        <v>0</v>
      </c>
      <c r="CY60" s="145">
        <v>0</v>
      </c>
      <c r="CZ60" s="145">
        <v>0</v>
      </c>
      <c r="DA60" s="145">
        <v>0</v>
      </c>
      <c r="DB60" s="145">
        <v>0</v>
      </c>
      <c r="DC60" s="145">
        <v>0</v>
      </c>
      <c r="DD60" s="145">
        <v>0</v>
      </c>
      <c r="DE60" s="145">
        <v>0</v>
      </c>
      <c r="DF60" s="145">
        <v>0</v>
      </c>
      <c r="DG60" s="145">
        <v>0</v>
      </c>
      <c r="DH60" s="145">
        <v>0</v>
      </c>
      <c r="DI60" s="145">
        <v>0</v>
      </c>
      <c r="DJ60" s="145">
        <v>0</v>
      </c>
      <c r="DK60" s="145">
        <v>10410.050000000001</v>
      </c>
      <c r="DL60" s="145">
        <v>0</v>
      </c>
      <c r="DM60" s="145">
        <v>0</v>
      </c>
      <c r="DN60" s="145">
        <v>0</v>
      </c>
      <c r="DO60" s="145">
        <v>0</v>
      </c>
      <c r="DP60" s="145">
        <v>0</v>
      </c>
      <c r="DQ60" s="145">
        <v>0</v>
      </c>
      <c r="DR60" s="145">
        <v>0</v>
      </c>
      <c r="DS60" s="145">
        <v>0</v>
      </c>
      <c r="DT60" s="145">
        <v>0</v>
      </c>
      <c r="DU60" s="145">
        <v>0</v>
      </c>
      <c r="DV60" s="145">
        <v>0</v>
      </c>
      <c r="DW60" s="145">
        <v>0</v>
      </c>
      <c r="DX60" s="145">
        <v>0</v>
      </c>
      <c r="DY60" s="145">
        <v>0</v>
      </c>
      <c r="DZ60" s="145">
        <v>0</v>
      </c>
      <c r="EA60" s="145">
        <v>0</v>
      </c>
      <c r="EB60" s="145">
        <v>0</v>
      </c>
      <c r="EC60" s="145">
        <v>0</v>
      </c>
      <c r="ED60" s="145">
        <v>0</v>
      </c>
      <c r="EE60" s="145">
        <v>0</v>
      </c>
      <c r="EF60" s="145">
        <v>0</v>
      </c>
      <c r="EG60" s="145">
        <v>0</v>
      </c>
      <c r="EH60" s="145">
        <v>0</v>
      </c>
      <c r="EI60" s="145">
        <v>0</v>
      </c>
      <c r="EJ60" s="145">
        <v>0</v>
      </c>
      <c r="EK60" s="145">
        <v>0</v>
      </c>
      <c r="EL60" s="145">
        <v>0</v>
      </c>
      <c r="EM60" s="145">
        <v>0</v>
      </c>
      <c r="EN60" s="145">
        <v>0</v>
      </c>
      <c r="EO60" s="145">
        <v>0</v>
      </c>
      <c r="EP60" s="145">
        <v>0</v>
      </c>
      <c r="EQ60" s="145">
        <v>0</v>
      </c>
      <c r="ER60" s="145">
        <v>0</v>
      </c>
      <c r="ES60" s="145">
        <v>0</v>
      </c>
      <c r="ET60" s="145">
        <v>0</v>
      </c>
      <c r="EU60" s="145">
        <v>0</v>
      </c>
      <c r="EV60" s="145">
        <v>0</v>
      </c>
      <c r="EW60" s="145">
        <v>0</v>
      </c>
      <c r="EX60" s="145">
        <v>0</v>
      </c>
      <c r="EY60" s="145">
        <v>0</v>
      </c>
      <c r="EZ60" s="145">
        <v>0</v>
      </c>
      <c r="FA60" s="145">
        <v>0</v>
      </c>
      <c r="FB60" s="145">
        <v>0</v>
      </c>
      <c r="FC60" s="145">
        <v>0</v>
      </c>
      <c r="FD60" s="145">
        <v>0</v>
      </c>
      <c r="FE60" s="145">
        <v>0</v>
      </c>
      <c r="FF60" s="145">
        <v>0</v>
      </c>
      <c r="FG60" s="145">
        <v>0</v>
      </c>
      <c r="FH60" s="145">
        <v>0</v>
      </c>
      <c r="FI60" s="145">
        <v>0</v>
      </c>
      <c r="FJ60" s="145">
        <v>0</v>
      </c>
      <c r="FK60" s="145">
        <v>0</v>
      </c>
      <c r="FL60" s="145">
        <v>0</v>
      </c>
      <c r="FM60" s="145">
        <v>0</v>
      </c>
      <c r="FN60" s="145">
        <v>0</v>
      </c>
      <c r="FO60" s="145">
        <v>0</v>
      </c>
      <c r="FP60" s="145">
        <v>0</v>
      </c>
      <c r="FQ60" s="145">
        <v>0</v>
      </c>
      <c r="FR60" s="145">
        <v>0</v>
      </c>
      <c r="FS60" s="145">
        <v>0</v>
      </c>
      <c r="FT60" s="145">
        <v>0</v>
      </c>
      <c r="FU60" s="145">
        <v>0</v>
      </c>
      <c r="FV60" s="145">
        <v>0</v>
      </c>
      <c r="FW60" s="145">
        <v>0</v>
      </c>
      <c r="FX60" s="143"/>
      <c r="FY60" s="146" t="str">
        <f>_xlfn.XLOOKUP($E60,'Key assumptions'!$B$112:$B$120,'Key assumptions'!$C$112:$C$120,0)</f>
        <v>Nominal</v>
      </c>
      <c r="FZ60" s="146" cm="1">
        <f t="array" ref="FZ60">IF($FY60=0,0,_xlfn.IFS($FY60='Key assumptions'!$C$120,_xlfn.XLOOKUP(LEFT(FZ$7,6),Inflation_Year,Inflation_NominaltoReal),TRUE,_xlfn.XLOOKUP($FY60,Inflation_Year,NominaltoReal)))</f>
        <v>1.0197075870962191</v>
      </c>
      <c r="GA60" s="146" cm="1">
        <f t="array" ref="GA60">IF($FY60=0,0,_xlfn.IFS($FY60='Key assumptions'!$C$120,_xlfn.XLOOKUP(LEFT(GA$7,6),Inflation_Year,Inflation_NominaltoReal),TRUE,_xlfn.XLOOKUP($FY60,Inflation_Year,NominaltoReal)))</f>
        <v>0.98700804022984445</v>
      </c>
      <c r="GB60" s="146" cm="1">
        <f t="array" ref="GB60">IF($FY60=0,0,_xlfn.IFS($FY60='Key assumptions'!$C$120,_xlfn.XLOOKUP(LEFT(GB$7,6),Inflation_Year,Inflation_NominaltoReal),TRUE,_xlfn.XLOOKUP($FY60,Inflation_Year,NominaltoReal)))</f>
        <v>0.96152830081941731</v>
      </c>
      <c r="GC60" s="146" cm="1">
        <f t="array" ref="GC60">IF($FY60=0,0,_xlfn.IFS($FY60='Key assumptions'!$C$120,_xlfn.XLOOKUP(LEFT(GC$7,6),Inflation_Year,Inflation_NominaltoReal),TRUE,_xlfn.XLOOKUP($FY60,Inflation_Year,NominaltoReal)))</f>
        <v>0.93670632415656829</v>
      </c>
      <c r="GD60" s="146" cm="1">
        <f t="array" ref="GD60">IF($FY60=0,0,_xlfn.IFS($FY60='Key assumptions'!$C$120,_xlfn.XLOOKUP(LEFT(GD$7,6),Inflation_Year,Inflation_NominaltoReal),TRUE,_xlfn.XLOOKUP($FY60,Inflation_Year,NominaltoReal)))</f>
        <v>0.91252513001143176</v>
      </c>
      <c r="GE60" s="146" cm="1">
        <f t="array" ref="GE60">IF($FY60=0,0,_xlfn.IFS($FY60='Key assumptions'!$C$120,_xlfn.XLOOKUP(LEFT(GE$7,6),Inflation_Year,Inflation_NominaltoReal),TRUE,_xlfn.XLOOKUP($FY60,Inflation_Year,NominaltoReal)))</f>
        <v>0.88896817650095872</v>
      </c>
      <c r="GF60" s="146" cm="1">
        <f t="array" ref="GF60">IF($FY60=0,0,_xlfn.IFS($FY60='Key assumptions'!$C$120,_xlfn.XLOOKUP(LEFT(GF$7,6),Inflation_Year,Inflation_NominaltoReal),TRUE,_xlfn.XLOOKUP($FY60,Inflation_Year,NominaltoReal)))</f>
        <v>0.86601934877293718</v>
      </c>
      <c r="GG60" s="143"/>
      <c r="GH60" s="145" cm="1">
        <f t="array" ref="GH60">SUMPRODUCT(--($CR$7:$FW$7&gt;=GH$5),--($CR$7:$FW$7&lt;=GH$6),$CR60:$FW60)*FZ60</f>
        <v>10615.206967050997</v>
      </c>
      <c r="GI60" s="145" cm="1">
        <f t="array" ref="GI60">SUMPRODUCT(--($CR$7:$FW$7&gt;=GI$5),--($CR$7:$FW$7&lt;=GI$6),$CR60:$FW60)*GA60</f>
        <v>0</v>
      </c>
      <c r="GJ60" s="145" cm="1">
        <f t="array" ref="GJ60">SUMPRODUCT(--($CR$7:$FW$7&gt;=GJ$5),--($CR$7:$FW$7&lt;=GJ$6),$CR60:$FW60)*GB60</f>
        <v>0</v>
      </c>
      <c r="GK60" s="145" cm="1">
        <f t="array" ref="GK60">SUMPRODUCT(--($CR$7:$FW$7&gt;=GK$5),--($CR$7:$FW$7&lt;=GK$6),$CR60:$FW60)*GC60</f>
        <v>0</v>
      </c>
      <c r="GL60" s="145" cm="1">
        <f t="array" ref="GL60">SUMPRODUCT(--($CR$7:$FW$7&gt;=GL$5),--($CR$7:$FW$7&lt;=GL$6),$CR60:$FW60)*GD60</f>
        <v>0</v>
      </c>
      <c r="GM60" s="145" cm="1">
        <f t="array" ref="GM60">SUMPRODUCT(--($CR$7:$FW$7&gt;=GM$5),--($CR$7:$FW$7&lt;=GM$6),$CR60:$FW60)*GE60</f>
        <v>0</v>
      </c>
      <c r="GN60" s="145" cm="1">
        <f t="array" ref="GN60">SUMPRODUCT(--($CR$7:$FW$7&gt;=GN$5),--($CR$7:$FW$7&lt;=GN$6),$CR60:$FW60)*GF60</f>
        <v>0</v>
      </c>
      <c r="GO60" s="145">
        <f t="shared" si="18"/>
        <v>10615.206967050997</v>
      </c>
      <c r="GP60" s="87"/>
      <c r="GQ60" s="89"/>
      <c r="GR60" s="145" cm="1">
        <f t="array" ref="GR60">SUMPRODUCT(--($CR$7:$FW$7&gt;=GR$5),--($CR$7:$FW$7&lt;=GR$6),$CR60:$FW60)</f>
        <v>0</v>
      </c>
      <c r="GS60" s="89"/>
      <c r="GT60" s="214" cm="1">
        <f t="array" ref="GT60">--AND(MIN(IF($K60:$CP60&lt;&gt;0,$K$7:$CP$7))&gt;=GT$5,MIN(IF($K60:$CP60&lt;&gt;0,$K$7:$CP$7))&lt;=GT$6)</f>
        <v>1</v>
      </c>
      <c r="GU60" s="214" cm="1">
        <f t="array" ref="GU60">--AND(MIN(IF($K60:$CP60&lt;&gt;0,$K$7:$CP$7))&gt;=GU$5,MIN(IF($K60:$CP60&lt;&gt;0,$K$7:$CP$7))&lt;=GU$6)</f>
        <v>0</v>
      </c>
      <c r="GV60" s="214" cm="1">
        <f t="array" ref="GV60">--AND(MIN(IF($K60:$CP60&lt;&gt;0,$K$7:$CP$7))&gt;=GV$5,MIN(IF($K60:$CP60&lt;&gt;0,$K$7:$CP$7))&lt;=GV$6)</f>
        <v>0</v>
      </c>
      <c r="GW60" s="214" cm="1">
        <f t="array" ref="GW60">--AND(MIN(IF($K60:$CP60&lt;&gt;0,$K$7:$CP$7))&gt;=GW$5,MIN(IF($K60:$CP60&lt;&gt;0,$K$7:$CP$7))&lt;=GW$6)</f>
        <v>0</v>
      </c>
      <c r="GX60" s="214" cm="1">
        <f t="array" ref="GX60">--AND(MIN(IF($K60:$CP60&lt;&gt;0,$K$7:$CP$7))&gt;=GX$5,MIN(IF($K60:$CP60&lt;&gt;0,$K$7:$CP$7))&lt;=GX$6)</f>
        <v>0</v>
      </c>
      <c r="GY60" s="214" cm="1">
        <f t="array" ref="GY60">--AND(MIN(IF($K60:$CP60&lt;&gt;0,$K$7:$CP$7))&gt;=GY$5,MIN(IF($K60:$CP60&lt;&gt;0,$K$7:$CP$7))&lt;=GY$6)</f>
        <v>0</v>
      </c>
      <c r="GZ60" s="214" cm="1">
        <f t="array" ref="GZ60">--AND(MIN(IF($K60:$CP60&lt;&gt;0,$K$7:$CP$7))&gt;=GZ$5,MIN(IF($K60:$CP60&lt;&gt;0,$K$7:$CP$7))&lt;=GZ$6)</f>
        <v>0</v>
      </c>
      <c r="HA60" s="214">
        <f t="shared" si="0"/>
        <v>1</v>
      </c>
      <c r="HC60" s="214" cm="1">
        <f t="array" ref="HC60">--AND(MIN(IF($K60:$CP60&lt;&gt;0,$K$7:$CP$7))&gt;=HC$5,MIN(IF($K60:$CP60&lt;&gt;0,$K$7:$CP$7))&lt;=HC$6)</f>
        <v>0</v>
      </c>
      <c r="HE60" s="147" t="str">
        <f t="shared" si="19"/>
        <v>Yes</v>
      </c>
      <c r="HF60" s="147" t="str">
        <f t="shared" si="20"/>
        <v>No</v>
      </c>
      <c r="HG60" s="147">
        <f>IF($HF60="Yes",0,$H60*avg_hrs*12*'Key assumptions'!$D$87)</f>
        <v>531884.85149613256</v>
      </c>
      <c r="HH60" s="147">
        <f>IF(HE60="Yes",'Key assumptions'!$D$84*HG60,0)</f>
        <v>79782.727724419878</v>
      </c>
      <c r="HI60" s="144">
        <f>IFERROR(AVERAGEIFS($K60:$CP60,$K$7:$CP$7,"&gt;="&amp;'Key assumptions'!$D$24,$K$7:$CP$7,"&lt;="&amp;'Key assumptions'!$D$25),0)</f>
        <v>5.681818181818182E-3</v>
      </c>
      <c r="HJ60" s="148">
        <f t="shared" si="22"/>
        <v>453.3109529796584</v>
      </c>
      <c r="HK60" s="148">
        <f t="shared" si="1"/>
        <v>453.3109529796584</v>
      </c>
      <c r="HL60" s="148">
        <f t="shared" si="2"/>
        <v>0</v>
      </c>
      <c r="HM60" s="148">
        <f t="shared" si="3"/>
        <v>0</v>
      </c>
      <c r="HN60" s="148">
        <f t="shared" si="4"/>
        <v>0</v>
      </c>
      <c r="HO60" s="148">
        <f t="shared" si="5"/>
        <v>0</v>
      </c>
      <c r="HP60" s="148">
        <f t="shared" si="6"/>
        <v>0</v>
      </c>
      <c r="HQ60" s="148">
        <f t="shared" si="7"/>
        <v>0</v>
      </c>
      <c r="HR60" s="147">
        <f t="shared" si="8"/>
        <v>453.3109529796584</v>
      </c>
      <c r="HS60" s="90"/>
      <c r="HU60" s="147">
        <f>$HJ60*HC60/(1+'Key assumptions'!G82)^0.75</f>
        <v>0</v>
      </c>
      <c r="HW60" s="216">
        <f t="shared" si="9"/>
        <v>5.681818181818182E-3</v>
      </c>
      <c r="HX60" s="216">
        <f t="shared" si="10"/>
        <v>0</v>
      </c>
      <c r="HY60" s="216">
        <f t="shared" si="11"/>
        <v>0</v>
      </c>
      <c r="HZ60" s="216">
        <f t="shared" si="12"/>
        <v>0</v>
      </c>
      <c r="IA60" s="216">
        <f t="shared" si="13"/>
        <v>0</v>
      </c>
      <c r="IB60" s="216">
        <f t="shared" si="14"/>
        <v>0</v>
      </c>
      <c r="IC60" s="216">
        <f t="shared" si="15"/>
        <v>0</v>
      </c>
      <c r="ID60" s="216">
        <f t="shared" si="16"/>
        <v>5.681818181818182E-3</v>
      </c>
      <c r="IF60" s="216">
        <f t="shared" si="17"/>
        <v>0</v>
      </c>
    </row>
    <row r="61" spans="2:240" x14ac:dyDescent="0.2">
      <c r="B61" s="141" t="str">
        <v>Land and Environment</v>
      </c>
      <c r="C61" s="141" t="str">
        <v>Property and Environment - Senior (Enviro Approval)</v>
      </c>
      <c r="D61" s="141" t="str">
        <v>Internal Labour</v>
      </c>
      <c r="E61" s="141" t="str">
        <v>$ Nominal</v>
      </c>
      <c r="F61" s="141" t="str">
        <v>Existing</v>
      </c>
      <c r="G61" s="141" t="str">
        <v>Normal time</v>
      </c>
      <c r="H61" s="142">
        <v>297.43</v>
      </c>
      <c r="I61" s="126">
        <v>222912.28800000012</v>
      </c>
      <c r="J61" s="143">
        <v>0</v>
      </c>
      <c r="K61" s="144">
        <v>0</v>
      </c>
      <c r="L61" s="144">
        <v>0</v>
      </c>
      <c r="M61" s="144">
        <v>0</v>
      </c>
      <c r="N61" s="144">
        <v>0</v>
      </c>
      <c r="O61" s="144">
        <v>0</v>
      </c>
      <c r="P61" s="144">
        <v>0.10236842105263154</v>
      </c>
      <c r="Q61" s="144">
        <v>0.90857142857142892</v>
      </c>
      <c r="R61" s="144">
        <v>0.73471428571428599</v>
      </c>
      <c r="S61" s="144">
        <v>0.80500000000000027</v>
      </c>
      <c r="T61" s="144">
        <v>1.0165714285714289</v>
      </c>
      <c r="U61" s="144">
        <v>0.77085714285714313</v>
      </c>
      <c r="V61" s="144">
        <v>0.93466666666666709</v>
      </c>
      <c r="W61" s="144">
        <v>0.35352380952380957</v>
      </c>
      <c r="X61" s="144">
        <v>0.4</v>
      </c>
      <c r="Y61" s="144">
        <v>0.5</v>
      </c>
      <c r="Z61" s="144">
        <v>0.26666666666666666</v>
      </c>
      <c r="AA61" s="144">
        <v>0.18421052631578946</v>
      </c>
      <c r="AB61" s="144">
        <v>0.18421052631578946</v>
      </c>
      <c r="AC61" s="144">
        <v>0.2</v>
      </c>
      <c r="AD61" s="144">
        <v>0.2</v>
      </c>
      <c r="AE61" s="144">
        <v>0</v>
      </c>
      <c r="AF61" s="144">
        <v>0</v>
      </c>
      <c r="AG61" s="144">
        <v>0</v>
      </c>
      <c r="AH61" s="144">
        <v>0</v>
      </c>
      <c r="AI61" s="144">
        <v>0</v>
      </c>
      <c r="AJ61" s="144">
        <v>0</v>
      </c>
      <c r="AK61" s="144">
        <v>0</v>
      </c>
      <c r="AL61" s="144">
        <v>0</v>
      </c>
      <c r="AM61" s="144">
        <v>0</v>
      </c>
      <c r="AN61" s="144">
        <v>0</v>
      </c>
      <c r="AO61" s="144">
        <v>0</v>
      </c>
      <c r="AP61" s="144">
        <v>0</v>
      </c>
      <c r="AQ61" s="144">
        <v>0</v>
      </c>
      <c r="AR61" s="144">
        <v>0</v>
      </c>
      <c r="AS61" s="144">
        <v>0</v>
      </c>
      <c r="AT61" s="144">
        <v>0</v>
      </c>
      <c r="AU61" s="144">
        <v>0</v>
      </c>
      <c r="AV61" s="144">
        <v>0</v>
      </c>
      <c r="AW61" s="144">
        <v>0</v>
      </c>
      <c r="AX61" s="144">
        <v>0</v>
      </c>
      <c r="AY61" s="144">
        <v>0</v>
      </c>
      <c r="AZ61" s="144">
        <v>0</v>
      </c>
      <c r="BA61" s="144">
        <v>0</v>
      </c>
      <c r="BB61" s="144">
        <v>0</v>
      </c>
      <c r="BC61" s="144">
        <v>0</v>
      </c>
      <c r="BD61" s="144">
        <v>0</v>
      </c>
      <c r="BE61" s="144">
        <v>0</v>
      </c>
      <c r="BF61" s="144">
        <v>0</v>
      </c>
      <c r="BG61" s="144">
        <v>0</v>
      </c>
      <c r="BH61" s="144">
        <v>0</v>
      </c>
      <c r="BI61" s="144">
        <v>0</v>
      </c>
      <c r="BJ61" s="144">
        <v>0</v>
      </c>
      <c r="BK61" s="144">
        <v>0</v>
      </c>
      <c r="BL61" s="144">
        <v>0</v>
      </c>
      <c r="BM61" s="144">
        <v>0</v>
      </c>
      <c r="BN61" s="144">
        <v>0</v>
      </c>
      <c r="BO61" s="144">
        <v>0</v>
      </c>
      <c r="BP61" s="144">
        <v>0</v>
      </c>
      <c r="BQ61" s="144">
        <v>0</v>
      </c>
      <c r="BR61" s="144">
        <v>0</v>
      </c>
      <c r="BS61" s="144">
        <v>0</v>
      </c>
      <c r="BT61" s="144">
        <v>0</v>
      </c>
      <c r="BU61" s="144">
        <v>0</v>
      </c>
      <c r="BV61" s="144">
        <v>0</v>
      </c>
      <c r="BW61" s="144">
        <v>0</v>
      </c>
      <c r="BX61" s="144">
        <v>0</v>
      </c>
      <c r="BY61" s="144">
        <v>0</v>
      </c>
      <c r="BZ61" s="144">
        <v>0</v>
      </c>
      <c r="CA61" s="144">
        <v>0</v>
      </c>
      <c r="CB61" s="144">
        <v>0</v>
      </c>
      <c r="CC61" s="144">
        <v>0</v>
      </c>
      <c r="CD61" s="144">
        <v>0</v>
      </c>
      <c r="CE61" s="144">
        <v>0</v>
      </c>
      <c r="CF61" s="144">
        <v>0</v>
      </c>
      <c r="CG61" s="144">
        <v>0</v>
      </c>
      <c r="CH61" s="144">
        <v>0</v>
      </c>
      <c r="CI61" s="144">
        <v>0</v>
      </c>
      <c r="CJ61" s="144">
        <v>0</v>
      </c>
      <c r="CK61" s="144">
        <v>0</v>
      </c>
      <c r="CL61" s="144">
        <v>0</v>
      </c>
      <c r="CM61" s="144">
        <v>0</v>
      </c>
      <c r="CN61" s="144">
        <v>0</v>
      </c>
      <c r="CO61" s="144">
        <v>0</v>
      </c>
      <c r="CP61" s="144">
        <v>0</v>
      </c>
      <c r="CQ61" s="143">
        <v>0</v>
      </c>
      <c r="CR61" s="145">
        <v>0</v>
      </c>
      <c r="CS61" s="145">
        <v>0</v>
      </c>
      <c r="CT61" s="145">
        <v>0</v>
      </c>
      <c r="CU61" s="145">
        <v>0</v>
      </c>
      <c r="CV61" s="145">
        <v>0</v>
      </c>
      <c r="CW61" s="145">
        <v>2984.5119999999997</v>
      </c>
      <c r="CX61" s="145">
        <v>24891.796000000009</v>
      </c>
      <c r="CY61" s="145">
        <v>16346.120000000003</v>
      </c>
      <c r="CZ61" s="145">
        <v>25883.960000000021</v>
      </c>
      <c r="DA61" s="145">
        <v>27881.729999999978</v>
      </c>
      <c r="DB61" s="145">
        <v>21142.470000000016</v>
      </c>
      <c r="DC61" s="145">
        <v>19226.480000000018</v>
      </c>
      <c r="DD61" s="145">
        <v>7272.1400000000067</v>
      </c>
      <c r="DE61" s="145">
        <v>16167.199999999999</v>
      </c>
      <c r="DF61" s="145">
        <v>20209</v>
      </c>
      <c r="DG61" s="145">
        <v>8083.5999999999995</v>
      </c>
      <c r="DH61" s="145">
        <v>8083.5999999999995</v>
      </c>
      <c r="DI61" s="145">
        <v>8083.5999999999995</v>
      </c>
      <c r="DJ61" s="145">
        <v>8328.0400000000009</v>
      </c>
      <c r="DK61" s="145">
        <v>8328.0400000000009</v>
      </c>
      <c r="DL61" s="145">
        <v>0</v>
      </c>
      <c r="DM61" s="145">
        <v>0</v>
      </c>
      <c r="DN61" s="145">
        <v>0</v>
      </c>
      <c r="DO61" s="145">
        <v>0</v>
      </c>
      <c r="DP61" s="145">
        <v>0</v>
      </c>
      <c r="DQ61" s="145">
        <v>0</v>
      </c>
      <c r="DR61" s="145">
        <v>0</v>
      </c>
      <c r="DS61" s="145">
        <v>0</v>
      </c>
      <c r="DT61" s="145">
        <v>0</v>
      </c>
      <c r="DU61" s="145">
        <v>0</v>
      </c>
      <c r="DV61" s="145">
        <v>0</v>
      </c>
      <c r="DW61" s="145">
        <v>0</v>
      </c>
      <c r="DX61" s="145">
        <v>0</v>
      </c>
      <c r="DY61" s="145">
        <v>0</v>
      </c>
      <c r="DZ61" s="145">
        <v>0</v>
      </c>
      <c r="EA61" s="145">
        <v>0</v>
      </c>
      <c r="EB61" s="145">
        <v>0</v>
      </c>
      <c r="EC61" s="145">
        <v>0</v>
      </c>
      <c r="ED61" s="145">
        <v>0</v>
      </c>
      <c r="EE61" s="145">
        <v>0</v>
      </c>
      <c r="EF61" s="145">
        <v>0</v>
      </c>
      <c r="EG61" s="145">
        <v>0</v>
      </c>
      <c r="EH61" s="145">
        <v>0</v>
      </c>
      <c r="EI61" s="145">
        <v>0</v>
      </c>
      <c r="EJ61" s="145">
        <v>0</v>
      </c>
      <c r="EK61" s="145">
        <v>0</v>
      </c>
      <c r="EL61" s="145">
        <v>0</v>
      </c>
      <c r="EM61" s="145">
        <v>0</v>
      </c>
      <c r="EN61" s="145">
        <v>0</v>
      </c>
      <c r="EO61" s="145">
        <v>0</v>
      </c>
      <c r="EP61" s="145">
        <v>0</v>
      </c>
      <c r="EQ61" s="145">
        <v>0</v>
      </c>
      <c r="ER61" s="145">
        <v>0</v>
      </c>
      <c r="ES61" s="145">
        <v>0</v>
      </c>
      <c r="ET61" s="145">
        <v>0</v>
      </c>
      <c r="EU61" s="145">
        <v>0</v>
      </c>
      <c r="EV61" s="145">
        <v>0</v>
      </c>
      <c r="EW61" s="145">
        <v>0</v>
      </c>
      <c r="EX61" s="145">
        <v>0</v>
      </c>
      <c r="EY61" s="145">
        <v>0</v>
      </c>
      <c r="EZ61" s="145">
        <v>0</v>
      </c>
      <c r="FA61" s="145">
        <v>0</v>
      </c>
      <c r="FB61" s="145">
        <v>0</v>
      </c>
      <c r="FC61" s="145">
        <v>0</v>
      </c>
      <c r="FD61" s="145">
        <v>0</v>
      </c>
      <c r="FE61" s="145">
        <v>0</v>
      </c>
      <c r="FF61" s="145">
        <v>0</v>
      </c>
      <c r="FG61" s="145">
        <v>0</v>
      </c>
      <c r="FH61" s="145">
        <v>0</v>
      </c>
      <c r="FI61" s="145">
        <v>0</v>
      </c>
      <c r="FJ61" s="145">
        <v>0</v>
      </c>
      <c r="FK61" s="145">
        <v>0</v>
      </c>
      <c r="FL61" s="145">
        <v>0</v>
      </c>
      <c r="FM61" s="145">
        <v>0</v>
      </c>
      <c r="FN61" s="145">
        <v>0</v>
      </c>
      <c r="FO61" s="145">
        <v>0</v>
      </c>
      <c r="FP61" s="145">
        <v>0</v>
      </c>
      <c r="FQ61" s="145">
        <v>0</v>
      </c>
      <c r="FR61" s="145">
        <v>0</v>
      </c>
      <c r="FS61" s="145">
        <v>0</v>
      </c>
      <c r="FT61" s="145">
        <v>0</v>
      </c>
      <c r="FU61" s="145">
        <v>0</v>
      </c>
      <c r="FV61" s="145">
        <v>0</v>
      </c>
      <c r="FW61" s="145">
        <v>0</v>
      </c>
      <c r="FX61" s="143"/>
      <c r="FY61" s="146" t="str">
        <f>_xlfn.XLOOKUP($E61,'Key assumptions'!$B$112:$B$120,'Key assumptions'!$C$112:$C$120,0)</f>
        <v>Nominal</v>
      </c>
      <c r="FZ61" s="146" cm="1">
        <f t="array" ref="FZ61">IF($FY61=0,0,_xlfn.IFS($FY61='Key assumptions'!$C$120,_xlfn.XLOOKUP(LEFT(FZ$7,6),Inflation_Year,Inflation_NominaltoReal),TRUE,_xlfn.XLOOKUP($FY61,Inflation_Year,NominaltoReal)))</f>
        <v>1.0197075870962191</v>
      </c>
      <c r="GA61" s="146" cm="1">
        <f t="array" ref="GA61">IF($FY61=0,0,_xlfn.IFS($FY61='Key assumptions'!$C$120,_xlfn.XLOOKUP(LEFT(GA$7,6),Inflation_Year,Inflation_NominaltoReal),TRUE,_xlfn.XLOOKUP($FY61,Inflation_Year,NominaltoReal)))</f>
        <v>0.98700804022984445</v>
      </c>
      <c r="GB61" s="146" cm="1">
        <f t="array" ref="GB61">IF($FY61=0,0,_xlfn.IFS($FY61='Key assumptions'!$C$120,_xlfn.XLOOKUP(LEFT(GB$7,6),Inflation_Year,Inflation_NominaltoReal),TRUE,_xlfn.XLOOKUP($FY61,Inflation_Year,NominaltoReal)))</f>
        <v>0.96152830081941731</v>
      </c>
      <c r="GC61" s="146" cm="1">
        <f t="array" ref="GC61">IF($FY61=0,0,_xlfn.IFS($FY61='Key assumptions'!$C$120,_xlfn.XLOOKUP(LEFT(GC$7,6),Inflation_Year,Inflation_NominaltoReal),TRUE,_xlfn.XLOOKUP($FY61,Inflation_Year,NominaltoReal)))</f>
        <v>0.93670632415656829</v>
      </c>
      <c r="GD61" s="146" cm="1">
        <f t="array" ref="GD61">IF($FY61=0,0,_xlfn.IFS($FY61='Key assumptions'!$C$120,_xlfn.XLOOKUP(LEFT(GD$7,6),Inflation_Year,Inflation_NominaltoReal),TRUE,_xlfn.XLOOKUP($FY61,Inflation_Year,NominaltoReal)))</f>
        <v>0.91252513001143176</v>
      </c>
      <c r="GE61" s="146" cm="1">
        <f t="array" ref="GE61">IF($FY61=0,0,_xlfn.IFS($FY61='Key assumptions'!$C$120,_xlfn.XLOOKUP(LEFT(GE$7,6),Inflation_Year,Inflation_NominaltoReal),TRUE,_xlfn.XLOOKUP($FY61,Inflation_Year,NominaltoReal)))</f>
        <v>0.88896817650095872</v>
      </c>
      <c r="GF61" s="146" cm="1">
        <f t="array" ref="GF61">IF($FY61=0,0,_xlfn.IFS($FY61='Key assumptions'!$C$120,_xlfn.XLOOKUP(LEFT(GF$7,6),Inflation_Year,Inflation_NominaltoReal),TRUE,_xlfn.XLOOKUP($FY61,Inflation_Year,NominaltoReal)))</f>
        <v>0.86601934877293718</v>
      </c>
      <c r="GG61" s="143"/>
      <c r="GH61" s="145" cm="1">
        <f t="array" ref="GH61">SUMPRODUCT(--($CR$7:$FW$7&gt;=GH$5),--($CR$7:$FW$7&lt;=GH$6),$CR61:$FW61)*FZ61</f>
        <v>78806.14303016405</v>
      </c>
      <c r="GI61" s="145" cm="1">
        <f t="array" ref="GI61">SUMPRODUCT(--($CR$7:$FW$7&gt;=GI$5),--($CR$7:$FW$7&lt;=GI$6),$CR61:$FW61)*GA61</f>
        <v>0</v>
      </c>
      <c r="GJ61" s="145" cm="1">
        <f t="array" ref="GJ61">SUMPRODUCT(--($CR$7:$FW$7&gt;=GJ$5),--($CR$7:$FW$7&lt;=GJ$6),$CR61:$FW61)*GB61</f>
        <v>0</v>
      </c>
      <c r="GK61" s="145" cm="1">
        <f t="array" ref="GK61">SUMPRODUCT(--($CR$7:$FW$7&gt;=GK$5),--($CR$7:$FW$7&lt;=GK$6),$CR61:$FW61)*GC61</f>
        <v>0</v>
      </c>
      <c r="GL61" s="145" cm="1">
        <f t="array" ref="GL61">SUMPRODUCT(--($CR$7:$FW$7&gt;=GL$5),--($CR$7:$FW$7&lt;=GL$6),$CR61:$FW61)*GD61</f>
        <v>0</v>
      </c>
      <c r="GM61" s="145" cm="1">
        <f t="array" ref="GM61">SUMPRODUCT(--($CR$7:$FW$7&gt;=GM$5),--($CR$7:$FW$7&lt;=GM$6),$CR61:$FW61)*GE61</f>
        <v>0</v>
      </c>
      <c r="GN61" s="145" cm="1">
        <f t="array" ref="GN61">SUMPRODUCT(--($CR$7:$FW$7&gt;=GN$5),--($CR$7:$FW$7&lt;=GN$6),$CR61:$FW61)*GF61</f>
        <v>0</v>
      </c>
      <c r="GO61" s="145">
        <f t="shared" si="18"/>
        <v>78806.14303016405</v>
      </c>
      <c r="GP61" s="87"/>
      <c r="GQ61" s="89"/>
      <c r="GR61" s="145" cm="1">
        <f t="array" ref="GR61">SUMPRODUCT(--($CR$7:$FW$7&gt;=GR$5),--($CR$7:$FW$7&lt;=GR$6),$CR61:$FW61)</f>
        <v>60626.999999999993</v>
      </c>
      <c r="GS61" s="89"/>
      <c r="GT61" s="214" cm="1">
        <f t="array" ref="GT61">--AND(MIN(IF($K61:$CP61&lt;&gt;0,$K$7:$CP$7))&gt;=GT$5,MIN(IF($K61:$CP61&lt;&gt;0,$K$7:$CP$7))&lt;=GT$6)</f>
        <v>0</v>
      </c>
      <c r="GU61" s="214" cm="1">
        <f t="array" ref="GU61">--AND(MIN(IF($K61:$CP61&lt;&gt;0,$K$7:$CP$7))&gt;=GU$5,MIN(IF($K61:$CP61&lt;&gt;0,$K$7:$CP$7))&lt;=GU$6)</f>
        <v>0</v>
      </c>
      <c r="GV61" s="214" cm="1">
        <f t="array" ref="GV61">--AND(MIN(IF($K61:$CP61&lt;&gt;0,$K$7:$CP$7))&gt;=GV$5,MIN(IF($K61:$CP61&lt;&gt;0,$K$7:$CP$7))&lt;=GV$6)</f>
        <v>0</v>
      </c>
      <c r="GW61" s="214" cm="1">
        <f t="array" ref="GW61">--AND(MIN(IF($K61:$CP61&lt;&gt;0,$K$7:$CP$7))&gt;=GW$5,MIN(IF($K61:$CP61&lt;&gt;0,$K$7:$CP$7))&lt;=GW$6)</f>
        <v>0</v>
      </c>
      <c r="GX61" s="214" cm="1">
        <f t="array" ref="GX61">--AND(MIN(IF($K61:$CP61&lt;&gt;0,$K$7:$CP$7))&gt;=GX$5,MIN(IF($K61:$CP61&lt;&gt;0,$K$7:$CP$7))&lt;=GX$6)</f>
        <v>0</v>
      </c>
      <c r="GY61" s="214" cm="1">
        <f t="array" ref="GY61">--AND(MIN(IF($K61:$CP61&lt;&gt;0,$K$7:$CP$7))&gt;=GY$5,MIN(IF($K61:$CP61&lt;&gt;0,$K$7:$CP$7))&lt;=GY$6)</f>
        <v>0</v>
      </c>
      <c r="GZ61" s="214" cm="1">
        <f t="array" ref="GZ61">--AND(MIN(IF($K61:$CP61&lt;&gt;0,$K$7:$CP$7))&gt;=GZ$5,MIN(IF($K61:$CP61&lt;&gt;0,$K$7:$CP$7))&lt;=GZ$6)</f>
        <v>0</v>
      </c>
      <c r="HA61" s="214">
        <f t="shared" si="0"/>
        <v>0</v>
      </c>
      <c r="HC61" s="214" cm="1">
        <f t="array" ref="HC61">--AND(MIN(IF($K61:$CP61&lt;&gt;0,$K$7:$CP$7))&gt;=HC$5,MIN(IF($K61:$CP61&lt;&gt;0,$K$7:$CP$7))&lt;=HC$6)</f>
        <v>0</v>
      </c>
      <c r="HE61" s="147" t="str">
        <f t="shared" si="19"/>
        <v>No</v>
      </c>
      <c r="HF61" s="147" t="str">
        <f t="shared" si="20"/>
        <v>No</v>
      </c>
      <c r="HG61" s="147">
        <f>IF($HF61="Yes",0,$H61*avg_hrs*12*'Key assumptions'!$D$87)</f>
        <v>531884.85149613256</v>
      </c>
      <c r="HH61" s="147">
        <f>IF(HE61="Yes",'Key assumptions'!$D$84*HG61,0)</f>
        <v>0</v>
      </c>
      <c r="HI61" s="144">
        <f>IFERROR(AVERAGEIFS($K61:$CP61,$K$7:$CP$7,"&gt;="&amp;'Key assumptions'!$D$24,$K$7:$CP$7,"&lt;="&amp;'Key assumptions'!$D$25),0)</f>
        <v>4.3979266347687396E-2</v>
      </c>
      <c r="HJ61" s="148">
        <f t="shared" si="22"/>
        <v>0</v>
      </c>
      <c r="HK61" s="148">
        <f t="shared" si="1"/>
        <v>0</v>
      </c>
      <c r="HL61" s="148">
        <f t="shared" si="2"/>
        <v>0</v>
      </c>
      <c r="HM61" s="148">
        <f t="shared" si="3"/>
        <v>0</v>
      </c>
      <c r="HN61" s="148">
        <f t="shared" si="4"/>
        <v>0</v>
      </c>
      <c r="HO61" s="148">
        <f t="shared" si="5"/>
        <v>0</v>
      </c>
      <c r="HP61" s="148">
        <f t="shared" si="6"/>
        <v>0</v>
      </c>
      <c r="HQ61" s="148">
        <f t="shared" si="7"/>
        <v>0</v>
      </c>
      <c r="HR61" s="147">
        <f t="shared" si="8"/>
        <v>0</v>
      </c>
      <c r="HS61" s="90"/>
      <c r="HU61" s="147">
        <f>$HJ61*HC61/(1+'Key assumptions'!G83)^0.75</f>
        <v>0</v>
      </c>
      <c r="HW61" s="216">
        <f t="shared" si="9"/>
        <v>0</v>
      </c>
      <c r="HX61" s="216">
        <f t="shared" si="10"/>
        <v>0</v>
      </c>
      <c r="HY61" s="216">
        <f t="shared" si="11"/>
        <v>0</v>
      </c>
      <c r="HZ61" s="216">
        <f t="shared" si="12"/>
        <v>0</v>
      </c>
      <c r="IA61" s="216">
        <f t="shared" si="13"/>
        <v>0</v>
      </c>
      <c r="IB61" s="216">
        <f t="shared" si="14"/>
        <v>0</v>
      </c>
      <c r="IC61" s="216">
        <f t="shared" si="15"/>
        <v>0</v>
      </c>
      <c r="ID61" s="216">
        <f t="shared" si="16"/>
        <v>0</v>
      </c>
      <c r="IF61" s="216">
        <f t="shared" si="17"/>
        <v>0</v>
      </c>
    </row>
    <row r="62" spans="2:240" x14ac:dyDescent="0.2">
      <c r="B62" s="141" t="str">
        <v>Land and Environment</v>
      </c>
      <c r="C62" s="141" t="str">
        <v>Environment Officer (Safety and Environmental Delivery)</v>
      </c>
      <c r="D62" s="141" t="str">
        <v>Internal Labour</v>
      </c>
      <c r="E62" s="141" t="str">
        <v>$ Nominal</v>
      </c>
      <c r="F62" s="141" t="str">
        <v>Existing</v>
      </c>
      <c r="G62" s="141" t="str">
        <v>Normal time</v>
      </c>
      <c r="H62" s="142">
        <v>210.04</v>
      </c>
      <c r="I62" s="126">
        <v>95739.677999999985</v>
      </c>
      <c r="J62" s="143">
        <v>0</v>
      </c>
      <c r="K62" s="144">
        <v>0</v>
      </c>
      <c r="L62" s="144">
        <v>0</v>
      </c>
      <c r="M62" s="144">
        <v>0</v>
      </c>
      <c r="N62" s="144">
        <v>0</v>
      </c>
      <c r="O62" s="144">
        <v>0</v>
      </c>
      <c r="P62" s="144">
        <v>5.6315789473684215E-2</v>
      </c>
      <c r="Q62" s="144">
        <v>0.2095714285714286</v>
      </c>
      <c r="R62" s="144">
        <v>0.20600000000000002</v>
      </c>
      <c r="S62" s="144">
        <v>0.2742857142857143</v>
      </c>
      <c r="T62" s="144">
        <v>0.19171428571428584</v>
      </c>
      <c r="U62" s="144">
        <v>3.4142857142857141E-2</v>
      </c>
      <c r="V62" s="144">
        <v>3.3333333333333333E-2</v>
      </c>
      <c r="W62" s="144">
        <v>0.11485714285714284</v>
      </c>
      <c r="X62" s="144">
        <v>0.25</v>
      </c>
      <c r="Y62" s="144">
        <v>0.25</v>
      </c>
      <c r="Z62" s="144">
        <v>0.33333333333333331</v>
      </c>
      <c r="AA62" s="144">
        <v>0.23026315789473684</v>
      </c>
      <c r="AB62" s="144">
        <v>0.23026315789473684</v>
      </c>
      <c r="AC62" s="144">
        <v>0.25</v>
      </c>
      <c r="AD62" s="144">
        <v>0.25</v>
      </c>
      <c r="AE62" s="144">
        <v>0</v>
      </c>
      <c r="AF62" s="144">
        <v>0</v>
      </c>
      <c r="AG62" s="144">
        <v>0</v>
      </c>
      <c r="AH62" s="144">
        <v>0</v>
      </c>
      <c r="AI62" s="144">
        <v>0</v>
      </c>
      <c r="AJ62" s="144">
        <v>0</v>
      </c>
      <c r="AK62" s="144">
        <v>0</v>
      </c>
      <c r="AL62" s="144">
        <v>0</v>
      </c>
      <c r="AM62" s="144">
        <v>0</v>
      </c>
      <c r="AN62" s="144">
        <v>0</v>
      </c>
      <c r="AO62" s="144">
        <v>0</v>
      </c>
      <c r="AP62" s="144">
        <v>0</v>
      </c>
      <c r="AQ62" s="144">
        <v>0</v>
      </c>
      <c r="AR62" s="144">
        <v>0</v>
      </c>
      <c r="AS62" s="144">
        <v>0</v>
      </c>
      <c r="AT62" s="144">
        <v>0</v>
      </c>
      <c r="AU62" s="144">
        <v>0</v>
      </c>
      <c r="AV62" s="144">
        <v>0</v>
      </c>
      <c r="AW62" s="144">
        <v>0</v>
      </c>
      <c r="AX62" s="144">
        <v>0</v>
      </c>
      <c r="AY62" s="144">
        <v>0</v>
      </c>
      <c r="AZ62" s="144">
        <v>0</v>
      </c>
      <c r="BA62" s="144">
        <v>0</v>
      </c>
      <c r="BB62" s="144">
        <v>0</v>
      </c>
      <c r="BC62" s="144">
        <v>0</v>
      </c>
      <c r="BD62" s="144">
        <v>0</v>
      </c>
      <c r="BE62" s="144">
        <v>0</v>
      </c>
      <c r="BF62" s="144">
        <v>0</v>
      </c>
      <c r="BG62" s="144">
        <v>0</v>
      </c>
      <c r="BH62" s="144">
        <v>0</v>
      </c>
      <c r="BI62" s="144">
        <v>0</v>
      </c>
      <c r="BJ62" s="144">
        <v>0</v>
      </c>
      <c r="BK62" s="144">
        <v>0</v>
      </c>
      <c r="BL62" s="144">
        <v>0</v>
      </c>
      <c r="BM62" s="144">
        <v>0</v>
      </c>
      <c r="BN62" s="144">
        <v>0</v>
      </c>
      <c r="BO62" s="144">
        <v>0</v>
      </c>
      <c r="BP62" s="144">
        <v>0</v>
      </c>
      <c r="BQ62" s="144">
        <v>0</v>
      </c>
      <c r="BR62" s="144">
        <v>0</v>
      </c>
      <c r="BS62" s="144">
        <v>0</v>
      </c>
      <c r="BT62" s="144">
        <v>0</v>
      </c>
      <c r="BU62" s="144">
        <v>0</v>
      </c>
      <c r="BV62" s="144">
        <v>0</v>
      </c>
      <c r="BW62" s="144">
        <v>0</v>
      </c>
      <c r="BX62" s="144">
        <v>0</v>
      </c>
      <c r="BY62" s="144">
        <v>0</v>
      </c>
      <c r="BZ62" s="144">
        <v>0</v>
      </c>
      <c r="CA62" s="144">
        <v>0</v>
      </c>
      <c r="CB62" s="144">
        <v>0</v>
      </c>
      <c r="CC62" s="144">
        <v>0</v>
      </c>
      <c r="CD62" s="144">
        <v>0</v>
      </c>
      <c r="CE62" s="144">
        <v>0</v>
      </c>
      <c r="CF62" s="144">
        <v>0</v>
      </c>
      <c r="CG62" s="144">
        <v>0</v>
      </c>
      <c r="CH62" s="144">
        <v>0</v>
      </c>
      <c r="CI62" s="144">
        <v>0</v>
      </c>
      <c r="CJ62" s="144">
        <v>0</v>
      </c>
      <c r="CK62" s="144">
        <v>0</v>
      </c>
      <c r="CL62" s="144">
        <v>0</v>
      </c>
      <c r="CM62" s="144">
        <v>0</v>
      </c>
      <c r="CN62" s="144">
        <v>0</v>
      </c>
      <c r="CO62" s="144">
        <v>0</v>
      </c>
      <c r="CP62" s="144">
        <v>0</v>
      </c>
      <c r="CQ62" s="143">
        <v>0</v>
      </c>
      <c r="CR62" s="145">
        <v>0</v>
      </c>
      <c r="CS62" s="145">
        <v>0</v>
      </c>
      <c r="CT62" s="145">
        <v>0</v>
      </c>
      <c r="CU62" s="145">
        <v>0</v>
      </c>
      <c r="CV62" s="145">
        <v>0</v>
      </c>
      <c r="CW62" s="145">
        <v>2321.7480000000005</v>
      </c>
      <c r="CX62" s="145">
        <v>8082.4999999999991</v>
      </c>
      <c r="CY62" s="145">
        <v>8395.11</v>
      </c>
      <c r="CZ62" s="145">
        <v>10535.890000000001</v>
      </c>
      <c r="DA62" s="145">
        <v>9077.6300000000028</v>
      </c>
      <c r="DB62" s="145">
        <v>1956.9000000000005</v>
      </c>
      <c r="DC62" s="145">
        <v>1183.73</v>
      </c>
      <c r="DD62" s="145">
        <v>3061.67</v>
      </c>
      <c r="DE62" s="145">
        <v>7016.1</v>
      </c>
      <c r="DF62" s="145">
        <v>7351.4</v>
      </c>
      <c r="DG62" s="145">
        <v>7351.4</v>
      </c>
      <c r="DH62" s="145">
        <v>7351.4</v>
      </c>
      <c r="DI62" s="145">
        <v>7351.4</v>
      </c>
      <c r="DJ62" s="145">
        <v>7351.4</v>
      </c>
      <c r="DK62" s="145">
        <v>7351.4</v>
      </c>
      <c r="DL62" s="145">
        <v>0</v>
      </c>
      <c r="DM62" s="145">
        <v>0</v>
      </c>
      <c r="DN62" s="145">
        <v>0</v>
      </c>
      <c r="DO62" s="145">
        <v>0</v>
      </c>
      <c r="DP62" s="145">
        <v>0</v>
      </c>
      <c r="DQ62" s="145">
        <v>0</v>
      </c>
      <c r="DR62" s="145">
        <v>0</v>
      </c>
      <c r="DS62" s="145">
        <v>0</v>
      </c>
      <c r="DT62" s="145">
        <v>0</v>
      </c>
      <c r="DU62" s="145">
        <v>0</v>
      </c>
      <c r="DV62" s="145">
        <v>0</v>
      </c>
      <c r="DW62" s="145">
        <v>0</v>
      </c>
      <c r="DX62" s="145">
        <v>0</v>
      </c>
      <c r="DY62" s="145">
        <v>0</v>
      </c>
      <c r="DZ62" s="145">
        <v>0</v>
      </c>
      <c r="EA62" s="145">
        <v>0</v>
      </c>
      <c r="EB62" s="145">
        <v>0</v>
      </c>
      <c r="EC62" s="145">
        <v>0</v>
      </c>
      <c r="ED62" s="145">
        <v>0</v>
      </c>
      <c r="EE62" s="145">
        <v>0</v>
      </c>
      <c r="EF62" s="145">
        <v>0</v>
      </c>
      <c r="EG62" s="145">
        <v>0</v>
      </c>
      <c r="EH62" s="145">
        <v>0</v>
      </c>
      <c r="EI62" s="145">
        <v>0</v>
      </c>
      <c r="EJ62" s="145">
        <v>0</v>
      </c>
      <c r="EK62" s="145">
        <v>0</v>
      </c>
      <c r="EL62" s="145">
        <v>0</v>
      </c>
      <c r="EM62" s="145">
        <v>0</v>
      </c>
      <c r="EN62" s="145">
        <v>0</v>
      </c>
      <c r="EO62" s="145">
        <v>0</v>
      </c>
      <c r="EP62" s="145">
        <v>0</v>
      </c>
      <c r="EQ62" s="145">
        <v>0</v>
      </c>
      <c r="ER62" s="145">
        <v>0</v>
      </c>
      <c r="ES62" s="145">
        <v>0</v>
      </c>
      <c r="ET62" s="145">
        <v>0</v>
      </c>
      <c r="EU62" s="145">
        <v>0</v>
      </c>
      <c r="EV62" s="145">
        <v>0</v>
      </c>
      <c r="EW62" s="145">
        <v>0</v>
      </c>
      <c r="EX62" s="145">
        <v>0</v>
      </c>
      <c r="EY62" s="145">
        <v>0</v>
      </c>
      <c r="EZ62" s="145">
        <v>0</v>
      </c>
      <c r="FA62" s="145">
        <v>0</v>
      </c>
      <c r="FB62" s="145">
        <v>0</v>
      </c>
      <c r="FC62" s="145">
        <v>0</v>
      </c>
      <c r="FD62" s="145">
        <v>0</v>
      </c>
      <c r="FE62" s="145">
        <v>0</v>
      </c>
      <c r="FF62" s="145">
        <v>0</v>
      </c>
      <c r="FG62" s="145">
        <v>0</v>
      </c>
      <c r="FH62" s="145">
        <v>0</v>
      </c>
      <c r="FI62" s="145">
        <v>0</v>
      </c>
      <c r="FJ62" s="145">
        <v>0</v>
      </c>
      <c r="FK62" s="145">
        <v>0</v>
      </c>
      <c r="FL62" s="145">
        <v>0</v>
      </c>
      <c r="FM62" s="145">
        <v>0</v>
      </c>
      <c r="FN62" s="145">
        <v>0</v>
      </c>
      <c r="FO62" s="145">
        <v>0</v>
      </c>
      <c r="FP62" s="145">
        <v>0</v>
      </c>
      <c r="FQ62" s="145">
        <v>0</v>
      </c>
      <c r="FR62" s="145">
        <v>0</v>
      </c>
      <c r="FS62" s="145">
        <v>0</v>
      </c>
      <c r="FT62" s="145">
        <v>0</v>
      </c>
      <c r="FU62" s="145">
        <v>0</v>
      </c>
      <c r="FV62" s="145">
        <v>0</v>
      </c>
      <c r="FW62" s="145">
        <v>0</v>
      </c>
      <c r="FX62" s="143"/>
      <c r="FY62" s="146" t="str">
        <f>_xlfn.XLOOKUP($E62,'Key assumptions'!$B$112:$B$120,'Key assumptions'!$C$112:$C$120,0)</f>
        <v>Nominal</v>
      </c>
      <c r="FZ62" s="146" cm="1">
        <f t="array" ref="FZ62">IF($FY62=0,0,_xlfn.IFS($FY62='Key assumptions'!$C$120,_xlfn.XLOOKUP(LEFT(FZ$7,6),Inflation_Year,Inflation_NominaltoReal),TRUE,_xlfn.XLOOKUP($FY62,Inflation_Year,NominaltoReal)))</f>
        <v>1.0197075870962191</v>
      </c>
      <c r="GA62" s="146" cm="1">
        <f t="array" ref="GA62">IF($FY62=0,0,_xlfn.IFS($FY62='Key assumptions'!$C$120,_xlfn.XLOOKUP(LEFT(GA$7,6),Inflation_Year,Inflation_NominaltoReal),TRUE,_xlfn.XLOOKUP($FY62,Inflation_Year,NominaltoReal)))</f>
        <v>0.98700804022984445</v>
      </c>
      <c r="GB62" s="146" cm="1">
        <f t="array" ref="GB62">IF($FY62=0,0,_xlfn.IFS($FY62='Key assumptions'!$C$120,_xlfn.XLOOKUP(LEFT(GB$7,6),Inflation_Year,Inflation_NominaltoReal),TRUE,_xlfn.XLOOKUP($FY62,Inflation_Year,NominaltoReal)))</f>
        <v>0.96152830081941731</v>
      </c>
      <c r="GC62" s="146" cm="1">
        <f t="array" ref="GC62">IF($FY62=0,0,_xlfn.IFS($FY62='Key assumptions'!$C$120,_xlfn.XLOOKUP(LEFT(GC$7,6),Inflation_Year,Inflation_NominaltoReal),TRUE,_xlfn.XLOOKUP($FY62,Inflation_Year,NominaltoReal)))</f>
        <v>0.93670632415656829</v>
      </c>
      <c r="GD62" s="146" cm="1">
        <f t="array" ref="GD62">IF($FY62=0,0,_xlfn.IFS($FY62='Key assumptions'!$C$120,_xlfn.XLOOKUP(LEFT(GD$7,6),Inflation_Year,Inflation_NominaltoReal),TRUE,_xlfn.XLOOKUP($FY62,Inflation_Year,NominaltoReal)))</f>
        <v>0.91252513001143176</v>
      </c>
      <c r="GE62" s="146" cm="1">
        <f t="array" ref="GE62">IF($FY62=0,0,_xlfn.IFS($FY62='Key assumptions'!$C$120,_xlfn.XLOOKUP(LEFT(GE$7,6),Inflation_Year,Inflation_NominaltoReal),TRUE,_xlfn.XLOOKUP($FY62,Inflation_Year,NominaltoReal)))</f>
        <v>0.88896817650095872</v>
      </c>
      <c r="GF62" s="146" cm="1">
        <f t="array" ref="GF62">IF($FY62=0,0,_xlfn.IFS($FY62='Key assumptions'!$C$120,_xlfn.XLOOKUP(LEFT(GF$7,6),Inflation_Year,Inflation_NominaltoReal),TRUE,_xlfn.XLOOKUP($FY62,Inflation_Year,NominaltoReal)))</f>
        <v>0.86601934877293718</v>
      </c>
      <c r="GG62" s="143"/>
      <c r="GH62" s="145" cm="1">
        <f t="array" ref="GH62">SUMPRODUCT(--($CR$7:$FW$7&gt;=GH$5),--($CR$7:$FW$7&lt;=GH$6),$CR62:$FW62)*FZ62</f>
        <v>52132.040536500659</v>
      </c>
      <c r="GI62" s="145" cm="1">
        <f t="array" ref="GI62">SUMPRODUCT(--($CR$7:$FW$7&gt;=GI$5),--($CR$7:$FW$7&lt;=GI$6),$CR62:$FW62)*GA62</f>
        <v>0</v>
      </c>
      <c r="GJ62" s="145" cm="1">
        <f t="array" ref="GJ62">SUMPRODUCT(--($CR$7:$FW$7&gt;=GJ$5),--($CR$7:$FW$7&lt;=GJ$6),$CR62:$FW62)*GB62</f>
        <v>0</v>
      </c>
      <c r="GK62" s="145" cm="1">
        <f t="array" ref="GK62">SUMPRODUCT(--($CR$7:$FW$7&gt;=GK$5),--($CR$7:$FW$7&lt;=GK$6),$CR62:$FW62)*GC62</f>
        <v>0</v>
      </c>
      <c r="GL62" s="145" cm="1">
        <f t="array" ref="GL62">SUMPRODUCT(--($CR$7:$FW$7&gt;=GL$5),--($CR$7:$FW$7&lt;=GL$6),$CR62:$FW62)*GD62</f>
        <v>0</v>
      </c>
      <c r="GM62" s="145" cm="1">
        <f t="array" ref="GM62">SUMPRODUCT(--($CR$7:$FW$7&gt;=GM$5),--($CR$7:$FW$7&lt;=GM$6),$CR62:$FW62)*GE62</f>
        <v>0</v>
      </c>
      <c r="GN62" s="145" cm="1">
        <f t="array" ref="GN62">SUMPRODUCT(--($CR$7:$FW$7&gt;=GN$5),--($CR$7:$FW$7&lt;=GN$6),$CR62:$FW62)*GF62</f>
        <v>0</v>
      </c>
      <c r="GO62" s="145">
        <f t="shared" si="18"/>
        <v>52132.040536500659</v>
      </c>
      <c r="GP62" s="87"/>
      <c r="GQ62" s="89"/>
      <c r="GR62" s="145" cm="1">
        <f t="array" ref="GR62">SUMPRODUCT(--($CR$7:$FW$7&gt;=GR$5),--($CR$7:$FW$7&lt;=GR$6),$CR62:$FW62)</f>
        <v>36421.700000000004</v>
      </c>
      <c r="GS62" s="89"/>
      <c r="GT62" s="214" cm="1">
        <f t="array" ref="GT62">--AND(MIN(IF($K62:$CP62&lt;&gt;0,$K$7:$CP$7))&gt;=GT$5,MIN(IF($K62:$CP62&lt;&gt;0,$K$7:$CP$7))&lt;=GT$6)</f>
        <v>0</v>
      </c>
      <c r="GU62" s="214" cm="1">
        <f t="array" ref="GU62">--AND(MIN(IF($K62:$CP62&lt;&gt;0,$K$7:$CP$7))&gt;=GU$5,MIN(IF($K62:$CP62&lt;&gt;0,$K$7:$CP$7))&lt;=GU$6)</f>
        <v>0</v>
      </c>
      <c r="GV62" s="214" cm="1">
        <f t="array" ref="GV62">--AND(MIN(IF($K62:$CP62&lt;&gt;0,$K$7:$CP$7))&gt;=GV$5,MIN(IF($K62:$CP62&lt;&gt;0,$K$7:$CP$7))&lt;=GV$6)</f>
        <v>0</v>
      </c>
      <c r="GW62" s="214" cm="1">
        <f t="array" ref="GW62">--AND(MIN(IF($K62:$CP62&lt;&gt;0,$K$7:$CP$7))&gt;=GW$5,MIN(IF($K62:$CP62&lt;&gt;0,$K$7:$CP$7))&lt;=GW$6)</f>
        <v>0</v>
      </c>
      <c r="GX62" s="214" cm="1">
        <f t="array" ref="GX62">--AND(MIN(IF($K62:$CP62&lt;&gt;0,$K$7:$CP$7))&gt;=GX$5,MIN(IF($K62:$CP62&lt;&gt;0,$K$7:$CP$7))&lt;=GX$6)</f>
        <v>0</v>
      </c>
      <c r="GY62" s="214" cm="1">
        <f t="array" ref="GY62">--AND(MIN(IF($K62:$CP62&lt;&gt;0,$K$7:$CP$7))&gt;=GY$5,MIN(IF($K62:$CP62&lt;&gt;0,$K$7:$CP$7))&lt;=GY$6)</f>
        <v>0</v>
      </c>
      <c r="GZ62" s="214" cm="1">
        <f t="array" ref="GZ62">--AND(MIN(IF($K62:$CP62&lt;&gt;0,$K$7:$CP$7))&gt;=GZ$5,MIN(IF($K62:$CP62&lt;&gt;0,$K$7:$CP$7))&lt;=GZ$6)</f>
        <v>0</v>
      </c>
      <c r="HA62" s="214">
        <f t="shared" si="0"/>
        <v>0</v>
      </c>
      <c r="HC62" s="214" cm="1">
        <f t="array" ref="HC62">--AND(MIN(IF($K62:$CP62&lt;&gt;0,$K$7:$CP$7))&gt;=HC$5,MIN(IF($K62:$CP62&lt;&gt;0,$K$7:$CP$7))&lt;=HC$6)</f>
        <v>0</v>
      </c>
      <c r="HE62" s="147" t="str">
        <f t="shared" si="19"/>
        <v>No</v>
      </c>
      <c r="HF62" s="147" t="str">
        <f t="shared" si="20"/>
        <v>No</v>
      </c>
      <c r="HG62" s="147">
        <f>IF($HF62="Yes",0,$H62*avg_hrs*12*'Key assumptions'!$D$87)</f>
        <v>375608.02275576669</v>
      </c>
      <c r="HH62" s="147">
        <f>IF(HE62="Yes",'Key assumptions'!$D$84*HG62,0)</f>
        <v>0</v>
      </c>
      <c r="HI62" s="144">
        <f>IFERROR(AVERAGEIFS($K62:$CP62,$K$7:$CP$7,"&gt;="&amp;'Key assumptions'!$D$24,$K$7:$CP$7,"&lt;="&amp;'Key assumptions'!$D$25),0)</f>
        <v>4.0769537480063796E-2</v>
      </c>
      <c r="HJ62" s="148">
        <f t="shared" si="22"/>
        <v>0</v>
      </c>
      <c r="HK62" s="148">
        <f t="shared" si="1"/>
        <v>0</v>
      </c>
      <c r="HL62" s="148">
        <f t="shared" si="2"/>
        <v>0</v>
      </c>
      <c r="HM62" s="148">
        <f t="shared" si="3"/>
        <v>0</v>
      </c>
      <c r="HN62" s="148">
        <f t="shared" si="4"/>
        <v>0</v>
      </c>
      <c r="HO62" s="148">
        <f t="shared" si="5"/>
        <v>0</v>
      </c>
      <c r="HP62" s="148">
        <f t="shared" si="6"/>
        <v>0</v>
      </c>
      <c r="HQ62" s="148">
        <f t="shared" si="7"/>
        <v>0</v>
      </c>
      <c r="HR62" s="147">
        <f t="shared" si="8"/>
        <v>0</v>
      </c>
      <c r="HS62" s="89"/>
      <c r="HU62" s="147">
        <f>$HJ62*HC62/(1+'Key assumptions'!G84)^0.75</f>
        <v>0</v>
      </c>
      <c r="HW62" s="216">
        <f t="shared" si="9"/>
        <v>0</v>
      </c>
      <c r="HX62" s="216">
        <f t="shared" si="10"/>
        <v>0</v>
      </c>
      <c r="HY62" s="216">
        <f t="shared" si="11"/>
        <v>0</v>
      </c>
      <c r="HZ62" s="216">
        <f t="shared" si="12"/>
        <v>0</v>
      </c>
      <c r="IA62" s="216">
        <f t="shared" si="13"/>
        <v>0</v>
      </c>
      <c r="IB62" s="216">
        <f t="shared" si="14"/>
        <v>0</v>
      </c>
      <c r="IC62" s="216">
        <f t="shared" si="15"/>
        <v>0</v>
      </c>
      <c r="ID62" s="216">
        <f t="shared" si="16"/>
        <v>0</v>
      </c>
      <c r="IF62" s="216">
        <f t="shared" si="17"/>
        <v>0</v>
      </c>
    </row>
    <row r="63" spans="2:240" x14ac:dyDescent="0.2">
      <c r="B63" s="141" t="str">
        <v>Community and Stakeholder Engagement</v>
      </c>
      <c r="C63" s="141" t="str">
        <v>Corporate &amp; Reg Affairs - Senior (Strategic Engagement Sustain&amp;Adv)</v>
      </c>
      <c r="D63" s="141" t="str">
        <v>Internal Labour</v>
      </c>
      <c r="E63" s="141" t="str">
        <v>$ Nominal</v>
      </c>
      <c r="F63" s="141" t="str">
        <v>Existing</v>
      </c>
      <c r="G63" s="141" t="str">
        <v>Normal time</v>
      </c>
      <c r="H63" s="142">
        <v>275.72000000000003</v>
      </c>
      <c r="I63" s="126">
        <v>186986.19800000009</v>
      </c>
      <c r="J63" s="143">
        <v>0</v>
      </c>
      <c r="K63" s="144">
        <v>0</v>
      </c>
      <c r="L63" s="144">
        <v>0</v>
      </c>
      <c r="M63" s="144">
        <v>0</v>
      </c>
      <c r="N63" s="144">
        <v>0</v>
      </c>
      <c r="O63" s="144">
        <v>1.7529837230923523E-17</v>
      </c>
      <c r="P63" s="144">
        <v>0.40947368421052638</v>
      </c>
      <c r="Q63" s="144">
        <v>5.5571428571428445E-2</v>
      </c>
      <c r="R63" s="144">
        <v>0</v>
      </c>
      <c r="S63" s="144">
        <v>0.22228571428571459</v>
      </c>
      <c r="T63" s="144">
        <v>0.83357142857142885</v>
      </c>
      <c r="U63" s="144">
        <v>0.33342857142857185</v>
      </c>
      <c r="V63" s="144">
        <v>-4.6523631508101799E-17</v>
      </c>
      <c r="W63" s="144">
        <v>0.66685714285714282</v>
      </c>
      <c r="X63" s="144">
        <v>0.25</v>
      </c>
      <c r="Y63" s="144">
        <v>0.25</v>
      </c>
      <c r="Z63" s="144">
        <v>0.33333333333333331</v>
      </c>
      <c r="AA63" s="144">
        <v>0.23026315789473684</v>
      </c>
      <c r="AB63" s="144">
        <v>0.23026315789473684</v>
      </c>
      <c r="AC63" s="144">
        <v>0.25</v>
      </c>
      <c r="AD63" s="144">
        <v>0.25</v>
      </c>
      <c r="AE63" s="144">
        <v>0.25</v>
      </c>
      <c r="AF63" s="144">
        <v>0.25</v>
      </c>
      <c r="AG63" s="144">
        <v>0.25</v>
      </c>
      <c r="AH63" s="144">
        <v>0.33333333333333331</v>
      </c>
      <c r="AI63" s="144">
        <v>0</v>
      </c>
      <c r="AJ63" s="144">
        <v>0</v>
      </c>
      <c r="AK63" s="144">
        <v>0</v>
      </c>
      <c r="AL63" s="144">
        <v>0</v>
      </c>
      <c r="AM63" s="144">
        <v>0</v>
      </c>
      <c r="AN63" s="144">
        <v>0</v>
      </c>
      <c r="AO63" s="144">
        <v>0</v>
      </c>
      <c r="AP63" s="144">
        <v>0</v>
      </c>
      <c r="AQ63" s="144">
        <v>0</v>
      </c>
      <c r="AR63" s="144">
        <v>0</v>
      </c>
      <c r="AS63" s="144">
        <v>0</v>
      </c>
      <c r="AT63" s="144">
        <v>0</v>
      </c>
      <c r="AU63" s="144">
        <v>0</v>
      </c>
      <c r="AV63" s="144">
        <v>0</v>
      </c>
      <c r="AW63" s="144">
        <v>0</v>
      </c>
      <c r="AX63" s="144">
        <v>0</v>
      </c>
      <c r="AY63" s="144">
        <v>0</v>
      </c>
      <c r="AZ63" s="144">
        <v>0</v>
      </c>
      <c r="BA63" s="144">
        <v>0</v>
      </c>
      <c r="BB63" s="144">
        <v>0</v>
      </c>
      <c r="BC63" s="144">
        <v>0</v>
      </c>
      <c r="BD63" s="144">
        <v>0</v>
      </c>
      <c r="BE63" s="144">
        <v>0</v>
      </c>
      <c r="BF63" s="144">
        <v>0</v>
      </c>
      <c r="BG63" s="144">
        <v>0</v>
      </c>
      <c r="BH63" s="144">
        <v>0</v>
      </c>
      <c r="BI63" s="144">
        <v>0</v>
      </c>
      <c r="BJ63" s="144">
        <v>0</v>
      </c>
      <c r="BK63" s="144">
        <v>0</v>
      </c>
      <c r="BL63" s="144">
        <v>0</v>
      </c>
      <c r="BM63" s="144">
        <v>0</v>
      </c>
      <c r="BN63" s="144">
        <v>0</v>
      </c>
      <c r="BO63" s="144">
        <v>0</v>
      </c>
      <c r="BP63" s="144">
        <v>0</v>
      </c>
      <c r="BQ63" s="144">
        <v>0</v>
      </c>
      <c r="BR63" s="144">
        <v>0</v>
      </c>
      <c r="BS63" s="144">
        <v>0</v>
      </c>
      <c r="BT63" s="144">
        <v>0</v>
      </c>
      <c r="BU63" s="144">
        <v>0</v>
      </c>
      <c r="BV63" s="144">
        <v>0</v>
      </c>
      <c r="BW63" s="144">
        <v>0</v>
      </c>
      <c r="BX63" s="144">
        <v>0</v>
      </c>
      <c r="BY63" s="144">
        <v>0</v>
      </c>
      <c r="BZ63" s="144">
        <v>0</v>
      </c>
      <c r="CA63" s="144">
        <v>0</v>
      </c>
      <c r="CB63" s="144">
        <v>0</v>
      </c>
      <c r="CC63" s="144">
        <v>0</v>
      </c>
      <c r="CD63" s="144">
        <v>0</v>
      </c>
      <c r="CE63" s="144">
        <v>0</v>
      </c>
      <c r="CF63" s="144">
        <v>0</v>
      </c>
      <c r="CG63" s="144">
        <v>0</v>
      </c>
      <c r="CH63" s="144">
        <v>0</v>
      </c>
      <c r="CI63" s="144">
        <v>0</v>
      </c>
      <c r="CJ63" s="144">
        <v>0</v>
      </c>
      <c r="CK63" s="144">
        <v>0</v>
      </c>
      <c r="CL63" s="144">
        <v>0</v>
      </c>
      <c r="CM63" s="144">
        <v>0</v>
      </c>
      <c r="CN63" s="144">
        <v>0</v>
      </c>
      <c r="CO63" s="144">
        <v>0</v>
      </c>
      <c r="CP63" s="144">
        <v>0</v>
      </c>
      <c r="CQ63" s="143">
        <v>0</v>
      </c>
      <c r="CR63" s="145">
        <v>0</v>
      </c>
      <c r="CS63" s="145">
        <v>0</v>
      </c>
      <c r="CT63" s="145">
        <v>0</v>
      </c>
      <c r="CU63" s="145">
        <v>0</v>
      </c>
      <c r="CV63" s="145">
        <v>5.6843418860808015E-13</v>
      </c>
      <c r="CW63" s="145">
        <v>12831.279999999999</v>
      </c>
      <c r="CX63" s="145">
        <v>1577.3300000000004</v>
      </c>
      <c r="CY63" s="145">
        <v>0</v>
      </c>
      <c r="CZ63" s="145">
        <v>6309.3199999999906</v>
      </c>
      <c r="DA63" s="145">
        <v>30763.284000000011</v>
      </c>
      <c r="DB63" s="145">
        <v>16567.313999999988</v>
      </c>
      <c r="DC63" s="145">
        <v>1.9468870959826745E-12</v>
      </c>
      <c r="DD63" s="145">
        <v>14195.970000000001</v>
      </c>
      <c r="DE63" s="145">
        <v>9368.1</v>
      </c>
      <c r="DF63" s="145">
        <v>9368.1</v>
      </c>
      <c r="DG63" s="145">
        <v>9368.1</v>
      </c>
      <c r="DH63" s="145">
        <v>9368.1</v>
      </c>
      <c r="DI63" s="145">
        <v>9368.1</v>
      </c>
      <c r="DJ63" s="145">
        <v>9650.2000000000007</v>
      </c>
      <c r="DK63" s="145">
        <v>9650.2000000000007</v>
      </c>
      <c r="DL63" s="145">
        <v>9650.2000000000007</v>
      </c>
      <c r="DM63" s="145">
        <v>9650.2000000000007</v>
      </c>
      <c r="DN63" s="145">
        <v>9650.2000000000007</v>
      </c>
      <c r="DO63" s="145">
        <v>9650.2000000000007</v>
      </c>
      <c r="DP63" s="145">
        <v>0</v>
      </c>
      <c r="DQ63" s="145">
        <v>0</v>
      </c>
      <c r="DR63" s="145">
        <v>0</v>
      </c>
      <c r="DS63" s="145">
        <v>0</v>
      </c>
      <c r="DT63" s="145">
        <v>0</v>
      </c>
      <c r="DU63" s="145">
        <v>0</v>
      </c>
      <c r="DV63" s="145">
        <v>0</v>
      </c>
      <c r="DW63" s="145">
        <v>0</v>
      </c>
      <c r="DX63" s="145">
        <v>0</v>
      </c>
      <c r="DY63" s="145">
        <v>0</v>
      </c>
      <c r="DZ63" s="145">
        <v>0</v>
      </c>
      <c r="EA63" s="145">
        <v>0</v>
      </c>
      <c r="EB63" s="145">
        <v>0</v>
      </c>
      <c r="EC63" s="145">
        <v>0</v>
      </c>
      <c r="ED63" s="145">
        <v>0</v>
      </c>
      <c r="EE63" s="145">
        <v>0</v>
      </c>
      <c r="EF63" s="145">
        <v>0</v>
      </c>
      <c r="EG63" s="145">
        <v>0</v>
      </c>
      <c r="EH63" s="145">
        <v>0</v>
      </c>
      <c r="EI63" s="145">
        <v>0</v>
      </c>
      <c r="EJ63" s="145">
        <v>0</v>
      </c>
      <c r="EK63" s="145">
        <v>0</v>
      </c>
      <c r="EL63" s="145">
        <v>0</v>
      </c>
      <c r="EM63" s="145">
        <v>0</v>
      </c>
      <c r="EN63" s="145">
        <v>0</v>
      </c>
      <c r="EO63" s="145">
        <v>0</v>
      </c>
      <c r="EP63" s="145">
        <v>0</v>
      </c>
      <c r="EQ63" s="145">
        <v>0</v>
      </c>
      <c r="ER63" s="145">
        <v>0</v>
      </c>
      <c r="ES63" s="145">
        <v>0</v>
      </c>
      <c r="ET63" s="145">
        <v>0</v>
      </c>
      <c r="EU63" s="145">
        <v>0</v>
      </c>
      <c r="EV63" s="145">
        <v>0</v>
      </c>
      <c r="EW63" s="145">
        <v>0</v>
      </c>
      <c r="EX63" s="145">
        <v>0</v>
      </c>
      <c r="EY63" s="145">
        <v>0</v>
      </c>
      <c r="EZ63" s="145">
        <v>0</v>
      </c>
      <c r="FA63" s="145">
        <v>0</v>
      </c>
      <c r="FB63" s="145">
        <v>0</v>
      </c>
      <c r="FC63" s="145">
        <v>0</v>
      </c>
      <c r="FD63" s="145">
        <v>0</v>
      </c>
      <c r="FE63" s="145">
        <v>0</v>
      </c>
      <c r="FF63" s="145">
        <v>0</v>
      </c>
      <c r="FG63" s="145">
        <v>0</v>
      </c>
      <c r="FH63" s="145">
        <v>0</v>
      </c>
      <c r="FI63" s="145">
        <v>0</v>
      </c>
      <c r="FJ63" s="145">
        <v>0</v>
      </c>
      <c r="FK63" s="145">
        <v>0</v>
      </c>
      <c r="FL63" s="145">
        <v>0</v>
      </c>
      <c r="FM63" s="145">
        <v>0</v>
      </c>
      <c r="FN63" s="145">
        <v>0</v>
      </c>
      <c r="FO63" s="145">
        <v>0</v>
      </c>
      <c r="FP63" s="145">
        <v>0</v>
      </c>
      <c r="FQ63" s="145">
        <v>0</v>
      </c>
      <c r="FR63" s="145">
        <v>0</v>
      </c>
      <c r="FS63" s="145">
        <v>0</v>
      </c>
      <c r="FT63" s="145">
        <v>0</v>
      </c>
      <c r="FU63" s="145">
        <v>0</v>
      </c>
      <c r="FV63" s="145">
        <v>0</v>
      </c>
      <c r="FW63" s="145">
        <v>0</v>
      </c>
      <c r="FX63" s="143"/>
      <c r="FY63" s="146" t="str">
        <f>_xlfn.XLOOKUP($E63,'Key assumptions'!$B$112:$B$120,'Key assumptions'!$C$112:$C$120,0)</f>
        <v>Nominal</v>
      </c>
      <c r="FZ63" s="146" cm="1">
        <f t="array" ref="FZ63">IF($FY63=0,0,_xlfn.IFS($FY63='Key assumptions'!$C$120,_xlfn.XLOOKUP(LEFT(FZ$7,6),Inflation_Year,Inflation_NominaltoReal),TRUE,_xlfn.XLOOKUP($FY63,Inflation_Year,NominaltoReal)))</f>
        <v>1.0197075870962191</v>
      </c>
      <c r="GA63" s="146" cm="1">
        <f t="array" ref="GA63">IF($FY63=0,0,_xlfn.IFS($FY63='Key assumptions'!$C$120,_xlfn.XLOOKUP(LEFT(GA$7,6),Inflation_Year,Inflation_NominaltoReal),TRUE,_xlfn.XLOOKUP($FY63,Inflation_Year,NominaltoReal)))</f>
        <v>0.98700804022984445</v>
      </c>
      <c r="GB63" s="146" cm="1">
        <f t="array" ref="GB63">IF($FY63=0,0,_xlfn.IFS($FY63='Key assumptions'!$C$120,_xlfn.XLOOKUP(LEFT(GB$7,6),Inflation_Year,Inflation_NominaltoReal),TRUE,_xlfn.XLOOKUP($FY63,Inflation_Year,NominaltoReal)))</f>
        <v>0.96152830081941731</v>
      </c>
      <c r="GC63" s="146" cm="1">
        <f t="array" ref="GC63">IF($FY63=0,0,_xlfn.IFS($FY63='Key assumptions'!$C$120,_xlfn.XLOOKUP(LEFT(GC$7,6),Inflation_Year,Inflation_NominaltoReal),TRUE,_xlfn.XLOOKUP($FY63,Inflation_Year,NominaltoReal)))</f>
        <v>0.93670632415656829</v>
      </c>
      <c r="GD63" s="146" cm="1">
        <f t="array" ref="GD63">IF($FY63=0,0,_xlfn.IFS($FY63='Key assumptions'!$C$120,_xlfn.XLOOKUP(LEFT(GD$7,6),Inflation_Year,Inflation_NominaltoReal),TRUE,_xlfn.XLOOKUP($FY63,Inflation_Year,NominaltoReal)))</f>
        <v>0.91252513001143176</v>
      </c>
      <c r="GE63" s="146" cm="1">
        <f t="array" ref="GE63">IF($FY63=0,0,_xlfn.IFS($FY63='Key assumptions'!$C$120,_xlfn.XLOOKUP(LEFT(GE$7,6),Inflation_Year,Inflation_NominaltoReal),TRUE,_xlfn.XLOOKUP($FY63,Inflation_Year,NominaltoReal)))</f>
        <v>0.88896817650095872</v>
      </c>
      <c r="GF63" s="146" cm="1">
        <f t="array" ref="GF63">IF($FY63=0,0,_xlfn.IFS($FY63='Key assumptions'!$C$120,_xlfn.XLOOKUP(LEFT(GF$7,6),Inflation_Year,Inflation_NominaltoReal),TRUE,_xlfn.XLOOKUP($FY63,Inflation_Year,NominaltoReal)))</f>
        <v>0.86601934877293718</v>
      </c>
      <c r="GG63" s="143"/>
      <c r="GH63" s="145" cm="1">
        <f t="array" ref="GH63">SUMPRODUCT(--($CR$7:$FW$7&gt;=GH$5),--($CR$7:$FW$7&lt;=GH$6),$CR63:$FW63)*FZ63</f>
        <v>77284.759704368247</v>
      </c>
      <c r="GI63" s="145" cm="1">
        <f t="array" ref="GI63">SUMPRODUCT(--($CR$7:$FW$7&gt;=GI$5),--($CR$7:$FW$7&lt;=GI$6),$CR63:$FW63)*GA63</f>
        <v>28574.474969478139</v>
      </c>
      <c r="GJ63" s="145" cm="1">
        <f t="array" ref="GJ63">SUMPRODUCT(--($CR$7:$FW$7&gt;=GJ$5),--($CR$7:$FW$7&lt;=GJ$6),$CR63:$FW63)*GB63</f>
        <v>0</v>
      </c>
      <c r="GK63" s="145" cm="1">
        <f t="array" ref="GK63">SUMPRODUCT(--($CR$7:$FW$7&gt;=GK$5),--($CR$7:$FW$7&lt;=GK$6),$CR63:$FW63)*GC63</f>
        <v>0</v>
      </c>
      <c r="GL63" s="145" cm="1">
        <f t="array" ref="GL63">SUMPRODUCT(--($CR$7:$FW$7&gt;=GL$5),--($CR$7:$FW$7&lt;=GL$6),$CR63:$FW63)*GD63</f>
        <v>0</v>
      </c>
      <c r="GM63" s="145" cm="1">
        <f t="array" ref="GM63">SUMPRODUCT(--($CR$7:$FW$7&gt;=GM$5),--($CR$7:$FW$7&lt;=GM$6),$CR63:$FW63)*GE63</f>
        <v>0</v>
      </c>
      <c r="GN63" s="145" cm="1">
        <f t="array" ref="GN63">SUMPRODUCT(--($CR$7:$FW$7&gt;=GN$5),--($CR$7:$FW$7&lt;=GN$6),$CR63:$FW63)*GF63</f>
        <v>0</v>
      </c>
      <c r="GO63" s="145">
        <f t="shared" si="18"/>
        <v>105859.23467384638</v>
      </c>
      <c r="GP63" s="87"/>
      <c r="GQ63" s="89"/>
      <c r="GR63" s="145" cm="1">
        <f t="array" ref="GR63">SUMPRODUCT(--($CR$7:$FW$7&gt;=GR$5),--($CR$7:$FW$7&lt;=GR$6),$CR63:$FW63)</f>
        <v>46840.5</v>
      </c>
      <c r="GS63" s="89"/>
      <c r="GT63" s="214" cm="1">
        <f t="array" ref="GT63">--AND(MIN(IF($K63:$CP63&lt;&gt;0,$K$7:$CP$7))&gt;=GT$5,MIN(IF($K63:$CP63&lt;&gt;0,$K$7:$CP$7))&lt;=GT$6)</f>
        <v>0</v>
      </c>
      <c r="GU63" s="214" cm="1">
        <f t="array" ref="GU63">--AND(MIN(IF($K63:$CP63&lt;&gt;0,$K$7:$CP$7))&gt;=GU$5,MIN(IF($K63:$CP63&lt;&gt;0,$K$7:$CP$7))&lt;=GU$6)</f>
        <v>0</v>
      </c>
      <c r="GV63" s="214" cm="1">
        <f t="array" ref="GV63">--AND(MIN(IF($K63:$CP63&lt;&gt;0,$K$7:$CP$7))&gt;=GV$5,MIN(IF($K63:$CP63&lt;&gt;0,$K$7:$CP$7))&lt;=GV$6)</f>
        <v>0</v>
      </c>
      <c r="GW63" s="214" cm="1">
        <f t="array" ref="GW63">--AND(MIN(IF($K63:$CP63&lt;&gt;0,$K$7:$CP$7))&gt;=GW$5,MIN(IF($K63:$CP63&lt;&gt;0,$K$7:$CP$7))&lt;=GW$6)</f>
        <v>0</v>
      </c>
      <c r="GX63" s="214" cm="1">
        <f t="array" ref="GX63">--AND(MIN(IF($K63:$CP63&lt;&gt;0,$K$7:$CP$7))&gt;=GX$5,MIN(IF($K63:$CP63&lt;&gt;0,$K$7:$CP$7))&lt;=GX$6)</f>
        <v>0</v>
      </c>
      <c r="GY63" s="214" cm="1">
        <f t="array" ref="GY63">--AND(MIN(IF($K63:$CP63&lt;&gt;0,$K$7:$CP$7))&gt;=GY$5,MIN(IF($K63:$CP63&lt;&gt;0,$K$7:$CP$7))&lt;=GY$6)</f>
        <v>0</v>
      </c>
      <c r="GZ63" s="214" cm="1">
        <f t="array" ref="GZ63">--AND(MIN(IF($K63:$CP63&lt;&gt;0,$K$7:$CP$7))&gt;=GZ$5,MIN(IF($K63:$CP63&lt;&gt;0,$K$7:$CP$7))&lt;=GZ$6)</f>
        <v>0</v>
      </c>
      <c r="HA63" s="214">
        <f t="shared" si="0"/>
        <v>0</v>
      </c>
      <c r="HC63" s="214" cm="1">
        <f t="array" ref="HC63">--AND(MIN(IF($K63:$CP63&lt;&gt;0,$K$7:$CP$7))&gt;=HC$5,MIN(IF($K63:$CP63&lt;&gt;0,$K$7:$CP$7))&lt;=HC$6)</f>
        <v>0</v>
      </c>
      <c r="HE63" s="147" t="str">
        <f t="shared" si="19"/>
        <v>No</v>
      </c>
      <c r="HF63" s="147" t="str">
        <f t="shared" si="20"/>
        <v>No</v>
      </c>
      <c r="HG63" s="147">
        <f>IF($HF63="Yes",0,$H63*avg_hrs*12*'Key assumptions'!$D$87)</f>
        <v>493061.5312998477</v>
      </c>
      <c r="HH63" s="147">
        <f>IF(HE63="Yes",'Key assumptions'!$D$84*HG63,0)</f>
        <v>0</v>
      </c>
      <c r="HI63" s="144">
        <f>IFERROR(AVERAGEIFS($K63:$CP63,$K$7:$CP$7,"&gt;="&amp;'Key assumptions'!$D$24,$K$7:$CP$7,"&lt;="&amp;'Key assumptions'!$D$25),0)</f>
        <v>6.5390749601275916E-2</v>
      </c>
      <c r="HJ63" s="148">
        <f t="shared" si="22"/>
        <v>0</v>
      </c>
      <c r="HK63" s="148">
        <f t="shared" si="1"/>
        <v>0</v>
      </c>
      <c r="HL63" s="148">
        <f t="shared" si="2"/>
        <v>0</v>
      </c>
      <c r="HM63" s="148">
        <f t="shared" si="3"/>
        <v>0</v>
      </c>
      <c r="HN63" s="148">
        <f t="shared" si="4"/>
        <v>0</v>
      </c>
      <c r="HO63" s="148">
        <f t="shared" si="5"/>
        <v>0</v>
      </c>
      <c r="HP63" s="148">
        <f t="shared" si="6"/>
        <v>0</v>
      </c>
      <c r="HQ63" s="148">
        <f t="shared" si="7"/>
        <v>0</v>
      </c>
      <c r="HR63" s="147">
        <f t="shared" si="8"/>
        <v>0</v>
      </c>
      <c r="HS63" s="89"/>
      <c r="HU63" s="147">
        <f>$HJ63*HC63/(1+'Key assumptions'!G85)^0.75</f>
        <v>0</v>
      </c>
      <c r="HW63" s="216">
        <f t="shared" si="9"/>
        <v>0</v>
      </c>
      <c r="HX63" s="216">
        <f t="shared" si="10"/>
        <v>0</v>
      </c>
      <c r="HY63" s="216">
        <f t="shared" si="11"/>
        <v>0</v>
      </c>
      <c r="HZ63" s="216">
        <f t="shared" si="12"/>
        <v>0</v>
      </c>
      <c r="IA63" s="216">
        <f t="shared" si="13"/>
        <v>0</v>
      </c>
      <c r="IB63" s="216">
        <f t="shared" si="14"/>
        <v>0</v>
      </c>
      <c r="IC63" s="216">
        <f t="shared" si="15"/>
        <v>0</v>
      </c>
      <c r="ID63" s="216">
        <f t="shared" si="16"/>
        <v>0</v>
      </c>
      <c r="IF63" s="216">
        <f t="shared" si="17"/>
        <v>0</v>
      </c>
    </row>
    <row r="64" spans="2:240" x14ac:dyDescent="0.2">
      <c r="B64" s="141" t="str">
        <v>Community and Stakeholder Engagement</v>
      </c>
      <c r="C64" s="141" t="str">
        <v>Corporate &amp; Reg Affairs - Senior (Strategic Engagement Sustain&amp;Adv)</v>
      </c>
      <c r="D64" s="141" t="str">
        <v>Internal Labour</v>
      </c>
      <c r="E64" s="141" t="str">
        <v>$ Nominal</v>
      </c>
      <c r="F64" s="141" t="str">
        <v>Existing</v>
      </c>
      <c r="G64" s="141" t="str">
        <v>Normal time</v>
      </c>
      <c r="H64" s="142">
        <v>275.72000000000003</v>
      </c>
      <c r="I64" s="126">
        <v>73282.02</v>
      </c>
      <c r="J64" s="143">
        <v>0</v>
      </c>
      <c r="K64" s="144">
        <v>0</v>
      </c>
      <c r="L64" s="144">
        <v>0</v>
      </c>
      <c r="M64" s="144">
        <v>0</v>
      </c>
      <c r="N64" s="144">
        <v>0</v>
      </c>
      <c r="O64" s="144">
        <v>0</v>
      </c>
      <c r="P64" s="144">
        <v>0</v>
      </c>
      <c r="Q64" s="144">
        <v>0</v>
      </c>
      <c r="R64" s="144">
        <v>0.2</v>
      </c>
      <c r="S64" s="144">
        <v>0.15</v>
      </c>
      <c r="T64" s="144">
        <v>0.05</v>
      </c>
      <c r="U64" s="144">
        <v>0.05</v>
      </c>
      <c r="V64" s="144">
        <v>0</v>
      </c>
      <c r="W64" s="144">
        <v>0</v>
      </c>
      <c r="X64" s="144">
        <v>0.1</v>
      </c>
      <c r="Y64" s="144">
        <v>0.1</v>
      </c>
      <c r="Z64" s="144">
        <v>0.13333333333333333</v>
      </c>
      <c r="AA64" s="144">
        <v>9.2105263157894732E-2</v>
      </c>
      <c r="AB64" s="144">
        <v>9.2105263157894732E-2</v>
      </c>
      <c r="AC64" s="144">
        <v>0.1</v>
      </c>
      <c r="AD64" s="144">
        <v>0.1</v>
      </c>
      <c r="AE64" s="144">
        <v>0.1</v>
      </c>
      <c r="AF64" s="144">
        <v>0.1</v>
      </c>
      <c r="AG64" s="144">
        <v>0.1</v>
      </c>
      <c r="AH64" s="144">
        <v>0.13333333333333333</v>
      </c>
      <c r="AI64" s="144">
        <v>0</v>
      </c>
      <c r="AJ64" s="144">
        <v>0</v>
      </c>
      <c r="AK64" s="144">
        <v>0</v>
      </c>
      <c r="AL64" s="144">
        <v>0</v>
      </c>
      <c r="AM64" s="144">
        <v>0</v>
      </c>
      <c r="AN64" s="144">
        <v>0</v>
      </c>
      <c r="AO64" s="144">
        <v>0</v>
      </c>
      <c r="AP64" s="144">
        <v>0</v>
      </c>
      <c r="AQ64" s="144">
        <v>0</v>
      </c>
      <c r="AR64" s="144">
        <v>0</v>
      </c>
      <c r="AS64" s="144">
        <v>0</v>
      </c>
      <c r="AT64" s="144">
        <v>0</v>
      </c>
      <c r="AU64" s="144">
        <v>0</v>
      </c>
      <c r="AV64" s="144">
        <v>0</v>
      </c>
      <c r="AW64" s="144">
        <v>0</v>
      </c>
      <c r="AX64" s="144">
        <v>0</v>
      </c>
      <c r="AY64" s="144">
        <v>0</v>
      </c>
      <c r="AZ64" s="144">
        <v>0</v>
      </c>
      <c r="BA64" s="144">
        <v>0</v>
      </c>
      <c r="BB64" s="144">
        <v>0</v>
      </c>
      <c r="BC64" s="144">
        <v>0</v>
      </c>
      <c r="BD64" s="144">
        <v>0</v>
      </c>
      <c r="BE64" s="144">
        <v>0</v>
      </c>
      <c r="BF64" s="144">
        <v>0</v>
      </c>
      <c r="BG64" s="144">
        <v>0</v>
      </c>
      <c r="BH64" s="144">
        <v>0</v>
      </c>
      <c r="BI64" s="144">
        <v>0</v>
      </c>
      <c r="BJ64" s="144">
        <v>0</v>
      </c>
      <c r="BK64" s="144">
        <v>0</v>
      </c>
      <c r="BL64" s="144">
        <v>0</v>
      </c>
      <c r="BM64" s="144">
        <v>0</v>
      </c>
      <c r="BN64" s="144">
        <v>0</v>
      </c>
      <c r="BO64" s="144">
        <v>0</v>
      </c>
      <c r="BP64" s="144">
        <v>0</v>
      </c>
      <c r="BQ64" s="144">
        <v>0</v>
      </c>
      <c r="BR64" s="144">
        <v>0</v>
      </c>
      <c r="BS64" s="144">
        <v>0</v>
      </c>
      <c r="BT64" s="144">
        <v>0</v>
      </c>
      <c r="BU64" s="144">
        <v>0</v>
      </c>
      <c r="BV64" s="144">
        <v>0</v>
      </c>
      <c r="BW64" s="144">
        <v>0</v>
      </c>
      <c r="BX64" s="144">
        <v>0</v>
      </c>
      <c r="BY64" s="144">
        <v>0</v>
      </c>
      <c r="BZ64" s="144">
        <v>0</v>
      </c>
      <c r="CA64" s="144">
        <v>0</v>
      </c>
      <c r="CB64" s="144">
        <v>0</v>
      </c>
      <c r="CC64" s="144">
        <v>0</v>
      </c>
      <c r="CD64" s="144">
        <v>0</v>
      </c>
      <c r="CE64" s="144">
        <v>0</v>
      </c>
      <c r="CF64" s="144">
        <v>0</v>
      </c>
      <c r="CG64" s="144">
        <v>0</v>
      </c>
      <c r="CH64" s="144">
        <v>0</v>
      </c>
      <c r="CI64" s="144">
        <v>0</v>
      </c>
      <c r="CJ64" s="144">
        <v>0</v>
      </c>
      <c r="CK64" s="144">
        <v>0</v>
      </c>
      <c r="CL64" s="144">
        <v>0</v>
      </c>
      <c r="CM64" s="144">
        <v>0</v>
      </c>
      <c r="CN64" s="144">
        <v>0</v>
      </c>
      <c r="CO64" s="144">
        <v>0</v>
      </c>
      <c r="CP64" s="144">
        <v>0</v>
      </c>
      <c r="CQ64" s="143">
        <v>0</v>
      </c>
      <c r="CR64" s="145">
        <v>0</v>
      </c>
      <c r="CS64" s="145">
        <v>0</v>
      </c>
      <c r="CT64" s="145">
        <v>0</v>
      </c>
      <c r="CU64" s="145">
        <v>0</v>
      </c>
      <c r="CV64" s="145">
        <v>0</v>
      </c>
      <c r="CW64" s="145">
        <v>0</v>
      </c>
      <c r="CX64" s="145">
        <v>0</v>
      </c>
      <c r="CY64" s="145">
        <v>13949.04</v>
      </c>
      <c r="CZ64" s="145">
        <v>10461.780000000001</v>
      </c>
      <c r="DA64" s="145">
        <v>3487.26</v>
      </c>
      <c r="DB64" s="145">
        <v>3487.26</v>
      </c>
      <c r="DC64" s="145">
        <v>-2.8421709430404007E-14</v>
      </c>
      <c r="DD64" s="145">
        <v>0</v>
      </c>
      <c r="DE64" s="145">
        <v>3747.2400000000002</v>
      </c>
      <c r="DF64" s="145">
        <v>3747.2400000000002</v>
      </c>
      <c r="DG64" s="145">
        <v>3747.2400000000002</v>
      </c>
      <c r="DH64" s="145">
        <v>3747.2400000000002</v>
      </c>
      <c r="DI64" s="145">
        <v>3747.2400000000002</v>
      </c>
      <c r="DJ64" s="145">
        <v>3860.0800000000004</v>
      </c>
      <c r="DK64" s="145">
        <v>3860.0800000000004</v>
      </c>
      <c r="DL64" s="145">
        <v>3860.0800000000004</v>
      </c>
      <c r="DM64" s="145">
        <v>3860.0800000000004</v>
      </c>
      <c r="DN64" s="145">
        <v>3860.0800000000004</v>
      </c>
      <c r="DO64" s="145">
        <v>3860.0800000000004</v>
      </c>
      <c r="DP64" s="145">
        <v>0</v>
      </c>
      <c r="DQ64" s="145">
        <v>0</v>
      </c>
      <c r="DR64" s="145">
        <v>0</v>
      </c>
      <c r="DS64" s="145">
        <v>0</v>
      </c>
      <c r="DT64" s="145">
        <v>0</v>
      </c>
      <c r="DU64" s="145">
        <v>0</v>
      </c>
      <c r="DV64" s="145">
        <v>0</v>
      </c>
      <c r="DW64" s="145">
        <v>0</v>
      </c>
      <c r="DX64" s="145">
        <v>0</v>
      </c>
      <c r="DY64" s="145">
        <v>0</v>
      </c>
      <c r="DZ64" s="145">
        <v>0</v>
      </c>
      <c r="EA64" s="145">
        <v>0</v>
      </c>
      <c r="EB64" s="145">
        <v>0</v>
      </c>
      <c r="EC64" s="145">
        <v>0</v>
      </c>
      <c r="ED64" s="145">
        <v>0</v>
      </c>
      <c r="EE64" s="145">
        <v>0</v>
      </c>
      <c r="EF64" s="145">
        <v>0</v>
      </c>
      <c r="EG64" s="145">
        <v>0</v>
      </c>
      <c r="EH64" s="145">
        <v>0</v>
      </c>
      <c r="EI64" s="145">
        <v>0</v>
      </c>
      <c r="EJ64" s="145">
        <v>0</v>
      </c>
      <c r="EK64" s="145">
        <v>0</v>
      </c>
      <c r="EL64" s="145">
        <v>0</v>
      </c>
      <c r="EM64" s="145">
        <v>0</v>
      </c>
      <c r="EN64" s="145">
        <v>0</v>
      </c>
      <c r="EO64" s="145">
        <v>0</v>
      </c>
      <c r="EP64" s="145">
        <v>0</v>
      </c>
      <c r="EQ64" s="145">
        <v>0</v>
      </c>
      <c r="ER64" s="145">
        <v>0</v>
      </c>
      <c r="ES64" s="145">
        <v>0</v>
      </c>
      <c r="ET64" s="145">
        <v>0</v>
      </c>
      <c r="EU64" s="145">
        <v>0</v>
      </c>
      <c r="EV64" s="145">
        <v>0</v>
      </c>
      <c r="EW64" s="145">
        <v>0</v>
      </c>
      <c r="EX64" s="145">
        <v>0</v>
      </c>
      <c r="EY64" s="145">
        <v>0</v>
      </c>
      <c r="EZ64" s="145">
        <v>0</v>
      </c>
      <c r="FA64" s="145">
        <v>0</v>
      </c>
      <c r="FB64" s="145">
        <v>0</v>
      </c>
      <c r="FC64" s="145">
        <v>0</v>
      </c>
      <c r="FD64" s="145">
        <v>0</v>
      </c>
      <c r="FE64" s="145">
        <v>0</v>
      </c>
      <c r="FF64" s="145">
        <v>0</v>
      </c>
      <c r="FG64" s="145">
        <v>0</v>
      </c>
      <c r="FH64" s="145">
        <v>0</v>
      </c>
      <c r="FI64" s="145">
        <v>0</v>
      </c>
      <c r="FJ64" s="145">
        <v>0</v>
      </c>
      <c r="FK64" s="145">
        <v>0</v>
      </c>
      <c r="FL64" s="145">
        <v>0</v>
      </c>
      <c r="FM64" s="145">
        <v>0</v>
      </c>
      <c r="FN64" s="145">
        <v>0</v>
      </c>
      <c r="FO64" s="145">
        <v>0</v>
      </c>
      <c r="FP64" s="145">
        <v>0</v>
      </c>
      <c r="FQ64" s="145">
        <v>0</v>
      </c>
      <c r="FR64" s="145">
        <v>0</v>
      </c>
      <c r="FS64" s="145">
        <v>0</v>
      </c>
      <c r="FT64" s="145">
        <v>0</v>
      </c>
      <c r="FU64" s="145">
        <v>0</v>
      </c>
      <c r="FV64" s="145">
        <v>0</v>
      </c>
      <c r="FW64" s="145">
        <v>0</v>
      </c>
      <c r="FX64" s="143"/>
      <c r="FY64" s="146" t="str">
        <f>_xlfn.XLOOKUP($E64,'Key assumptions'!$B$112:$B$120,'Key assumptions'!$C$112:$C$120,0)</f>
        <v>Nominal</v>
      </c>
      <c r="FZ64" s="146" cm="1">
        <f t="array" ref="FZ64">IF($FY64=0,0,_xlfn.IFS($FY64='Key assumptions'!$C$120,_xlfn.XLOOKUP(LEFT(FZ$7,6),Inflation_Year,Inflation_NominaltoReal),TRUE,_xlfn.XLOOKUP($FY64,Inflation_Year,NominaltoReal)))</f>
        <v>1.0197075870962191</v>
      </c>
      <c r="GA64" s="146" cm="1">
        <f t="array" ref="GA64">IF($FY64=0,0,_xlfn.IFS($FY64='Key assumptions'!$C$120,_xlfn.XLOOKUP(LEFT(GA$7,6),Inflation_Year,Inflation_NominaltoReal),TRUE,_xlfn.XLOOKUP($FY64,Inflation_Year,NominaltoReal)))</f>
        <v>0.98700804022984445</v>
      </c>
      <c r="GB64" s="146" cm="1">
        <f t="array" ref="GB64">IF($FY64=0,0,_xlfn.IFS($FY64='Key assumptions'!$C$120,_xlfn.XLOOKUP(LEFT(GB$7,6),Inflation_Year,Inflation_NominaltoReal),TRUE,_xlfn.XLOOKUP($FY64,Inflation_Year,NominaltoReal)))</f>
        <v>0.96152830081941731</v>
      </c>
      <c r="GC64" s="146" cm="1">
        <f t="array" ref="GC64">IF($FY64=0,0,_xlfn.IFS($FY64='Key assumptions'!$C$120,_xlfn.XLOOKUP(LEFT(GC$7,6),Inflation_Year,Inflation_NominaltoReal),TRUE,_xlfn.XLOOKUP($FY64,Inflation_Year,NominaltoReal)))</f>
        <v>0.93670632415656829</v>
      </c>
      <c r="GD64" s="146" cm="1">
        <f t="array" ref="GD64">IF($FY64=0,0,_xlfn.IFS($FY64='Key assumptions'!$C$120,_xlfn.XLOOKUP(LEFT(GD$7,6),Inflation_Year,Inflation_NominaltoReal),TRUE,_xlfn.XLOOKUP($FY64,Inflation_Year,NominaltoReal)))</f>
        <v>0.91252513001143176</v>
      </c>
      <c r="GE64" s="146" cm="1">
        <f t="array" ref="GE64">IF($FY64=0,0,_xlfn.IFS($FY64='Key assumptions'!$C$120,_xlfn.XLOOKUP(LEFT(GE$7,6),Inflation_Year,Inflation_NominaltoReal),TRUE,_xlfn.XLOOKUP($FY64,Inflation_Year,NominaltoReal)))</f>
        <v>0.88896817650095872</v>
      </c>
      <c r="GF64" s="146" cm="1">
        <f t="array" ref="GF64">IF($FY64=0,0,_xlfn.IFS($FY64='Key assumptions'!$C$120,_xlfn.XLOOKUP(LEFT(GF$7,6),Inflation_Year,Inflation_NominaltoReal),TRUE,_xlfn.XLOOKUP($FY64,Inflation_Year,NominaltoReal)))</f>
        <v>0.86601934877293718</v>
      </c>
      <c r="GG64" s="143"/>
      <c r="GH64" s="145" cm="1">
        <f t="array" ref="GH64">SUMPRODUCT(--($CR$7:$FW$7&gt;=GH$5),--($CR$7:$FW$7&lt;=GH$6),$CR64:$FW64)*FZ64</f>
        <v>30913.903881747308</v>
      </c>
      <c r="GI64" s="145" cm="1">
        <f t="array" ref="GI64">SUMPRODUCT(--($CR$7:$FW$7&gt;=GI$5),--($CR$7:$FW$7&lt;=GI$6),$CR64:$FW64)*GA64</f>
        <v>11429.789987791255</v>
      </c>
      <c r="GJ64" s="145" cm="1">
        <f t="array" ref="GJ64">SUMPRODUCT(--($CR$7:$FW$7&gt;=GJ$5),--($CR$7:$FW$7&lt;=GJ$6),$CR64:$FW64)*GB64</f>
        <v>0</v>
      </c>
      <c r="GK64" s="145" cm="1">
        <f t="array" ref="GK64">SUMPRODUCT(--($CR$7:$FW$7&gt;=GK$5),--($CR$7:$FW$7&lt;=GK$6),$CR64:$FW64)*GC64</f>
        <v>0</v>
      </c>
      <c r="GL64" s="145" cm="1">
        <f t="array" ref="GL64">SUMPRODUCT(--($CR$7:$FW$7&gt;=GL$5),--($CR$7:$FW$7&lt;=GL$6),$CR64:$FW64)*GD64</f>
        <v>0</v>
      </c>
      <c r="GM64" s="145" cm="1">
        <f t="array" ref="GM64">SUMPRODUCT(--($CR$7:$FW$7&gt;=GM$5),--($CR$7:$FW$7&lt;=GM$6),$CR64:$FW64)*GE64</f>
        <v>0</v>
      </c>
      <c r="GN64" s="145" cm="1">
        <f t="array" ref="GN64">SUMPRODUCT(--($CR$7:$FW$7&gt;=GN$5),--($CR$7:$FW$7&lt;=GN$6),$CR64:$FW64)*GF64</f>
        <v>0</v>
      </c>
      <c r="GO64" s="145">
        <f t="shared" si="18"/>
        <v>42343.693869538562</v>
      </c>
      <c r="GP64" s="87"/>
      <c r="GQ64" s="89"/>
      <c r="GR64" s="145" cm="1">
        <f t="array" ref="GR64">SUMPRODUCT(--($CR$7:$FW$7&gt;=GR$5),--($CR$7:$FW$7&lt;=GR$6),$CR64:$FW64)</f>
        <v>18736.2</v>
      </c>
      <c r="GS64" s="89"/>
      <c r="GT64" s="214" cm="1">
        <f t="array" ref="GT64">--AND(MIN(IF($K64:$CP64&lt;&gt;0,$K$7:$CP$7))&gt;=GT$5,MIN(IF($K64:$CP64&lt;&gt;0,$K$7:$CP$7))&lt;=GT$6)</f>
        <v>0</v>
      </c>
      <c r="GU64" s="214" cm="1">
        <f t="array" ref="GU64">--AND(MIN(IF($K64:$CP64&lt;&gt;0,$K$7:$CP$7))&gt;=GU$5,MIN(IF($K64:$CP64&lt;&gt;0,$K$7:$CP$7))&lt;=GU$6)</f>
        <v>0</v>
      </c>
      <c r="GV64" s="214" cm="1">
        <f t="array" ref="GV64">--AND(MIN(IF($K64:$CP64&lt;&gt;0,$K$7:$CP$7))&gt;=GV$5,MIN(IF($K64:$CP64&lt;&gt;0,$K$7:$CP$7))&lt;=GV$6)</f>
        <v>0</v>
      </c>
      <c r="GW64" s="214" cm="1">
        <f t="array" ref="GW64">--AND(MIN(IF($K64:$CP64&lt;&gt;0,$K$7:$CP$7))&gt;=GW$5,MIN(IF($K64:$CP64&lt;&gt;0,$K$7:$CP$7))&lt;=GW$6)</f>
        <v>0</v>
      </c>
      <c r="GX64" s="214" cm="1">
        <f t="array" ref="GX64">--AND(MIN(IF($K64:$CP64&lt;&gt;0,$K$7:$CP$7))&gt;=GX$5,MIN(IF($K64:$CP64&lt;&gt;0,$K$7:$CP$7))&lt;=GX$6)</f>
        <v>0</v>
      </c>
      <c r="GY64" s="214" cm="1">
        <f t="array" ref="GY64">--AND(MIN(IF($K64:$CP64&lt;&gt;0,$K$7:$CP$7))&gt;=GY$5,MIN(IF($K64:$CP64&lt;&gt;0,$K$7:$CP$7))&lt;=GY$6)</f>
        <v>0</v>
      </c>
      <c r="GZ64" s="214" cm="1">
        <f t="array" ref="GZ64">--AND(MIN(IF($K64:$CP64&lt;&gt;0,$K$7:$CP$7))&gt;=GZ$5,MIN(IF($K64:$CP64&lt;&gt;0,$K$7:$CP$7))&lt;=GZ$6)</f>
        <v>0</v>
      </c>
      <c r="HA64" s="214">
        <f t="shared" si="0"/>
        <v>0</v>
      </c>
      <c r="HC64" s="214" cm="1">
        <f t="array" ref="HC64">--AND(MIN(IF($K64:$CP64&lt;&gt;0,$K$7:$CP$7))&gt;=HC$5,MIN(IF($K64:$CP64&lt;&gt;0,$K$7:$CP$7))&lt;=HC$6)</f>
        <v>0</v>
      </c>
      <c r="HE64" s="147" t="str">
        <f t="shared" si="19"/>
        <v>No</v>
      </c>
      <c r="HF64" s="147" t="str">
        <f t="shared" si="20"/>
        <v>No</v>
      </c>
      <c r="HG64" s="147">
        <f>IF($HF64="Yes",0,$H64*avg_hrs*12*'Key assumptions'!$D$87)</f>
        <v>493061.5312998477</v>
      </c>
      <c r="HH64" s="147">
        <f>IF(HE64="Yes",'Key assumptions'!$D$84*HG64,0)</f>
        <v>0</v>
      </c>
      <c r="HI64" s="144">
        <f>IFERROR(AVERAGEIFS($K64:$CP64,$K$7:$CP$7,"&gt;="&amp;'Key assumptions'!$D$24,$K$7:$CP$7,"&lt;="&amp;'Key assumptions'!$D$25),0)</f>
        <v>2.6156299840510367E-2</v>
      </c>
      <c r="HJ64" s="148">
        <f t="shared" si="22"/>
        <v>0</v>
      </c>
      <c r="HK64" s="148">
        <f t="shared" si="1"/>
        <v>0</v>
      </c>
      <c r="HL64" s="148">
        <f t="shared" si="2"/>
        <v>0</v>
      </c>
      <c r="HM64" s="148">
        <f t="shared" si="3"/>
        <v>0</v>
      </c>
      <c r="HN64" s="148">
        <f t="shared" si="4"/>
        <v>0</v>
      </c>
      <c r="HO64" s="148">
        <f t="shared" si="5"/>
        <v>0</v>
      </c>
      <c r="HP64" s="148">
        <f t="shared" si="6"/>
        <v>0</v>
      </c>
      <c r="HQ64" s="148">
        <f t="shared" si="7"/>
        <v>0</v>
      </c>
      <c r="HR64" s="147">
        <f t="shared" si="8"/>
        <v>0</v>
      </c>
      <c r="HS64" s="89"/>
      <c r="HU64" s="147">
        <f>$HJ64*HC64/(1+'Key assumptions'!G86)^0.75</f>
        <v>0</v>
      </c>
      <c r="HW64" s="216">
        <f t="shared" si="9"/>
        <v>0</v>
      </c>
      <c r="HX64" s="216">
        <f t="shared" si="10"/>
        <v>0</v>
      </c>
      <c r="HY64" s="216">
        <f t="shared" si="11"/>
        <v>0</v>
      </c>
      <c r="HZ64" s="216">
        <f t="shared" si="12"/>
        <v>0</v>
      </c>
      <c r="IA64" s="216">
        <f t="shared" si="13"/>
        <v>0</v>
      </c>
      <c r="IB64" s="216">
        <f t="shared" si="14"/>
        <v>0</v>
      </c>
      <c r="IC64" s="216">
        <f t="shared" si="15"/>
        <v>0</v>
      </c>
      <c r="ID64" s="216">
        <f t="shared" si="16"/>
        <v>0</v>
      </c>
      <c r="IF64" s="216">
        <f t="shared" si="17"/>
        <v>0</v>
      </c>
    </row>
    <row r="65" spans="2:240" x14ac:dyDescent="0.2">
      <c r="B65" s="141" t="str">
        <v>Land and Environment</v>
      </c>
      <c r="C65" s="141" t="str">
        <v>Legal Gov &amp; Risk - Senior (Legal Affairs)</v>
      </c>
      <c r="D65" s="141" t="str">
        <v>Internal Labour</v>
      </c>
      <c r="E65" s="141" t="str">
        <v>$ Nominal</v>
      </c>
      <c r="F65" s="141" t="str">
        <v>New</v>
      </c>
      <c r="G65" s="141" t="str">
        <v>Normal time</v>
      </c>
      <c r="H65" s="142">
        <v>313.99</v>
      </c>
      <c r="I65" s="126">
        <v>21337.399999999998</v>
      </c>
      <c r="J65" s="143">
        <v>0</v>
      </c>
      <c r="K65" s="144">
        <v>0</v>
      </c>
      <c r="L65" s="144">
        <v>0</v>
      </c>
      <c r="M65" s="144">
        <v>0</v>
      </c>
      <c r="N65" s="144">
        <v>0</v>
      </c>
      <c r="O65" s="144">
        <v>0</v>
      </c>
      <c r="P65" s="144">
        <v>0</v>
      </c>
      <c r="Q65" s="144">
        <v>0</v>
      </c>
      <c r="R65" s="144">
        <v>0</v>
      </c>
      <c r="S65" s="144">
        <v>0</v>
      </c>
      <c r="T65" s="144">
        <v>0</v>
      </c>
      <c r="U65" s="144">
        <v>0</v>
      </c>
      <c r="V65" s="144">
        <v>0</v>
      </c>
      <c r="W65" s="144">
        <v>0</v>
      </c>
      <c r="X65" s="144">
        <v>0.1</v>
      </c>
      <c r="Y65" s="144">
        <v>0.1</v>
      </c>
      <c r="Z65" s="144">
        <v>0.13333333333333333</v>
      </c>
      <c r="AA65" s="144">
        <v>9.2105263157894732E-2</v>
      </c>
      <c r="AB65" s="144">
        <v>9.2105263157894732E-2</v>
      </c>
      <c r="AC65" s="144">
        <v>0</v>
      </c>
      <c r="AD65" s="144">
        <v>0</v>
      </c>
      <c r="AE65" s="144">
        <v>0</v>
      </c>
      <c r="AF65" s="144">
        <v>0</v>
      </c>
      <c r="AG65" s="144">
        <v>0</v>
      </c>
      <c r="AH65" s="144">
        <v>0</v>
      </c>
      <c r="AI65" s="144">
        <v>0</v>
      </c>
      <c r="AJ65" s="144">
        <v>0</v>
      </c>
      <c r="AK65" s="144">
        <v>0</v>
      </c>
      <c r="AL65" s="144">
        <v>0</v>
      </c>
      <c r="AM65" s="144">
        <v>0</v>
      </c>
      <c r="AN65" s="144">
        <v>0</v>
      </c>
      <c r="AO65" s="144">
        <v>0</v>
      </c>
      <c r="AP65" s="144">
        <v>0</v>
      </c>
      <c r="AQ65" s="144">
        <v>0</v>
      </c>
      <c r="AR65" s="144">
        <v>0</v>
      </c>
      <c r="AS65" s="144">
        <v>0</v>
      </c>
      <c r="AT65" s="144">
        <v>0</v>
      </c>
      <c r="AU65" s="144">
        <v>0</v>
      </c>
      <c r="AV65" s="144">
        <v>0</v>
      </c>
      <c r="AW65" s="144">
        <v>0</v>
      </c>
      <c r="AX65" s="144">
        <v>0</v>
      </c>
      <c r="AY65" s="144">
        <v>0</v>
      </c>
      <c r="AZ65" s="144">
        <v>0</v>
      </c>
      <c r="BA65" s="144">
        <v>0</v>
      </c>
      <c r="BB65" s="144">
        <v>0</v>
      </c>
      <c r="BC65" s="144">
        <v>0</v>
      </c>
      <c r="BD65" s="144">
        <v>0</v>
      </c>
      <c r="BE65" s="144">
        <v>0</v>
      </c>
      <c r="BF65" s="144">
        <v>0</v>
      </c>
      <c r="BG65" s="144">
        <v>0</v>
      </c>
      <c r="BH65" s="144">
        <v>0</v>
      </c>
      <c r="BI65" s="144">
        <v>0</v>
      </c>
      <c r="BJ65" s="144">
        <v>0</v>
      </c>
      <c r="BK65" s="144">
        <v>0</v>
      </c>
      <c r="BL65" s="144">
        <v>0</v>
      </c>
      <c r="BM65" s="144">
        <v>0</v>
      </c>
      <c r="BN65" s="144">
        <v>0</v>
      </c>
      <c r="BO65" s="144">
        <v>0</v>
      </c>
      <c r="BP65" s="144">
        <v>0</v>
      </c>
      <c r="BQ65" s="144">
        <v>0</v>
      </c>
      <c r="BR65" s="144">
        <v>0</v>
      </c>
      <c r="BS65" s="144">
        <v>0</v>
      </c>
      <c r="BT65" s="144">
        <v>0</v>
      </c>
      <c r="BU65" s="144">
        <v>0</v>
      </c>
      <c r="BV65" s="144">
        <v>0</v>
      </c>
      <c r="BW65" s="144">
        <v>0</v>
      </c>
      <c r="BX65" s="144">
        <v>0</v>
      </c>
      <c r="BY65" s="144">
        <v>0</v>
      </c>
      <c r="BZ65" s="144">
        <v>0</v>
      </c>
      <c r="CA65" s="144">
        <v>0</v>
      </c>
      <c r="CB65" s="144">
        <v>0</v>
      </c>
      <c r="CC65" s="144">
        <v>0</v>
      </c>
      <c r="CD65" s="144">
        <v>0</v>
      </c>
      <c r="CE65" s="144">
        <v>0</v>
      </c>
      <c r="CF65" s="144">
        <v>0</v>
      </c>
      <c r="CG65" s="144">
        <v>0</v>
      </c>
      <c r="CH65" s="144">
        <v>0</v>
      </c>
      <c r="CI65" s="144">
        <v>0</v>
      </c>
      <c r="CJ65" s="144">
        <v>0</v>
      </c>
      <c r="CK65" s="144">
        <v>0</v>
      </c>
      <c r="CL65" s="144">
        <v>0</v>
      </c>
      <c r="CM65" s="144">
        <v>0</v>
      </c>
      <c r="CN65" s="144">
        <v>0</v>
      </c>
      <c r="CO65" s="144">
        <v>0</v>
      </c>
      <c r="CP65" s="144">
        <v>0</v>
      </c>
      <c r="CQ65" s="143">
        <v>0</v>
      </c>
      <c r="CR65" s="145">
        <v>0</v>
      </c>
      <c r="CS65" s="145">
        <v>0</v>
      </c>
      <c r="CT65" s="145">
        <v>0</v>
      </c>
      <c r="CU65" s="145">
        <v>0</v>
      </c>
      <c r="CV65" s="145">
        <v>0</v>
      </c>
      <c r="CW65" s="145">
        <v>0</v>
      </c>
      <c r="CX65" s="145">
        <v>0</v>
      </c>
      <c r="CY65" s="145">
        <v>0</v>
      </c>
      <c r="CZ65" s="145">
        <v>0</v>
      </c>
      <c r="DA65" s="145">
        <v>0</v>
      </c>
      <c r="DB65" s="145">
        <v>0</v>
      </c>
      <c r="DC65" s="145">
        <v>0</v>
      </c>
      <c r="DD65" s="145">
        <v>0</v>
      </c>
      <c r="DE65" s="145">
        <v>4267.4799999999996</v>
      </c>
      <c r="DF65" s="145">
        <v>4267.4799999999996</v>
      </c>
      <c r="DG65" s="145">
        <v>4267.4799999999996</v>
      </c>
      <c r="DH65" s="145">
        <v>4267.4799999999996</v>
      </c>
      <c r="DI65" s="145">
        <v>4267.4799999999996</v>
      </c>
      <c r="DJ65" s="145">
        <v>0</v>
      </c>
      <c r="DK65" s="145">
        <v>0</v>
      </c>
      <c r="DL65" s="145">
        <v>0</v>
      </c>
      <c r="DM65" s="145">
        <v>0</v>
      </c>
      <c r="DN65" s="145">
        <v>0</v>
      </c>
      <c r="DO65" s="145">
        <v>0</v>
      </c>
      <c r="DP65" s="145">
        <v>0</v>
      </c>
      <c r="DQ65" s="145">
        <v>0</v>
      </c>
      <c r="DR65" s="145">
        <v>0</v>
      </c>
      <c r="DS65" s="145">
        <v>0</v>
      </c>
      <c r="DT65" s="145">
        <v>0</v>
      </c>
      <c r="DU65" s="145">
        <v>0</v>
      </c>
      <c r="DV65" s="145">
        <v>0</v>
      </c>
      <c r="DW65" s="145">
        <v>0</v>
      </c>
      <c r="DX65" s="145">
        <v>0</v>
      </c>
      <c r="DY65" s="145">
        <v>0</v>
      </c>
      <c r="DZ65" s="145">
        <v>0</v>
      </c>
      <c r="EA65" s="145">
        <v>0</v>
      </c>
      <c r="EB65" s="145">
        <v>0</v>
      </c>
      <c r="EC65" s="145">
        <v>0</v>
      </c>
      <c r="ED65" s="145">
        <v>0</v>
      </c>
      <c r="EE65" s="145">
        <v>0</v>
      </c>
      <c r="EF65" s="145">
        <v>0</v>
      </c>
      <c r="EG65" s="145">
        <v>0</v>
      </c>
      <c r="EH65" s="145">
        <v>0</v>
      </c>
      <c r="EI65" s="145">
        <v>0</v>
      </c>
      <c r="EJ65" s="145">
        <v>0</v>
      </c>
      <c r="EK65" s="145">
        <v>0</v>
      </c>
      <c r="EL65" s="145">
        <v>0</v>
      </c>
      <c r="EM65" s="145">
        <v>0</v>
      </c>
      <c r="EN65" s="145">
        <v>0</v>
      </c>
      <c r="EO65" s="145">
        <v>0</v>
      </c>
      <c r="EP65" s="145">
        <v>0</v>
      </c>
      <c r="EQ65" s="145">
        <v>0</v>
      </c>
      <c r="ER65" s="145">
        <v>0</v>
      </c>
      <c r="ES65" s="145">
        <v>0</v>
      </c>
      <c r="ET65" s="145">
        <v>0</v>
      </c>
      <c r="EU65" s="145">
        <v>0</v>
      </c>
      <c r="EV65" s="145">
        <v>0</v>
      </c>
      <c r="EW65" s="145">
        <v>0</v>
      </c>
      <c r="EX65" s="145">
        <v>0</v>
      </c>
      <c r="EY65" s="145">
        <v>0</v>
      </c>
      <c r="EZ65" s="145">
        <v>0</v>
      </c>
      <c r="FA65" s="145">
        <v>0</v>
      </c>
      <c r="FB65" s="145">
        <v>0</v>
      </c>
      <c r="FC65" s="145">
        <v>0</v>
      </c>
      <c r="FD65" s="145">
        <v>0</v>
      </c>
      <c r="FE65" s="145">
        <v>0</v>
      </c>
      <c r="FF65" s="145">
        <v>0</v>
      </c>
      <c r="FG65" s="145">
        <v>0</v>
      </c>
      <c r="FH65" s="145">
        <v>0</v>
      </c>
      <c r="FI65" s="145">
        <v>0</v>
      </c>
      <c r="FJ65" s="145">
        <v>0</v>
      </c>
      <c r="FK65" s="145">
        <v>0</v>
      </c>
      <c r="FL65" s="145">
        <v>0</v>
      </c>
      <c r="FM65" s="145">
        <v>0</v>
      </c>
      <c r="FN65" s="145">
        <v>0</v>
      </c>
      <c r="FO65" s="145">
        <v>0</v>
      </c>
      <c r="FP65" s="145">
        <v>0</v>
      </c>
      <c r="FQ65" s="145">
        <v>0</v>
      </c>
      <c r="FR65" s="145">
        <v>0</v>
      </c>
      <c r="FS65" s="145">
        <v>0</v>
      </c>
      <c r="FT65" s="145">
        <v>0</v>
      </c>
      <c r="FU65" s="145">
        <v>0</v>
      </c>
      <c r="FV65" s="145">
        <v>0</v>
      </c>
      <c r="FW65" s="145">
        <v>0</v>
      </c>
      <c r="FX65" s="143"/>
      <c r="FY65" s="146" t="str">
        <f>_xlfn.XLOOKUP($E65,'Key assumptions'!$B$112:$B$120,'Key assumptions'!$C$112:$C$120,0)</f>
        <v>Nominal</v>
      </c>
      <c r="FZ65" s="146" cm="1">
        <f t="array" ref="FZ65">IF($FY65=0,0,_xlfn.IFS($FY65='Key assumptions'!$C$120,_xlfn.XLOOKUP(LEFT(FZ$7,6),Inflation_Year,Inflation_NominaltoReal),TRUE,_xlfn.XLOOKUP($FY65,Inflation_Year,NominaltoReal)))</f>
        <v>1.0197075870962191</v>
      </c>
      <c r="GA65" s="146" cm="1">
        <f t="array" ref="GA65">IF($FY65=0,0,_xlfn.IFS($FY65='Key assumptions'!$C$120,_xlfn.XLOOKUP(LEFT(GA$7,6),Inflation_Year,Inflation_NominaltoReal),TRUE,_xlfn.XLOOKUP($FY65,Inflation_Year,NominaltoReal)))</f>
        <v>0.98700804022984445</v>
      </c>
      <c r="GB65" s="146" cm="1">
        <f t="array" ref="GB65">IF($FY65=0,0,_xlfn.IFS($FY65='Key assumptions'!$C$120,_xlfn.XLOOKUP(LEFT(GB$7,6),Inflation_Year,Inflation_NominaltoReal),TRUE,_xlfn.XLOOKUP($FY65,Inflation_Year,NominaltoReal)))</f>
        <v>0.96152830081941731</v>
      </c>
      <c r="GC65" s="146" cm="1">
        <f t="array" ref="GC65">IF($FY65=0,0,_xlfn.IFS($FY65='Key assumptions'!$C$120,_xlfn.XLOOKUP(LEFT(GC$7,6),Inflation_Year,Inflation_NominaltoReal),TRUE,_xlfn.XLOOKUP($FY65,Inflation_Year,NominaltoReal)))</f>
        <v>0.93670632415656829</v>
      </c>
      <c r="GD65" s="146" cm="1">
        <f t="array" ref="GD65">IF($FY65=0,0,_xlfn.IFS($FY65='Key assumptions'!$C$120,_xlfn.XLOOKUP(LEFT(GD$7,6),Inflation_Year,Inflation_NominaltoReal),TRUE,_xlfn.XLOOKUP($FY65,Inflation_Year,NominaltoReal)))</f>
        <v>0.91252513001143176</v>
      </c>
      <c r="GE65" s="146" cm="1">
        <f t="array" ref="GE65">IF($FY65=0,0,_xlfn.IFS($FY65='Key assumptions'!$C$120,_xlfn.XLOOKUP(LEFT(GE$7,6),Inflation_Year,Inflation_NominaltoReal),TRUE,_xlfn.XLOOKUP($FY65,Inflation_Year,NominaltoReal)))</f>
        <v>0.88896817650095872</v>
      </c>
      <c r="GF65" s="146" cm="1">
        <f t="array" ref="GF65">IF($FY65=0,0,_xlfn.IFS($FY65='Key assumptions'!$C$120,_xlfn.XLOOKUP(LEFT(GF$7,6),Inflation_Year,Inflation_NominaltoReal),TRUE,_xlfn.XLOOKUP($FY65,Inflation_Year,NominaltoReal)))</f>
        <v>0.86601934877293718</v>
      </c>
      <c r="GG65" s="143"/>
      <c r="GH65" s="145" cm="1">
        <f t="array" ref="GH65">SUMPRODUCT(--($CR$7:$FW$7&gt;=GH$5),--($CR$7:$FW$7&lt;=GH$6),$CR65:$FW65)*FZ65</f>
        <v>21757.908668906864</v>
      </c>
      <c r="GI65" s="145" cm="1">
        <f t="array" ref="GI65">SUMPRODUCT(--($CR$7:$FW$7&gt;=GI$5),--($CR$7:$FW$7&lt;=GI$6),$CR65:$FW65)*GA65</f>
        <v>0</v>
      </c>
      <c r="GJ65" s="145" cm="1">
        <f t="array" ref="GJ65">SUMPRODUCT(--($CR$7:$FW$7&gt;=GJ$5),--($CR$7:$FW$7&lt;=GJ$6),$CR65:$FW65)*GB65</f>
        <v>0</v>
      </c>
      <c r="GK65" s="145" cm="1">
        <f t="array" ref="GK65">SUMPRODUCT(--($CR$7:$FW$7&gt;=GK$5),--($CR$7:$FW$7&lt;=GK$6),$CR65:$FW65)*GC65</f>
        <v>0</v>
      </c>
      <c r="GL65" s="145" cm="1">
        <f t="array" ref="GL65">SUMPRODUCT(--($CR$7:$FW$7&gt;=GL$5),--($CR$7:$FW$7&lt;=GL$6),$CR65:$FW65)*GD65</f>
        <v>0</v>
      </c>
      <c r="GM65" s="145" cm="1">
        <f t="array" ref="GM65">SUMPRODUCT(--($CR$7:$FW$7&gt;=GM$5),--($CR$7:$FW$7&lt;=GM$6),$CR65:$FW65)*GE65</f>
        <v>0</v>
      </c>
      <c r="GN65" s="145" cm="1">
        <f t="array" ref="GN65">SUMPRODUCT(--($CR$7:$FW$7&gt;=GN$5),--($CR$7:$FW$7&lt;=GN$6),$CR65:$FW65)*GF65</f>
        <v>0</v>
      </c>
      <c r="GO65" s="145">
        <f t="shared" si="18"/>
        <v>21757.908668906864</v>
      </c>
      <c r="GP65" s="87"/>
      <c r="GQ65" s="89"/>
      <c r="GR65" s="145" cm="1">
        <f t="array" ref="GR65">SUMPRODUCT(--($CR$7:$FW$7&gt;=GR$5),--($CR$7:$FW$7&lt;=GR$6),$CR65:$FW65)</f>
        <v>21337.399999999998</v>
      </c>
      <c r="GS65" s="89"/>
      <c r="GT65" s="214" cm="1">
        <f t="array" ref="GT65">--AND(MIN(IF($K65:$CP65&lt;&gt;0,$K$7:$CP$7))&gt;=GT$5,MIN(IF($K65:$CP65&lt;&gt;0,$K$7:$CP$7))&lt;=GT$6)</f>
        <v>1</v>
      </c>
      <c r="GU65" s="214" cm="1">
        <f t="array" ref="GU65">--AND(MIN(IF($K65:$CP65&lt;&gt;0,$K$7:$CP$7))&gt;=GU$5,MIN(IF($K65:$CP65&lt;&gt;0,$K$7:$CP$7))&lt;=GU$6)</f>
        <v>0</v>
      </c>
      <c r="GV65" s="214" cm="1">
        <f t="array" ref="GV65">--AND(MIN(IF($K65:$CP65&lt;&gt;0,$K$7:$CP$7))&gt;=GV$5,MIN(IF($K65:$CP65&lt;&gt;0,$K$7:$CP$7))&lt;=GV$6)</f>
        <v>0</v>
      </c>
      <c r="GW65" s="214" cm="1">
        <f t="array" ref="GW65">--AND(MIN(IF($K65:$CP65&lt;&gt;0,$K$7:$CP$7))&gt;=GW$5,MIN(IF($K65:$CP65&lt;&gt;0,$K$7:$CP$7))&lt;=GW$6)</f>
        <v>0</v>
      </c>
      <c r="GX65" s="214" cm="1">
        <f t="array" ref="GX65">--AND(MIN(IF($K65:$CP65&lt;&gt;0,$K$7:$CP$7))&gt;=GX$5,MIN(IF($K65:$CP65&lt;&gt;0,$K$7:$CP$7))&lt;=GX$6)</f>
        <v>0</v>
      </c>
      <c r="GY65" s="214" cm="1">
        <f t="array" ref="GY65">--AND(MIN(IF($K65:$CP65&lt;&gt;0,$K$7:$CP$7))&gt;=GY$5,MIN(IF($K65:$CP65&lt;&gt;0,$K$7:$CP$7))&lt;=GY$6)</f>
        <v>0</v>
      </c>
      <c r="GZ65" s="214" cm="1">
        <f t="array" ref="GZ65">--AND(MIN(IF($K65:$CP65&lt;&gt;0,$K$7:$CP$7))&gt;=GZ$5,MIN(IF($K65:$CP65&lt;&gt;0,$K$7:$CP$7))&lt;=GZ$6)</f>
        <v>0</v>
      </c>
      <c r="HA65" s="214">
        <f t="shared" si="0"/>
        <v>1</v>
      </c>
      <c r="HC65" s="214" cm="1">
        <f t="array" ref="HC65">--AND(MIN(IF($K65:$CP65&lt;&gt;0,$K$7:$CP$7))&gt;=HC$5,MIN(IF($K65:$CP65&lt;&gt;0,$K$7:$CP$7))&lt;=HC$6)</f>
        <v>1</v>
      </c>
      <c r="HE65" s="147" t="str">
        <f t="shared" si="19"/>
        <v>Yes</v>
      </c>
      <c r="HF65" s="147" t="str">
        <f t="shared" si="20"/>
        <v>No</v>
      </c>
      <c r="HG65" s="147">
        <f>IF($HF65="Yes",0,$H65*avg_hrs*12*'Key assumptions'!$D$87)</f>
        <v>561498.58629348304</v>
      </c>
      <c r="HH65" s="147">
        <f>IF(HE65="Yes",'Key assumptions'!$D$84*HG65,0)</f>
        <v>84224.78794402245</v>
      </c>
      <c r="HI65" s="144">
        <f>IFERROR(AVERAGEIFS($K65:$CP65,$K$7:$CP$7,"&gt;="&amp;'Key assumptions'!$D$24,$K$7:$CP$7,"&lt;="&amp;'Key assumptions'!$D$25),0)</f>
        <v>1.1762360446570974E-2</v>
      </c>
      <c r="HJ65" s="148">
        <f t="shared" si="22"/>
        <v>990.68231433359745</v>
      </c>
      <c r="HK65" s="148">
        <f t="shared" si="1"/>
        <v>990.68231433359745</v>
      </c>
      <c r="HL65" s="148">
        <f t="shared" si="2"/>
        <v>0</v>
      </c>
      <c r="HM65" s="148">
        <f t="shared" si="3"/>
        <v>0</v>
      </c>
      <c r="HN65" s="148">
        <f t="shared" si="4"/>
        <v>0</v>
      </c>
      <c r="HO65" s="148">
        <f t="shared" si="5"/>
        <v>0</v>
      </c>
      <c r="HP65" s="148">
        <f t="shared" si="6"/>
        <v>0</v>
      </c>
      <c r="HQ65" s="148">
        <f t="shared" si="7"/>
        <v>0</v>
      </c>
      <c r="HR65" s="147">
        <f t="shared" si="8"/>
        <v>990.68231433359745</v>
      </c>
      <c r="HS65" s="90"/>
      <c r="HU65" s="147">
        <f>$HJ65*HC65/(1+'Key assumptions'!G87)^0.75</f>
        <v>990.68231433359745</v>
      </c>
      <c r="HW65" s="216">
        <f t="shared" si="9"/>
        <v>1.1762360446570974E-2</v>
      </c>
      <c r="HX65" s="216">
        <f t="shared" si="10"/>
        <v>0</v>
      </c>
      <c r="HY65" s="216">
        <f t="shared" si="11"/>
        <v>0</v>
      </c>
      <c r="HZ65" s="216">
        <f t="shared" si="12"/>
        <v>0</v>
      </c>
      <c r="IA65" s="216">
        <f t="shared" si="13"/>
        <v>0</v>
      </c>
      <c r="IB65" s="216">
        <f t="shared" si="14"/>
        <v>0</v>
      </c>
      <c r="IC65" s="216">
        <f t="shared" si="15"/>
        <v>0</v>
      </c>
      <c r="ID65" s="216">
        <f t="shared" si="16"/>
        <v>1.1762360446570974E-2</v>
      </c>
      <c r="IF65" s="216">
        <f t="shared" si="17"/>
        <v>1.1762360446570974E-2</v>
      </c>
    </row>
    <row r="66" spans="2:240" x14ac:dyDescent="0.2">
      <c r="B66" s="141" t="str">
        <v>Project Development</v>
      </c>
      <c r="C66" s="141" t="str">
        <v>Professional/Engineer CO (Network System Planning)</v>
      </c>
      <c r="D66" s="141" t="str">
        <v>Internal Labour</v>
      </c>
      <c r="E66" s="141" t="str">
        <v>$ Nominal</v>
      </c>
      <c r="F66" s="141" t="str">
        <v>Existing</v>
      </c>
      <c r="G66" s="141" t="str">
        <v>Normal time</v>
      </c>
      <c r="H66" s="142">
        <v>237.45</v>
      </c>
      <c r="I66" s="126">
        <v>76421.38</v>
      </c>
      <c r="J66" s="143">
        <v>0</v>
      </c>
      <c r="K66" s="144">
        <v>0</v>
      </c>
      <c r="L66" s="144">
        <v>0</v>
      </c>
      <c r="M66" s="144">
        <v>0</v>
      </c>
      <c r="N66" s="144">
        <v>0</v>
      </c>
      <c r="O66" s="144">
        <v>0</v>
      </c>
      <c r="P66" s="144">
        <v>0</v>
      </c>
      <c r="Q66" s="144">
        <v>0.1</v>
      </c>
      <c r="R66" s="144">
        <v>0</v>
      </c>
      <c r="S66" s="144">
        <v>0.1</v>
      </c>
      <c r="T66" s="144">
        <v>0.3</v>
      </c>
      <c r="U66" s="144">
        <v>0.35</v>
      </c>
      <c r="V66" s="144">
        <v>0.26666666666666666</v>
      </c>
      <c r="W66" s="144">
        <v>0</v>
      </c>
      <c r="X66" s="144">
        <v>0.2</v>
      </c>
      <c r="Y66" s="144">
        <v>0.2</v>
      </c>
      <c r="Z66" s="144">
        <v>0.26666666666666666</v>
      </c>
      <c r="AA66" s="144">
        <v>0.18421052631578946</v>
      </c>
      <c r="AB66" s="144">
        <v>0.18421052631578946</v>
      </c>
      <c r="AC66" s="144">
        <v>0</v>
      </c>
      <c r="AD66" s="144">
        <v>0</v>
      </c>
      <c r="AE66" s="144">
        <v>0</v>
      </c>
      <c r="AF66" s="144">
        <v>0</v>
      </c>
      <c r="AG66" s="144">
        <v>0</v>
      </c>
      <c r="AH66" s="144">
        <v>0</v>
      </c>
      <c r="AI66" s="144">
        <v>0</v>
      </c>
      <c r="AJ66" s="144">
        <v>0</v>
      </c>
      <c r="AK66" s="144">
        <v>0</v>
      </c>
      <c r="AL66" s="144">
        <v>0</v>
      </c>
      <c r="AM66" s="144">
        <v>0</v>
      </c>
      <c r="AN66" s="144">
        <v>0</v>
      </c>
      <c r="AO66" s="144">
        <v>0</v>
      </c>
      <c r="AP66" s="144">
        <v>0</v>
      </c>
      <c r="AQ66" s="144">
        <v>0</v>
      </c>
      <c r="AR66" s="144">
        <v>0</v>
      </c>
      <c r="AS66" s="144">
        <v>0</v>
      </c>
      <c r="AT66" s="144">
        <v>0</v>
      </c>
      <c r="AU66" s="144">
        <v>0</v>
      </c>
      <c r="AV66" s="144">
        <v>0</v>
      </c>
      <c r="AW66" s="144">
        <v>0</v>
      </c>
      <c r="AX66" s="144">
        <v>0</v>
      </c>
      <c r="AY66" s="144">
        <v>0</v>
      </c>
      <c r="AZ66" s="144">
        <v>0</v>
      </c>
      <c r="BA66" s="144">
        <v>0</v>
      </c>
      <c r="BB66" s="144">
        <v>0</v>
      </c>
      <c r="BC66" s="144">
        <v>0</v>
      </c>
      <c r="BD66" s="144">
        <v>0</v>
      </c>
      <c r="BE66" s="144">
        <v>0</v>
      </c>
      <c r="BF66" s="144">
        <v>0</v>
      </c>
      <c r="BG66" s="144">
        <v>0</v>
      </c>
      <c r="BH66" s="144">
        <v>0</v>
      </c>
      <c r="BI66" s="144">
        <v>0</v>
      </c>
      <c r="BJ66" s="144">
        <v>0</v>
      </c>
      <c r="BK66" s="144">
        <v>0</v>
      </c>
      <c r="BL66" s="144">
        <v>0</v>
      </c>
      <c r="BM66" s="144">
        <v>0</v>
      </c>
      <c r="BN66" s="144">
        <v>0</v>
      </c>
      <c r="BO66" s="144">
        <v>0</v>
      </c>
      <c r="BP66" s="144">
        <v>0</v>
      </c>
      <c r="BQ66" s="144">
        <v>0</v>
      </c>
      <c r="BR66" s="144">
        <v>0</v>
      </c>
      <c r="BS66" s="144">
        <v>0</v>
      </c>
      <c r="BT66" s="144">
        <v>0</v>
      </c>
      <c r="BU66" s="144">
        <v>0</v>
      </c>
      <c r="BV66" s="144">
        <v>0</v>
      </c>
      <c r="BW66" s="144">
        <v>0</v>
      </c>
      <c r="BX66" s="144">
        <v>0</v>
      </c>
      <c r="BY66" s="144">
        <v>0</v>
      </c>
      <c r="BZ66" s="144">
        <v>0</v>
      </c>
      <c r="CA66" s="144">
        <v>0</v>
      </c>
      <c r="CB66" s="144">
        <v>0</v>
      </c>
      <c r="CC66" s="144">
        <v>0</v>
      </c>
      <c r="CD66" s="144">
        <v>0</v>
      </c>
      <c r="CE66" s="144">
        <v>0</v>
      </c>
      <c r="CF66" s="144">
        <v>0</v>
      </c>
      <c r="CG66" s="144">
        <v>0</v>
      </c>
      <c r="CH66" s="144">
        <v>0</v>
      </c>
      <c r="CI66" s="144">
        <v>0</v>
      </c>
      <c r="CJ66" s="144">
        <v>0</v>
      </c>
      <c r="CK66" s="144">
        <v>0</v>
      </c>
      <c r="CL66" s="144">
        <v>0</v>
      </c>
      <c r="CM66" s="144">
        <v>0</v>
      </c>
      <c r="CN66" s="144">
        <v>0</v>
      </c>
      <c r="CO66" s="144">
        <v>0</v>
      </c>
      <c r="CP66" s="144">
        <v>0</v>
      </c>
      <c r="CQ66" s="143">
        <v>0</v>
      </c>
      <c r="CR66" s="145">
        <v>0</v>
      </c>
      <c r="CS66" s="145">
        <v>0</v>
      </c>
      <c r="CT66" s="145">
        <v>0</v>
      </c>
      <c r="CU66" s="145">
        <v>0</v>
      </c>
      <c r="CV66" s="145">
        <v>0</v>
      </c>
      <c r="CW66" s="145">
        <v>0</v>
      </c>
      <c r="CX66" s="145">
        <v>4204.76</v>
      </c>
      <c r="CY66" s="145">
        <v>0</v>
      </c>
      <c r="CZ66" s="145">
        <v>4204.76</v>
      </c>
      <c r="DA66" s="145">
        <v>12614.280000000002</v>
      </c>
      <c r="DB66" s="145">
        <v>14716.660000000003</v>
      </c>
      <c r="DC66" s="145">
        <v>8409.52</v>
      </c>
      <c r="DD66" s="145">
        <v>0</v>
      </c>
      <c r="DE66" s="145">
        <v>6454.28</v>
      </c>
      <c r="DF66" s="145">
        <v>6454.28</v>
      </c>
      <c r="DG66" s="145">
        <v>6454.28</v>
      </c>
      <c r="DH66" s="145">
        <v>6454.28</v>
      </c>
      <c r="DI66" s="145">
        <v>6454.28</v>
      </c>
      <c r="DJ66" s="145">
        <v>0</v>
      </c>
      <c r="DK66" s="145">
        <v>0</v>
      </c>
      <c r="DL66" s="145">
        <v>0</v>
      </c>
      <c r="DM66" s="145">
        <v>0</v>
      </c>
      <c r="DN66" s="145">
        <v>0</v>
      </c>
      <c r="DO66" s="145">
        <v>0</v>
      </c>
      <c r="DP66" s="145">
        <v>0</v>
      </c>
      <c r="DQ66" s="145">
        <v>0</v>
      </c>
      <c r="DR66" s="145">
        <v>0</v>
      </c>
      <c r="DS66" s="145">
        <v>0</v>
      </c>
      <c r="DT66" s="145">
        <v>0</v>
      </c>
      <c r="DU66" s="145">
        <v>0</v>
      </c>
      <c r="DV66" s="145">
        <v>0</v>
      </c>
      <c r="DW66" s="145">
        <v>0</v>
      </c>
      <c r="DX66" s="145">
        <v>0</v>
      </c>
      <c r="DY66" s="145">
        <v>0</v>
      </c>
      <c r="DZ66" s="145">
        <v>0</v>
      </c>
      <c r="EA66" s="145">
        <v>0</v>
      </c>
      <c r="EB66" s="145">
        <v>0</v>
      </c>
      <c r="EC66" s="145">
        <v>0</v>
      </c>
      <c r="ED66" s="145">
        <v>0</v>
      </c>
      <c r="EE66" s="145">
        <v>0</v>
      </c>
      <c r="EF66" s="145">
        <v>0</v>
      </c>
      <c r="EG66" s="145">
        <v>0</v>
      </c>
      <c r="EH66" s="145">
        <v>0</v>
      </c>
      <c r="EI66" s="145">
        <v>0</v>
      </c>
      <c r="EJ66" s="145">
        <v>0</v>
      </c>
      <c r="EK66" s="145">
        <v>0</v>
      </c>
      <c r="EL66" s="145">
        <v>0</v>
      </c>
      <c r="EM66" s="145">
        <v>0</v>
      </c>
      <c r="EN66" s="145">
        <v>0</v>
      </c>
      <c r="EO66" s="145">
        <v>0</v>
      </c>
      <c r="EP66" s="145">
        <v>0</v>
      </c>
      <c r="EQ66" s="145">
        <v>0</v>
      </c>
      <c r="ER66" s="145">
        <v>0</v>
      </c>
      <c r="ES66" s="145">
        <v>0</v>
      </c>
      <c r="ET66" s="145">
        <v>0</v>
      </c>
      <c r="EU66" s="145">
        <v>0</v>
      </c>
      <c r="EV66" s="145">
        <v>0</v>
      </c>
      <c r="EW66" s="145">
        <v>0</v>
      </c>
      <c r="EX66" s="145">
        <v>0</v>
      </c>
      <c r="EY66" s="145">
        <v>0</v>
      </c>
      <c r="EZ66" s="145">
        <v>0</v>
      </c>
      <c r="FA66" s="145">
        <v>0</v>
      </c>
      <c r="FB66" s="145">
        <v>0</v>
      </c>
      <c r="FC66" s="145">
        <v>0</v>
      </c>
      <c r="FD66" s="145">
        <v>0</v>
      </c>
      <c r="FE66" s="145">
        <v>0</v>
      </c>
      <c r="FF66" s="145">
        <v>0</v>
      </c>
      <c r="FG66" s="145">
        <v>0</v>
      </c>
      <c r="FH66" s="145">
        <v>0</v>
      </c>
      <c r="FI66" s="145">
        <v>0</v>
      </c>
      <c r="FJ66" s="145">
        <v>0</v>
      </c>
      <c r="FK66" s="145">
        <v>0</v>
      </c>
      <c r="FL66" s="145">
        <v>0</v>
      </c>
      <c r="FM66" s="145">
        <v>0</v>
      </c>
      <c r="FN66" s="145">
        <v>0</v>
      </c>
      <c r="FO66" s="145">
        <v>0</v>
      </c>
      <c r="FP66" s="145">
        <v>0</v>
      </c>
      <c r="FQ66" s="145">
        <v>0</v>
      </c>
      <c r="FR66" s="145">
        <v>0</v>
      </c>
      <c r="FS66" s="145">
        <v>0</v>
      </c>
      <c r="FT66" s="145">
        <v>0</v>
      </c>
      <c r="FU66" s="145">
        <v>0</v>
      </c>
      <c r="FV66" s="145">
        <v>0</v>
      </c>
      <c r="FW66" s="145">
        <v>0</v>
      </c>
      <c r="FX66" s="143"/>
      <c r="FY66" s="146" t="str">
        <f>_xlfn.XLOOKUP($E66,'Key assumptions'!$B$112:$B$120,'Key assumptions'!$C$112:$C$120,0)</f>
        <v>Nominal</v>
      </c>
      <c r="FZ66" s="146" cm="1">
        <f t="array" ref="FZ66">IF($FY66=0,0,_xlfn.IFS($FY66='Key assumptions'!$C$120,_xlfn.XLOOKUP(LEFT(FZ$7,6),Inflation_Year,Inflation_NominaltoReal),TRUE,_xlfn.XLOOKUP($FY66,Inflation_Year,NominaltoReal)))</f>
        <v>1.0197075870962191</v>
      </c>
      <c r="GA66" s="146" cm="1">
        <f t="array" ref="GA66">IF($FY66=0,0,_xlfn.IFS($FY66='Key assumptions'!$C$120,_xlfn.XLOOKUP(LEFT(GA$7,6),Inflation_Year,Inflation_NominaltoReal),TRUE,_xlfn.XLOOKUP($FY66,Inflation_Year,NominaltoReal)))</f>
        <v>0.98700804022984445</v>
      </c>
      <c r="GB66" s="146" cm="1">
        <f t="array" ref="GB66">IF($FY66=0,0,_xlfn.IFS($FY66='Key assumptions'!$C$120,_xlfn.XLOOKUP(LEFT(GB$7,6),Inflation_Year,Inflation_NominaltoReal),TRUE,_xlfn.XLOOKUP($FY66,Inflation_Year,NominaltoReal)))</f>
        <v>0.96152830081941731</v>
      </c>
      <c r="GC66" s="146" cm="1">
        <f t="array" ref="GC66">IF($FY66=0,0,_xlfn.IFS($FY66='Key assumptions'!$C$120,_xlfn.XLOOKUP(LEFT(GC$7,6),Inflation_Year,Inflation_NominaltoReal),TRUE,_xlfn.XLOOKUP($FY66,Inflation_Year,NominaltoReal)))</f>
        <v>0.93670632415656829</v>
      </c>
      <c r="GD66" s="146" cm="1">
        <f t="array" ref="GD66">IF($FY66=0,0,_xlfn.IFS($FY66='Key assumptions'!$C$120,_xlfn.XLOOKUP(LEFT(GD$7,6),Inflation_Year,Inflation_NominaltoReal),TRUE,_xlfn.XLOOKUP($FY66,Inflation_Year,NominaltoReal)))</f>
        <v>0.91252513001143176</v>
      </c>
      <c r="GE66" s="146" cm="1">
        <f t="array" ref="GE66">IF($FY66=0,0,_xlfn.IFS($FY66='Key assumptions'!$C$120,_xlfn.XLOOKUP(LEFT(GE$7,6),Inflation_Year,Inflation_NominaltoReal),TRUE,_xlfn.XLOOKUP($FY66,Inflation_Year,NominaltoReal)))</f>
        <v>0.88896817650095872</v>
      </c>
      <c r="GF66" s="146" cm="1">
        <f t="array" ref="GF66">IF($FY66=0,0,_xlfn.IFS($FY66='Key assumptions'!$C$120,_xlfn.XLOOKUP(LEFT(GF$7,6),Inflation_Year,Inflation_NominaltoReal),TRUE,_xlfn.XLOOKUP($FY66,Inflation_Year,NominaltoReal)))</f>
        <v>0.86601934877293718</v>
      </c>
      <c r="GG66" s="143"/>
      <c r="GH66" s="145" cm="1">
        <f t="array" ref="GH66">SUMPRODUCT(--($CR$7:$FW$7&gt;=GH$5),--($CR$7:$FW$7&lt;=GH$6),$CR66:$FW66)*FZ66</f>
        <v>32907.39142621692</v>
      </c>
      <c r="GI66" s="145" cm="1">
        <f t="array" ref="GI66">SUMPRODUCT(--($CR$7:$FW$7&gt;=GI$5),--($CR$7:$FW$7&lt;=GI$6),$CR66:$FW66)*GA66</f>
        <v>0</v>
      </c>
      <c r="GJ66" s="145" cm="1">
        <f t="array" ref="GJ66">SUMPRODUCT(--($CR$7:$FW$7&gt;=GJ$5),--($CR$7:$FW$7&lt;=GJ$6),$CR66:$FW66)*GB66</f>
        <v>0</v>
      </c>
      <c r="GK66" s="145" cm="1">
        <f t="array" ref="GK66">SUMPRODUCT(--($CR$7:$FW$7&gt;=GK$5),--($CR$7:$FW$7&lt;=GK$6),$CR66:$FW66)*GC66</f>
        <v>0</v>
      </c>
      <c r="GL66" s="145" cm="1">
        <f t="array" ref="GL66">SUMPRODUCT(--($CR$7:$FW$7&gt;=GL$5),--($CR$7:$FW$7&lt;=GL$6),$CR66:$FW66)*GD66</f>
        <v>0</v>
      </c>
      <c r="GM66" s="145" cm="1">
        <f t="array" ref="GM66">SUMPRODUCT(--($CR$7:$FW$7&gt;=GM$5),--($CR$7:$FW$7&lt;=GM$6),$CR66:$FW66)*GE66</f>
        <v>0</v>
      </c>
      <c r="GN66" s="145" cm="1">
        <f t="array" ref="GN66">SUMPRODUCT(--($CR$7:$FW$7&gt;=GN$5),--($CR$7:$FW$7&lt;=GN$6),$CR66:$FW66)*GF66</f>
        <v>0</v>
      </c>
      <c r="GO66" s="145">
        <f t="shared" si="18"/>
        <v>32907.39142621692</v>
      </c>
      <c r="GP66" s="87"/>
      <c r="GQ66" s="89"/>
      <c r="GR66" s="145" cm="1">
        <f t="array" ref="GR66">SUMPRODUCT(--($CR$7:$FW$7&gt;=GR$5),--($CR$7:$FW$7&lt;=GR$6),$CR66:$FW66)</f>
        <v>32271.399999999998</v>
      </c>
      <c r="GS66" s="89"/>
      <c r="GT66" s="214" cm="1">
        <f t="array" ref="GT66">--AND(MIN(IF($K66:$CP66&lt;&gt;0,$K$7:$CP$7))&gt;=GT$5,MIN(IF($K66:$CP66&lt;&gt;0,$K$7:$CP$7))&lt;=GT$6)</f>
        <v>0</v>
      </c>
      <c r="GU66" s="214" cm="1">
        <f t="array" ref="GU66">--AND(MIN(IF($K66:$CP66&lt;&gt;0,$K$7:$CP$7))&gt;=GU$5,MIN(IF($K66:$CP66&lt;&gt;0,$K$7:$CP$7))&lt;=GU$6)</f>
        <v>0</v>
      </c>
      <c r="GV66" s="214" cm="1">
        <f t="array" ref="GV66">--AND(MIN(IF($K66:$CP66&lt;&gt;0,$K$7:$CP$7))&gt;=GV$5,MIN(IF($K66:$CP66&lt;&gt;0,$K$7:$CP$7))&lt;=GV$6)</f>
        <v>0</v>
      </c>
      <c r="GW66" s="214" cm="1">
        <f t="array" ref="GW66">--AND(MIN(IF($K66:$CP66&lt;&gt;0,$K$7:$CP$7))&gt;=GW$5,MIN(IF($K66:$CP66&lt;&gt;0,$K$7:$CP$7))&lt;=GW$6)</f>
        <v>0</v>
      </c>
      <c r="GX66" s="214" cm="1">
        <f t="array" ref="GX66">--AND(MIN(IF($K66:$CP66&lt;&gt;0,$K$7:$CP$7))&gt;=GX$5,MIN(IF($K66:$CP66&lt;&gt;0,$K$7:$CP$7))&lt;=GX$6)</f>
        <v>0</v>
      </c>
      <c r="GY66" s="214" cm="1">
        <f t="array" ref="GY66">--AND(MIN(IF($K66:$CP66&lt;&gt;0,$K$7:$CP$7))&gt;=GY$5,MIN(IF($K66:$CP66&lt;&gt;0,$K$7:$CP$7))&lt;=GY$6)</f>
        <v>0</v>
      </c>
      <c r="GZ66" s="214" cm="1">
        <f t="array" ref="GZ66">--AND(MIN(IF($K66:$CP66&lt;&gt;0,$K$7:$CP$7))&gt;=GZ$5,MIN(IF($K66:$CP66&lt;&gt;0,$K$7:$CP$7))&lt;=GZ$6)</f>
        <v>0</v>
      </c>
      <c r="HA66" s="214">
        <f t="shared" si="0"/>
        <v>0</v>
      </c>
      <c r="HC66" s="214" cm="1">
        <f t="array" ref="HC66">--AND(MIN(IF($K66:$CP66&lt;&gt;0,$K$7:$CP$7))&gt;=HC$5,MIN(IF($K66:$CP66&lt;&gt;0,$K$7:$CP$7))&lt;=HC$6)</f>
        <v>0</v>
      </c>
      <c r="HE66" s="147" t="str">
        <f t="shared" si="19"/>
        <v>No</v>
      </c>
      <c r="HF66" s="147" t="str">
        <f t="shared" si="20"/>
        <v>No</v>
      </c>
      <c r="HG66" s="147">
        <f>IF($HF66="Yes",0,$H66*avg_hrs*12*'Key assumptions'!$D$87)</f>
        <v>424624.47630621213</v>
      </c>
      <c r="HH66" s="147">
        <f>IF(HE66="Yes",'Key assumptions'!$D$84*HG66,0)</f>
        <v>0</v>
      </c>
      <c r="HI66" s="144">
        <f>IFERROR(AVERAGEIFS($K66:$CP66,$K$7:$CP$7,"&gt;="&amp;'Key assumptions'!$D$24,$K$7:$CP$7,"&lt;="&amp;'Key assumptions'!$D$25),0)</f>
        <v>2.3524720893141948E-2</v>
      </c>
      <c r="HJ66" s="148">
        <f t="shared" si="22"/>
        <v>0</v>
      </c>
      <c r="HK66" s="148">
        <f t="shared" si="1"/>
        <v>0</v>
      </c>
      <c r="HL66" s="148">
        <f t="shared" si="2"/>
        <v>0</v>
      </c>
      <c r="HM66" s="148">
        <f t="shared" si="3"/>
        <v>0</v>
      </c>
      <c r="HN66" s="148">
        <f t="shared" si="4"/>
        <v>0</v>
      </c>
      <c r="HO66" s="148">
        <f t="shared" si="5"/>
        <v>0</v>
      </c>
      <c r="HP66" s="148">
        <f t="shared" si="6"/>
        <v>0</v>
      </c>
      <c r="HQ66" s="148">
        <f t="shared" si="7"/>
        <v>0</v>
      </c>
      <c r="HR66" s="147">
        <f t="shared" si="8"/>
        <v>0</v>
      </c>
      <c r="HS66" s="89"/>
      <c r="HU66" s="147">
        <f>$HJ66*HC66/(1+'Key assumptions'!G88)^0.75</f>
        <v>0</v>
      </c>
      <c r="HW66" s="216">
        <f t="shared" si="9"/>
        <v>0</v>
      </c>
      <c r="HX66" s="216">
        <f t="shared" si="10"/>
        <v>0</v>
      </c>
      <c r="HY66" s="216">
        <f t="shared" si="11"/>
        <v>0</v>
      </c>
      <c r="HZ66" s="216">
        <f t="shared" si="12"/>
        <v>0</v>
      </c>
      <c r="IA66" s="216">
        <f t="shared" si="13"/>
        <v>0</v>
      </c>
      <c r="IB66" s="216">
        <f t="shared" si="14"/>
        <v>0</v>
      </c>
      <c r="IC66" s="216">
        <f t="shared" si="15"/>
        <v>0</v>
      </c>
      <c r="ID66" s="216">
        <f t="shared" si="16"/>
        <v>0</v>
      </c>
      <c r="IF66" s="216">
        <f t="shared" si="17"/>
        <v>0</v>
      </c>
    </row>
    <row r="67" spans="2:240" x14ac:dyDescent="0.2">
      <c r="B67" s="141" t="str">
        <v>Project Development</v>
      </c>
      <c r="C67" s="141" t="str">
        <v>Professional/Engineer CO (Network System Planning)</v>
      </c>
      <c r="D67" s="141" t="str">
        <v>Internal Labour</v>
      </c>
      <c r="E67" s="141" t="str">
        <v>$ Nominal</v>
      </c>
      <c r="F67" s="141" t="str">
        <v>Existing</v>
      </c>
      <c r="G67" s="141" t="str">
        <v>Normal time</v>
      </c>
      <c r="H67" s="142">
        <v>237.45</v>
      </c>
      <c r="I67" s="126">
        <v>32271.399999999998</v>
      </c>
      <c r="J67" s="143">
        <v>0</v>
      </c>
      <c r="K67" s="144">
        <v>0</v>
      </c>
      <c r="L67" s="144">
        <v>0</v>
      </c>
      <c r="M67" s="144">
        <v>0</v>
      </c>
      <c r="N67" s="144">
        <v>0</v>
      </c>
      <c r="O67" s="144">
        <v>0</v>
      </c>
      <c r="P67" s="144">
        <v>0</v>
      </c>
      <c r="Q67" s="144">
        <v>0</v>
      </c>
      <c r="R67" s="144">
        <v>0</v>
      </c>
      <c r="S67" s="144">
        <v>0</v>
      </c>
      <c r="T67" s="144">
        <v>0</v>
      </c>
      <c r="U67" s="144">
        <v>0</v>
      </c>
      <c r="V67" s="144">
        <v>0</v>
      </c>
      <c r="W67" s="144">
        <v>0</v>
      </c>
      <c r="X67" s="144">
        <v>0.2</v>
      </c>
      <c r="Y67" s="144">
        <v>0.2</v>
      </c>
      <c r="Z67" s="144">
        <v>0.26666666666666666</v>
      </c>
      <c r="AA67" s="144">
        <v>0.18421052631578946</v>
      </c>
      <c r="AB67" s="144">
        <v>0.18421052631578946</v>
      </c>
      <c r="AC67" s="144">
        <v>0</v>
      </c>
      <c r="AD67" s="144">
        <v>0</v>
      </c>
      <c r="AE67" s="144">
        <v>0</v>
      </c>
      <c r="AF67" s="144">
        <v>0</v>
      </c>
      <c r="AG67" s="144">
        <v>0</v>
      </c>
      <c r="AH67" s="144">
        <v>0</v>
      </c>
      <c r="AI67" s="144">
        <v>0</v>
      </c>
      <c r="AJ67" s="144">
        <v>0</v>
      </c>
      <c r="AK67" s="144">
        <v>0</v>
      </c>
      <c r="AL67" s="144">
        <v>0</v>
      </c>
      <c r="AM67" s="144">
        <v>0</v>
      </c>
      <c r="AN67" s="144">
        <v>0</v>
      </c>
      <c r="AO67" s="144">
        <v>0</v>
      </c>
      <c r="AP67" s="144">
        <v>0</v>
      </c>
      <c r="AQ67" s="144">
        <v>0</v>
      </c>
      <c r="AR67" s="144">
        <v>0</v>
      </c>
      <c r="AS67" s="144">
        <v>0</v>
      </c>
      <c r="AT67" s="144">
        <v>0</v>
      </c>
      <c r="AU67" s="144">
        <v>0</v>
      </c>
      <c r="AV67" s="144">
        <v>0</v>
      </c>
      <c r="AW67" s="144">
        <v>0</v>
      </c>
      <c r="AX67" s="144">
        <v>0</v>
      </c>
      <c r="AY67" s="144">
        <v>0</v>
      </c>
      <c r="AZ67" s="144">
        <v>0</v>
      </c>
      <c r="BA67" s="144">
        <v>0</v>
      </c>
      <c r="BB67" s="144">
        <v>0</v>
      </c>
      <c r="BC67" s="144">
        <v>0</v>
      </c>
      <c r="BD67" s="144">
        <v>0</v>
      </c>
      <c r="BE67" s="144">
        <v>0</v>
      </c>
      <c r="BF67" s="144">
        <v>0</v>
      </c>
      <c r="BG67" s="144">
        <v>0</v>
      </c>
      <c r="BH67" s="144">
        <v>0</v>
      </c>
      <c r="BI67" s="144">
        <v>0</v>
      </c>
      <c r="BJ67" s="144">
        <v>0</v>
      </c>
      <c r="BK67" s="144">
        <v>0</v>
      </c>
      <c r="BL67" s="144">
        <v>0</v>
      </c>
      <c r="BM67" s="144">
        <v>0</v>
      </c>
      <c r="BN67" s="144">
        <v>0</v>
      </c>
      <c r="BO67" s="144">
        <v>0</v>
      </c>
      <c r="BP67" s="144">
        <v>0</v>
      </c>
      <c r="BQ67" s="144">
        <v>0</v>
      </c>
      <c r="BR67" s="144">
        <v>0</v>
      </c>
      <c r="BS67" s="144">
        <v>0</v>
      </c>
      <c r="BT67" s="144">
        <v>0</v>
      </c>
      <c r="BU67" s="144">
        <v>0</v>
      </c>
      <c r="BV67" s="144">
        <v>0</v>
      </c>
      <c r="BW67" s="144">
        <v>0</v>
      </c>
      <c r="BX67" s="144">
        <v>0</v>
      </c>
      <c r="BY67" s="144">
        <v>0</v>
      </c>
      <c r="BZ67" s="144">
        <v>0</v>
      </c>
      <c r="CA67" s="144">
        <v>0</v>
      </c>
      <c r="CB67" s="144">
        <v>0</v>
      </c>
      <c r="CC67" s="144">
        <v>0</v>
      </c>
      <c r="CD67" s="144">
        <v>0</v>
      </c>
      <c r="CE67" s="144">
        <v>0</v>
      </c>
      <c r="CF67" s="144">
        <v>0</v>
      </c>
      <c r="CG67" s="144">
        <v>0</v>
      </c>
      <c r="CH67" s="144">
        <v>0</v>
      </c>
      <c r="CI67" s="144">
        <v>0</v>
      </c>
      <c r="CJ67" s="144">
        <v>0</v>
      </c>
      <c r="CK67" s="144">
        <v>0</v>
      </c>
      <c r="CL67" s="144">
        <v>0</v>
      </c>
      <c r="CM67" s="144">
        <v>0</v>
      </c>
      <c r="CN67" s="144">
        <v>0</v>
      </c>
      <c r="CO67" s="144">
        <v>0</v>
      </c>
      <c r="CP67" s="144">
        <v>0</v>
      </c>
      <c r="CQ67" s="143">
        <v>0</v>
      </c>
      <c r="CR67" s="145">
        <v>0</v>
      </c>
      <c r="CS67" s="145">
        <v>0</v>
      </c>
      <c r="CT67" s="145">
        <v>0</v>
      </c>
      <c r="CU67" s="145">
        <v>0</v>
      </c>
      <c r="CV67" s="145">
        <v>0</v>
      </c>
      <c r="CW67" s="145">
        <v>0</v>
      </c>
      <c r="CX67" s="145">
        <v>0</v>
      </c>
      <c r="CY67" s="145">
        <v>0</v>
      </c>
      <c r="CZ67" s="145">
        <v>0</v>
      </c>
      <c r="DA67" s="145">
        <v>0</v>
      </c>
      <c r="DB67" s="145">
        <v>0</v>
      </c>
      <c r="DC67" s="145">
        <v>0</v>
      </c>
      <c r="DD67" s="145">
        <v>0</v>
      </c>
      <c r="DE67" s="145">
        <v>6454.28</v>
      </c>
      <c r="DF67" s="145">
        <v>6454.28</v>
      </c>
      <c r="DG67" s="145">
        <v>6454.28</v>
      </c>
      <c r="DH67" s="145">
        <v>6454.28</v>
      </c>
      <c r="DI67" s="145">
        <v>6454.28</v>
      </c>
      <c r="DJ67" s="145">
        <v>0</v>
      </c>
      <c r="DK67" s="145">
        <v>0</v>
      </c>
      <c r="DL67" s="145">
        <v>0</v>
      </c>
      <c r="DM67" s="145">
        <v>0</v>
      </c>
      <c r="DN67" s="145">
        <v>0</v>
      </c>
      <c r="DO67" s="145">
        <v>0</v>
      </c>
      <c r="DP67" s="145">
        <v>0</v>
      </c>
      <c r="DQ67" s="145">
        <v>0</v>
      </c>
      <c r="DR67" s="145">
        <v>0</v>
      </c>
      <c r="DS67" s="145">
        <v>0</v>
      </c>
      <c r="DT67" s="145">
        <v>0</v>
      </c>
      <c r="DU67" s="145">
        <v>0</v>
      </c>
      <c r="DV67" s="145">
        <v>0</v>
      </c>
      <c r="DW67" s="145">
        <v>0</v>
      </c>
      <c r="DX67" s="145">
        <v>0</v>
      </c>
      <c r="DY67" s="145">
        <v>0</v>
      </c>
      <c r="DZ67" s="145">
        <v>0</v>
      </c>
      <c r="EA67" s="145">
        <v>0</v>
      </c>
      <c r="EB67" s="145">
        <v>0</v>
      </c>
      <c r="EC67" s="145">
        <v>0</v>
      </c>
      <c r="ED67" s="145">
        <v>0</v>
      </c>
      <c r="EE67" s="145">
        <v>0</v>
      </c>
      <c r="EF67" s="145">
        <v>0</v>
      </c>
      <c r="EG67" s="145">
        <v>0</v>
      </c>
      <c r="EH67" s="145">
        <v>0</v>
      </c>
      <c r="EI67" s="145">
        <v>0</v>
      </c>
      <c r="EJ67" s="145">
        <v>0</v>
      </c>
      <c r="EK67" s="145">
        <v>0</v>
      </c>
      <c r="EL67" s="145">
        <v>0</v>
      </c>
      <c r="EM67" s="145">
        <v>0</v>
      </c>
      <c r="EN67" s="145">
        <v>0</v>
      </c>
      <c r="EO67" s="145">
        <v>0</v>
      </c>
      <c r="EP67" s="145">
        <v>0</v>
      </c>
      <c r="EQ67" s="145">
        <v>0</v>
      </c>
      <c r="ER67" s="145">
        <v>0</v>
      </c>
      <c r="ES67" s="145">
        <v>0</v>
      </c>
      <c r="ET67" s="145">
        <v>0</v>
      </c>
      <c r="EU67" s="145">
        <v>0</v>
      </c>
      <c r="EV67" s="145">
        <v>0</v>
      </c>
      <c r="EW67" s="145">
        <v>0</v>
      </c>
      <c r="EX67" s="145">
        <v>0</v>
      </c>
      <c r="EY67" s="145">
        <v>0</v>
      </c>
      <c r="EZ67" s="145">
        <v>0</v>
      </c>
      <c r="FA67" s="145">
        <v>0</v>
      </c>
      <c r="FB67" s="145">
        <v>0</v>
      </c>
      <c r="FC67" s="145">
        <v>0</v>
      </c>
      <c r="FD67" s="145">
        <v>0</v>
      </c>
      <c r="FE67" s="145">
        <v>0</v>
      </c>
      <c r="FF67" s="145">
        <v>0</v>
      </c>
      <c r="FG67" s="145">
        <v>0</v>
      </c>
      <c r="FH67" s="145">
        <v>0</v>
      </c>
      <c r="FI67" s="145">
        <v>0</v>
      </c>
      <c r="FJ67" s="145">
        <v>0</v>
      </c>
      <c r="FK67" s="145">
        <v>0</v>
      </c>
      <c r="FL67" s="145">
        <v>0</v>
      </c>
      <c r="FM67" s="145">
        <v>0</v>
      </c>
      <c r="FN67" s="145">
        <v>0</v>
      </c>
      <c r="FO67" s="145">
        <v>0</v>
      </c>
      <c r="FP67" s="145">
        <v>0</v>
      </c>
      <c r="FQ67" s="145">
        <v>0</v>
      </c>
      <c r="FR67" s="145">
        <v>0</v>
      </c>
      <c r="FS67" s="145">
        <v>0</v>
      </c>
      <c r="FT67" s="145">
        <v>0</v>
      </c>
      <c r="FU67" s="145">
        <v>0</v>
      </c>
      <c r="FV67" s="145">
        <v>0</v>
      </c>
      <c r="FW67" s="145">
        <v>0</v>
      </c>
      <c r="FX67" s="143"/>
      <c r="FY67" s="146" t="str">
        <f>_xlfn.XLOOKUP($E67,'Key assumptions'!$B$112:$B$120,'Key assumptions'!$C$112:$C$120,0)</f>
        <v>Nominal</v>
      </c>
      <c r="FZ67" s="146" cm="1">
        <f t="array" ref="FZ67">IF($FY67=0,0,_xlfn.IFS($FY67='Key assumptions'!$C$120,_xlfn.XLOOKUP(LEFT(FZ$7,6),Inflation_Year,Inflation_NominaltoReal),TRUE,_xlfn.XLOOKUP($FY67,Inflation_Year,NominaltoReal)))</f>
        <v>1.0197075870962191</v>
      </c>
      <c r="GA67" s="146" cm="1">
        <f t="array" ref="GA67">IF($FY67=0,0,_xlfn.IFS($FY67='Key assumptions'!$C$120,_xlfn.XLOOKUP(LEFT(GA$7,6),Inflation_Year,Inflation_NominaltoReal),TRUE,_xlfn.XLOOKUP($FY67,Inflation_Year,NominaltoReal)))</f>
        <v>0.98700804022984445</v>
      </c>
      <c r="GB67" s="146" cm="1">
        <f t="array" ref="GB67">IF($FY67=0,0,_xlfn.IFS($FY67='Key assumptions'!$C$120,_xlfn.XLOOKUP(LEFT(GB$7,6),Inflation_Year,Inflation_NominaltoReal),TRUE,_xlfn.XLOOKUP($FY67,Inflation_Year,NominaltoReal)))</f>
        <v>0.96152830081941731</v>
      </c>
      <c r="GC67" s="146" cm="1">
        <f t="array" ref="GC67">IF($FY67=0,0,_xlfn.IFS($FY67='Key assumptions'!$C$120,_xlfn.XLOOKUP(LEFT(GC$7,6),Inflation_Year,Inflation_NominaltoReal),TRUE,_xlfn.XLOOKUP($FY67,Inflation_Year,NominaltoReal)))</f>
        <v>0.93670632415656829</v>
      </c>
      <c r="GD67" s="146" cm="1">
        <f t="array" ref="GD67">IF($FY67=0,0,_xlfn.IFS($FY67='Key assumptions'!$C$120,_xlfn.XLOOKUP(LEFT(GD$7,6),Inflation_Year,Inflation_NominaltoReal),TRUE,_xlfn.XLOOKUP($FY67,Inflation_Year,NominaltoReal)))</f>
        <v>0.91252513001143176</v>
      </c>
      <c r="GE67" s="146" cm="1">
        <f t="array" ref="GE67">IF($FY67=0,0,_xlfn.IFS($FY67='Key assumptions'!$C$120,_xlfn.XLOOKUP(LEFT(GE$7,6),Inflation_Year,Inflation_NominaltoReal),TRUE,_xlfn.XLOOKUP($FY67,Inflation_Year,NominaltoReal)))</f>
        <v>0.88896817650095872</v>
      </c>
      <c r="GF67" s="146" cm="1">
        <f t="array" ref="GF67">IF($FY67=0,0,_xlfn.IFS($FY67='Key assumptions'!$C$120,_xlfn.XLOOKUP(LEFT(GF$7,6),Inflation_Year,Inflation_NominaltoReal),TRUE,_xlfn.XLOOKUP($FY67,Inflation_Year,NominaltoReal)))</f>
        <v>0.86601934877293718</v>
      </c>
      <c r="GG67" s="143"/>
      <c r="GH67" s="145" cm="1">
        <f t="array" ref="GH67">SUMPRODUCT(--($CR$7:$FW$7&gt;=GH$5),--($CR$7:$FW$7&lt;=GH$6),$CR67:$FW67)*FZ67</f>
        <v>32907.39142621692</v>
      </c>
      <c r="GI67" s="145" cm="1">
        <f t="array" ref="GI67">SUMPRODUCT(--($CR$7:$FW$7&gt;=GI$5),--($CR$7:$FW$7&lt;=GI$6),$CR67:$FW67)*GA67</f>
        <v>0</v>
      </c>
      <c r="GJ67" s="145" cm="1">
        <f t="array" ref="GJ67">SUMPRODUCT(--($CR$7:$FW$7&gt;=GJ$5),--($CR$7:$FW$7&lt;=GJ$6),$CR67:$FW67)*GB67</f>
        <v>0</v>
      </c>
      <c r="GK67" s="145" cm="1">
        <f t="array" ref="GK67">SUMPRODUCT(--($CR$7:$FW$7&gt;=GK$5),--($CR$7:$FW$7&lt;=GK$6),$CR67:$FW67)*GC67</f>
        <v>0</v>
      </c>
      <c r="GL67" s="145" cm="1">
        <f t="array" ref="GL67">SUMPRODUCT(--($CR$7:$FW$7&gt;=GL$5),--($CR$7:$FW$7&lt;=GL$6),$CR67:$FW67)*GD67</f>
        <v>0</v>
      </c>
      <c r="GM67" s="145" cm="1">
        <f t="array" ref="GM67">SUMPRODUCT(--($CR$7:$FW$7&gt;=GM$5),--($CR$7:$FW$7&lt;=GM$6),$CR67:$FW67)*GE67</f>
        <v>0</v>
      </c>
      <c r="GN67" s="145" cm="1">
        <f t="array" ref="GN67">SUMPRODUCT(--($CR$7:$FW$7&gt;=GN$5),--($CR$7:$FW$7&lt;=GN$6),$CR67:$FW67)*GF67</f>
        <v>0</v>
      </c>
      <c r="GO67" s="145">
        <f t="shared" si="18"/>
        <v>32907.39142621692</v>
      </c>
      <c r="GP67" s="87"/>
      <c r="GQ67" s="89"/>
      <c r="GR67" s="145" cm="1">
        <f t="array" ref="GR67">SUMPRODUCT(--($CR$7:$FW$7&gt;=GR$5),--($CR$7:$FW$7&lt;=GR$6),$CR67:$FW67)</f>
        <v>32271.399999999998</v>
      </c>
      <c r="GS67" s="89"/>
      <c r="GT67" s="214" cm="1">
        <f t="array" ref="GT67">--AND(MIN(IF($K67:$CP67&lt;&gt;0,$K$7:$CP$7))&gt;=GT$5,MIN(IF($K67:$CP67&lt;&gt;0,$K$7:$CP$7))&lt;=GT$6)</f>
        <v>1</v>
      </c>
      <c r="GU67" s="214" cm="1">
        <f t="array" ref="GU67">--AND(MIN(IF($K67:$CP67&lt;&gt;0,$K$7:$CP$7))&gt;=GU$5,MIN(IF($K67:$CP67&lt;&gt;0,$K$7:$CP$7))&lt;=GU$6)</f>
        <v>0</v>
      </c>
      <c r="GV67" s="214" cm="1">
        <f t="array" ref="GV67">--AND(MIN(IF($K67:$CP67&lt;&gt;0,$K$7:$CP$7))&gt;=GV$5,MIN(IF($K67:$CP67&lt;&gt;0,$K$7:$CP$7))&lt;=GV$6)</f>
        <v>0</v>
      </c>
      <c r="GW67" s="214" cm="1">
        <f t="array" ref="GW67">--AND(MIN(IF($K67:$CP67&lt;&gt;0,$K$7:$CP$7))&gt;=GW$5,MIN(IF($K67:$CP67&lt;&gt;0,$K$7:$CP$7))&lt;=GW$6)</f>
        <v>0</v>
      </c>
      <c r="GX67" s="214" cm="1">
        <f t="array" ref="GX67">--AND(MIN(IF($K67:$CP67&lt;&gt;0,$K$7:$CP$7))&gt;=GX$5,MIN(IF($K67:$CP67&lt;&gt;0,$K$7:$CP$7))&lt;=GX$6)</f>
        <v>0</v>
      </c>
      <c r="GY67" s="214" cm="1">
        <f t="array" ref="GY67">--AND(MIN(IF($K67:$CP67&lt;&gt;0,$K$7:$CP$7))&gt;=GY$5,MIN(IF($K67:$CP67&lt;&gt;0,$K$7:$CP$7))&lt;=GY$6)</f>
        <v>0</v>
      </c>
      <c r="GZ67" s="214" cm="1">
        <f t="array" ref="GZ67">--AND(MIN(IF($K67:$CP67&lt;&gt;0,$K$7:$CP$7))&gt;=GZ$5,MIN(IF($K67:$CP67&lt;&gt;0,$K$7:$CP$7))&lt;=GZ$6)</f>
        <v>0</v>
      </c>
      <c r="HA67" s="214">
        <f t="shared" si="0"/>
        <v>1</v>
      </c>
      <c r="HC67" s="214" cm="1">
        <f t="array" ref="HC67">--AND(MIN(IF($K67:$CP67&lt;&gt;0,$K$7:$CP$7))&gt;=HC$5,MIN(IF($K67:$CP67&lt;&gt;0,$K$7:$CP$7))&lt;=HC$6)</f>
        <v>1</v>
      </c>
      <c r="HE67" s="147" t="str">
        <f t="shared" si="19"/>
        <v>No</v>
      </c>
      <c r="HF67" s="147" t="str">
        <f t="shared" si="20"/>
        <v>No</v>
      </c>
      <c r="HG67" s="147">
        <f>IF($HF67="Yes",0,$H67*avg_hrs*12*'Key assumptions'!$D$87)</f>
        <v>424624.47630621213</v>
      </c>
      <c r="HH67" s="147">
        <f>IF(HE67="Yes",'Key assumptions'!$D$84*HG67,0)</f>
        <v>0</v>
      </c>
      <c r="HI67" s="144">
        <f>IFERROR(AVERAGEIFS($K67:$CP67,$K$7:$CP$7,"&gt;="&amp;'Key assumptions'!$D$24,$K$7:$CP$7,"&lt;="&amp;'Key assumptions'!$D$25),0)</f>
        <v>2.3524720893141948E-2</v>
      </c>
      <c r="HJ67" s="148">
        <f t="shared" si="22"/>
        <v>0</v>
      </c>
      <c r="HK67" s="148">
        <f t="shared" si="1"/>
        <v>0</v>
      </c>
      <c r="HL67" s="148">
        <f t="shared" si="2"/>
        <v>0</v>
      </c>
      <c r="HM67" s="148">
        <f t="shared" si="3"/>
        <v>0</v>
      </c>
      <c r="HN67" s="148">
        <f t="shared" si="4"/>
        <v>0</v>
      </c>
      <c r="HO67" s="148">
        <f t="shared" si="5"/>
        <v>0</v>
      </c>
      <c r="HP67" s="148">
        <f t="shared" si="6"/>
        <v>0</v>
      </c>
      <c r="HQ67" s="148">
        <f t="shared" si="7"/>
        <v>0</v>
      </c>
      <c r="HR67" s="147">
        <f t="shared" si="8"/>
        <v>0</v>
      </c>
      <c r="HS67" s="89"/>
      <c r="HU67" s="147">
        <f>$HJ67*HC67/(1+'Key assumptions'!G89)^0.75</f>
        <v>0</v>
      </c>
      <c r="HW67" s="216">
        <f t="shared" si="9"/>
        <v>2.3524720893141948E-2</v>
      </c>
      <c r="HX67" s="216">
        <f t="shared" si="10"/>
        <v>0</v>
      </c>
      <c r="HY67" s="216">
        <f t="shared" si="11"/>
        <v>0</v>
      </c>
      <c r="HZ67" s="216">
        <f t="shared" si="12"/>
        <v>0</v>
      </c>
      <c r="IA67" s="216">
        <f t="shared" si="13"/>
        <v>0</v>
      </c>
      <c r="IB67" s="216">
        <f t="shared" si="14"/>
        <v>0</v>
      </c>
      <c r="IC67" s="216">
        <f t="shared" si="15"/>
        <v>0</v>
      </c>
      <c r="ID67" s="216">
        <f t="shared" si="16"/>
        <v>2.3524720893141948E-2</v>
      </c>
      <c r="IF67" s="216">
        <f t="shared" si="17"/>
        <v>2.3524720893141948E-2</v>
      </c>
    </row>
    <row r="68" spans="2:240" x14ac:dyDescent="0.2">
      <c r="B68" s="141" t="str">
        <v>Project Development</v>
      </c>
      <c r="C68" s="141" t="str">
        <v>Professional/Engineer CO (Network System Planning)</v>
      </c>
      <c r="D68" s="141" t="str">
        <v>Internal Labour</v>
      </c>
      <c r="E68" s="141" t="str">
        <v>$ Nominal</v>
      </c>
      <c r="F68" s="141" t="str">
        <v>Existing</v>
      </c>
      <c r="G68" s="141" t="str">
        <v>Normal time</v>
      </c>
      <c r="H68" s="142">
        <v>237.45</v>
      </c>
      <c r="I68" s="126">
        <v>2305.1</v>
      </c>
      <c r="J68" s="143">
        <v>0</v>
      </c>
      <c r="K68" s="144">
        <v>0</v>
      </c>
      <c r="L68" s="144">
        <v>0</v>
      </c>
      <c r="M68" s="144">
        <v>0</v>
      </c>
      <c r="N68" s="144">
        <v>0</v>
      </c>
      <c r="O68" s="144">
        <v>0</v>
      </c>
      <c r="P68" s="144">
        <v>0</v>
      </c>
      <c r="Q68" s="144">
        <v>0</v>
      </c>
      <c r="R68" s="144">
        <v>0</v>
      </c>
      <c r="S68" s="144">
        <v>0</v>
      </c>
      <c r="T68" s="144">
        <v>0</v>
      </c>
      <c r="U68" s="144">
        <v>0</v>
      </c>
      <c r="V68" s="144">
        <v>0</v>
      </c>
      <c r="W68" s="144">
        <v>0</v>
      </c>
      <c r="X68" s="144">
        <v>1.4285714285714285E-2</v>
      </c>
      <c r="Y68" s="144">
        <v>1.4285714285714285E-2</v>
      </c>
      <c r="Z68" s="144">
        <v>1.9047619047619049E-2</v>
      </c>
      <c r="AA68" s="144">
        <v>1.3157894736842105E-2</v>
      </c>
      <c r="AB68" s="144">
        <v>1.3157894736842105E-2</v>
      </c>
      <c r="AC68" s="144">
        <v>0</v>
      </c>
      <c r="AD68" s="144">
        <v>0</v>
      </c>
      <c r="AE68" s="144">
        <v>0</v>
      </c>
      <c r="AF68" s="144">
        <v>0</v>
      </c>
      <c r="AG68" s="144">
        <v>0</v>
      </c>
      <c r="AH68" s="144">
        <v>0</v>
      </c>
      <c r="AI68" s="144">
        <v>0</v>
      </c>
      <c r="AJ68" s="144">
        <v>0</v>
      </c>
      <c r="AK68" s="144">
        <v>0</v>
      </c>
      <c r="AL68" s="144">
        <v>0</v>
      </c>
      <c r="AM68" s="144">
        <v>0</v>
      </c>
      <c r="AN68" s="144">
        <v>0</v>
      </c>
      <c r="AO68" s="144">
        <v>0</v>
      </c>
      <c r="AP68" s="144">
        <v>0</v>
      </c>
      <c r="AQ68" s="144">
        <v>0</v>
      </c>
      <c r="AR68" s="144">
        <v>0</v>
      </c>
      <c r="AS68" s="144">
        <v>0</v>
      </c>
      <c r="AT68" s="144">
        <v>0</v>
      </c>
      <c r="AU68" s="144">
        <v>0</v>
      </c>
      <c r="AV68" s="144">
        <v>0</v>
      </c>
      <c r="AW68" s="144">
        <v>0</v>
      </c>
      <c r="AX68" s="144">
        <v>0</v>
      </c>
      <c r="AY68" s="144">
        <v>0</v>
      </c>
      <c r="AZ68" s="144">
        <v>0</v>
      </c>
      <c r="BA68" s="144">
        <v>0</v>
      </c>
      <c r="BB68" s="144">
        <v>0</v>
      </c>
      <c r="BC68" s="144">
        <v>0</v>
      </c>
      <c r="BD68" s="144">
        <v>0</v>
      </c>
      <c r="BE68" s="144">
        <v>0</v>
      </c>
      <c r="BF68" s="144">
        <v>0</v>
      </c>
      <c r="BG68" s="144">
        <v>0</v>
      </c>
      <c r="BH68" s="144">
        <v>0</v>
      </c>
      <c r="BI68" s="144">
        <v>0</v>
      </c>
      <c r="BJ68" s="144">
        <v>0</v>
      </c>
      <c r="BK68" s="144">
        <v>0</v>
      </c>
      <c r="BL68" s="144">
        <v>0</v>
      </c>
      <c r="BM68" s="144">
        <v>0</v>
      </c>
      <c r="BN68" s="144">
        <v>0</v>
      </c>
      <c r="BO68" s="144">
        <v>0</v>
      </c>
      <c r="BP68" s="144">
        <v>0</v>
      </c>
      <c r="BQ68" s="144">
        <v>0</v>
      </c>
      <c r="BR68" s="144">
        <v>0</v>
      </c>
      <c r="BS68" s="144">
        <v>0</v>
      </c>
      <c r="BT68" s="144">
        <v>0</v>
      </c>
      <c r="BU68" s="144">
        <v>0</v>
      </c>
      <c r="BV68" s="144">
        <v>0</v>
      </c>
      <c r="BW68" s="144">
        <v>0</v>
      </c>
      <c r="BX68" s="144">
        <v>0</v>
      </c>
      <c r="BY68" s="144">
        <v>0</v>
      </c>
      <c r="BZ68" s="144">
        <v>0</v>
      </c>
      <c r="CA68" s="144">
        <v>0</v>
      </c>
      <c r="CB68" s="144">
        <v>0</v>
      </c>
      <c r="CC68" s="144">
        <v>0</v>
      </c>
      <c r="CD68" s="144">
        <v>0</v>
      </c>
      <c r="CE68" s="144">
        <v>0</v>
      </c>
      <c r="CF68" s="144">
        <v>0</v>
      </c>
      <c r="CG68" s="144">
        <v>0</v>
      </c>
      <c r="CH68" s="144">
        <v>0</v>
      </c>
      <c r="CI68" s="144">
        <v>0</v>
      </c>
      <c r="CJ68" s="144">
        <v>0</v>
      </c>
      <c r="CK68" s="144">
        <v>0</v>
      </c>
      <c r="CL68" s="144">
        <v>0</v>
      </c>
      <c r="CM68" s="144">
        <v>0</v>
      </c>
      <c r="CN68" s="144">
        <v>0</v>
      </c>
      <c r="CO68" s="144">
        <v>0</v>
      </c>
      <c r="CP68" s="144">
        <v>0</v>
      </c>
      <c r="CQ68" s="143">
        <v>0</v>
      </c>
      <c r="CR68" s="145">
        <v>0</v>
      </c>
      <c r="CS68" s="145">
        <v>0</v>
      </c>
      <c r="CT68" s="145">
        <v>0</v>
      </c>
      <c r="CU68" s="145">
        <v>0</v>
      </c>
      <c r="CV68" s="145">
        <v>0</v>
      </c>
      <c r="CW68" s="145">
        <v>0</v>
      </c>
      <c r="CX68" s="145">
        <v>0</v>
      </c>
      <c r="CY68" s="145">
        <v>0</v>
      </c>
      <c r="CZ68" s="145">
        <v>0</v>
      </c>
      <c r="DA68" s="145">
        <v>0</v>
      </c>
      <c r="DB68" s="145">
        <v>0</v>
      </c>
      <c r="DC68" s="145">
        <v>0</v>
      </c>
      <c r="DD68" s="145">
        <v>0</v>
      </c>
      <c r="DE68" s="145">
        <v>461.02</v>
      </c>
      <c r="DF68" s="145">
        <v>461.02</v>
      </c>
      <c r="DG68" s="145">
        <v>461.02</v>
      </c>
      <c r="DH68" s="145">
        <v>461.02</v>
      </c>
      <c r="DI68" s="145">
        <v>461.02</v>
      </c>
      <c r="DJ68" s="145">
        <v>0</v>
      </c>
      <c r="DK68" s="145">
        <v>0</v>
      </c>
      <c r="DL68" s="145">
        <v>0</v>
      </c>
      <c r="DM68" s="145">
        <v>0</v>
      </c>
      <c r="DN68" s="145">
        <v>0</v>
      </c>
      <c r="DO68" s="145">
        <v>0</v>
      </c>
      <c r="DP68" s="145">
        <v>0</v>
      </c>
      <c r="DQ68" s="145">
        <v>0</v>
      </c>
      <c r="DR68" s="145">
        <v>0</v>
      </c>
      <c r="DS68" s="145">
        <v>0</v>
      </c>
      <c r="DT68" s="145">
        <v>0</v>
      </c>
      <c r="DU68" s="145">
        <v>0</v>
      </c>
      <c r="DV68" s="145">
        <v>0</v>
      </c>
      <c r="DW68" s="145">
        <v>0</v>
      </c>
      <c r="DX68" s="145">
        <v>0</v>
      </c>
      <c r="DY68" s="145">
        <v>0</v>
      </c>
      <c r="DZ68" s="145">
        <v>0</v>
      </c>
      <c r="EA68" s="145">
        <v>0</v>
      </c>
      <c r="EB68" s="145">
        <v>0</v>
      </c>
      <c r="EC68" s="145">
        <v>0</v>
      </c>
      <c r="ED68" s="145">
        <v>0</v>
      </c>
      <c r="EE68" s="145">
        <v>0</v>
      </c>
      <c r="EF68" s="145">
        <v>0</v>
      </c>
      <c r="EG68" s="145">
        <v>0</v>
      </c>
      <c r="EH68" s="145">
        <v>0</v>
      </c>
      <c r="EI68" s="145">
        <v>0</v>
      </c>
      <c r="EJ68" s="145">
        <v>0</v>
      </c>
      <c r="EK68" s="145">
        <v>0</v>
      </c>
      <c r="EL68" s="145">
        <v>0</v>
      </c>
      <c r="EM68" s="145">
        <v>0</v>
      </c>
      <c r="EN68" s="145">
        <v>0</v>
      </c>
      <c r="EO68" s="145">
        <v>0</v>
      </c>
      <c r="EP68" s="145">
        <v>0</v>
      </c>
      <c r="EQ68" s="145">
        <v>0</v>
      </c>
      <c r="ER68" s="145">
        <v>0</v>
      </c>
      <c r="ES68" s="145">
        <v>0</v>
      </c>
      <c r="ET68" s="145">
        <v>0</v>
      </c>
      <c r="EU68" s="145">
        <v>0</v>
      </c>
      <c r="EV68" s="145">
        <v>0</v>
      </c>
      <c r="EW68" s="145">
        <v>0</v>
      </c>
      <c r="EX68" s="145">
        <v>0</v>
      </c>
      <c r="EY68" s="145">
        <v>0</v>
      </c>
      <c r="EZ68" s="145">
        <v>0</v>
      </c>
      <c r="FA68" s="145">
        <v>0</v>
      </c>
      <c r="FB68" s="145">
        <v>0</v>
      </c>
      <c r="FC68" s="145">
        <v>0</v>
      </c>
      <c r="FD68" s="145">
        <v>0</v>
      </c>
      <c r="FE68" s="145">
        <v>0</v>
      </c>
      <c r="FF68" s="145">
        <v>0</v>
      </c>
      <c r="FG68" s="145">
        <v>0</v>
      </c>
      <c r="FH68" s="145">
        <v>0</v>
      </c>
      <c r="FI68" s="145">
        <v>0</v>
      </c>
      <c r="FJ68" s="145">
        <v>0</v>
      </c>
      <c r="FK68" s="145">
        <v>0</v>
      </c>
      <c r="FL68" s="145">
        <v>0</v>
      </c>
      <c r="FM68" s="145">
        <v>0</v>
      </c>
      <c r="FN68" s="145">
        <v>0</v>
      </c>
      <c r="FO68" s="145">
        <v>0</v>
      </c>
      <c r="FP68" s="145">
        <v>0</v>
      </c>
      <c r="FQ68" s="145">
        <v>0</v>
      </c>
      <c r="FR68" s="145">
        <v>0</v>
      </c>
      <c r="FS68" s="145">
        <v>0</v>
      </c>
      <c r="FT68" s="145">
        <v>0</v>
      </c>
      <c r="FU68" s="145">
        <v>0</v>
      </c>
      <c r="FV68" s="145">
        <v>0</v>
      </c>
      <c r="FW68" s="145">
        <v>0</v>
      </c>
      <c r="FX68" s="143"/>
      <c r="FY68" s="146" t="str">
        <f>_xlfn.XLOOKUP($E68,'Key assumptions'!$B$112:$B$120,'Key assumptions'!$C$112:$C$120,0)</f>
        <v>Nominal</v>
      </c>
      <c r="FZ68" s="146" cm="1">
        <f t="array" ref="FZ68">IF($FY68=0,0,_xlfn.IFS($FY68='Key assumptions'!$C$120,_xlfn.XLOOKUP(LEFT(FZ$7,6),Inflation_Year,Inflation_NominaltoReal),TRUE,_xlfn.XLOOKUP($FY68,Inflation_Year,NominaltoReal)))</f>
        <v>1.0197075870962191</v>
      </c>
      <c r="GA68" s="146" cm="1">
        <f t="array" ref="GA68">IF($FY68=0,0,_xlfn.IFS($FY68='Key assumptions'!$C$120,_xlfn.XLOOKUP(LEFT(GA$7,6),Inflation_Year,Inflation_NominaltoReal),TRUE,_xlfn.XLOOKUP($FY68,Inflation_Year,NominaltoReal)))</f>
        <v>0.98700804022984445</v>
      </c>
      <c r="GB68" s="146" cm="1">
        <f t="array" ref="GB68">IF($FY68=0,0,_xlfn.IFS($FY68='Key assumptions'!$C$120,_xlfn.XLOOKUP(LEFT(GB$7,6),Inflation_Year,Inflation_NominaltoReal),TRUE,_xlfn.XLOOKUP($FY68,Inflation_Year,NominaltoReal)))</f>
        <v>0.96152830081941731</v>
      </c>
      <c r="GC68" s="146" cm="1">
        <f t="array" ref="GC68">IF($FY68=0,0,_xlfn.IFS($FY68='Key assumptions'!$C$120,_xlfn.XLOOKUP(LEFT(GC$7,6),Inflation_Year,Inflation_NominaltoReal),TRUE,_xlfn.XLOOKUP($FY68,Inflation_Year,NominaltoReal)))</f>
        <v>0.93670632415656829</v>
      </c>
      <c r="GD68" s="146" cm="1">
        <f t="array" ref="GD68">IF($FY68=0,0,_xlfn.IFS($FY68='Key assumptions'!$C$120,_xlfn.XLOOKUP(LEFT(GD$7,6),Inflation_Year,Inflation_NominaltoReal),TRUE,_xlfn.XLOOKUP($FY68,Inflation_Year,NominaltoReal)))</f>
        <v>0.91252513001143176</v>
      </c>
      <c r="GE68" s="146" cm="1">
        <f t="array" ref="GE68">IF($FY68=0,0,_xlfn.IFS($FY68='Key assumptions'!$C$120,_xlfn.XLOOKUP(LEFT(GE$7,6),Inflation_Year,Inflation_NominaltoReal),TRUE,_xlfn.XLOOKUP($FY68,Inflation_Year,NominaltoReal)))</f>
        <v>0.88896817650095872</v>
      </c>
      <c r="GF68" s="146" cm="1">
        <f t="array" ref="GF68">IF($FY68=0,0,_xlfn.IFS($FY68='Key assumptions'!$C$120,_xlfn.XLOOKUP(LEFT(GF$7,6),Inflation_Year,Inflation_NominaltoReal),TRUE,_xlfn.XLOOKUP($FY68,Inflation_Year,NominaltoReal)))</f>
        <v>0.86601934877293718</v>
      </c>
      <c r="GG68" s="143"/>
      <c r="GH68" s="145" cm="1">
        <f t="array" ref="GH68">SUMPRODUCT(--($CR$7:$FW$7&gt;=GH$5),--($CR$7:$FW$7&lt;=GH$6),$CR68:$FW68)*FZ68</f>
        <v>2350.5279590154946</v>
      </c>
      <c r="GI68" s="145" cm="1">
        <f t="array" ref="GI68">SUMPRODUCT(--($CR$7:$FW$7&gt;=GI$5),--($CR$7:$FW$7&lt;=GI$6),$CR68:$FW68)*GA68</f>
        <v>0</v>
      </c>
      <c r="GJ68" s="145" cm="1">
        <f t="array" ref="GJ68">SUMPRODUCT(--($CR$7:$FW$7&gt;=GJ$5),--($CR$7:$FW$7&lt;=GJ$6),$CR68:$FW68)*GB68</f>
        <v>0</v>
      </c>
      <c r="GK68" s="145" cm="1">
        <f t="array" ref="GK68">SUMPRODUCT(--($CR$7:$FW$7&gt;=GK$5),--($CR$7:$FW$7&lt;=GK$6),$CR68:$FW68)*GC68</f>
        <v>0</v>
      </c>
      <c r="GL68" s="145" cm="1">
        <f t="array" ref="GL68">SUMPRODUCT(--($CR$7:$FW$7&gt;=GL$5),--($CR$7:$FW$7&lt;=GL$6),$CR68:$FW68)*GD68</f>
        <v>0</v>
      </c>
      <c r="GM68" s="145" cm="1">
        <f t="array" ref="GM68">SUMPRODUCT(--($CR$7:$FW$7&gt;=GM$5),--($CR$7:$FW$7&lt;=GM$6),$CR68:$FW68)*GE68</f>
        <v>0</v>
      </c>
      <c r="GN68" s="145" cm="1">
        <f t="array" ref="GN68">SUMPRODUCT(--($CR$7:$FW$7&gt;=GN$5),--($CR$7:$FW$7&lt;=GN$6),$CR68:$FW68)*GF68</f>
        <v>0</v>
      </c>
      <c r="GO68" s="145">
        <f t="shared" si="18"/>
        <v>2350.5279590154946</v>
      </c>
      <c r="GP68" s="87"/>
      <c r="GQ68" s="89"/>
      <c r="GR68" s="145" cm="1">
        <f t="array" ref="GR68">SUMPRODUCT(--($CR$7:$FW$7&gt;=GR$5),--($CR$7:$FW$7&lt;=GR$6),$CR68:$FW68)</f>
        <v>2305.1</v>
      </c>
      <c r="GS68" s="89"/>
      <c r="GT68" s="214" cm="1">
        <f t="array" ref="GT68">--AND(MIN(IF($K68:$CP68&lt;&gt;0,$K$7:$CP$7))&gt;=GT$5,MIN(IF($K68:$CP68&lt;&gt;0,$K$7:$CP$7))&lt;=GT$6)</f>
        <v>1</v>
      </c>
      <c r="GU68" s="214" cm="1">
        <f t="array" ref="GU68">--AND(MIN(IF($K68:$CP68&lt;&gt;0,$K$7:$CP$7))&gt;=GU$5,MIN(IF($K68:$CP68&lt;&gt;0,$K$7:$CP$7))&lt;=GU$6)</f>
        <v>0</v>
      </c>
      <c r="GV68" s="214" cm="1">
        <f t="array" ref="GV68">--AND(MIN(IF($K68:$CP68&lt;&gt;0,$K$7:$CP$7))&gt;=GV$5,MIN(IF($K68:$CP68&lt;&gt;0,$K$7:$CP$7))&lt;=GV$6)</f>
        <v>0</v>
      </c>
      <c r="GW68" s="214" cm="1">
        <f t="array" ref="GW68">--AND(MIN(IF($K68:$CP68&lt;&gt;0,$K$7:$CP$7))&gt;=GW$5,MIN(IF($K68:$CP68&lt;&gt;0,$K$7:$CP$7))&lt;=GW$6)</f>
        <v>0</v>
      </c>
      <c r="GX68" s="214" cm="1">
        <f t="array" ref="GX68">--AND(MIN(IF($K68:$CP68&lt;&gt;0,$K$7:$CP$7))&gt;=GX$5,MIN(IF($K68:$CP68&lt;&gt;0,$K$7:$CP$7))&lt;=GX$6)</f>
        <v>0</v>
      </c>
      <c r="GY68" s="214" cm="1">
        <f t="array" ref="GY68">--AND(MIN(IF($K68:$CP68&lt;&gt;0,$K$7:$CP$7))&gt;=GY$5,MIN(IF($K68:$CP68&lt;&gt;0,$K$7:$CP$7))&lt;=GY$6)</f>
        <v>0</v>
      </c>
      <c r="GZ68" s="214" cm="1">
        <f t="array" ref="GZ68">--AND(MIN(IF($K68:$CP68&lt;&gt;0,$K$7:$CP$7))&gt;=GZ$5,MIN(IF($K68:$CP68&lt;&gt;0,$K$7:$CP$7))&lt;=GZ$6)</f>
        <v>0</v>
      </c>
      <c r="HA68" s="214">
        <f t="shared" si="0"/>
        <v>1</v>
      </c>
      <c r="HC68" s="214" cm="1">
        <f t="array" ref="HC68">--AND(MIN(IF($K68:$CP68&lt;&gt;0,$K$7:$CP$7))&gt;=HC$5,MIN(IF($K68:$CP68&lt;&gt;0,$K$7:$CP$7))&lt;=HC$6)</f>
        <v>1</v>
      </c>
      <c r="HE68" s="147" t="str">
        <f t="shared" si="19"/>
        <v>No</v>
      </c>
      <c r="HF68" s="147" t="str">
        <f t="shared" si="20"/>
        <v>No</v>
      </c>
      <c r="HG68" s="147">
        <f>IF($HF68="Yes",0,$H68*avg_hrs*12*'Key assumptions'!$D$87)</f>
        <v>424624.47630621213</v>
      </c>
      <c r="HH68" s="147">
        <f>IF(HE68="Yes",'Key assumptions'!$D$84*HG68,0)</f>
        <v>0</v>
      </c>
      <c r="HI68" s="144">
        <f>IFERROR(AVERAGEIFS($K68:$CP68,$K$7:$CP$7,"&gt;="&amp;'Key assumptions'!$D$24,$K$7:$CP$7,"&lt;="&amp;'Key assumptions'!$D$25),0)</f>
        <v>1.680337206652996E-3</v>
      </c>
      <c r="HJ68" s="148">
        <f t="shared" si="22"/>
        <v>0</v>
      </c>
      <c r="HK68" s="148">
        <f t="shared" si="1"/>
        <v>0</v>
      </c>
      <c r="HL68" s="148">
        <f t="shared" si="2"/>
        <v>0</v>
      </c>
      <c r="HM68" s="148">
        <f t="shared" si="3"/>
        <v>0</v>
      </c>
      <c r="HN68" s="148">
        <f t="shared" si="4"/>
        <v>0</v>
      </c>
      <c r="HO68" s="148">
        <f t="shared" si="5"/>
        <v>0</v>
      </c>
      <c r="HP68" s="148">
        <f t="shared" si="6"/>
        <v>0</v>
      </c>
      <c r="HQ68" s="148">
        <f t="shared" si="7"/>
        <v>0</v>
      </c>
      <c r="HR68" s="147">
        <f t="shared" si="8"/>
        <v>0</v>
      </c>
      <c r="HS68" s="89"/>
      <c r="HU68" s="147">
        <f>$HJ68*HC68/(1+'Key assumptions'!G90)^0.75</f>
        <v>0</v>
      </c>
      <c r="HW68" s="216">
        <f t="shared" si="9"/>
        <v>1.680337206652996E-3</v>
      </c>
      <c r="HX68" s="216">
        <f t="shared" si="10"/>
        <v>0</v>
      </c>
      <c r="HY68" s="216">
        <f t="shared" si="11"/>
        <v>0</v>
      </c>
      <c r="HZ68" s="216">
        <f t="shared" si="12"/>
        <v>0</v>
      </c>
      <c r="IA68" s="216">
        <f t="shared" si="13"/>
        <v>0</v>
      </c>
      <c r="IB68" s="216">
        <f t="shared" si="14"/>
        <v>0</v>
      </c>
      <c r="IC68" s="216">
        <f t="shared" si="15"/>
        <v>0</v>
      </c>
      <c r="ID68" s="216">
        <f t="shared" si="16"/>
        <v>1.680337206652996E-3</v>
      </c>
      <c r="IF68" s="216">
        <f t="shared" si="17"/>
        <v>1.680337206652996E-3</v>
      </c>
    </row>
    <row r="69" spans="2:240" x14ac:dyDescent="0.2">
      <c r="B69" s="141" t="str">
        <v>Project Development</v>
      </c>
      <c r="C69" s="141" t="str">
        <v>Group Manager (Network Projects)</v>
      </c>
      <c r="D69" s="141" t="str">
        <v>Internal Labour</v>
      </c>
      <c r="E69" s="141" t="str">
        <v>$ Nominal</v>
      </c>
      <c r="F69" s="141" t="str">
        <v>Existing</v>
      </c>
      <c r="G69" s="141" t="str">
        <v>Normal time</v>
      </c>
      <c r="H69" s="142">
        <v>513.16999999999996</v>
      </c>
      <c r="I69" s="126">
        <v>94412.1</v>
      </c>
      <c r="J69" s="143">
        <v>0</v>
      </c>
      <c r="K69" s="144">
        <v>0</v>
      </c>
      <c r="L69" s="144">
        <v>0</v>
      </c>
      <c r="M69" s="144">
        <v>0</v>
      </c>
      <c r="N69" s="144">
        <v>0</v>
      </c>
      <c r="O69" s="144">
        <v>0</v>
      </c>
      <c r="P69" s="144">
        <v>0</v>
      </c>
      <c r="Q69" s="144">
        <v>0</v>
      </c>
      <c r="R69" s="144">
        <v>0</v>
      </c>
      <c r="S69" s="144">
        <v>0</v>
      </c>
      <c r="T69" s="144">
        <v>0</v>
      </c>
      <c r="U69" s="144">
        <v>0</v>
      </c>
      <c r="V69" s="144">
        <v>0</v>
      </c>
      <c r="W69" s="144">
        <v>0</v>
      </c>
      <c r="X69" s="144">
        <v>0.25</v>
      </c>
      <c r="Y69" s="144">
        <v>0.25</v>
      </c>
      <c r="Z69" s="144">
        <v>0.33333333333333331</v>
      </c>
      <c r="AA69" s="144">
        <v>0.23026315789473684</v>
      </c>
      <c r="AB69" s="144">
        <v>0.23026315789473684</v>
      </c>
      <c r="AC69" s="144">
        <v>0</v>
      </c>
      <c r="AD69" s="144">
        <v>0</v>
      </c>
      <c r="AE69" s="144">
        <v>0</v>
      </c>
      <c r="AF69" s="144">
        <v>0</v>
      </c>
      <c r="AG69" s="144">
        <v>0</v>
      </c>
      <c r="AH69" s="144">
        <v>0</v>
      </c>
      <c r="AI69" s="144">
        <v>0</v>
      </c>
      <c r="AJ69" s="144">
        <v>0</v>
      </c>
      <c r="AK69" s="144">
        <v>0</v>
      </c>
      <c r="AL69" s="144">
        <v>0</v>
      </c>
      <c r="AM69" s="144">
        <v>0</v>
      </c>
      <c r="AN69" s="144">
        <v>0</v>
      </c>
      <c r="AO69" s="144">
        <v>0</v>
      </c>
      <c r="AP69" s="144">
        <v>0</v>
      </c>
      <c r="AQ69" s="144">
        <v>0</v>
      </c>
      <c r="AR69" s="144">
        <v>0</v>
      </c>
      <c r="AS69" s="144">
        <v>0</v>
      </c>
      <c r="AT69" s="144">
        <v>0</v>
      </c>
      <c r="AU69" s="144">
        <v>0</v>
      </c>
      <c r="AV69" s="144">
        <v>0</v>
      </c>
      <c r="AW69" s="144">
        <v>0</v>
      </c>
      <c r="AX69" s="144">
        <v>0</v>
      </c>
      <c r="AY69" s="144">
        <v>0</v>
      </c>
      <c r="AZ69" s="144">
        <v>0</v>
      </c>
      <c r="BA69" s="144">
        <v>0</v>
      </c>
      <c r="BB69" s="144">
        <v>0</v>
      </c>
      <c r="BC69" s="144">
        <v>0</v>
      </c>
      <c r="BD69" s="144">
        <v>0</v>
      </c>
      <c r="BE69" s="144">
        <v>0</v>
      </c>
      <c r="BF69" s="144">
        <v>0</v>
      </c>
      <c r="BG69" s="144">
        <v>0</v>
      </c>
      <c r="BH69" s="144">
        <v>0</v>
      </c>
      <c r="BI69" s="144">
        <v>0</v>
      </c>
      <c r="BJ69" s="144">
        <v>0</v>
      </c>
      <c r="BK69" s="144">
        <v>0</v>
      </c>
      <c r="BL69" s="144">
        <v>0</v>
      </c>
      <c r="BM69" s="144">
        <v>0</v>
      </c>
      <c r="BN69" s="144">
        <v>0</v>
      </c>
      <c r="BO69" s="144">
        <v>0</v>
      </c>
      <c r="BP69" s="144">
        <v>0</v>
      </c>
      <c r="BQ69" s="144">
        <v>0</v>
      </c>
      <c r="BR69" s="144">
        <v>0</v>
      </c>
      <c r="BS69" s="144">
        <v>0</v>
      </c>
      <c r="BT69" s="144">
        <v>0</v>
      </c>
      <c r="BU69" s="144">
        <v>0</v>
      </c>
      <c r="BV69" s="144">
        <v>0</v>
      </c>
      <c r="BW69" s="144">
        <v>0</v>
      </c>
      <c r="BX69" s="144">
        <v>0</v>
      </c>
      <c r="BY69" s="144">
        <v>0</v>
      </c>
      <c r="BZ69" s="144">
        <v>0</v>
      </c>
      <c r="CA69" s="144">
        <v>0</v>
      </c>
      <c r="CB69" s="144">
        <v>0</v>
      </c>
      <c r="CC69" s="144">
        <v>0</v>
      </c>
      <c r="CD69" s="144">
        <v>0</v>
      </c>
      <c r="CE69" s="144">
        <v>0</v>
      </c>
      <c r="CF69" s="144">
        <v>0</v>
      </c>
      <c r="CG69" s="144">
        <v>0</v>
      </c>
      <c r="CH69" s="144">
        <v>0</v>
      </c>
      <c r="CI69" s="144">
        <v>0</v>
      </c>
      <c r="CJ69" s="144">
        <v>0</v>
      </c>
      <c r="CK69" s="144">
        <v>0</v>
      </c>
      <c r="CL69" s="144">
        <v>0</v>
      </c>
      <c r="CM69" s="144">
        <v>0</v>
      </c>
      <c r="CN69" s="144">
        <v>0</v>
      </c>
      <c r="CO69" s="144">
        <v>0</v>
      </c>
      <c r="CP69" s="144">
        <v>0</v>
      </c>
      <c r="CQ69" s="143">
        <v>0</v>
      </c>
      <c r="CR69" s="145">
        <v>0</v>
      </c>
      <c r="CS69" s="145">
        <v>0</v>
      </c>
      <c r="CT69" s="145">
        <v>0</v>
      </c>
      <c r="CU69" s="145">
        <v>0</v>
      </c>
      <c r="CV69" s="145">
        <v>0</v>
      </c>
      <c r="CW69" s="145">
        <v>7230.6</v>
      </c>
      <c r="CX69" s="145">
        <v>0</v>
      </c>
      <c r="CY69" s="145">
        <v>0</v>
      </c>
      <c r="CZ69" s="145">
        <v>0</v>
      </c>
      <c r="DA69" s="145">
        <v>0</v>
      </c>
      <c r="DB69" s="145">
        <v>0</v>
      </c>
      <c r="DC69" s="145">
        <v>0</v>
      </c>
      <c r="DD69" s="145">
        <v>0</v>
      </c>
      <c r="DE69" s="145">
        <v>17436.3</v>
      </c>
      <c r="DF69" s="145">
        <v>17436.3</v>
      </c>
      <c r="DG69" s="145">
        <v>17436.3</v>
      </c>
      <c r="DH69" s="145">
        <v>17436.3</v>
      </c>
      <c r="DI69" s="145">
        <v>17436.3</v>
      </c>
      <c r="DJ69" s="145">
        <v>0</v>
      </c>
      <c r="DK69" s="145">
        <v>0</v>
      </c>
      <c r="DL69" s="145">
        <v>0</v>
      </c>
      <c r="DM69" s="145">
        <v>0</v>
      </c>
      <c r="DN69" s="145">
        <v>0</v>
      </c>
      <c r="DO69" s="145">
        <v>0</v>
      </c>
      <c r="DP69" s="145">
        <v>0</v>
      </c>
      <c r="DQ69" s="145">
        <v>0</v>
      </c>
      <c r="DR69" s="145">
        <v>0</v>
      </c>
      <c r="DS69" s="145">
        <v>0</v>
      </c>
      <c r="DT69" s="145">
        <v>0</v>
      </c>
      <c r="DU69" s="145">
        <v>0</v>
      </c>
      <c r="DV69" s="145">
        <v>0</v>
      </c>
      <c r="DW69" s="145">
        <v>0</v>
      </c>
      <c r="DX69" s="145">
        <v>0</v>
      </c>
      <c r="DY69" s="145">
        <v>0</v>
      </c>
      <c r="DZ69" s="145">
        <v>0</v>
      </c>
      <c r="EA69" s="145">
        <v>0</v>
      </c>
      <c r="EB69" s="145">
        <v>0</v>
      </c>
      <c r="EC69" s="145">
        <v>0</v>
      </c>
      <c r="ED69" s="145">
        <v>0</v>
      </c>
      <c r="EE69" s="145">
        <v>0</v>
      </c>
      <c r="EF69" s="145">
        <v>0</v>
      </c>
      <c r="EG69" s="145">
        <v>0</v>
      </c>
      <c r="EH69" s="145">
        <v>0</v>
      </c>
      <c r="EI69" s="145">
        <v>0</v>
      </c>
      <c r="EJ69" s="145">
        <v>0</v>
      </c>
      <c r="EK69" s="145">
        <v>0</v>
      </c>
      <c r="EL69" s="145">
        <v>0</v>
      </c>
      <c r="EM69" s="145">
        <v>0</v>
      </c>
      <c r="EN69" s="145">
        <v>0</v>
      </c>
      <c r="EO69" s="145">
        <v>0</v>
      </c>
      <c r="EP69" s="145">
        <v>0</v>
      </c>
      <c r="EQ69" s="145">
        <v>0</v>
      </c>
      <c r="ER69" s="145">
        <v>0</v>
      </c>
      <c r="ES69" s="145">
        <v>0</v>
      </c>
      <c r="ET69" s="145">
        <v>0</v>
      </c>
      <c r="EU69" s="145">
        <v>0</v>
      </c>
      <c r="EV69" s="145">
        <v>0</v>
      </c>
      <c r="EW69" s="145">
        <v>0</v>
      </c>
      <c r="EX69" s="145">
        <v>0</v>
      </c>
      <c r="EY69" s="145">
        <v>0</v>
      </c>
      <c r="EZ69" s="145">
        <v>0</v>
      </c>
      <c r="FA69" s="145">
        <v>0</v>
      </c>
      <c r="FB69" s="145">
        <v>0</v>
      </c>
      <c r="FC69" s="145">
        <v>0</v>
      </c>
      <c r="FD69" s="145">
        <v>0</v>
      </c>
      <c r="FE69" s="145">
        <v>0</v>
      </c>
      <c r="FF69" s="145">
        <v>0</v>
      </c>
      <c r="FG69" s="145">
        <v>0</v>
      </c>
      <c r="FH69" s="145">
        <v>0</v>
      </c>
      <c r="FI69" s="145">
        <v>0</v>
      </c>
      <c r="FJ69" s="145">
        <v>0</v>
      </c>
      <c r="FK69" s="145">
        <v>0</v>
      </c>
      <c r="FL69" s="145">
        <v>0</v>
      </c>
      <c r="FM69" s="145">
        <v>0</v>
      </c>
      <c r="FN69" s="145">
        <v>0</v>
      </c>
      <c r="FO69" s="145">
        <v>0</v>
      </c>
      <c r="FP69" s="145">
        <v>0</v>
      </c>
      <c r="FQ69" s="145">
        <v>0</v>
      </c>
      <c r="FR69" s="145">
        <v>0</v>
      </c>
      <c r="FS69" s="145">
        <v>0</v>
      </c>
      <c r="FT69" s="145">
        <v>0</v>
      </c>
      <c r="FU69" s="145">
        <v>0</v>
      </c>
      <c r="FV69" s="145">
        <v>0</v>
      </c>
      <c r="FW69" s="145">
        <v>0</v>
      </c>
      <c r="FX69" s="143"/>
      <c r="FY69" s="146" t="str">
        <f>_xlfn.XLOOKUP($E69,'Key assumptions'!$B$112:$B$120,'Key assumptions'!$C$112:$C$120,0)</f>
        <v>Nominal</v>
      </c>
      <c r="FZ69" s="146" cm="1">
        <f t="array" ref="FZ69">IF($FY69=0,0,_xlfn.IFS($FY69='Key assumptions'!$C$120,_xlfn.XLOOKUP(LEFT(FZ$7,6),Inflation_Year,Inflation_NominaltoReal),TRUE,_xlfn.XLOOKUP($FY69,Inflation_Year,NominaltoReal)))</f>
        <v>1.0197075870962191</v>
      </c>
      <c r="GA69" s="146" cm="1">
        <f t="array" ref="GA69">IF($FY69=0,0,_xlfn.IFS($FY69='Key assumptions'!$C$120,_xlfn.XLOOKUP(LEFT(GA$7,6),Inflation_Year,Inflation_NominaltoReal),TRUE,_xlfn.XLOOKUP($FY69,Inflation_Year,NominaltoReal)))</f>
        <v>0.98700804022984445</v>
      </c>
      <c r="GB69" s="146" cm="1">
        <f t="array" ref="GB69">IF($FY69=0,0,_xlfn.IFS($FY69='Key assumptions'!$C$120,_xlfn.XLOOKUP(LEFT(GB$7,6),Inflation_Year,Inflation_NominaltoReal),TRUE,_xlfn.XLOOKUP($FY69,Inflation_Year,NominaltoReal)))</f>
        <v>0.96152830081941731</v>
      </c>
      <c r="GC69" s="146" cm="1">
        <f t="array" ref="GC69">IF($FY69=0,0,_xlfn.IFS($FY69='Key assumptions'!$C$120,_xlfn.XLOOKUP(LEFT(GC$7,6),Inflation_Year,Inflation_NominaltoReal),TRUE,_xlfn.XLOOKUP($FY69,Inflation_Year,NominaltoReal)))</f>
        <v>0.93670632415656829</v>
      </c>
      <c r="GD69" s="146" cm="1">
        <f t="array" ref="GD69">IF($FY69=0,0,_xlfn.IFS($FY69='Key assumptions'!$C$120,_xlfn.XLOOKUP(LEFT(GD$7,6),Inflation_Year,Inflation_NominaltoReal),TRUE,_xlfn.XLOOKUP($FY69,Inflation_Year,NominaltoReal)))</f>
        <v>0.91252513001143176</v>
      </c>
      <c r="GE69" s="146" cm="1">
        <f t="array" ref="GE69">IF($FY69=0,0,_xlfn.IFS($FY69='Key assumptions'!$C$120,_xlfn.XLOOKUP(LEFT(GE$7,6),Inflation_Year,Inflation_NominaltoReal),TRUE,_xlfn.XLOOKUP($FY69,Inflation_Year,NominaltoReal)))</f>
        <v>0.88896817650095872</v>
      </c>
      <c r="GF69" s="146" cm="1">
        <f t="array" ref="GF69">IF($FY69=0,0,_xlfn.IFS($FY69='Key assumptions'!$C$120,_xlfn.XLOOKUP(LEFT(GF$7,6),Inflation_Year,Inflation_NominaltoReal),TRUE,_xlfn.XLOOKUP($FY69,Inflation_Year,NominaltoReal)))</f>
        <v>0.86601934877293718</v>
      </c>
      <c r="GG69" s="143"/>
      <c r="GH69" s="145" cm="1">
        <f t="array" ref="GH69">SUMPRODUCT(--($CR$7:$FW$7&gt;=GH$5),--($CR$7:$FW$7&lt;=GH$6),$CR69:$FW69)*FZ69</f>
        <v>88899.637004429023</v>
      </c>
      <c r="GI69" s="145" cm="1">
        <f t="array" ref="GI69">SUMPRODUCT(--($CR$7:$FW$7&gt;=GI$5),--($CR$7:$FW$7&lt;=GI$6),$CR69:$FW69)*GA69</f>
        <v>0</v>
      </c>
      <c r="GJ69" s="145" cm="1">
        <f t="array" ref="GJ69">SUMPRODUCT(--($CR$7:$FW$7&gt;=GJ$5),--($CR$7:$FW$7&lt;=GJ$6),$CR69:$FW69)*GB69</f>
        <v>0</v>
      </c>
      <c r="GK69" s="145" cm="1">
        <f t="array" ref="GK69">SUMPRODUCT(--($CR$7:$FW$7&gt;=GK$5),--($CR$7:$FW$7&lt;=GK$6),$CR69:$FW69)*GC69</f>
        <v>0</v>
      </c>
      <c r="GL69" s="145" cm="1">
        <f t="array" ref="GL69">SUMPRODUCT(--($CR$7:$FW$7&gt;=GL$5),--($CR$7:$FW$7&lt;=GL$6),$CR69:$FW69)*GD69</f>
        <v>0</v>
      </c>
      <c r="GM69" s="145" cm="1">
        <f t="array" ref="GM69">SUMPRODUCT(--($CR$7:$FW$7&gt;=GM$5),--($CR$7:$FW$7&lt;=GM$6),$CR69:$FW69)*GE69</f>
        <v>0</v>
      </c>
      <c r="GN69" s="145" cm="1">
        <f t="array" ref="GN69">SUMPRODUCT(--($CR$7:$FW$7&gt;=GN$5),--($CR$7:$FW$7&lt;=GN$6),$CR69:$FW69)*GF69</f>
        <v>0</v>
      </c>
      <c r="GO69" s="145">
        <f t="shared" si="18"/>
        <v>88899.637004429023</v>
      </c>
      <c r="GP69" s="87"/>
      <c r="GQ69" s="89"/>
      <c r="GR69" s="145" cm="1">
        <f t="array" ref="GR69">SUMPRODUCT(--($CR$7:$FW$7&gt;=GR$5),--($CR$7:$FW$7&lt;=GR$6),$CR69:$FW69)</f>
        <v>87181.5</v>
      </c>
      <c r="GS69" s="89"/>
      <c r="GT69" s="214" cm="1">
        <f t="array" ref="GT69">--AND(MIN(IF($K69:$CP69&lt;&gt;0,$K$7:$CP$7))&gt;=GT$5,MIN(IF($K69:$CP69&lt;&gt;0,$K$7:$CP$7))&lt;=GT$6)</f>
        <v>1</v>
      </c>
      <c r="GU69" s="214" cm="1">
        <f t="array" ref="GU69">--AND(MIN(IF($K69:$CP69&lt;&gt;0,$K$7:$CP$7))&gt;=GU$5,MIN(IF($K69:$CP69&lt;&gt;0,$K$7:$CP$7))&lt;=GU$6)</f>
        <v>0</v>
      </c>
      <c r="GV69" s="214" cm="1">
        <f t="array" ref="GV69">--AND(MIN(IF($K69:$CP69&lt;&gt;0,$K$7:$CP$7))&gt;=GV$5,MIN(IF($K69:$CP69&lt;&gt;0,$K$7:$CP$7))&lt;=GV$6)</f>
        <v>0</v>
      </c>
      <c r="GW69" s="214" cm="1">
        <f t="array" ref="GW69">--AND(MIN(IF($K69:$CP69&lt;&gt;0,$K$7:$CP$7))&gt;=GW$5,MIN(IF($K69:$CP69&lt;&gt;0,$K$7:$CP$7))&lt;=GW$6)</f>
        <v>0</v>
      </c>
      <c r="GX69" s="214" cm="1">
        <f t="array" ref="GX69">--AND(MIN(IF($K69:$CP69&lt;&gt;0,$K$7:$CP$7))&gt;=GX$5,MIN(IF($K69:$CP69&lt;&gt;0,$K$7:$CP$7))&lt;=GX$6)</f>
        <v>0</v>
      </c>
      <c r="GY69" s="214" cm="1">
        <f t="array" ref="GY69">--AND(MIN(IF($K69:$CP69&lt;&gt;0,$K$7:$CP$7))&gt;=GY$5,MIN(IF($K69:$CP69&lt;&gt;0,$K$7:$CP$7))&lt;=GY$6)</f>
        <v>0</v>
      </c>
      <c r="GZ69" s="214" cm="1">
        <f t="array" ref="GZ69">--AND(MIN(IF($K69:$CP69&lt;&gt;0,$K$7:$CP$7))&gt;=GZ$5,MIN(IF($K69:$CP69&lt;&gt;0,$K$7:$CP$7))&lt;=GZ$6)</f>
        <v>0</v>
      </c>
      <c r="HA69" s="214">
        <f t="shared" si="0"/>
        <v>1</v>
      </c>
      <c r="HC69" s="214" cm="1">
        <f t="array" ref="HC69">--AND(MIN(IF($K69:$CP69&lt;&gt;0,$K$7:$CP$7))&gt;=HC$5,MIN(IF($K69:$CP69&lt;&gt;0,$K$7:$CP$7))&lt;=HC$6)</f>
        <v>1</v>
      </c>
      <c r="HE69" s="147" t="str">
        <f t="shared" si="19"/>
        <v>No</v>
      </c>
      <c r="HF69" s="147" t="str">
        <f t="shared" si="20"/>
        <v>No</v>
      </c>
      <c r="HG69" s="147">
        <f>IF($HF69="Yes",0,$H69*avg_hrs*12*'Key assumptions'!$D$87)</f>
        <v>917686.00760605978</v>
      </c>
      <c r="HH69" s="147">
        <f>IF(HE69="Yes",'Key assumptions'!$D$84*HG69,0)</f>
        <v>0</v>
      </c>
      <c r="HI69" s="144">
        <f>IFERROR(AVERAGEIFS($K69:$CP69,$K$7:$CP$7,"&gt;="&amp;'Key assumptions'!$D$24,$K$7:$CP$7,"&lt;="&amp;'Key assumptions'!$D$25),0)</f>
        <v>2.9405901116427432E-2</v>
      </c>
      <c r="HJ69" s="148">
        <f t="shared" si="22"/>
        <v>0</v>
      </c>
      <c r="HK69" s="148">
        <f t="shared" si="1"/>
        <v>0</v>
      </c>
      <c r="HL69" s="148">
        <f t="shared" si="2"/>
        <v>0</v>
      </c>
      <c r="HM69" s="148">
        <f t="shared" si="3"/>
        <v>0</v>
      </c>
      <c r="HN69" s="148">
        <f t="shared" si="4"/>
        <v>0</v>
      </c>
      <c r="HO69" s="148">
        <f t="shared" si="5"/>
        <v>0</v>
      </c>
      <c r="HP69" s="148">
        <f t="shared" si="6"/>
        <v>0</v>
      </c>
      <c r="HQ69" s="148">
        <f t="shared" si="7"/>
        <v>0</v>
      </c>
      <c r="HR69" s="147">
        <f t="shared" si="8"/>
        <v>0</v>
      </c>
      <c r="HS69" s="89"/>
      <c r="HU69" s="147">
        <f>$HJ69*HC69/(1+'Key assumptions'!G91)^0.75</f>
        <v>0</v>
      </c>
      <c r="HW69" s="216">
        <f t="shared" si="9"/>
        <v>2.9405901116427432E-2</v>
      </c>
      <c r="HX69" s="216">
        <f t="shared" si="10"/>
        <v>0</v>
      </c>
      <c r="HY69" s="216">
        <f t="shared" si="11"/>
        <v>0</v>
      </c>
      <c r="HZ69" s="216">
        <f t="shared" si="12"/>
        <v>0</v>
      </c>
      <c r="IA69" s="216">
        <f t="shared" si="13"/>
        <v>0</v>
      </c>
      <c r="IB69" s="216">
        <f t="shared" si="14"/>
        <v>0</v>
      </c>
      <c r="IC69" s="216">
        <f t="shared" si="15"/>
        <v>0</v>
      </c>
      <c r="ID69" s="216">
        <f t="shared" si="16"/>
        <v>2.9405901116427432E-2</v>
      </c>
      <c r="IF69" s="216">
        <f t="shared" si="17"/>
        <v>2.9405901116427432E-2</v>
      </c>
    </row>
    <row r="70" spans="2:240" x14ac:dyDescent="0.2">
      <c r="B70" s="141" t="str">
        <v>Project Development</v>
      </c>
      <c r="C70" s="141" t="str">
        <v>Professional/Engineer CO (Network System Planning)</v>
      </c>
      <c r="D70" s="141" t="str">
        <v>Internal Labour</v>
      </c>
      <c r="E70" s="141" t="str">
        <v>$ Nominal</v>
      </c>
      <c r="F70" s="141" t="str">
        <v>Existing</v>
      </c>
      <c r="G70" s="141" t="str">
        <v>Normal time</v>
      </c>
      <c r="H70" s="142">
        <v>237.45</v>
      </c>
      <c r="I70" s="126">
        <v>154503.65</v>
      </c>
      <c r="J70" s="143">
        <v>0</v>
      </c>
      <c r="K70" s="144">
        <v>0</v>
      </c>
      <c r="L70" s="144">
        <v>0</v>
      </c>
      <c r="M70" s="144">
        <v>0</v>
      </c>
      <c r="N70" s="144">
        <v>0</v>
      </c>
      <c r="O70" s="144">
        <v>0</v>
      </c>
      <c r="P70" s="144">
        <v>0</v>
      </c>
      <c r="Q70" s="144">
        <v>0</v>
      </c>
      <c r="R70" s="144">
        <v>0</v>
      </c>
      <c r="S70" s="144">
        <v>0</v>
      </c>
      <c r="T70" s="144">
        <v>0</v>
      </c>
      <c r="U70" s="144">
        <v>0</v>
      </c>
      <c r="V70" s="144">
        <v>0</v>
      </c>
      <c r="W70" s="144">
        <v>0</v>
      </c>
      <c r="X70" s="144">
        <v>1</v>
      </c>
      <c r="Y70" s="144">
        <v>1</v>
      </c>
      <c r="Z70" s="144">
        <v>0.66666666666666663</v>
      </c>
      <c r="AA70" s="144">
        <v>0.46052631578947367</v>
      </c>
      <c r="AB70" s="144">
        <v>0.46052631578947367</v>
      </c>
      <c r="AC70" s="144">
        <v>0.25</v>
      </c>
      <c r="AD70" s="144">
        <v>0.25</v>
      </c>
      <c r="AE70" s="144">
        <v>0.25</v>
      </c>
      <c r="AF70" s="144">
        <v>0.25</v>
      </c>
      <c r="AG70" s="144">
        <v>0.25</v>
      </c>
      <c r="AH70" s="144">
        <v>0</v>
      </c>
      <c r="AI70" s="144">
        <v>0</v>
      </c>
      <c r="AJ70" s="144">
        <v>0</v>
      </c>
      <c r="AK70" s="144">
        <v>0</v>
      </c>
      <c r="AL70" s="144">
        <v>0</v>
      </c>
      <c r="AM70" s="144">
        <v>0</v>
      </c>
      <c r="AN70" s="144">
        <v>0</v>
      </c>
      <c r="AO70" s="144">
        <v>0</v>
      </c>
      <c r="AP70" s="144">
        <v>0</v>
      </c>
      <c r="AQ70" s="144">
        <v>0</v>
      </c>
      <c r="AR70" s="144">
        <v>0</v>
      </c>
      <c r="AS70" s="144">
        <v>0</v>
      </c>
      <c r="AT70" s="144">
        <v>0</v>
      </c>
      <c r="AU70" s="144">
        <v>0</v>
      </c>
      <c r="AV70" s="144">
        <v>0</v>
      </c>
      <c r="AW70" s="144">
        <v>0</v>
      </c>
      <c r="AX70" s="144">
        <v>0</v>
      </c>
      <c r="AY70" s="144">
        <v>0</v>
      </c>
      <c r="AZ70" s="144">
        <v>0</v>
      </c>
      <c r="BA70" s="144">
        <v>0</v>
      </c>
      <c r="BB70" s="144">
        <v>0</v>
      </c>
      <c r="BC70" s="144">
        <v>0</v>
      </c>
      <c r="BD70" s="144">
        <v>0</v>
      </c>
      <c r="BE70" s="144">
        <v>0</v>
      </c>
      <c r="BF70" s="144">
        <v>0</v>
      </c>
      <c r="BG70" s="144">
        <v>0</v>
      </c>
      <c r="BH70" s="144">
        <v>0</v>
      </c>
      <c r="BI70" s="144">
        <v>0</v>
      </c>
      <c r="BJ70" s="144">
        <v>0</v>
      </c>
      <c r="BK70" s="144">
        <v>0</v>
      </c>
      <c r="BL70" s="144">
        <v>0</v>
      </c>
      <c r="BM70" s="144">
        <v>0</v>
      </c>
      <c r="BN70" s="144">
        <v>0</v>
      </c>
      <c r="BO70" s="144">
        <v>0</v>
      </c>
      <c r="BP70" s="144">
        <v>0</v>
      </c>
      <c r="BQ70" s="144">
        <v>0</v>
      </c>
      <c r="BR70" s="144">
        <v>0</v>
      </c>
      <c r="BS70" s="144">
        <v>0</v>
      </c>
      <c r="BT70" s="144">
        <v>0</v>
      </c>
      <c r="BU70" s="144">
        <v>0</v>
      </c>
      <c r="BV70" s="144">
        <v>0</v>
      </c>
      <c r="BW70" s="144">
        <v>0</v>
      </c>
      <c r="BX70" s="144">
        <v>0</v>
      </c>
      <c r="BY70" s="144">
        <v>0</v>
      </c>
      <c r="BZ70" s="144">
        <v>0</v>
      </c>
      <c r="CA70" s="144">
        <v>0</v>
      </c>
      <c r="CB70" s="144">
        <v>0</v>
      </c>
      <c r="CC70" s="144">
        <v>0</v>
      </c>
      <c r="CD70" s="144">
        <v>0</v>
      </c>
      <c r="CE70" s="144">
        <v>0</v>
      </c>
      <c r="CF70" s="144">
        <v>0</v>
      </c>
      <c r="CG70" s="144">
        <v>0</v>
      </c>
      <c r="CH70" s="144">
        <v>0</v>
      </c>
      <c r="CI70" s="144">
        <v>0</v>
      </c>
      <c r="CJ70" s="144">
        <v>0</v>
      </c>
      <c r="CK70" s="144">
        <v>0</v>
      </c>
      <c r="CL70" s="144">
        <v>0</v>
      </c>
      <c r="CM70" s="144">
        <v>0</v>
      </c>
      <c r="CN70" s="144">
        <v>0</v>
      </c>
      <c r="CO70" s="144">
        <v>0</v>
      </c>
      <c r="CP70" s="144">
        <v>0</v>
      </c>
      <c r="CQ70" s="143">
        <v>0</v>
      </c>
      <c r="CR70" s="145">
        <v>0</v>
      </c>
      <c r="CS70" s="145">
        <v>0</v>
      </c>
      <c r="CT70" s="145">
        <v>0</v>
      </c>
      <c r="CU70" s="145">
        <v>0</v>
      </c>
      <c r="CV70" s="145">
        <v>0</v>
      </c>
      <c r="CW70" s="145">
        <v>0</v>
      </c>
      <c r="CX70" s="145">
        <v>0</v>
      </c>
      <c r="CY70" s="145">
        <v>0</v>
      </c>
      <c r="CZ70" s="145">
        <v>0</v>
      </c>
      <c r="DA70" s="145">
        <v>0</v>
      </c>
      <c r="DB70" s="145">
        <v>0</v>
      </c>
      <c r="DC70" s="145">
        <v>0</v>
      </c>
      <c r="DD70" s="145">
        <v>0</v>
      </c>
      <c r="DE70" s="145">
        <v>32271.399999999998</v>
      </c>
      <c r="DF70" s="145">
        <v>32271.399999999998</v>
      </c>
      <c r="DG70" s="145">
        <v>16135.699999999999</v>
      </c>
      <c r="DH70" s="145">
        <v>16135.699999999999</v>
      </c>
      <c r="DI70" s="145">
        <v>16135.699999999999</v>
      </c>
      <c r="DJ70" s="145">
        <v>8310.75</v>
      </c>
      <c r="DK70" s="145">
        <v>8310.75</v>
      </c>
      <c r="DL70" s="145">
        <v>8310.75</v>
      </c>
      <c r="DM70" s="145">
        <v>8310.75</v>
      </c>
      <c r="DN70" s="145">
        <v>8310.75</v>
      </c>
      <c r="DO70" s="145">
        <v>0</v>
      </c>
      <c r="DP70" s="145">
        <v>0</v>
      </c>
      <c r="DQ70" s="145">
        <v>0</v>
      </c>
      <c r="DR70" s="145">
        <v>0</v>
      </c>
      <c r="DS70" s="145">
        <v>0</v>
      </c>
      <c r="DT70" s="145">
        <v>0</v>
      </c>
      <c r="DU70" s="145">
        <v>0</v>
      </c>
      <c r="DV70" s="145">
        <v>0</v>
      </c>
      <c r="DW70" s="145">
        <v>0</v>
      </c>
      <c r="DX70" s="145">
        <v>0</v>
      </c>
      <c r="DY70" s="145">
        <v>0</v>
      </c>
      <c r="DZ70" s="145">
        <v>0</v>
      </c>
      <c r="EA70" s="145">
        <v>0</v>
      </c>
      <c r="EB70" s="145">
        <v>0</v>
      </c>
      <c r="EC70" s="145">
        <v>0</v>
      </c>
      <c r="ED70" s="145">
        <v>0</v>
      </c>
      <c r="EE70" s="145">
        <v>0</v>
      </c>
      <c r="EF70" s="145">
        <v>0</v>
      </c>
      <c r="EG70" s="145">
        <v>0</v>
      </c>
      <c r="EH70" s="145">
        <v>0</v>
      </c>
      <c r="EI70" s="145">
        <v>0</v>
      </c>
      <c r="EJ70" s="145">
        <v>0</v>
      </c>
      <c r="EK70" s="145">
        <v>0</v>
      </c>
      <c r="EL70" s="145">
        <v>0</v>
      </c>
      <c r="EM70" s="145">
        <v>0</v>
      </c>
      <c r="EN70" s="145">
        <v>0</v>
      </c>
      <c r="EO70" s="145">
        <v>0</v>
      </c>
      <c r="EP70" s="145">
        <v>0</v>
      </c>
      <c r="EQ70" s="145">
        <v>0</v>
      </c>
      <c r="ER70" s="145">
        <v>0</v>
      </c>
      <c r="ES70" s="145">
        <v>0</v>
      </c>
      <c r="ET70" s="145">
        <v>0</v>
      </c>
      <c r="EU70" s="145">
        <v>0</v>
      </c>
      <c r="EV70" s="145">
        <v>0</v>
      </c>
      <c r="EW70" s="145">
        <v>0</v>
      </c>
      <c r="EX70" s="145">
        <v>0</v>
      </c>
      <c r="EY70" s="145">
        <v>0</v>
      </c>
      <c r="EZ70" s="145">
        <v>0</v>
      </c>
      <c r="FA70" s="145">
        <v>0</v>
      </c>
      <c r="FB70" s="145">
        <v>0</v>
      </c>
      <c r="FC70" s="145">
        <v>0</v>
      </c>
      <c r="FD70" s="145">
        <v>0</v>
      </c>
      <c r="FE70" s="145">
        <v>0</v>
      </c>
      <c r="FF70" s="145">
        <v>0</v>
      </c>
      <c r="FG70" s="145">
        <v>0</v>
      </c>
      <c r="FH70" s="145">
        <v>0</v>
      </c>
      <c r="FI70" s="145">
        <v>0</v>
      </c>
      <c r="FJ70" s="145">
        <v>0</v>
      </c>
      <c r="FK70" s="145">
        <v>0</v>
      </c>
      <c r="FL70" s="145">
        <v>0</v>
      </c>
      <c r="FM70" s="145">
        <v>0</v>
      </c>
      <c r="FN70" s="145">
        <v>0</v>
      </c>
      <c r="FO70" s="145">
        <v>0</v>
      </c>
      <c r="FP70" s="145">
        <v>0</v>
      </c>
      <c r="FQ70" s="145">
        <v>0</v>
      </c>
      <c r="FR70" s="145">
        <v>0</v>
      </c>
      <c r="FS70" s="145">
        <v>0</v>
      </c>
      <c r="FT70" s="145">
        <v>0</v>
      </c>
      <c r="FU70" s="145">
        <v>0</v>
      </c>
      <c r="FV70" s="145">
        <v>0</v>
      </c>
      <c r="FW70" s="145">
        <v>0</v>
      </c>
      <c r="FX70" s="143"/>
      <c r="FY70" s="146" t="str">
        <f>_xlfn.XLOOKUP($E70,'Key assumptions'!$B$112:$B$120,'Key assumptions'!$C$112:$C$120,0)</f>
        <v>Nominal</v>
      </c>
      <c r="FZ70" s="146" cm="1">
        <f t="array" ref="FZ70">IF($FY70=0,0,_xlfn.IFS($FY70='Key assumptions'!$C$120,_xlfn.XLOOKUP(LEFT(FZ$7,6),Inflation_Year,Inflation_NominaltoReal),TRUE,_xlfn.XLOOKUP($FY70,Inflation_Year,NominaltoReal)))</f>
        <v>1.0197075870962191</v>
      </c>
      <c r="GA70" s="146" cm="1">
        <f t="array" ref="GA70">IF($FY70=0,0,_xlfn.IFS($FY70='Key assumptions'!$C$120,_xlfn.XLOOKUP(LEFT(GA$7,6),Inflation_Year,Inflation_NominaltoReal),TRUE,_xlfn.XLOOKUP($FY70,Inflation_Year,NominaltoReal)))</f>
        <v>0.98700804022984445</v>
      </c>
      <c r="GB70" s="146" cm="1">
        <f t="array" ref="GB70">IF($FY70=0,0,_xlfn.IFS($FY70='Key assumptions'!$C$120,_xlfn.XLOOKUP(LEFT(GB$7,6),Inflation_Year,Inflation_NominaltoReal),TRUE,_xlfn.XLOOKUP($FY70,Inflation_Year,NominaltoReal)))</f>
        <v>0.96152830081941731</v>
      </c>
      <c r="GC70" s="146" cm="1">
        <f t="array" ref="GC70">IF($FY70=0,0,_xlfn.IFS($FY70='Key assumptions'!$C$120,_xlfn.XLOOKUP(LEFT(GC$7,6),Inflation_Year,Inflation_NominaltoReal),TRUE,_xlfn.XLOOKUP($FY70,Inflation_Year,NominaltoReal)))</f>
        <v>0.93670632415656829</v>
      </c>
      <c r="GD70" s="146" cm="1">
        <f t="array" ref="GD70">IF($FY70=0,0,_xlfn.IFS($FY70='Key assumptions'!$C$120,_xlfn.XLOOKUP(LEFT(GD$7,6),Inflation_Year,Inflation_NominaltoReal),TRUE,_xlfn.XLOOKUP($FY70,Inflation_Year,NominaltoReal)))</f>
        <v>0.91252513001143176</v>
      </c>
      <c r="GE70" s="146" cm="1">
        <f t="array" ref="GE70">IF($FY70=0,0,_xlfn.IFS($FY70='Key assumptions'!$C$120,_xlfn.XLOOKUP(LEFT(GE$7,6),Inflation_Year,Inflation_NominaltoReal),TRUE,_xlfn.XLOOKUP($FY70,Inflation_Year,NominaltoReal)))</f>
        <v>0.88896817650095872</v>
      </c>
      <c r="GF70" s="146" cm="1">
        <f t="array" ref="GF70">IF($FY70=0,0,_xlfn.IFS($FY70='Key assumptions'!$C$120,_xlfn.XLOOKUP(LEFT(GF$7,6),Inflation_Year,Inflation_NominaltoReal),TRUE,_xlfn.XLOOKUP($FY70,Inflation_Year,NominaltoReal)))</f>
        <v>0.86601934877293718</v>
      </c>
      <c r="GG70" s="143"/>
      <c r="GH70" s="145" cm="1">
        <f t="array" ref="GH70">SUMPRODUCT(--($CR$7:$FW$7&gt;=GH$5),--($CR$7:$FW$7&lt;=GH$6),$CR70:$FW70)*FZ70</f>
        <v>140599.47448013895</v>
      </c>
      <c r="GI70" s="145" cm="1">
        <f t="array" ref="GI70">SUMPRODUCT(--($CR$7:$FW$7&gt;=GI$5),--($CR$7:$FW$7&lt;=GI$6),$CR70:$FW70)*GA70</f>
        <v>16405.55414068036</v>
      </c>
      <c r="GJ70" s="145" cm="1">
        <f t="array" ref="GJ70">SUMPRODUCT(--($CR$7:$FW$7&gt;=GJ$5),--($CR$7:$FW$7&lt;=GJ$6),$CR70:$FW70)*GB70</f>
        <v>0</v>
      </c>
      <c r="GK70" s="145" cm="1">
        <f t="array" ref="GK70">SUMPRODUCT(--($CR$7:$FW$7&gt;=GK$5),--($CR$7:$FW$7&lt;=GK$6),$CR70:$FW70)*GC70</f>
        <v>0</v>
      </c>
      <c r="GL70" s="145" cm="1">
        <f t="array" ref="GL70">SUMPRODUCT(--($CR$7:$FW$7&gt;=GL$5),--($CR$7:$FW$7&lt;=GL$6),$CR70:$FW70)*GD70</f>
        <v>0</v>
      </c>
      <c r="GM70" s="145" cm="1">
        <f t="array" ref="GM70">SUMPRODUCT(--($CR$7:$FW$7&gt;=GM$5),--($CR$7:$FW$7&lt;=GM$6),$CR70:$FW70)*GE70</f>
        <v>0</v>
      </c>
      <c r="GN70" s="145" cm="1">
        <f t="array" ref="GN70">SUMPRODUCT(--($CR$7:$FW$7&gt;=GN$5),--($CR$7:$FW$7&lt;=GN$6),$CR70:$FW70)*GF70</f>
        <v>0</v>
      </c>
      <c r="GO70" s="145">
        <f t="shared" si="18"/>
        <v>157005.0286208193</v>
      </c>
      <c r="GP70" s="87"/>
      <c r="GQ70" s="89"/>
      <c r="GR70" s="145" cm="1">
        <f t="array" ref="GR70">SUMPRODUCT(--($CR$7:$FW$7&gt;=GR$5),--($CR$7:$FW$7&lt;=GR$6),$CR70:$FW70)</f>
        <v>112949.9</v>
      </c>
      <c r="GS70" s="89"/>
      <c r="GT70" s="214" cm="1">
        <f t="array" ref="GT70">--AND(MIN(IF($K70:$CP70&lt;&gt;0,$K$7:$CP$7))&gt;=GT$5,MIN(IF($K70:$CP70&lt;&gt;0,$K$7:$CP$7))&lt;=GT$6)</f>
        <v>1</v>
      </c>
      <c r="GU70" s="214" cm="1">
        <f t="array" ref="GU70">--AND(MIN(IF($K70:$CP70&lt;&gt;0,$K$7:$CP$7))&gt;=GU$5,MIN(IF($K70:$CP70&lt;&gt;0,$K$7:$CP$7))&lt;=GU$6)</f>
        <v>0</v>
      </c>
      <c r="GV70" s="214" cm="1">
        <f t="array" ref="GV70">--AND(MIN(IF($K70:$CP70&lt;&gt;0,$K$7:$CP$7))&gt;=GV$5,MIN(IF($K70:$CP70&lt;&gt;0,$K$7:$CP$7))&lt;=GV$6)</f>
        <v>0</v>
      </c>
      <c r="GW70" s="214" cm="1">
        <f t="array" ref="GW70">--AND(MIN(IF($K70:$CP70&lt;&gt;0,$K$7:$CP$7))&gt;=GW$5,MIN(IF($K70:$CP70&lt;&gt;0,$K$7:$CP$7))&lt;=GW$6)</f>
        <v>0</v>
      </c>
      <c r="GX70" s="214" cm="1">
        <f t="array" ref="GX70">--AND(MIN(IF($K70:$CP70&lt;&gt;0,$K$7:$CP$7))&gt;=GX$5,MIN(IF($K70:$CP70&lt;&gt;0,$K$7:$CP$7))&lt;=GX$6)</f>
        <v>0</v>
      </c>
      <c r="GY70" s="214" cm="1">
        <f t="array" ref="GY70">--AND(MIN(IF($K70:$CP70&lt;&gt;0,$K$7:$CP$7))&gt;=GY$5,MIN(IF($K70:$CP70&lt;&gt;0,$K$7:$CP$7))&lt;=GY$6)</f>
        <v>0</v>
      </c>
      <c r="GZ70" s="214" cm="1">
        <f t="array" ref="GZ70">--AND(MIN(IF($K70:$CP70&lt;&gt;0,$K$7:$CP$7))&gt;=GZ$5,MIN(IF($K70:$CP70&lt;&gt;0,$K$7:$CP$7))&lt;=GZ$6)</f>
        <v>0</v>
      </c>
      <c r="HA70" s="214">
        <f t="shared" si="0"/>
        <v>1</v>
      </c>
      <c r="HC70" s="214" cm="1">
        <f t="array" ref="HC70">--AND(MIN(IF($K70:$CP70&lt;&gt;0,$K$7:$CP$7))&gt;=HC$5,MIN(IF($K70:$CP70&lt;&gt;0,$K$7:$CP$7))&lt;=HC$6)</f>
        <v>1</v>
      </c>
      <c r="HE70" s="147" t="str">
        <f t="shared" si="19"/>
        <v>No</v>
      </c>
      <c r="HF70" s="147" t="str">
        <f t="shared" si="20"/>
        <v>No</v>
      </c>
      <c r="HG70" s="147">
        <f>IF($HF70="Yes",0,$H70*avg_hrs*12*'Key assumptions'!$D$87)</f>
        <v>424624.47630621213</v>
      </c>
      <c r="HH70" s="147">
        <f>IF(HE70="Yes",'Key assumptions'!$D$84*HG70,0)</f>
        <v>0</v>
      </c>
      <c r="HI70" s="144">
        <f>IFERROR(AVERAGEIFS($K70:$CP70,$K$7:$CP$7,"&gt;="&amp;'Key assumptions'!$D$24,$K$7:$CP$7,"&lt;="&amp;'Key assumptions'!$D$25),0)</f>
        <v>0.1099481658692185</v>
      </c>
      <c r="HJ70" s="148">
        <f t="shared" si="22"/>
        <v>0</v>
      </c>
      <c r="HK70" s="148">
        <f t="shared" si="1"/>
        <v>0</v>
      </c>
      <c r="HL70" s="148">
        <f t="shared" si="2"/>
        <v>0</v>
      </c>
      <c r="HM70" s="148">
        <f t="shared" si="3"/>
        <v>0</v>
      </c>
      <c r="HN70" s="148">
        <f t="shared" si="4"/>
        <v>0</v>
      </c>
      <c r="HO70" s="148">
        <f t="shared" si="5"/>
        <v>0</v>
      </c>
      <c r="HP70" s="148">
        <f t="shared" si="6"/>
        <v>0</v>
      </c>
      <c r="HQ70" s="148">
        <f t="shared" si="7"/>
        <v>0</v>
      </c>
      <c r="HR70" s="147">
        <f t="shared" si="8"/>
        <v>0</v>
      </c>
      <c r="HS70" s="89"/>
      <c r="HU70" s="147">
        <f>$HJ70*HC70/(1+'Key assumptions'!G92)^0.75</f>
        <v>0</v>
      </c>
      <c r="HW70" s="216">
        <f t="shared" si="9"/>
        <v>0.1099481658692185</v>
      </c>
      <c r="HX70" s="216">
        <f t="shared" si="10"/>
        <v>0</v>
      </c>
      <c r="HY70" s="216">
        <f t="shared" si="11"/>
        <v>0</v>
      </c>
      <c r="HZ70" s="216">
        <f t="shared" si="12"/>
        <v>0</v>
      </c>
      <c r="IA70" s="216">
        <f t="shared" si="13"/>
        <v>0</v>
      </c>
      <c r="IB70" s="216">
        <f t="shared" si="14"/>
        <v>0</v>
      </c>
      <c r="IC70" s="216">
        <f t="shared" si="15"/>
        <v>0</v>
      </c>
      <c r="ID70" s="216">
        <f t="shared" si="16"/>
        <v>0.1099481658692185</v>
      </c>
      <c r="IF70" s="216">
        <f t="shared" si="17"/>
        <v>0.1099481658692185</v>
      </c>
    </row>
    <row r="71" spans="2:240" x14ac:dyDescent="0.2">
      <c r="B71" s="141" t="str">
        <v>Project Development</v>
      </c>
      <c r="C71" s="141" t="str">
        <v>Professional/Engineer CO (Asset Analytics &amp; Insights)</v>
      </c>
      <c r="D71" s="141" t="str">
        <v>Internal Labour</v>
      </c>
      <c r="E71" s="141" t="str">
        <v>$ Nominal</v>
      </c>
      <c r="F71" s="141" t="str">
        <v>Existing</v>
      </c>
      <c r="G71" s="141" t="str">
        <v>Normal time</v>
      </c>
      <c r="H71" s="142">
        <v>237.45</v>
      </c>
      <c r="I71" s="126">
        <v>254943.75999999992</v>
      </c>
      <c r="J71" s="143">
        <v>0</v>
      </c>
      <c r="K71" s="144">
        <v>0</v>
      </c>
      <c r="L71" s="144">
        <v>0</v>
      </c>
      <c r="M71" s="144">
        <v>0</v>
      </c>
      <c r="N71" s="144">
        <v>0</v>
      </c>
      <c r="O71" s="144">
        <v>0</v>
      </c>
      <c r="P71" s="144">
        <v>0</v>
      </c>
      <c r="Q71" s="144">
        <v>0</v>
      </c>
      <c r="R71" s="144">
        <v>0</v>
      </c>
      <c r="S71" s="144">
        <v>0</v>
      </c>
      <c r="T71" s="144">
        <v>7.1428571428571426E-3</v>
      </c>
      <c r="U71" s="144">
        <v>6.4285714285714279E-2</v>
      </c>
      <c r="V71" s="144">
        <v>3.8095238095238099E-2</v>
      </c>
      <c r="W71" s="144">
        <v>5.7142857142857141E-2</v>
      </c>
      <c r="X71" s="144">
        <v>0.2</v>
      </c>
      <c r="Y71" s="144">
        <v>0.2</v>
      </c>
      <c r="Z71" s="144">
        <v>0.26666666666666666</v>
      </c>
      <c r="AA71" s="144">
        <v>0.18421052631578946</v>
      </c>
      <c r="AB71" s="144">
        <v>0.18421052631578946</v>
      </c>
      <c r="AC71" s="144">
        <v>0.2</v>
      </c>
      <c r="AD71" s="144">
        <v>0.2</v>
      </c>
      <c r="AE71" s="144">
        <v>0.2</v>
      </c>
      <c r="AF71" s="144">
        <v>0.2</v>
      </c>
      <c r="AG71" s="144">
        <v>0.2</v>
      </c>
      <c r="AH71" s="144">
        <v>0.26666666666666666</v>
      </c>
      <c r="AI71" s="144">
        <v>0.26666666666666666</v>
      </c>
      <c r="AJ71" s="144">
        <v>0.2</v>
      </c>
      <c r="AK71" s="144">
        <v>0.2</v>
      </c>
      <c r="AL71" s="144">
        <v>0.26666666666666666</v>
      </c>
      <c r="AM71" s="144">
        <v>0.18421052631578946</v>
      </c>
      <c r="AN71" s="144">
        <v>0.18421052631578946</v>
      </c>
      <c r="AO71" s="144">
        <v>0.2</v>
      </c>
      <c r="AP71" s="144">
        <v>0.2</v>
      </c>
      <c r="AQ71" s="144">
        <v>0.2</v>
      </c>
      <c r="AR71" s="144">
        <v>0.2</v>
      </c>
      <c r="AS71" s="144">
        <v>0.2</v>
      </c>
      <c r="AT71" s="144">
        <v>0.26666666666666666</v>
      </c>
      <c r="AU71" s="144">
        <v>0.26666666666666666</v>
      </c>
      <c r="AV71" s="144">
        <v>0.2</v>
      </c>
      <c r="AW71" s="144">
        <v>0.2</v>
      </c>
      <c r="AX71" s="144">
        <v>0.26666666666666666</v>
      </c>
      <c r="AY71" s="144">
        <v>0.18421052631578946</v>
      </c>
      <c r="AZ71" s="144">
        <v>0.18421052631578946</v>
      </c>
      <c r="BA71" s="144">
        <v>0.2</v>
      </c>
      <c r="BB71" s="144">
        <v>0.2</v>
      </c>
      <c r="BC71" s="144">
        <v>0.2</v>
      </c>
      <c r="BD71" s="144">
        <v>0.2</v>
      </c>
      <c r="BE71" s="144">
        <v>0.2</v>
      </c>
      <c r="BF71" s="144">
        <v>0.26666666666666666</v>
      </c>
      <c r="BG71" s="144">
        <v>0.26666666666666666</v>
      </c>
      <c r="BH71" s="144">
        <v>0.2</v>
      </c>
      <c r="BI71" s="144">
        <v>0</v>
      </c>
      <c r="BJ71" s="144">
        <v>0</v>
      </c>
      <c r="BK71" s="144">
        <v>0</v>
      </c>
      <c r="BL71" s="144">
        <v>0</v>
      </c>
      <c r="BM71" s="144">
        <v>0</v>
      </c>
      <c r="BN71" s="144">
        <v>0</v>
      </c>
      <c r="BO71" s="144">
        <v>0</v>
      </c>
      <c r="BP71" s="144">
        <v>0</v>
      </c>
      <c r="BQ71" s="144">
        <v>0</v>
      </c>
      <c r="BR71" s="144">
        <v>0</v>
      </c>
      <c r="BS71" s="144">
        <v>0</v>
      </c>
      <c r="BT71" s="144">
        <v>0</v>
      </c>
      <c r="BU71" s="144">
        <v>0</v>
      </c>
      <c r="BV71" s="144">
        <v>0</v>
      </c>
      <c r="BW71" s="144">
        <v>0</v>
      </c>
      <c r="BX71" s="144">
        <v>0</v>
      </c>
      <c r="BY71" s="144">
        <v>0</v>
      </c>
      <c r="BZ71" s="144">
        <v>0</v>
      </c>
      <c r="CA71" s="144">
        <v>0</v>
      </c>
      <c r="CB71" s="144">
        <v>0</v>
      </c>
      <c r="CC71" s="144">
        <v>0</v>
      </c>
      <c r="CD71" s="144">
        <v>0</v>
      </c>
      <c r="CE71" s="144">
        <v>0</v>
      </c>
      <c r="CF71" s="144">
        <v>0</v>
      </c>
      <c r="CG71" s="144">
        <v>0</v>
      </c>
      <c r="CH71" s="144">
        <v>0</v>
      </c>
      <c r="CI71" s="144">
        <v>0</v>
      </c>
      <c r="CJ71" s="144">
        <v>0</v>
      </c>
      <c r="CK71" s="144">
        <v>0</v>
      </c>
      <c r="CL71" s="144">
        <v>0</v>
      </c>
      <c r="CM71" s="144">
        <v>0</v>
      </c>
      <c r="CN71" s="144">
        <v>0</v>
      </c>
      <c r="CO71" s="144">
        <v>0</v>
      </c>
      <c r="CP71" s="144">
        <v>0</v>
      </c>
      <c r="CQ71" s="143">
        <v>0</v>
      </c>
      <c r="CR71" s="145">
        <v>0</v>
      </c>
      <c r="CS71" s="145">
        <v>0</v>
      </c>
      <c r="CT71" s="145">
        <v>0</v>
      </c>
      <c r="CU71" s="145">
        <v>0</v>
      </c>
      <c r="CV71" s="145">
        <v>0</v>
      </c>
      <c r="CW71" s="145">
        <v>0</v>
      </c>
      <c r="CX71" s="145">
        <v>0</v>
      </c>
      <c r="CY71" s="145">
        <v>0</v>
      </c>
      <c r="CZ71" s="145">
        <v>0</v>
      </c>
      <c r="DA71" s="145">
        <v>212.62</v>
      </c>
      <c r="DB71" s="145">
        <v>1913.48</v>
      </c>
      <c r="DC71" s="145">
        <v>850.44</v>
      </c>
      <c r="DD71" s="145">
        <v>1275.6600000000001</v>
      </c>
      <c r="DE71" s="145">
        <v>6454.28</v>
      </c>
      <c r="DF71" s="145">
        <v>6454.28</v>
      </c>
      <c r="DG71" s="145">
        <v>6454.28</v>
      </c>
      <c r="DH71" s="145">
        <v>6454.28</v>
      </c>
      <c r="DI71" s="145">
        <v>6454.28</v>
      </c>
      <c r="DJ71" s="145">
        <v>6648.5999999999995</v>
      </c>
      <c r="DK71" s="145">
        <v>6648.5999999999995</v>
      </c>
      <c r="DL71" s="145">
        <v>6648.5999999999995</v>
      </c>
      <c r="DM71" s="145">
        <v>6648.5999999999995</v>
      </c>
      <c r="DN71" s="145">
        <v>6648.5999999999995</v>
      </c>
      <c r="DO71" s="145">
        <v>6648.5999999999995</v>
      </c>
      <c r="DP71" s="145">
        <v>6648.5999999999995</v>
      </c>
      <c r="DQ71" s="145">
        <v>6648.5999999999995</v>
      </c>
      <c r="DR71" s="145">
        <v>6648.5999999999995</v>
      </c>
      <c r="DS71" s="145">
        <v>6648.5999999999995</v>
      </c>
      <c r="DT71" s="145">
        <v>6648.5999999999995</v>
      </c>
      <c r="DU71" s="145">
        <v>6648.5999999999995</v>
      </c>
      <c r="DV71" s="145">
        <v>6849.08</v>
      </c>
      <c r="DW71" s="145">
        <v>6849.08</v>
      </c>
      <c r="DX71" s="145">
        <v>6849.08</v>
      </c>
      <c r="DY71" s="145">
        <v>6849.08</v>
      </c>
      <c r="DZ71" s="145">
        <v>6849.08</v>
      </c>
      <c r="EA71" s="145">
        <v>6849.08</v>
      </c>
      <c r="EB71" s="145">
        <v>6849.08</v>
      </c>
      <c r="EC71" s="145">
        <v>6849.08</v>
      </c>
      <c r="ED71" s="145">
        <v>6849.08</v>
      </c>
      <c r="EE71" s="145">
        <v>6849.08</v>
      </c>
      <c r="EF71" s="145">
        <v>6849.08</v>
      </c>
      <c r="EG71" s="145">
        <v>6849.08</v>
      </c>
      <c r="EH71" s="145">
        <v>7056</v>
      </c>
      <c r="EI71" s="145">
        <v>7056</v>
      </c>
      <c r="EJ71" s="145">
        <v>7056</v>
      </c>
      <c r="EK71" s="145">
        <v>7056</v>
      </c>
      <c r="EL71" s="145">
        <v>7056</v>
      </c>
      <c r="EM71" s="145">
        <v>7056</v>
      </c>
      <c r="EN71" s="145">
        <v>7056</v>
      </c>
      <c r="EO71" s="145">
        <v>7056</v>
      </c>
      <c r="EP71" s="145">
        <v>0</v>
      </c>
      <c r="EQ71" s="145">
        <v>0</v>
      </c>
      <c r="ER71" s="145">
        <v>0</v>
      </c>
      <c r="ES71" s="145">
        <v>0</v>
      </c>
      <c r="ET71" s="145">
        <v>0</v>
      </c>
      <c r="EU71" s="145">
        <v>0</v>
      </c>
      <c r="EV71" s="145">
        <v>0</v>
      </c>
      <c r="EW71" s="145">
        <v>0</v>
      </c>
      <c r="EX71" s="145">
        <v>0</v>
      </c>
      <c r="EY71" s="145">
        <v>0</v>
      </c>
      <c r="EZ71" s="145">
        <v>0</v>
      </c>
      <c r="FA71" s="145">
        <v>0</v>
      </c>
      <c r="FB71" s="145">
        <v>0</v>
      </c>
      <c r="FC71" s="145">
        <v>0</v>
      </c>
      <c r="FD71" s="145">
        <v>0</v>
      </c>
      <c r="FE71" s="145">
        <v>0</v>
      </c>
      <c r="FF71" s="145">
        <v>0</v>
      </c>
      <c r="FG71" s="145">
        <v>0</v>
      </c>
      <c r="FH71" s="145">
        <v>0</v>
      </c>
      <c r="FI71" s="145">
        <v>0</v>
      </c>
      <c r="FJ71" s="145">
        <v>0</v>
      </c>
      <c r="FK71" s="145">
        <v>0</v>
      </c>
      <c r="FL71" s="145">
        <v>0</v>
      </c>
      <c r="FM71" s="145">
        <v>0</v>
      </c>
      <c r="FN71" s="145">
        <v>0</v>
      </c>
      <c r="FO71" s="145">
        <v>0</v>
      </c>
      <c r="FP71" s="145">
        <v>0</v>
      </c>
      <c r="FQ71" s="145">
        <v>0</v>
      </c>
      <c r="FR71" s="145">
        <v>0</v>
      </c>
      <c r="FS71" s="145">
        <v>0</v>
      </c>
      <c r="FT71" s="145">
        <v>0</v>
      </c>
      <c r="FU71" s="145">
        <v>0</v>
      </c>
      <c r="FV71" s="145">
        <v>0</v>
      </c>
      <c r="FW71" s="145">
        <v>0</v>
      </c>
      <c r="FX71" s="143"/>
      <c r="FY71" s="146" t="str">
        <f>_xlfn.XLOOKUP($E71,'Key assumptions'!$B$112:$B$120,'Key assumptions'!$C$112:$C$120,0)</f>
        <v>Nominal</v>
      </c>
      <c r="FZ71" s="146" cm="1">
        <f t="array" ref="FZ71">IF($FY71=0,0,_xlfn.IFS($FY71='Key assumptions'!$C$120,_xlfn.XLOOKUP(LEFT(FZ$7,6),Inflation_Year,Inflation_NominaltoReal),TRUE,_xlfn.XLOOKUP($FY71,Inflation_Year,NominaltoReal)))</f>
        <v>1.0197075870962191</v>
      </c>
      <c r="GA71" s="146" cm="1">
        <f t="array" ref="GA71">IF($FY71=0,0,_xlfn.IFS($FY71='Key assumptions'!$C$120,_xlfn.XLOOKUP(LEFT(GA$7,6),Inflation_Year,Inflation_NominaltoReal),TRUE,_xlfn.XLOOKUP($FY71,Inflation_Year,NominaltoReal)))</f>
        <v>0.98700804022984445</v>
      </c>
      <c r="GB71" s="146" cm="1">
        <f t="array" ref="GB71">IF($FY71=0,0,_xlfn.IFS($FY71='Key assumptions'!$C$120,_xlfn.XLOOKUP(LEFT(GB$7,6),Inflation_Year,Inflation_NominaltoReal),TRUE,_xlfn.XLOOKUP($FY71,Inflation_Year,NominaltoReal)))</f>
        <v>0.96152830081941731</v>
      </c>
      <c r="GC71" s="146" cm="1">
        <f t="array" ref="GC71">IF($FY71=0,0,_xlfn.IFS($FY71='Key assumptions'!$C$120,_xlfn.XLOOKUP(LEFT(GC$7,6),Inflation_Year,Inflation_NominaltoReal),TRUE,_xlfn.XLOOKUP($FY71,Inflation_Year,NominaltoReal)))</f>
        <v>0.93670632415656829</v>
      </c>
      <c r="GD71" s="146" cm="1">
        <f t="array" ref="GD71">IF($FY71=0,0,_xlfn.IFS($FY71='Key assumptions'!$C$120,_xlfn.XLOOKUP(LEFT(GD$7,6),Inflation_Year,Inflation_NominaltoReal),TRUE,_xlfn.XLOOKUP($FY71,Inflation_Year,NominaltoReal)))</f>
        <v>0.91252513001143176</v>
      </c>
      <c r="GE71" s="146" cm="1">
        <f t="array" ref="GE71">IF($FY71=0,0,_xlfn.IFS($FY71='Key assumptions'!$C$120,_xlfn.XLOOKUP(LEFT(GE$7,6),Inflation_Year,Inflation_NominaltoReal),TRUE,_xlfn.XLOOKUP($FY71,Inflation_Year,NominaltoReal)))</f>
        <v>0.88896817650095872</v>
      </c>
      <c r="GF71" s="146" cm="1">
        <f t="array" ref="GF71">IF($FY71=0,0,_xlfn.IFS($FY71='Key assumptions'!$C$120,_xlfn.XLOOKUP(LEFT(GF$7,6),Inflation_Year,Inflation_NominaltoReal),TRUE,_xlfn.XLOOKUP($FY71,Inflation_Year,NominaltoReal)))</f>
        <v>0.86601934877293718</v>
      </c>
      <c r="GG71" s="143"/>
      <c r="GH71" s="145" cm="1">
        <f t="array" ref="GH71">SUMPRODUCT(--($CR$7:$FW$7&gt;=GH$5),--($CR$7:$FW$7&lt;=GH$6),$CR71:$FW71)*FZ71</f>
        <v>53246.275016920692</v>
      </c>
      <c r="GI71" s="145" cm="1">
        <f t="array" ref="GI71">SUMPRODUCT(--($CR$7:$FW$7&gt;=GI$5),--($CR$7:$FW$7&lt;=GI$6),$CR71:$FW71)*GA71</f>
        <v>79340.28599098156</v>
      </c>
      <c r="GJ71" s="145" cm="1">
        <f t="array" ref="GJ71">SUMPRODUCT(--($CR$7:$FW$7&gt;=GJ$5),--($CR$7:$FW$7&lt;=GJ$6),$CR71:$FW71)*GB71</f>
        <v>79623.889362931717</v>
      </c>
      <c r="GK71" s="145" cm="1">
        <f t="array" ref="GK71">SUMPRODUCT(--($CR$7:$FW$7&gt;=GK$5),--($CR$7:$FW$7&lt;=GK$6),$CR71:$FW71)*GC71</f>
        <v>33046.999116243729</v>
      </c>
      <c r="GL71" s="145" cm="1">
        <f t="array" ref="GL71">SUMPRODUCT(--($CR$7:$FW$7&gt;=GL$5),--($CR$7:$FW$7&lt;=GL$6),$CR71:$FW71)*GD71</f>
        <v>0</v>
      </c>
      <c r="GM71" s="145" cm="1">
        <f t="array" ref="GM71">SUMPRODUCT(--($CR$7:$FW$7&gt;=GM$5),--($CR$7:$FW$7&lt;=GM$6),$CR71:$FW71)*GE71</f>
        <v>0</v>
      </c>
      <c r="GN71" s="145" cm="1">
        <f t="array" ref="GN71">SUMPRODUCT(--($CR$7:$FW$7&gt;=GN$5),--($CR$7:$FW$7&lt;=GN$6),$CR71:$FW71)*GF71</f>
        <v>0</v>
      </c>
      <c r="GO71" s="145">
        <f t="shared" si="18"/>
        <v>245257.44948707771</v>
      </c>
      <c r="GP71" s="87"/>
      <c r="GQ71" s="89"/>
      <c r="GR71" s="145" cm="1">
        <f t="array" ref="GR71">SUMPRODUCT(--($CR$7:$FW$7&gt;=GR$5),--($CR$7:$FW$7&lt;=GR$6),$CR71:$FW71)</f>
        <v>32271.399999999998</v>
      </c>
      <c r="GS71" s="89"/>
      <c r="GT71" s="214" cm="1">
        <f t="array" ref="GT71">--AND(MIN(IF($K71:$CP71&lt;&gt;0,$K$7:$CP$7))&gt;=GT$5,MIN(IF($K71:$CP71&lt;&gt;0,$K$7:$CP$7))&lt;=GT$6)</f>
        <v>0</v>
      </c>
      <c r="GU71" s="214" cm="1">
        <f t="array" ref="GU71">--AND(MIN(IF($K71:$CP71&lt;&gt;0,$K$7:$CP$7))&gt;=GU$5,MIN(IF($K71:$CP71&lt;&gt;0,$K$7:$CP$7))&lt;=GU$6)</f>
        <v>0</v>
      </c>
      <c r="GV71" s="214" cm="1">
        <f t="array" ref="GV71">--AND(MIN(IF($K71:$CP71&lt;&gt;0,$K$7:$CP$7))&gt;=GV$5,MIN(IF($K71:$CP71&lt;&gt;0,$K$7:$CP$7))&lt;=GV$6)</f>
        <v>0</v>
      </c>
      <c r="GW71" s="214" cm="1">
        <f t="array" ref="GW71">--AND(MIN(IF($K71:$CP71&lt;&gt;0,$K$7:$CP$7))&gt;=GW$5,MIN(IF($K71:$CP71&lt;&gt;0,$K$7:$CP$7))&lt;=GW$6)</f>
        <v>0</v>
      </c>
      <c r="GX71" s="214" cm="1">
        <f t="array" ref="GX71">--AND(MIN(IF($K71:$CP71&lt;&gt;0,$K$7:$CP$7))&gt;=GX$5,MIN(IF($K71:$CP71&lt;&gt;0,$K$7:$CP$7))&lt;=GX$6)</f>
        <v>0</v>
      </c>
      <c r="GY71" s="214" cm="1">
        <f t="array" ref="GY71">--AND(MIN(IF($K71:$CP71&lt;&gt;0,$K$7:$CP$7))&gt;=GY$5,MIN(IF($K71:$CP71&lt;&gt;0,$K$7:$CP$7))&lt;=GY$6)</f>
        <v>0</v>
      </c>
      <c r="GZ71" s="214" cm="1">
        <f t="array" ref="GZ71">--AND(MIN(IF($K71:$CP71&lt;&gt;0,$K$7:$CP$7))&gt;=GZ$5,MIN(IF($K71:$CP71&lt;&gt;0,$K$7:$CP$7))&lt;=GZ$6)</f>
        <v>0</v>
      </c>
      <c r="HA71" s="214">
        <f t="shared" si="0"/>
        <v>0</v>
      </c>
      <c r="HC71" s="214" cm="1">
        <f t="array" ref="HC71">--AND(MIN(IF($K71:$CP71&lt;&gt;0,$K$7:$CP$7))&gt;=HC$5,MIN(IF($K71:$CP71&lt;&gt;0,$K$7:$CP$7))&lt;=HC$6)</f>
        <v>0</v>
      </c>
      <c r="HE71" s="147" t="str">
        <f t="shared" si="19"/>
        <v>No</v>
      </c>
      <c r="HF71" s="147" t="str">
        <f t="shared" si="20"/>
        <v>No</v>
      </c>
      <c r="HG71" s="147">
        <f>IF($HF71="Yes",0,$H71*avg_hrs*12*'Key assumptions'!$D$87)</f>
        <v>424624.47630621213</v>
      </c>
      <c r="HH71" s="147">
        <f>IF(HE71="Yes",'Key assumptions'!$D$84*HG71,0)</f>
        <v>0</v>
      </c>
      <c r="HI71" s="144">
        <f>IFERROR(AVERAGEIFS($K71:$CP71,$K$7:$CP$7,"&gt;="&amp;'Key assumptions'!$D$24,$K$7:$CP$7,"&lt;="&amp;'Key assumptions'!$D$25),0)</f>
        <v>0.17966507177033497</v>
      </c>
      <c r="HJ71" s="148">
        <f t="shared" si="22"/>
        <v>0</v>
      </c>
      <c r="HK71" s="148">
        <f t="shared" si="1"/>
        <v>0</v>
      </c>
      <c r="HL71" s="148">
        <f t="shared" si="2"/>
        <v>0</v>
      </c>
      <c r="HM71" s="148">
        <f t="shared" si="3"/>
        <v>0</v>
      </c>
      <c r="HN71" s="148">
        <f t="shared" si="4"/>
        <v>0</v>
      </c>
      <c r="HO71" s="148">
        <f t="shared" si="5"/>
        <v>0</v>
      </c>
      <c r="HP71" s="148">
        <f t="shared" si="6"/>
        <v>0</v>
      </c>
      <c r="HQ71" s="148">
        <f t="shared" si="7"/>
        <v>0</v>
      </c>
      <c r="HR71" s="147">
        <f t="shared" si="8"/>
        <v>0</v>
      </c>
      <c r="HS71" s="89"/>
      <c r="HU71" s="147">
        <f>$HJ71*HC71/(1+'Key assumptions'!G93)^0.75</f>
        <v>0</v>
      </c>
      <c r="HW71" s="216">
        <f t="shared" si="9"/>
        <v>0</v>
      </c>
      <c r="HX71" s="216">
        <f t="shared" si="10"/>
        <v>0</v>
      </c>
      <c r="HY71" s="216">
        <f t="shared" si="11"/>
        <v>0</v>
      </c>
      <c r="HZ71" s="216">
        <f t="shared" si="12"/>
        <v>0</v>
      </c>
      <c r="IA71" s="216">
        <f t="shared" si="13"/>
        <v>0</v>
      </c>
      <c r="IB71" s="216">
        <f t="shared" si="14"/>
        <v>0</v>
      </c>
      <c r="IC71" s="216">
        <f t="shared" si="15"/>
        <v>0</v>
      </c>
      <c r="ID71" s="216">
        <f t="shared" si="16"/>
        <v>0</v>
      </c>
      <c r="IF71" s="216">
        <f t="shared" si="17"/>
        <v>0</v>
      </c>
    </row>
    <row r="72" spans="2:240" x14ac:dyDescent="0.2">
      <c r="B72" s="141" t="str">
        <v>Project Development</v>
      </c>
      <c r="C72" s="141" t="str">
        <v>Professional/Engineer CO (Network System Planning)</v>
      </c>
      <c r="D72" s="141" t="str">
        <v>Internal Labour</v>
      </c>
      <c r="E72" s="141" t="str">
        <v>$ Nominal</v>
      </c>
      <c r="F72" s="141" t="str">
        <v>Existing</v>
      </c>
      <c r="G72" s="141" t="str">
        <v>Normal time</v>
      </c>
      <c r="H72" s="142">
        <v>237.45</v>
      </c>
      <c r="I72" s="126">
        <v>188018.66999999995</v>
      </c>
      <c r="J72" s="143">
        <v>0</v>
      </c>
      <c r="K72" s="144">
        <v>0</v>
      </c>
      <c r="L72" s="144">
        <v>0</v>
      </c>
      <c r="M72" s="144">
        <v>0</v>
      </c>
      <c r="N72" s="144">
        <v>0</v>
      </c>
      <c r="O72" s="144">
        <v>0</v>
      </c>
      <c r="P72" s="144">
        <v>0</v>
      </c>
      <c r="Q72" s="144">
        <v>0</v>
      </c>
      <c r="R72" s="144">
        <v>0</v>
      </c>
      <c r="S72" s="144">
        <v>0</v>
      </c>
      <c r="T72" s="144">
        <v>0</v>
      </c>
      <c r="U72" s="144">
        <v>0</v>
      </c>
      <c r="V72" s="144">
        <v>0</v>
      </c>
      <c r="W72" s="144">
        <v>0</v>
      </c>
      <c r="X72" s="144">
        <v>0.15</v>
      </c>
      <c r="Y72" s="144">
        <v>0.15</v>
      </c>
      <c r="Z72" s="144">
        <v>0.2</v>
      </c>
      <c r="AA72" s="144">
        <v>0.13815789473684212</v>
      </c>
      <c r="AB72" s="144">
        <v>0.13815789473684212</v>
      </c>
      <c r="AC72" s="144">
        <v>0.15</v>
      </c>
      <c r="AD72" s="144">
        <v>0.15</v>
      </c>
      <c r="AE72" s="144">
        <v>0.15</v>
      </c>
      <c r="AF72" s="144">
        <v>0.15</v>
      </c>
      <c r="AG72" s="144">
        <v>0.15</v>
      </c>
      <c r="AH72" s="144">
        <v>0.2</v>
      </c>
      <c r="AI72" s="144">
        <v>0.2</v>
      </c>
      <c r="AJ72" s="144">
        <v>0.15</v>
      </c>
      <c r="AK72" s="144">
        <v>0.15</v>
      </c>
      <c r="AL72" s="144">
        <v>0.2</v>
      </c>
      <c r="AM72" s="144">
        <v>0.13815789473684212</v>
      </c>
      <c r="AN72" s="144">
        <v>0.13815789473684212</v>
      </c>
      <c r="AO72" s="144">
        <v>0.15</v>
      </c>
      <c r="AP72" s="144">
        <v>0.15</v>
      </c>
      <c r="AQ72" s="144">
        <v>0.15</v>
      </c>
      <c r="AR72" s="144">
        <v>0.15</v>
      </c>
      <c r="AS72" s="144">
        <v>0.15</v>
      </c>
      <c r="AT72" s="144">
        <v>0.2</v>
      </c>
      <c r="AU72" s="144">
        <v>0.2</v>
      </c>
      <c r="AV72" s="144">
        <v>0.15</v>
      </c>
      <c r="AW72" s="144">
        <v>0.15</v>
      </c>
      <c r="AX72" s="144">
        <v>0.2</v>
      </c>
      <c r="AY72" s="144">
        <v>0.13815789473684212</v>
      </c>
      <c r="AZ72" s="144">
        <v>0.13815789473684212</v>
      </c>
      <c r="BA72" s="144">
        <v>0.15</v>
      </c>
      <c r="BB72" s="144">
        <v>0.15</v>
      </c>
      <c r="BC72" s="144">
        <v>0.15</v>
      </c>
      <c r="BD72" s="144">
        <v>0.15</v>
      </c>
      <c r="BE72" s="144">
        <v>0.15</v>
      </c>
      <c r="BF72" s="144">
        <v>0.2</v>
      </c>
      <c r="BG72" s="144">
        <v>0.2</v>
      </c>
      <c r="BH72" s="144">
        <v>0.15</v>
      </c>
      <c r="BI72" s="144">
        <v>0</v>
      </c>
      <c r="BJ72" s="144">
        <v>0</v>
      </c>
      <c r="BK72" s="144">
        <v>0</v>
      </c>
      <c r="BL72" s="144">
        <v>0</v>
      </c>
      <c r="BM72" s="144">
        <v>0</v>
      </c>
      <c r="BN72" s="144">
        <v>0</v>
      </c>
      <c r="BO72" s="144">
        <v>0</v>
      </c>
      <c r="BP72" s="144">
        <v>0</v>
      </c>
      <c r="BQ72" s="144">
        <v>0</v>
      </c>
      <c r="BR72" s="144">
        <v>0</v>
      </c>
      <c r="BS72" s="144">
        <v>0</v>
      </c>
      <c r="BT72" s="144">
        <v>0</v>
      </c>
      <c r="BU72" s="144">
        <v>0</v>
      </c>
      <c r="BV72" s="144">
        <v>0</v>
      </c>
      <c r="BW72" s="144">
        <v>0</v>
      </c>
      <c r="BX72" s="144">
        <v>0</v>
      </c>
      <c r="BY72" s="144">
        <v>0</v>
      </c>
      <c r="BZ72" s="144">
        <v>0</v>
      </c>
      <c r="CA72" s="144">
        <v>0</v>
      </c>
      <c r="CB72" s="144">
        <v>0</v>
      </c>
      <c r="CC72" s="144">
        <v>0</v>
      </c>
      <c r="CD72" s="144">
        <v>0</v>
      </c>
      <c r="CE72" s="144">
        <v>0</v>
      </c>
      <c r="CF72" s="144">
        <v>0</v>
      </c>
      <c r="CG72" s="144">
        <v>0</v>
      </c>
      <c r="CH72" s="144">
        <v>0</v>
      </c>
      <c r="CI72" s="144">
        <v>0</v>
      </c>
      <c r="CJ72" s="144">
        <v>0</v>
      </c>
      <c r="CK72" s="144">
        <v>0</v>
      </c>
      <c r="CL72" s="144">
        <v>0</v>
      </c>
      <c r="CM72" s="144">
        <v>0</v>
      </c>
      <c r="CN72" s="144">
        <v>0</v>
      </c>
      <c r="CO72" s="144">
        <v>0</v>
      </c>
      <c r="CP72" s="144">
        <v>0</v>
      </c>
      <c r="CQ72" s="143">
        <v>0</v>
      </c>
      <c r="CR72" s="145">
        <v>0</v>
      </c>
      <c r="CS72" s="145">
        <v>0</v>
      </c>
      <c r="CT72" s="145">
        <v>0</v>
      </c>
      <c r="CU72" s="145">
        <v>0</v>
      </c>
      <c r="CV72" s="145">
        <v>0</v>
      </c>
      <c r="CW72" s="145">
        <v>0</v>
      </c>
      <c r="CX72" s="145">
        <v>0</v>
      </c>
      <c r="CY72" s="145">
        <v>0</v>
      </c>
      <c r="CZ72" s="145">
        <v>0</v>
      </c>
      <c r="DA72" s="145">
        <v>0</v>
      </c>
      <c r="DB72" s="145">
        <v>0</v>
      </c>
      <c r="DC72" s="145">
        <v>0</v>
      </c>
      <c r="DD72" s="145">
        <v>0</v>
      </c>
      <c r="DE72" s="145">
        <v>4840.71</v>
      </c>
      <c r="DF72" s="145">
        <v>4840.71</v>
      </c>
      <c r="DG72" s="145">
        <v>4840.71</v>
      </c>
      <c r="DH72" s="145">
        <v>4840.71</v>
      </c>
      <c r="DI72" s="145">
        <v>4840.71</v>
      </c>
      <c r="DJ72" s="145">
        <v>4986.45</v>
      </c>
      <c r="DK72" s="145">
        <v>4986.45</v>
      </c>
      <c r="DL72" s="145">
        <v>4986.45</v>
      </c>
      <c r="DM72" s="145">
        <v>4986.45</v>
      </c>
      <c r="DN72" s="145">
        <v>4986.45</v>
      </c>
      <c r="DO72" s="145">
        <v>4986.45</v>
      </c>
      <c r="DP72" s="145">
        <v>4986.45</v>
      </c>
      <c r="DQ72" s="145">
        <v>4986.45</v>
      </c>
      <c r="DR72" s="145">
        <v>4986.45</v>
      </c>
      <c r="DS72" s="145">
        <v>4986.45</v>
      </c>
      <c r="DT72" s="145">
        <v>4986.45</v>
      </c>
      <c r="DU72" s="145">
        <v>4986.45</v>
      </c>
      <c r="DV72" s="145">
        <v>5136.8100000000004</v>
      </c>
      <c r="DW72" s="145">
        <v>5136.8100000000004</v>
      </c>
      <c r="DX72" s="145">
        <v>5136.8100000000004</v>
      </c>
      <c r="DY72" s="145">
        <v>5136.8100000000004</v>
      </c>
      <c r="DZ72" s="145">
        <v>5136.8100000000004</v>
      </c>
      <c r="EA72" s="145">
        <v>5136.8100000000004</v>
      </c>
      <c r="EB72" s="145">
        <v>5136.8100000000004</v>
      </c>
      <c r="EC72" s="145">
        <v>5136.8100000000004</v>
      </c>
      <c r="ED72" s="145">
        <v>5136.8100000000004</v>
      </c>
      <c r="EE72" s="145">
        <v>5136.8100000000004</v>
      </c>
      <c r="EF72" s="145">
        <v>5136.8100000000004</v>
      </c>
      <c r="EG72" s="145">
        <v>5136.8100000000004</v>
      </c>
      <c r="EH72" s="145">
        <v>5292</v>
      </c>
      <c r="EI72" s="145">
        <v>5292</v>
      </c>
      <c r="EJ72" s="145">
        <v>5292</v>
      </c>
      <c r="EK72" s="145">
        <v>5292</v>
      </c>
      <c r="EL72" s="145">
        <v>5292</v>
      </c>
      <c r="EM72" s="145">
        <v>5292</v>
      </c>
      <c r="EN72" s="145">
        <v>5292</v>
      </c>
      <c r="EO72" s="145">
        <v>5292</v>
      </c>
      <c r="EP72" s="145">
        <v>0</v>
      </c>
      <c r="EQ72" s="145">
        <v>0</v>
      </c>
      <c r="ER72" s="145">
        <v>0</v>
      </c>
      <c r="ES72" s="145">
        <v>0</v>
      </c>
      <c r="ET72" s="145">
        <v>0</v>
      </c>
      <c r="EU72" s="145">
        <v>0</v>
      </c>
      <c r="EV72" s="145">
        <v>0</v>
      </c>
      <c r="EW72" s="145">
        <v>0</v>
      </c>
      <c r="EX72" s="145">
        <v>0</v>
      </c>
      <c r="EY72" s="145">
        <v>0</v>
      </c>
      <c r="EZ72" s="145">
        <v>0</v>
      </c>
      <c r="FA72" s="145">
        <v>0</v>
      </c>
      <c r="FB72" s="145">
        <v>0</v>
      </c>
      <c r="FC72" s="145">
        <v>0</v>
      </c>
      <c r="FD72" s="145">
        <v>0</v>
      </c>
      <c r="FE72" s="145">
        <v>0</v>
      </c>
      <c r="FF72" s="145">
        <v>0</v>
      </c>
      <c r="FG72" s="145">
        <v>0</v>
      </c>
      <c r="FH72" s="145">
        <v>0</v>
      </c>
      <c r="FI72" s="145">
        <v>0</v>
      </c>
      <c r="FJ72" s="145">
        <v>0</v>
      </c>
      <c r="FK72" s="145">
        <v>0</v>
      </c>
      <c r="FL72" s="145">
        <v>0</v>
      </c>
      <c r="FM72" s="145">
        <v>0</v>
      </c>
      <c r="FN72" s="145">
        <v>0</v>
      </c>
      <c r="FO72" s="145">
        <v>0</v>
      </c>
      <c r="FP72" s="145">
        <v>0</v>
      </c>
      <c r="FQ72" s="145">
        <v>0</v>
      </c>
      <c r="FR72" s="145">
        <v>0</v>
      </c>
      <c r="FS72" s="145">
        <v>0</v>
      </c>
      <c r="FT72" s="145">
        <v>0</v>
      </c>
      <c r="FU72" s="145">
        <v>0</v>
      </c>
      <c r="FV72" s="145">
        <v>0</v>
      </c>
      <c r="FW72" s="145">
        <v>0</v>
      </c>
      <c r="FX72" s="143"/>
      <c r="FY72" s="146" t="str">
        <f>_xlfn.XLOOKUP($E72,'Key assumptions'!$B$112:$B$120,'Key assumptions'!$C$112:$C$120,0)</f>
        <v>Nominal</v>
      </c>
      <c r="FZ72" s="146" cm="1">
        <f t="array" ref="FZ72">IF($FY72=0,0,_xlfn.IFS($FY72='Key assumptions'!$C$120,_xlfn.XLOOKUP(LEFT(FZ$7,6),Inflation_Year,Inflation_NominaltoReal),TRUE,_xlfn.XLOOKUP($FY72,Inflation_Year,NominaltoReal)))</f>
        <v>1.0197075870962191</v>
      </c>
      <c r="GA72" s="146" cm="1">
        <f t="array" ref="GA72">IF($FY72=0,0,_xlfn.IFS($FY72='Key assumptions'!$C$120,_xlfn.XLOOKUP(LEFT(GA$7,6),Inflation_Year,Inflation_NominaltoReal),TRUE,_xlfn.XLOOKUP($FY72,Inflation_Year,NominaltoReal)))</f>
        <v>0.98700804022984445</v>
      </c>
      <c r="GB72" s="146" cm="1">
        <f t="array" ref="GB72">IF($FY72=0,0,_xlfn.IFS($FY72='Key assumptions'!$C$120,_xlfn.XLOOKUP(LEFT(GB$7,6),Inflation_Year,Inflation_NominaltoReal),TRUE,_xlfn.XLOOKUP($FY72,Inflation_Year,NominaltoReal)))</f>
        <v>0.96152830081941731</v>
      </c>
      <c r="GC72" s="146" cm="1">
        <f t="array" ref="GC72">IF($FY72=0,0,_xlfn.IFS($FY72='Key assumptions'!$C$120,_xlfn.XLOOKUP(LEFT(GC$7,6),Inflation_Year,Inflation_NominaltoReal),TRUE,_xlfn.XLOOKUP($FY72,Inflation_Year,NominaltoReal)))</f>
        <v>0.93670632415656829</v>
      </c>
      <c r="GD72" s="146" cm="1">
        <f t="array" ref="GD72">IF($FY72=0,0,_xlfn.IFS($FY72='Key assumptions'!$C$120,_xlfn.XLOOKUP(LEFT(GD$7,6),Inflation_Year,Inflation_NominaltoReal),TRUE,_xlfn.XLOOKUP($FY72,Inflation_Year,NominaltoReal)))</f>
        <v>0.91252513001143176</v>
      </c>
      <c r="GE72" s="146" cm="1">
        <f t="array" ref="GE72">IF($FY72=0,0,_xlfn.IFS($FY72='Key assumptions'!$C$120,_xlfn.XLOOKUP(LEFT(GE$7,6),Inflation_Year,Inflation_NominaltoReal),TRUE,_xlfn.XLOOKUP($FY72,Inflation_Year,NominaltoReal)))</f>
        <v>0.88896817650095872</v>
      </c>
      <c r="GF72" s="146" cm="1">
        <f t="array" ref="GF72">IF($FY72=0,0,_xlfn.IFS($FY72='Key assumptions'!$C$120,_xlfn.XLOOKUP(LEFT(GF$7,6),Inflation_Year,Inflation_NominaltoReal),TRUE,_xlfn.XLOOKUP($FY72,Inflation_Year,NominaltoReal)))</f>
        <v>0.86601934877293718</v>
      </c>
      <c r="GG72" s="143"/>
      <c r="GH72" s="145" cm="1">
        <f t="array" ref="GH72">SUMPRODUCT(--($CR$7:$FW$7&gt;=GH$5),--($CR$7:$FW$7&lt;=GH$6),$CR72:$FW72)*FZ72</f>
        <v>39934.706262690517</v>
      </c>
      <c r="GI72" s="145" cm="1">
        <f t="array" ref="GI72">SUMPRODUCT(--($CR$7:$FW$7&gt;=GI$5),--($CR$7:$FW$7&lt;=GI$6),$CR72:$FW72)*GA72</f>
        <v>59505.214493236163</v>
      </c>
      <c r="GJ72" s="145" cm="1">
        <f t="array" ref="GJ72">SUMPRODUCT(--($CR$7:$FW$7&gt;=GJ$5),--($CR$7:$FW$7&lt;=GJ$6),$CR72:$FW72)*GB72</f>
        <v>59717.917022198788</v>
      </c>
      <c r="GK72" s="145" cm="1">
        <f t="array" ref="GK72">SUMPRODUCT(--($CR$7:$FW$7&gt;=GK$5),--($CR$7:$FW$7&lt;=GK$6),$CR72:$FW72)*GC72</f>
        <v>24785.249337182799</v>
      </c>
      <c r="GL72" s="145" cm="1">
        <f t="array" ref="GL72">SUMPRODUCT(--($CR$7:$FW$7&gt;=GL$5),--($CR$7:$FW$7&lt;=GL$6),$CR72:$FW72)*GD72</f>
        <v>0</v>
      </c>
      <c r="GM72" s="145" cm="1">
        <f t="array" ref="GM72">SUMPRODUCT(--($CR$7:$FW$7&gt;=GM$5),--($CR$7:$FW$7&lt;=GM$6),$CR72:$FW72)*GE72</f>
        <v>0</v>
      </c>
      <c r="GN72" s="145" cm="1">
        <f t="array" ref="GN72">SUMPRODUCT(--($CR$7:$FW$7&gt;=GN$5),--($CR$7:$FW$7&lt;=GN$6),$CR72:$FW72)*GF72</f>
        <v>0</v>
      </c>
      <c r="GO72" s="145">
        <f t="shared" ref="GO72:GO135" si="23">SUM(GH72:GN72)</f>
        <v>183943.08711530827</v>
      </c>
      <c r="GP72" s="87"/>
      <c r="GQ72" s="89"/>
      <c r="GR72" s="145" cm="1">
        <f t="array" ref="GR72">SUMPRODUCT(--($CR$7:$FW$7&gt;=GR$5),--($CR$7:$FW$7&lt;=GR$6),$CR72:$FW72)</f>
        <v>24203.55</v>
      </c>
      <c r="GS72" s="89"/>
      <c r="GT72" s="214" cm="1">
        <f t="array" ref="GT72">--AND(MIN(IF($K72:$CP72&lt;&gt;0,$K$7:$CP$7))&gt;=GT$5,MIN(IF($K72:$CP72&lt;&gt;0,$K$7:$CP$7))&lt;=GT$6)</f>
        <v>1</v>
      </c>
      <c r="GU72" s="214" cm="1">
        <f t="array" ref="GU72">--AND(MIN(IF($K72:$CP72&lt;&gt;0,$K$7:$CP$7))&gt;=GU$5,MIN(IF($K72:$CP72&lt;&gt;0,$K$7:$CP$7))&lt;=GU$6)</f>
        <v>0</v>
      </c>
      <c r="GV72" s="214" cm="1">
        <f t="array" ref="GV72">--AND(MIN(IF($K72:$CP72&lt;&gt;0,$K$7:$CP$7))&gt;=GV$5,MIN(IF($K72:$CP72&lt;&gt;0,$K$7:$CP$7))&lt;=GV$6)</f>
        <v>0</v>
      </c>
      <c r="GW72" s="214" cm="1">
        <f t="array" ref="GW72">--AND(MIN(IF($K72:$CP72&lt;&gt;0,$K$7:$CP$7))&gt;=GW$5,MIN(IF($K72:$CP72&lt;&gt;0,$K$7:$CP$7))&lt;=GW$6)</f>
        <v>0</v>
      </c>
      <c r="GX72" s="214" cm="1">
        <f t="array" ref="GX72">--AND(MIN(IF($K72:$CP72&lt;&gt;0,$K$7:$CP$7))&gt;=GX$5,MIN(IF($K72:$CP72&lt;&gt;0,$K$7:$CP$7))&lt;=GX$6)</f>
        <v>0</v>
      </c>
      <c r="GY72" s="214" cm="1">
        <f t="array" ref="GY72">--AND(MIN(IF($K72:$CP72&lt;&gt;0,$K$7:$CP$7))&gt;=GY$5,MIN(IF($K72:$CP72&lt;&gt;0,$K$7:$CP$7))&lt;=GY$6)</f>
        <v>0</v>
      </c>
      <c r="GZ72" s="214" cm="1">
        <f t="array" ref="GZ72">--AND(MIN(IF($K72:$CP72&lt;&gt;0,$K$7:$CP$7))&gt;=GZ$5,MIN(IF($K72:$CP72&lt;&gt;0,$K$7:$CP$7))&lt;=GZ$6)</f>
        <v>0</v>
      </c>
      <c r="HA72" s="214">
        <f t="shared" ref="HA72:HA135" si="24">SUM(GT72:GZ72)</f>
        <v>1</v>
      </c>
      <c r="HC72" s="214" cm="1">
        <f t="array" ref="HC72">--AND(MIN(IF($K72:$CP72&lt;&gt;0,$K$7:$CP$7))&gt;=HC$5,MIN(IF($K72:$CP72&lt;&gt;0,$K$7:$CP$7))&lt;=HC$6)</f>
        <v>1</v>
      </c>
      <c r="HE72" s="147" t="str">
        <f t="shared" si="19"/>
        <v>No</v>
      </c>
      <c r="HF72" s="147" t="str">
        <f t="shared" si="20"/>
        <v>No</v>
      </c>
      <c r="HG72" s="147">
        <f>IF($HF72="Yes",0,$H72*avg_hrs*12*'Key assumptions'!$D$87)</f>
        <v>424624.47630621213</v>
      </c>
      <c r="HH72" s="147">
        <f>IF(HE72="Yes",'Key assumptions'!$D$84*HG72,0)</f>
        <v>0</v>
      </c>
      <c r="HI72" s="144">
        <f>IFERROR(AVERAGEIFS($K72:$CP72,$K$7:$CP$7,"&gt;="&amp;'Key assumptions'!$D$24,$K$7:$CP$7,"&lt;="&amp;'Key assumptions'!$D$25),0)</f>
        <v>0.13474880382775128</v>
      </c>
      <c r="HJ72" s="148">
        <f t="shared" ref="HJ72:HJ103" si="25">HH72*HI72</f>
        <v>0</v>
      </c>
      <c r="HK72" s="148">
        <f t="shared" ref="HK72:HK135" si="26">$HJ72*GT72</f>
        <v>0</v>
      </c>
      <c r="HL72" s="148">
        <f t="shared" ref="HL72:HL135" si="27">$HJ72*GU72</f>
        <v>0</v>
      </c>
      <c r="HM72" s="148">
        <f t="shared" ref="HM72:HM135" si="28">$HJ72*GV72</f>
        <v>0</v>
      </c>
      <c r="HN72" s="148">
        <f t="shared" ref="HN72:HN135" si="29">$HJ72*GW72</f>
        <v>0</v>
      </c>
      <c r="HO72" s="148">
        <f t="shared" ref="HO72:HO135" si="30">$HJ72*GX72</f>
        <v>0</v>
      </c>
      <c r="HP72" s="148">
        <f t="shared" ref="HP72:HP135" si="31">$HJ72*GY72</f>
        <v>0</v>
      </c>
      <c r="HQ72" s="148">
        <f t="shared" ref="HQ72:HQ135" si="32">$HJ72*GZ72</f>
        <v>0</v>
      </c>
      <c r="HR72" s="147">
        <f t="shared" ref="HR72:HR135" si="33">SUM(HK72:HQ72)</f>
        <v>0</v>
      </c>
      <c r="HS72" s="90"/>
      <c r="HU72" s="147">
        <f>$HJ72*HC72/(1+'Key assumptions'!G94)^0.75</f>
        <v>0</v>
      </c>
      <c r="HW72" s="216">
        <f t="shared" ref="HW72:HW135" si="34">$HI72*GT72</f>
        <v>0.13474880382775128</v>
      </c>
      <c r="HX72" s="216">
        <f t="shared" ref="HX72:HX135" si="35">$HI72*GU72</f>
        <v>0</v>
      </c>
      <c r="HY72" s="216">
        <f t="shared" ref="HY72:HY135" si="36">$HI72*GV72</f>
        <v>0</v>
      </c>
      <c r="HZ72" s="216">
        <f t="shared" ref="HZ72:HZ135" si="37">$HI72*GW72</f>
        <v>0</v>
      </c>
      <c r="IA72" s="216">
        <f t="shared" ref="IA72:IA135" si="38">$HI72*GX72</f>
        <v>0</v>
      </c>
      <c r="IB72" s="216">
        <f t="shared" ref="IB72:IB135" si="39">$HI72*GY72</f>
        <v>0</v>
      </c>
      <c r="IC72" s="216">
        <f t="shared" ref="IC72:IC135" si="40">$HI72*GZ72</f>
        <v>0</v>
      </c>
      <c r="ID72" s="216">
        <f t="shared" ref="ID72:ID135" si="41">SUM(HW72:IC72)</f>
        <v>0.13474880382775128</v>
      </c>
      <c r="IF72" s="216">
        <f t="shared" ref="IF72:IF135" si="42">$HI72*HC72</f>
        <v>0.13474880382775128</v>
      </c>
    </row>
    <row r="73" spans="2:240" x14ac:dyDescent="0.2">
      <c r="B73" s="141" t="str">
        <v>Project Development</v>
      </c>
      <c r="C73" s="141" t="str">
        <v>Professional/Engineer CO (Network System Planning)</v>
      </c>
      <c r="D73" s="141" t="str">
        <v>Internal Labour</v>
      </c>
      <c r="E73" s="141" t="str">
        <v>$ Nominal</v>
      </c>
      <c r="F73" s="141" t="str">
        <v>Existing</v>
      </c>
      <c r="G73" s="141" t="str">
        <v>Normal time</v>
      </c>
      <c r="H73" s="142">
        <v>237.45</v>
      </c>
      <c r="I73" s="126">
        <v>125946.45999999996</v>
      </c>
      <c r="J73" s="143">
        <v>0</v>
      </c>
      <c r="K73" s="144">
        <v>0</v>
      </c>
      <c r="L73" s="144">
        <v>0</v>
      </c>
      <c r="M73" s="144">
        <v>0</v>
      </c>
      <c r="N73" s="144">
        <v>0</v>
      </c>
      <c r="O73" s="144">
        <v>0</v>
      </c>
      <c r="P73" s="144">
        <v>0</v>
      </c>
      <c r="Q73" s="144">
        <v>0</v>
      </c>
      <c r="R73" s="144">
        <v>1.4285714285714285E-2</v>
      </c>
      <c r="S73" s="144">
        <v>0</v>
      </c>
      <c r="T73" s="144">
        <v>0</v>
      </c>
      <c r="U73" s="144">
        <v>0</v>
      </c>
      <c r="V73" s="144">
        <v>0</v>
      </c>
      <c r="W73" s="144">
        <v>0</v>
      </c>
      <c r="X73" s="144">
        <v>0.1</v>
      </c>
      <c r="Y73" s="144">
        <v>0.1</v>
      </c>
      <c r="Z73" s="144">
        <v>0.13333333333333333</v>
      </c>
      <c r="AA73" s="144">
        <v>9.2105263157894732E-2</v>
      </c>
      <c r="AB73" s="144">
        <v>9.2105263157894732E-2</v>
      </c>
      <c r="AC73" s="144">
        <v>0.1</v>
      </c>
      <c r="AD73" s="144">
        <v>0.1</v>
      </c>
      <c r="AE73" s="144">
        <v>0.1</v>
      </c>
      <c r="AF73" s="144">
        <v>0.1</v>
      </c>
      <c r="AG73" s="144">
        <v>0.1</v>
      </c>
      <c r="AH73" s="144">
        <v>0.13333333333333333</v>
      </c>
      <c r="AI73" s="144">
        <v>0.13333333333333333</v>
      </c>
      <c r="AJ73" s="144">
        <v>0.1</v>
      </c>
      <c r="AK73" s="144">
        <v>0.1</v>
      </c>
      <c r="AL73" s="144">
        <v>0.13333333333333333</v>
      </c>
      <c r="AM73" s="144">
        <v>9.2105263157894732E-2</v>
      </c>
      <c r="AN73" s="144">
        <v>9.2105263157894732E-2</v>
      </c>
      <c r="AO73" s="144">
        <v>0.1</v>
      </c>
      <c r="AP73" s="144">
        <v>0.1</v>
      </c>
      <c r="AQ73" s="144">
        <v>0.1</v>
      </c>
      <c r="AR73" s="144">
        <v>0.1</v>
      </c>
      <c r="AS73" s="144">
        <v>0.1</v>
      </c>
      <c r="AT73" s="144">
        <v>0.13333333333333333</v>
      </c>
      <c r="AU73" s="144">
        <v>0.13333333333333333</v>
      </c>
      <c r="AV73" s="144">
        <v>0.1</v>
      </c>
      <c r="AW73" s="144">
        <v>0.1</v>
      </c>
      <c r="AX73" s="144">
        <v>0.13333333333333333</v>
      </c>
      <c r="AY73" s="144">
        <v>9.2105263157894732E-2</v>
      </c>
      <c r="AZ73" s="144">
        <v>9.2105263157894732E-2</v>
      </c>
      <c r="BA73" s="144">
        <v>0.1</v>
      </c>
      <c r="BB73" s="144">
        <v>0.1</v>
      </c>
      <c r="BC73" s="144">
        <v>0.1</v>
      </c>
      <c r="BD73" s="144">
        <v>0.1</v>
      </c>
      <c r="BE73" s="144">
        <v>0.1</v>
      </c>
      <c r="BF73" s="144">
        <v>0.13333333333333333</v>
      </c>
      <c r="BG73" s="144">
        <v>0.13333333333333333</v>
      </c>
      <c r="BH73" s="144">
        <v>0.1</v>
      </c>
      <c r="BI73" s="144">
        <v>0</v>
      </c>
      <c r="BJ73" s="144">
        <v>0</v>
      </c>
      <c r="BK73" s="144">
        <v>0</v>
      </c>
      <c r="BL73" s="144">
        <v>0</v>
      </c>
      <c r="BM73" s="144">
        <v>0</v>
      </c>
      <c r="BN73" s="144">
        <v>0</v>
      </c>
      <c r="BO73" s="144">
        <v>0</v>
      </c>
      <c r="BP73" s="144">
        <v>0</v>
      </c>
      <c r="BQ73" s="144">
        <v>0</v>
      </c>
      <c r="BR73" s="144">
        <v>0</v>
      </c>
      <c r="BS73" s="144">
        <v>0</v>
      </c>
      <c r="BT73" s="144">
        <v>0</v>
      </c>
      <c r="BU73" s="144">
        <v>0</v>
      </c>
      <c r="BV73" s="144">
        <v>0</v>
      </c>
      <c r="BW73" s="144">
        <v>0</v>
      </c>
      <c r="BX73" s="144">
        <v>0</v>
      </c>
      <c r="BY73" s="144">
        <v>0</v>
      </c>
      <c r="BZ73" s="144">
        <v>0</v>
      </c>
      <c r="CA73" s="144">
        <v>0</v>
      </c>
      <c r="CB73" s="144">
        <v>0</v>
      </c>
      <c r="CC73" s="144">
        <v>0</v>
      </c>
      <c r="CD73" s="144">
        <v>0</v>
      </c>
      <c r="CE73" s="144">
        <v>0</v>
      </c>
      <c r="CF73" s="144">
        <v>0</v>
      </c>
      <c r="CG73" s="144">
        <v>0</v>
      </c>
      <c r="CH73" s="144">
        <v>0</v>
      </c>
      <c r="CI73" s="144">
        <v>0</v>
      </c>
      <c r="CJ73" s="144">
        <v>0</v>
      </c>
      <c r="CK73" s="144">
        <v>0</v>
      </c>
      <c r="CL73" s="144">
        <v>0</v>
      </c>
      <c r="CM73" s="144">
        <v>0</v>
      </c>
      <c r="CN73" s="144">
        <v>0</v>
      </c>
      <c r="CO73" s="144">
        <v>0</v>
      </c>
      <c r="CP73" s="144">
        <v>0</v>
      </c>
      <c r="CQ73" s="143">
        <v>0</v>
      </c>
      <c r="CR73" s="145">
        <v>0</v>
      </c>
      <c r="CS73" s="145">
        <v>0</v>
      </c>
      <c r="CT73" s="145">
        <v>0</v>
      </c>
      <c r="CU73" s="145">
        <v>0</v>
      </c>
      <c r="CV73" s="145">
        <v>0</v>
      </c>
      <c r="CW73" s="145">
        <v>0</v>
      </c>
      <c r="CX73" s="145">
        <v>0</v>
      </c>
      <c r="CY73" s="145">
        <v>600.67999999999995</v>
      </c>
      <c r="CZ73" s="145">
        <v>0</v>
      </c>
      <c r="DA73" s="145">
        <v>0</v>
      </c>
      <c r="DB73" s="145">
        <v>0</v>
      </c>
      <c r="DC73" s="145">
        <v>0</v>
      </c>
      <c r="DD73" s="145">
        <v>0</v>
      </c>
      <c r="DE73" s="145">
        <v>3227.14</v>
      </c>
      <c r="DF73" s="145">
        <v>3227.14</v>
      </c>
      <c r="DG73" s="145">
        <v>3227.14</v>
      </c>
      <c r="DH73" s="145">
        <v>3227.14</v>
      </c>
      <c r="DI73" s="145">
        <v>3227.14</v>
      </c>
      <c r="DJ73" s="145">
        <v>3324.2999999999997</v>
      </c>
      <c r="DK73" s="145">
        <v>3324.2999999999997</v>
      </c>
      <c r="DL73" s="145">
        <v>3324.2999999999997</v>
      </c>
      <c r="DM73" s="145">
        <v>3324.2999999999997</v>
      </c>
      <c r="DN73" s="145">
        <v>3324.2999999999997</v>
      </c>
      <c r="DO73" s="145">
        <v>3324.2999999999997</v>
      </c>
      <c r="DP73" s="145">
        <v>3324.2999999999997</v>
      </c>
      <c r="DQ73" s="145">
        <v>3324.2999999999997</v>
      </c>
      <c r="DR73" s="145">
        <v>3324.2999999999997</v>
      </c>
      <c r="DS73" s="145">
        <v>3324.2999999999997</v>
      </c>
      <c r="DT73" s="145">
        <v>3324.2999999999997</v>
      </c>
      <c r="DU73" s="145">
        <v>3324.2999999999997</v>
      </c>
      <c r="DV73" s="145">
        <v>3424.54</v>
      </c>
      <c r="DW73" s="145">
        <v>3424.54</v>
      </c>
      <c r="DX73" s="145">
        <v>3424.54</v>
      </c>
      <c r="DY73" s="145">
        <v>3424.54</v>
      </c>
      <c r="DZ73" s="145">
        <v>3424.54</v>
      </c>
      <c r="EA73" s="145">
        <v>3424.54</v>
      </c>
      <c r="EB73" s="145">
        <v>3424.54</v>
      </c>
      <c r="EC73" s="145">
        <v>3424.54</v>
      </c>
      <c r="ED73" s="145">
        <v>3424.54</v>
      </c>
      <c r="EE73" s="145">
        <v>3424.54</v>
      </c>
      <c r="EF73" s="145">
        <v>3424.54</v>
      </c>
      <c r="EG73" s="145">
        <v>3424.54</v>
      </c>
      <c r="EH73" s="145">
        <v>3528</v>
      </c>
      <c r="EI73" s="145">
        <v>3528</v>
      </c>
      <c r="EJ73" s="145">
        <v>3528</v>
      </c>
      <c r="EK73" s="145">
        <v>3528</v>
      </c>
      <c r="EL73" s="145">
        <v>3528</v>
      </c>
      <c r="EM73" s="145">
        <v>3528</v>
      </c>
      <c r="EN73" s="145">
        <v>3528</v>
      </c>
      <c r="EO73" s="145">
        <v>3528</v>
      </c>
      <c r="EP73" s="145">
        <v>0</v>
      </c>
      <c r="EQ73" s="145">
        <v>0</v>
      </c>
      <c r="ER73" s="145">
        <v>0</v>
      </c>
      <c r="ES73" s="145">
        <v>0</v>
      </c>
      <c r="ET73" s="145">
        <v>0</v>
      </c>
      <c r="EU73" s="145">
        <v>0</v>
      </c>
      <c r="EV73" s="145">
        <v>0</v>
      </c>
      <c r="EW73" s="145">
        <v>0</v>
      </c>
      <c r="EX73" s="145">
        <v>0</v>
      </c>
      <c r="EY73" s="145">
        <v>0</v>
      </c>
      <c r="EZ73" s="145">
        <v>0</v>
      </c>
      <c r="FA73" s="145">
        <v>0</v>
      </c>
      <c r="FB73" s="145">
        <v>0</v>
      </c>
      <c r="FC73" s="145">
        <v>0</v>
      </c>
      <c r="FD73" s="145">
        <v>0</v>
      </c>
      <c r="FE73" s="145">
        <v>0</v>
      </c>
      <c r="FF73" s="145">
        <v>0</v>
      </c>
      <c r="FG73" s="145">
        <v>0</v>
      </c>
      <c r="FH73" s="145">
        <v>0</v>
      </c>
      <c r="FI73" s="145">
        <v>0</v>
      </c>
      <c r="FJ73" s="145">
        <v>0</v>
      </c>
      <c r="FK73" s="145">
        <v>0</v>
      </c>
      <c r="FL73" s="145">
        <v>0</v>
      </c>
      <c r="FM73" s="145">
        <v>0</v>
      </c>
      <c r="FN73" s="145">
        <v>0</v>
      </c>
      <c r="FO73" s="145">
        <v>0</v>
      </c>
      <c r="FP73" s="145">
        <v>0</v>
      </c>
      <c r="FQ73" s="145">
        <v>0</v>
      </c>
      <c r="FR73" s="145">
        <v>0</v>
      </c>
      <c r="FS73" s="145">
        <v>0</v>
      </c>
      <c r="FT73" s="145">
        <v>0</v>
      </c>
      <c r="FU73" s="145">
        <v>0</v>
      </c>
      <c r="FV73" s="145">
        <v>0</v>
      </c>
      <c r="FW73" s="145">
        <v>0</v>
      </c>
      <c r="FX73" s="143"/>
      <c r="FY73" s="146" t="str">
        <f>_xlfn.XLOOKUP($E73,'Key assumptions'!$B$112:$B$120,'Key assumptions'!$C$112:$C$120,0)</f>
        <v>Nominal</v>
      </c>
      <c r="FZ73" s="146" cm="1">
        <f t="array" ref="FZ73">IF($FY73=0,0,_xlfn.IFS($FY73='Key assumptions'!$C$120,_xlfn.XLOOKUP(LEFT(FZ$7,6),Inflation_Year,Inflation_NominaltoReal),TRUE,_xlfn.XLOOKUP($FY73,Inflation_Year,NominaltoReal)))</f>
        <v>1.0197075870962191</v>
      </c>
      <c r="GA73" s="146" cm="1">
        <f t="array" ref="GA73">IF($FY73=0,0,_xlfn.IFS($FY73='Key assumptions'!$C$120,_xlfn.XLOOKUP(LEFT(GA$7,6),Inflation_Year,Inflation_NominaltoReal),TRUE,_xlfn.XLOOKUP($FY73,Inflation_Year,NominaltoReal)))</f>
        <v>0.98700804022984445</v>
      </c>
      <c r="GB73" s="146" cm="1">
        <f t="array" ref="GB73">IF($FY73=0,0,_xlfn.IFS($FY73='Key assumptions'!$C$120,_xlfn.XLOOKUP(LEFT(GB$7,6),Inflation_Year,Inflation_NominaltoReal),TRUE,_xlfn.XLOOKUP($FY73,Inflation_Year,NominaltoReal)))</f>
        <v>0.96152830081941731</v>
      </c>
      <c r="GC73" s="146" cm="1">
        <f t="array" ref="GC73">IF($FY73=0,0,_xlfn.IFS($FY73='Key assumptions'!$C$120,_xlfn.XLOOKUP(LEFT(GC$7,6),Inflation_Year,Inflation_NominaltoReal),TRUE,_xlfn.XLOOKUP($FY73,Inflation_Year,NominaltoReal)))</f>
        <v>0.93670632415656829</v>
      </c>
      <c r="GD73" s="146" cm="1">
        <f t="array" ref="GD73">IF($FY73=0,0,_xlfn.IFS($FY73='Key assumptions'!$C$120,_xlfn.XLOOKUP(LEFT(GD$7,6),Inflation_Year,Inflation_NominaltoReal),TRUE,_xlfn.XLOOKUP($FY73,Inflation_Year,NominaltoReal)))</f>
        <v>0.91252513001143176</v>
      </c>
      <c r="GE73" s="146" cm="1">
        <f t="array" ref="GE73">IF($FY73=0,0,_xlfn.IFS($FY73='Key assumptions'!$C$120,_xlfn.XLOOKUP(LEFT(GE$7,6),Inflation_Year,Inflation_NominaltoReal),TRUE,_xlfn.XLOOKUP($FY73,Inflation_Year,NominaltoReal)))</f>
        <v>0.88896817650095872</v>
      </c>
      <c r="GF73" s="146" cm="1">
        <f t="array" ref="GF73">IF($FY73=0,0,_xlfn.IFS($FY73='Key assumptions'!$C$120,_xlfn.XLOOKUP(LEFT(GF$7,6),Inflation_Year,Inflation_NominaltoReal),TRUE,_xlfn.XLOOKUP($FY73,Inflation_Year,NominaltoReal)))</f>
        <v>0.86601934877293718</v>
      </c>
      <c r="GG73" s="143"/>
      <c r="GH73" s="145" cm="1">
        <f t="array" ref="GH73">SUMPRODUCT(--($CR$7:$FW$7&gt;=GH$5),--($CR$7:$FW$7&lt;=GH$6),$CR73:$FW73)*FZ73</f>
        <v>26623.137508460346</v>
      </c>
      <c r="GI73" s="145" cm="1">
        <f t="array" ref="GI73">SUMPRODUCT(--($CR$7:$FW$7&gt;=GI$5),--($CR$7:$FW$7&lt;=GI$6),$CR73:$FW73)*GA73</f>
        <v>39670.14299549078</v>
      </c>
      <c r="GJ73" s="145" cm="1">
        <f t="array" ref="GJ73">SUMPRODUCT(--($CR$7:$FW$7&gt;=GJ$5),--($CR$7:$FW$7&lt;=GJ$6),$CR73:$FW73)*GB73</f>
        <v>39811.944681465859</v>
      </c>
      <c r="GK73" s="145" cm="1">
        <f t="array" ref="GK73">SUMPRODUCT(--($CR$7:$FW$7&gt;=GK$5),--($CR$7:$FW$7&lt;=GK$6),$CR73:$FW73)*GC73</f>
        <v>16523.499558121865</v>
      </c>
      <c r="GL73" s="145" cm="1">
        <f t="array" ref="GL73">SUMPRODUCT(--($CR$7:$FW$7&gt;=GL$5),--($CR$7:$FW$7&lt;=GL$6),$CR73:$FW73)*GD73</f>
        <v>0</v>
      </c>
      <c r="GM73" s="145" cm="1">
        <f t="array" ref="GM73">SUMPRODUCT(--($CR$7:$FW$7&gt;=GM$5),--($CR$7:$FW$7&lt;=GM$6),$CR73:$FW73)*GE73</f>
        <v>0</v>
      </c>
      <c r="GN73" s="145" cm="1">
        <f t="array" ref="GN73">SUMPRODUCT(--($CR$7:$FW$7&gt;=GN$5),--($CR$7:$FW$7&lt;=GN$6),$CR73:$FW73)*GF73</f>
        <v>0</v>
      </c>
      <c r="GO73" s="145">
        <f t="shared" si="23"/>
        <v>122628.72474353886</v>
      </c>
      <c r="GP73" s="87"/>
      <c r="GQ73" s="89"/>
      <c r="GR73" s="145" cm="1">
        <f t="array" ref="GR73">SUMPRODUCT(--($CR$7:$FW$7&gt;=GR$5),--($CR$7:$FW$7&lt;=GR$6),$CR73:$FW73)</f>
        <v>16135.699999999999</v>
      </c>
      <c r="GS73" s="89"/>
      <c r="GT73" s="214" cm="1">
        <f t="array" ref="GT73">--AND(MIN(IF($K73:$CP73&lt;&gt;0,$K$7:$CP$7))&gt;=GT$5,MIN(IF($K73:$CP73&lt;&gt;0,$K$7:$CP$7))&lt;=GT$6)</f>
        <v>0</v>
      </c>
      <c r="GU73" s="214" cm="1">
        <f t="array" ref="GU73">--AND(MIN(IF($K73:$CP73&lt;&gt;0,$K$7:$CP$7))&gt;=GU$5,MIN(IF($K73:$CP73&lt;&gt;0,$K$7:$CP$7))&lt;=GU$6)</f>
        <v>0</v>
      </c>
      <c r="GV73" s="214" cm="1">
        <f t="array" ref="GV73">--AND(MIN(IF($K73:$CP73&lt;&gt;0,$K$7:$CP$7))&gt;=GV$5,MIN(IF($K73:$CP73&lt;&gt;0,$K$7:$CP$7))&lt;=GV$6)</f>
        <v>0</v>
      </c>
      <c r="GW73" s="214" cm="1">
        <f t="array" ref="GW73">--AND(MIN(IF($K73:$CP73&lt;&gt;0,$K$7:$CP$7))&gt;=GW$5,MIN(IF($K73:$CP73&lt;&gt;0,$K$7:$CP$7))&lt;=GW$6)</f>
        <v>0</v>
      </c>
      <c r="GX73" s="214" cm="1">
        <f t="array" ref="GX73">--AND(MIN(IF($K73:$CP73&lt;&gt;0,$K$7:$CP$7))&gt;=GX$5,MIN(IF($K73:$CP73&lt;&gt;0,$K$7:$CP$7))&lt;=GX$6)</f>
        <v>0</v>
      </c>
      <c r="GY73" s="214" cm="1">
        <f t="array" ref="GY73">--AND(MIN(IF($K73:$CP73&lt;&gt;0,$K$7:$CP$7))&gt;=GY$5,MIN(IF($K73:$CP73&lt;&gt;0,$K$7:$CP$7))&lt;=GY$6)</f>
        <v>0</v>
      </c>
      <c r="GZ73" s="214" cm="1">
        <f t="array" ref="GZ73">--AND(MIN(IF($K73:$CP73&lt;&gt;0,$K$7:$CP$7))&gt;=GZ$5,MIN(IF($K73:$CP73&lt;&gt;0,$K$7:$CP$7))&lt;=GZ$6)</f>
        <v>0</v>
      </c>
      <c r="HA73" s="214">
        <f t="shared" si="24"/>
        <v>0</v>
      </c>
      <c r="HC73" s="214" cm="1">
        <f t="array" ref="HC73">--AND(MIN(IF($K73:$CP73&lt;&gt;0,$K$7:$CP$7))&gt;=HC$5,MIN(IF($K73:$CP73&lt;&gt;0,$K$7:$CP$7))&lt;=HC$6)</f>
        <v>0</v>
      </c>
      <c r="HE73" s="147" t="str">
        <f t="shared" ref="HE73:HE136" si="43">IF($F73="New","Yes","No")</f>
        <v>No</v>
      </c>
      <c r="HF73" s="147" t="str">
        <f t="shared" ref="HF73:HF136" si="44">IF(G73="Overtime","Yes","No")</f>
        <v>No</v>
      </c>
      <c r="HG73" s="147">
        <f>IF($HF73="Yes",0,$H73*avg_hrs*12*'Key assumptions'!$D$87)</f>
        <v>424624.47630621213</v>
      </c>
      <c r="HH73" s="147">
        <f>IF(HE73="Yes",'Key assumptions'!$D$84*HG73,0)</f>
        <v>0</v>
      </c>
      <c r="HI73" s="144">
        <f>IFERROR(AVERAGEIFS($K73:$CP73,$K$7:$CP$7,"&gt;="&amp;'Key assumptions'!$D$24,$K$7:$CP$7,"&lt;="&amp;'Key assumptions'!$D$25),0)</f>
        <v>8.9832535885167486E-2</v>
      </c>
      <c r="HJ73" s="148">
        <f t="shared" si="25"/>
        <v>0</v>
      </c>
      <c r="HK73" s="148">
        <f t="shared" si="26"/>
        <v>0</v>
      </c>
      <c r="HL73" s="148">
        <f t="shared" si="27"/>
        <v>0</v>
      </c>
      <c r="HM73" s="148">
        <f t="shared" si="28"/>
        <v>0</v>
      </c>
      <c r="HN73" s="148">
        <f t="shared" si="29"/>
        <v>0</v>
      </c>
      <c r="HO73" s="148">
        <f t="shared" si="30"/>
        <v>0</v>
      </c>
      <c r="HP73" s="148">
        <f t="shared" si="31"/>
        <v>0</v>
      </c>
      <c r="HQ73" s="148">
        <f t="shared" si="32"/>
        <v>0</v>
      </c>
      <c r="HR73" s="147">
        <f t="shared" si="33"/>
        <v>0</v>
      </c>
      <c r="HS73" s="89"/>
      <c r="HU73" s="147">
        <f>$HJ73*HC73/(1+'Key assumptions'!G95)^0.75</f>
        <v>0</v>
      </c>
      <c r="HW73" s="216">
        <f t="shared" si="34"/>
        <v>0</v>
      </c>
      <c r="HX73" s="216">
        <f t="shared" si="35"/>
        <v>0</v>
      </c>
      <c r="HY73" s="216">
        <f t="shared" si="36"/>
        <v>0</v>
      </c>
      <c r="HZ73" s="216">
        <f t="shared" si="37"/>
        <v>0</v>
      </c>
      <c r="IA73" s="216">
        <f t="shared" si="38"/>
        <v>0</v>
      </c>
      <c r="IB73" s="216">
        <f t="shared" si="39"/>
        <v>0</v>
      </c>
      <c r="IC73" s="216">
        <f t="shared" si="40"/>
        <v>0</v>
      </c>
      <c r="ID73" s="216">
        <f t="shared" si="41"/>
        <v>0</v>
      </c>
      <c r="IF73" s="216">
        <f t="shared" si="42"/>
        <v>0</v>
      </c>
    </row>
    <row r="74" spans="2:240" x14ac:dyDescent="0.2">
      <c r="B74" s="141" t="str">
        <v>Project Development</v>
      </c>
      <c r="C74" s="141" t="str">
        <v>Professional/Engineer CO (Network System Planning)</v>
      </c>
      <c r="D74" s="141" t="str">
        <v>Internal Labour</v>
      </c>
      <c r="E74" s="141" t="str">
        <v>$ Nominal</v>
      </c>
      <c r="F74" s="141" t="str">
        <v>Existing</v>
      </c>
      <c r="G74" s="141" t="str">
        <v>Normal time</v>
      </c>
      <c r="H74" s="142">
        <v>237.45</v>
      </c>
      <c r="I74" s="126">
        <v>244782.92999999996</v>
      </c>
      <c r="J74" s="143">
        <v>0</v>
      </c>
      <c r="K74" s="144">
        <v>0</v>
      </c>
      <c r="L74" s="144">
        <v>0</v>
      </c>
      <c r="M74" s="144">
        <v>0</v>
      </c>
      <c r="N74" s="144">
        <v>0</v>
      </c>
      <c r="O74" s="144">
        <v>0</v>
      </c>
      <c r="P74" s="144">
        <v>0</v>
      </c>
      <c r="Q74" s="144">
        <v>0</v>
      </c>
      <c r="R74" s="144">
        <v>1.2</v>
      </c>
      <c r="S74" s="144">
        <v>0.15</v>
      </c>
      <c r="T74" s="144">
        <v>0</v>
      </c>
      <c r="U74" s="144">
        <v>0</v>
      </c>
      <c r="V74" s="144">
        <v>0</v>
      </c>
      <c r="W74" s="144">
        <v>0</v>
      </c>
      <c r="X74" s="144">
        <v>0.15</v>
      </c>
      <c r="Y74" s="144">
        <v>0.15</v>
      </c>
      <c r="Z74" s="144">
        <v>0.2</v>
      </c>
      <c r="AA74" s="144">
        <v>0.13815789473684212</v>
      </c>
      <c r="AB74" s="144">
        <v>0.13815789473684212</v>
      </c>
      <c r="AC74" s="144">
        <v>0.15</v>
      </c>
      <c r="AD74" s="144">
        <v>0.15</v>
      </c>
      <c r="AE74" s="144">
        <v>0.15</v>
      </c>
      <c r="AF74" s="144">
        <v>0.15</v>
      </c>
      <c r="AG74" s="144">
        <v>0.15</v>
      </c>
      <c r="AH74" s="144">
        <v>0.2</v>
      </c>
      <c r="AI74" s="144">
        <v>0.2</v>
      </c>
      <c r="AJ74" s="144">
        <v>0.15</v>
      </c>
      <c r="AK74" s="144">
        <v>0.15</v>
      </c>
      <c r="AL74" s="144">
        <v>0.2</v>
      </c>
      <c r="AM74" s="144">
        <v>0.13815789473684212</v>
      </c>
      <c r="AN74" s="144">
        <v>0.13815789473684212</v>
      </c>
      <c r="AO74" s="144">
        <v>0.15</v>
      </c>
      <c r="AP74" s="144">
        <v>0.15</v>
      </c>
      <c r="AQ74" s="144">
        <v>0.15</v>
      </c>
      <c r="AR74" s="144">
        <v>0.15</v>
      </c>
      <c r="AS74" s="144">
        <v>0.15</v>
      </c>
      <c r="AT74" s="144">
        <v>0.2</v>
      </c>
      <c r="AU74" s="144">
        <v>0.2</v>
      </c>
      <c r="AV74" s="144">
        <v>0.15</v>
      </c>
      <c r="AW74" s="144">
        <v>0.15</v>
      </c>
      <c r="AX74" s="144">
        <v>0.2</v>
      </c>
      <c r="AY74" s="144">
        <v>0.13815789473684212</v>
      </c>
      <c r="AZ74" s="144">
        <v>0.13815789473684212</v>
      </c>
      <c r="BA74" s="144">
        <v>0.15</v>
      </c>
      <c r="BB74" s="144">
        <v>0.15</v>
      </c>
      <c r="BC74" s="144">
        <v>0.15</v>
      </c>
      <c r="BD74" s="144">
        <v>0.15</v>
      </c>
      <c r="BE74" s="144">
        <v>0.15</v>
      </c>
      <c r="BF74" s="144">
        <v>0.2</v>
      </c>
      <c r="BG74" s="144">
        <v>0.2</v>
      </c>
      <c r="BH74" s="144">
        <v>0.15</v>
      </c>
      <c r="BI74" s="144">
        <v>0</v>
      </c>
      <c r="BJ74" s="144">
        <v>0</v>
      </c>
      <c r="BK74" s="144">
        <v>0</v>
      </c>
      <c r="BL74" s="144">
        <v>0</v>
      </c>
      <c r="BM74" s="144">
        <v>0</v>
      </c>
      <c r="BN74" s="144">
        <v>0</v>
      </c>
      <c r="BO74" s="144">
        <v>0</v>
      </c>
      <c r="BP74" s="144">
        <v>0</v>
      </c>
      <c r="BQ74" s="144">
        <v>0</v>
      </c>
      <c r="BR74" s="144">
        <v>0</v>
      </c>
      <c r="BS74" s="144">
        <v>0</v>
      </c>
      <c r="BT74" s="144">
        <v>0</v>
      </c>
      <c r="BU74" s="144">
        <v>0</v>
      </c>
      <c r="BV74" s="144">
        <v>0</v>
      </c>
      <c r="BW74" s="144">
        <v>0</v>
      </c>
      <c r="BX74" s="144">
        <v>0</v>
      </c>
      <c r="BY74" s="144">
        <v>0</v>
      </c>
      <c r="BZ74" s="144">
        <v>0</v>
      </c>
      <c r="CA74" s="144">
        <v>0</v>
      </c>
      <c r="CB74" s="144">
        <v>0</v>
      </c>
      <c r="CC74" s="144">
        <v>0</v>
      </c>
      <c r="CD74" s="144">
        <v>0</v>
      </c>
      <c r="CE74" s="144">
        <v>0</v>
      </c>
      <c r="CF74" s="144">
        <v>0</v>
      </c>
      <c r="CG74" s="144">
        <v>0</v>
      </c>
      <c r="CH74" s="144">
        <v>0</v>
      </c>
      <c r="CI74" s="144">
        <v>0</v>
      </c>
      <c r="CJ74" s="144">
        <v>0</v>
      </c>
      <c r="CK74" s="144">
        <v>0</v>
      </c>
      <c r="CL74" s="144">
        <v>0</v>
      </c>
      <c r="CM74" s="144">
        <v>0</v>
      </c>
      <c r="CN74" s="144">
        <v>0</v>
      </c>
      <c r="CO74" s="144">
        <v>0</v>
      </c>
      <c r="CP74" s="144">
        <v>0</v>
      </c>
      <c r="CQ74" s="143">
        <v>0</v>
      </c>
      <c r="CR74" s="145">
        <v>0</v>
      </c>
      <c r="CS74" s="145">
        <v>0</v>
      </c>
      <c r="CT74" s="145">
        <v>0</v>
      </c>
      <c r="CU74" s="145">
        <v>0</v>
      </c>
      <c r="CV74" s="145">
        <v>0</v>
      </c>
      <c r="CW74" s="145">
        <v>0</v>
      </c>
      <c r="CX74" s="145">
        <v>0</v>
      </c>
      <c r="CY74" s="145">
        <v>50457.119999999974</v>
      </c>
      <c r="CZ74" s="145">
        <v>6307.1399999999994</v>
      </c>
      <c r="DA74" s="145">
        <v>0</v>
      </c>
      <c r="DB74" s="145">
        <v>0</v>
      </c>
      <c r="DC74" s="145">
        <v>0</v>
      </c>
      <c r="DD74" s="145">
        <v>0</v>
      </c>
      <c r="DE74" s="145">
        <v>4840.71</v>
      </c>
      <c r="DF74" s="145">
        <v>4840.71</v>
      </c>
      <c r="DG74" s="145">
        <v>4840.71</v>
      </c>
      <c r="DH74" s="145">
        <v>4840.71</v>
      </c>
      <c r="DI74" s="145">
        <v>4840.71</v>
      </c>
      <c r="DJ74" s="145">
        <v>4986.45</v>
      </c>
      <c r="DK74" s="145">
        <v>4986.45</v>
      </c>
      <c r="DL74" s="145">
        <v>4986.45</v>
      </c>
      <c r="DM74" s="145">
        <v>4986.45</v>
      </c>
      <c r="DN74" s="145">
        <v>4986.45</v>
      </c>
      <c r="DO74" s="145">
        <v>4986.45</v>
      </c>
      <c r="DP74" s="145">
        <v>4986.45</v>
      </c>
      <c r="DQ74" s="145">
        <v>4986.45</v>
      </c>
      <c r="DR74" s="145">
        <v>4986.45</v>
      </c>
      <c r="DS74" s="145">
        <v>4986.45</v>
      </c>
      <c r="DT74" s="145">
        <v>4986.45</v>
      </c>
      <c r="DU74" s="145">
        <v>4986.45</v>
      </c>
      <c r="DV74" s="145">
        <v>5136.8100000000004</v>
      </c>
      <c r="DW74" s="145">
        <v>5136.8100000000004</v>
      </c>
      <c r="DX74" s="145">
        <v>5136.8100000000004</v>
      </c>
      <c r="DY74" s="145">
        <v>5136.8100000000004</v>
      </c>
      <c r="DZ74" s="145">
        <v>5136.8100000000004</v>
      </c>
      <c r="EA74" s="145">
        <v>5136.8100000000004</v>
      </c>
      <c r="EB74" s="145">
        <v>5136.8100000000004</v>
      </c>
      <c r="EC74" s="145">
        <v>5136.8100000000004</v>
      </c>
      <c r="ED74" s="145">
        <v>5136.8100000000004</v>
      </c>
      <c r="EE74" s="145">
        <v>5136.8100000000004</v>
      </c>
      <c r="EF74" s="145">
        <v>5136.8100000000004</v>
      </c>
      <c r="EG74" s="145">
        <v>5136.8100000000004</v>
      </c>
      <c r="EH74" s="145">
        <v>5292</v>
      </c>
      <c r="EI74" s="145">
        <v>5292</v>
      </c>
      <c r="EJ74" s="145">
        <v>5292</v>
      </c>
      <c r="EK74" s="145">
        <v>5292</v>
      </c>
      <c r="EL74" s="145">
        <v>5292</v>
      </c>
      <c r="EM74" s="145">
        <v>5292</v>
      </c>
      <c r="EN74" s="145">
        <v>5292</v>
      </c>
      <c r="EO74" s="145">
        <v>5292</v>
      </c>
      <c r="EP74" s="145">
        <v>0</v>
      </c>
      <c r="EQ74" s="145">
        <v>0</v>
      </c>
      <c r="ER74" s="145">
        <v>0</v>
      </c>
      <c r="ES74" s="145">
        <v>0</v>
      </c>
      <c r="ET74" s="145">
        <v>0</v>
      </c>
      <c r="EU74" s="145">
        <v>0</v>
      </c>
      <c r="EV74" s="145">
        <v>0</v>
      </c>
      <c r="EW74" s="145">
        <v>0</v>
      </c>
      <c r="EX74" s="145">
        <v>0</v>
      </c>
      <c r="EY74" s="145">
        <v>0</v>
      </c>
      <c r="EZ74" s="145">
        <v>0</v>
      </c>
      <c r="FA74" s="145">
        <v>0</v>
      </c>
      <c r="FB74" s="145">
        <v>0</v>
      </c>
      <c r="FC74" s="145">
        <v>0</v>
      </c>
      <c r="FD74" s="145">
        <v>0</v>
      </c>
      <c r="FE74" s="145">
        <v>0</v>
      </c>
      <c r="FF74" s="145">
        <v>0</v>
      </c>
      <c r="FG74" s="145">
        <v>0</v>
      </c>
      <c r="FH74" s="145">
        <v>0</v>
      </c>
      <c r="FI74" s="145">
        <v>0</v>
      </c>
      <c r="FJ74" s="145">
        <v>0</v>
      </c>
      <c r="FK74" s="145">
        <v>0</v>
      </c>
      <c r="FL74" s="145">
        <v>0</v>
      </c>
      <c r="FM74" s="145">
        <v>0</v>
      </c>
      <c r="FN74" s="145">
        <v>0</v>
      </c>
      <c r="FO74" s="145">
        <v>0</v>
      </c>
      <c r="FP74" s="145">
        <v>0</v>
      </c>
      <c r="FQ74" s="145">
        <v>0</v>
      </c>
      <c r="FR74" s="145">
        <v>0</v>
      </c>
      <c r="FS74" s="145">
        <v>0</v>
      </c>
      <c r="FT74" s="145">
        <v>0</v>
      </c>
      <c r="FU74" s="145">
        <v>0</v>
      </c>
      <c r="FV74" s="145">
        <v>0</v>
      </c>
      <c r="FW74" s="145">
        <v>0</v>
      </c>
      <c r="FX74" s="143"/>
      <c r="FY74" s="146" t="str">
        <f>_xlfn.XLOOKUP($E74,'Key assumptions'!$B$112:$B$120,'Key assumptions'!$C$112:$C$120,0)</f>
        <v>Nominal</v>
      </c>
      <c r="FZ74" s="146" cm="1">
        <f t="array" ref="FZ74">IF($FY74=0,0,_xlfn.IFS($FY74='Key assumptions'!$C$120,_xlfn.XLOOKUP(LEFT(FZ$7,6),Inflation_Year,Inflation_NominaltoReal),TRUE,_xlfn.XLOOKUP($FY74,Inflation_Year,NominaltoReal)))</f>
        <v>1.0197075870962191</v>
      </c>
      <c r="GA74" s="146" cm="1">
        <f t="array" ref="GA74">IF($FY74=0,0,_xlfn.IFS($FY74='Key assumptions'!$C$120,_xlfn.XLOOKUP(LEFT(GA$7,6),Inflation_Year,Inflation_NominaltoReal),TRUE,_xlfn.XLOOKUP($FY74,Inflation_Year,NominaltoReal)))</f>
        <v>0.98700804022984445</v>
      </c>
      <c r="GB74" s="146" cm="1">
        <f t="array" ref="GB74">IF($FY74=0,0,_xlfn.IFS($FY74='Key assumptions'!$C$120,_xlfn.XLOOKUP(LEFT(GB$7,6),Inflation_Year,Inflation_NominaltoReal),TRUE,_xlfn.XLOOKUP($FY74,Inflation_Year,NominaltoReal)))</f>
        <v>0.96152830081941731</v>
      </c>
      <c r="GC74" s="146" cm="1">
        <f t="array" ref="GC74">IF($FY74=0,0,_xlfn.IFS($FY74='Key assumptions'!$C$120,_xlfn.XLOOKUP(LEFT(GC$7,6),Inflation_Year,Inflation_NominaltoReal),TRUE,_xlfn.XLOOKUP($FY74,Inflation_Year,NominaltoReal)))</f>
        <v>0.93670632415656829</v>
      </c>
      <c r="GD74" s="146" cm="1">
        <f t="array" ref="GD74">IF($FY74=0,0,_xlfn.IFS($FY74='Key assumptions'!$C$120,_xlfn.XLOOKUP(LEFT(GD$7,6),Inflation_Year,Inflation_NominaltoReal),TRUE,_xlfn.XLOOKUP($FY74,Inflation_Year,NominaltoReal)))</f>
        <v>0.91252513001143176</v>
      </c>
      <c r="GE74" s="146" cm="1">
        <f t="array" ref="GE74">IF($FY74=0,0,_xlfn.IFS($FY74='Key assumptions'!$C$120,_xlfn.XLOOKUP(LEFT(GE$7,6),Inflation_Year,Inflation_NominaltoReal),TRUE,_xlfn.XLOOKUP($FY74,Inflation_Year,NominaltoReal)))</f>
        <v>0.88896817650095872</v>
      </c>
      <c r="GF74" s="146" cm="1">
        <f t="array" ref="GF74">IF($FY74=0,0,_xlfn.IFS($FY74='Key assumptions'!$C$120,_xlfn.XLOOKUP(LEFT(GF$7,6),Inflation_Year,Inflation_NominaltoReal),TRUE,_xlfn.XLOOKUP($FY74,Inflation_Year,NominaltoReal)))</f>
        <v>0.86601934877293718</v>
      </c>
      <c r="GG74" s="143"/>
      <c r="GH74" s="145" cm="1">
        <f t="array" ref="GH74">SUMPRODUCT(--($CR$7:$FW$7&gt;=GH$5),--($CR$7:$FW$7&lt;=GH$6),$CR74:$FW74)*FZ74</f>
        <v>39934.706262690517</v>
      </c>
      <c r="GI74" s="145" cm="1">
        <f t="array" ref="GI74">SUMPRODUCT(--($CR$7:$FW$7&gt;=GI$5),--($CR$7:$FW$7&lt;=GI$6),$CR74:$FW74)*GA74</f>
        <v>59505.214493236163</v>
      </c>
      <c r="GJ74" s="145" cm="1">
        <f t="array" ref="GJ74">SUMPRODUCT(--($CR$7:$FW$7&gt;=GJ$5),--($CR$7:$FW$7&lt;=GJ$6),$CR74:$FW74)*GB74</f>
        <v>59717.917022198788</v>
      </c>
      <c r="GK74" s="145" cm="1">
        <f t="array" ref="GK74">SUMPRODUCT(--($CR$7:$FW$7&gt;=GK$5),--($CR$7:$FW$7&lt;=GK$6),$CR74:$FW74)*GC74</f>
        <v>24785.249337182799</v>
      </c>
      <c r="GL74" s="145" cm="1">
        <f t="array" ref="GL74">SUMPRODUCT(--($CR$7:$FW$7&gt;=GL$5),--($CR$7:$FW$7&lt;=GL$6),$CR74:$FW74)*GD74</f>
        <v>0</v>
      </c>
      <c r="GM74" s="145" cm="1">
        <f t="array" ref="GM74">SUMPRODUCT(--($CR$7:$FW$7&gt;=GM$5),--($CR$7:$FW$7&lt;=GM$6),$CR74:$FW74)*GE74</f>
        <v>0</v>
      </c>
      <c r="GN74" s="145" cm="1">
        <f t="array" ref="GN74">SUMPRODUCT(--($CR$7:$FW$7&gt;=GN$5),--($CR$7:$FW$7&lt;=GN$6),$CR74:$FW74)*GF74</f>
        <v>0</v>
      </c>
      <c r="GO74" s="145">
        <f t="shared" si="23"/>
        <v>183943.08711530827</v>
      </c>
      <c r="GP74" s="87"/>
      <c r="GQ74" s="89"/>
      <c r="GR74" s="145" cm="1">
        <f t="array" ref="GR74">SUMPRODUCT(--($CR$7:$FW$7&gt;=GR$5),--($CR$7:$FW$7&lt;=GR$6),$CR74:$FW74)</f>
        <v>24203.55</v>
      </c>
      <c r="GS74" s="89"/>
      <c r="GT74" s="214" cm="1">
        <f t="array" ref="GT74">--AND(MIN(IF($K74:$CP74&lt;&gt;0,$K$7:$CP$7))&gt;=GT$5,MIN(IF($K74:$CP74&lt;&gt;0,$K$7:$CP$7))&lt;=GT$6)</f>
        <v>0</v>
      </c>
      <c r="GU74" s="214" cm="1">
        <f t="array" ref="GU74">--AND(MIN(IF($K74:$CP74&lt;&gt;0,$K$7:$CP$7))&gt;=GU$5,MIN(IF($K74:$CP74&lt;&gt;0,$K$7:$CP$7))&lt;=GU$6)</f>
        <v>0</v>
      </c>
      <c r="GV74" s="214" cm="1">
        <f t="array" ref="GV74">--AND(MIN(IF($K74:$CP74&lt;&gt;0,$K$7:$CP$7))&gt;=GV$5,MIN(IF($K74:$CP74&lt;&gt;0,$K$7:$CP$7))&lt;=GV$6)</f>
        <v>0</v>
      </c>
      <c r="GW74" s="214" cm="1">
        <f t="array" ref="GW74">--AND(MIN(IF($K74:$CP74&lt;&gt;0,$K$7:$CP$7))&gt;=GW$5,MIN(IF($K74:$CP74&lt;&gt;0,$K$7:$CP$7))&lt;=GW$6)</f>
        <v>0</v>
      </c>
      <c r="GX74" s="214" cm="1">
        <f t="array" ref="GX74">--AND(MIN(IF($K74:$CP74&lt;&gt;0,$K$7:$CP$7))&gt;=GX$5,MIN(IF($K74:$CP74&lt;&gt;0,$K$7:$CP$7))&lt;=GX$6)</f>
        <v>0</v>
      </c>
      <c r="GY74" s="214" cm="1">
        <f t="array" ref="GY74">--AND(MIN(IF($K74:$CP74&lt;&gt;0,$K$7:$CP$7))&gt;=GY$5,MIN(IF($K74:$CP74&lt;&gt;0,$K$7:$CP$7))&lt;=GY$6)</f>
        <v>0</v>
      </c>
      <c r="GZ74" s="214" cm="1">
        <f t="array" ref="GZ74">--AND(MIN(IF($K74:$CP74&lt;&gt;0,$K$7:$CP$7))&gt;=GZ$5,MIN(IF($K74:$CP74&lt;&gt;0,$K$7:$CP$7))&lt;=GZ$6)</f>
        <v>0</v>
      </c>
      <c r="HA74" s="214">
        <f t="shared" si="24"/>
        <v>0</v>
      </c>
      <c r="HC74" s="214" cm="1">
        <f t="array" ref="HC74">--AND(MIN(IF($K74:$CP74&lt;&gt;0,$K$7:$CP$7))&gt;=HC$5,MIN(IF($K74:$CP74&lt;&gt;0,$K$7:$CP$7))&lt;=HC$6)</f>
        <v>0</v>
      </c>
      <c r="HE74" s="147" t="str">
        <f t="shared" si="43"/>
        <v>No</v>
      </c>
      <c r="HF74" s="147" t="str">
        <f t="shared" si="44"/>
        <v>No</v>
      </c>
      <c r="HG74" s="147">
        <f>IF($HF74="Yes",0,$H74*avg_hrs*12*'Key assumptions'!$D$87)</f>
        <v>424624.47630621213</v>
      </c>
      <c r="HH74" s="147">
        <f>IF(HE74="Yes",'Key assumptions'!$D$84*HG74,0)</f>
        <v>0</v>
      </c>
      <c r="HI74" s="144">
        <f>IFERROR(AVERAGEIFS($K74:$CP74,$K$7:$CP$7,"&gt;="&amp;'Key assumptions'!$D$24,$K$7:$CP$7,"&lt;="&amp;'Key assumptions'!$D$25),0)</f>
        <v>0.13474880382775128</v>
      </c>
      <c r="HJ74" s="148">
        <f t="shared" si="25"/>
        <v>0</v>
      </c>
      <c r="HK74" s="148">
        <f t="shared" si="26"/>
        <v>0</v>
      </c>
      <c r="HL74" s="148">
        <f t="shared" si="27"/>
        <v>0</v>
      </c>
      <c r="HM74" s="148">
        <f t="shared" si="28"/>
        <v>0</v>
      </c>
      <c r="HN74" s="148">
        <f t="shared" si="29"/>
        <v>0</v>
      </c>
      <c r="HO74" s="148">
        <f t="shared" si="30"/>
        <v>0</v>
      </c>
      <c r="HP74" s="148">
        <f t="shared" si="31"/>
        <v>0</v>
      </c>
      <c r="HQ74" s="148">
        <f t="shared" si="32"/>
        <v>0</v>
      </c>
      <c r="HR74" s="147">
        <f t="shared" si="33"/>
        <v>0</v>
      </c>
      <c r="HS74" s="89"/>
      <c r="HU74" s="147">
        <f>$HJ74*HC74/(1+'Key assumptions'!G96)^0.75</f>
        <v>0</v>
      </c>
      <c r="HW74" s="216">
        <f t="shared" si="34"/>
        <v>0</v>
      </c>
      <c r="HX74" s="216">
        <f t="shared" si="35"/>
        <v>0</v>
      </c>
      <c r="HY74" s="216">
        <f t="shared" si="36"/>
        <v>0</v>
      </c>
      <c r="HZ74" s="216">
        <f t="shared" si="37"/>
        <v>0</v>
      </c>
      <c r="IA74" s="216">
        <f t="shared" si="38"/>
        <v>0</v>
      </c>
      <c r="IB74" s="216">
        <f t="shared" si="39"/>
        <v>0</v>
      </c>
      <c r="IC74" s="216">
        <f t="shared" si="40"/>
        <v>0</v>
      </c>
      <c r="ID74" s="216">
        <f t="shared" si="41"/>
        <v>0</v>
      </c>
      <c r="IF74" s="216">
        <f t="shared" si="42"/>
        <v>0</v>
      </c>
    </row>
    <row r="75" spans="2:240" x14ac:dyDescent="0.2">
      <c r="B75" s="141" t="str">
        <v>Project Development</v>
      </c>
      <c r="C75" s="141" t="str">
        <v>Professional/Engineer CO (Network System Planning)</v>
      </c>
      <c r="D75" s="141" t="str">
        <v>Internal Labour</v>
      </c>
      <c r="E75" s="141" t="str">
        <v>$ Nominal</v>
      </c>
      <c r="F75" s="141" t="str">
        <v>Existing</v>
      </c>
      <c r="G75" s="141" t="str">
        <v>Normal time</v>
      </c>
      <c r="H75" s="142">
        <v>237.45</v>
      </c>
      <c r="I75" s="126">
        <v>39748.78</v>
      </c>
      <c r="J75" s="143">
        <v>0</v>
      </c>
      <c r="K75" s="144">
        <v>0</v>
      </c>
      <c r="L75" s="144">
        <v>0</v>
      </c>
      <c r="M75" s="144">
        <v>0</v>
      </c>
      <c r="N75" s="144">
        <v>0</v>
      </c>
      <c r="O75" s="144">
        <v>0</v>
      </c>
      <c r="P75" s="144">
        <v>0</v>
      </c>
      <c r="Q75" s="144">
        <v>0</v>
      </c>
      <c r="R75" s="144">
        <v>0</v>
      </c>
      <c r="S75" s="144">
        <v>0.15</v>
      </c>
      <c r="T75" s="144">
        <v>0</v>
      </c>
      <c r="U75" s="144">
        <v>0</v>
      </c>
      <c r="V75" s="144">
        <v>0</v>
      </c>
      <c r="W75" s="144">
        <v>0</v>
      </c>
      <c r="X75" s="144">
        <v>0.2</v>
      </c>
      <c r="Y75" s="144">
        <v>0.2</v>
      </c>
      <c r="Z75" s="144">
        <v>0.26666666666666666</v>
      </c>
      <c r="AA75" s="144">
        <v>0.18421052631578946</v>
      </c>
      <c r="AB75" s="144">
        <v>0.18421052631578946</v>
      </c>
      <c r="AC75" s="144">
        <v>0</v>
      </c>
      <c r="AD75" s="144">
        <v>0</v>
      </c>
      <c r="AE75" s="144">
        <v>0</v>
      </c>
      <c r="AF75" s="144">
        <v>0</v>
      </c>
      <c r="AG75" s="144">
        <v>0</v>
      </c>
      <c r="AH75" s="144">
        <v>0</v>
      </c>
      <c r="AI75" s="144">
        <v>0</v>
      </c>
      <c r="AJ75" s="144">
        <v>0</v>
      </c>
      <c r="AK75" s="144">
        <v>0</v>
      </c>
      <c r="AL75" s="144">
        <v>0</v>
      </c>
      <c r="AM75" s="144">
        <v>0</v>
      </c>
      <c r="AN75" s="144">
        <v>0</v>
      </c>
      <c r="AO75" s="144">
        <v>0</v>
      </c>
      <c r="AP75" s="144">
        <v>0</v>
      </c>
      <c r="AQ75" s="144">
        <v>0</v>
      </c>
      <c r="AR75" s="144">
        <v>0</v>
      </c>
      <c r="AS75" s="144">
        <v>0</v>
      </c>
      <c r="AT75" s="144">
        <v>0</v>
      </c>
      <c r="AU75" s="144">
        <v>0</v>
      </c>
      <c r="AV75" s="144">
        <v>0</v>
      </c>
      <c r="AW75" s="144">
        <v>0</v>
      </c>
      <c r="AX75" s="144">
        <v>0</v>
      </c>
      <c r="AY75" s="144">
        <v>0</v>
      </c>
      <c r="AZ75" s="144">
        <v>0</v>
      </c>
      <c r="BA75" s="144">
        <v>0</v>
      </c>
      <c r="BB75" s="144">
        <v>0</v>
      </c>
      <c r="BC75" s="144">
        <v>0</v>
      </c>
      <c r="BD75" s="144">
        <v>0</v>
      </c>
      <c r="BE75" s="144">
        <v>0</v>
      </c>
      <c r="BF75" s="144">
        <v>0</v>
      </c>
      <c r="BG75" s="144">
        <v>0</v>
      </c>
      <c r="BH75" s="144">
        <v>0</v>
      </c>
      <c r="BI75" s="144">
        <v>0</v>
      </c>
      <c r="BJ75" s="144">
        <v>0</v>
      </c>
      <c r="BK75" s="144">
        <v>0</v>
      </c>
      <c r="BL75" s="144">
        <v>0</v>
      </c>
      <c r="BM75" s="144">
        <v>0</v>
      </c>
      <c r="BN75" s="144">
        <v>0</v>
      </c>
      <c r="BO75" s="144">
        <v>0</v>
      </c>
      <c r="BP75" s="144">
        <v>0</v>
      </c>
      <c r="BQ75" s="144">
        <v>0</v>
      </c>
      <c r="BR75" s="144">
        <v>0</v>
      </c>
      <c r="BS75" s="144">
        <v>0</v>
      </c>
      <c r="BT75" s="144">
        <v>0</v>
      </c>
      <c r="BU75" s="144">
        <v>0</v>
      </c>
      <c r="BV75" s="144">
        <v>0</v>
      </c>
      <c r="BW75" s="144">
        <v>0</v>
      </c>
      <c r="BX75" s="144">
        <v>0</v>
      </c>
      <c r="BY75" s="144">
        <v>0</v>
      </c>
      <c r="BZ75" s="144">
        <v>0</v>
      </c>
      <c r="CA75" s="144">
        <v>0</v>
      </c>
      <c r="CB75" s="144">
        <v>0</v>
      </c>
      <c r="CC75" s="144">
        <v>0</v>
      </c>
      <c r="CD75" s="144">
        <v>0</v>
      </c>
      <c r="CE75" s="144">
        <v>0</v>
      </c>
      <c r="CF75" s="144">
        <v>0</v>
      </c>
      <c r="CG75" s="144">
        <v>0</v>
      </c>
      <c r="CH75" s="144">
        <v>0</v>
      </c>
      <c r="CI75" s="144">
        <v>0</v>
      </c>
      <c r="CJ75" s="144">
        <v>0</v>
      </c>
      <c r="CK75" s="144">
        <v>0</v>
      </c>
      <c r="CL75" s="144">
        <v>0</v>
      </c>
      <c r="CM75" s="144">
        <v>0</v>
      </c>
      <c r="CN75" s="144">
        <v>0</v>
      </c>
      <c r="CO75" s="144">
        <v>0</v>
      </c>
      <c r="CP75" s="144">
        <v>0</v>
      </c>
      <c r="CQ75" s="143">
        <v>0</v>
      </c>
      <c r="CR75" s="145">
        <v>0</v>
      </c>
      <c r="CS75" s="145">
        <v>0</v>
      </c>
      <c r="CT75" s="145">
        <v>0</v>
      </c>
      <c r="CU75" s="145">
        <v>0</v>
      </c>
      <c r="CV75" s="145">
        <v>0</v>
      </c>
      <c r="CW75" s="145">
        <v>0</v>
      </c>
      <c r="CX75" s="145">
        <v>0</v>
      </c>
      <c r="CY75" s="145">
        <v>0</v>
      </c>
      <c r="CZ75" s="145">
        <v>7477.38</v>
      </c>
      <c r="DA75" s="145">
        <v>-2.2737367544323206E-13</v>
      </c>
      <c r="DB75" s="145">
        <v>0</v>
      </c>
      <c r="DC75" s="145">
        <v>0</v>
      </c>
      <c r="DD75" s="145">
        <v>0</v>
      </c>
      <c r="DE75" s="145">
        <v>6454.28</v>
      </c>
      <c r="DF75" s="145">
        <v>6454.28</v>
      </c>
      <c r="DG75" s="145">
        <v>6454.28</v>
      </c>
      <c r="DH75" s="145">
        <v>6454.28</v>
      </c>
      <c r="DI75" s="145">
        <v>6454.28</v>
      </c>
      <c r="DJ75" s="145">
        <v>0</v>
      </c>
      <c r="DK75" s="145">
        <v>0</v>
      </c>
      <c r="DL75" s="145">
        <v>0</v>
      </c>
      <c r="DM75" s="145">
        <v>0</v>
      </c>
      <c r="DN75" s="145">
        <v>0</v>
      </c>
      <c r="DO75" s="145">
        <v>0</v>
      </c>
      <c r="DP75" s="145">
        <v>0</v>
      </c>
      <c r="DQ75" s="145">
        <v>0</v>
      </c>
      <c r="DR75" s="145">
        <v>0</v>
      </c>
      <c r="DS75" s="145">
        <v>0</v>
      </c>
      <c r="DT75" s="145">
        <v>0</v>
      </c>
      <c r="DU75" s="145">
        <v>0</v>
      </c>
      <c r="DV75" s="145">
        <v>0</v>
      </c>
      <c r="DW75" s="145">
        <v>0</v>
      </c>
      <c r="DX75" s="145">
        <v>0</v>
      </c>
      <c r="DY75" s="145">
        <v>0</v>
      </c>
      <c r="DZ75" s="145">
        <v>0</v>
      </c>
      <c r="EA75" s="145">
        <v>0</v>
      </c>
      <c r="EB75" s="145">
        <v>0</v>
      </c>
      <c r="EC75" s="145">
        <v>0</v>
      </c>
      <c r="ED75" s="145">
        <v>0</v>
      </c>
      <c r="EE75" s="145">
        <v>0</v>
      </c>
      <c r="EF75" s="145">
        <v>0</v>
      </c>
      <c r="EG75" s="145">
        <v>0</v>
      </c>
      <c r="EH75" s="145">
        <v>0</v>
      </c>
      <c r="EI75" s="145">
        <v>0</v>
      </c>
      <c r="EJ75" s="145">
        <v>0</v>
      </c>
      <c r="EK75" s="145">
        <v>0</v>
      </c>
      <c r="EL75" s="145">
        <v>0</v>
      </c>
      <c r="EM75" s="145">
        <v>0</v>
      </c>
      <c r="EN75" s="145">
        <v>0</v>
      </c>
      <c r="EO75" s="145">
        <v>0</v>
      </c>
      <c r="EP75" s="145">
        <v>0</v>
      </c>
      <c r="EQ75" s="145">
        <v>0</v>
      </c>
      <c r="ER75" s="145">
        <v>0</v>
      </c>
      <c r="ES75" s="145">
        <v>0</v>
      </c>
      <c r="ET75" s="145">
        <v>0</v>
      </c>
      <c r="EU75" s="145">
        <v>0</v>
      </c>
      <c r="EV75" s="145">
        <v>0</v>
      </c>
      <c r="EW75" s="145">
        <v>0</v>
      </c>
      <c r="EX75" s="145">
        <v>0</v>
      </c>
      <c r="EY75" s="145">
        <v>0</v>
      </c>
      <c r="EZ75" s="145">
        <v>0</v>
      </c>
      <c r="FA75" s="145">
        <v>0</v>
      </c>
      <c r="FB75" s="145">
        <v>0</v>
      </c>
      <c r="FC75" s="145">
        <v>0</v>
      </c>
      <c r="FD75" s="145">
        <v>0</v>
      </c>
      <c r="FE75" s="145">
        <v>0</v>
      </c>
      <c r="FF75" s="145">
        <v>0</v>
      </c>
      <c r="FG75" s="145">
        <v>0</v>
      </c>
      <c r="FH75" s="145">
        <v>0</v>
      </c>
      <c r="FI75" s="145">
        <v>0</v>
      </c>
      <c r="FJ75" s="145">
        <v>0</v>
      </c>
      <c r="FK75" s="145">
        <v>0</v>
      </c>
      <c r="FL75" s="145">
        <v>0</v>
      </c>
      <c r="FM75" s="145">
        <v>0</v>
      </c>
      <c r="FN75" s="145">
        <v>0</v>
      </c>
      <c r="FO75" s="145">
        <v>0</v>
      </c>
      <c r="FP75" s="145">
        <v>0</v>
      </c>
      <c r="FQ75" s="145">
        <v>0</v>
      </c>
      <c r="FR75" s="145">
        <v>0</v>
      </c>
      <c r="FS75" s="145">
        <v>0</v>
      </c>
      <c r="FT75" s="145">
        <v>0</v>
      </c>
      <c r="FU75" s="145">
        <v>0</v>
      </c>
      <c r="FV75" s="145">
        <v>0</v>
      </c>
      <c r="FW75" s="145">
        <v>0</v>
      </c>
      <c r="FX75" s="143"/>
      <c r="FY75" s="146" t="str">
        <f>_xlfn.XLOOKUP($E75,'Key assumptions'!$B$112:$B$120,'Key assumptions'!$C$112:$C$120,0)</f>
        <v>Nominal</v>
      </c>
      <c r="FZ75" s="146" cm="1">
        <f t="array" ref="FZ75">IF($FY75=0,0,_xlfn.IFS($FY75='Key assumptions'!$C$120,_xlfn.XLOOKUP(LEFT(FZ$7,6),Inflation_Year,Inflation_NominaltoReal),TRUE,_xlfn.XLOOKUP($FY75,Inflation_Year,NominaltoReal)))</f>
        <v>1.0197075870962191</v>
      </c>
      <c r="GA75" s="146" cm="1">
        <f t="array" ref="GA75">IF($FY75=0,0,_xlfn.IFS($FY75='Key assumptions'!$C$120,_xlfn.XLOOKUP(LEFT(GA$7,6),Inflation_Year,Inflation_NominaltoReal),TRUE,_xlfn.XLOOKUP($FY75,Inflation_Year,NominaltoReal)))</f>
        <v>0.98700804022984445</v>
      </c>
      <c r="GB75" s="146" cm="1">
        <f t="array" ref="GB75">IF($FY75=0,0,_xlfn.IFS($FY75='Key assumptions'!$C$120,_xlfn.XLOOKUP(LEFT(GB$7,6),Inflation_Year,Inflation_NominaltoReal),TRUE,_xlfn.XLOOKUP($FY75,Inflation_Year,NominaltoReal)))</f>
        <v>0.96152830081941731</v>
      </c>
      <c r="GC75" s="146" cm="1">
        <f t="array" ref="GC75">IF($FY75=0,0,_xlfn.IFS($FY75='Key assumptions'!$C$120,_xlfn.XLOOKUP(LEFT(GC$7,6),Inflation_Year,Inflation_NominaltoReal),TRUE,_xlfn.XLOOKUP($FY75,Inflation_Year,NominaltoReal)))</f>
        <v>0.93670632415656829</v>
      </c>
      <c r="GD75" s="146" cm="1">
        <f t="array" ref="GD75">IF($FY75=0,0,_xlfn.IFS($FY75='Key assumptions'!$C$120,_xlfn.XLOOKUP(LEFT(GD$7,6),Inflation_Year,Inflation_NominaltoReal),TRUE,_xlfn.XLOOKUP($FY75,Inflation_Year,NominaltoReal)))</f>
        <v>0.91252513001143176</v>
      </c>
      <c r="GE75" s="146" cm="1">
        <f t="array" ref="GE75">IF($FY75=0,0,_xlfn.IFS($FY75='Key assumptions'!$C$120,_xlfn.XLOOKUP(LEFT(GE$7,6),Inflation_Year,Inflation_NominaltoReal),TRUE,_xlfn.XLOOKUP($FY75,Inflation_Year,NominaltoReal)))</f>
        <v>0.88896817650095872</v>
      </c>
      <c r="GF75" s="146" cm="1">
        <f t="array" ref="GF75">IF($FY75=0,0,_xlfn.IFS($FY75='Key assumptions'!$C$120,_xlfn.XLOOKUP(LEFT(GF$7,6),Inflation_Year,Inflation_NominaltoReal),TRUE,_xlfn.XLOOKUP($FY75,Inflation_Year,NominaltoReal)))</f>
        <v>0.86601934877293718</v>
      </c>
      <c r="GG75" s="143"/>
      <c r="GH75" s="145" cm="1">
        <f t="array" ref="GH75">SUMPRODUCT(--($CR$7:$FW$7&gt;=GH$5),--($CR$7:$FW$7&lt;=GH$6),$CR75:$FW75)*FZ75</f>
        <v>32907.39142621692</v>
      </c>
      <c r="GI75" s="145" cm="1">
        <f t="array" ref="GI75">SUMPRODUCT(--($CR$7:$FW$7&gt;=GI$5),--($CR$7:$FW$7&lt;=GI$6),$CR75:$FW75)*GA75</f>
        <v>0</v>
      </c>
      <c r="GJ75" s="145" cm="1">
        <f t="array" ref="GJ75">SUMPRODUCT(--($CR$7:$FW$7&gt;=GJ$5),--($CR$7:$FW$7&lt;=GJ$6),$CR75:$FW75)*GB75</f>
        <v>0</v>
      </c>
      <c r="GK75" s="145" cm="1">
        <f t="array" ref="GK75">SUMPRODUCT(--($CR$7:$FW$7&gt;=GK$5),--($CR$7:$FW$7&lt;=GK$6),$CR75:$FW75)*GC75</f>
        <v>0</v>
      </c>
      <c r="GL75" s="145" cm="1">
        <f t="array" ref="GL75">SUMPRODUCT(--($CR$7:$FW$7&gt;=GL$5),--($CR$7:$FW$7&lt;=GL$6),$CR75:$FW75)*GD75</f>
        <v>0</v>
      </c>
      <c r="GM75" s="145" cm="1">
        <f t="array" ref="GM75">SUMPRODUCT(--($CR$7:$FW$7&gt;=GM$5),--($CR$7:$FW$7&lt;=GM$6),$CR75:$FW75)*GE75</f>
        <v>0</v>
      </c>
      <c r="GN75" s="145" cm="1">
        <f t="array" ref="GN75">SUMPRODUCT(--($CR$7:$FW$7&gt;=GN$5),--($CR$7:$FW$7&lt;=GN$6),$CR75:$FW75)*GF75</f>
        <v>0</v>
      </c>
      <c r="GO75" s="145">
        <f t="shared" si="23"/>
        <v>32907.39142621692</v>
      </c>
      <c r="GP75" s="87"/>
      <c r="GQ75" s="89"/>
      <c r="GR75" s="145" cm="1">
        <f t="array" ref="GR75">SUMPRODUCT(--($CR$7:$FW$7&gt;=GR$5),--($CR$7:$FW$7&lt;=GR$6),$CR75:$FW75)</f>
        <v>32271.399999999998</v>
      </c>
      <c r="GS75" s="89"/>
      <c r="GT75" s="214" cm="1">
        <f t="array" ref="GT75">--AND(MIN(IF($K75:$CP75&lt;&gt;0,$K$7:$CP$7))&gt;=GT$5,MIN(IF($K75:$CP75&lt;&gt;0,$K$7:$CP$7))&lt;=GT$6)</f>
        <v>0</v>
      </c>
      <c r="GU75" s="214" cm="1">
        <f t="array" ref="GU75">--AND(MIN(IF($K75:$CP75&lt;&gt;0,$K$7:$CP$7))&gt;=GU$5,MIN(IF($K75:$CP75&lt;&gt;0,$K$7:$CP$7))&lt;=GU$6)</f>
        <v>0</v>
      </c>
      <c r="GV75" s="214" cm="1">
        <f t="array" ref="GV75">--AND(MIN(IF($K75:$CP75&lt;&gt;0,$K$7:$CP$7))&gt;=GV$5,MIN(IF($K75:$CP75&lt;&gt;0,$K$7:$CP$7))&lt;=GV$6)</f>
        <v>0</v>
      </c>
      <c r="GW75" s="214" cm="1">
        <f t="array" ref="GW75">--AND(MIN(IF($K75:$CP75&lt;&gt;0,$K$7:$CP$7))&gt;=GW$5,MIN(IF($K75:$CP75&lt;&gt;0,$K$7:$CP$7))&lt;=GW$6)</f>
        <v>0</v>
      </c>
      <c r="GX75" s="214" cm="1">
        <f t="array" ref="GX75">--AND(MIN(IF($K75:$CP75&lt;&gt;0,$K$7:$CP$7))&gt;=GX$5,MIN(IF($K75:$CP75&lt;&gt;0,$K$7:$CP$7))&lt;=GX$6)</f>
        <v>0</v>
      </c>
      <c r="GY75" s="214" cm="1">
        <f t="array" ref="GY75">--AND(MIN(IF($K75:$CP75&lt;&gt;0,$K$7:$CP$7))&gt;=GY$5,MIN(IF($K75:$CP75&lt;&gt;0,$K$7:$CP$7))&lt;=GY$6)</f>
        <v>0</v>
      </c>
      <c r="GZ75" s="214" cm="1">
        <f t="array" ref="GZ75">--AND(MIN(IF($K75:$CP75&lt;&gt;0,$K$7:$CP$7))&gt;=GZ$5,MIN(IF($K75:$CP75&lt;&gt;0,$K$7:$CP$7))&lt;=GZ$6)</f>
        <v>0</v>
      </c>
      <c r="HA75" s="214">
        <f t="shared" si="24"/>
        <v>0</v>
      </c>
      <c r="HC75" s="214" cm="1">
        <f t="array" ref="HC75">--AND(MIN(IF($K75:$CP75&lt;&gt;0,$K$7:$CP$7))&gt;=HC$5,MIN(IF($K75:$CP75&lt;&gt;0,$K$7:$CP$7))&lt;=HC$6)</f>
        <v>0</v>
      </c>
      <c r="HE75" s="147" t="str">
        <f t="shared" si="43"/>
        <v>No</v>
      </c>
      <c r="HF75" s="147" t="str">
        <f t="shared" si="44"/>
        <v>No</v>
      </c>
      <c r="HG75" s="147">
        <f>IF($HF75="Yes",0,$H75*avg_hrs*12*'Key assumptions'!$D$87)</f>
        <v>424624.47630621213</v>
      </c>
      <c r="HH75" s="147">
        <f>IF(HE75="Yes",'Key assumptions'!$D$84*HG75,0)</f>
        <v>0</v>
      </c>
      <c r="HI75" s="144">
        <f>IFERROR(AVERAGEIFS($K75:$CP75,$K$7:$CP$7,"&gt;="&amp;'Key assumptions'!$D$24,$K$7:$CP$7,"&lt;="&amp;'Key assumptions'!$D$25),0)</f>
        <v>2.3524720893141948E-2</v>
      </c>
      <c r="HJ75" s="148">
        <f t="shared" si="25"/>
        <v>0</v>
      </c>
      <c r="HK75" s="148">
        <f t="shared" si="26"/>
        <v>0</v>
      </c>
      <c r="HL75" s="148">
        <f t="shared" si="27"/>
        <v>0</v>
      </c>
      <c r="HM75" s="148">
        <f t="shared" si="28"/>
        <v>0</v>
      </c>
      <c r="HN75" s="148">
        <f t="shared" si="29"/>
        <v>0</v>
      </c>
      <c r="HO75" s="148">
        <f t="shared" si="30"/>
        <v>0</v>
      </c>
      <c r="HP75" s="148">
        <f t="shared" si="31"/>
        <v>0</v>
      </c>
      <c r="HQ75" s="148">
        <f t="shared" si="32"/>
        <v>0</v>
      </c>
      <c r="HR75" s="147">
        <f t="shared" si="33"/>
        <v>0</v>
      </c>
      <c r="HS75" s="89"/>
      <c r="HU75" s="147">
        <f>$HJ75*HC75/(1+'Key assumptions'!G97)^0.75</f>
        <v>0</v>
      </c>
      <c r="HW75" s="216">
        <f t="shared" si="34"/>
        <v>0</v>
      </c>
      <c r="HX75" s="216">
        <f t="shared" si="35"/>
        <v>0</v>
      </c>
      <c r="HY75" s="216">
        <f t="shared" si="36"/>
        <v>0</v>
      </c>
      <c r="HZ75" s="216">
        <f t="shared" si="37"/>
        <v>0</v>
      </c>
      <c r="IA75" s="216">
        <f t="shared" si="38"/>
        <v>0</v>
      </c>
      <c r="IB75" s="216">
        <f t="shared" si="39"/>
        <v>0</v>
      </c>
      <c r="IC75" s="216">
        <f t="shared" si="40"/>
        <v>0</v>
      </c>
      <c r="ID75" s="216">
        <f t="shared" si="41"/>
        <v>0</v>
      </c>
      <c r="IF75" s="216">
        <f t="shared" si="42"/>
        <v>0</v>
      </c>
    </row>
    <row r="76" spans="2:240" x14ac:dyDescent="0.2">
      <c r="B76" s="141" t="str">
        <v>Other Support &amp; Corporate Roles</v>
      </c>
      <c r="C76" s="141" t="str">
        <v>Legal Gov &amp; Risk Officer (Legal Affairs)</v>
      </c>
      <c r="D76" s="141" t="str">
        <v>Internal Labour</v>
      </c>
      <c r="E76" s="141" t="str">
        <v>$ Nominal</v>
      </c>
      <c r="F76" s="141" t="str">
        <v>Existing</v>
      </c>
      <c r="G76" s="141" t="str">
        <v>Normal time</v>
      </c>
      <c r="H76" s="142">
        <v>212.32</v>
      </c>
      <c r="I76" s="126">
        <v>20206.330000000002</v>
      </c>
      <c r="J76" s="143">
        <v>0</v>
      </c>
      <c r="K76" s="144">
        <v>0</v>
      </c>
      <c r="L76" s="144">
        <v>0</v>
      </c>
      <c r="M76" s="144">
        <v>0</v>
      </c>
      <c r="N76" s="144">
        <v>0</v>
      </c>
      <c r="O76" s="144">
        <v>0</v>
      </c>
      <c r="P76" s="144">
        <v>0</v>
      </c>
      <c r="Q76" s="144">
        <v>2.5000000000000001E-2</v>
      </c>
      <c r="R76" s="144">
        <v>3.214285714285714E-2</v>
      </c>
      <c r="S76" s="144">
        <v>0</v>
      </c>
      <c r="T76" s="144">
        <v>0</v>
      </c>
      <c r="U76" s="144">
        <v>0</v>
      </c>
      <c r="V76" s="144">
        <v>0</v>
      </c>
      <c r="W76" s="144">
        <v>0</v>
      </c>
      <c r="X76" s="144">
        <v>0.05</v>
      </c>
      <c r="Y76" s="144">
        <v>0.05</v>
      </c>
      <c r="Z76" s="144">
        <v>6.6666666666666666E-2</v>
      </c>
      <c r="AA76" s="144">
        <v>4.6052631578947366E-2</v>
      </c>
      <c r="AB76" s="144">
        <v>4.6052631578947366E-2</v>
      </c>
      <c r="AC76" s="144">
        <v>0.05</v>
      </c>
      <c r="AD76" s="144">
        <v>0.05</v>
      </c>
      <c r="AE76" s="144">
        <v>0.05</v>
      </c>
      <c r="AF76" s="144">
        <v>0.05</v>
      </c>
      <c r="AG76" s="144">
        <v>0.05</v>
      </c>
      <c r="AH76" s="144">
        <v>6.6666666666666666E-2</v>
      </c>
      <c r="AI76" s="144">
        <v>6.6666666666666666E-2</v>
      </c>
      <c r="AJ76" s="144">
        <v>0</v>
      </c>
      <c r="AK76" s="144">
        <v>0</v>
      </c>
      <c r="AL76" s="144">
        <v>0</v>
      </c>
      <c r="AM76" s="144">
        <v>0</v>
      </c>
      <c r="AN76" s="144">
        <v>0</v>
      </c>
      <c r="AO76" s="144">
        <v>0</v>
      </c>
      <c r="AP76" s="144">
        <v>0</v>
      </c>
      <c r="AQ76" s="144">
        <v>0</v>
      </c>
      <c r="AR76" s="144">
        <v>0</v>
      </c>
      <c r="AS76" s="144">
        <v>0</v>
      </c>
      <c r="AT76" s="144">
        <v>0</v>
      </c>
      <c r="AU76" s="144">
        <v>0</v>
      </c>
      <c r="AV76" s="144">
        <v>0</v>
      </c>
      <c r="AW76" s="144">
        <v>0</v>
      </c>
      <c r="AX76" s="144">
        <v>0</v>
      </c>
      <c r="AY76" s="144">
        <v>0</v>
      </c>
      <c r="AZ76" s="144">
        <v>0</v>
      </c>
      <c r="BA76" s="144">
        <v>0</v>
      </c>
      <c r="BB76" s="144">
        <v>0</v>
      </c>
      <c r="BC76" s="144">
        <v>0</v>
      </c>
      <c r="BD76" s="144">
        <v>0</v>
      </c>
      <c r="BE76" s="144">
        <v>0</v>
      </c>
      <c r="BF76" s="144">
        <v>0</v>
      </c>
      <c r="BG76" s="144">
        <v>0</v>
      </c>
      <c r="BH76" s="144">
        <v>0</v>
      </c>
      <c r="BI76" s="144">
        <v>0</v>
      </c>
      <c r="BJ76" s="144">
        <v>0</v>
      </c>
      <c r="BK76" s="144">
        <v>0</v>
      </c>
      <c r="BL76" s="144">
        <v>0</v>
      </c>
      <c r="BM76" s="144">
        <v>0</v>
      </c>
      <c r="BN76" s="144">
        <v>0</v>
      </c>
      <c r="BO76" s="144">
        <v>0</v>
      </c>
      <c r="BP76" s="144">
        <v>0</v>
      </c>
      <c r="BQ76" s="144">
        <v>0</v>
      </c>
      <c r="BR76" s="144">
        <v>0</v>
      </c>
      <c r="BS76" s="144">
        <v>0</v>
      </c>
      <c r="BT76" s="144">
        <v>0</v>
      </c>
      <c r="BU76" s="144">
        <v>0</v>
      </c>
      <c r="BV76" s="144">
        <v>0</v>
      </c>
      <c r="BW76" s="144">
        <v>0</v>
      </c>
      <c r="BX76" s="144">
        <v>0</v>
      </c>
      <c r="BY76" s="144">
        <v>0</v>
      </c>
      <c r="BZ76" s="144">
        <v>0</v>
      </c>
      <c r="CA76" s="144">
        <v>0</v>
      </c>
      <c r="CB76" s="144">
        <v>0</v>
      </c>
      <c r="CC76" s="144">
        <v>0</v>
      </c>
      <c r="CD76" s="144">
        <v>0</v>
      </c>
      <c r="CE76" s="144">
        <v>0</v>
      </c>
      <c r="CF76" s="144">
        <v>0</v>
      </c>
      <c r="CG76" s="144">
        <v>0</v>
      </c>
      <c r="CH76" s="144">
        <v>0</v>
      </c>
      <c r="CI76" s="144">
        <v>0</v>
      </c>
      <c r="CJ76" s="144">
        <v>0</v>
      </c>
      <c r="CK76" s="144">
        <v>0</v>
      </c>
      <c r="CL76" s="144">
        <v>0</v>
      </c>
      <c r="CM76" s="144">
        <v>0</v>
      </c>
      <c r="CN76" s="144">
        <v>0</v>
      </c>
      <c r="CO76" s="144">
        <v>0</v>
      </c>
      <c r="CP76" s="144">
        <v>0</v>
      </c>
      <c r="CQ76" s="143">
        <v>0</v>
      </c>
      <c r="CR76" s="145">
        <v>0</v>
      </c>
      <c r="CS76" s="145">
        <v>0</v>
      </c>
      <c r="CT76" s="145">
        <v>0</v>
      </c>
      <c r="CU76" s="145">
        <v>0</v>
      </c>
      <c r="CV76" s="145">
        <v>0</v>
      </c>
      <c r="CW76" s="145">
        <v>0</v>
      </c>
      <c r="CX76" s="145">
        <v>1066.8499999999999</v>
      </c>
      <c r="CY76" s="145">
        <v>1371.6599999999999</v>
      </c>
      <c r="CZ76" s="145">
        <v>0</v>
      </c>
      <c r="DA76" s="145">
        <v>0</v>
      </c>
      <c r="DB76" s="145">
        <v>0</v>
      </c>
      <c r="DC76" s="145">
        <v>0</v>
      </c>
      <c r="DD76" s="145">
        <v>0</v>
      </c>
      <c r="DE76" s="145">
        <v>1419.18</v>
      </c>
      <c r="DF76" s="145">
        <v>1486.24</v>
      </c>
      <c r="DG76" s="145">
        <v>1486.24</v>
      </c>
      <c r="DH76" s="145">
        <v>1486.24</v>
      </c>
      <c r="DI76" s="145">
        <v>1486.24</v>
      </c>
      <c r="DJ76" s="145">
        <v>1486.24</v>
      </c>
      <c r="DK76" s="145">
        <v>1486.24</v>
      </c>
      <c r="DL76" s="145">
        <v>1486.24</v>
      </c>
      <c r="DM76" s="145">
        <v>1486.24</v>
      </c>
      <c r="DN76" s="145">
        <v>1486.24</v>
      </c>
      <c r="DO76" s="145">
        <v>1486.24</v>
      </c>
      <c r="DP76" s="145">
        <v>1486.24</v>
      </c>
      <c r="DQ76" s="145">
        <v>0</v>
      </c>
      <c r="DR76" s="145">
        <v>0</v>
      </c>
      <c r="DS76" s="145">
        <v>0</v>
      </c>
      <c r="DT76" s="145">
        <v>0</v>
      </c>
      <c r="DU76" s="145">
        <v>0</v>
      </c>
      <c r="DV76" s="145">
        <v>0</v>
      </c>
      <c r="DW76" s="145">
        <v>0</v>
      </c>
      <c r="DX76" s="145">
        <v>0</v>
      </c>
      <c r="DY76" s="145">
        <v>0</v>
      </c>
      <c r="DZ76" s="145">
        <v>0</v>
      </c>
      <c r="EA76" s="145">
        <v>0</v>
      </c>
      <c r="EB76" s="145">
        <v>0</v>
      </c>
      <c r="EC76" s="145">
        <v>0</v>
      </c>
      <c r="ED76" s="145">
        <v>0</v>
      </c>
      <c r="EE76" s="145">
        <v>0</v>
      </c>
      <c r="EF76" s="145">
        <v>0</v>
      </c>
      <c r="EG76" s="145">
        <v>0</v>
      </c>
      <c r="EH76" s="145">
        <v>0</v>
      </c>
      <c r="EI76" s="145">
        <v>0</v>
      </c>
      <c r="EJ76" s="145">
        <v>0</v>
      </c>
      <c r="EK76" s="145">
        <v>0</v>
      </c>
      <c r="EL76" s="145">
        <v>0</v>
      </c>
      <c r="EM76" s="145">
        <v>0</v>
      </c>
      <c r="EN76" s="145">
        <v>0</v>
      </c>
      <c r="EO76" s="145">
        <v>0</v>
      </c>
      <c r="EP76" s="145">
        <v>0</v>
      </c>
      <c r="EQ76" s="145">
        <v>0</v>
      </c>
      <c r="ER76" s="145">
        <v>0</v>
      </c>
      <c r="ES76" s="145">
        <v>0</v>
      </c>
      <c r="ET76" s="145">
        <v>0</v>
      </c>
      <c r="EU76" s="145">
        <v>0</v>
      </c>
      <c r="EV76" s="145">
        <v>0</v>
      </c>
      <c r="EW76" s="145">
        <v>0</v>
      </c>
      <c r="EX76" s="145">
        <v>0</v>
      </c>
      <c r="EY76" s="145">
        <v>0</v>
      </c>
      <c r="EZ76" s="145">
        <v>0</v>
      </c>
      <c r="FA76" s="145">
        <v>0</v>
      </c>
      <c r="FB76" s="145">
        <v>0</v>
      </c>
      <c r="FC76" s="145">
        <v>0</v>
      </c>
      <c r="FD76" s="145">
        <v>0</v>
      </c>
      <c r="FE76" s="145">
        <v>0</v>
      </c>
      <c r="FF76" s="145">
        <v>0</v>
      </c>
      <c r="FG76" s="145">
        <v>0</v>
      </c>
      <c r="FH76" s="145">
        <v>0</v>
      </c>
      <c r="FI76" s="145">
        <v>0</v>
      </c>
      <c r="FJ76" s="145">
        <v>0</v>
      </c>
      <c r="FK76" s="145">
        <v>0</v>
      </c>
      <c r="FL76" s="145">
        <v>0</v>
      </c>
      <c r="FM76" s="145">
        <v>0</v>
      </c>
      <c r="FN76" s="145">
        <v>0</v>
      </c>
      <c r="FO76" s="145">
        <v>0</v>
      </c>
      <c r="FP76" s="145">
        <v>0</v>
      </c>
      <c r="FQ76" s="145">
        <v>0</v>
      </c>
      <c r="FR76" s="145">
        <v>0</v>
      </c>
      <c r="FS76" s="145">
        <v>0</v>
      </c>
      <c r="FT76" s="145">
        <v>0</v>
      </c>
      <c r="FU76" s="145">
        <v>0</v>
      </c>
      <c r="FV76" s="145">
        <v>0</v>
      </c>
      <c r="FW76" s="145">
        <v>0</v>
      </c>
      <c r="FX76" s="143"/>
      <c r="FY76" s="146" t="str">
        <f>_xlfn.XLOOKUP($E76,'Key assumptions'!$B$112:$B$120,'Key assumptions'!$C$112:$C$120,0)</f>
        <v>Nominal</v>
      </c>
      <c r="FZ76" s="146" cm="1">
        <f t="array" ref="FZ76">IF($FY76=0,0,_xlfn.IFS($FY76='Key assumptions'!$C$120,_xlfn.XLOOKUP(LEFT(FZ$7,6),Inflation_Year,Inflation_NominaltoReal),TRUE,_xlfn.XLOOKUP($FY76,Inflation_Year,NominaltoReal)))</f>
        <v>1.0197075870962191</v>
      </c>
      <c r="GA76" s="146" cm="1">
        <f t="array" ref="GA76">IF($FY76=0,0,_xlfn.IFS($FY76='Key assumptions'!$C$120,_xlfn.XLOOKUP(LEFT(GA$7,6),Inflation_Year,Inflation_NominaltoReal),TRUE,_xlfn.XLOOKUP($FY76,Inflation_Year,NominaltoReal)))</f>
        <v>0.98700804022984445</v>
      </c>
      <c r="GB76" s="146" cm="1">
        <f t="array" ref="GB76">IF($FY76=0,0,_xlfn.IFS($FY76='Key assumptions'!$C$120,_xlfn.XLOOKUP(LEFT(GB$7,6),Inflation_Year,Inflation_NominaltoReal),TRUE,_xlfn.XLOOKUP($FY76,Inflation_Year,NominaltoReal)))</f>
        <v>0.96152830081941731</v>
      </c>
      <c r="GC76" s="146" cm="1">
        <f t="array" ref="GC76">IF($FY76=0,0,_xlfn.IFS($FY76='Key assumptions'!$C$120,_xlfn.XLOOKUP(LEFT(GC$7,6),Inflation_Year,Inflation_NominaltoReal),TRUE,_xlfn.XLOOKUP($FY76,Inflation_Year,NominaltoReal)))</f>
        <v>0.93670632415656829</v>
      </c>
      <c r="GD76" s="146" cm="1">
        <f t="array" ref="GD76">IF($FY76=0,0,_xlfn.IFS($FY76='Key assumptions'!$C$120,_xlfn.XLOOKUP(LEFT(GD$7,6),Inflation_Year,Inflation_NominaltoReal),TRUE,_xlfn.XLOOKUP($FY76,Inflation_Year,NominaltoReal)))</f>
        <v>0.91252513001143176</v>
      </c>
      <c r="GE76" s="146" cm="1">
        <f t="array" ref="GE76">IF($FY76=0,0,_xlfn.IFS($FY76='Key assumptions'!$C$120,_xlfn.XLOOKUP(LEFT(GE$7,6),Inflation_Year,Inflation_NominaltoReal),TRUE,_xlfn.XLOOKUP($FY76,Inflation_Year,NominaltoReal)))</f>
        <v>0.88896817650095872</v>
      </c>
      <c r="GF76" s="146" cm="1">
        <f t="array" ref="GF76">IF($FY76=0,0,_xlfn.IFS($FY76='Key assumptions'!$C$120,_xlfn.XLOOKUP(LEFT(GF$7,6),Inflation_Year,Inflation_NominaltoReal),TRUE,_xlfn.XLOOKUP($FY76,Inflation_Year,NominaltoReal)))</f>
        <v>0.86601934877293718</v>
      </c>
      <c r="GG76" s="143"/>
      <c r="GH76" s="145" cm="1">
        <f t="array" ref="GH76">SUMPRODUCT(--($CR$7:$FW$7&gt;=GH$5),--($CR$7:$FW$7&lt;=GH$6),$CR76:$FW76)*FZ76</f>
        <v>12055.860043176404</v>
      </c>
      <c r="GI76" s="145" cm="1">
        <f t="array" ref="GI76">SUMPRODUCT(--($CR$7:$FW$7&gt;=GI$5),--($CR$7:$FW$7&lt;=GI$6),$CR76:$FW76)*GA76</f>
        <v>5867.7233188448163</v>
      </c>
      <c r="GJ76" s="145" cm="1">
        <f t="array" ref="GJ76">SUMPRODUCT(--($CR$7:$FW$7&gt;=GJ$5),--($CR$7:$FW$7&lt;=GJ$6),$CR76:$FW76)*GB76</f>
        <v>0</v>
      </c>
      <c r="GK76" s="145" cm="1">
        <f t="array" ref="GK76">SUMPRODUCT(--($CR$7:$FW$7&gt;=GK$5),--($CR$7:$FW$7&lt;=GK$6),$CR76:$FW76)*GC76</f>
        <v>0</v>
      </c>
      <c r="GL76" s="145" cm="1">
        <f t="array" ref="GL76">SUMPRODUCT(--($CR$7:$FW$7&gt;=GL$5),--($CR$7:$FW$7&lt;=GL$6),$CR76:$FW76)*GD76</f>
        <v>0</v>
      </c>
      <c r="GM76" s="145" cm="1">
        <f t="array" ref="GM76">SUMPRODUCT(--($CR$7:$FW$7&gt;=GM$5),--($CR$7:$FW$7&lt;=GM$6),$CR76:$FW76)*GE76</f>
        <v>0</v>
      </c>
      <c r="GN76" s="145" cm="1">
        <f t="array" ref="GN76">SUMPRODUCT(--($CR$7:$FW$7&gt;=GN$5),--($CR$7:$FW$7&lt;=GN$6),$CR76:$FW76)*GF76</f>
        <v>0</v>
      </c>
      <c r="GO76" s="145">
        <f t="shared" si="23"/>
        <v>17923.583362021222</v>
      </c>
      <c r="GP76" s="87"/>
      <c r="GQ76" s="89"/>
      <c r="GR76" s="145" cm="1">
        <f t="array" ref="GR76">SUMPRODUCT(--($CR$7:$FW$7&gt;=GR$5),--($CR$7:$FW$7&lt;=GR$6),$CR76:$FW76)</f>
        <v>7364.1399999999994</v>
      </c>
      <c r="GS76" s="89"/>
      <c r="GT76" s="214" cm="1">
        <f t="array" ref="GT76">--AND(MIN(IF($K76:$CP76&lt;&gt;0,$K$7:$CP$7))&gt;=GT$5,MIN(IF($K76:$CP76&lt;&gt;0,$K$7:$CP$7))&lt;=GT$6)</f>
        <v>0</v>
      </c>
      <c r="GU76" s="214" cm="1">
        <f t="array" ref="GU76">--AND(MIN(IF($K76:$CP76&lt;&gt;0,$K$7:$CP$7))&gt;=GU$5,MIN(IF($K76:$CP76&lt;&gt;0,$K$7:$CP$7))&lt;=GU$6)</f>
        <v>0</v>
      </c>
      <c r="GV76" s="214" cm="1">
        <f t="array" ref="GV76">--AND(MIN(IF($K76:$CP76&lt;&gt;0,$K$7:$CP$7))&gt;=GV$5,MIN(IF($K76:$CP76&lt;&gt;0,$K$7:$CP$7))&lt;=GV$6)</f>
        <v>0</v>
      </c>
      <c r="GW76" s="214" cm="1">
        <f t="array" ref="GW76">--AND(MIN(IF($K76:$CP76&lt;&gt;0,$K$7:$CP$7))&gt;=GW$5,MIN(IF($K76:$CP76&lt;&gt;0,$K$7:$CP$7))&lt;=GW$6)</f>
        <v>0</v>
      </c>
      <c r="GX76" s="214" cm="1">
        <f t="array" ref="GX76">--AND(MIN(IF($K76:$CP76&lt;&gt;0,$K$7:$CP$7))&gt;=GX$5,MIN(IF($K76:$CP76&lt;&gt;0,$K$7:$CP$7))&lt;=GX$6)</f>
        <v>0</v>
      </c>
      <c r="GY76" s="214" cm="1">
        <f t="array" ref="GY76">--AND(MIN(IF($K76:$CP76&lt;&gt;0,$K$7:$CP$7))&gt;=GY$5,MIN(IF($K76:$CP76&lt;&gt;0,$K$7:$CP$7))&lt;=GY$6)</f>
        <v>0</v>
      </c>
      <c r="GZ76" s="214" cm="1">
        <f t="array" ref="GZ76">--AND(MIN(IF($K76:$CP76&lt;&gt;0,$K$7:$CP$7))&gt;=GZ$5,MIN(IF($K76:$CP76&lt;&gt;0,$K$7:$CP$7))&lt;=GZ$6)</f>
        <v>0</v>
      </c>
      <c r="HA76" s="214">
        <f t="shared" si="24"/>
        <v>0</v>
      </c>
      <c r="HC76" s="214" cm="1">
        <f t="array" ref="HC76">--AND(MIN(IF($K76:$CP76&lt;&gt;0,$K$7:$CP$7))&gt;=HC$5,MIN(IF($K76:$CP76&lt;&gt;0,$K$7:$CP$7))&lt;=HC$6)</f>
        <v>0</v>
      </c>
      <c r="HE76" s="147" t="str">
        <f t="shared" si="43"/>
        <v>No</v>
      </c>
      <c r="HF76" s="147" t="str">
        <f t="shared" si="44"/>
        <v>No</v>
      </c>
      <c r="HG76" s="147">
        <f>IF($HF76="Yes",0,$H76*avg_hrs*12*'Key assumptions'!$D$87)</f>
        <v>379685.27609743091</v>
      </c>
      <c r="HH76" s="147">
        <f>IF(HE76="Yes",'Key assumptions'!$D$84*HG76,0)</f>
        <v>0</v>
      </c>
      <c r="HI76" s="144">
        <f>IFERROR(AVERAGEIFS($K76:$CP76,$K$7:$CP$7,"&gt;="&amp;'Key assumptions'!$D$24,$K$7:$CP$7,"&lt;="&amp;'Key assumptions'!$D$25),0)</f>
        <v>1.4593301435406698E-2</v>
      </c>
      <c r="HJ76" s="148">
        <f t="shared" si="25"/>
        <v>0</v>
      </c>
      <c r="HK76" s="148">
        <f t="shared" si="26"/>
        <v>0</v>
      </c>
      <c r="HL76" s="148">
        <f t="shared" si="27"/>
        <v>0</v>
      </c>
      <c r="HM76" s="148">
        <f t="shared" si="28"/>
        <v>0</v>
      </c>
      <c r="HN76" s="148">
        <f t="shared" si="29"/>
        <v>0</v>
      </c>
      <c r="HO76" s="148">
        <f t="shared" si="30"/>
        <v>0</v>
      </c>
      <c r="HP76" s="148">
        <f t="shared" si="31"/>
        <v>0</v>
      </c>
      <c r="HQ76" s="148">
        <f t="shared" si="32"/>
        <v>0</v>
      </c>
      <c r="HR76" s="147">
        <f t="shared" si="33"/>
        <v>0</v>
      </c>
      <c r="HS76" s="89"/>
      <c r="HU76" s="147">
        <f>$HJ76*HC76/(1+'Key assumptions'!G98)^0.75</f>
        <v>0</v>
      </c>
      <c r="HW76" s="216">
        <f t="shared" si="34"/>
        <v>0</v>
      </c>
      <c r="HX76" s="216">
        <f t="shared" si="35"/>
        <v>0</v>
      </c>
      <c r="HY76" s="216">
        <f t="shared" si="36"/>
        <v>0</v>
      </c>
      <c r="HZ76" s="216">
        <f t="shared" si="37"/>
        <v>0</v>
      </c>
      <c r="IA76" s="216">
        <f t="shared" si="38"/>
        <v>0</v>
      </c>
      <c r="IB76" s="216">
        <f t="shared" si="39"/>
        <v>0</v>
      </c>
      <c r="IC76" s="216">
        <f t="shared" si="40"/>
        <v>0</v>
      </c>
      <c r="ID76" s="216">
        <f t="shared" si="41"/>
        <v>0</v>
      </c>
      <c r="IF76" s="216">
        <f t="shared" si="42"/>
        <v>0</v>
      </c>
    </row>
    <row r="77" spans="2:240" x14ac:dyDescent="0.2">
      <c r="B77" s="141" t="str">
        <v>Regulatory Approvals</v>
      </c>
      <c r="C77" s="141" t="str">
        <v>Legal Gov &amp; Risk - Senior (Legal Affairs)</v>
      </c>
      <c r="D77" s="141" t="str">
        <v>Internal Labour</v>
      </c>
      <c r="E77" s="141" t="str">
        <v>$ Nominal</v>
      </c>
      <c r="F77" s="141" t="str">
        <v>Existing</v>
      </c>
      <c r="G77" s="141" t="str">
        <v>Normal time</v>
      </c>
      <c r="H77" s="142">
        <v>313.99</v>
      </c>
      <c r="I77" s="126">
        <v>386732.92000000027</v>
      </c>
      <c r="J77" s="143">
        <v>0</v>
      </c>
      <c r="K77" s="144">
        <v>0</v>
      </c>
      <c r="L77" s="144">
        <v>0</v>
      </c>
      <c r="M77" s="144">
        <v>0</v>
      </c>
      <c r="N77" s="144">
        <v>0</v>
      </c>
      <c r="O77" s="144">
        <v>0</v>
      </c>
      <c r="P77" s="144">
        <v>4.6052631578947366E-2</v>
      </c>
      <c r="Q77" s="144">
        <v>0.32500000000000001</v>
      </c>
      <c r="R77" s="144">
        <v>0.4</v>
      </c>
      <c r="S77" s="144">
        <v>0.67500000000000004</v>
      </c>
      <c r="T77" s="144">
        <v>1.125</v>
      </c>
      <c r="U77" s="144">
        <v>0.85</v>
      </c>
      <c r="V77" s="144">
        <v>0.8</v>
      </c>
      <c r="W77" s="144">
        <v>1.3333333333333333</v>
      </c>
      <c r="X77" s="144">
        <v>1</v>
      </c>
      <c r="Y77" s="144">
        <v>1</v>
      </c>
      <c r="Z77" s="144">
        <v>0.33333333333333331</v>
      </c>
      <c r="AA77" s="144">
        <v>0.23026315789473684</v>
      </c>
      <c r="AB77" s="144">
        <v>0.23026315789473684</v>
      </c>
      <c r="AC77" s="144">
        <v>0.25</v>
      </c>
      <c r="AD77" s="144">
        <v>0.25</v>
      </c>
      <c r="AE77" s="144">
        <v>0.25</v>
      </c>
      <c r="AF77" s="144">
        <v>0.25</v>
      </c>
      <c r="AG77" s="144">
        <v>0.25</v>
      </c>
      <c r="AH77" s="144">
        <v>0</v>
      </c>
      <c r="AI77" s="144">
        <v>0</v>
      </c>
      <c r="AJ77" s="144">
        <v>0</v>
      </c>
      <c r="AK77" s="144">
        <v>0</v>
      </c>
      <c r="AL77" s="144">
        <v>0</v>
      </c>
      <c r="AM77" s="144">
        <v>0</v>
      </c>
      <c r="AN77" s="144">
        <v>0</v>
      </c>
      <c r="AO77" s="144">
        <v>0</v>
      </c>
      <c r="AP77" s="144">
        <v>0</v>
      </c>
      <c r="AQ77" s="144">
        <v>0</v>
      </c>
      <c r="AR77" s="144">
        <v>0</v>
      </c>
      <c r="AS77" s="144">
        <v>0</v>
      </c>
      <c r="AT77" s="144">
        <v>0</v>
      </c>
      <c r="AU77" s="144">
        <v>0</v>
      </c>
      <c r="AV77" s="144">
        <v>0</v>
      </c>
      <c r="AW77" s="144">
        <v>0</v>
      </c>
      <c r="AX77" s="144">
        <v>0</v>
      </c>
      <c r="AY77" s="144">
        <v>0</v>
      </c>
      <c r="AZ77" s="144">
        <v>0</v>
      </c>
      <c r="BA77" s="144">
        <v>0</v>
      </c>
      <c r="BB77" s="144">
        <v>0</v>
      </c>
      <c r="BC77" s="144">
        <v>0</v>
      </c>
      <c r="BD77" s="144">
        <v>0</v>
      </c>
      <c r="BE77" s="144">
        <v>0</v>
      </c>
      <c r="BF77" s="144">
        <v>0</v>
      </c>
      <c r="BG77" s="144">
        <v>0</v>
      </c>
      <c r="BH77" s="144">
        <v>0</v>
      </c>
      <c r="BI77" s="144">
        <v>0</v>
      </c>
      <c r="BJ77" s="144">
        <v>0</v>
      </c>
      <c r="BK77" s="144">
        <v>0</v>
      </c>
      <c r="BL77" s="144">
        <v>0</v>
      </c>
      <c r="BM77" s="144">
        <v>0</v>
      </c>
      <c r="BN77" s="144">
        <v>0</v>
      </c>
      <c r="BO77" s="144">
        <v>0</v>
      </c>
      <c r="BP77" s="144">
        <v>0</v>
      </c>
      <c r="BQ77" s="144">
        <v>0</v>
      </c>
      <c r="BR77" s="144">
        <v>0</v>
      </c>
      <c r="BS77" s="144">
        <v>0</v>
      </c>
      <c r="BT77" s="144">
        <v>0</v>
      </c>
      <c r="BU77" s="144">
        <v>0</v>
      </c>
      <c r="BV77" s="144">
        <v>0</v>
      </c>
      <c r="BW77" s="144">
        <v>0</v>
      </c>
      <c r="BX77" s="144">
        <v>0</v>
      </c>
      <c r="BY77" s="144">
        <v>0</v>
      </c>
      <c r="BZ77" s="144">
        <v>0</v>
      </c>
      <c r="CA77" s="144">
        <v>0</v>
      </c>
      <c r="CB77" s="144">
        <v>0</v>
      </c>
      <c r="CC77" s="144">
        <v>0</v>
      </c>
      <c r="CD77" s="144">
        <v>0</v>
      </c>
      <c r="CE77" s="144">
        <v>0</v>
      </c>
      <c r="CF77" s="144">
        <v>0</v>
      </c>
      <c r="CG77" s="144">
        <v>0</v>
      </c>
      <c r="CH77" s="144">
        <v>0</v>
      </c>
      <c r="CI77" s="144">
        <v>0</v>
      </c>
      <c r="CJ77" s="144">
        <v>0</v>
      </c>
      <c r="CK77" s="144">
        <v>0</v>
      </c>
      <c r="CL77" s="144">
        <v>0</v>
      </c>
      <c r="CM77" s="144">
        <v>0</v>
      </c>
      <c r="CN77" s="144">
        <v>0</v>
      </c>
      <c r="CO77" s="144">
        <v>0</v>
      </c>
      <c r="CP77" s="144">
        <v>0</v>
      </c>
      <c r="CQ77" s="143">
        <v>0</v>
      </c>
      <c r="CR77" s="145">
        <v>0</v>
      </c>
      <c r="CS77" s="145">
        <v>0</v>
      </c>
      <c r="CT77" s="145">
        <v>0</v>
      </c>
      <c r="CU77" s="145">
        <v>0</v>
      </c>
      <c r="CV77" s="145">
        <v>0</v>
      </c>
      <c r="CW77" s="145">
        <v>2125.8199999999997</v>
      </c>
      <c r="CX77" s="145">
        <v>13869.050000000003</v>
      </c>
      <c r="CY77" s="145">
        <v>17069.599999999995</v>
      </c>
      <c r="CZ77" s="145">
        <v>28804.94999999999</v>
      </c>
      <c r="DA77" s="145">
        <v>48008.250000000073</v>
      </c>
      <c r="DB77" s="145">
        <v>36272.900000000038</v>
      </c>
      <c r="DC77" s="145">
        <v>25604.399999999991</v>
      </c>
      <c r="DD77" s="145">
        <v>42674.000000000044</v>
      </c>
      <c r="DE77" s="145">
        <v>42674.799999999996</v>
      </c>
      <c r="DF77" s="145">
        <v>42674.799999999996</v>
      </c>
      <c r="DG77" s="145">
        <v>10668.699999999999</v>
      </c>
      <c r="DH77" s="145">
        <v>10668.699999999999</v>
      </c>
      <c r="DI77" s="145">
        <v>10668.699999999999</v>
      </c>
      <c r="DJ77" s="145">
        <v>10989.65</v>
      </c>
      <c r="DK77" s="145">
        <v>10989.65</v>
      </c>
      <c r="DL77" s="145">
        <v>10989.65</v>
      </c>
      <c r="DM77" s="145">
        <v>10989.65</v>
      </c>
      <c r="DN77" s="145">
        <v>10989.65</v>
      </c>
      <c r="DO77" s="145">
        <v>0</v>
      </c>
      <c r="DP77" s="145">
        <v>0</v>
      </c>
      <c r="DQ77" s="145">
        <v>0</v>
      </c>
      <c r="DR77" s="145">
        <v>0</v>
      </c>
      <c r="DS77" s="145">
        <v>0</v>
      </c>
      <c r="DT77" s="145">
        <v>0</v>
      </c>
      <c r="DU77" s="145">
        <v>0</v>
      </c>
      <c r="DV77" s="145">
        <v>0</v>
      </c>
      <c r="DW77" s="145">
        <v>0</v>
      </c>
      <c r="DX77" s="145">
        <v>0</v>
      </c>
      <c r="DY77" s="145">
        <v>0</v>
      </c>
      <c r="DZ77" s="145">
        <v>0</v>
      </c>
      <c r="EA77" s="145">
        <v>0</v>
      </c>
      <c r="EB77" s="145">
        <v>0</v>
      </c>
      <c r="EC77" s="145">
        <v>0</v>
      </c>
      <c r="ED77" s="145">
        <v>0</v>
      </c>
      <c r="EE77" s="145">
        <v>0</v>
      </c>
      <c r="EF77" s="145">
        <v>0</v>
      </c>
      <c r="EG77" s="145">
        <v>0</v>
      </c>
      <c r="EH77" s="145">
        <v>0</v>
      </c>
      <c r="EI77" s="145">
        <v>0</v>
      </c>
      <c r="EJ77" s="145">
        <v>0</v>
      </c>
      <c r="EK77" s="145">
        <v>0</v>
      </c>
      <c r="EL77" s="145">
        <v>0</v>
      </c>
      <c r="EM77" s="145">
        <v>0</v>
      </c>
      <c r="EN77" s="145">
        <v>0</v>
      </c>
      <c r="EO77" s="145">
        <v>0</v>
      </c>
      <c r="EP77" s="145">
        <v>0</v>
      </c>
      <c r="EQ77" s="145">
        <v>0</v>
      </c>
      <c r="ER77" s="145">
        <v>0</v>
      </c>
      <c r="ES77" s="145">
        <v>0</v>
      </c>
      <c r="ET77" s="145">
        <v>0</v>
      </c>
      <c r="EU77" s="145">
        <v>0</v>
      </c>
      <c r="EV77" s="145">
        <v>0</v>
      </c>
      <c r="EW77" s="145">
        <v>0</v>
      </c>
      <c r="EX77" s="145">
        <v>0</v>
      </c>
      <c r="EY77" s="145">
        <v>0</v>
      </c>
      <c r="EZ77" s="145">
        <v>0</v>
      </c>
      <c r="FA77" s="145">
        <v>0</v>
      </c>
      <c r="FB77" s="145">
        <v>0</v>
      </c>
      <c r="FC77" s="145">
        <v>0</v>
      </c>
      <c r="FD77" s="145">
        <v>0</v>
      </c>
      <c r="FE77" s="145">
        <v>0</v>
      </c>
      <c r="FF77" s="145">
        <v>0</v>
      </c>
      <c r="FG77" s="145">
        <v>0</v>
      </c>
      <c r="FH77" s="145">
        <v>0</v>
      </c>
      <c r="FI77" s="145">
        <v>0</v>
      </c>
      <c r="FJ77" s="145">
        <v>0</v>
      </c>
      <c r="FK77" s="145">
        <v>0</v>
      </c>
      <c r="FL77" s="145">
        <v>0</v>
      </c>
      <c r="FM77" s="145">
        <v>0</v>
      </c>
      <c r="FN77" s="145">
        <v>0</v>
      </c>
      <c r="FO77" s="145">
        <v>0</v>
      </c>
      <c r="FP77" s="145">
        <v>0</v>
      </c>
      <c r="FQ77" s="145">
        <v>0</v>
      </c>
      <c r="FR77" s="145">
        <v>0</v>
      </c>
      <c r="FS77" s="145">
        <v>0</v>
      </c>
      <c r="FT77" s="145">
        <v>0</v>
      </c>
      <c r="FU77" s="145">
        <v>0</v>
      </c>
      <c r="FV77" s="145">
        <v>0</v>
      </c>
      <c r="FW77" s="145">
        <v>0</v>
      </c>
      <c r="FX77" s="143"/>
      <c r="FY77" s="146" t="str">
        <f>_xlfn.XLOOKUP($E77,'Key assumptions'!$B$112:$B$120,'Key assumptions'!$C$112:$C$120,0)</f>
        <v>Nominal</v>
      </c>
      <c r="FZ77" s="146" cm="1">
        <f t="array" ref="FZ77">IF($FY77=0,0,_xlfn.IFS($FY77='Key assumptions'!$C$120,_xlfn.XLOOKUP(LEFT(FZ$7,6),Inflation_Year,Inflation_NominaltoReal),TRUE,_xlfn.XLOOKUP($FY77,Inflation_Year,NominaltoReal)))</f>
        <v>1.0197075870962191</v>
      </c>
      <c r="GA77" s="146" cm="1">
        <f t="array" ref="GA77">IF($FY77=0,0,_xlfn.IFS($FY77='Key assumptions'!$C$120,_xlfn.XLOOKUP(LEFT(GA$7,6),Inflation_Year,Inflation_NominaltoReal),TRUE,_xlfn.XLOOKUP($FY77,Inflation_Year,NominaltoReal)))</f>
        <v>0.98700804022984445</v>
      </c>
      <c r="GB77" s="146" cm="1">
        <f t="array" ref="GB77">IF($FY77=0,0,_xlfn.IFS($FY77='Key assumptions'!$C$120,_xlfn.XLOOKUP(LEFT(GB$7,6),Inflation_Year,Inflation_NominaltoReal),TRUE,_xlfn.XLOOKUP($FY77,Inflation_Year,NominaltoReal)))</f>
        <v>0.96152830081941731</v>
      </c>
      <c r="GC77" s="146" cm="1">
        <f t="array" ref="GC77">IF($FY77=0,0,_xlfn.IFS($FY77='Key assumptions'!$C$120,_xlfn.XLOOKUP(LEFT(GC$7,6),Inflation_Year,Inflation_NominaltoReal),TRUE,_xlfn.XLOOKUP($FY77,Inflation_Year,NominaltoReal)))</f>
        <v>0.93670632415656829</v>
      </c>
      <c r="GD77" s="146" cm="1">
        <f t="array" ref="GD77">IF($FY77=0,0,_xlfn.IFS($FY77='Key assumptions'!$C$120,_xlfn.XLOOKUP(LEFT(GD$7,6),Inflation_Year,Inflation_NominaltoReal),TRUE,_xlfn.XLOOKUP($FY77,Inflation_Year,NominaltoReal)))</f>
        <v>0.91252513001143176</v>
      </c>
      <c r="GE77" s="146" cm="1">
        <f t="array" ref="GE77">IF($FY77=0,0,_xlfn.IFS($FY77='Key assumptions'!$C$120,_xlfn.XLOOKUP(LEFT(GE$7,6),Inflation_Year,Inflation_NominaltoReal),TRUE,_xlfn.XLOOKUP($FY77,Inflation_Year,NominaltoReal)))</f>
        <v>0.88896817650095872</v>
      </c>
      <c r="GF77" s="146" cm="1">
        <f t="array" ref="GF77">IF($FY77=0,0,_xlfn.IFS($FY77='Key assumptions'!$C$120,_xlfn.XLOOKUP(LEFT(GF$7,6),Inflation_Year,Inflation_NominaltoReal),TRUE,_xlfn.XLOOKUP($FY77,Inflation_Year,NominaltoReal)))</f>
        <v>0.86601934877293718</v>
      </c>
      <c r="GG77" s="143"/>
      <c r="GH77" s="145" cm="1">
        <f t="array" ref="GH77">SUMPRODUCT(--($CR$7:$FW$7&gt;=GH$5),--($CR$7:$FW$7&lt;=GH$6),$CR77:$FW77)*FZ77</f>
        <v>153287.18613258362</v>
      </c>
      <c r="GI77" s="145" cm="1">
        <f t="array" ref="GI77">SUMPRODUCT(--($CR$7:$FW$7&gt;=GI$5),--($CR$7:$FW$7&lt;=GI$6),$CR77:$FW77)*GA77</f>
        <v>21693.745818623818</v>
      </c>
      <c r="GJ77" s="145" cm="1">
        <f t="array" ref="GJ77">SUMPRODUCT(--($CR$7:$FW$7&gt;=GJ$5),--($CR$7:$FW$7&lt;=GJ$6),$CR77:$FW77)*GB77</f>
        <v>0</v>
      </c>
      <c r="GK77" s="145" cm="1">
        <f t="array" ref="GK77">SUMPRODUCT(--($CR$7:$FW$7&gt;=GK$5),--($CR$7:$FW$7&lt;=GK$6),$CR77:$FW77)*GC77</f>
        <v>0</v>
      </c>
      <c r="GL77" s="145" cm="1">
        <f t="array" ref="GL77">SUMPRODUCT(--($CR$7:$FW$7&gt;=GL$5),--($CR$7:$FW$7&lt;=GL$6),$CR77:$FW77)*GD77</f>
        <v>0</v>
      </c>
      <c r="GM77" s="145" cm="1">
        <f t="array" ref="GM77">SUMPRODUCT(--($CR$7:$FW$7&gt;=GM$5),--($CR$7:$FW$7&lt;=GM$6),$CR77:$FW77)*GE77</f>
        <v>0</v>
      </c>
      <c r="GN77" s="145" cm="1">
        <f t="array" ref="GN77">SUMPRODUCT(--($CR$7:$FW$7&gt;=GN$5),--($CR$7:$FW$7&lt;=GN$6),$CR77:$FW77)*GF77</f>
        <v>0</v>
      </c>
      <c r="GO77" s="145">
        <f t="shared" si="23"/>
        <v>174980.93195120743</v>
      </c>
      <c r="GP77" s="87"/>
      <c r="GQ77" s="89"/>
      <c r="GR77" s="145" cm="1">
        <f t="array" ref="GR77">SUMPRODUCT(--($CR$7:$FW$7&gt;=GR$5),--($CR$7:$FW$7&lt;=GR$6),$CR77:$FW77)</f>
        <v>117355.69999999998</v>
      </c>
      <c r="GS77" s="89"/>
      <c r="GT77" s="214" cm="1">
        <f t="array" ref="GT77">--AND(MIN(IF($K77:$CP77&lt;&gt;0,$K$7:$CP$7))&gt;=GT$5,MIN(IF($K77:$CP77&lt;&gt;0,$K$7:$CP$7))&lt;=GT$6)</f>
        <v>0</v>
      </c>
      <c r="GU77" s="214" cm="1">
        <f t="array" ref="GU77">--AND(MIN(IF($K77:$CP77&lt;&gt;0,$K$7:$CP$7))&gt;=GU$5,MIN(IF($K77:$CP77&lt;&gt;0,$K$7:$CP$7))&lt;=GU$6)</f>
        <v>0</v>
      </c>
      <c r="GV77" s="214" cm="1">
        <f t="array" ref="GV77">--AND(MIN(IF($K77:$CP77&lt;&gt;0,$K$7:$CP$7))&gt;=GV$5,MIN(IF($K77:$CP77&lt;&gt;0,$K$7:$CP$7))&lt;=GV$6)</f>
        <v>0</v>
      </c>
      <c r="GW77" s="214" cm="1">
        <f t="array" ref="GW77">--AND(MIN(IF($K77:$CP77&lt;&gt;0,$K$7:$CP$7))&gt;=GW$5,MIN(IF($K77:$CP77&lt;&gt;0,$K$7:$CP$7))&lt;=GW$6)</f>
        <v>0</v>
      </c>
      <c r="GX77" s="214" cm="1">
        <f t="array" ref="GX77">--AND(MIN(IF($K77:$CP77&lt;&gt;0,$K$7:$CP$7))&gt;=GX$5,MIN(IF($K77:$CP77&lt;&gt;0,$K$7:$CP$7))&lt;=GX$6)</f>
        <v>0</v>
      </c>
      <c r="GY77" s="214" cm="1">
        <f t="array" ref="GY77">--AND(MIN(IF($K77:$CP77&lt;&gt;0,$K$7:$CP$7))&gt;=GY$5,MIN(IF($K77:$CP77&lt;&gt;0,$K$7:$CP$7))&lt;=GY$6)</f>
        <v>0</v>
      </c>
      <c r="GZ77" s="214" cm="1">
        <f t="array" ref="GZ77">--AND(MIN(IF($K77:$CP77&lt;&gt;0,$K$7:$CP$7))&gt;=GZ$5,MIN(IF($K77:$CP77&lt;&gt;0,$K$7:$CP$7))&lt;=GZ$6)</f>
        <v>0</v>
      </c>
      <c r="HA77" s="214">
        <f t="shared" si="24"/>
        <v>0</v>
      </c>
      <c r="HC77" s="214" cm="1">
        <f t="array" ref="HC77">--AND(MIN(IF($K77:$CP77&lt;&gt;0,$K$7:$CP$7))&gt;=HC$5,MIN(IF($K77:$CP77&lt;&gt;0,$K$7:$CP$7))&lt;=HC$6)</f>
        <v>0</v>
      </c>
      <c r="HE77" s="147" t="str">
        <f t="shared" si="43"/>
        <v>No</v>
      </c>
      <c r="HF77" s="147" t="str">
        <f t="shared" si="44"/>
        <v>No</v>
      </c>
      <c r="HG77" s="147">
        <f>IF($HF77="Yes",0,$H77*avg_hrs*12*'Key assumptions'!$D$87)</f>
        <v>561498.58629348304</v>
      </c>
      <c r="HH77" s="147">
        <f>IF(HE77="Yes",'Key assumptions'!$D$84*HG77,0)</f>
        <v>0</v>
      </c>
      <c r="HI77" s="144">
        <f>IFERROR(AVERAGEIFS($K77:$CP77,$K$7:$CP$7,"&gt;="&amp;'Key assumptions'!$D$24,$K$7:$CP$7,"&lt;="&amp;'Key assumptions'!$D$25),0)</f>
        <v>9.1905901116427421E-2</v>
      </c>
      <c r="HJ77" s="148">
        <f t="shared" si="25"/>
        <v>0</v>
      </c>
      <c r="HK77" s="148">
        <f t="shared" si="26"/>
        <v>0</v>
      </c>
      <c r="HL77" s="148">
        <f t="shared" si="27"/>
        <v>0</v>
      </c>
      <c r="HM77" s="148">
        <f t="shared" si="28"/>
        <v>0</v>
      </c>
      <c r="HN77" s="148">
        <f t="shared" si="29"/>
        <v>0</v>
      </c>
      <c r="HO77" s="148">
        <f t="shared" si="30"/>
        <v>0</v>
      </c>
      <c r="HP77" s="148">
        <f t="shared" si="31"/>
        <v>0</v>
      </c>
      <c r="HQ77" s="148">
        <f t="shared" si="32"/>
        <v>0</v>
      </c>
      <c r="HR77" s="147">
        <f t="shared" si="33"/>
        <v>0</v>
      </c>
      <c r="HS77" s="89"/>
      <c r="HU77" s="147">
        <f>$HJ77*HC77/(1+'Key assumptions'!G99)^0.75</f>
        <v>0</v>
      </c>
      <c r="HW77" s="216">
        <f t="shared" si="34"/>
        <v>0</v>
      </c>
      <c r="HX77" s="216">
        <f t="shared" si="35"/>
        <v>0</v>
      </c>
      <c r="HY77" s="216">
        <f t="shared" si="36"/>
        <v>0</v>
      </c>
      <c r="HZ77" s="216">
        <f t="shared" si="37"/>
        <v>0</v>
      </c>
      <c r="IA77" s="216">
        <f t="shared" si="38"/>
        <v>0</v>
      </c>
      <c r="IB77" s="216">
        <f t="shared" si="39"/>
        <v>0</v>
      </c>
      <c r="IC77" s="216">
        <f t="shared" si="40"/>
        <v>0</v>
      </c>
      <c r="ID77" s="216">
        <f t="shared" si="41"/>
        <v>0</v>
      </c>
      <c r="IF77" s="216">
        <f t="shared" si="42"/>
        <v>0</v>
      </c>
    </row>
    <row r="78" spans="2:240" x14ac:dyDescent="0.2">
      <c r="B78" s="141" t="str">
        <v>Regulatory Approvals</v>
      </c>
      <c r="C78" s="141" t="str">
        <v>Legal Gov &amp; Risk Officer (Regulatory &amp; Policy)</v>
      </c>
      <c r="D78" s="141" t="str">
        <v>Internal Labour</v>
      </c>
      <c r="E78" s="141" t="str">
        <v>$ Nominal</v>
      </c>
      <c r="F78" s="141" t="str">
        <v>Existing</v>
      </c>
      <c r="G78" s="141" t="str">
        <v>Normal time</v>
      </c>
      <c r="H78" s="142">
        <v>212.32</v>
      </c>
      <c r="I78" s="126">
        <v>209367.34000000008</v>
      </c>
      <c r="J78" s="143">
        <v>0</v>
      </c>
      <c r="K78" s="144">
        <v>0</v>
      </c>
      <c r="L78" s="144">
        <v>0</v>
      </c>
      <c r="M78" s="144">
        <v>0</v>
      </c>
      <c r="N78" s="144">
        <v>0</v>
      </c>
      <c r="O78" s="144">
        <v>0</v>
      </c>
      <c r="P78" s="144">
        <v>0</v>
      </c>
      <c r="Q78" s="144">
        <v>0.25</v>
      </c>
      <c r="R78" s="144">
        <v>0.2</v>
      </c>
      <c r="S78" s="144">
        <v>0</v>
      </c>
      <c r="T78" s="144">
        <v>0.25</v>
      </c>
      <c r="U78" s="144">
        <v>0.45</v>
      </c>
      <c r="V78" s="144">
        <v>0.4</v>
      </c>
      <c r="W78" s="144">
        <v>1.3333333333333333</v>
      </c>
      <c r="X78" s="144">
        <v>1</v>
      </c>
      <c r="Y78" s="144">
        <v>1</v>
      </c>
      <c r="Z78" s="144">
        <v>0.33333333333333331</v>
      </c>
      <c r="AA78" s="144">
        <v>0.23026315789473684</v>
      </c>
      <c r="AB78" s="144">
        <v>0.23026315789473684</v>
      </c>
      <c r="AC78" s="144">
        <v>0.25</v>
      </c>
      <c r="AD78" s="144">
        <v>0.25</v>
      </c>
      <c r="AE78" s="144">
        <v>0.25</v>
      </c>
      <c r="AF78" s="144">
        <v>0.25</v>
      </c>
      <c r="AG78" s="144">
        <v>0.25</v>
      </c>
      <c r="AH78" s="144">
        <v>0</v>
      </c>
      <c r="AI78" s="144">
        <v>0</v>
      </c>
      <c r="AJ78" s="144">
        <v>0</v>
      </c>
      <c r="AK78" s="144">
        <v>0</v>
      </c>
      <c r="AL78" s="144">
        <v>0</v>
      </c>
      <c r="AM78" s="144">
        <v>0</v>
      </c>
      <c r="AN78" s="144">
        <v>0</v>
      </c>
      <c r="AO78" s="144">
        <v>0</v>
      </c>
      <c r="AP78" s="144">
        <v>0</v>
      </c>
      <c r="AQ78" s="144">
        <v>0</v>
      </c>
      <c r="AR78" s="144">
        <v>0</v>
      </c>
      <c r="AS78" s="144">
        <v>0</v>
      </c>
      <c r="AT78" s="144">
        <v>0</v>
      </c>
      <c r="AU78" s="144">
        <v>0</v>
      </c>
      <c r="AV78" s="144">
        <v>0</v>
      </c>
      <c r="AW78" s="144">
        <v>0</v>
      </c>
      <c r="AX78" s="144">
        <v>0</v>
      </c>
      <c r="AY78" s="144">
        <v>0</v>
      </c>
      <c r="AZ78" s="144">
        <v>0</v>
      </c>
      <c r="BA78" s="144">
        <v>0</v>
      </c>
      <c r="BB78" s="144">
        <v>0</v>
      </c>
      <c r="BC78" s="144">
        <v>0</v>
      </c>
      <c r="BD78" s="144">
        <v>0</v>
      </c>
      <c r="BE78" s="144">
        <v>0</v>
      </c>
      <c r="BF78" s="144">
        <v>0</v>
      </c>
      <c r="BG78" s="144">
        <v>0</v>
      </c>
      <c r="BH78" s="144">
        <v>0</v>
      </c>
      <c r="BI78" s="144">
        <v>0</v>
      </c>
      <c r="BJ78" s="144">
        <v>0</v>
      </c>
      <c r="BK78" s="144">
        <v>0</v>
      </c>
      <c r="BL78" s="144">
        <v>0</v>
      </c>
      <c r="BM78" s="144">
        <v>0</v>
      </c>
      <c r="BN78" s="144">
        <v>0</v>
      </c>
      <c r="BO78" s="144">
        <v>0</v>
      </c>
      <c r="BP78" s="144">
        <v>0</v>
      </c>
      <c r="BQ78" s="144">
        <v>0</v>
      </c>
      <c r="BR78" s="144">
        <v>0</v>
      </c>
      <c r="BS78" s="144">
        <v>0</v>
      </c>
      <c r="BT78" s="144">
        <v>0</v>
      </c>
      <c r="BU78" s="144">
        <v>0</v>
      </c>
      <c r="BV78" s="144">
        <v>0</v>
      </c>
      <c r="BW78" s="144">
        <v>0</v>
      </c>
      <c r="BX78" s="144">
        <v>0</v>
      </c>
      <c r="BY78" s="144">
        <v>0</v>
      </c>
      <c r="BZ78" s="144">
        <v>0</v>
      </c>
      <c r="CA78" s="144">
        <v>0</v>
      </c>
      <c r="CB78" s="144">
        <v>0</v>
      </c>
      <c r="CC78" s="144">
        <v>0</v>
      </c>
      <c r="CD78" s="144">
        <v>0</v>
      </c>
      <c r="CE78" s="144">
        <v>0</v>
      </c>
      <c r="CF78" s="144">
        <v>0</v>
      </c>
      <c r="CG78" s="144">
        <v>0</v>
      </c>
      <c r="CH78" s="144">
        <v>0</v>
      </c>
      <c r="CI78" s="144">
        <v>0</v>
      </c>
      <c r="CJ78" s="144">
        <v>0</v>
      </c>
      <c r="CK78" s="144">
        <v>0</v>
      </c>
      <c r="CL78" s="144">
        <v>0</v>
      </c>
      <c r="CM78" s="144">
        <v>0</v>
      </c>
      <c r="CN78" s="144">
        <v>0</v>
      </c>
      <c r="CO78" s="144">
        <v>0</v>
      </c>
      <c r="CP78" s="144">
        <v>0</v>
      </c>
      <c r="CQ78" s="143">
        <v>0</v>
      </c>
      <c r="CR78" s="145">
        <v>0</v>
      </c>
      <c r="CS78" s="145">
        <v>0</v>
      </c>
      <c r="CT78" s="145">
        <v>0</v>
      </c>
      <c r="CU78" s="145">
        <v>0</v>
      </c>
      <c r="CV78" s="145">
        <v>0</v>
      </c>
      <c r="CW78" s="145">
        <v>0</v>
      </c>
      <c r="CX78" s="145">
        <v>9368.2999999999993</v>
      </c>
      <c r="CY78" s="145">
        <v>7494.6399999999994</v>
      </c>
      <c r="CZ78" s="145">
        <v>0</v>
      </c>
      <c r="DA78" s="145">
        <v>9368.2999999999993</v>
      </c>
      <c r="DB78" s="145">
        <v>16862.939999999999</v>
      </c>
      <c r="DC78" s="145">
        <v>11241.96</v>
      </c>
      <c r="DD78" s="145">
        <v>37473.199999999997</v>
      </c>
      <c r="DE78" s="145">
        <v>28383.600000000002</v>
      </c>
      <c r="DF78" s="145">
        <v>29724.799999999999</v>
      </c>
      <c r="DG78" s="145">
        <v>7431.2</v>
      </c>
      <c r="DH78" s="145">
        <v>7431.2</v>
      </c>
      <c r="DI78" s="145">
        <v>7431.2</v>
      </c>
      <c r="DJ78" s="145">
        <v>7431.2</v>
      </c>
      <c r="DK78" s="145">
        <v>7431.2</v>
      </c>
      <c r="DL78" s="145">
        <v>7431.2</v>
      </c>
      <c r="DM78" s="145">
        <v>7431.2</v>
      </c>
      <c r="DN78" s="145">
        <v>7431.2</v>
      </c>
      <c r="DO78" s="145">
        <v>0</v>
      </c>
      <c r="DP78" s="145">
        <v>0</v>
      </c>
      <c r="DQ78" s="145">
        <v>0</v>
      </c>
      <c r="DR78" s="145">
        <v>0</v>
      </c>
      <c r="DS78" s="145">
        <v>0</v>
      </c>
      <c r="DT78" s="145">
        <v>0</v>
      </c>
      <c r="DU78" s="145">
        <v>0</v>
      </c>
      <c r="DV78" s="145">
        <v>0</v>
      </c>
      <c r="DW78" s="145">
        <v>0</v>
      </c>
      <c r="DX78" s="145">
        <v>0</v>
      </c>
      <c r="DY78" s="145">
        <v>0</v>
      </c>
      <c r="DZ78" s="145">
        <v>0</v>
      </c>
      <c r="EA78" s="145">
        <v>0</v>
      </c>
      <c r="EB78" s="145">
        <v>0</v>
      </c>
      <c r="EC78" s="145">
        <v>0</v>
      </c>
      <c r="ED78" s="145">
        <v>0</v>
      </c>
      <c r="EE78" s="145">
        <v>0</v>
      </c>
      <c r="EF78" s="145">
        <v>0</v>
      </c>
      <c r="EG78" s="145">
        <v>0</v>
      </c>
      <c r="EH78" s="145">
        <v>0</v>
      </c>
      <c r="EI78" s="145">
        <v>0</v>
      </c>
      <c r="EJ78" s="145">
        <v>0</v>
      </c>
      <c r="EK78" s="145">
        <v>0</v>
      </c>
      <c r="EL78" s="145">
        <v>0</v>
      </c>
      <c r="EM78" s="145">
        <v>0</v>
      </c>
      <c r="EN78" s="145">
        <v>0</v>
      </c>
      <c r="EO78" s="145">
        <v>0</v>
      </c>
      <c r="EP78" s="145">
        <v>0</v>
      </c>
      <c r="EQ78" s="145">
        <v>0</v>
      </c>
      <c r="ER78" s="145">
        <v>0</v>
      </c>
      <c r="ES78" s="145">
        <v>0</v>
      </c>
      <c r="ET78" s="145">
        <v>0</v>
      </c>
      <c r="EU78" s="145">
        <v>0</v>
      </c>
      <c r="EV78" s="145">
        <v>0</v>
      </c>
      <c r="EW78" s="145">
        <v>0</v>
      </c>
      <c r="EX78" s="145">
        <v>0</v>
      </c>
      <c r="EY78" s="145">
        <v>0</v>
      </c>
      <c r="EZ78" s="145">
        <v>0</v>
      </c>
      <c r="FA78" s="145">
        <v>0</v>
      </c>
      <c r="FB78" s="145">
        <v>0</v>
      </c>
      <c r="FC78" s="145">
        <v>0</v>
      </c>
      <c r="FD78" s="145">
        <v>0</v>
      </c>
      <c r="FE78" s="145">
        <v>0</v>
      </c>
      <c r="FF78" s="145">
        <v>0</v>
      </c>
      <c r="FG78" s="145">
        <v>0</v>
      </c>
      <c r="FH78" s="145">
        <v>0</v>
      </c>
      <c r="FI78" s="145">
        <v>0</v>
      </c>
      <c r="FJ78" s="145">
        <v>0</v>
      </c>
      <c r="FK78" s="145">
        <v>0</v>
      </c>
      <c r="FL78" s="145">
        <v>0</v>
      </c>
      <c r="FM78" s="145">
        <v>0</v>
      </c>
      <c r="FN78" s="145">
        <v>0</v>
      </c>
      <c r="FO78" s="145">
        <v>0</v>
      </c>
      <c r="FP78" s="145">
        <v>0</v>
      </c>
      <c r="FQ78" s="145">
        <v>0</v>
      </c>
      <c r="FR78" s="145">
        <v>0</v>
      </c>
      <c r="FS78" s="145">
        <v>0</v>
      </c>
      <c r="FT78" s="145">
        <v>0</v>
      </c>
      <c r="FU78" s="145">
        <v>0</v>
      </c>
      <c r="FV78" s="145">
        <v>0</v>
      </c>
      <c r="FW78" s="145">
        <v>0</v>
      </c>
      <c r="FX78" s="143"/>
      <c r="FY78" s="146" t="str">
        <f>_xlfn.XLOOKUP($E78,'Key assumptions'!$B$112:$B$120,'Key assumptions'!$C$112:$C$120,0)</f>
        <v>Nominal</v>
      </c>
      <c r="FZ78" s="146" cm="1">
        <f t="array" ref="FZ78">IF($FY78=0,0,_xlfn.IFS($FY78='Key assumptions'!$C$120,_xlfn.XLOOKUP(LEFT(FZ$7,6),Inflation_Year,Inflation_NominaltoReal),TRUE,_xlfn.XLOOKUP($FY78,Inflation_Year,NominaltoReal)))</f>
        <v>1.0197075870962191</v>
      </c>
      <c r="GA78" s="146" cm="1">
        <f t="array" ref="GA78">IF($FY78=0,0,_xlfn.IFS($FY78='Key assumptions'!$C$120,_xlfn.XLOOKUP(LEFT(GA$7,6),Inflation_Year,Inflation_NominaltoReal),TRUE,_xlfn.XLOOKUP($FY78,Inflation_Year,NominaltoReal)))</f>
        <v>0.98700804022984445</v>
      </c>
      <c r="GB78" s="146" cm="1">
        <f t="array" ref="GB78">IF($FY78=0,0,_xlfn.IFS($FY78='Key assumptions'!$C$120,_xlfn.XLOOKUP(LEFT(GB$7,6),Inflation_Year,Inflation_NominaltoReal),TRUE,_xlfn.XLOOKUP($FY78,Inflation_Year,NominaltoReal)))</f>
        <v>0.96152830081941731</v>
      </c>
      <c r="GC78" s="146" cm="1">
        <f t="array" ref="GC78">IF($FY78=0,0,_xlfn.IFS($FY78='Key assumptions'!$C$120,_xlfn.XLOOKUP(LEFT(GC$7,6),Inflation_Year,Inflation_NominaltoReal),TRUE,_xlfn.XLOOKUP($FY78,Inflation_Year,NominaltoReal)))</f>
        <v>0.93670632415656829</v>
      </c>
      <c r="GD78" s="146" cm="1">
        <f t="array" ref="GD78">IF($FY78=0,0,_xlfn.IFS($FY78='Key assumptions'!$C$120,_xlfn.XLOOKUP(LEFT(GD$7,6),Inflation_Year,Inflation_NominaltoReal),TRUE,_xlfn.XLOOKUP($FY78,Inflation_Year,NominaltoReal)))</f>
        <v>0.91252513001143176</v>
      </c>
      <c r="GE78" s="146" cm="1">
        <f t="array" ref="GE78">IF($FY78=0,0,_xlfn.IFS($FY78='Key assumptions'!$C$120,_xlfn.XLOOKUP(LEFT(GE$7,6),Inflation_Year,Inflation_NominaltoReal),TRUE,_xlfn.XLOOKUP($FY78,Inflation_Year,NominaltoReal)))</f>
        <v>0.88896817650095872</v>
      </c>
      <c r="GF78" s="146" cm="1">
        <f t="array" ref="GF78">IF($FY78=0,0,_xlfn.IFS($FY78='Key assumptions'!$C$120,_xlfn.XLOOKUP(LEFT(GF$7,6),Inflation_Year,Inflation_NominaltoReal),TRUE,_xlfn.XLOOKUP($FY78,Inflation_Year,NominaltoReal)))</f>
        <v>0.86601934877293718</v>
      </c>
      <c r="GG78" s="143"/>
      <c r="GH78" s="145" cm="1">
        <f t="array" ref="GH78">SUMPRODUCT(--($CR$7:$FW$7&gt;=GH$5),--($CR$7:$FW$7&lt;=GH$6),$CR78:$FW78)*FZ78</f>
        <v>104719.48248139847</v>
      </c>
      <c r="GI78" s="145" cm="1">
        <f t="array" ref="GI78">SUMPRODUCT(--($CR$7:$FW$7&gt;=GI$5),--($CR$7:$FW$7&lt;=GI$6),$CR78:$FW78)*GA78</f>
        <v>14669.30829711204</v>
      </c>
      <c r="GJ78" s="145" cm="1">
        <f t="array" ref="GJ78">SUMPRODUCT(--($CR$7:$FW$7&gt;=GJ$5),--($CR$7:$FW$7&lt;=GJ$6),$CR78:$FW78)*GB78</f>
        <v>0</v>
      </c>
      <c r="GK78" s="145" cm="1">
        <f t="array" ref="GK78">SUMPRODUCT(--($CR$7:$FW$7&gt;=GK$5),--($CR$7:$FW$7&lt;=GK$6),$CR78:$FW78)*GC78</f>
        <v>0</v>
      </c>
      <c r="GL78" s="145" cm="1">
        <f t="array" ref="GL78">SUMPRODUCT(--($CR$7:$FW$7&gt;=GL$5),--($CR$7:$FW$7&lt;=GL$6),$CR78:$FW78)*GD78</f>
        <v>0</v>
      </c>
      <c r="GM78" s="145" cm="1">
        <f t="array" ref="GM78">SUMPRODUCT(--($CR$7:$FW$7&gt;=GM$5),--($CR$7:$FW$7&lt;=GM$6),$CR78:$FW78)*GE78</f>
        <v>0</v>
      </c>
      <c r="GN78" s="145" cm="1">
        <f t="array" ref="GN78">SUMPRODUCT(--($CR$7:$FW$7&gt;=GN$5),--($CR$7:$FW$7&lt;=GN$6),$CR78:$FW78)*GF78</f>
        <v>0</v>
      </c>
      <c r="GO78" s="145">
        <f t="shared" si="23"/>
        <v>119388.79077851052</v>
      </c>
      <c r="GP78" s="87"/>
      <c r="GQ78" s="89"/>
      <c r="GR78" s="145" cm="1">
        <f t="array" ref="GR78">SUMPRODUCT(--($CR$7:$FW$7&gt;=GR$5),--($CR$7:$FW$7&lt;=GR$6),$CR78:$FW78)</f>
        <v>80402</v>
      </c>
      <c r="GS78" s="89"/>
      <c r="GT78" s="214" cm="1">
        <f t="array" ref="GT78">--AND(MIN(IF($K78:$CP78&lt;&gt;0,$K$7:$CP$7))&gt;=GT$5,MIN(IF($K78:$CP78&lt;&gt;0,$K$7:$CP$7))&lt;=GT$6)</f>
        <v>0</v>
      </c>
      <c r="GU78" s="214" cm="1">
        <f t="array" ref="GU78">--AND(MIN(IF($K78:$CP78&lt;&gt;0,$K$7:$CP$7))&gt;=GU$5,MIN(IF($K78:$CP78&lt;&gt;0,$K$7:$CP$7))&lt;=GU$6)</f>
        <v>0</v>
      </c>
      <c r="GV78" s="214" cm="1">
        <f t="array" ref="GV78">--AND(MIN(IF($K78:$CP78&lt;&gt;0,$K$7:$CP$7))&gt;=GV$5,MIN(IF($K78:$CP78&lt;&gt;0,$K$7:$CP$7))&lt;=GV$6)</f>
        <v>0</v>
      </c>
      <c r="GW78" s="214" cm="1">
        <f t="array" ref="GW78">--AND(MIN(IF($K78:$CP78&lt;&gt;0,$K$7:$CP$7))&gt;=GW$5,MIN(IF($K78:$CP78&lt;&gt;0,$K$7:$CP$7))&lt;=GW$6)</f>
        <v>0</v>
      </c>
      <c r="GX78" s="214" cm="1">
        <f t="array" ref="GX78">--AND(MIN(IF($K78:$CP78&lt;&gt;0,$K$7:$CP$7))&gt;=GX$5,MIN(IF($K78:$CP78&lt;&gt;0,$K$7:$CP$7))&lt;=GX$6)</f>
        <v>0</v>
      </c>
      <c r="GY78" s="214" cm="1">
        <f t="array" ref="GY78">--AND(MIN(IF($K78:$CP78&lt;&gt;0,$K$7:$CP$7))&gt;=GY$5,MIN(IF($K78:$CP78&lt;&gt;0,$K$7:$CP$7))&lt;=GY$6)</f>
        <v>0</v>
      </c>
      <c r="GZ78" s="214" cm="1">
        <f t="array" ref="GZ78">--AND(MIN(IF($K78:$CP78&lt;&gt;0,$K$7:$CP$7))&gt;=GZ$5,MIN(IF($K78:$CP78&lt;&gt;0,$K$7:$CP$7))&lt;=GZ$6)</f>
        <v>0</v>
      </c>
      <c r="HA78" s="214">
        <f t="shared" si="24"/>
        <v>0</v>
      </c>
      <c r="HC78" s="214" cm="1">
        <f t="array" ref="HC78">--AND(MIN(IF($K78:$CP78&lt;&gt;0,$K$7:$CP$7))&gt;=HC$5,MIN(IF($K78:$CP78&lt;&gt;0,$K$7:$CP$7))&lt;=HC$6)</f>
        <v>0</v>
      </c>
      <c r="HE78" s="147" t="str">
        <f t="shared" si="43"/>
        <v>No</v>
      </c>
      <c r="HF78" s="147" t="str">
        <f t="shared" si="44"/>
        <v>No</v>
      </c>
      <c r="HG78" s="147">
        <f>IF($HF78="Yes",0,$H78*avg_hrs*12*'Key assumptions'!$D$87)</f>
        <v>379685.27609743091</v>
      </c>
      <c r="HH78" s="147">
        <f>IF(HE78="Yes",'Key assumptions'!$D$84*HG78,0)</f>
        <v>0</v>
      </c>
      <c r="HI78" s="144">
        <f>IFERROR(AVERAGEIFS($K78:$CP78,$K$7:$CP$7,"&gt;="&amp;'Key assumptions'!$D$24,$K$7:$CP$7,"&lt;="&amp;'Key assumptions'!$D$25),0)</f>
        <v>9.1905901116427421E-2</v>
      </c>
      <c r="HJ78" s="148">
        <f t="shared" si="25"/>
        <v>0</v>
      </c>
      <c r="HK78" s="148">
        <f t="shared" si="26"/>
        <v>0</v>
      </c>
      <c r="HL78" s="148">
        <f t="shared" si="27"/>
        <v>0</v>
      </c>
      <c r="HM78" s="148">
        <f t="shared" si="28"/>
        <v>0</v>
      </c>
      <c r="HN78" s="148">
        <f t="shared" si="29"/>
        <v>0</v>
      </c>
      <c r="HO78" s="148">
        <f t="shared" si="30"/>
        <v>0</v>
      </c>
      <c r="HP78" s="148">
        <f t="shared" si="31"/>
        <v>0</v>
      </c>
      <c r="HQ78" s="148">
        <f t="shared" si="32"/>
        <v>0</v>
      </c>
      <c r="HR78" s="147">
        <f t="shared" si="33"/>
        <v>0</v>
      </c>
      <c r="HS78" s="90"/>
      <c r="HU78" s="147">
        <f>$HJ78*HC78/(1+'Key assumptions'!G100)^0.75</f>
        <v>0</v>
      </c>
      <c r="HW78" s="216">
        <f t="shared" si="34"/>
        <v>0</v>
      </c>
      <c r="HX78" s="216">
        <f t="shared" si="35"/>
        <v>0</v>
      </c>
      <c r="HY78" s="216">
        <f t="shared" si="36"/>
        <v>0</v>
      </c>
      <c r="HZ78" s="216">
        <f t="shared" si="37"/>
        <v>0</v>
      </c>
      <c r="IA78" s="216">
        <f t="shared" si="38"/>
        <v>0</v>
      </c>
      <c r="IB78" s="216">
        <f t="shared" si="39"/>
        <v>0</v>
      </c>
      <c r="IC78" s="216">
        <f t="shared" si="40"/>
        <v>0</v>
      </c>
      <c r="ID78" s="216">
        <f t="shared" si="41"/>
        <v>0</v>
      </c>
      <c r="IF78" s="216">
        <f t="shared" si="42"/>
        <v>0</v>
      </c>
    </row>
    <row r="79" spans="2:240" x14ac:dyDescent="0.2">
      <c r="B79" s="141" t="str">
        <v>Regulatory Approvals</v>
      </c>
      <c r="C79" s="141" t="str">
        <v>Group Manager (Regulatory &amp; Policy)</v>
      </c>
      <c r="D79" s="141" t="str">
        <v>Internal Labour</v>
      </c>
      <c r="E79" s="141" t="str">
        <v>$ Nominal</v>
      </c>
      <c r="F79" s="141" t="str">
        <v>Existing</v>
      </c>
      <c r="G79" s="141" t="str">
        <v>Normal time</v>
      </c>
      <c r="H79" s="142">
        <v>513.16999999999996</v>
      </c>
      <c r="I79" s="126">
        <v>34872.600000000006</v>
      </c>
      <c r="J79" s="143">
        <v>0</v>
      </c>
      <c r="K79" s="144">
        <v>0</v>
      </c>
      <c r="L79" s="144">
        <v>0</v>
      </c>
      <c r="M79" s="144">
        <v>0</v>
      </c>
      <c r="N79" s="144">
        <v>0</v>
      </c>
      <c r="O79" s="144">
        <v>0</v>
      </c>
      <c r="P79" s="144">
        <v>0</v>
      </c>
      <c r="Q79" s="144">
        <v>0</v>
      </c>
      <c r="R79" s="144">
        <v>0</v>
      </c>
      <c r="S79" s="144">
        <v>0</v>
      </c>
      <c r="T79" s="144">
        <v>0</v>
      </c>
      <c r="U79" s="144">
        <v>0</v>
      </c>
      <c r="V79" s="144">
        <v>0</v>
      </c>
      <c r="W79" s="144">
        <v>0</v>
      </c>
      <c r="X79" s="144">
        <v>0.1</v>
      </c>
      <c r="Y79" s="144">
        <v>0.1</v>
      </c>
      <c r="Z79" s="144">
        <v>0.13333333333333333</v>
      </c>
      <c r="AA79" s="144">
        <v>9.2105263157894732E-2</v>
      </c>
      <c r="AB79" s="144">
        <v>9.2105263157894732E-2</v>
      </c>
      <c r="AC79" s="144">
        <v>0</v>
      </c>
      <c r="AD79" s="144">
        <v>0</v>
      </c>
      <c r="AE79" s="144">
        <v>0</v>
      </c>
      <c r="AF79" s="144">
        <v>0</v>
      </c>
      <c r="AG79" s="144">
        <v>0</v>
      </c>
      <c r="AH79" s="144">
        <v>0</v>
      </c>
      <c r="AI79" s="144">
        <v>0</v>
      </c>
      <c r="AJ79" s="144">
        <v>0</v>
      </c>
      <c r="AK79" s="144">
        <v>0</v>
      </c>
      <c r="AL79" s="144">
        <v>0</v>
      </c>
      <c r="AM79" s="144">
        <v>0</v>
      </c>
      <c r="AN79" s="144">
        <v>0</v>
      </c>
      <c r="AO79" s="144">
        <v>0</v>
      </c>
      <c r="AP79" s="144">
        <v>0</v>
      </c>
      <c r="AQ79" s="144">
        <v>0</v>
      </c>
      <c r="AR79" s="144">
        <v>0</v>
      </c>
      <c r="AS79" s="144">
        <v>0</v>
      </c>
      <c r="AT79" s="144">
        <v>0</v>
      </c>
      <c r="AU79" s="144">
        <v>0</v>
      </c>
      <c r="AV79" s="144">
        <v>0</v>
      </c>
      <c r="AW79" s="144">
        <v>0</v>
      </c>
      <c r="AX79" s="144">
        <v>0</v>
      </c>
      <c r="AY79" s="144">
        <v>0</v>
      </c>
      <c r="AZ79" s="144">
        <v>0</v>
      </c>
      <c r="BA79" s="144">
        <v>0</v>
      </c>
      <c r="BB79" s="144">
        <v>0</v>
      </c>
      <c r="BC79" s="144">
        <v>0</v>
      </c>
      <c r="BD79" s="144">
        <v>0</v>
      </c>
      <c r="BE79" s="144">
        <v>0</v>
      </c>
      <c r="BF79" s="144">
        <v>0</v>
      </c>
      <c r="BG79" s="144">
        <v>0</v>
      </c>
      <c r="BH79" s="144">
        <v>0</v>
      </c>
      <c r="BI79" s="144">
        <v>0</v>
      </c>
      <c r="BJ79" s="144">
        <v>0</v>
      </c>
      <c r="BK79" s="144">
        <v>0</v>
      </c>
      <c r="BL79" s="144">
        <v>0</v>
      </c>
      <c r="BM79" s="144">
        <v>0</v>
      </c>
      <c r="BN79" s="144">
        <v>0</v>
      </c>
      <c r="BO79" s="144">
        <v>0</v>
      </c>
      <c r="BP79" s="144">
        <v>0</v>
      </c>
      <c r="BQ79" s="144">
        <v>0</v>
      </c>
      <c r="BR79" s="144">
        <v>0</v>
      </c>
      <c r="BS79" s="144">
        <v>0</v>
      </c>
      <c r="BT79" s="144">
        <v>0</v>
      </c>
      <c r="BU79" s="144">
        <v>0</v>
      </c>
      <c r="BV79" s="144">
        <v>0</v>
      </c>
      <c r="BW79" s="144">
        <v>0</v>
      </c>
      <c r="BX79" s="144">
        <v>0</v>
      </c>
      <c r="BY79" s="144">
        <v>0</v>
      </c>
      <c r="BZ79" s="144">
        <v>0</v>
      </c>
      <c r="CA79" s="144">
        <v>0</v>
      </c>
      <c r="CB79" s="144">
        <v>0</v>
      </c>
      <c r="CC79" s="144">
        <v>0</v>
      </c>
      <c r="CD79" s="144">
        <v>0</v>
      </c>
      <c r="CE79" s="144">
        <v>0</v>
      </c>
      <c r="CF79" s="144">
        <v>0</v>
      </c>
      <c r="CG79" s="144">
        <v>0</v>
      </c>
      <c r="CH79" s="144">
        <v>0</v>
      </c>
      <c r="CI79" s="144">
        <v>0</v>
      </c>
      <c r="CJ79" s="144">
        <v>0</v>
      </c>
      <c r="CK79" s="144">
        <v>0</v>
      </c>
      <c r="CL79" s="144">
        <v>0</v>
      </c>
      <c r="CM79" s="144">
        <v>0</v>
      </c>
      <c r="CN79" s="144">
        <v>0</v>
      </c>
      <c r="CO79" s="144">
        <v>0</v>
      </c>
      <c r="CP79" s="144">
        <v>0</v>
      </c>
      <c r="CQ79" s="143">
        <v>0</v>
      </c>
      <c r="CR79" s="145">
        <v>0</v>
      </c>
      <c r="CS79" s="145">
        <v>0</v>
      </c>
      <c r="CT79" s="145">
        <v>0</v>
      </c>
      <c r="CU79" s="145">
        <v>0</v>
      </c>
      <c r="CV79" s="145">
        <v>0</v>
      </c>
      <c r="CW79" s="145">
        <v>0</v>
      </c>
      <c r="CX79" s="145">
        <v>0</v>
      </c>
      <c r="CY79" s="145">
        <v>0</v>
      </c>
      <c r="CZ79" s="145">
        <v>0</v>
      </c>
      <c r="DA79" s="145">
        <v>0</v>
      </c>
      <c r="DB79" s="145">
        <v>0</v>
      </c>
      <c r="DC79" s="145">
        <v>0</v>
      </c>
      <c r="DD79" s="145">
        <v>0</v>
      </c>
      <c r="DE79" s="145">
        <v>6974.52</v>
      </c>
      <c r="DF79" s="145">
        <v>6974.52</v>
      </c>
      <c r="DG79" s="145">
        <v>6974.52</v>
      </c>
      <c r="DH79" s="145">
        <v>6974.52</v>
      </c>
      <c r="DI79" s="145">
        <v>6974.52</v>
      </c>
      <c r="DJ79" s="145">
        <v>0</v>
      </c>
      <c r="DK79" s="145">
        <v>0</v>
      </c>
      <c r="DL79" s="145">
        <v>0</v>
      </c>
      <c r="DM79" s="145">
        <v>0</v>
      </c>
      <c r="DN79" s="145">
        <v>0</v>
      </c>
      <c r="DO79" s="145">
        <v>0</v>
      </c>
      <c r="DP79" s="145">
        <v>0</v>
      </c>
      <c r="DQ79" s="145">
        <v>0</v>
      </c>
      <c r="DR79" s="145">
        <v>0</v>
      </c>
      <c r="DS79" s="145">
        <v>0</v>
      </c>
      <c r="DT79" s="145">
        <v>0</v>
      </c>
      <c r="DU79" s="145">
        <v>0</v>
      </c>
      <c r="DV79" s="145">
        <v>0</v>
      </c>
      <c r="DW79" s="145">
        <v>0</v>
      </c>
      <c r="DX79" s="145">
        <v>0</v>
      </c>
      <c r="DY79" s="145">
        <v>0</v>
      </c>
      <c r="DZ79" s="145">
        <v>0</v>
      </c>
      <c r="EA79" s="145">
        <v>0</v>
      </c>
      <c r="EB79" s="145">
        <v>0</v>
      </c>
      <c r="EC79" s="145">
        <v>0</v>
      </c>
      <c r="ED79" s="145">
        <v>0</v>
      </c>
      <c r="EE79" s="145">
        <v>0</v>
      </c>
      <c r="EF79" s="145">
        <v>0</v>
      </c>
      <c r="EG79" s="145">
        <v>0</v>
      </c>
      <c r="EH79" s="145">
        <v>0</v>
      </c>
      <c r="EI79" s="145">
        <v>0</v>
      </c>
      <c r="EJ79" s="145">
        <v>0</v>
      </c>
      <c r="EK79" s="145">
        <v>0</v>
      </c>
      <c r="EL79" s="145">
        <v>0</v>
      </c>
      <c r="EM79" s="145">
        <v>0</v>
      </c>
      <c r="EN79" s="145">
        <v>0</v>
      </c>
      <c r="EO79" s="145">
        <v>0</v>
      </c>
      <c r="EP79" s="145">
        <v>0</v>
      </c>
      <c r="EQ79" s="145">
        <v>0</v>
      </c>
      <c r="ER79" s="145">
        <v>0</v>
      </c>
      <c r="ES79" s="145">
        <v>0</v>
      </c>
      <c r="ET79" s="145">
        <v>0</v>
      </c>
      <c r="EU79" s="145">
        <v>0</v>
      </c>
      <c r="EV79" s="145">
        <v>0</v>
      </c>
      <c r="EW79" s="145">
        <v>0</v>
      </c>
      <c r="EX79" s="145">
        <v>0</v>
      </c>
      <c r="EY79" s="145">
        <v>0</v>
      </c>
      <c r="EZ79" s="145">
        <v>0</v>
      </c>
      <c r="FA79" s="145">
        <v>0</v>
      </c>
      <c r="FB79" s="145">
        <v>0</v>
      </c>
      <c r="FC79" s="145">
        <v>0</v>
      </c>
      <c r="FD79" s="145">
        <v>0</v>
      </c>
      <c r="FE79" s="145">
        <v>0</v>
      </c>
      <c r="FF79" s="145">
        <v>0</v>
      </c>
      <c r="FG79" s="145">
        <v>0</v>
      </c>
      <c r="FH79" s="145">
        <v>0</v>
      </c>
      <c r="FI79" s="145">
        <v>0</v>
      </c>
      <c r="FJ79" s="145">
        <v>0</v>
      </c>
      <c r="FK79" s="145">
        <v>0</v>
      </c>
      <c r="FL79" s="145">
        <v>0</v>
      </c>
      <c r="FM79" s="145">
        <v>0</v>
      </c>
      <c r="FN79" s="145">
        <v>0</v>
      </c>
      <c r="FO79" s="145">
        <v>0</v>
      </c>
      <c r="FP79" s="145">
        <v>0</v>
      </c>
      <c r="FQ79" s="145">
        <v>0</v>
      </c>
      <c r="FR79" s="145">
        <v>0</v>
      </c>
      <c r="FS79" s="145">
        <v>0</v>
      </c>
      <c r="FT79" s="145">
        <v>0</v>
      </c>
      <c r="FU79" s="145">
        <v>0</v>
      </c>
      <c r="FV79" s="145">
        <v>0</v>
      </c>
      <c r="FW79" s="145">
        <v>0</v>
      </c>
      <c r="FX79" s="143"/>
      <c r="FY79" s="146" t="str">
        <f>_xlfn.XLOOKUP($E79,'Key assumptions'!$B$112:$B$120,'Key assumptions'!$C$112:$C$120,0)</f>
        <v>Nominal</v>
      </c>
      <c r="FZ79" s="146" cm="1">
        <f t="array" ref="FZ79">IF($FY79=0,0,_xlfn.IFS($FY79='Key assumptions'!$C$120,_xlfn.XLOOKUP(LEFT(FZ$7,6),Inflation_Year,Inflation_NominaltoReal),TRUE,_xlfn.XLOOKUP($FY79,Inflation_Year,NominaltoReal)))</f>
        <v>1.0197075870962191</v>
      </c>
      <c r="GA79" s="146" cm="1">
        <f t="array" ref="GA79">IF($FY79=0,0,_xlfn.IFS($FY79='Key assumptions'!$C$120,_xlfn.XLOOKUP(LEFT(GA$7,6),Inflation_Year,Inflation_NominaltoReal),TRUE,_xlfn.XLOOKUP($FY79,Inflation_Year,NominaltoReal)))</f>
        <v>0.98700804022984445</v>
      </c>
      <c r="GB79" s="146" cm="1">
        <f t="array" ref="GB79">IF($FY79=0,0,_xlfn.IFS($FY79='Key assumptions'!$C$120,_xlfn.XLOOKUP(LEFT(GB$7,6),Inflation_Year,Inflation_NominaltoReal),TRUE,_xlfn.XLOOKUP($FY79,Inflation_Year,NominaltoReal)))</f>
        <v>0.96152830081941731</v>
      </c>
      <c r="GC79" s="146" cm="1">
        <f t="array" ref="GC79">IF($FY79=0,0,_xlfn.IFS($FY79='Key assumptions'!$C$120,_xlfn.XLOOKUP(LEFT(GC$7,6),Inflation_Year,Inflation_NominaltoReal),TRUE,_xlfn.XLOOKUP($FY79,Inflation_Year,NominaltoReal)))</f>
        <v>0.93670632415656829</v>
      </c>
      <c r="GD79" s="146" cm="1">
        <f t="array" ref="GD79">IF($FY79=0,0,_xlfn.IFS($FY79='Key assumptions'!$C$120,_xlfn.XLOOKUP(LEFT(GD$7,6),Inflation_Year,Inflation_NominaltoReal),TRUE,_xlfn.XLOOKUP($FY79,Inflation_Year,NominaltoReal)))</f>
        <v>0.91252513001143176</v>
      </c>
      <c r="GE79" s="146" cm="1">
        <f t="array" ref="GE79">IF($FY79=0,0,_xlfn.IFS($FY79='Key assumptions'!$C$120,_xlfn.XLOOKUP(LEFT(GE$7,6),Inflation_Year,Inflation_NominaltoReal),TRUE,_xlfn.XLOOKUP($FY79,Inflation_Year,NominaltoReal)))</f>
        <v>0.88896817650095872</v>
      </c>
      <c r="GF79" s="146" cm="1">
        <f t="array" ref="GF79">IF($FY79=0,0,_xlfn.IFS($FY79='Key assumptions'!$C$120,_xlfn.XLOOKUP(LEFT(GF$7,6),Inflation_Year,Inflation_NominaltoReal),TRUE,_xlfn.XLOOKUP($FY79,Inflation_Year,NominaltoReal)))</f>
        <v>0.86601934877293718</v>
      </c>
      <c r="GG79" s="143"/>
      <c r="GH79" s="145" cm="1">
        <f t="array" ref="GH79">SUMPRODUCT(--($CR$7:$FW$7&gt;=GH$5),--($CR$7:$FW$7&lt;=GH$6),$CR79:$FW79)*FZ79</f>
        <v>35559.854801771617</v>
      </c>
      <c r="GI79" s="145" cm="1">
        <f t="array" ref="GI79">SUMPRODUCT(--($CR$7:$FW$7&gt;=GI$5),--($CR$7:$FW$7&lt;=GI$6),$CR79:$FW79)*GA79</f>
        <v>0</v>
      </c>
      <c r="GJ79" s="145" cm="1">
        <f t="array" ref="GJ79">SUMPRODUCT(--($CR$7:$FW$7&gt;=GJ$5),--($CR$7:$FW$7&lt;=GJ$6),$CR79:$FW79)*GB79</f>
        <v>0</v>
      </c>
      <c r="GK79" s="145" cm="1">
        <f t="array" ref="GK79">SUMPRODUCT(--($CR$7:$FW$7&gt;=GK$5),--($CR$7:$FW$7&lt;=GK$6),$CR79:$FW79)*GC79</f>
        <v>0</v>
      </c>
      <c r="GL79" s="145" cm="1">
        <f t="array" ref="GL79">SUMPRODUCT(--($CR$7:$FW$7&gt;=GL$5),--($CR$7:$FW$7&lt;=GL$6),$CR79:$FW79)*GD79</f>
        <v>0</v>
      </c>
      <c r="GM79" s="145" cm="1">
        <f t="array" ref="GM79">SUMPRODUCT(--($CR$7:$FW$7&gt;=GM$5),--($CR$7:$FW$7&lt;=GM$6),$CR79:$FW79)*GE79</f>
        <v>0</v>
      </c>
      <c r="GN79" s="145" cm="1">
        <f t="array" ref="GN79">SUMPRODUCT(--($CR$7:$FW$7&gt;=GN$5),--($CR$7:$FW$7&lt;=GN$6),$CR79:$FW79)*GF79</f>
        <v>0</v>
      </c>
      <c r="GO79" s="145">
        <f t="shared" si="23"/>
        <v>35559.854801771617</v>
      </c>
      <c r="GP79" s="87"/>
      <c r="GQ79" s="89"/>
      <c r="GR79" s="145" cm="1">
        <f t="array" ref="GR79">SUMPRODUCT(--($CR$7:$FW$7&gt;=GR$5),--($CR$7:$FW$7&lt;=GR$6),$CR79:$FW79)</f>
        <v>34872.600000000006</v>
      </c>
      <c r="GS79" s="89"/>
      <c r="GT79" s="214" cm="1">
        <f t="array" ref="GT79">--AND(MIN(IF($K79:$CP79&lt;&gt;0,$K$7:$CP$7))&gt;=GT$5,MIN(IF($K79:$CP79&lt;&gt;0,$K$7:$CP$7))&lt;=GT$6)</f>
        <v>1</v>
      </c>
      <c r="GU79" s="214" cm="1">
        <f t="array" ref="GU79">--AND(MIN(IF($K79:$CP79&lt;&gt;0,$K$7:$CP$7))&gt;=GU$5,MIN(IF($K79:$CP79&lt;&gt;0,$K$7:$CP$7))&lt;=GU$6)</f>
        <v>0</v>
      </c>
      <c r="GV79" s="214" cm="1">
        <f t="array" ref="GV79">--AND(MIN(IF($K79:$CP79&lt;&gt;0,$K$7:$CP$7))&gt;=GV$5,MIN(IF($K79:$CP79&lt;&gt;0,$K$7:$CP$7))&lt;=GV$6)</f>
        <v>0</v>
      </c>
      <c r="GW79" s="214" cm="1">
        <f t="array" ref="GW79">--AND(MIN(IF($K79:$CP79&lt;&gt;0,$K$7:$CP$7))&gt;=GW$5,MIN(IF($K79:$CP79&lt;&gt;0,$K$7:$CP$7))&lt;=GW$6)</f>
        <v>0</v>
      </c>
      <c r="GX79" s="214" cm="1">
        <f t="array" ref="GX79">--AND(MIN(IF($K79:$CP79&lt;&gt;0,$K$7:$CP$7))&gt;=GX$5,MIN(IF($K79:$CP79&lt;&gt;0,$K$7:$CP$7))&lt;=GX$6)</f>
        <v>0</v>
      </c>
      <c r="GY79" s="214" cm="1">
        <f t="array" ref="GY79">--AND(MIN(IF($K79:$CP79&lt;&gt;0,$K$7:$CP$7))&gt;=GY$5,MIN(IF($K79:$CP79&lt;&gt;0,$K$7:$CP$7))&lt;=GY$6)</f>
        <v>0</v>
      </c>
      <c r="GZ79" s="214" cm="1">
        <f t="array" ref="GZ79">--AND(MIN(IF($K79:$CP79&lt;&gt;0,$K$7:$CP$7))&gt;=GZ$5,MIN(IF($K79:$CP79&lt;&gt;0,$K$7:$CP$7))&lt;=GZ$6)</f>
        <v>0</v>
      </c>
      <c r="HA79" s="214">
        <f t="shared" si="24"/>
        <v>1</v>
      </c>
      <c r="HC79" s="214" cm="1">
        <f t="array" ref="HC79">--AND(MIN(IF($K79:$CP79&lt;&gt;0,$K$7:$CP$7))&gt;=HC$5,MIN(IF($K79:$CP79&lt;&gt;0,$K$7:$CP$7))&lt;=HC$6)</f>
        <v>1</v>
      </c>
      <c r="HE79" s="147" t="str">
        <f t="shared" si="43"/>
        <v>No</v>
      </c>
      <c r="HF79" s="147" t="str">
        <f t="shared" si="44"/>
        <v>No</v>
      </c>
      <c r="HG79" s="147">
        <f>IF($HF79="Yes",0,$H79*avg_hrs*12*'Key assumptions'!$D$87)</f>
        <v>917686.00760605978</v>
      </c>
      <c r="HH79" s="147">
        <f>IF(HE79="Yes",'Key assumptions'!$D$84*HG79,0)</f>
        <v>0</v>
      </c>
      <c r="HI79" s="144">
        <f>IFERROR(AVERAGEIFS($K79:$CP79,$K$7:$CP$7,"&gt;="&amp;'Key assumptions'!$D$24,$K$7:$CP$7,"&lt;="&amp;'Key assumptions'!$D$25),0)</f>
        <v>1.1762360446570974E-2</v>
      </c>
      <c r="HJ79" s="148">
        <f t="shared" si="25"/>
        <v>0</v>
      </c>
      <c r="HK79" s="148">
        <f t="shared" si="26"/>
        <v>0</v>
      </c>
      <c r="HL79" s="148">
        <f t="shared" si="27"/>
        <v>0</v>
      </c>
      <c r="HM79" s="148">
        <f t="shared" si="28"/>
        <v>0</v>
      </c>
      <c r="HN79" s="148">
        <f t="shared" si="29"/>
        <v>0</v>
      </c>
      <c r="HO79" s="148">
        <f t="shared" si="30"/>
        <v>0</v>
      </c>
      <c r="HP79" s="148">
        <f t="shared" si="31"/>
        <v>0</v>
      </c>
      <c r="HQ79" s="148">
        <f t="shared" si="32"/>
        <v>0</v>
      </c>
      <c r="HR79" s="147">
        <f t="shared" si="33"/>
        <v>0</v>
      </c>
      <c r="HS79" s="89"/>
      <c r="HU79" s="147">
        <f>$HJ79*HC79/(1+'Key assumptions'!G101)^0.75</f>
        <v>0</v>
      </c>
      <c r="HW79" s="216">
        <f t="shared" si="34"/>
        <v>1.1762360446570974E-2</v>
      </c>
      <c r="HX79" s="216">
        <f t="shared" si="35"/>
        <v>0</v>
      </c>
      <c r="HY79" s="216">
        <f t="shared" si="36"/>
        <v>0</v>
      </c>
      <c r="HZ79" s="216">
        <f t="shared" si="37"/>
        <v>0</v>
      </c>
      <c r="IA79" s="216">
        <f t="shared" si="38"/>
        <v>0</v>
      </c>
      <c r="IB79" s="216">
        <f t="shared" si="39"/>
        <v>0</v>
      </c>
      <c r="IC79" s="216">
        <f t="shared" si="40"/>
        <v>0</v>
      </c>
      <c r="ID79" s="216">
        <f t="shared" si="41"/>
        <v>1.1762360446570974E-2</v>
      </c>
      <c r="IF79" s="216">
        <f t="shared" si="42"/>
        <v>1.1762360446570974E-2</v>
      </c>
    </row>
    <row r="80" spans="2:240" x14ac:dyDescent="0.2">
      <c r="B80" s="141" t="str">
        <v>Other Support &amp; Corporate Roles</v>
      </c>
      <c r="C80" s="141" t="str">
        <v>Legal Gov &amp; Risk - Senior (Legal Affairs)</v>
      </c>
      <c r="D80" s="141" t="str">
        <v>Internal Labour</v>
      </c>
      <c r="E80" s="141" t="str">
        <v>$ Nominal</v>
      </c>
      <c r="F80" s="141" t="str">
        <v>Existing</v>
      </c>
      <c r="G80" s="141" t="str">
        <v>Normal time</v>
      </c>
      <c r="H80" s="142">
        <v>313.99</v>
      </c>
      <c r="I80" s="126">
        <v>42303.13</v>
      </c>
      <c r="J80" s="143">
        <v>0</v>
      </c>
      <c r="K80" s="144">
        <v>0</v>
      </c>
      <c r="L80" s="144">
        <v>0</v>
      </c>
      <c r="M80" s="144">
        <v>0</v>
      </c>
      <c r="N80" s="144">
        <v>0</v>
      </c>
      <c r="O80" s="144">
        <v>0</v>
      </c>
      <c r="P80" s="144">
        <v>0</v>
      </c>
      <c r="Q80" s="144">
        <v>0</v>
      </c>
      <c r="R80" s="144">
        <v>0</v>
      </c>
      <c r="S80" s="144">
        <v>0</v>
      </c>
      <c r="T80" s="144">
        <v>0</v>
      </c>
      <c r="U80" s="144">
        <v>0.05</v>
      </c>
      <c r="V80" s="144">
        <v>0.40476190476190477</v>
      </c>
      <c r="W80" s="144">
        <v>0.13333333333333333</v>
      </c>
      <c r="X80" s="144">
        <v>0.25</v>
      </c>
      <c r="Y80" s="144">
        <v>0</v>
      </c>
      <c r="Z80" s="144">
        <v>0</v>
      </c>
      <c r="AA80" s="144">
        <v>0</v>
      </c>
      <c r="AB80" s="144">
        <v>0</v>
      </c>
      <c r="AC80" s="144">
        <v>0</v>
      </c>
      <c r="AD80" s="144">
        <v>0</v>
      </c>
      <c r="AE80" s="144">
        <v>0</v>
      </c>
      <c r="AF80" s="144">
        <v>0</v>
      </c>
      <c r="AG80" s="144">
        <v>0</v>
      </c>
      <c r="AH80" s="144">
        <v>0</v>
      </c>
      <c r="AI80" s="144">
        <v>0</v>
      </c>
      <c r="AJ80" s="144">
        <v>0</v>
      </c>
      <c r="AK80" s="144">
        <v>0</v>
      </c>
      <c r="AL80" s="144">
        <v>0</v>
      </c>
      <c r="AM80" s="144">
        <v>0</v>
      </c>
      <c r="AN80" s="144">
        <v>0</v>
      </c>
      <c r="AO80" s="144">
        <v>0</v>
      </c>
      <c r="AP80" s="144">
        <v>0</v>
      </c>
      <c r="AQ80" s="144">
        <v>0</v>
      </c>
      <c r="AR80" s="144">
        <v>0</v>
      </c>
      <c r="AS80" s="144">
        <v>0</v>
      </c>
      <c r="AT80" s="144">
        <v>0</v>
      </c>
      <c r="AU80" s="144">
        <v>0</v>
      </c>
      <c r="AV80" s="144">
        <v>0</v>
      </c>
      <c r="AW80" s="144">
        <v>0</v>
      </c>
      <c r="AX80" s="144">
        <v>0</v>
      </c>
      <c r="AY80" s="144">
        <v>0</v>
      </c>
      <c r="AZ80" s="144">
        <v>0</v>
      </c>
      <c r="BA80" s="144">
        <v>0</v>
      </c>
      <c r="BB80" s="144">
        <v>0</v>
      </c>
      <c r="BC80" s="144">
        <v>0</v>
      </c>
      <c r="BD80" s="144">
        <v>0</v>
      </c>
      <c r="BE80" s="144">
        <v>0</v>
      </c>
      <c r="BF80" s="144">
        <v>0</v>
      </c>
      <c r="BG80" s="144">
        <v>0</v>
      </c>
      <c r="BH80" s="144">
        <v>0</v>
      </c>
      <c r="BI80" s="144">
        <v>0</v>
      </c>
      <c r="BJ80" s="144">
        <v>0</v>
      </c>
      <c r="BK80" s="144">
        <v>0</v>
      </c>
      <c r="BL80" s="144">
        <v>0</v>
      </c>
      <c r="BM80" s="144">
        <v>0</v>
      </c>
      <c r="BN80" s="144">
        <v>0</v>
      </c>
      <c r="BO80" s="144">
        <v>0</v>
      </c>
      <c r="BP80" s="144">
        <v>0</v>
      </c>
      <c r="BQ80" s="144">
        <v>0</v>
      </c>
      <c r="BR80" s="144">
        <v>0</v>
      </c>
      <c r="BS80" s="144">
        <v>0</v>
      </c>
      <c r="BT80" s="144">
        <v>0</v>
      </c>
      <c r="BU80" s="144">
        <v>0</v>
      </c>
      <c r="BV80" s="144">
        <v>0</v>
      </c>
      <c r="BW80" s="144">
        <v>0</v>
      </c>
      <c r="BX80" s="144">
        <v>0</v>
      </c>
      <c r="BY80" s="144">
        <v>0</v>
      </c>
      <c r="BZ80" s="144">
        <v>0</v>
      </c>
      <c r="CA80" s="144">
        <v>0</v>
      </c>
      <c r="CB80" s="144">
        <v>0</v>
      </c>
      <c r="CC80" s="144">
        <v>0</v>
      </c>
      <c r="CD80" s="144">
        <v>0</v>
      </c>
      <c r="CE80" s="144">
        <v>0</v>
      </c>
      <c r="CF80" s="144">
        <v>0</v>
      </c>
      <c r="CG80" s="144">
        <v>0</v>
      </c>
      <c r="CH80" s="144">
        <v>0</v>
      </c>
      <c r="CI80" s="144">
        <v>0</v>
      </c>
      <c r="CJ80" s="144">
        <v>0</v>
      </c>
      <c r="CK80" s="144">
        <v>0</v>
      </c>
      <c r="CL80" s="144">
        <v>0</v>
      </c>
      <c r="CM80" s="144">
        <v>0</v>
      </c>
      <c r="CN80" s="144">
        <v>0</v>
      </c>
      <c r="CO80" s="144">
        <v>0</v>
      </c>
      <c r="CP80" s="144">
        <v>0</v>
      </c>
      <c r="CQ80" s="143">
        <v>0</v>
      </c>
      <c r="CR80" s="145">
        <v>0</v>
      </c>
      <c r="CS80" s="145">
        <v>0</v>
      </c>
      <c r="CT80" s="145">
        <v>0</v>
      </c>
      <c r="CU80" s="145">
        <v>0</v>
      </c>
      <c r="CV80" s="145">
        <v>0</v>
      </c>
      <c r="CW80" s="145">
        <v>0</v>
      </c>
      <c r="CX80" s="145">
        <v>0</v>
      </c>
      <c r="CY80" s="145">
        <v>0</v>
      </c>
      <c r="CZ80" s="145">
        <v>0</v>
      </c>
      <c r="DA80" s="145">
        <v>0</v>
      </c>
      <c r="DB80" s="145">
        <v>3487.26</v>
      </c>
      <c r="DC80" s="145">
        <v>21172.649999999994</v>
      </c>
      <c r="DD80" s="145">
        <v>6974.52</v>
      </c>
      <c r="DE80" s="145">
        <v>10668.699999999999</v>
      </c>
      <c r="DF80" s="145">
        <v>0</v>
      </c>
      <c r="DG80" s="145">
        <v>0</v>
      </c>
      <c r="DH80" s="145">
        <v>0</v>
      </c>
      <c r="DI80" s="145">
        <v>0</v>
      </c>
      <c r="DJ80" s="145">
        <v>0</v>
      </c>
      <c r="DK80" s="145">
        <v>0</v>
      </c>
      <c r="DL80" s="145">
        <v>0</v>
      </c>
      <c r="DM80" s="145">
        <v>0</v>
      </c>
      <c r="DN80" s="145">
        <v>0</v>
      </c>
      <c r="DO80" s="145">
        <v>0</v>
      </c>
      <c r="DP80" s="145">
        <v>0</v>
      </c>
      <c r="DQ80" s="145">
        <v>0</v>
      </c>
      <c r="DR80" s="145">
        <v>0</v>
      </c>
      <c r="DS80" s="145">
        <v>0</v>
      </c>
      <c r="DT80" s="145">
        <v>0</v>
      </c>
      <c r="DU80" s="145">
        <v>0</v>
      </c>
      <c r="DV80" s="145">
        <v>0</v>
      </c>
      <c r="DW80" s="145">
        <v>0</v>
      </c>
      <c r="DX80" s="145">
        <v>0</v>
      </c>
      <c r="DY80" s="145">
        <v>0</v>
      </c>
      <c r="DZ80" s="145">
        <v>0</v>
      </c>
      <c r="EA80" s="145">
        <v>0</v>
      </c>
      <c r="EB80" s="145">
        <v>0</v>
      </c>
      <c r="EC80" s="145">
        <v>0</v>
      </c>
      <c r="ED80" s="145">
        <v>0</v>
      </c>
      <c r="EE80" s="145">
        <v>0</v>
      </c>
      <c r="EF80" s="145">
        <v>0</v>
      </c>
      <c r="EG80" s="145">
        <v>0</v>
      </c>
      <c r="EH80" s="145">
        <v>0</v>
      </c>
      <c r="EI80" s="145">
        <v>0</v>
      </c>
      <c r="EJ80" s="145">
        <v>0</v>
      </c>
      <c r="EK80" s="145">
        <v>0</v>
      </c>
      <c r="EL80" s="145">
        <v>0</v>
      </c>
      <c r="EM80" s="145">
        <v>0</v>
      </c>
      <c r="EN80" s="145">
        <v>0</v>
      </c>
      <c r="EO80" s="145">
        <v>0</v>
      </c>
      <c r="EP80" s="145">
        <v>0</v>
      </c>
      <c r="EQ80" s="145">
        <v>0</v>
      </c>
      <c r="ER80" s="145">
        <v>0</v>
      </c>
      <c r="ES80" s="145">
        <v>0</v>
      </c>
      <c r="ET80" s="145">
        <v>0</v>
      </c>
      <c r="EU80" s="145">
        <v>0</v>
      </c>
      <c r="EV80" s="145">
        <v>0</v>
      </c>
      <c r="EW80" s="145">
        <v>0</v>
      </c>
      <c r="EX80" s="145">
        <v>0</v>
      </c>
      <c r="EY80" s="145">
        <v>0</v>
      </c>
      <c r="EZ80" s="145">
        <v>0</v>
      </c>
      <c r="FA80" s="145">
        <v>0</v>
      </c>
      <c r="FB80" s="145">
        <v>0</v>
      </c>
      <c r="FC80" s="145">
        <v>0</v>
      </c>
      <c r="FD80" s="145">
        <v>0</v>
      </c>
      <c r="FE80" s="145">
        <v>0</v>
      </c>
      <c r="FF80" s="145">
        <v>0</v>
      </c>
      <c r="FG80" s="145">
        <v>0</v>
      </c>
      <c r="FH80" s="145">
        <v>0</v>
      </c>
      <c r="FI80" s="145">
        <v>0</v>
      </c>
      <c r="FJ80" s="145">
        <v>0</v>
      </c>
      <c r="FK80" s="145">
        <v>0</v>
      </c>
      <c r="FL80" s="145">
        <v>0</v>
      </c>
      <c r="FM80" s="145">
        <v>0</v>
      </c>
      <c r="FN80" s="145">
        <v>0</v>
      </c>
      <c r="FO80" s="145">
        <v>0</v>
      </c>
      <c r="FP80" s="145">
        <v>0</v>
      </c>
      <c r="FQ80" s="145">
        <v>0</v>
      </c>
      <c r="FR80" s="145">
        <v>0</v>
      </c>
      <c r="FS80" s="145">
        <v>0</v>
      </c>
      <c r="FT80" s="145">
        <v>0</v>
      </c>
      <c r="FU80" s="145">
        <v>0</v>
      </c>
      <c r="FV80" s="145">
        <v>0</v>
      </c>
      <c r="FW80" s="145">
        <v>0</v>
      </c>
      <c r="FX80" s="143"/>
      <c r="FY80" s="146" t="str">
        <f>_xlfn.XLOOKUP($E80,'Key assumptions'!$B$112:$B$120,'Key assumptions'!$C$112:$C$120,0)</f>
        <v>Nominal</v>
      </c>
      <c r="FZ80" s="146" cm="1">
        <f t="array" ref="FZ80">IF($FY80=0,0,_xlfn.IFS($FY80='Key assumptions'!$C$120,_xlfn.XLOOKUP(LEFT(FZ$7,6),Inflation_Year,Inflation_NominaltoReal),TRUE,_xlfn.XLOOKUP($FY80,Inflation_Year,NominaltoReal)))</f>
        <v>1.0197075870962191</v>
      </c>
      <c r="GA80" s="146" cm="1">
        <f t="array" ref="GA80">IF($FY80=0,0,_xlfn.IFS($FY80='Key assumptions'!$C$120,_xlfn.XLOOKUP(LEFT(GA$7,6),Inflation_Year,Inflation_NominaltoReal),TRUE,_xlfn.XLOOKUP($FY80,Inflation_Year,NominaltoReal)))</f>
        <v>0.98700804022984445</v>
      </c>
      <c r="GB80" s="146" cm="1">
        <f t="array" ref="GB80">IF($FY80=0,0,_xlfn.IFS($FY80='Key assumptions'!$C$120,_xlfn.XLOOKUP(LEFT(GB$7,6),Inflation_Year,Inflation_NominaltoReal),TRUE,_xlfn.XLOOKUP($FY80,Inflation_Year,NominaltoReal)))</f>
        <v>0.96152830081941731</v>
      </c>
      <c r="GC80" s="146" cm="1">
        <f t="array" ref="GC80">IF($FY80=0,0,_xlfn.IFS($FY80='Key assumptions'!$C$120,_xlfn.XLOOKUP(LEFT(GC$7,6),Inflation_Year,Inflation_NominaltoReal),TRUE,_xlfn.XLOOKUP($FY80,Inflation_Year,NominaltoReal)))</f>
        <v>0.93670632415656829</v>
      </c>
      <c r="GD80" s="146" cm="1">
        <f t="array" ref="GD80">IF($FY80=0,0,_xlfn.IFS($FY80='Key assumptions'!$C$120,_xlfn.XLOOKUP(LEFT(GD$7,6),Inflation_Year,Inflation_NominaltoReal),TRUE,_xlfn.XLOOKUP($FY80,Inflation_Year,NominaltoReal)))</f>
        <v>0.91252513001143176</v>
      </c>
      <c r="GE80" s="146" cm="1">
        <f t="array" ref="GE80">IF($FY80=0,0,_xlfn.IFS($FY80='Key assumptions'!$C$120,_xlfn.XLOOKUP(LEFT(GE$7,6),Inflation_Year,Inflation_NominaltoReal),TRUE,_xlfn.XLOOKUP($FY80,Inflation_Year,NominaltoReal)))</f>
        <v>0.88896817650095872</v>
      </c>
      <c r="GF80" s="146" cm="1">
        <f t="array" ref="GF80">IF($FY80=0,0,_xlfn.IFS($FY80='Key assumptions'!$C$120,_xlfn.XLOOKUP(LEFT(GF$7,6),Inflation_Year,Inflation_NominaltoReal),TRUE,_xlfn.XLOOKUP($FY80,Inflation_Year,NominaltoReal)))</f>
        <v>0.86601934877293718</v>
      </c>
      <c r="GG80" s="143"/>
      <c r="GH80" s="145" cm="1">
        <f t="array" ref="GH80">SUMPRODUCT(--($CR$7:$FW$7&gt;=GH$5),--($CR$7:$FW$7&lt;=GH$6),$CR80:$FW80)*FZ80</f>
        <v>10878.954334453432</v>
      </c>
      <c r="GI80" s="145" cm="1">
        <f t="array" ref="GI80">SUMPRODUCT(--($CR$7:$FW$7&gt;=GI$5),--($CR$7:$FW$7&lt;=GI$6),$CR80:$FW80)*GA80</f>
        <v>0</v>
      </c>
      <c r="GJ80" s="145" cm="1">
        <f t="array" ref="GJ80">SUMPRODUCT(--($CR$7:$FW$7&gt;=GJ$5),--($CR$7:$FW$7&lt;=GJ$6),$CR80:$FW80)*GB80</f>
        <v>0</v>
      </c>
      <c r="GK80" s="145" cm="1">
        <f t="array" ref="GK80">SUMPRODUCT(--($CR$7:$FW$7&gt;=GK$5),--($CR$7:$FW$7&lt;=GK$6),$CR80:$FW80)*GC80</f>
        <v>0</v>
      </c>
      <c r="GL80" s="145" cm="1">
        <f t="array" ref="GL80">SUMPRODUCT(--($CR$7:$FW$7&gt;=GL$5),--($CR$7:$FW$7&lt;=GL$6),$CR80:$FW80)*GD80</f>
        <v>0</v>
      </c>
      <c r="GM80" s="145" cm="1">
        <f t="array" ref="GM80">SUMPRODUCT(--($CR$7:$FW$7&gt;=GM$5),--($CR$7:$FW$7&lt;=GM$6),$CR80:$FW80)*GE80</f>
        <v>0</v>
      </c>
      <c r="GN80" s="145" cm="1">
        <f t="array" ref="GN80">SUMPRODUCT(--($CR$7:$FW$7&gt;=GN$5),--($CR$7:$FW$7&lt;=GN$6),$CR80:$FW80)*GF80</f>
        <v>0</v>
      </c>
      <c r="GO80" s="145">
        <f t="shared" si="23"/>
        <v>10878.954334453432</v>
      </c>
      <c r="GP80" s="87"/>
      <c r="GQ80" s="89"/>
      <c r="GR80" s="145" cm="1">
        <f t="array" ref="GR80">SUMPRODUCT(--($CR$7:$FW$7&gt;=GR$5),--($CR$7:$FW$7&lt;=GR$6),$CR80:$FW80)</f>
        <v>10668.699999999999</v>
      </c>
      <c r="GS80" s="89"/>
      <c r="GT80" s="214" cm="1">
        <f t="array" ref="GT80">--AND(MIN(IF($K80:$CP80&lt;&gt;0,$K$7:$CP$7))&gt;=GT$5,MIN(IF($K80:$CP80&lt;&gt;0,$K$7:$CP$7))&lt;=GT$6)</f>
        <v>0</v>
      </c>
      <c r="GU80" s="214" cm="1">
        <f t="array" ref="GU80">--AND(MIN(IF($K80:$CP80&lt;&gt;0,$K$7:$CP$7))&gt;=GU$5,MIN(IF($K80:$CP80&lt;&gt;0,$K$7:$CP$7))&lt;=GU$6)</f>
        <v>0</v>
      </c>
      <c r="GV80" s="214" cm="1">
        <f t="array" ref="GV80">--AND(MIN(IF($K80:$CP80&lt;&gt;0,$K$7:$CP$7))&gt;=GV$5,MIN(IF($K80:$CP80&lt;&gt;0,$K$7:$CP$7))&lt;=GV$6)</f>
        <v>0</v>
      </c>
      <c r="GW80" s="214" cm="1">
        <f t="array" ref="GW80">--AND(MIN(IF($K80:$CP80&lt;&gt;0,$K$7:$CP$7))&gt;=GW$5,MIN(IF($K80:$CP80&lt;&gt;0,$K$7:$CP$7))&lt;=GW$6)</f>
        <v>0</v>
      </c>
      <c r="GX80" s="214" cm="1">
        <f t="array" ref="GX80">--AND(MIN(IF($K80:$CP80&lt;&gt;0,$K$7:$CP$7))&gt;=GX$5,MIN(IF($K80:$CP80&lt;&gt;0,$K$7:$CP$7))&lt;=GX$6)</f>
        <v>0</v>
      </c>
      <c r="GY80" s="214" cm="1">
        <f t="array" ref="GY80">--AND(MIN(IF($K80:$CP80&lt;&gt;0,$K$7:$CP$7))&gt;=GY$5,MIN(IF($K80:$CP80&lt;&gt;0,$K$7:$CP$7))&lt;=GY$6)</f>
        <v>0</v>
      </c>
      <c r="GZ80" s="214" cm="1">
        <f t="array" ref="GZ80">--AND(MIN(IF($K80:$CP80&lt;&gt;0,$K$7:$CP$7))&gt;=GZ$5,MIN(IF($K80:$CP80&lt;&gt;0,$K$7:$CP$7))&lt;=GZ$6)</f>
        <v>0</v>
      </c>
      <c r="HA80" s="214">
        <f t="shared" si="24"/>
        <v>0</v>
      </c>
      <c r="HC80" s="214" cm="1">
        <f t="array" ref="HC80">--AND(MIN(IF($K80:$CP80&lt;&gt;0,$K$7:$CP$7))&gt;=HC$5,MIN(IF($K80:$CP80&lt;&gt;0,$K$7:$CP$7))&lt;=HC$6)</f>
        <v>0</v>
      </c>
      <c r="HE80" s="147" t="str">
        <f t="shared" si="43"/>
        <v>No</v>
      </c>
      <c r="HF80" s="147" t="str">
        <f t="shared" si="44"/>
        <v>No</v>
      </c>
      <c r="HG80" s="147">
        <f>IF($HF80="Yes",0,$H80*avg_hrs*12*'Key assumptions'!$D$87)</f>
        <v>561498.58629348304</v>
      </c>
      <c r="HH80" s="147">
        <f>IF(HE80="Yes",'Key assumptions'!$D$84*HG80,0)</f>
        <v>0</v>
      </c>
      <c r="HI80" s="144">
        <f>IFERROR(AVERAGEIFS($K80:$CP80,$K$7:$CP$7,"&gt;="&amp;'Key assumptions'!$D$24,$K$7:$CP$7,"&lt;="&amp;'Key assumptions'!$D$25),0)</f>
        <v>5.681818181818182E-3</v>
      </c>
      <c r="HJ80" s="148">
        <f t="shared" si="25"/>
        <v>0</v>
      </c>
      <c r="HK80" s="148">
        <f t="shared" si="26"/>
        <v>0</v>
      </c>
      <c r="HL80" s="148">
        <f t="shared" si="27"/>
        <v>0</v>
      </c>
      <c r="HM80" s="148">
        <f t="shared" si="28"/>
        <v>0</v>
      </c>
      <c r="HN80" s="148">
        <f t="shared" si="29"/>
        <v>0</v>
      </c>
      <c r="HO80" s="148">
        <f t="shared" si="30"/>
        <v>0</v>
      </c>
      <c r="HP80" s="148">
        <f t="shared" si="31"/>
        <v>0</v>
      </c>
      <c r="HQ80" s="148">
        <f t="shared" si="32"/>
        <v>0</v>
      </c>
      <c r="HR80" s="147">
        <f t="shared" si="33"/>
        <v>0</v>
      </c>
      <c r="HS80" s="89"/>
      <c r="HU80" s="147">
        <f>$HJ80*HC80/(1+'Key assumptions'!G102)^0.75</f>
        <v>0</v>
      </c>
      <c r="HW80" s="216">
        <f t="shared" si="34"/>
        <v>0</v>
      </c>
      <c r="HX80" s="216">
        <f t="shared" si="35"/>
        <v>0</v>
      </c>
      <c r="HY80" s="216">
        <f t="shared" si="36"/>
        <v>0</v>
      </c>
      <c r="HZ80" s="216">
        <f t="shared" si="37"/>
        <v>0</v>
      </c>
      <c r="IA80" s="216">
        <f t="shared" si="38"/>
        <v>0</v>
      </c>
      <c r="IB80" s="216">
        <f t="shared" si="39"/>
        <v>0</v>
      </c>
      <c r="IC80" s="216">
        <f t="shared" si="40"/>
        <v>0</v>
      </c>
      <c r="ID80" s="216">
        <f t="shared" si="41"/>
        <v>0</v>
      </c>
      <c r="IF80" s="216">
        <f t="shared" si="42"/>
        <v>0</v>
      </c>
    </row>
    <row r="81" spans="2:240" x14ac:dyDescent="0.2">
      <c r="B81" s="141" t="str">
        <v>Other Support &amp; Corporate Roles</v>
      </c>
      <c r="C81" s="141" t="str">
        <v>Legal Gov &amp; Risk Officer (Legal Affairs)</v>
      </c>
      <c r="D81" s="141" t="str">
        <v>Internal Labour</v>
      </c>
      <c r="E81" s="141" t="str">
        <v>$ Nominal</v>
      </c>
      <c r="F81" s="141" t="str">
        <v>Existing</v>
      </c>
      <c r="G81" s="141" t="str">
        <v>Normal time</v>
      </c>
      <c r="H81" s="142">
        <v>212.32</v>
      </c>
      <c r="I81" s="126">
        <v>534494.4</v>
      </c>
      <c r="J81" s="143">
        <v>0</v>
      </c>
      <c r="K81" s="144">
        <v>0</v>
      </c>
      <c r="L81" s="144">
        <v>0</v>
      </c>
      <c r="M81" s="144">
        <v>0</v>
      </c>
      <c r="N81" s="144">
        <v>0</v>
      </c>
      <c r="O81" s="144">
        <v>0</v>
      </c>
      <c r="P81" s="144">
        <v>0</v>
      </c>
      <c r="Q81" s="144">
        <v>0</v>
      </c>
      <c r="R81" s="144">
        <v>0.7</v>
      </c>
      <c r="S81" s="144">
        <v>1.1000000000000001</v>
      </c>
      <c r="T81" s="144">
        <v>1.25</v>
      </c>
      <c r="U81" s="144">
        <v>0.35</v>
      </c>
      <c r="V81" s="144">
        <v>1.6</v>
      </c>
      <c r="W81" s="144">
        <v>1.0666666666666667</v>
      </c>
      <c r="X81" s="144">
        <v>1</v>
      </c>
      <c r="Y81" s="144">
        <v>0.25</v>
      </c>
      <c r="Z81" s="144">
        <v>0.33333333333333331</v>
      </c>
      <c r="AA81" s="144">
        <v>0.23026315789473684</v>
      </c>
      <c r="AB81" s="144">
        <v>0.23026315789473684</v>
      </c>
      <c r="AC81" s="144">
        <v>0.25</v>
      </c>
      <c r="AD81" s="144">
        <v>0.25</v>
      </c>
      <c r="AE81" s="144">
        <v>0.25</v>
      </c>
      <c r="AF81" s="144">
        <v>0.25</v>
      </c>
      <c r="AG81" s="144">
        <v>0.25</v>
      </c>
      <c r="AH81" s="144">
        <v>0.33333333333333331</v>
      </c>
      <c r="AI81" s="144">
        <v>0.33333333333333331</v>
      </c>
      <c r="AJ81" s="144">
        <v>0.25</v>
      </c>
      <c r="AK81" s="144">
        <v>0.25</v>
      </c>
      <c r="AL81" s="144">
        <v>0.33333333333333331</v>
      </c>
      <c r="AM81" s="144">
        <v>0.23026315789473684</v>
      </c>
      <c r="AN81" s="144">
        <v>0.23026315789473684</v>
      </c>
      <c r="AO81" s="144">
        <v>0.25</v>
      </c>
      <c r="AP81" s="144">
        <v>0.25</v>
      </c>
      <c r="AQ81" s="144">
        <v>0.25</v>
      </c>
      <c r="AR81" s="144">
        <v>0.25</v>
      </c>
      <c r="AS81" s="144">
        <v>0.25</v>
      </c>
      <c r="AT81" s="144">
        <v>0.33333333333333331</v>
      </c>
      <c r="AU81" s="144">
        <v>0.33333333333333331</v>
      </c>
      <c r="AV81" s="144">
        <v>0.25</v>
      </c>
      <c r="AW81" s="144">
        <v>0.25</v>
      </c>
      <c r="AX81" s="144">
        <v>0.33333333333333331</v>
      </c>
      <c r="AY81" s="144">
        <v>0.23026315789473684</v>
      </c>
      <c r="AZ81" s="144">
        <v>0.23026315789473684</v>
      </c>
      <c r="BA81" s="144">
        <v>0.25</v>
      </c>
      <c r="BB81" s="144">
        <v>0.25</v>
      </c>
      <c r="BC81" s="144">
        <v>0.25</v>
      </c>
      <c r="BD81" s="144">
        <v>0.25</v>
      </c>
      <c r="BE81" s="144">
        <v>0.25</v>
      </c>
      <c r="BF81" s="144">
        <v>0.33333333333333331</v>
      </c>
      <c r="BG81" s="144">
        <v>0.33333333333333331</v>
      </c>
      <c r="BH81" s="144">
        <v>0.25</v>
      </c>
      <c r="BI81" s="144">
        <v>0</v>
      </c>
      <c r="BJ81" s="144">
        <v>0</v>
      </c>
      <c r="BK81" s="144">
        <v>0</v>
      </c>
      <c r="BL81" s="144">
        <v>0</v>
      </c>
      <c r="BM81" s="144">
        <v>0</v>
      </c>
      <c r="BN81" s="144">
        <v>0</v>
      </c>
      <c r="BO81" s="144">
        <v>0</v>
      </c>
      <c r="BP81" s="144">
        <v>0</v>
      </c>
      <c r="BQ81" s="144">
        <v>0</v>
      </c>
      <c r="BR81" s="144">
        <v>0</v>
      </c>
      <c r="BS81" s="144">
        <v>0</v>
      </c>
      <c r="BT81" s="144">
        <v>0</v>
      </c>
      <c r="BU81" s="144">
        <v>0</v>
      </c>
      <c r="BV81" s="144">
        <v>0</v>
      </c>
      <c r="BW81" s="144">
        <v>0</v>
      </c>
      <c r="BX81" s="144">
        <v>0</v>
      </c>
      <c r="BY81" s="144">
        <v>0</v>
      </c>
      <c r="BZ81" s="144">
        <v>0</v>
      </c>
      <c r="CA81" s="144">
        <v>0</v>
      </c>
      <c r="CB81" s="144">
        <v>0</v>
      </c>
      <c r="CC81" s="144">
        <v>0</v>
      </c>
      <c r="CD81" s="144">
        <v>0</v>
      </c>
      <c r="CE81" s="144">
        <v>0</v>
      </c>
      <c r="CF81" s="144">
        <v>0</v>
      </c>
      <c r="CG81" s="144">
        <v>0</v>
      </c>
      <c r="CH81" s="144">
        <v>0</v>
      </c>
      <c r="CI81" s="144">
        <v>0</v>
      </c>
      <c r="CJ81" s="144">
        <v>0</v>
      </c>
      <c r="CK81" s="144">
        <v>0</v>
      </c>
      <c r="CL81" s="144">
        <v>0</v>
      </c>
      <c r="CM81" s="144">
        <v>0</v>
      </c>
      <c r="CN81" s="144">
        <v>0</v>
      </c>
      <c r="CO81" s="144">
        <v>0</v>
      </c>
      <c r="CP81" s="144">
        <v>0</v>
      </c>
      <c r="CQ81" s="143">
        <v>0</v>
      </c>
      <c r="CR81" s="145">
        <v>0</v>
      </c>
      <c r="CS81" s="145">
        <v>0</v>
      </c>
      <c r="CT81" s="145">
        <v>0</v>
      </c>
      <c r="CU81" s="145">
        <v>0</v>
      </c>
      <c r="CV81" s="145">
        <v>0</v>
      </c>
      <c r="CW81" s="145">
        <v>0</v>
      </c>
      <c r="CX81" s="145">
        <v>0</v>
      </c>
      <c r="CY81" s="145">
        <v>29871.799999999988</v>
      </c>
      <c r="CZ81" s="145">
        <v>46941.400000000074</v>
      </c>
      <c r="DA81" s="145">
        <v>53342.500000000087</v>
      </c>
      <c r="DB81" s="145">
        <v>14935.900000000001</v>
      </c>
      <c r="DC81" s="145">
        <v>51208.800000000083</v>
      </c>
      <c r="DD81" s="145">
        <v>34139.200000000026</v>
      </c>
      <c r="DE81" s="145">
        <v>28383.600000000002</v>
      </c>
      <c r="DF81" s="145">
        <v>7431.2</v>
      </c>
      <c r="DG81" s="145">
        <v>7431.2</v>
      </c>
      <c r="DH81" s="145">
        <v>7431.2</v>
      </c>
      <c r="DI81" s="145">
        <v>7431.2</v>
      </c>
      <c r="DJ81" s="145">
        <v>7431.2</v>
      </c>
      <c r="DK81" s="145">
        <v>7431.2</v>
      </c>
      <c r="DL81" s="145">
        <v>7431.2</v>
      </c>
      <c r="DM81" s="145">
        <v>7431.2</v>
      </c>
      <c r="DN81" s="145">
        <v>7431.2</v>
      </c>
      <c r="DO81" s="145">
        <v>7431.2</v>
      </c>
      <c r="DP81" s="145">
        <v>7431.2</v>
      </c>
      <c r="DQ81" s="145">
        <v>7431.2</v>
      </c>
      <c r="DR81" s="145">
        <v>7654.85</v>
      </c>
      <c r="DS81" s="145">
        <v>7654.85</v>
      </c>
      <c r="DT81" s="145">
        <v>7654.85</v>
      </c>
      <c r="DU81" s="145">
        <v>7654.85</v>
      </c>
      <c r="DV81" s="145">
        <v>7654.85</v>
      </c>
      <c r="DW81" s="145">
        <v>7654.85</v>
      </c>
      <c r="DX81" s="145">
        <v>7654.85</v>
      </c>
      <c r="DY81" s="145">
        <v>7654.85</v>
      </c>
      <c r="DZ81" s="145">
        <v>7654.85</v>
      </c>
      <c r="EA81" s="145">
        <v>7654.85</v>
      </c>
      <c r="EB81" s="145">
        <v>7654.85</v>
      </c>
      <c r="EC81" s="145">
        <v>7654.85</v>
      </c>
      <c r="ED81" s="145">
        <v>7886.55</v>
      </c>
      <c r="EE81" s="145">
        <v>7886.55</v>
      </c>
      <c r="EF81" s="145">
        <v>7886.55</v>
      </c>
      <c r="EG81" s="145">
        <v>7886.55</v>
      </c>
      <c r="EH81" s="145">
        <v>7886.55</v>
      </c>
      <c r="EI81" s="145">
        <v>7886.55</v>
      </c>
      <c r="EJ81" s="145">
        <v>7886.55</v>
      </c>
      <c r="EK81" s="145">
        <v>7886.55</v>
      </c>
      <c r="EL81" s="145">
        <v>7886.55</v>
      </c>
      <c r="EM81" s="145">
        <v>7886.55</v>
      </c>
      <c r="EN81" s="145">
        <v>7886.55</v>
      </c>
      <c r="EO81" s="145">
        <v>7886.55</v>
      </c>
      <c r="EP81" s="145">
        <v>0</v>
      </c>
      <c r="EQ81" s="145">
        <v>0</v>
      </c>
      <c r="ER81" s="145">
        <v>0</v>
      </c>
      <c r="ES81" s="145">
        <v>0</v>
      </c>
      <c r="ET81" s="145">
        <v>0</v>
      </c>
      <c r="EU81" s="145">
        <v>0</v>
      </c>
      <c r="EV81" s="145">
        <v>0</v>
      </c>
      <c r="EW81" s="145">
        <v>0</v>
      </c>
      <c r="EX81" s="145">
        <v>0</v>
      </c>
      <c r="EY81" s="145">
        <v>0</v>
      </c>
      <c r="EZ81" s="145">
        <v>0</v>
      </c>
      <c r="FA81" s="145">
        <v>0</v>
      </c>
      <c r="FB81" s="145">
        <v>0</v>
      </c>
      <c r="FC81" s="145">
        <v>0</v>
      </c>
      <c r="FD81" s="145">
        <v>0</v>
      </c>
      <c r="FE81" s="145">
        <v>0</v>
      </c>
      <c r="FF81" s="145">
        <v>0</v>
      </c>
      <c r="FG81" s="145">
        <v>0</v>
      </c>
      <c r="FH81" s="145">
        <v>0</v>
      </c>
      <c r="FI81" s="145">
        <v>0</v>
      </c>
      <c r="FJ81" s="145">
        <v>0</v>
      </c>
      <c r="FK81" s="145">
        <v>0</v>
      </c>
      <c r="FL81" s="145">
        <v>0</v>
      </c>
      <c r="FM81" s="145">
        <v>0</v>
      </c>
      <c r="FN81" s="145">
        <v>0</v>
      </c>
      <c r="FO81" s="145">
        <v>0</v>
      </c>
      <c r="FP81" s="145">
        <v>0</v>
      </c>
      <c r="FQ81" s="145">
        <v>0</v>
      </c>
      <c r="FR81" s="145">
        <v>0</v>
      </c>
      <c r="FS81" s="145">
        <v>0</v>
      </c>
      <c r="FT81" s="145">
        <v>0</v>
      </c>
      <c r="FU81" s="145">
        <v>0</v>
      </c>
      <c r="FV81" s="145">
        <v>0</v>
      </c>
      <c r="FW81" s="145">
        <v>0</v>
      </c>
      <c r="FX81" s="143"/>
      <c r="FY81" s="146" t="str">
        <f>_xlfn.XLOOKUP($E81,'Key assumptions'!$B$112:$B$120,'Key assumptions'!$C$112:$C$120,0)</f>
        <v>Nominal</v>
      </c>
      <c r="FZ81" s="146" cm="1">
        <f t="array" ref="FZ81">IF($FY81=0,0,_xlfn.IFS($FY81='Key assumptions'!$C$120,_xlfn.XLOOKUP(LEFT(FZ$7,6),Inflation_Year,Inflation_NominaltoReal),TRUE,_xlfn.XLOOKUP($FY81,Inflation_Year,NominaltoReal)))</f>
        <v>1.0197075870962191</v>
      </c>
      <c r="GA81" s="146" cm="1">
        <f t="array" ref="GA81">IF($FY81=0,0,_xlfn.IFS($FY81='Key assumptions'!$C$120,_xlfn.XLOOKUP(LEFT(GA$7,6),Inflation_Year,Inflation_NominaltoReal),TRUE,_xlfn.XLOOKUP($FY81,Inflation_Year,NominaltoReal)))</f>
        <v>0.98700804022984445</v>
      </c>
      <c r="GB81" s="146" cm="1">
        <f t="array" ref="GB81">IF($FY81=0,0,_xlfn.IFS($FY81='Key assumptions'!$C$120,_xlfn.XLOOKUP(LEFT(GB$7,6),Inflation_Year,Inflation_NominaltoReal),TRUE,_xlfn.XLOOKUP($FY81,Inflation_Year,NominaltoReal)))</f>
        <v>0.96152830081941731</v>
      </c>
      <c r="GC81" s="146" cm="1">
        <f t="array" ref="GC81">IF($FY81=0,0,_xlfn.IFS($FY81='Key assumptions'!$C$120,_xlfn.XLOOKUP(LEFT(GC$7,6),Inflation_Year,Inflation_NominaltoReal),TRUE,_xlfn.XLOOKUP($FY81,Inflation_Year,NominaltoReal)))</f>
        <v>0.93670632415656829</v>
      </c>
      <c r="GD81" s="146" cm="1">
        <f t="array" ref="GD81">IF($FY81=0,0,_xlfn.IFS($FY81='Key assumptions'!$C$120,_xlfn.XLOOKUP(LEFT(GD$7,6),Inflation_Year,Inflation_NominaltoReal),TRUE,_xlfn.XLOOKUP($FY81,Inflation_Year,NominaltoReal)))</f>
        <v>0.91252513001143176</v>
      </c>
      <c r="GE81" s="146" cm="1">
        <f t="array" ref="GE81">IF($FY81=0,0,_xlfn.IFS($FY81='Key assumptions'!$C$120,_xlfn.XLOOKUP(LEFT(GE$7,6),Inflation_Year,Inflation_NominaltoReal),TRUE,_xlfn.XLOOKUP($FY81,Inflation_Year,NominaltoReal)))</f>
        <v>0.88896817650095872</v>
      </c>
      <c r="GF81" s="146" cm="1">
        <f t="array" ref="GF81">IF($FY81=0,0,_xlfn.IFS($FY81='Key assumptions'!$C$120,_xlfn.XLOOKUP(LEFT(GF$7,6),Inflation_Year,Inflation_NominaltoReal),TRUE,_xlfn.XLOOKUP($FY81,Inflation_Year,NominaltoReal)))</f>
        <v>0.86601934877293718</v>
      </c>
      <c r="GG81" s="143"/>
      <c r="GH81" s="145" cm="1">
        <f t="array" ref="GH81">SUMPRODUCT(--($CR$7:$FW$7&gt;=GH$5),--($CR$7:$FW$7&lt;=GH$6),$CR81:$FW81)*FZ81</f>
        <v>81986.52941771019</v>
      </c>
      <c r="GI81" s="145" cm="1">
        <f t="array" ref="GI81">SUMPRODUCT(--($CR$7:$FW$7&gt;=GI$5),--($CR$7:$FW$7&lt;=GI$6),$CR81:$FW81)*GA81</f>
        <v>89561.060220054089</v>
      </c>
      <c r="GJ81" s="145" cm="1">
        <f t="array" ref="GJ81">SUMPRODUCT(--($CR$7:$FW$7&gt;=GJ$5),--($CR$7:$FW$7&lt;=GJ$6),$CR81:$FW81)*GB81</f>
        <v>89883.761713429238</v>
      </c>
      <c r="GK81" s="145" cm="1">
        <f t="array" ref="GK81">SUMPRODUCT(--($CR$7:$FW$7&gt;=GK$5),--($CR$7:$FW$7&lt;=GK$6),$CR81:$FW81)*GC81</f>
        <v>36936.90630388492</v>
      </c>
      <c r="GL81" s="145" cm="1">
        <f t="array" ref="GL81">SUMPRODUCT(--($CR$7:$FW$7&gt;=GL$5),--($CR$7:$FW$7&lt;=GL$6),$CR81:$FW81)*GD81</f>
        <v>0</v>
      </c>
      <c r="GM81" s="145" cm="1">
        <f t="array" ref="GM81">SUMPRODUCT(--($CR$7:$FW$7&gt;=GM$5),--($CR$7:$FW$7&lt;=GM$6),$CR81:$FW81)*GE81</f>
        <v>0</v>
      </c>
      <c r="GN81" s="145" cm="1">
        <f t="array" ref="GN81">SUMPRODUCT(--($CR$7:$FW$7&gt;=GN$5),--($CR$7:$FW$7&lt;=GN$6),$CR81:$FW81)*GF81</f>
        <v>0</v>
      </c>
      <c r="GO81" s="145">
        <f t="shared" si="23"/>
        <v>298368.25765507843</v>
      </c>
      <c r="GP81" s="87"/>
      <c r="GQ81" s="89"/>
      <c r="GR81" s="145" cm="1">
        <f t="array" ref="GR81">SUMPRODUCT(--($CR$7:$FW$7&gt;=GR$5),--($CR$7:$FW$7&lt;=GR$6),$CR81:$FW81)</f>
        <v>58108.399999999994</v>
      </c>
      <c r="GS81" s="89"/>
      <c r="GT81" s="214" cm="1">
        <f t="array" ref="GT81">--AND(MIN(IF($K81:$CP81&lt;&gt;0,$K$7:$CP$7))&gt;=GT$5,MIN(IF($K81:$CP81&lt;&gt;0,$K$7:$CP$7))&lt;=GT$6)</f>
        <v>0</v>
      </c>
      <c r="GU81" s="214" cm="1">
        <f t="array" ref="GU81">--AND(MIN(IF($K81:$CP81&lt;&gt;0,$K$7:$CP$7))&gt;=GU$5,MIN(IF($K81:$CP81&lt;&gt;0,$K$7:$CP$7))&lt;=GU$6)</f>
        <v>0</v>
      </c>
      <c r="GV81" s="214" cm="1">
        <f t="array" ref="GV81">--AND(MIN(IF($K81:$CP81&lt;&gt;0,$K$7:$CP$7))&gt;=GV$5,MIN(IF($K81:$CP81&lt;&gt;0,$K$7:$CP$7))&lt;=GV$6)</f>
        <v>0</v>
      </c>
      <c r="GW81" s="214" cm="1">
        <f t="array" ref="GW81">--AND(MIN(IF($K81:$CP81&lt;&gt;0,$K$7:$CP$7))&gt;=GW$5,MIN(IF($K81:$CP81&lt;&gt;0,$K$7:$CP$7))&lt;=GW$6)</f>
        <v>0</v>
      </c>
      <c r="GX81" s="214" cm="1">
        <f t="array" ref="GX81">--AND(MIN(IF($K81:$CP81&lt;&gt;0,$K$7:$CP$7))&gt;=GX$5,MIN(IF($K81:$CP81&lt;&gt;0,$K$7:$CP$7))&lt;=GX$6)</f>
        <v>0</v>
      </c>
      <c r="GY81" s="214" cm="1">
        <f t="array" ref="GY81">--AND(MIN(IF($K81:$CP81&lt;&gt;0,$K$7:$CP$7))&gt;=GY$5,MIN(IF($K81:$CP81&lt;&gt;0,$K$7:$CP$7))&lt;=GY$6)</f>
        <v>0</v>
      </c>
      <c r="GZ81" s="214" cm="1">
        <f t="array" ref="GZ81">--AND(MIN(IF($K81:$CP81&lt;&gt;0,$K$7:$CP$7))&gt;=GZ$5,MIN(IF($K81:$CP81&lt;&gt;0,$K$7:$CP$7))&lt;=GZ$6)</f>
        <v>0</v>
      </c>
      <c r="HA81" s="214">
        <f t="shared" si="24"/>
        <v>0</v>
      </c>
      <c r="HC81" s="214" cm="1">
        <f t="array" ref="HC81">--AND(MIN(IF($K81:$CP81&lt;&gt;0,$K$7:$CP$7))&gt;=HC$5,MIN(IF($K81:$CP81&lt;&gt;0,$K$7:$CP$7))&lt;=HC$6)</f>
        <v>0</v>
      </c>
      <c r="HE81" s="147" t="str">
        <f t="shared" si="43"/>
        <v>No</v>
      </c>
      <c r="HF81" s="147" t="str">
        <f t="shared" si="44"/>
        <v>No</v>
      </c>
      <c r="HG81" s="147">
        <f>IF($HF81="Yes",0,$H81*avg_hrs*12*'Key assumptions'!$D$87)</f>
        <v>379685.27609743091</v>
      </c>
      <c r="HH81" s="147">
        <f>IF(HE81="Yes",'Key assumptions'!$D$84*HG81,0)</f>
        <v>0</v>
      </c>
      <c r="HI81" s="144">
        <f>IFERROR(AVERAGEIFS($K81:$CP81,$K$7:$CP$7,"&gt;="&amp;'Key assumptions'!$D$24,$K$7:$CP$7,"&lt;="&amp;'Key assumptions'!$D$25),0)</f>
        <v>0.24162679425837322</v>
      </c>
      <c r="HJ81" s="148">
        <f t="shared" si="25"/>
        <v>0</v>
      </c>
      <c r="HK81" s="148">
        <f t="shared" si="26"/>
        <v>0</v>
      </c>
      <c r="HL81" s="148">
        <f t="shared" si="27"/>
        <v>0</v>
      </c>
      <c r="HM81" s="148">
        <f t="shared" si="28"/>
        <v>0</v>
      </c>
      <c r="HN81" s="148">
        <f t="shared" si="29"/>
        <v>0</v>
      </c>
      <c r="HO81" s="148">
        <f t="shared" si="30"/>
        <v>0</v>
      </c>
      <c r="HP81" s="148">
        <f t="shared" si="31"/>
        <v>0</v>
      </c>
      <c r="HQ81" s="148">
        <f t="shared" si="32"/>
        <v>0</v>
      </c>
      <c r="HR81" s="147">
        <f t="shared" si="33"/>
        <v>0</v>
      </c>
      <c r="HS81" s="89"/>
      <c r="HU81" s="147">
        <f>$HJ81*HC81/(1+'Key assumptions'!G103)^0.75</f>
        <v>0</v>
      </c>
      <c r="HW81" s="216">
        <f t="shared" si="34"/>
        <v>0</v>
      </c>
      <c r="HX81" s="216">
        <f t="shared" si="35"/>
        <v>0</v>
      </c>
      <c r="HY81" s="216">
        <f t="shared" si="36"/>
        <v>0</v>
      </c>
      <c r="HZ81" s="216">
        <f t="shared" si="37"/>
        <v>0</v>
      </c>
      <c r="IA81" s="216">
        <f t="shared" si="38"/>
        <v>0</v>
      </c>
      <c r="IB81" s="216">
        <f t="shared" si="39"/>
        <v>0</v>
      </c>
      <c r="IC81" s="216">
        <f t="shared" si="40"/>
        <v>0</v>
      </c>
      <c r="ID81" s="216">
        <f t="shared" si="41"/>
        <v>0</v>
      </c>
      <c r="IF81" s="216">
        <f t="shared" si="42"/>
        <v>0</v>
      </c>
    </row>
    <row r="82" spans="2:240" x14ac:dyDescent="0.2">
      <c r="B82" s="141" t="str">
        <v>Other Support &amp; Corporate Roles</v>
      </c>
      <c r="C82" s="141" t="str">
        <v>Legal Gov &amp; Risk - Senior (Legal Affairs)</v>
      </c>
      <c r="D82" s="141" t="str">
        <v>Internal Labour</v>
      </c>
      <c r="E82" s="141" t="str">
        <v>$ Nominal</v>
      </c>
      <c r="F82" s="141" t="str">
        <v>Existing</v>
      </c>
      <c r="G82" s="141" t="str">
        <v>Normal time</v>
      </c>
      <c r="H82" s="142">
        <v>313.99</v>
      </c>
      <c r="I82" s="126">
        <v>82452.419999999984</v>
      </c>
      <c r="J82" s="143">
        <v>0</v>
      </c>
      <c r="K82" s="144">
        <v>0</v>
      </c>
      <c r="L82" s="144">
        <v>0</v>
      </c>
      <c r="M82" s="144">
        <v>0</v>
      </c>
      <c r="N82" s="144">
        <v>0</v>
      </c>
      <c r="O82" s="144">
        <v>0</v>
      </c>
      <c r="P82" s="144">
        <v>0</v>
      </c>
      <c r="Q82" s="144">
        <v>0.13214285714285715</v>
      </c>
      <c r="R82" s="144">
        <v>0.15714285714285714</v>
      </c>
      <c r="S82" s="144">
        <v>0.35</v>
      </c>
      <c r="T82" s="144">
        <v>0.51071428571428568</v>
      </c>
      <c r="U82" s="144">
        <v>0.29642857142857143</v>
      </c>
      <c r="V82" s="144">
        <v>0.20952380952380953</v>
      </c>
      <c r="W82" s="144">
        <v>0.43809523809523809</v>
      </c>
      <c r="X82" s="144">
        <v>0</v>
      </c>
      <c r="Y82" s="144">
        <v>0</v>
      </c>
      <c r="Z82" s="144">
        <v>0</v>
      </c>
      <c r="AA82" s="144">
        <v>0</v>
      </c>
      <c r="AB82" s="144">
        <v>0</v>
      </c>
      <c r="AC82" s="144">
        <v>0</v>
      </c>
      <c r="AD82" s="144">
        <v>0</v>
      </c>
      <c r="AE82" s="144">
        <v>0</v>
      </c>
      <c r="AF82" s="144">
        <v>0</v>
      </c>
      <c r="AG82" s="144">
        <v>0</v>
      </c>
      <c r="AH82" s="144">
        <v>0</v>
      </c>
      <c r="AI82" s="144">
        <v>0</v>
      </c>
      <c r="AJ82" s="144">
        <v>0</v>
      </c>
      <c r="AK82" s="144">
        <v>0</v>
      </c>
      <c r="AL82" s="144">
        <v>0</v>
      </c>
      <c r="AM82" s="144">
        <v>0</v>
      </c>
      <c r="AN82" s="144">
        <v>0</v>
      </c>
      <c r="AO82" s="144">
        <v>0</v>
      </c>
      <c r="AP82" s="144">
        <v>0</v>
      </c>
      <c r="AQ82" s="144">
        <v>0</v>
      </c>
      <c r="AR82" s="144">
        <v>0</v>
      </c>
      <c r="AS82" s="144">
        <v>0</v>
      </c>
      <c r="AT82" s="144">
        <v>0</v>
      </c>
      <c r="AU82" s="144">
        <v>0</v>
      </c>
      <c r="AV82" s="144">
        <v>0</v>
      </c>
      <c r="AW82" s="144">
        <v>0</v>
      </c>
      <c r="AX82" s="144">
        <v>0</v>
      </c>
      <c r="AY82" s="144">
        <v>0</v>
      </c>
      <c r="AZ82" s="144">
        <v>0</v>
      </c>
      <c r="BA82" s="144">
        <v>0</v>
      </c>
      <c r="BB82" s="144">
        <v>0</v>
      </c>
      <c r="BC82" s="144">
        <v>0</v>
      </c>
      <c r="BD82" s="144">
        <v>0</v>
      </c>
      <c r="BE82" s="144">
        <v>0</v>
      </c>
      <c r="BF82" s="144">
        <v>0</v>
      </c>
      <c r="BG82" s="144">
        <v>0</v>
      </c>
      <c r="BH82" s="144">
        <v>0</v>
      </c>
      <c r="BI82" s="144">
        <v>0</v>
      </c>
      <c r="BJ82" s="144">
        <v>0</v>
      </c>
      <c r="BK82" s="144">
        <v>0</v>
      </c>
      <c r="BL82" s="144">
        <v>0</v>
      </c>
      <c r="BM82" s="144">
        <v>0</v>
      </c>
      <c r="BN82" s="144">
        <v>0</v>
      </c>
      <c r="BO82" s="144">
        <v>0</v>
      </c>
      <c r="BP82" s="144">
        <v>0</v>
      </c>
      <c r="BQ82" s="144">
        <v>0</v>
      </c>
      <c r="BR82" s="144">
        <v>0</v>
      </c>
      <c r="BS82" s="144">
        <v>0</v>
      </c>
      <c r="BT82" s="144">
        <v>0</v>
      </c>
      <c r="BU82" s="144">
        <v>0</v>
      </c>
      <c r="BV82" s="144">
        <v>0</v>
      </c>
      <c r="BW82" s="144">
        <v>0</v>
      </c>
      <c r="BX82" s="144">
        <v>0</v>
      </c>
      <c r="BY82" s="144">
        <v>0</v>
      </c>
      <c r="BZ82" s="144">
        <v>0</v>
      </c>
      <c r="CA82" s="144">
        <v>0</v>
      </c>
      <c r="CB82" s="144">
        <v>0</v>
      </c>
      <c r="CC82" s="144">
        <v>0</v>
      </c>
      <c r="CD82" s="144">
        <v>0</v>
      </c>
      <c r="CE82" s="144">
        <v>0</v>
      </c>
      <c r="CF82" s="144">
        <v>0</v>
      </c>
      <c r="CG82" s="144">
        <v>0</v>
      </c>
      <c r="CH82" s="144">
        <v>0</v>
      </c>
      <c r="CI82" s="144">
        <v>0</v>
      </c>
      <c r="CJ82" s="144">
        <v>0</v>
      </c>
      <c r="CK82" s="144">
        <v>0</v>
      </c>
      <c r="CL82" s="144">
        <v>0</v>
      </c>
      <c r="CM82" s="144">
        <v>0</v>
      </c>
      <c r="CN82" s="144">
        <v>0</v>
      </c>
      <c r="CO82" s="144">
        <v>0</v>
      </c>
      <c r="CP82" s="144">
        <v>0</v>
      </c>
      <c r="CQ82" s="143">
        <v>0</v>
      </c>
      <c r="CR82" s="145">
        <v>0</v>
      </c>
      <c r="CS82" s="145">
        <v>0</v>
      </c>
      <c r="CT82" s="145">
        <v>0</v>
      </c>
      <c r="CU82" s="145">
        <v>0</v>
      </c>
      <c r="CV82" s="145">
        <v>0</v>
      </c>
      <c r="CW82" s="145">
        <v>0</v>
      </c>
      <c r="CX82" s="145">
        <v>5639.0699999999988</v>
      </c>
      <c r="CY82" s="145">
        <v>6705.9399999999987</v>
      </c>
      <c r="CZ82" s="145">
        <v>14935.93</v>
      </c>
      <c r="DA82" s="145">
        <v>21794.239999999991</v>
      </c>
      <c r="DB82" s="145">
        <v>12649.8</v>
      </c>
      <c r="DC82" s="145">
        <v>6705.9499999999989</v>
      </c>
      <c r="DD82" s="145">
        <v>14021.489999999998</v>
      </c>
      <c r="DE82" s="145">
        <v>0</v>
      </c>
      <c r="DF82" s="145">
        <v>0</v>
      </c>
      <c r="DG82" s="145">
        <v>0</v>
      </c>
      <c r="DH82" s="145">
        <v>0</v>
      </c>
      <c r="DI82" s="145">
        <v>0</v>
      </c>
      <c r="DJ82" s="145">
        <v>0</v>
      </c>
      <c r="DK82" s="145">
        <v>0</v>
      </c>
      <c r="DL82" s="145">
        <v>0</v>
      </c>
      <c r="DM82" s="145">
        <v>0</v>
      </c>
      <c r="DN82" s="145">
        <v>0</v>
      </c>
      <c r="DO82" s="145">
        <v>0</v>
      </c>
      <c r="DP82" s="145">
        <v>0</v>
      </c>
      <c r="DQ82" s="145">
        <v>0</v>
      </c>
      <c r="DR82" s="145">
        <v>0</v>
      </c>
      <c r="DS82" s="145">
        <v>0</v>
      </c>
      <c r="DT82" s="145">
        <v>0</v>
      </c>
      <c r="DU82" s="145">
        <v>0</v>
      </c>
      <c r="DV82" s="145">
        <v>0</v>
      </c>
      <c r="DW82" s="145">
        <v>0</v>
      </c>
      <c r="DX82" s="145">
        <v>0</v>
      </c>
      <c r="DY82" s="145">
        <v>0</v>
      </c>
      <c r="DZ82" s="145">
        <v>0</v>
      </c>
      <c r="EA82" s="145">
        <v>0</v>
      </c>
      <c r="EB82" s="145">
        <v>0</v>
      </c>
      <c r="EC82" s="145">
        <v>0</v>
      </c>
      <c r="ED82" s="145">
        <v>0</v>
      </c>
      <c r="EE82" s="145">
        <v>0</v>
      </c>
      <c r="EF82" s="145">
        <v>0</v>
      </c>
      <c r="EG82" s="145">
        <v>0</v>
      </c>
      <c r="EH82" s="145">
        <v>0</v>
      </c>
      <c r="EI82" s="145">
        <v>0</v>
      </c>
      <c r="EJ82" s="145">
        <v>0</v>
      </c>
      <c r="EK82" s="145">
        <v>0</v>
      </c>
      <c r="EL82" s="145">
        <v>0</v>
      </c>
      <c r="EM82" s="145">
        <v>0</v>
      </c>
      <c r="EN82" s="145">
        <v>0</v>
      </c>
      <c r="EO82" s="145">
        <v>0</v>
      </c>
      <c r="EP82" s="145">
        <v>0</v>
      </c>
      <c r="EQ82" s="145">
        <v>0</v>
      </c>
      <c r="ER82" s="145">
        <v>0</v>
      </c>
      <c r="ES82" s="145">
        <v>0</v>
      </c>
      <c r="ET82" s="145">
        <v>0</v>
      </c>
      <c r="EU82" s="145">
        <v>0</v>
      </c>
      <c r="EV82" s="145">
        <v>0</v>
      </c>
      <c r="EW82" s="145">
        <v>0</v>
      </c>
      <c r="EX82" s="145">
        <v>0</v>
      </c>
      <c r="EY82" s="145">
        <v>0</v>
      </c>
      <c r="EZ82" s="145">
        <v>0</v>
      </c>
      <c r="FA82" s="145">
        <v>0</v>
      </c>
      <c r="FB82" s="145">
        <v>0</v>
      </c>
      <c r="FC82" s="145">
        <v>0</v>
      </c>
      <c r="FD82" s="145">
        <v>0</v>
      </c>
      <c r="FE82" s="145">
        <v>0</v>
      </c>
      <c r="FF82" s="145">
        <v>0</v>
      </c>
      <c r="FG82" s="145">
        <v>0</v>
      </c>
      <c r="FH82" s="145">
        <v>0</v>
      </c>
      <c r="FI82" s="145">
        <v>0</v>
      </c>
      <c r="FJ82" s="145">
        <v>0</v>
      </c>
      <c r="FK82" s="145">
        <v>0</v>
      </c>
      <c r="FL82" s="145">
        <v>0</v>
      </c>
      <c r="FM82" s="145">
        <v>0</v>
      </c>
      <c r="FN82" s="145">
        <v>0</v>
      </c>
      <c r="FO82" s="145">
        <v>0</v>
      </c>
      <c r="FP82" s="145">
        <v>0</v>
      </c>
      <c r="FQ82" s="145">
        <v>0</v>
      </c>
      <c r="FR82" s="145">
        <v>0</v>
      </c>
      <c r="FS82" s="145">
        <v>0</v>
      </c>
      <c r="FT82" s="145">
        <v>0</v>
      </c>
      <c r="FU82" s="145">
        <v>0</v>
      </c>
      <c r="FV82" s="145">
        <v>0</v>
      </c>
      <c r="FW82" s="145">
        <v>0</v>
      </c>
      <c r="FX82" s="143"/>
      <c r="FY82" s="146" t="str">
        <f>_xlfn.XLOOKUP($E82,'Key assumptions'!$B$112:$B$120,'Key assumptions'!$C$112:$C$120,0)</f>
        <v>Nominal</v>
      </c>
      <c r="FZ82" s="146" cm="1">
        <f t="array" ref="FZ82">IF($FY82=0,0,_xlfn.IFS($FY82='Key assumptions'!$C$120,_xlfn.XLOOKUP(LEFT(FZ$7,6),Inflation_Year,Inflation_NominaltoReal),TRUE,_xlfn.XLOOKUP($FY82,Inflation_Year,NominaltoReal)))</f>
        <v>1.0197075870962191</v>
      </c>
      <c r="GA82" s="146" cm="1">
        <f t="array" ref="GA82">IF($FY82=0,0,_xlfn.IFS($FY82='Key assumptions'!$C$120,_xlfn.XLOOKUP(LEFT(GA$7,6),Inflation_Year,Inflation_NominaltoReal),TRUE,_xlfn.XLOOKUP($FY82,Inflation_Year,NominaltoReal)))</f>
        <v>0.98700804022984445</v>
      </c>
      <c r="GB82" s="146" cm="1">
        <f t="array" ref="GB82">IF($FY82=0,0,_xlfn.IFS($FY82='Key assumptions'!$C$120,_xlfn.XLOOKUP(LEFT(GB$7,6),Inflation_Year,Inflation_NominaltoReal),TRUE,_xlfn.XLOOKUP($FY82,Inflation_Year,NominaltoReal)))</f>
        <v>0.96152830081941731</v>
      </c>
      <c r="GC82" s="146" cm="1">
        <f t="array" ref="GC82">IF($FY82=0,0,_xlfn.IFS($FY82='Key assumptions'!$C$120,_xlfn.XLOOKUP(LEFT(GC$7,6),Inflation_Year,Inflation_NominaltoReal),TRUE,_xlfn.XLOOKUP($FY82,Inflation_Year,NominaltoReal)))</f>
        <v>0.93670632415656829</v>
      </c>
      <c r="GD82" s="146" cm="1">
        <f t="array" ref="GD82">IF($FY82=0,0,_xlfn.IFS($FY82='Key assumptions'!$C$120,_xlfn.XLOOKUP(LEFT(GD$7,6),Inflation_Year,Inflation_NominaltoReal),TRUE,_xlfn.XLOOKUP($FY82,Inflation_Year,NominaltoReal)))</f>
        <v>0.91252513001143176</v>
      </c>
      <c r="GE82" s="146" cm="1">
        <f t="array" ref="GE82">IF($FY82=0,0,_xlfn.IFS($FY82='Key assumptions'!$C$120,_xlfn.XLOOKUP(LEFT(GE$7,6),Inflation_Year,Inflation_NominaltoReal),TRUE,_xlfn.XLOOKUP($FY82,Inflation_Year,NominaltoReal)))</f>
        <v>0.88896817650095872</v>
      </c>
      <c r="GF82" s="146" cm="1">
        <f t="array" ref="GF82">IF($FY82=0,0,_xlfn.IFS($FY82='Key assumptions'!$C$120,_xlfn.XLOOKUP(LEFT(GF$7,6),Inflation_Year,Inflation_NominaltoReal),TRUE,_xlfn.XLOOKUP($FY82,Inflation_Year,NominaltoReal)))</f>
        <v>0.86601934877293718</v>
      </c>
      <c r="GG82" s="143"/>
      <c r="GH82" s="145" cm="1">
        <f t="array" ref="GH82">SUMPRODUCT(--($CR$7:$FW$7&gt;=GH$5),--($CR$7:$FW$7&lt;=GH$6),$CR82:$FW82)*FZ82</f>
        <v>0</v>
      </c>
      <c r="GI82" s="145" cm="1">
        <f t="array" ref="GI82">SUMPRODUCT(--($CR$7:$FW$7&gt;=GI$5),--($CR$7:$FW$7&lt;=GI$6),$CR82:$FW82)*GA82</f>
        <v>0</v>
      </c>
      <c r="GJ82" s="145" cm="1">
        <f t="array" ref="GJ82">SUMPRODUCT(--($CR$7:$FW$7&gt;=GJ$5),--($CR$7:$FW$7&lt;=GJ$6),$CR82:$FW82)*GB82</f>
        <v>0</v>
      </c>
      <c r="GK82" s="145" cm="1">
        <f t="array" ref="GK82">SUMPRODUCT(--($CR$7:$FW$7&gt;=GK$5),--($CR$7:$FW$7&lt;=GK$6),$CR82:$FW82)*GC82</f>
        <v>0</v>
      </c>
      <c r="GL82" s="145" cm="1">
        <f t="array" ref="GL82">SUMPRODUCT(--($CR$7:$FW$7&gt;=GL$5),--($CR$7:$FW$7&lt;=GL$6),$CR82:$FW82)*GD82</f>
        <v>0</v>
      </c>
      <c r="GM82" s="145" cm="1">
        <f t="array" ref="GM82">SUMPRODUCT(--($CR$7:$FW$7&gt;=GM$5),--($CR$7:$FW$7&lt;=GM$6),$CR82:$FW82)*GE82</f>
        <v>0</v>
      </c>
      <c r="GN82" s="145" cm="1">
        <f t="array" ref="GN82">SUMPRODUCT(--($CR$7:$FW$7&gt;=GN$5),--($CR$7:$FW$7&lt;=GN$6),$CR82:$FW82)*GF82</f>
        <v>0</v>
      </c>
      <c r="GO82" s="145">
        <f t="shared" si="23"/>
        <v>0</v>
      </c>
      <c r="GP82" s="87"/>
      <c r="GQ82" s="89"/>
      <c r="GR82" s="145" cm="1">
        <f t="array" ref="GR82">SUMPRODUCT(--($CR$7:$FW$7&gt;=GR$5),--($CR$7:$FW$7&lt;=GR$6),$CR82:$FW82)</f>
        <v>0</v>
      </c>
      <c r="GS82" s="89"/>
      <c r="GT82" s="214" cm="1">
        <f t="array" ref="GT82">--AND(MIN(IF($K82:$CP82&lt;&gt;0,$K$7:$CP$7))&gt;=GT$5,MIN(IF($K82:$CP82&lt;&gt;0,$K$7:$CP$7))&lt;=GT$6)</f>
        <v>0</v>
      </c>
      <c r="GU82" s="214" cm="1">
        <f t="array" ref="GU82">--AND(MIN(IF($K82:$CP82&lt;&gt;0,$K$7:$CP$7))&gt;=GU$5,MIN(IF($K82:$CP82&lt;&gt;0,$K$7:$CP$7))&lt;=GU$6)</f>
        <v>0</v>
      </c>
      <c r="GV82" s="214" cm="1">
        <f t="array" ref="GV82">--AND(MIN(IF($K82:$CP82&lt;&gt;0,$K$7:$CP$7))&gt;=GV$5,MIN(IF($K82:$CP82&lt;&gt;0,$K$7:$CP$7))&lt;=GV$6)</f>
        <v>0</v>
      </c>
      <c r="GW82" s="214" cm="1">
        <f t="array" ref="GW82">--AND(MIN(IF($K82:$CP82&lt;&gt;0,$K$7:$CP$7))&gt;=GW$5,MIN(IF($K82:$CP82&lt;&gt;0,$K$7:$CP$7))&lt;=GW$6)</f>
        <v>0</v>
      </c>
      <c r="GX82" s="214" cm="1">
        <f t="array" ref="GX82">--AND(MIN(IF($K82:$CP82&lt;&gt;0,$K$7:$CP$7))&gt;=GX$5,MIN(IF($K82:$CP82&lt;&gt;0,$K$7:$CP$7))&lt;=GX$6)</f>
        <v>0</v>
      </c>
      <c r="GY82" s="214" cm="1">
        <f t="array" ref="GY82">--AND(MIN(IF($K82:$CP82&lt;&gt;0,$K$7:$CP$7))&gt;=GY$5,MIN(IF($K82:$CP82&lt;&gt;0,$K$7:$CP$7))&lt;=GY$6)</f>
        <v>0</v>
      </c>
      <c r="GZ82" s="214" cm="1">
        <f t="array" ref="GZ82">--AND(MIN(IF($K82:$CP82&lt;&gt;0,$K$7:$CP$7))&gt;=GZ$5,MIN(IF($K82:$CP82&lt;&gt;0,$K$7:$CP$7))&lt;=GZ$6)</f>
        <v>0</v>
      </c>
      <c r="HA82" s="214">
        <f t="shared" si="24"/>
        <v>0</v>
      </c>
      <c r="HC82" s="214" cm="1">
        <f t="array" ref="HC82">--AND(MIN(IF($K82:$CP82&lt;&gt;0,$K$7:$CP$7))&gt;=HC$5,MIN(IF($K82:$CP82&lt;&gt;0,$K$7:$CP$7))&lt;=HC$6)</f>
        <v>0</v>
      </c>
      <c r="HE82" s="147" t="str">
        <f t="shared" si="43"/>
        <v>No</v>
      </c>
      <c r="HF82" s="147" t="str">
        <f t="shared" si="44"/>
        <v>No</v>
      </c>
      <c r="HG82" s="147">
        <f>IF($HF82="Yes",0,$H82*avg_hrs*12*'Key assumptions'!$D$87)</f>
        <v>561498.58629348304</v>
      </c>
      <c r="HH82" s="147">
        <f>IF(HE82="Yes",'Key assumptions'!$D$84*HG82,0)</f>
        <v>0</v>
      </c>
      <c r="HI82" s="144">
        <f>IFERROR(AVERAGEIFS($K82:$CP82,$K$7:$CP$7,"&gt;="&amp;'Key assumptions'!$D$24,$K$7:$CP$7,"&lt;="&amp;'Key assumptions'!$D$25),0)</f>
        <v>0</v>
      </c>
      <c r="HJ82" s="148">
        <f t="shared" si="25"/>
        <v>0</v>
      </c>
      <c r="HK82" s="148">
        <f t="shared" si="26"/>
        <v>0</v>
      </c>
      <c r="HL82" s="148">
        <f t="shared" si="27"/>
        <v>0</v>
      </c>
      <c r="HM82" s="148">
        <f t="shared" si="28"/>
        <v>0</v>
      </c>
      <c r="HN82" s="148">
        <f t="shared" si="29"/>
        <v>0</v>
      </c>
      <c r="HO82" s="148">
        <f t="shared" si="30"/>
        <v>0</v>
      </c>
      <c r="HP82" s="148">
        <f t="shared" si="31"/>
        <v>0</v>
      </c>
      <c r="HQ82" s="148">
        <f t="shared" si="32"/>
        <v>0</v>
      </c>
      <c r="HR82" s="147">
        <f t="shared" si="33"/>
        <v>0</v>
      </c>
      <c r="HS82" s="89"/>
      <c r="HU82" s="147">
        <f>$HJ82*HC82/(1+'Key assumptions'!G104)^0.75</f>
        <v>0</v>
      </c>
      <c r="HW82" s="216">
        <f t="shared" si="34"/>
        <v>0</v>
      </c>
      <c r="HX82" s="216">
        <f t="shared" si="35"/>
        <v>0</v>
      </c>
      <c r="HY82" s="216">
        <f t="shared" si="36"/>
        <v>0</v>
      </c>
      <c r="HZ82" s="216">
        <f t="shared" si="37"/>
        <v>0</v>
      </c>
      <c r="IA82" s="216">
        <f t="shared" si="38"/>
        <v>0</v>
      </c>
      <c r="IB82" s="216">
        <f t="shared" si="39"/>
        <v>0</v>
      </c>
      <c r="IC82" s="216">
        <f t="shared" si="40"/>
        <v>0</v>
      </c>
      <c r="ID82" s="216">
        <f t="shared" si="41"/>
        <v>0</v>
      </c>
      <c r="IF82" s="216">
        <f t="shared" si="42"/>
        <v>0</v>
      </c>
    </row>
    <row r="83" spans="2:240" x14ac:dyDescent="0.2">
      <c r="B83" s="141" t="str">
        <v>Other Support &amp; Corporate Roles</v>
      </c>
      <c r="C83" s="141" t="str">
        <v>Governance/Commercial Manager (Energy Connect)</v>
      </c>
      <c r="D83" s="141" t="str">
        <v>Internal Labour</v>
      </c>
      <c r="E83" s="141" t="str">
        <v>$ Nominal</v>
      </c>
      <c r="F83" s="141" t="str">
        <v>Existing</v>
      </c>
      <c r="G83" s="141" t="str">
        <v>Normal time</v>
      </c>
      <c r="H83" s="142">
        <v>400.37</v>
      </c>
      <c r="I83" s="126">
        <v>138258.13</v>
      </c>
      <c r="J83" s="143">
        <v>0</v>
      </c>
      <c r="K83" s="144">
        <v>0</v>
      </c>
      <c r="L83" s="144">
        <v>0</v>
      </c>
      <c r="M83" s="144">
        <v>0</v>
      </c>
      <c r="N83" s="144">
        <v>0</v>
      </c>
      <c r="O83" s="144">
        <v>0</v>
      </c>
      <c r="P83" s="144">
        <v>0</v>
      </c>
      <c r="Q83" s="144">
        <v>0</v>
      </c>
      <c r="R83" s="144">
        <v>4.642857142857143E-2</v>
      </c>
      <c r="S83" s="144">
        <v>3.5714285714285712E-2</v>
      </c>
      <c r="T83" s="144">
        <v>1.4285714285714285E-2</v>
      </c>
      <c r="U83" s="144">
        <v>1.4285714285714285E-2</v>
      </c>
      <c r="V83" s="144">
        <v>5.7142857142857141E-2</v>
      </c>
      <c r="W83" s="144">
        <v>2.8571428571428571E-2</v>
      </c>
      <c r="X83" s="144">
        <v>0</v>
      </c>
      <c r="Y83" s="144">
        <v>0.4</v>
      </c>
      <c r="Z83" s="144">
        <v>0.13333333333333333</v>
      </c>
      <c r="AA83" s="144">
        <v>0.23026315789473684</v>
      </c>
      <c r="AB83" s="144">
        <v>0</v>
      </c>
      <c r="AC83" s="144">
        <v>0</v>
      </c>
      <c r="AD83" s="144">
        <v>0</v>
      </c>
      <c r="AE83" s="144">
        <v>0</v>
      </c>
      <c r="AF83" s="144">
        <v>0.25</v>
      </c>
      <c r="AG83" s="144">
        <v>0</v>
      </c>
      <c r="AH83" s="144">
        <v>0</v>
      </c>
      <c r="AI83" s="144">
        <v>0</v>
      </c>
      <c r="AJ83" s="144">
        <v>0</v>
      </c>
      <c r="AK83" s="144">
        <v>0</v>
      </c>
      <c r="AL83" s="144">
        <v>0.33333333333333331</v>
      </c>
      <c r="AM83" s="144">
        <v>0</v>
      </c>
      <c r="AN83" s="144">
        <v>0</v>
      </c>
      <c r="AO83" s="144">
        <v>0</v>
      </c>
      <c r="AP83" s="144">
        <v>0</v>
      </c>
      <c r="AQ83" s="144">
        <v>0</v>
      </c>
      <c r="AR83" s="144">
        <v>0.25</v>
      </c>
      <c r="AS83" s="144">
        <v>0</v>
      </c>
      <c r="AT83" s="144">
        <v>0</v>
      </c>
      <c r="AU83" s="144">
        <v>0</v>
      </c>
      <c r="AV83" s="144">
        <v>0.4</v>
      </c>
      <c r="AW83" s="144">
        <v>0.1</v>
      </c>
      <c r="AX83" s="144">
        <v>0</v>
      </c>
      <c r="AY83" s="144">
        <v>0</v>
      </c>
      <c r="AZ83" s="144">
        <v>0</v>
      </c>
      <c r="BA83" s="144">
        <v>0</v>
      </c>
      <c r="BB83" s="144">
        <v>0</v>
      </c>
      <c r="BC83" s="144">
        <v>0.25</v>
      </c>
      <c r="BD83" s="144">
        <v>0</v>
      </c>
      <c r="BE83" s="144">
        <v>0</v>
      </c>
      <c r="BF83" s="144">
        <v>0</v>
      </c>
      <c r="BG83" s="144">
        <v>0</v>
      </c>
      <c r="BH83" s="144">
        <v>0</v>
      </c>
      <c r="BI83" s="144">
        <v>0</v>
      </c>
      <c r="BJ83" s="144">
        <v>0</v>
      </c>
      <c r="BK83" s="144">
        <v>0</v>
      </c>
      <c r="BL83" s="144">
        <v>0</v>
      </c>
      <c r="BM83" s="144">
        <v>0</v>
      </c>
      <c r="BN83" s="144">
        <v>0</v>
      </c>
      <c r="BO83" s="144">
        <v>0</v>
      </c>
      <c r="BP83" s="144">
        <v>0</v>
      </c>
      <c r="BQ83" s="144">
        <v>0</v>
      </c>
      <c r="BR83" s="144">
        <v>0</v>
      </c>
      <c r="BS83" s="144">
        <v>0</v>
      </c>
      <c r="BT83" s="144">
        <v>0</v>
      </c>
      <c r="BU83" s="144">
        <v>0</v>
      </c>
      <c r="BV83" s="144">
        <v>0</v>
      </c>
      <c r="BW83" s="144">
        <v>0</v>
      </c>
      <c r="BX83" s="144">
        <v>0</v>
      </c>
      <c r="BY83" s="144">
        <v>0</v>
      </c>
      <c r="BZ83" s="144">
        <v>0</v>
      </c>
      <c r="CA83" s="144">
        <v>0</v>
      </c>
      <c r="CB83" s="144">
        <v>0</v>
      </c>
      <c r="CC83" s="144">
        <v>0</v>
      </c>
      <c r="CD83" s="144">
        <v>0</v>
      </c>
      <c r="CE83" s="144">
        <v>0</v>
      </c>
      <c r="CF83" s="144">
        <v>0</v>
      </c>
      <c r="CG83" s="144">
        <v>0</v>
      </c>
      <c r="CH83" s="144">
        <v>0</v>
      </c>
      <c r="CI83" s="144">
        <v>0</v>
      </c>
      <c r="CJ83" s="144">
        <v>0</v>
      </c>
      <c r="CK83" s="144">
        <v>0</v>
      </c>
      <c r="CL83" s="144">
        <v>0</v>
      </c>
      <c r="CM83" s="144">
        <v>0</v>
      </c>
      <c r="CN83" s="144">
        <v>0</v>
      </c>
      <c r="CO83" s="144">
        <v>0</v>
      </c>
      <c r="CP83" s="144">
        <v>0</v>
      </c>
      <c r="CQ83" s="143">
        <v>0</v>
      </c>
      <c r="CR83" s="145">
        <v>0</v>
      </c>
      <c r="CS83" s="145">
        <v>0</v>
      </c>
      <c r="CT83" s="145">
        <v>0</v>
      </c>
      <c r="CU83" s="145">
        <v>0</v>
      </c>
      <c r="CV83" s="145">
        <v>0</v>
      </c>
      <c r="CW83" s="145">
        <v>0</v>
      </c>
      <c r="CX83" s="145">
        <v>0</v>
      </c>
      <c r="CY83" s="145">
        <v>2271.3399999999997</v>
      </c>
      <c r="CZ83" s="145">
        <v>2490.9000000000005</v>
      </c>
      <c r="DA83" s="145">
        <v>996.3599999999999</v>
      </c>
      <c r="DB83" s="145">
        <v>996.3599999999999</v>
      </c>
      <c r="DC83" s="145">
        <v>2989.08</v>
      </c>
      <c r="DD83" s="145">
        <v>1494.54</v>
      </c>
      <c r="DE83" s="145">
        <v>0</v>
      </c>
      <c r="DF83" s="145">
        <v>21769.440000000002</v>
      </c>
      <c r="DG83" s="145">
        <v>5442.3600000000006</v>
      </c>
      <c r="DH83" s="145">
        <v>13605.9</v>
      </c>
      <c r="DI83" s="145">
        <v>0</v>
      </c>
      <c r="DJ83" s="145">
        <v>0</v>
      </c>
      <c r="DK83" s="145">
        <v>0</v>
      </c>
      <c r="DL83" s="145">
        <v>0</v>
      </c>
      <c r="DM83" s="145">
        <v>14013.3</v>
      </c>
      <c r="DN83" s="145">
        <v>0</v>
      </c>
      <c r="DO83" s="145">
        <v>0</v>
      </c>
      <c r="DP83" s="145">
        <v>0</v>
      </c>
      <c r="DQ83" s="145">
        <v>0</v>
      </c>
      <c r="DR83" s="145">
        <v>0</v>
      </c>
      <c r="DS83" s="145">
        <v>14013.3</v>
      </c>
      <c r="DT83" s="145">
        <v>0</v>
      </c>
      <c r="DU83" s="145">
        <v>0</v>
      </c>
      <c r="DV83" s="145">
        <v>0</v>
      </c>
      <c r="DW83" s="145">
        <v>0</v>
      </c>
      <c r="DX83" s="145">
        <v>0</v>
      </c>
      <c r="DY83" s="145">
        <v>14436.099999999999</v>
      </c>
      <c r="DZ83" s="145">
        <v>0</v>
      </c>
      <c r="EA83" s="145">
        <v>0</v>
      </c>
      <c r="EB83" s="145">
        <v>0</v>
      </c>
      <c r="EC83" s="145">
        <v>23097.759999999998</v>
      </c>
      <c r="ED83" s="145">
        <v>5774.44</v>
      </c>
      <c r="EE83" s="145">
        <v>0</v>
      </c>
      <c r="EF83" s="145">
        <v>0</v>
      </c>
      <c r="EG83" s="145">
        <v>0</v>
      </c>
      <c r="EH83" s="145">
        <v>0</v>
      </c>
      <c r="EI83" s="145">
        <v>0</v>
      </c>
      <c r="EJ83" s="145">
        <v>14866.949999999999</v>
      </c>
      <c r="EK83" s="145">
        <v>0</v>
      </c>
      <c r="EL83" s="145">
        <v>0</v>
      </c>
      <c r="EM83" s="145">
        <v>0</v>
      </c>
      <c r="EN83" s="145">
        <v>0</v>
      </c>
      <c r="EO83" s="145">
        <v>0</v>
      </c>
      <c r="EP83" s="145">
        <v>0</v>
      </c>
      <c r="EQ83" s="145">
        <v>0</v>
      </c>
      <c r="ER83" s="145">
        <v>0</v>
      </c>
      <c r="ES83" s="145">
        <v>0</v>
      </c>
      <c r="ET83" s="145">
        <v>0</v>
      </c>
      <c r="EU83" s="145">
        <v>0</v>
      </c>
      <c r="EV83" s="145">
        <v>0</v>
      </c>
      <c r="EW83" s="145">
        <v>0</v>
      </c>
      <c r="EX83" s="145">
        <v>0</v>
      </c>
      <c r="EY83" s="145">
        <v>0</v>
      </c>
      <c r="EZ83" s="145">
        <v>0</v>
      </c>
      <c r="FA83" s="145">
        <v>0</v>
      </c>
      <c r="FB83" s="145">
        <v>0</v>
      </c>
      <c r="FC83" s="145">
        <v>0</v>
      </c>
      <c r="FD83" s="145">
        <v>0</v>
      </c>
      <c r="FE83" s="145">
        <v>0</v>
      </c>
      <c r="FF83" s="145">
        <v>0</v>
      </c>
      <c r="FG83" s="145">
        <v>0</v>
      </c>
      <c r="FH83" s="145">
        <v>0</v>
      </c>
      <c r="FI83" s="145">
        <v>0</v>
      </c>
      <c r="FJ83" s="145">
        <v>0</v>
      </c>
      <c r="FK83" s="145">
        <v>0</v>
      </c>
      <c r="FL83" s="145">
        <v>0</v>
      </c>
      <c r="FM83" s="145">
        <v>0</v>
      </c>
      <c r="FN83" s="145">
        <v>0</v>
      </c>
      <c r="FO83" s="145">
        <v>0</v>
      </c>
      <c r="FP83" s="145">
        <v>0</v>
      </c>
      <c r="FQ83" s="145">
        <v>0</v>
      </c>
      <c r="FR83" s="145">
        <v>0</v>
      </c>
      <c r="FS83" s="145">
        <v>0</v>
      </c>
      <c r="FT83" s="145">
        <v>0</v>
      </c>
      <c r="FU83" s="145">
        <v>0</v>
      </c>
      <c r="FV83" s="145">
        <v>0</v>
      </c>
      <c r="FW83" s="145">
        <v>0</v>
      </c>
      <c r="FX83" s="143"/>
      <c r="FY83" s="146" t="str">
        <f>_xlfn.XLOOKUP($E83,'Key assumptions'!$B$112:$B$120,'Key assumptions'!$C$112:$C$120,0)</f>
        <v>Nominal</v>
      </c>
      <c r="FZ83" s="146" cm="1">
        <f t="array" ref="FZ83">IF($FY83=0,0,_xlfn.IFS($FY83='Key assumptions'!$C$120,_xlfn.XLOOKUP(LEFT(FZ$7,6),Inflation_Year,Inflation_NominaltoReal),TRUE,_xlfn.XLOOKUP($FY83,Inflation_Year,NominaltoReal)))</f>
        <v>1.0197075870962191</v>
      </c>
      <c r="GA83" s="146" cm="1">
        <f t="array" ref="GA83">IF($FY83=0,0,_xlfn.IFS($FY83='Key assumptions'!$C$120,_xlfn.XLOOKUP(LEFT(GA$7,6),Inflation_Year,Inflation_NominaltoReal),TRUE,_xlfn.XLOOKUP($FY83,Inflation_Year,NominaltoReal)))</f>
        <v>0.98700804022984445</v>
      </c>
      <c r="GB83" s="146" cm="1">
        <f t="array" ref="GB83">IF($FY83=0,0,_xlfn.IFS($FY83='Key assumptions'!$C$120,_xlfn.XLOOKUP(LEFT(GB$7,6),Inflation_Year,Inflation_NominaltoReal),TRUE,_xlfn.XLOOKUP($FY83,Inflation_Year,NominaltoReal)))</f>
        <v>0.96152830081941731</v>
      </c>
      <c r="GC83" s="146" cm="1">
        <f t="array" ref="GC83">IF($FY83=0,0,_xlfn.IFS($FY83='Key assumptions'!$C$120,_xlfn.XLOOKUP(LEFT(GC$7,6),Inflation_Year,Inflation_NominaltoReal),TRUE,_xlfn.XLOOKUP($FY83,Inflation_Year,NominaltoReal)))</f>
        <v>0.93670632415656829</v>
      </c>
      <c r="GD83" s="146" cm="1">
        <f t="array" ref="GD83">IF($FY83=0,0,_xlfn.IFS($FY83='Key assumptions'!$C$120,_xlfn.XLOOKUP(LEFT(GD$7,6),Inflation_Year,Inflation_NominaltoReal),TRUE,_xlfn.XLOOKUP($FY83,Inflation_Year,NominaltoReal)))</f>
        <v>0.91252513001143176</v>
      </c>
      <c r="GE83" s="146" cm="1">
        <f t="array" ref="GE83">IF($FY83=0,0,_xlfn.IFS($FY83='Key assumptions'!$C$120,_xlfn.XLOOKUP(LEFT(GE$7,6),Inflation_Year,Inflation_NominaltoReal),TRUE,_xlfn.XLOOKUP($FY83,Inflation_Year,NominaltoReal)))</f>
        <v>0.88896817650095872</v>
      </c>
      <c r="GF83" s="146" cm="1">
        <f t="array" ref="GF83">IF($FY83=0,0,_xlfn.IFS($FY83='Key assumptions'!$C$120,_xlfn.XLOOKUP(LEFT(GF$7,6),Inflation_Year,Inflation_NominaltoReal),TRUE,_xlfn.XLOOKUP($FY83,Inflation_Year,NominaltoReal)))</f>
        <v>0.86601934877293718</v>
      </c>
      <c r="GG83" s="143"/>
      <c r="GH83" s="145" cm="1">
        <f t="array" ref="GH83">SUMPRODUCT(--($CR$7:$FW$7&gt;=GH$5),--($CR$7:$FW$7&lt;=GH$6),$CR83:$FW83)*FZ83</f>
        <v>41622.118377817351</v>
      </c>
      <c r="GI83" s="145" cm="1">
        <f t="array" ref="GI83">SUMPRODUCT(--($CR$7:$FW$7&gt;=GI$5),--($CR$7:$FW$7&lt;=GI$6),$CR83:$FW83)*GA83</f>
        <v>27662.479540305758</v>
      </c>
      <c r="GJ83" s="145" cm="1">
        <f t="array" ref="GJ83">SUMPRODUCT(--($CR$7:$FW$7&gt;=GJ$5),--($CR$7:$FW$7&lt;=GJ$6),$CR83:$FW83)*GB83</f>
        <v>55937.149282244805</v>
      </c>
      <c r="GK83" s="145" cm="1">
        <f t="array" ref="GK83">SUMPRODUCT(--($CR$7:$FW$7&gt;=GK$5),--($CR$7:$FW$7&lt;=GK$6),$CR83:$FW83)*GC83</f>
        <v>0</v>
      </c>
      <c r="GL83" s="145" cm="1">
        <f t="array" ref="GL83">SUMPRODUCT(--($CR$7:$FW$7&gt;=GL$5),--($CR$7:$FW$7&lt;=GL$6),$CR83:$FW83)*GD83</f>
        <v>0</v>
      </c>
      <c r="GM83" s="145" cm="1">
        <f t="array" ref="GM83">SUMPRODUCT(--($CR$7:$FW$7&gt;=GM$5),--($CR$7:$FW$7&lt;=GM$6),$CR83:$FW83)*GE83</f>
        <v>0</v>
      </c>
      <c r="GN83" s="145" cm="1">
        <f t="array" ref="GN83">SUMPRODUCT(--($CR$7:$FW$7&gt;=GN$5),--($CR$7:$FW$7&lt;=GN$6),$CR83:$FW83)*GF83</f>
        <v>0</v>
      </c>
      <c r="GO83" s="145">
        <f t="shared" si="23"/>
        <v>125221.74720036791</v>
      </c>
      <c r="GP83" s="87"/>
      <c r="GQ83" s="89"/>
      <c r="GR83" s="145" cm="1">
        <f t="array" ref="GR83">SUMPRODUCT(--($CR$7:$FW$7&gt;=GR$5),--($CR$7:$FW$7&lt;=GR$6),$CR83:$FW83)</f>
        <v>40817.700000000004</v>
      </c>
      <c r="GS83" s="89"/>
      <c r="GT83" s="214" cm="1">
        <f t="array" ref="GT83">--AND(MIN(IF($K83:$CP83&lt;&gt;0,$K$7:$CP$7))&gt;=GT$5,MIN(IF($K83:$CP83&lt;&gt;0,$K$7:$CP$7))&lt;=GT$6)</f>
        <v>0</v>
      </c>
      <c r="GU83" s="214" cm="1">
        <f t="array" ref="GU83">--AND(MIN(IF($K83:$CP83&lt;&gt;0,$K$7:$CP$7))&gt;=GU$5,MIN(IF($K83:$CP83&lt;&gt;0,$K$7:$CP$7))&lt;=GU$6)</f>
        <v>0</v>
      </c>
      <c r="GV83" s="214" cm="1">
        <f t="array" ref="GV83">--AND(MIN(IF($K83:$CP83&lt;&gt;0,$K$7:$CP$7))&gt;=GV$5,MIN(IF($K83:$CP83&lt;&gt;0,$K$7:$CP$7))&lt;=GV$6)</f>
        <v>0</v>
      </c>
      <c r="GW83" s="214" cm="1">
        <f t="array" ref="GW83">--AND(MIN(IF($K83:$CP83&lt;&gt;0,$K$7:$CP$7))&gt;=GW$5,MIN(IF($K83:$CP83&lt;&gt;0,$K$7:$CP$7))&lt;=GW$6)</f>
        <v>0</v>
      </c>
      <c r="GX83" s="214" cm="1">
        <f t="array" ref="GX83">--AND(MIN(IF($K83:$CP83&lt;&gt;0,$K$7:$CP$7))&gt;=GX$5,MIN(IF($K83:$CP83&lt;&gt;0,$K$7:$CP$7))&lt;=GX$6)</f>
        <v>0</v>
      </c>
      <c r="GY83" s="214" cm="1">
        <f t="array" ref="GY83">--AND(MIN(IF($K83:$CP83&lt;&gt;0,$K$7:$CP$7))&gt;=GY$5,MIN(IF($K83:$CP83&lt;&gt;0,$K$7:$CP$7))&lt;=GY$6)</f>
        <v>0</v>
      </c>
      <c r="GZ83" s="214" cm="1">
        <f t="array" ref="GZ83">--AND(MIN(IF($K83:$CP83&lt;&gt;0,$K$7:$CP$7))&gt;=GZ$5,MIN(IF($K83:$CP83&lt;&gt;0,$K$7:$CP$7))&lt;=GZ$6)</f>
        <v>0</v>
      </c>
      <c r="HA83" s="214">
        <f t="shared" si="24"/>
        <v>0</v>
      </c>
      <c r="HC83" s="214" cm="1">
        <f t="array" ref="HC83">--AND(MIN(IF($K83:$CP83&lt;&gt;0,$K$7:$CP$7))&gt;=HC$5,MIN(IF($K83:$CP83&lt;&gt;0,$K$7:$CP$7))&lt;=HC$6)</f>
        <v>0</v>
      </c>
      <c r="HE83" s="147" t="str">
        <f t="shared" si="43"/>
        <v>No</v>
      </c>
      <c r="HF83" s="147" t="str">
        <f t="shared" si="44"/>
        <v>No</v>
      </c>
      <c r="HG83" s="147">
        <f>IF($HF83="Yes",0,$H83*avg_hrs*12*'Key assumptions'!$D$87)</f>
        <v>715969.26333425206</v>
      </c>
      <c r="HH83" s="147">
        <f>IF(HE83="Yes",'Key assumptions'!$D$84*HG83,0)</f>
        <v>0</v>
      </c>
      <c r="HI83" s="144">
        <f>IFERROR(AVERAGEIFS($K83:$CP83,$K$7:$CP$7,"&gt;="&amp;'Key assumptions'!$D$24,$K$7:$CP$7,"&lt;="&amp;'Key assumptions'!$D$25),0)</f>
        <v>5.3339314194577353E-2</v>
      </c>
      <c r="HJ83" s="148">
        <f t="shared" si="25"/>
        <v>0</v>
      </c>
      <c r="HK83" s="148">
        <f t="shared" si="26"/>
        <v>0</v>
      </c>
      <c r="HL83" s="148">
        <f t="shared" si="27"/>
        <v>0</v>
      </c>
      <c r="HM83" s="148">
        <f t="shared" si="28"/>
        <v>0</v>
      </c>
      <c r="HN83" s="148">
        <f t="shared" si="29"/>
        <v>0</v>
      </c>
      <c r="HO83" s="148">
        <f t="shared" si="30"/>
        <v>0</v>
      </c>
      <c r="HP83" s="148">
        <f t="shared" si="31"/>
        <v>0</v>
      </c>
      <c r="HQ83" s="148">
        <f t="shared" si="32"/>
        <v>0</v>
      </c>
      <c r="HR83" s="147">
        <f t="shared" si="33"/>
        <v>0</v>
      </c>
      <c r="HS83" s="90"/>
      <c r="HU83" s="147">
        <f>$HJ83*HC83/(1+'Key assumptions'!G105)^0.75</f>
        <v>0</v>
      </c>
      <c r="HW83" s="216">
        <f t="shared" si="34"/>
        <v>0</v>
      </c>
      <c r="HX83" s="216">
        <f t="shared" si="35"/>
        <v>0</v>
      </c>
      <c r="HY83" s="216">
        <f t="shared" si="36"/>
        <v>0</v>
      </c>
      <c r="HZ83" s="216">
        <f t="shared" si="37"/>
        <v>0</v>
      </c>
      <c r="IA83" s="216">
        <f t="shared" si="38"/>
        <v>0</v>
      </c>
      <c r="IB83" s="216">
        <f t="shared" si="39"/>
        <v>0</v>
      </c>
      <c r="IC83" s="216">
        <f t="shared" si="40"/>
        <v>0</v>
      </c>
      <c r="ID83" s="216">
        <f t="shared" si="41"/>
        <v>0</v>
      </c>
      <c r="IF83" s="216">
        <f t="shared" si="42"/>
        <v>0</v>
      </c>
    </row>
    <row r="84" spans="2:240" x14ac:dyDescent="0.2">
      <c r="B84" s="141" t="str">
        <v>Other Support &amp; Corporate Roles</v>
      </c>
      <c r="C84" s="141" t="str">
        <v>Legal Gov &amp; Risk Officer (Legal Affairs)</v>
      </c>
      <c r="D84" s="141" t="str">
        <v>Internal Labour</v>
      </c>
      <c r="E84" s="141" t="str">
        <v>$ Nominal</v>
      </c>
      <c r="F84" s="141" t="str">
        <v>Existing</v>
      </c>
      <c r="G84" s="141" t="str">
        <v>Normal time</v>
      </c>
      <c r="H84" s="142">
        <v>212.32</v>
      </c>
      <c r="I84" s="126">
        <v>180621.04999999996</v>
      </c>
      <c r="J84" s="143">
        <v>0</v>
      </c>
      <c r="K84" s="144">
        <v>0</v>
      </c>
      <c r="L84" s="144">
        <v>0</v>
      </c>
      <c r="M84" s="144">
        <v>0</v>
      </c>
      <c r="N84" s="144">
        <v>0</v>
      </c>
      <c r="O84" s="144">
        <v>0</v>
      </c>
      <c r="P84" s="144">
        <v>0</v>
      </c>
      <c r="Q84" s="144">
        <v>0</v>
      </c>
      <c r="R84" s="144">
        <v>0</v>
      </c>
      <c r="S84" s="144">
        <v>7.1428571428571426E-3</v>
      </c>
      <c r="T84" s="144">
        <v>0</v>
      </c>
      <c r="U84" s="144">
        <v>0.16428571428571428</v>
      </c>
      <c r="V84" s="144">
        <v>0.7142857142857143</v>
      </c>
      <c r="W84" s="144">
        <v>0.19047619047619047</v>
      </c>
      <c r="X84" s="144">
        <v>0</v>
      </c>
      <c r="Y84" s="144">
        <v>1</v>
      </c>
      <c r="Z84" s="144">
        <v>0.66666666666666663</v>
      </c>
      <c r="AA84" s="144">
        <v>0</v>
      </c>
      <c r="AB84" s="144">
        <v>0</v>
      </c>
      <c r="AC84" s="144">
        <v>0</v>
      </c>
      <c r="AD84" s="144">
        <v>0</v>
      </c>
      <c r="AE84" s="144">
        <v>0</v>
      </c>
      <c r="AF84" s="144">
        <v>0.5</v>
      </c>
      <c r="AG84" s="144">
        <v>0</v>
      </c>
      <c r="AH84" s="144">
        <v>0</v>
      </c>
      <c r="AI84" s="144">
        <v>0</v>
      </c>
      <c r="AJ84" s="144">
        <v>0</v>
      </c>
      <c r="AK84" s="144">
        <v>0</v>
      </c>
      <c r="AL84" s="144">
        <v>0.66666666666666663</v>
      </c>
      <c r="AM84" s="144">
        <v>0</v>
      </c>
      <c r="AN84" s="144">
        <v>0</v>
      </c>
      <c r="AO84" s="144">
        <v>0</v>
      </c>
      <c r="AP84" s="144">
        <v>0</v>
      </c>
      <c r="AQ84" s="144">
        <v>0</v>
      </c>
      <c r="AR84" s="144">
        <v>0.5</v>
      </c>
      <c r="AS84" s="144">
        <v>0</v>
      </c>
      <c r="AT84" s="144">
        <v>0</v>
      </c>
      <c r="AU84" s="144">
        <v>0</v>
      </c>
      <c r="AV84" s="144">
        <v>1</v>
      </c>
      <c r="AW84" s="144">
        <v>0.25</v>
      </c>
      <c r="AX84" s="144">
        <v>0</v>
      </c>
      <c r="AY84" s="144">
        <v>0</v>
      </c>
      <c r="AZ84" s="144">
        <v>0</v>
      </c>
      <c r="BA84" s="144">
        <v>0</v>
      </c>
      <c r="BB84" s="144">
        <v>0</v>
      </c>
      <c r="BC84" s="144">
        <v>0.5</v>
      </c>
      <c r="BD84" s="144">
        <v>0</v>
      </c>
      <c r="BE84" s="144">
        <v>0</v>
      </c>
      <c r="BF84" s="144">
        <v>0</v>
      </c>
      <c r="BG84" s="144">
        <v>0</v>
      </c>
      <c r="BH84" s="144">
        <v>0</v>
      </c>
      <c r="BI84" s="144">
        <v>0</v>
      </c>
      <c r="BJ84" s="144">
        <v>0</v>
      </c>
      <c r="BK84" s="144">
        <v>0</v>
      </c>
      <c r="BL84" s="144">
        <v>0</v>
      </c>
      <c r="BM84" s="144">
        <v>0</v>
      </c>
      <c r="BN84" s="144">
        <v>0</v>
      </c>
      <c r="BO84" s="144">
        <v>0</v>
      </c>
      <c r="BP84" s="144">
        <v>0</v>
      </c>
      <c r="BQ84" s="144">
        <v>0</v>
      </c>
      <c r="BR84" s="144">
        <v>0</v>
      </c>
      <c r="BS84" s="144">
        <v>0</v>
      </c>
      <c r="BT84" s="144">
        <v>0</v>
      </c>
      <c r="BU84" s="144">
        <v>0</v>
      </c>
      <c r="BV84" s="144">
        <v>0</v>
      </c>
      <c r="BW84" s="144">
        <v>0</v>
      </c>
      <c r="BX84" s="144">
        <v>0</v>
      </c>
      <c r="BY84" s="144">
        <v>0</v>
      </c>
      <c r="BZ84" s="144">
        <v>0</v>
      </c>
      <c r="CA84" s="144">
        <v>0</v>
      </c>
      <c r="CB84" s="144">
        <v>0</v>
      </c>
      <c r="CC84" s="144">
        <v>0</v>
      </c>
      <c r="CD84" s="144">
        <v>0</v>
      </c>
      <c r="CE84" s="144">
        <v>0</v>
      </c>
      <c r="CF84" s="144">
        <v>0</v>
      </c>
      <c r="CG84" s="144">
        <v>0</v>
      </c>
      <c r="CH84" s="144">
        <v>0</v>
      </c>
      <c r="CI84" s="144">
        <v>0</v>
      </c>
      <c r="CJ84" s="144">
        <v>0</v>
      </c>
      <c r="CK84" s="144">
        <v>0</v>
      </c>
      <c r="CL84" s="144">
        <v>0</v>
      </c>
      <c r="CM84" s="144">
        <v>0</v>
      </c>
      <c r="CN84" s="144">
        <v>0</v>
      </c>
      <c r="CO84" s="144">
        <v>0</v>
      </c>
      <c r="CP84" s="144">
        <v>0</v>
      </c>
      <c r="CQ84" s="143">
        <v>0</v>
      </c>
      <c r="CR84" s="145">
        <v>0</v>
      </c>
      <c r="CS84" s="145">
        <v>0</v>
      </c>
      <c r="CT84" s="145">
        <v>0</v>
      </c>
      <c r="CU84" s="145">
        <v>0</v>
      </c>
      <c r="CV84" s="145">
        <v>0</v>
      </c>
      <c r="CW84" s="145">
        <v>0</v>
      </c>
      <c r="CX84" s="145">
        <v>0</v>
      </c>
      <c r="CY84" s="145">
        <v>0</v>
      </c>
      <c r="CZ84" s="145">
        <v>304.81</v>
      </c>
      <c r="DA84" s="145">
        <v>0</v>
      </c>
      <c r="DB84" s="145">
        <v>7010.7899999999981</v>
      </c>
      <c r="DC84" s="145">
        <v>22861.149999999991</v>
      </c>
      <c r="DD84" s="145">
        <v>6096.2499999999964</v>
      </c>
      <c r="DE84" s="145">
        <v>0</v>
      </c>
      <c r="DF84" s="145">
        <v>29724.799999999999</v>
      </c>
      <c r="DG84" s="145">
        <v>14862.4</v>
      </c>
      <c r="DH84" s="145">
        <v>0</v>
      </c>
      <c r="DI84" s="145">
        <v>0</v>
      </c>
      <c r="DJ84" s="145">
        <v>0</v>
      </c>
      <c r="DK84" s="145">
        <v>0</v>
      </c>
      <c r="DL84" s="145">
        <v>0</v>
      </c>
      <c r="DM84" s="145">
        <v>14862.4</v>
      </c>
      <c r="DN84" s="145">
        <v>0</v>
      </c>
      <c r="DO84" s="145">
        <v>0</v>
      </c>
      <c r="DP84" s="145">
        <v>0</v>
      </c>
      <c r="DQ84" s="145">
        <v>0</v>
      </c>
      <c r="DR84" s="145">
        <v>0</v>
      </c>
      <c r="DS84" s="145">
        <v>15309.7</v>
      </c>
      <c r="DT84" s="145">
        <v>0</v>
      </c>
      <c r="DU84" s="145">
        <v>0</v>
      </c>
      <c r="DV84" s="145">
        <v>0</v>
      </c>
      <c r="DW84" s="145">
        <v>0</v>
      </c>
      <c r="DX84" s="145">
        <v>0</v>
      </c>
      <c r="DY84" s="145">
        <v>15309.7</v>
      </c>
      <c r="DZ84" s="145">
        <v>0</v>
      </c>
      <c r="EA84" s="145">
        <v>0</v>
      </c>
      <c r="EB84" s="145">
        <v>0</v>
      </c>
      <c r="EC84" s="145">
        <v>30619.4</v>
      </c>
      <c r="ED84" s="145">
        <v>7886.55</v>
      </c>
      <c r="EE84" s="145">
        <v>0</v>
      </c>
      <c r="EF84" s="145">
        <v>0</v>
      </c>
      <c r="EG84" s="145">
        <v>0</v>
      </c>
      <c r="EH84" s="145">
        <v>0</v>
      </c>
      <c r="EI84" s="145">
        <v>0</v>
      </c>
      <c r="EJ84" s="145">
        <v>15773.1</v>
      </c>
      <c r="EK84" s="145">
        <v>0</v>
      </c>
      <c r="EL84" s="145">
        <v>0</v>
      </c>
      <c r="EM84" s="145">
        <v>0</v>
      </c>
      <c r="EN84" s="145">
        <v>0</v>
      </c>
      <c r="EO84" s="145">
        <v>0</v>
      </c>
      <c r="EP84" s="145">
        <v>0</v>
      </c>
      <c r="EQ84" s="145">
        <v>0</v>
      </c>
      <c r="ER84" s="145">
        <v>0</v>
      </c>
      <c r="ES84" s="145">
        <v>0</v>
      </c>
      <c r="ET84" s="145">
        <v>0</v>
      </c>
      <c r="EU84" s="145">
        <v>0</v>
      </c>
      <c r="EV84" s="145">
        <v>0</v>
      </c>
      <c r="EW84" s="145">
        <v>0</v>
      </c>
      <c r="EX84" s="145">
        <v>0</v>
      </c>
      <c r="EY84" s="145">
        <v>0</v>
      </c>
      <c r="EZ84" s="145">
        <v>0</v>
      </c>
      <c r="FA84" s="145">
        <v>0</v>
      </c>
      <c r="FB84" s="145">
        <v>0</v>
      </c>
      <c r="FC84" s="145">
        <v>0</v>
      </c>
      <c r="FD84" s="145">
        <v>0</v>
      </c>
      <c r="FE84" s="145">
        <v>0</v>
      </c>
      <c r="FF84" s="145">
        <v>0</v>
      </c>
      <c r="FG84" s="145">
        <v>0</v>
      </c>
      <c r="FH84" s="145">
        <v>0</v>
      </c>
      <c r="FI84" s="145">
        <v>0</v>
      </c>
      <c r="FJ84" s="145">
        <v>0</v>
      </c>
      <c r="FK84" s="145">
        <v>0</v>
      </c>
      <c r="FL84" s="145">
        <v>0</v>
      </c>
      <c r="FM84" s="145">
        <v>0</v>
      </c>
      <c r="FN84" s="145">
        <v>0</v>
      </c>
      <c r="FO84" s="145">
        <v>0</v>
      </c>
      <c r="FP84" s="145">
        <v>0</v>
      </c>
      <c r="FQ84" s="145">
        <v>0</v>
      </c>
      <c r="FR84" s="145">
        <v>0</v>
      </c>
      <c r="FS84" s="145">
        <v>0</v>
      </c>
      <c r="FT84" s="145">
        <v>0</v>
      </c>
      <c r="FU84" s="145">
        <v>0</v>
      </c>
      <c r="FV84" s="145">
        <v>0</v>
      </c>
      <c r="FW84" s="145">
        <v>0</v>
      </c>
      <c r="FX84" s="143"/>
      <c r="FY84" s="146" t="str">
        <f>_xlfn.XLOOKUP($E84,'Key assumptions'!$B$112:$B$120,'Key assumptions'!$C$112:$C$120,0)</f>
        <v>Nominal</v>
      </c>
      <c r="FZ84" s="146" cm="1">
        <f t="array" ref="FZ84">IF($FY84=0,0,_xlfn.IFS($FY84='Key assumptions'!$C$120,_xlfn.XLOOKUP(LEFT(FZ$7,6),Inflation_Year,Inflation_NominaltoReal),TRUE,_xlfn.XLOOKUP($FY84,Inflation_Year,NominaltoReal)))</f>
        <v>1.0197075870962191</v>
      </c>
      <c r="GA84" s="146" cm="1">
        <f t="array" ref="GA84">IF($FY84=0,0,_xlfn.IFS($FY84='Key assumptions'!$C$120,_xlfn.XLOOKUP(LEFT(GA$7,6),Inflation_Year,Inflation_NominaltoReal),TRUE,_xlfn.XLOOKUP($FY84,Inflation_Year,NominaltoReal)))</f>
        <v>0.98700804022984445</v>
      </c>
      <c r="GB84" s="146" cm="1">
        <f t="array" ref="GB84">IF($FY84=0,0,_xlfn.IFS($FY84='Key assumptions'!$C$120,_xlfn.XLOOKUP(LEFT(GB$7,6),Inflation_Year,Inflation_NominaltoReal),TRUE,_xlfn.XLOOKUP($FY84,Inflation_Year,NominaltoReal)))</f>
        <v>0.96152830081941731</v>
      </c>
      <c r="GC84" s="146" cm="1">
        <f t="array" ref="GC84">IF($FY84=0,0,_xlfn.IFS($FY84='Key assumptions'!$C$120,_xlfn.XLOOKUP(LEFT(GC$7,6),Inflation_Year,Inflation_NominaltoReal),TRUE,_xlfn.XLOOKUP($FY84,Inflation_Year,NominaltoReal)))</f>
        <v>0.93670632415656829</v>
      </c>
      <c r="GD84" s="146" cm="1">
        <f t="array" ref="GD84">IF($FY84=0,0,_xlfn.IFS($FY84='Key assumptions'!$C$120,_xlfn.XLOOKUP(LEFT(GD$7,6),Inflation_Year,Inflation_NominaltoReal),TRUE,_xlfn.XLOOKUP($FY84,Inflation_Year,NominaltoReal)))</f>
        <v>0.91252513001143176</v>
      </c>
      <c r="GE84" s="146" cm="1">
        <f t="array" ref="GE84">IF($FY84=0,0,_xlfn.IFS($FY84='Key assumptions'!$C$120,_xlfn.XLOOKUP(LEFT(GE$7,6),Inflation_Year,Inflation_NominaltoReal),TRUE,_xlfn.XLOOKUP($FY84,Inflation_Year,NominaltoReal)))</f>
        <v>0.88896817650095872</v>
      </c>
      <c r="GF84" s="146" cm="1">
        <f t="array" ref="GF84">IF($FY84=0,0,_xlfn.IFS($FY84='Key assumptions'!$C$120,_xlfn.XLOOKUP(LEFT(GF$7,6),Inflation_Year,Inflation_NominaltoReal),TRUE,_xlfn.XLOOKUP($FY84,Inflation_Year,NominaltoReal)))</f>
        <v>0.86601934877293718</v>
      </c>
      <c r="GG84" s="143"/>
      <c r="GH84" s="145" cm="1">
        <f t="array" ref="GH84">SUMPRODUCT(--($CR$7:$FW$7&gt;=GH$5),--($CR$7:$FW$7&lt;=GH$6),$CR84:$FW84)*FZ84</f>
        <v>45465.90612737654</v>
      </c>
      <c r="GI84" s="145" cm="1">
        <f t="array" ref="GI84">SUMPRODUCT(--($CR$7:$FW$7&gt;=GI$5),--($CR$7:$FW$7&lt;=GI$6),$CR84:$FW84)*GA84</f>
        <v>29780.105290618889</v>
      </c>
      <c r="GJ84" s="145" cm="1">
        <f t="array" ref="GJ84">SUMPRODUCT(--($CR$7:$FW$7&gt;=GJ$5),--($CR$7:$FW$7&lt;=GJ$6),$CR84:$FW84)*GB84</f>
        <v>66911.552543647238</v>
      </c>
      <c r="GK84" s="145" cm="1">
        <f t="array" ref="GK84">SUMPRODUCT(--($CR$7:$FW$7&gt;=GK$5),--($CR$7:$FW$7&lt;=GK$6),$CR84:$FW84)*GC84</f>
        <v>0</v>
      </c>
      <c r="GL84" s="145" cm="1">
        <f t="array" ref="GL84">SUMPRODUCT(--($CR$7:$FW$7&gt;=GL$5),--($CR$7:$FW$7&lt;=GL$6),$CR84:$FW84)*GD84</f>
        <v>0</v>
      </c>
      <c r="GM84" s="145" cm="1">
        <f t="array" ref="GM84">SUMPRODUCT(--($CR$7:$FW$7&gt;=GM$5),--($CR$7:$FW$7&lt;=GM$6),$CR84:$FW84)*GE84</f>
        <v>0</v>
      </c>
      <c r="GN84" s="145" cm="1">
        <f t="array" ref="GN84">SUMPRODUCT(--($CR$7:$FW$7&gt;=GN$5),--($CR$7:$FW$7&lt;=GN$6),$CR84:$FW84)*GF84</f>
        <v>0</v>
      </c>
      <c r="GO84" s="145">
        <f t="shared" si="23"/>
        <v>142157.56396164268</v>
      </c>
      <c r="GP84" s="87"/>
      <c r="GQ84" s="89"/>
      <c r="GR84" s="145" cm="1">
        <f t="array" ref="GR84">SUMPRODUCT(--($CR$7:$FW$7&gt;=GR$5),--($CR$7:$FW$7&lt;=GR$6),$CR84:$FW84)</f>
        <v>44587.199999999997</v>
      </c>
      <c r="GS84" s="89"/>
      <c r="GT84" s="214" cm="1">
        <f t="array" ref="GT84">--AND(MIN(IF($K84:$CP84&lt;&gt;0,$K$7:$CP$7))&gt;=GT$5,MIN(IF($K84:$CP84&lt;&gt;0,$K$7:$CP$7))&lt;=GT$6)</f>
        <v>0</v>
      </c>
      <c r="GU84" s="214" cm="1">
        <f t="array" ref="GU84">--AND(MIN(IF($K84:$CP84&lt;&gt;0,$K$7:$CP$7))&gt;=GU$5,MIN(IF($K84:$CP84&lt;&gt;0,$K$7:$CP$7))&lt;=GU$6)</f>
        <v>0</v>
      </c>
      <c r="GV84" s="214" cm="1">
        <f t="array" ref="GV84">--AND(MIN(IF($K84:$CP84&lt;&gt;0,$K$7:$CP$7))&gt;=GV$5,MIN(IF($K84:$CP84&lt;&gt;0,$K$7:$CP$7))&lt;=GV$6)</f>
        <v>0</v>
      </c>
      <c r="GW84" s="214" cm="1">
        <f t="array" ref="GW84">--AND(MIN(IF($K84:$CP84&lt;&gt;0,$K$7:$CP$7))&gt;=GW$5,MIN(IF($K84:$CP84&lt;&gt;0,$K$7:$CP$7))&lt;=GW$6)</f>
        <v>0</v>
      </c>
      <c r="GX84" s="214" cm="1">
        <f t="array" ref="GX84">--AND(MIN(IF($K84:$CP84&lt;&gt;0,$K$7:$CP$7))&gt;=GX$5,MIN(IF($K84:$CP84&lt;&gt;0,$K$7:$CP$7))&lt;=GX$6)</f>
        <v>0</v>
      </c>
      <c r="GY84" s="214" cm="1">
        <f t="array" ref="GY84">--AND(MIN(IF($K84:$CP84&lt;&gt;0,$K$7:$CP$7))&gt;=GY$5,MIN(IF($K84:$CP84&lt;&gt;0,$K$7:$CP$7))&lt;=GY$6)</f>
        <v>0</v>
      </c>
      <c r="GZ84" s="214" cm="1">
        <f t="array" ref="GZ84">--AND(MIN(IF($K84:$CP84&lt;&gt;0,$K$7:$CP$7))&gt;=GZ$5,MIN(IF($K84:$CP84&lt;&gt;0,$K$7:$CP$7))&lt;=GZ$6)</f>
        <v>0</v>
      </c>
      <c r="HA84" s="214">
        <f t="shared" si="24"/>
        <v>0</v>
      </c>
      <c r="HC84" s="214" cm="1">
        <f t="array" ref="HC84">--AND(MIN(IF($K84:$CP84&lt;&gt;0,$K$7:$CP$7))&gt;=HC$5,MIN(IF($K84:$CP84&lt;&gt;0,$K$7:$CP$7))&lt;=HC$6)</f>
        <v>0</v>
      </c>
      <c r="HE84" s="147" t="str">
        <f t="shared" si="43"/>
        <v>No</v>
      </c>
      <c r="HF84" s="147" t="str">
        <f t="shared" si="44"/>
        <v>No</v>
      </c>
      <c r="HG84" s="147">
        <f>IF($HF84="Yes",0,$H84*avg_hrs*12*'Key assumptions'!$D$87)</f>
        <v>379685.27609743091</v>
      </c>
      <c r="HH84" s="147">
        <f>IF(HE84="Yes",'Key assumptions'!$D$84*HG84,0)</f>
        <v>0</v>
      </c>
      <c r="HI84" s="144">
        <f>IFERROR(AVERAGEIFS($K84:$CP84,$K$7:$CP$7,"&gt;="&amp;'Key assumptions'!$D$24,$K$7:$CP$7,"&lt;="&amp;'Key assumptions'!$D$25),0)</f>
        <v>0.11553030303030302</v>
      </c>
      <c r="HJ84" s="148">
        <f t="shared" si="25"/>
        <v>0</v>
      </c>
      <c r="HK84" s="148">
        <f t="shared" si="26"/>
        <v>0</v>
      </c>
      <c r="HL84" s="148">
        <f t="shared" si="27"/>
        <v>0</v>
      </c>
      <c r="HM84" s="148">
        <f t="shared" si="28"/>
        <v>0</v>
      </c>
      <c r="HN84" s="148">
        <f t="shared" si="29"/>
        <v>0</v>
      </c>
      <c r="HO84" s="148">
        <f t="shared" si="30"/>
        <v>0</v>
      </c>
      <c r="HP84" s="148">
        <f t="shared" si="31"/>
        <v>0</v>
      </c>
      <c r="HQ84" s="148">
        <f t="shared" si="32"/>
        <v>0</v>
      </c>
      <c r="HR84" s="147">
        <f t="shared" si="33"/>
        <v>0</v>
      </c>
      <c r="HU84" s="147">
        <f>$HJ84*HC84/(1+'Key assumptions'!G106)^0.75</f>
        <v>0</v>
      </c>
      <c r="HW84" s="216">
        <f t="shared" si="34"/>
        <v>0</v>
      </c>
      <c r="HX84" s="216">
        <f t="shared" si="35"/>
        <v>0</v>
      </c>
      <c r="HY84" s="216">
        <f t="shared" si="36"/>
        <v>0</v>
      </c>
      <c r="HZ84" s="216">
        <f t="shared" si="37"/>
        <v>0</v>
      </c>
      <c r="IA84" s="216">
        <f t="shared" si="38"/>
        <v>0</v>
      </c>
      <c r="IB84" s="216">
        <f t="shared" si="39"/>
        <v>0</v>
      </c>
      <c r="IC84" s="216">
        <f t="shared" si="40"/>
        <v>0</v>
      </c>
      <c r="ID84" s="216">
        <f t="shared" si="41"/>
        <v>0</v>
      </c>
      <c r="IF84" s="216">
        <f t="shared" si="42"/>
        <v>0</v>
      </c>
    </row>
    <row r="85" spans="2:240" x14ac:dyDescent="0.2">
      <c r="B85" s="141" t="str">
        <v>Project Delivery Management - Project Management</v>
      </c>
      <c r="C85" s="141" t="str">
        <v>Project Engineer - Senior CO (Network Projects)</v>
      </c>
      <c r="D85" s="141" t="str">
        <v>Internal Labour</v>
      </c>
      <c r="E85" s="141" t="str">
        <v>$ Nominal</v>
      </c>
      <c r="F85" s="141" t="str">
        <v>Existing</v>
      </c>
      <c r="G85" s="141" t="str">
        <v>Normal time</v>
      </c>
      <c r="H85" s="142">
        <v>254.01</v>
      </c>
      <c r="I85" s="126">
        <v>535171.26000000013</v>
      </c>
      <c r="J85" s="143">
        <v>0</v>
      </c>
      <c r="K85" s="144">
        <v>0</v>
      </c>
      <c r="L85" s="144">
        <v>0</v>
      </c>
      <c r="M85" s="144">
        <v>0</v>
      </c>
      <c r="N85" s="144">
        <v>0</v>
      </c>
      <c r="O85" s="144">
        <v>0</v>
      </c>
      <c r="P85" s="144">
        <v>0</v>
      </c>
      <c r="Q85" s="144">
        <v>0</v>
      </c>
      <c r="R85" s="144">
        <v>0</v>
      </c>
      <c r="S85" s="144">
        <v>0</v>
      </c>
      <c r="T85" s="144">
        <v>0</v>
      </c>
      <c r="U85" s="144">
        <v>0</v>
      </c>
      <c r="V85" s="144">
        <v>0</v>
      </c>
      <c r="W85" s="144">
        <v>0</v>
      </c>
      <c r="X85" s="144">
        <v>0</v>
      </c>
      <c r="Y85" s="144">
        <v>0</v>
      </c>
      <c r="Z85" s="144">
        <v>0.5</v>
      </c>
      <c r="AA85" s="144">
        <v>0.46052631578947367</v>
      </c>
      <c r="AB85" s="144">
        <v>0.46052631578947367</v>
      </c>
      <c r="AC85" s="144">
        <v>0.5</v>
      </c>
      <c r="AD85" s="144">
        <v>0.5</v>
      </c>
      <c r="AE85" s="144">
        <v>0.5</v>
      </c>
      <c r="AF85" s="144">
        <v>0.5</v>
      </c>
      <c r="AG85" s="144">
        <v>0.5</v>
      </c>
      <c r="AH85" s="144">
        <v>0.5</v>
      </c>
      <c r="AI85" s="144">
        <v>0.5</v>
      </c>
      <c r="AJ85" s="144">
        <v>0.5</v>
      </c>
      <c r="AK85" s="144">
        <v>0.5</v>
      </c>
      <c r="AL85" s="144">
        <v>0.5</v>
      </c>
      <c r="AM85" s="144">
        <v>0.5</v>
      </c>
      <c r="AN85" s="144">
        <v>0.5</v>
      </c>
      <c r="AO85" s="144">
        <v>0.5</v>
      </c>
      <c r="AP85" s="144">
        <v>0.5</v>
      </c>
      <c r="AQ85" s="144">
        <v>0.5</v>
      </c>
      <c r="AR85" s="144">
        <v>0.5</v>
      </c>
      <c r="AS85" s="144">
        <v>0.5</v>
      </c>
      <c r="AT85" s="144">
        <v>0.5</v>
      </c>
      <c r="AU85" s="144">
        <v>0.5</v>
      </c>
      <c r="AV85" s="144">
        <v>0.5</v>
      </c>
      <c r="AW85" s="144">
        <v>0.5</v>
      </c>
      <c r="AX85" s="144">
        <v>0.5</v>
      </c>
      <c r="AY85" s="144">
        <v>0.5</v>
      </c>
      <c r="AZ85" s="144">
        <v>0.5</v>
      </c>
      <c r="BA85" s="144">
        <v>0.5</v>
      </c>
      <c r="BB85" s="144">
        <v>0.5</v>
      </c>
      <c r="BC85" s="144">
        <v>0.5</v>
      </c>
      <c r="BD85" s="144">
        <v>0.5</v>
      </c>
      <c r="BE85" s="144">
        <v>0</v>
      </c>
      <c r="BF85" s="144">
        <v>0</v>
      </c>
      <c r="BG85" s="144">
        <v>0</v>
      </c>
      <c r="BH85" s="144">
        <v>0</v>
      </c>
      <c r="BI85" s="144">
        <v>0</v>
      </c>
      <c r="BJ85" s="144">
        <v>0</v>
      </c>
      <c r="BK85" s="144">
        <v>0</v>
      </c>
      <c r="BL85" s="144">
        <v>0</v>
      </c>
      <c r="BM85" s="144">
        <v>0</v>
      </c>
      <c r="BN85" s="144">
        <v>0</v>
      </c>
      <c r="BO85" s="144">
        <v>0</v>
      </c>
      <c r="BP85" s="144">
        <v>0</v>
      </c>
      <c r="BQ85" s="144">
        <v>0</v>
      </c>
      <c r="BR85" s="144">
        <v>0</v>
      </c>
      <c r="BS85" s="144">
        <v>0</v>
      </c>
      <c r="BT85" s="144">
        <v>0</v>
      </c>
      <c r="BU85" s="144">
        <v>0</v>
      </c>
      <c r="BV85" s="144">
        <v>0</v>
      </c>
      <c r="BW85" s="144">
        <v>0</v>
      </c>
      <c r="BX85" s="144">
        <v>0</v>
      </c>
      <c r="BY85" s="144">
        <v>0</v>
      </c>
      <c r="BZ85" s="144">
        <v>0</v>
      </c>
      <c r="CA85" s="144">
        <v>0</v>
      </c>
      <c r="CB85" s="144">
        <v>0</v>
      </c>
      <c r="CC85" s="144">
        <v>0</v>
      </c>
      <c r="CD85" s="144">
        <v>0</v>
      </c>
      <c r="CE85" s="144">
        <v>0</v>
      </c>
      <c r="CF85" s="144">
        <v>0</v>
      </c>
      <c r="CG85" s="144">
        <v>0</v>
      </c>
      <c r="CH85" s="144">
        <v>0</v>
      </c>
      <c r="CI85" s="144">
        <v>0</v>
      </c>
      <c r="CJ85" s="144">
        <v>0</v>
      </c>
      <c r="CK85" s="144">
        <v>0</v>
      </c>
      <c r="CL85" s="144">
        <v>0</v>
      </c>
      <c r="CM85" s="144">
        <v>0</v>
      </c>
      <c r="CN85" s="144">
        <v>0</v>
      </c>
      <c r="CO85" s="144">
        <v>0</v>
      </c>
      <c r="CP85" s="144">
        <v>0</v>
      </c>
      <c r="CQ85" s="143">
        <v>0</v>
      </c>
      <c r="CR85" s="145">
        <v>0</v>
      </c>
      <c r="CS85" s="145">
        <v>0</v>
      </c>
      <c r="CT85" s="145">
        <v>0</v>
      </c>
      <c r="CU85" s="145">
        <v>0</v>
      </c>
      <c r="CV85" s="145">
        <v>0</v>
      </c>
      <c r="CW85" s="145">
        <v>0</v>
      </c>
      <c r="CX85" s="145">
        <v>0</v>
      </c>
      <c r="CY85" s="145">
        <v>0</v>
      </c>
      <c r="CZ85" s="145">
        <v>0</v>
      </c>
      <c r="DA85" s="145">
        <v>0</v>
      </c>
      <c r="DB85" s="145">
        <v>0</v>
      </c>
      <c r="DC85" s="145">
        <v>0</v>
      </c>
      <c r="DD85" s="145">
        <v>0</v>
      </c>
      <c r="DE85" s="145">
        <v>0</v>
      </c>
      <c r="DF85" s="145">
        <v>0</v>
      </c>
      <c r="DG85" s="145">
        <v>12948.074999999999</v>
      </c>
      <c r="DH85" s="145">
        <v>17264.099999999999</v>
      </c>
      <c r="DI85" s="145">
        <v>17264.099999999999</v>
      </c>
      <c r="DJ85" s="145">
        <v>17780.7</v>
      </c>
      <c r="DK85" s="145">
        <v>17780.7</v>
      </c>
      <c r="DL85" s="145">
        <v>17780.7</v>
      </c>
      <c r="DM85" s="145">
        <v>17780.7</v>
      </c>
      <c r="DN85" s="145">
        <v>17780.7</v>
      </c>
      <c r="DO85" s="145">
        <v>13335.525</v>
      </c>
      <c r="DP85" s="145">
        <v>13335.525</v>
      </c>
      <c r="DQ85" s="145">
        <v>17780.7</v>
      </c>
      <c r="DR85" s="145">
        <v>17780.7</v>
      </c>
      <c r="DS85" s="145">
        <v>13335.525</v>
      </c>
      <c r="DT85" s="145">
        <v>19304.759999999998</v>
      </c>
      <c r="DU85" s="145">
        <v>19304.759999999998</v>
      </c>
      <c r="DV85" s="145">
        <v>18313.400000000001</v>
      </c>
      <c r="DW85" s="145">
        <v>18313.400000000001</v>
      </c>
      <c r="DX85" s="145">
        <v>18313.400000000001</v>
      </c>
      <c r="DY85" s="145">
        <v>18313.400000000001</v>
      </c>
      <c r="DZ85" s="145">
        <v>18313.400000000001</v>
      </c>
      <c r="EA85" s="145">
        <v>13735.050000000001</v>
      </c>
      <c r="EB85" s="145">
        <v>13735.050000000001</v>
      </c>
      <c r="EC85" s="145">
        <v>18313.400000000001</v>
      </c>
      <c r="ED85" s="145">
        <v>18313.400000000001</v>
      </c>
      <c r="EE85" s="145">
        <v>13735.050000000001</v>
      </c>
      <c r="EF85" s="145">
        <v>19883.12</v>
      </c>
      <c r="EG85" s="145">
        <v>19883.12</v>
      </c>
      <c r="EH85" s="145">
        <v>18862.199999999997</v>
      </c>
      <c r="EI85" s="145">
        <v>18862.199999999997</v>
      </c>
      <c r="EJ85" s="145">
        <v>18862.199999999997</v>
      </c>
      <c r="EK85" s="145">
        <v>18862.199999999997</v>
      </c>
      <c r="EL85" s="145">
        <v>0</v>
      </c>
      <c r="EM85" s="145">
        <v>0</v>
      </c>
      <c r="EN85" s="145">
        <v>0</v>
      </c>
      <c r="EO85" s="145">
        <v>0</v>
      </c>
      <c r="EP85" s="145">
        <v>0</v>
      </c>
      <c r="EQ85" s="145">
        <v>0</v>
      </c>
      <c r="ER85" s="145">
        <v>0</v>
      </c>
      <c r="ES85" s="145">
        <v>0</v>
      </c>
      <c r="ET85" s="145">
        <v>0</v>
      </c>
      <c r="EU85" s="145">
        <v>0</v>
      </c>
      <c r="EV85" s="145">
        <v>0</v>
      </c>
      <c r="EW85" s="145">
        <v>0</v>
      </c>
      <c r="EX85" s="145">
        <v>0</v>
      </c>
      <c r="EY85" s="145">
        <v>0</v>
      </c>
      <c r="EZ85" s="145">
        <v>0</v>
      </c>
      <c r="FA85" s="145">
        <v>0</v>
      </c>
      <c r="FB85" s="145">
        <v>0</v>
      </c>
      <c r="FC85" s="145">
        <v>0</v>
      </c>
      <c r="FD85" s="145">
        <v>0</v>
      </c>
      <c r="FE85" s="145">
        <v>0</v>
      </c>
      <c r="FF85" s="145">
        <v>0</v>
      </c>
      <c r="FG85" s="145">
        <v>0</v>
      </c>
      <c r="FH85" s="145">
        <v>0</v>
      </c>
      <c r="FI85" s="145">
        <v>0</v>
      </c>
      <c r="FJ85" s="145">
        <v>0</v>
      </c>
      <c r="FK85" s="145">
        <v>0</v>
      </c>
      <c r="FL85" s="145">
        <v>0</v>
      </c>
      <c r="FM85" s="145">
        <v>0</v>
      </c>
      <c r="FN85" s="145">
        <v>0</v>
      </c>
      <c r="FO85" s="145">
        <v>0</v>
      </c>
      <c r="FP85" s="145">
        <v>0</v>
      </c>
      <c r="FQ85" s="145">
        <v>0</v>
      </c>
      <c r="FR85" s="145">
        <v>0</v>
      </c>
      <c r="FS85" s="145">
        <v>0</v>
      </c>
      <c r="FT85" s="145">
        <v>0</v>
      </c>
      <c r="FU85" s="145">
        <v>0</v>
      </c>
      <c r="FV85" s="145">
        <v>0</v>
      </c>
      <c r="FW85" s="145">
        <v>0</v>
      </c>
      <c r="FX85" s="143"/>
      <c r="FY85" s="146" t="str">
        <f>_xlfn.XLOOKUP($E85,'Key assumptions'!$B$112:$B$120,'Key assumptions'!$C$112:$C$120,0)</f>
        <v>Nominal</v>
      </c>
      <c r="FZ85" s="146" cm="1">
        <f t="array" ref="FZ85">IF($FY85=0,0,_xlfn.IFS($FY85='Key assumptions'!$C$120,_xlfn.XLOOKUP(LEFT(FZ$7,6),Inflation_Year,Inflation_NominaltoReal),TRUE,_xlfn.XLOOKUP($FY85,Inflation_Year,NominaltoReal)))</f>
        <v>1.0197075870962191</v>
      </c>
      <c r="GA85" s="146" cm="1">
        <f t="array" ref="GA85">IF($FY85=0,0,_xlfn.IFS($FY85='Key assumptions'!$C$120,_xlfn.XLOOKUP(LEFT(GA$7,6),Inflation_Year,Inflation_NominaltoReal),TRUE,_xlfn.XLOOKUP($FY85,Inflation_Year,NominaltoReal)))</f>
        <v>0.98700804022984445</v>
      </c>
      <c r="GB85" s="146" cm="1">
        <f t="array" ref="GB85">IF($FY85=0,0,_xlfn.IFS($FY85='Key assumptions'!$C$120,_xlfn.XLOOKUP(LEFT(GB$7,6),Inflation_Year,Inflation_NominaltoReal),TRUE,_xlfn.XLOOKUP($FY85,Inflation_Year,NominaltoReal)))</f>
        <v>0.96152830081941731</v>
      </c>
      <c r="GC85" s="146" cm="1">
        <f t="array" ref="GC85">IF($FY85=0,0,_xlfn.IFS($FY85='Key assumptions'!$C$120,_xlfn.XLOOKUP(LEFT(GC$7,6),Inflation_Year,Inflation_NominaltoReal),TRUE,_xlfn.XLOOKUP($FY85,Inflation_Year,NominaltoReal)))</f>
        <v>0.93670632415656829</v>
      </c>
      <c r="GD85" s="146" cm="1">
        <f t="array" ref="GD85">IF($FY85=0,0,_xlfn.IFS($FY85='Key assumptions'!$C$120,_xlfn.XLOOKUP(LEFT(GD$7,6),Inflation_Year,Inflation_NominaltoReal),TRUE,_xlfn.XLOOKUP($FY85,Inflation_Year,NominaltoReal)))</f>
        <v>0.91252513001143176</v>
      </c>
      <c r="GE85" s="146" cm="1">
        <f t="array" ref="GE85">IF($FY85=0,0,_xlfn.IFS($FY85='Key assumptions'!$C$120,_xlfn.XLOOKUP(LEFT(GE$7,6),Inflation_Year,Inflation_NominaltoReal),TRUE,_xlfn.XLOOKUP($FY85,Inflation_Year,NominaltoReal)))</f>
        <v>0.88896817650095872</v>
      </c>
      <c r="GF85" s="146" cm="1">
        <f t="array" ref="GF85">IF($FY85=0,0,_xlfn.IFS($FY85='Key assumptions'!$C$120,_xlfn.XLOOKUP(LEFT(GF$7,6),Inflation_Year,Inflation_NominaltoReal),TRUE,_xlfn.XLOOKUP($FY85,Inflation_Year,NominaltoReal)))</f>
        <v>0.86601934877293718</v>
      </c>
      <c r="GG85" s="143"/>
      <c r="GH85" s="145" cm="1">
        <f t="array" ref="GH85">SUMPRODUCT(--($CR$7:$FW$7&gt;=GH$5),--($CR$7:$FW$7&lt;=GH$6),$CR85:$FW85)*FZ85</f>
        <v>102805.26190621176</v>
      </c>
      <c r="GI85" s="145" cm="1">
        <f t="array" ref="GI85">SUMPRODUCT(--($CR$7:$FW$7&gt;=GI$5),--($CR$7:$FW$7&lt;=GI$6),$CR85:$FW85)*GA85</f>
        <v>202019.91243196811</v>
      </c>
      <c r="GJ85" s="145" cm="1">
        <f t="array" ref="GJ85">SUMPRODUCT(--($CR$7:$FW$7&gt;=GJ$5),--($CR$7:$FW$7&lt;=GJ$6),$CR85:$FW85)*GB85</f>
        <v>202701.30992573968</v>
      </c>
      <c r="GK85" s="145" cm="1">
        <f t="array" ref="GK85">SUMPRODUCT(--($CR$7:$FW$7&gt;=GK$5),--($CR$7:$FW$7&lt;=GK$6),$CR85:$FW85)*GC85</f>
        <v>17668.34202750602</v>
      </c>
      <c r="GL85" s="145" cm="1">
        <f t="array" ref="GL85">SUMPRODUCT(--($CR$7:$FW$7&gt;=GL$5),--($CR$7:$FW$7&lt;=GL$6),$CR85:$FW85)*GD85</f>
        <v>0</v>
      </c>
      <c r="GM85" s="145" cm="1">
        <f t="array" ref="GM85">SUMPRODUCT(--($CR$7:$FW$7&gt;=GM$5),--($CR$7:$FW$7&lt;=GM$6),$CR85:$FW85)*GE85</f>
        <v>0</v>
      </c>
      <c r="GN85" s="145" cm="1">
        <f t="array" ref="GN85">SUMPRODUCT(--($CR$7:$FW$7&gt;=GN$5),--($CR$7:$FW$7&lt;=GN$6),$CR85:$FW85)*GF85</f>
        <v>0</v>
      </c>
      <c r="GO85" s="145">
        <f t="shared" si="23"/>
        <v>525194.8262914255</v>
      </c>
      <c r="GP85" s="87"/>
      <c r="GQ85" s="89"/>
      <c r="GR85" s="145" cm="1">
        <f t="array" ref="GR85">SUMPRODUCT(--($CR$7:$FW$7&gt;=GR$5),--($CR$7:$FW$7&lt;=GR$6),$CR85:$FW85)</f>
        <v>47476.274999999994</v>
      </c>
      <c r="GS85" s="89"/>
      <c r="GT85" s="214" cm="1">
        <f t="array" ref="GT85">--AND(MIN(IF($K85:$CP85&lt;&gt;0,$K$7:$CP$7))&gt;=GT$5,MIN(IF($K85:$CP85&lt;&gt;0,$K$7:$CP$7))&lt;=GT$6)</f>
        <v>1</v>
      </c>
      <c r="GU85" s="214" cm="1">
        <f t="array" ref="GU85">--AND(MIN(IF($K85:$CP85&lt;&gt;0,$K$7:$CP$7))&gt;=GU$5,MIN(IF($K85:$CP85&lt;&gt;0,$K$7:$CP$7))&lt;=GU$6)</f>
        <v>0</v>
      </c>
      <c r="GV85" s="214" cm="1">
        <f t="array" ref="GV85">--AND(MIN(IF($K85:$CP85&lt;&gt;0,$K$7:$CP$7))&gt;=GV$5,MIN(IF($K85:$CP85&lt;&gt;0,$K$7:$CP$7))&lt;=GV$6)</f>
        <v>0</v>
      </c>
      <c r="GW85" s="214" cm="1">
        <f t="array" ref="GW85">--AND(MIN(IF($K85:$CP85&lt;&gt;0,$K$7:$CP$7))&gt;=GW$5,MIN(IF($K85:$CP85&lt;&gt;0,$K$7:$CP$7))&lt;=GW$6)</f>
        <v>0</v>
      </c>
      <c r="GX85" s="214" cm="1">
        <f t="array" ref="GX85">--AND(MIN(IF($K85:$CP85&lt;&gt;0,$K$7:$CP$7))&gt;=GX$5,MIN(IF($K85:$CP85&lt;&gt;0,$K$7:$CP$7))&lt;=GX$6)</f>
        <v>0</v>
      </c>
      <c r="GY85" s="214" cm="1">
        <f t="array" ref="GY85">--AND(MIN(IF($K85:$CP85&lt;&gt;0,$K$7:$CP$7))&gt;=GY$5,MIN(IF($K85:$CP85&lt;&gt;0,$K$7:$CP$7))&lt;=GY$6)</f>
        <v>0</v>
      </c>
      <c r="GZ85" s="214" cm="1">
        <f t="array" ref="GZ85">--AND(MIN(IF($K85:$CP85&lt;&gt;0,$K$7:$CP$7))&gt;=GZ$5,MIN(IF($K85:$CP85&lt;&gt;0,$K$7:$CP$7))&lt;=GZ$6)</f>
        <v>0</v>
      </c>
      <c r="HA85" s="214">
        <f t="shared" si="24"/>
        <v>1</v>
      </c>
      <c r="HC85" s="214" cm="1">
        <f t="array" ref="HC85">--AND(MIN(IF($K85:$CP85&lt;&gt;0,$K$7:$CP$7))&gt;=HC$5,MIN(IF($K85:$CP85&lt;&gt;0,$K$7:$CP$7))&lt;=HC$6)</f>
        <v>1</v>
      </c>
      <c r="HE85" s="147" t="str">
        <f t="shared" si="43"/>
        <v>No</v>
      </c>
      <c r="HF85" s="147" t="str">
        <f t="shared" si="44"/>
        <v>No</v>
      </c>
      <c r="HG85" s="147">
        <f>IF($HF85="Yes",0,$H85*avg_hrs*12*'Key assumptions'!$D$87)</f>
        <v>454238.21110356261</v>
      </c>
      <c r="HH85" s="147">
        <f>IF(HE85="Yes",'Key assumptions'!$D$84*HG85,0)</f>
        <v>0</v>
      </c>
      <c r="HI85" s="144">
        <f>IFERROR(AVERAGEIFS($K85:$CP85,$K$7:$CP$7,"&gt;="&amp;'Key assumptions'!$D$24,$K$7:$CP$7,"&lt;="&amp;'Key assumptions'!$D$25),0)</f>
        <v>0.3504784688995215</v>
      </c>
      <c r="HJ85" s="148">
        <f t="shared" si="25"/>
        <v>0</v>
      </c>
      <c r="HK85" s="148">
        <f t="shared" si="26"/>
        <v>0</v>
      </c>
      <c r="HL85" s="148">
        <f t="shared" si="27"/>
        <v>0</v>
      </c>
      <c r="HM85" s="148">
        <f t="shared" si="28"/>
        <v>0</v>
      </c>
      <c r="HN85" s="148">
        <f t="shared" si="29"/>
        <v>0</v>
      </c>
      <c r="HO85" s="148">
        <f t="shared" si="30"/>
        <v>0</v>
      </c>
      <c r="HP85" s="148">
        <f t="shared" si="31"/>
        <v>0</v>
      </c>
      <c r="HQ85" s="148">
        <f t="shared" si="32"/>
        <v>0</v>
      </c>
      <c r="HR85" s="147">
        <f t="shared" si="33"/>
        <v>0</v>
      </c>
      <c r="HU85" s="147">
        <f>$HJ85*HC85/(1+'Key assumptions'!G107)^0.75</f>
        <v>0</v>
      </c>
      <c r="HW85" s="216">
        <f t="shared" si="34"/>
        <v>0.3504784688995215</v>
      </c>
      <c r="HX85" s="216">
        <f t="shared" si="35"/>
        <v>0</v>
      </c>
      <c r="HY85" s="216">
        <f t="shared" si="36"/>
        <v>0</v>
      </c>
      <c r="HZ85" s="216">
        <f t="shared" si="37"/>
        <v>0</v>
      </c>
      <c r="IA85" s="216">
        <f t="shared" si="38"/>
        <v>0</v>
      </c>
      <c r="IB85" s="216">
        <f t="shared" si="39"/>
        <v>0</v>
      </c>
      <c r="IC85" s="216">
        <f t="shared" si="40"/>
        <v>0</v>
      </c>
      <c r="ID85" s="216">
        <f t="shared" si="41"/>
        <v>0.3504784688995215</v>
      </c>
      <c r="IF85" s="216">
        <f t="shared" si="42"/>
        <v>0.3504784688995215</v>
      </c>
    </row>
    <row r="86" spans="2:240" x14ac:dyDescent="0.2">
      <c r="B86" s="141" t="str">
        <v>Project Delivery Management - Project Management</v>
      </c>
      <c r="C86" s="141" t="str">
        <v>Project Engineer (Network Projects)</v>
      </c>
      <c r="D86" s="141" t="str">
        <v>Internal Labour</v>
      </c>
      <c r="E86" s="141" t="str">
        <v>$ Nominal</v>
      </c>
      <c r="F86" s="141" t="str">
        <v>Existing</v>
      </c>
      <c r="G86" s="141" t="str">
        <v>Normal time</v>
      </c>
      <c r="H86" s="142">
        <v>202.73</v>
      </c>
      <c r="I86" s="126">
        <v>863434.2</v>
      </c>
      <c r="J86" s="143">
        <v>0</v>
      </c>
      <c r="K86" s="144">
        <v>0</v>
      </c>
      <c r="L86" s="144">
        <v>0</v>
      </c>
      <c r="M86" s="144">
        <v>0</v>
      </c>
      <c r="N86" s="144">
        <v>0</v>
      </c>
      <c r="O86" s="144">
        <v>0</v>
      </c>
      <c r="P86" s="144">
        <v>0</v>
      </c>
      <c r="Q86" s="144">
        <v>0</v>
      </c>
      <c r="R86" s="144">
        <v>0</v>
      </c>
      <c r="S86" s="144">
        <v>0</v>
      </c>
      <c r="T86" s="144">
        <v>0</v>
      </c>
      <c r="U86" s="144">
        <v>0</v>
      </c>
      <c r="V86" s="144">
        <v>0</v>
      </c>
      <c r="W86" s="144">
        <v>0</v>
      </c>
      <c r="X86" s="144">
        <v>0</v>
      </c>
      <c r="Y86" s="144">
        <v>0</v>
      </c>
      <c r="Z86" s="144">
        <v>1</v>
      </c>
      <c r="AA86" s="144">
        <v>0.92105263157894735</v>
      </c>
      <c r="AB86" s="144">
        <v>0.92105263157894735</v>
      </c>
      <c r="AC86" s="144">
        <v>1</v>
      </c>
      <c r="AD86" s="144">
        <v>1</v>
      </c>
      <c r="AE86" s="144">
        <v>1</v>
      </c>
      <c r="AF86" s="144">
        <v>1</v>
      </c>
      <c r="AG86" s="144">
        <v>1</v>
      </c>
      <c r="AH86" s="144">
        <v>1</v>
      </c>
      <c r="AI86" s="144">
        <v>1</v>
      </c>
      <c r="AJ86" s="144">
        <v>1</v>
      </c>
      <c r="AK86" s="144">
        <v>1</v>
      </c>
      <c r="AL86" s="144">
        <v>1</v>
      </c>
      <c r="AM86" s="144">
        <v>1</v>
      </c>
      <c r="AN86" s="144">
        <v>1</v>
      </c>
      <c r="AO86" s="144">
        <v>1</v>
      </c>
      <c r="AP86" s="144">
        <v>1</v>
      </c>
      <c r="AQ86" s="144">
        <v>1</v>
      </c>
      <c r="AR86" s="144">
        <v>1</v>
      </c>
      <c r="AS86" s="144">
        <v>1</v>
      </c>
      <c r="AT86" s="144">
        <v>1</v>
      </c>
      <c r="AU86" s="144">
        <v>1</v>
      </c>
      <c r="AV86" s="144">
        <v>1</v>
      </c>
      <c r="AW86" s="144">
        <v>1</v>
      </c>
      <c r="AX86" s="144">
        <v>1</v>
      </c>
      <c r="AY86" s="144">
        <v>1</v>
      </c>
      <c r="AZ86" s="144">
        <v>1</v>
      </c>
      <c r="BA86" s="144">
        <v>1</v>
      </c>
      <c r="BB86" s="144">
        <v>1</v>
      </c>
      <c r="BC86" s="144">
        <v>1</v>
      </c>
      <c r="BD86" s="144">
        <v>1</v>
      </c>
      <c r="BE86" s="144">
        <v>0</v>
      </c>
      <c r="BF86" s="144">
        <v>0</v>
      </c>
      <c r="BG86" s="144">
        <v>0</v>
      </c>
      <c r="BH86" s="144">
        <v>0</v>
      </c>
      <c r="BI86" s="144">
        <v>0</v>
      </c>
      <c r="BJ86" s="144">
        <v>0</v>
      </c>
      <c r="BK86" s="144">
        <v>0</v>
      </c>
      <c r="BL86" s="144">
        <v>0</v>
      </c>
      <c r="BM86" s="144">
        <v>0</v>
      </c>
      <c r="BN86" s="144">
        <v>0</v>
      </c>
      <c r="BO86" s="144">
        <v>0</v>
      </c>
      <c r="BP86" s="144">
        <v>0</v>
      </c>
      <c r="BQ86" s="144">
        <v>0</v>
      </c>
      <c r="BR86" s="144">
        <v>0</v>
      </c>
      <c r="BS86" s="144">
        <v>0</v>
      </c>
      <c r="BT86" s="144">
        <v>0</v>
      </c>
      <c r="BU86" s="144">
        <v>0</v>
      </c>
      <c r="BV86" s="144">
        <v>0</v>
      </c>
      <c r="BW86" s="144">
        <v>0</v>
      </c>
      <c r="BX86" s="144">
        <v>0</v>
      </c>
      <c r="BY86" s="144">
        <v>0</v>
      </c>
      <c r="BZ86" s="144">
        <v>0</v>
      </c>
      <c r="CA86" s="144">
        <v>0</v>
      </c>
      <c r="CB86" s="144">
        <v>0</v>
      </c>
      <c r="CC86" s="144">
        <v>0</v>
      </c>
      <c r="CD86" s="144">
        <v>0</v>
      </c>
      <c r="CE86" s="144">
        <v>0</v>
      </c>
      <c r="CF86" s="144">
        <v>0</v>
      </c>
      <c r="CG86" s="144">
        <v>0</v>
      </c>
      <c r="CH86" s="144">
        <v>0</v>
      </c>
      <c r="CI86" s="144">
        <v>0</v>
      </c>
      <c r="CJ86" s="144">
        <v>0</v>
      </c>
      <c r="CK86" s="144">
        <v>0</v>
      </c>
      <c r="CL86" s="144">
        <v>0</v>
      </c>
      <c r="CM86" s="144">
        <v>0</v>
      </c>
      <c r="CN86" s="144">
        <v>0</v>
      </c>
      <c r="CO86" s="144">
        <v>0</v>
      </c>
      <c r="CP86" s="144">
        <v>0</v>
      </c>
      <c r="CQ86" s="143">
        <v>0</v>
      </c>
      <c r="CR86" s="145">
        <v>0</v>
      </c>
      <c r="CS86" s="145">
        <v>0</v>
      </c>
      <c r="CT86" s="145">
        <v>0</v>
      </c>
      <c r="CU86" s="145">
        <v>0</v>
      </c>
      <c r="CV86" s="145">
        <v>0</v>
      </c>
      <c r="CW86" s="145">
        <v>0</v>
      </c>
      <c r="CX86" s="145">
        <v>0</v>
      </c>
      <c r="CY86" s="145">
        <v>0</v>
      </c>
      <c r="CZ86" s="145">
        <v>0</v>
      </c>
      <c r="DA86" s="145">
        <v>0</v>
      </c>
      <c r="DB86" s="145">
        <v>0</v>
      </c>
      <c r="DC86" s="145">
        <v>0</v>
      </c>
      <c r="DD86" s="145">
        <v>0</v>
      </c>
      <c r="DE86" s="145">
        <v>0</v>
      </c>
      <c r="DF86" s="145">
        <v>0</v>
      </c>
      <c r="DG86" s="145">
        <v>21286.649999999998</v>
      </c>
      <c r="DH86" s="145">
        <v>28382.199999999997</v>
      </c>
      <c r="DI86" s="145">
        <v>28382.199999999997</v>
      </c>
      <c r="DJ86" s="145">
        <v>28382.199999999997</v>
      </c>
      <c r="DK86" s="145">
        <v>28382.199999999997</v>
      </c>
      <c r="DL86" s="145">
        <v>28382.199999999997</v>
      </c>
      <c r="DM86" s="145">
        <v>28382.199999999997</v>
      </c>
      <c r="DN86" s="145">
        <v>28382.199999999997</v>
      </c>
      <c r="DO86" s="145">
        <v>21286.649999999998</v>
      </c>
      <c r="DP86" s="145">
        <v>21286.649999999998</v>
      </c>
      <c r="DQ86" s="145">
        <v>28382.199999999997</v>
      </c>
      <c r="DR86" s="145">
        <v>29244.6</v>
      </c>
      <c r="DS86" s="145">
        <v>21933.449999999997</v>
      </c>
      <c r="DT86" s="145">
        <v>31751.279999999999</v>
      </c>
      <c r="DU86" s="145">
        <v>31751.279999999999</v>
      </c>
      <c r="DV86" s="145">
        <v>29244.6</v>
      </c>
      <c r="DW86" s="145">
        <v>29244.6</v>
      </c>
      <c r="DX86" s="145">
        <v>29244.6</v>
      </c>
      <c r="DY86" s="145">
        <v>29244.6</v>
      </c>
      <c r="DZ86" s="145">
        <v>29244.6</v>
      </c>
      <c r="EA86" s="145">
        <v>21933.449999999997</v>
      </c>
      <c r="EB86" s="145">
        <v>21933.449999999997</v>
      </c>
      <c r="EC86" s="145">
        <v>29244.6</v>
      </c>
      <c r="ED86" s="145">
        <v>30108.400000000001</v>
      </c>
      <c r="EE86" s="145">
        <v>22581.3</v>
      </c>
      <c r="EF86" s="145">
        <v>32689.119999999999</v>
      </c>
      <c r="EG86" s="145">
        <v>32689.119999999999</v>
      </c>
      <c r="EH86" s="145">
        <v>30108.400000000001</v>
      </c>
      <c r="EI86" s="145">
        <v>30108.400000000001</v>
      </c>
      <c r="EJ86" s="145">
        <v>30108.400000000001</v>
      </c>
      <c r="EK86" s="145">
        <v>30108.400000000001</v>
      </c>
      <c r="EL86" s="145">
        <v>0</v>
      </c>
      <c r="EM86" s="145">
        <v>0</v>
      </c>
      <c r="EN86" s="145">
        <v>0</v>
      </c>
      <c r="EO86" s="145">
        <v>0</v>
      </c>
      <c r="EP86" s="145">
        <v>0</v>
      </c>
      <c r="EQ86" s="145">
        <v>0</v>
      </c>
      <c r="ER86" s="145">
        <v>0</v>
      </c>
      <c r="ES86" s="145">
        <v>0</v>
      </c>
      <c r="ET86" s="145">
        <v>0</v>
      </c>
      <c r="EU86" s="145">
        <v>0</v>
      </c>
      <c r="EV86" s="145">
        <v>0</v>
      </c>
      <c r="EW86" s="145">
        <v>0</v>
      </c>
      <c r="EX86" s="145">
        <v>0</v>
      </c>
      <c r="EY86" s="145">
        <v>0</v>
      </c>
      <c r="EZ86" s="145">
        <v>0</v>
      </c>
      <c r="FA86" s="145">
        <v>0</v>
      </c>
      <c r="FB86" s="145">
        <v>0</v>
      </c>
      <c r="FC86" s="145">
        <v>0</v>
      </c>
      <c r="FD86" s="145">
        <v>0</v>
      </c>
      <c r="FE86" s="145">
        <v>0</v>
      </c>
      <c r="FF86" s="145">
        <v>0</v>
      </c>
      <c r="FG86" s="145">
        <v>0</v>
      </c>
      <c r="FH86" s="145">
        <v>0</v>
      </c>
      <c r="FI86" s="145">
        <v>0</v>
      </c>
      <c r="FJ86" s="145">
        <v>0</v>
      </c>
      <c r="FK86" s="145">
        <v>0</v>
      </c>
      <c r="FL86" s="145">
        <v>0</v>
      </c>
      <c r="FM86" s="145">
        <v>0</v>
      </c>
      <c r="FN86" s="145">
        <v>0</v>
      </c>
      <c r="FO86" s="145">
        <v>0</v>
      </c>
      <c r="FP86" s="145">
        <v>0</v>
      </c>
      <c r="FQ86" s="145">
        <v>0</v>
      </c>
      <c r="FR86" s="145">
        <v>0</v>
      </c>
      <c r="FS86" s="145">
        <v>0</v>
      </c>
      <c r="FT86" s="145">
        <v>0</v>
      </c>
      <c r="FU86" s="145">
        <v>0</v>
      </c>
      <c r="FV86" s="145">
        <v>0</v>
      </c>
      <c r="FW86" s="145">
        <v>0</v>
      </c>
      <c r="FX86" s="143"/>
      <c r="FY86" s="146" t="str">
        <f>_xlfn.XLOOKUP($E86,'Key assumptions'!$B$112:$B$120,'Key assumptions'!$C$112:$C$120,0)</f>
        <v>Nominal</v>
      </c>
      <c r="FZ86" s="146" cm="1">
        <f t="array" ref="FZ86">IF($FY86=0,0,_xlfn.IFS($FY86='Key assumptions'!$C$120,_xlfn.XLOOKUP(LEFT(FZ$7,6),Inflation_Year,Inflation_NominaltoReal),TRUE,_xlfn.XLOOKUP($FY86,Inflation_Year,NominaltoReal)))</f>
        <v>1.0197075870962191</v>
      </c>
      <c r="GA86" s="146" cm="1">
        <f t="array" ref="GA86">IF($FY86=0,0,_xlfn.IFS($FY86='Key assumptions'!$C$120,_xlfn.XLOOKUP(LEFT(GA$7,6),Inflation_Year,Inflation_NominaltoReal),TRUE,_xlfn.XLOOKUP($FY86,Inflation_Year,NominaltoReal)))</f>
        <v>0.98700804022984445</v>
      </c>
      <c r="GB86" s="146" cm="1">
        <f t="array" ref="GB86">IF($FY86=0,0,_xlfn.IFS($FY86='Key assumptions'!$C$120,_xlfn.XLOOKUP(LEFT(GB$7,6),Inflation_Year,Inflation_NominaltoReal),TRUE,_xlfn.XLOOKUP($FY86,Inflation_Year,NominaltoReal)))</f>
        <v>0.96152830081941731</v>
      </c>
      <c r="GC86" s="146" cm="1">
        <f t="array" ref="GC86">IF($FY86=0,0,_xlfn.IFS($FY86='Key assumptions'!$C$120,_xlfn.XLOOKUP(LEFT(GC$7,6),Inflation_Year,Inflation_NominaltoReal),TRUE,_xlfn.XLOOKUP($FY86,Inflation_Year,NominaltoReal)))</f>
        <v>0.93670632415656829</v>
      </c>
      <c r="GD86" s="146" cm="1">
        <f t="array" ref="GD86">IF($FY86=0,0,_xlfn.IFS($FY86='Key assumptions'!$C$120,_xlfn.XLOOKUP(LEFT(GD$7,6),Inflation_Year,Inflation_NominaltoReal),TRUE,_xlfn.XLOOKUP($FY86,Inflation_Year,NominaltoReal)))</f>
        <v>0.91252513001143176</v>
      </c>
      <c r="GE86" s="146" cm="1">
        <f t="array" ref="GE86">IF($FY86=0,0,_xlfn.IFS($FY86='Key assumptions'!$C$120,_xlfn.XLOOKUP(LEFT(GE$7,6),Inflation_Year,Inflation_NominaltoReal),TRUE,_xlfn.XLOOKUP($FY86,Inflation_Year,NominaltoReal)))</f>
        <v>0.88896817650095872</v>
      </c>
      <c r="GF86" s="146" cm="1">
        <f t="array" ref="GF86">IF($FY86=0,0,_xlfn.IFS($FY86='Key assumptions'!$C$120,_xlfn.XLOOKUP(LEFT(GF$7,6),Inflation_Year,Inflation_NominaltoReal),TRUE,_xlfn.XLOOKUP($FY86,Inflation_Year,NominaltoReal)))</f>
        <v>0.86601934877293718</v>
      </c>
      <c r="GG86" s="143"/>
      <c r="GH86" s="145" cm="1">
        <f t="array" ref="GH86">SUMPRODUCT(--($CR$7:$FW$7&gt;=GH$5),--($CR$7:$FW$7&lt;=GH$6),$CR86:$FW86)*FZ86</f>
        <v>166413.88190127324</v>
      </c>
      <c r="GI86" s="145" cm="1">
        <f t="array" ref="GI86">SUMPRODUCT(--($CR$7:$FW$7&gt;=GI$5),--($CR$7:$FW$7&lt;=GI$6),$CR86:$FW86)*GA86</f>
        <v>325845.21832573181</v>
      </c>
      <c r="GJ86" s="145" cm="1">
        <f t="array" ref="GJ86">SUMPRODUCT(--($CR$7:$FW$7&gt;=GJ$5),--($CR$7:$FW$7&lt;=GJ$6),$CR86:$FW86)*GB86</f>
        <v>326913.69926426886</v>
      </c>
      <c r="GK86" s="145" cm="1">
        <f t="array" ref="GK86">SUMPRODUCT(--($CR$7:$FW$7&gt;=GK$5),--($CR$7:$FW$7&lt;=GK$6),$CR86:$FW86)*GC86</f>
        <v>28202.728690235621</v>
      </c>
      <c r="GL86" s="145" cm="1">
        <f t="array" ref="GL86">SUMPRODUCT(--($CR$7:$FW$7&gt;=GL$5),--($CR$7:$FW$7&lt;=GL$6),$CR86:$FW86)*GD86</f>
        <v>0</v>
      </c>
      <c r="GM86" s="145" cm="1">
        <f t="array" ref="GM86">SUMPRODUCT(--($CR$7:$FW$7&gt;=GM$5),--($CR$7:$FW$7&lt;=GM$6),$CR86:$FW86)*GE86</f>
        <v>0</v>
      </c>
      <c r="GN86" s="145" cm="1">
        <f t="array" ref="GN86">SUMPRODUCT(--($CR$7:$FW$7&gt;=GN$5),--($CR$7:$FW$7&lt;=GN$6),$CR86:$FW86)*GF86</f>
        <v>0</v>
      </c>
      <c r="GO86" s="145">
        <f t="shared" si="23"/>
        <v>847375.52818150958</v>
      </c>
      <c r="GP86" s="87"/>
      <c r="GQ86" s="89"/>
      <c r="GR86" s="145" cm="1">
        <f t="array" ref="GR86">SUMPRODUCT(--($CR$7:$FW$7&gt;=GR$5),--($CR$7:$FW$7&lt;=GR$6),$CR86:$FW86)</f>
        <v>78051.049999999988</v>
      </c>
      <c r="GS86" s="89"/>
      <c r="GT86" s="214" cm="1">
        <f t="array" ref="GT86">--AND(MIN(IF($K86:$CP86&lt;&gt;0,$K$7:$CP$7))&gt;=GT$5,MIN(IF($K86:$CP86&lt;&gt;0,$K$7:$CP$7))&lt;=GT$6)</f>
        <v>1</v>
      </c>
      <c r="GU86" s="214" cm="1">
        <f t="array" ref="GU86">--AND(MIN(IF($K86:$CP86&lt;&gt;0,$K$7:$CP$7))&gt;=GU$5,MIN(IF($K86:$CP86&lt;&gt;0,$K$7:$CP$7))&lt;=GU$6)</f>
        <v>0</v>
      </c>
      <c r="GV86" s="214" cm="1">
        <f t="array" ref="GV86">--AND(MIN(IF($K86:$CP86&lt;&gt;0,$K$7:$CP$7))&gt;=GV$5,MIN(IF($K86:$CP86&lt;&gt;0,$K$7:$CP$7))&lt;=GV$6)</f>
        <v>0</v>
      </c>
      <c r="GW86" s="214" cm="1">
        <f t="array" ref="GW86">--AND(MIN(IF($K86:$CP86&lt;&gt;0,$K$7:$CP$7))&gt;=GW$5,MIN(IF($K86:$CP86&lt;&gt;0,$K$7:$CP$7))&lt;=GW$6)</f>
        <v>0</v>
      </c>
      <c r="GX86" s="214" cm="1">
        <f t="array" ref="GX86">--AND(MIN(IF($K86:$CP86&lt;&gt;0,$K$7:$CP$7))&gt;=GX$5,MIN(IF($K86:$CP86&lt;&gt;0,$K$7:$CP$7))&lt;=GX$6)</f>
        <v>0</v>
      </c>
      <c r="GY86" s="214" cm="1">
        <f t="array" ref="GY86">--AND(MIN(IF($K86:$CP86&lt;&gt;0,$K$7:$CP$7))&gt;=GY$5,MIN(IF($K86:$CP86&lt;&gt;0,$K$7:$CP$7))&lt;=GY$6)</f>
        <v>0</v>
      </c>
      <c r="GZ86" s="214" cm="1">
        <f t="array" ref="GZ86">--AND(MIN(IF($K86:$CP86&lt;&gt;0,$K$7:$CP$7))&gt;=GZ$5,MIN(IF($K86:$CP86&lt;&gt;0,$K$7:$CP$7))&lt;=GZ$6)</f>
        <v>0</v>
      </c>
      <c r="HA86" s="214">
        <f t="shared" si="24"/>
        <v>1</v>
      </c>
      <c r="HC86" s="214" cm="1">
        <f t="array" ref="HC86">--AND(MIN(IF($K86:$CP86&lt;&gt;0,$K$7:$CP$7))&gt;=HC$5,MIN(IF($K86:$CP86&lt;&gt;0,$K$7:$CP$7))&lt;=HC$6)</f>
        <v>1</v>
      </c>
      <c r="HE86" s="147" t="str">
        <f t="shared" si="43"/>
        <v>No</v>
      </c>
      <c r="HF86" s="147" t="str">
        <f t="shared" si="44"/>
        <v>No</v>
      </c>
      <c r="HG86" s="147">
        <f>IF($HF86="Yes",0,$H86*avg_hrs*12*'Key assumptions'!$D$87)</f>
        <v>362535.77629630821</v>
      </c>
      <c r="HH86" s="147">
        <f>IF(HE86="Yes",'Key assumptions'!$D$84*HG86,0)</f>
        <v>0</v>
      </c>
      <c r="HI86" s="144">
        <f>IFERROR(AVERAGEIFS($K86:$CP86,$K$7:$CP$7,"&gt;="&amp;'Key assumptions'!$D$24,$K$7:$CP$7,"&lt;="&amp;'Key assumptions'!$D$25),0)</f>
        <v>0.700956937799043</v>
      </c>
      <c r="HJ86" s="148">
        <f t="shared" si="25"/>
        <v>0</v>
      </c>
      <c r="HK86" s="148">
        <f t="shared" si="26"/>
        <v>0</v>
      </c>
      <c r="HL86" s="148">
        <f t="shared" si="27"/>
        <v>0</v>
      </c>
      <c r="HM86" s="148">
        <f t="shared" si="28"/>
        <v>0</v>
      </c>
      <c r="HN86" s="148">
        <f t="shared" si="29"/>
        <v>0</v>
      </c>
      <c r="HO86" s="148">
        <f t="shared" si="30"/>
        <v>0</v>
      </c>
      <c r="HP86" s="148">
        <f t="shared" si="31"/>
        <v>0</v>
      </c>
      <c r="HQ86" s="148">
        <f t="shared" si="32"/>
        <v>0</v>
      </c>
      <c r="HR86" s="147">
        <f t="shared" si="33"/>
        <v>0</v>
      </c>
      <c r="HU86" s="147">
        <f>$HJ86*HC86/(1+'Key assumptions'!G108)^0.75</f>
        <v>0</v>
      </c>
      <c r="HW86" s="216">
        <f t="shared" si="34"/>
        <v>0.700956937799043</v>
      </c>
      <c r="HX86" s="216">
        <f t="shared" si="35"/>
        <v>0</v>
      </c>
      <c r="HY86" s="216">
        <f t="shared" si="36"/>
        <v>0</v>
      </c>
      <c r="HZ86" s="216">
        <f t="shared" si="37"/>
        <v>0</v>
      </c>
      <c r="IA86" s="216">
        <f t="shared" si="38"/>
        <v>0</v>
      </c>
      <c r="IB86" s="216">
        <f t="shared" si="39"/>
        <v>0</v>
      </c>
      <c r="IC86" s="216">
        <f t="shared" si="40"/>
        <v>0</v>
      </c>
      <c r="ID86" s="216">
        <f t="shared" si="41"/>
        <v>0.700956937799043</v>
      </c>
      <c r="IF86" s="216">
        <f t="shared" si="42"/>
        <v>0.700956937799043</v>
      </c>
    </row>
    <row r="87" spans="2:240" x14ac:dyDescent="0.2">
      <c r="B87" s="141" t="str">
        <v>Project Delivery Management - Commercial Management</v>
      </c>
      <c r="C87" s="141" t="str">
        <v>Contract Manager - Senior (Commercial)</v>
      </c>
      <c r="D87" s="141" t="str">
        <v>Internal Labour</v>
      </c>
      <c r="E87" s="141" t="str">
        <v>$ Nominal</v>
      </c>
      <c r="F87" s="141" t="str">
        <v>Existing</v>
      </c>
      <c r="G87" s="141" t="str">
        <v>Normal time</v>
      </c>
      <c r="H87" s="142">
        <v>333.23</v>
      </c>
      <c r="I87" s="126">
        <v>702204.65000000014</v>
      </c>
      <c r="J87" s="143">
        <v>0</v>
      </c>
      <c r="K87" s="144">
        <v>0</v>
      </c>
      <c r="L87" s="144">
        <v>0</v>
      </c>
      <c r="M87" s="144">
        <v>0</v>
      </c>
      <c r="N87" s="144">
        <v>0</v>
      </c>
      <c r="O87" s="144">
        <v>0</v>
      </c>
      <c r="P87" s="144">
        <v>0</v>
      </c>
      <c r="Q87" s="144">
        <v>0</v>
      </c>
      <c r="R87" s="144">
        <v>0</v>
      </c>
      <c r="S87" s="144">
        <v>0</v>
      </c>
      <c r="T87" s="144">
        <v>0</v>
      </c>
      <c r="U87" s="144">
        <v>0</v>
      </c>
      <c r="V87" s="144">
        <v>0</v>
      </c>
      <c r="W87" s="144">
        <v>0</v>
      </c>
      <c r="X87" s="144">
        <v>0</v>
      </c>
      <c r="Y87" s="144">
        <v>0</v>
      </c>
      <c r="Z87" s="144">
        <v>0.5</v>
      </c>
      <c r="AA87" s="144">
        <v>0.46052631578947367</v>
      </c>
      <c r="AB87" s="144">
        <v>0.46052631578947367</v>
      </c>
      <c r="AC87" s="144">
        <v>0.5</v>
      </c>
      <c r="AD87" s="144">
        <v>0.5</v>
      </c>
      <c r="AE87" s="144">
        <v>0.5</v>
      </c>
      <c r="AF87" s="144">
        <v>0.5</v>
      </c>
      <c r="AG87" s="144">
        <v>0.5</v>
      </c>
      <c r="AH87" s="144">
        <v>0.5</v>
      </c>
      <c r="AI87" s="144">
        <v>0.5</v>
      </c>
      <c r="AJ87" s="144">
        <v>0.5</v>
      </c>
      <c r="AK87" s="144">
        <v>0.5</v>
      </c>
      <c r="AL87" s="144">
        <v>0.5</v>
      </c>
      <c r="AM87" s="144">
        <v>0.5</v>
      </c>
      <c r="AN87" s="144">
        <v>0.5</v>
      </c>
      <c r="AO87" s="144">
        <v>0.5</v>
      </c>
      <c r="AP87" s="144">
        <v>0.5</v>
      </c>
      <c r="AQ87" s="144">
        <v>0.5</v>
      </c>
      <c r="AR87" s="144">
        <v>0.5</v>
      </c>
      <c r="AS87" s="144">
        <v>0.5</v>
      </c>
      <c r="AT87" s="144">
        <v>0.5</v>
      </c>
      <c r="AU87" s="144">
        <v>0.5</v>
      </c>
      <c r="AV87" s="144">
        <v>0.5</v>
      </c>
      <c r="AW87" s="144">
        <v>0.5</v>
      </c>
      <c r="AX87" s="144">
        <v>0.5</v>
      </c>
      <c r="AY87" s="144">
        <v>0.5</v>
      </c>
      <c r="AZ87" s="144">
        <v>0.5</v>
      </c>
      <c r="BA87" s="144">
        <v>0.5</v>
      </c>
      <c r="BB87" s="144">
        <v>0.5</v>
      </c>
      <c r="BC87" s="144">
        <v>0.5</v>
      </c>
      <c r="BD87" s="144">
        <v>0.5</v>
      </c>
      <c r="BE87" s="144">
        <v>0</v>
      </c>
      <c r="BF87" s="144">
        <v>0</v>
      </c>
      <c r="BG87" s="144">
        <v>0</v>
      </c>
      <c r="BH87" s="144">
        <v>0</v>
      </c>
      <c r="BI87" s="144">
        <v>0</v>
      </c>
      <c r="BJ87" s="144">
        <v>0</v>
      </c>
      <c r="BK87" s="144">
        <v>0</v>
      </c>
      <c r="BL87" s="144">
        <v>0</v>
      </c>
      <c r="BM87" s="144">
        <v>0</v>
      </c>
      <c r="BN87" s="144">
        <v>0</v>
      </c>
      <c r="BO87" s="144">
        <v>0</v>
      </c>
      <c r="BP87" s="144">
        <v>0</v>
      </c>
      <c r="BQ87" s="144">
        <v>0</v>
      </c>
      <c r="BR87" s="144">
        <v>0</v>
      </c>
      <c r="BS87" s="144">
        <v>0</v>
      </c>
      <c r="BT87" s="144">
        <v>0</v>
      </c>
      <c r="BU87" s="144">
        <v>0</v>
      </c>
      <c r="BV87" s="144">
        <v>0</v>
      </c>
      <c r="BW87" s="144">
        <v>0</v>
      </c>
      <c r="BX87" s="144">
        <v>0</v>
      </c>
      <c r="BY87" s="144">
        <v>0</v>
      </c>
      <c r="BZ87" s="144">
        <v>0</v>
      </c>
      <c r="CA87" s="144">
        <v>0</v>
      </c>
      <c r="CB87" s="144">
        <v>0</v>
      </c>
      <c r="CC87" s="144">
        <v>0</v>
      </c>
      <c r="CD87" s="144">
        <v>0</v>
      </c>
      <c r="CE87" s="144">
        <v>0</v>
      </c>
      <c r="CF87" s="144">
        <v>0</v>
      </c>
      <c r="CG87" s="144">
        <v>0</v>
      </c>
      <c r="CH87" s="144">
        <v>0</v>
      </c>
      <c r="CI87" s="144">
        <v>0</v>
      </c>
      <c r="CJ87" s="144">
        <v>0</v>
      </c>
      <c r="CK87" s="144">
        <v>0</v>
      </c>
      <c r="CL87" s="144">
        <v>0</v>
      </c>
      <c r="CM87" s="144">
        <v>0</v>
      </c>
      <c r="CN87" s="144">
        <v>0</v>
      </c>
      <c r="CO87" s="144">
        <v>0</v>
      </c>
      <c r="CP87" s="144">
        <v>0</v>
      </c>
      <c r="CQ87" s="143">
        <v>0</v>
      </c>
      <c r="CR87" s="145">
        <v>0</v>
      </c>
      <c r="CS87" s="145">
        <v>0</v>
      </c>
      <c r="CT87" s="145">
        <v>0</v>
      </c>
      <c r="CU87" s="145">
        <v>0</v>
      </c>
      <c r="CV87" s="145">
        <v>0</v>
      </c>
      <c r="CW87" s="145">
        <v>0</v>
      </c>
      <c r="CX87" s="145">
        <v>0</v>
      </c>
      <c r="CY87" s="145">
        <v>0</v>
      </c>
      <c r="CZ87" s="145">
        <v>0</v>
      </c>
      <c r="DA87" s="145">
        <v>0</v>
      </c>
      <c r="DB87" s="145">
        <v>0</v>
      </c>
      <c r="DC87" s="145">
        <v>0</v>
      </c>
      <c r="DD87" s="145">
        <v>0</v>
      </c>
      <c r="DE87" s="145">
        <v>0</v>
      </c>
      <c r="DF87" s="145">
        <v>0</v>
      </c>
      <c r="DG87" s="145">
        <v>16989.525000000001</v>
      </c>
      <c r="DH87" s="145">
        <v>22652.7</v>
      </c>
      <c r="DI87" s="145">
        <v>22652.7</v>
      </c>
      <c r="DJ87" s="145">
        <v>23326.799999999999</v>
      </c>
      <c r="DK87" s="145">
        <v>23326.799999999999</v>
      </c>
      <c r="DL87" s="145">
        <v>23326.799999999999</v>
      </c>
      <c r="DM87" s="145">
        <v>23326.799999999999</v>
      </c>
      <c r="DN87" s="145">
        <v>23326.799999999999</v>
      </c>
      <c r="DO87" s="145">
        <v>17495.100000000002</v>
      </c>
      <c r="DP87" s="145">
        <v>17495.100000000002</v>
      </c>
      <c r="DQ87" s="145">
        <v>23326.799999999999</v>
      </c>
      <c r="DR87" s="145">
        <v>23326.799999999999</v>
      </c>
      <c r="DS87" s="145">
        <v>17495.100000000002</v>
      </c>
      <c r="DT87" s="145">
        <v>25326.240000000002</v>
      </c>
      <c r="DU87" s="145">
        <v>25326.240000000002</v>
      </c>
      <c r="DV87" s="145">
        <v>24031.7</v>
      </c>
      <c r="DW87" s="145">
        <v>24031.7</v>
      </c>
      <c r="DX87" s="145">
        <v>24031.7</v>
      </c>
      <c r="DY87" s="145">
        <v>24031.7</v>
      </c>
      <c r="DZ87" s="145">
        <v>24031.7</v>
      </c>
      <c r="EA87" s="145">
        <v>18023.775000000001</v>
      </c>
      <c r="EB87" s="145">
        <v>18023.775000000001</v>
      </c>
      <c r="EC87" s="145">
        <v>24031.7</v>
      </c>
      <c r="ED87" s="145">
        <v>24031.7</v>
      </c>
      <c r="EE87" s="145">
        <v>18023.775000000001</v>
      </c>
      <c r="EF87" s="145">
        <v>26091.56</v>
      </c>
      <c r="EG87" s="145">
        <v>26091.56</v>
      </c>
      <c r="EH87" s="145">
        <v>24752</v>
      </c>
      <c r="EI87" s="145">
        <v>24752</v>
      </c>
      <c r="EJ87" s="145">
        <v>24752</v>
      </c>
      <c r="EK87" s="145">
        <v>24752</v>
      </c>
      <c r="EL87" s="145">
        <v>0</v>
      </c>
      <c r="EM87" s="145">
        <v>0</v>
      </c>
      <c r="EN87" s="145">
        <v>0</v>
      </c>
      <c r="EO87" s="145">
        <v>0</v>
      </c>
      <c r="EP87" s="145">
        <v>0</v>
      </c>
      <c r="EQ87" s="145">
        <v>0</v>
      </c>
      <c r="ER87" s="145">
        <v>0</v>
      </c>
      <c r="ES87" s="145">
        <v>0</v>
      </c>
      <c r="ET87" s="145">
        <v>0</v>
      </c>
      <c r="EU87" s="145">
        <v>0</v>
      </c>
      <c r="EV87" s="145">
        <v>0</v>
      </c>
      <c r="EW87" s="145">
        <v>0</v>
      </c>
      <c r="EX87" s="145">
        <v>0</v>
      </c>
      <c r="EY87" s="145">
        <v>0</v>
      </c>
      <c r="EZ87" s="145">
        <v>0</v>
      </c>
      <c r="FA87" s="145">
        <v>0</v>
      </c>
      <c r="FB87" s="145">
        <v>0</v>
      </c>
      <c r="FC87" s="145">
        <v>0</v>
      </c>
      <c r="FD87" s="145">
        <v>0</v>
      </c>
      <c r="FE87" s="145">
        <v>0</v>
      </c>
      <c r="FF87" s="145">
        <v>0</v>
      </c>
      <c r="FG87" s="145">
        <v>0</v>
      </c>
      <c r="FH87" s="145">
        <v>0</v>
      </c>
      <c r="FI87" s="145">
        <v>0</v>
      </c>
      <c r="FJ87" s="145">
        <v>0</v>
      </c>
      <c r="FK87" s="145">
        <v>0</v>
      </c>
      <c r="FL87" s="145">
        <v>0</v>
      </c>
      <c r="FM87" s="145">
        <v>0</v>
      </c>
      <c r="FN87" s="145">
        <v>0</v>
      </c>
      <c r="FO87" s="145">
        <v>0</v>
      </c>
      <c r="FP87" s="145">
        <v>0</v>
      </c>
      <c r="FQ87" s="145">
        <v>0</v>
      </c>
      <c r="FR87" s="145">
        <v>0</v>
      </c>
      <c r="FS87" s="145">
        <v>0</v>
      </c>
      <c r="FT87" s="145">
        <v>0</v>
      </c>
      <c r="FU87" s="145">
        <v>0</v>
      </c>
      <c r="FV87" s="145">
        <v>0</v>
      </c>
      <c r="FW87" s="145">
        <v>0</v>
      </c>
      <c r="FX87" s="143"/>
      <c r="FY87" s="146" t="str">
        <f>_xlfn.XLOOKUP($E87,'Key assumptions'!$B$112:$B$120,'Key assumptions'!$C$112:$C$120,0)</f>
        <v>Nominal</v>
      </c>
      <c r="FZ87" s="146" cm="1">
        <f t="array" ref="FZ87">IF($FY87=0,0,_xlfn.IFS($FY87='Key assumptions'!$C$120,_xlfn.XLOOKUP(LEFT(FZ$7,6),Inflation_Year,Inflation_NominaltoReal),TRUE,_xlfn.XLOOKUP($FY87,Inflation_Year,NominaltoReal)))</f>
        <v>1.0197075870962191</v>
      </c>
      <c r="GA87" s="146" cm="1">
        <f t="array" ref="GA87">IF($FY87=0,0,_xlfn.IFS($FY87='Key assumptions'!$C$120,_xlfn.XLOOKUP(LEFT(GA$7,6),Inflation_Year,Inflation_NominaltoReal),TRUE,_xlfn.XLOOKUP($FY87,Inflation_Year,NominaltoReal)))</f>
        <v>0.98700804022984445</v>
      </c>
      <c r="GB87" s="146" cm="1">
        <f t="array" ref="GB87">IF($FY87=0,0,_xlfn.IFS($FY87='Key assumptions'!$C$120,_xlfn.XLOOKUP(LEFT(GB$7,6),Inflation_Year,Inflation_NominaltoReal),TRUE,_xlfn.XLOOKUP($FY87,Inflation_Year,NominaltoReal)))</f>
        <v>0.96152830081941731</v>
      </c>
      <c r="GC87" s="146" cm="1">
        <f t="array" ref="GC87">IF($FY87=0,0,_xlfn.IFS($FY87='Key assumptions'!$C$120,_xlfn.XLOOKUP(LEFT(GC$7,6),Inflation_Year,Inflation_NominaltoReal),TRUE,_xlfn.XLOOKUP($FY87,Inflation_Year,NominaltoReal)))</f>
        <v>0.93670632415656829</v>
      </c>
      <c r="GD87" s="146" cm="1">
        <f t="array" ref="GD87">IF($FY87=0,0,_xlfn.IFS($FY87='Key assumptions'!$C$120,_xlfn.XLOOKUP(LEFT(GD$7,6),Inflation_Year,Inflation_NominaltoReal),TRUE,_xlfn.XLOOKUP($FY87,Inflation_Year,NominaltoReal)))</f>
        <v>0.91252513001143176</v>
      </c>
      <c r="GE87" s="146" cm="1">
        <f t="array" ref="GE87">IF($FY87=0,0,_xlfn.IFS($FY87='Key assumptions'!$C$120,_xlfn.XLOOKUP(LEFT(GE$7,6),Inflation_Year,Inflation_NominaltoReal),TRUE,_xlfn.XLOOKUP($FY87,Inflation_Year,NominaltoReal)))</f>
        <v>0.88896817650095872</v>
      </c>
      <c r="GF87" s="146" cm="1">
        <f t="array" ref="GF87">IF($FY87=0,0,_xlfn.IFS($FY87='Key assumptions'!$C$120,_xlfn.XLOOKUP(LEFT(GF$7,6),Inflation_Year,Inflation_NominaltoReal),TRUE,_xlfn.XLOOKUP($FY87,Inflation_Year,NominaltoReal)))</f>
        <v>0.86601934877293718</v>
      </c>
      <c r="GG87" s="143"/>
      <c r="GH87" s="145" cm="1">
        <f t="array" ref="GH87">SUMPRODUCT(--($CR$7:$FW$7&gt;=GH$5),--($CR$7:$FW$7&lt;=GH$6),$CR87:$FW87)*FZ87</f>
        <v>134882.15248811821</v>
      </c>
      <c r="GI87" s="145" cm="1">
        <f t="array" ref="GI87">SUMPRODUCT(--($CR$7:$FW$7&gt;=GI$5),--($CR$7:$FW$7&lt;=GI$6),$CR87:$FW87)*GA87</f>
        <v>265051.21808396565</v>
      </c>
      <c r="GJ87" s="145" cm="1">
        <f t="array" ref="GJ87">SUMPRODUCT(--($CR$7:$FW$7&gt;=GJ$5),--($CR$7:$FW$7&lt;=GJ$6),$CR87:$FW87)*GB87</f>
        <v>265994.54012821487</v>
      </c>
      <c r="GK87" s="145" cm="1">
        <f t="array" ref="GK87">SUMPRODUCT(--($CR$7:$FW$7&gt;=GK$5),--($CR$7:$FW$7&lt;=GK$6),$CR87:$FW87)*GC87</f>
        <v>23185.354935523377</v>
      </c>
      <c r="GL87" s="145" cm="1">
        <f t="array" ref="GL87">SUMPRODUCT(--($CR$7:$FW$7&gt;=GL$5),--($CR$7:$FW$7&lt;=GL$6),$CR87:$FW87)*GD87</f>
        <v>0</v>
      </c>
      <c r="GM87" s="145" cm="1">
        <f t="array" ref="GM87">SUMPRODUCT(--($CR$7:$FW$7&gt;=GM$5),--($CR$7:$FW$7&lt;=GM$6),$CR87:$FW87)*GE87</f>
        <v>0</v>
      </c>
      <c r="GN87" s="145" cm="1">
        <f t="array" ref="GN87">SUMPRODUCT(--($CR$7:$FW$7&gt;=GN$5),--($CR$7:$FW$7&lt;=GN$6),$CR87:$FW87)*GF87</f>
        <v>0</v>
      </c>
      <c r="GO87" s="145">
        <f t="shared" si="23"/>
        <v>689113.26563582208</v>
      </c>
      <c r="GP87" s="87"/>
      <c r="GQ87" s="89"/>
      <c r="GR87" s="145" cm="1">
        <f t="array" ref="GR87">SUMPRODUCT(--($CR$7:$FW$7&gt;=GR$5),--($CR$7:$FW$7&lt;=GR$6),$CR87:$FW87)</f>
        <v>62294.925000000003</v>
      </c>
      <c r="GS87" s="89"/>
      <c r="GT87" s="214" cm="1">
        <f t="array" ref="GT87">--AND(MIN(IF($K87:$CP87&lt;&gt;0,$K$7:$CP$7))&gt;=GT$5,MIN(IF($K87:$CP87&lt;&gt;0,$K$7:$CP$7))&lt;=GT$6)</f>
        <v>1</v>
      </c>
      <c r="GU87" s="214" cm="1">
        <f t="array" ref="GU87">--AND(MIN(IF($K87:$CP87&lt;&gt;0,$K$7:$CP$7))&gt;=GU$5,MIN(IF($K87:$CP87&lt;&gt;0,$K$7:$CP$7))&lt;=GU$6)</f>
        <v>0</v>
      </c>
      <c r="GV87" s="214" cm="1">
        <f t="array" ref="GV87">--AND(MIN(IF($K87:$CP87&lt;&gt;0,$K$7:$CP$7))&gt;=GV$5,MIN(IF($K87:$CP87&lt;&gt;0,$K$7:$CP$7))&lt;=GV$6)</f>
        <v>0</v>
      </c>
      <c r="GW87" s="214" cm="1">
        <f t="array" ref="GW87">--AND(MIN(IF($K87:$CP87&lt;&gt;0,$K$7:$CP$7))&gt;=GW$5,MIN(IF($K87:$CP87&lt;&gt;0,$K$7:$CP$7))&lt;=GW$6)</f>
        <v>0</v>
      </c>
      <c r="GX87" s="214" cm="1">
        <f t="array" ref="GX87">--AND(MIN(IF($K87:$CP87&lt;&gt;0,$K$7:$CP$7))&gt;=GX$5,MIN(IF($K87:$CP87&lt;&gt;0,$K$7:$CP$7))&lt;=GX$6)</f>
        <v>0</v>
      </c>
      <c r="GY87" s="214" cm="1">
        <f t="array" ref="GY87">--AND(MIN(IF($K87:$CP87&lt;&gt;0,$K$7:$CP$7))&gt;=GY$5,MIN(IF($K87:$CP87&lt;&gt;0,$K$7:$CP$7))&lt;=GY$6)</f>
        <v>0</v>
      </c>
      <c r="GZ87" s="214" cm="1">
        <f t="array" ref="GZ87">--AND(MIN(IF($K87:$CP87&lt;&gt;0,$K$7:$CP$7))&gt;=GZ$5,MIN(IF($K87:$CP87&lt;&gt;0,$K$7:$CP$7))&lt;=GZ$6)</f>
        <v>0</v>
      </c>
      <c r="HA87" s="214">
        <f t="shared" si="24"/>
        <v>1</v>
      </c>
      <c r="HC87" s="214" cm="1">
        <f t="array" ref="HC87">--AND(MIN(IF($K87:$CP87&lt;&gt;0,$K$7:$CP$7))&gt;=HC$5,MIN(IF($K87:$CP87&lt;&gt;0,$K$7:$CP$7))&lt;=HC$6)</f>
        <v>1</v>
      </c>
      <c r="HE87" s="147" t="str">
        <f t="shared" si="43"/>
        <v>No</v>
      </c>
      <c r="HF87" s="147" t="str">
        <f t="shared" si="44"/>
        <v>No</v>
      </c>
      <c r="HG87" s="147">
        <f>IF($HF87="Yes",0,$H87*avg_hrs*12*'Key assumptions'!$D$87)</f>
        <v>595904.88203629851</v>
      </c>
      <c r="HH87" s="147">
        <f>IF(HE87="Yes",'Key assumptions'!$D$84*HG87,0)</f>
        <v>0</v>
      </c>
      <c r="HI87" s="144">
        <f>IFERROR(AVERAGEIFS($K87:$CP87,$K$7:$CP$7,"&gt;="&amp;'Key assumptions'!$D$24,$K$7:$CP$7,"&lt;="&amp;'Key assumptions'!$D$25),0)</f>
        <v>0.3504784688995215</v>
      </c>
      <c r="HJ87" s="148">
        <f t="shared" si="25"/>
        <v>0</v>
      </c>
      <c r="HK87" s="148">
        <f t="shared" si="26"/>
        <v>0</v>
      </c>
      <c r="HL87" s="148">
        <f t="shared" si="27"/>
        <v>0</v>
      </c>
      <c r="HM87" s="148">
        <f t="shared" si="28"/>
        <v>0</v>
      </c>
      <c r="HN87" s="148">
        <f t="shared" si="29"/>
        <v>0</v>
      </c>
      <c r="HO87" s="148">
        <f t="shared" si="30"/>
        <v>0</v>
      </c>
      <c r="HP87" s="148">
        <f t="shared" si="31"/>
        <v>0</v>
      </c>
      <c r="HQ87" s="148">
        <f t="shared" si="32"/>
        <v>0</v>
      </c>
      <c r="HR87" s="147">
        <f t="shared" si="33"/>
        <v>0</v>
      </c>
      <c r="HU87" s="147">
        <f>$HJ87*HC87/(1+'Key assumptions'!G109)^0.75</f>
        <v>0</v>
      </c>
      <c r="HW87" s="216">
        <f t="shared" si="34"/>
        <v>0.3504784688995215</v>
      </c>
      <c r="HX87" s="216">
        <f t="shared" si="35"/>
        <v>0</v>
      </c>
      <c r="HY87" s="216">
        <f t="shared" si="36"/>
        <v>0</v>
      </c>
      <c r="HZ87" s="216">
        <f t="shared" si="37"/>
        <v>0</v>
      </c>
      <c r="IA87" s="216">
        <f t="shared" si="38"/>
        <v>0</v>
      </c>
      <c r="IB87" s="216">
        <f t="shared" si="39"/>
        <v>0</v>
      </c>
      <c r="IC87" s="216">
        <f t="shared" si="40"/>
        <v>0</v>
      </c>
      <c r="ID87" s="216">
        <f t="shared" si="41"/>
        <v>0.3504784688995215</v>
      </c>
      <c r="IF87" s="216">
        <f t="shared" si="42"/>
        <v>0.3504784688995215</v>
      </c>
    </row>
    <row r="88" spans="2:240" x14ac:dyDescent="0.2">
      <c r="B88" s="141" t="str">
        <v>Project Delivery Management - Commercial Management</v>
      </c>
      <c r="C88" s="141" t="str">
        <v>Contract Administrator (Commercial)</v>
      </c>
      <c r="D88" s="141" t="str">
        <v>Internal Labour</v>
      </c>
      <c r="E88" s="141" t="str">
        <v>$ Nominal</v>
      </c>
      <c r="F88" s="141" t="str">
        <v>Existing</v>
      </c>
      <c r="G88" s="141" t="str">
        <v>Normal time</v>
      </c>
      <c r="H88" s="142">
        <v>202.73</v>
      </c>
      <c r="I88" s="126">
        <v>431717.1</v>
      </c>
      <c r="J88" s="143">
        <v>0</v>
      </c>
      <c r="K88" s="144">
        <v>0</v>
      </c>
      <c r="L88" s="144">
        <v>0</v>
      </c>
      <c r="M88" s="144">
        <v>0</v>
      </c>
      <c r="N88" s="144">
        <v>0</v>
      </c>
      <c r="O88" s="144">
        <v>0</v>
      </c>
      <c r="P88" s="144">
        <v>0</v>
      </c>
      <c r="Q88" s="144">
        <v>0</v>
      </c>
      <c r="R88" s="144">
        <v>0</v>
      </c>
      <c r="S88" s="144">
        <v>0</v>
      </c>
      <c r="T88" s="144">
        <v>0</v>
      </c>
      <c r="U88" s="144">
        <v>0</v>
      </c>
      <c r="V88" s="144">
        <v>0</v>
      </c>
      <c r="W88" s="144">
        <v>0</v>
      </c>
      <c r="X88" s="144">
        <v>0</v>
      </c>
      <c r="Y88" s="144">
        <v>0</v>
      </c>
      <c r="Z88" s="144">
        <v>0.5</v>
      </c>
      <c r="AA88" s="144">
        <v>0.46052631578947367</v>
      </c>
      <c r="AB88" s="144">
        <v>0.46052631578947367</v>
      </c>
      <c r="AC88" s="144">
        <v>0.5</v>
      </c>
      <c r="AD88" s="144">
        <v>0.5</v>
      </c>
      <c r="AE88" s="144">
        <v>0.5</v>
      </c>
      <c r="AF88" s="144">
        <v>0.5</v>
      </c>
      <c r="AG88" s="144">
        <v>0.5</v>
      </c>
      <c r="AH88" s="144">
        <v>0.5</v>
      </c>
      <c r="AI88" s="144">
        <v>0.5</v>
      </c>
      <c r="AJ88" s="144">
        <v>0.5</v>
      </c>
      <c r="AK88" s="144">
        <v>0.5</v>
      </c>
      <c r="AL88" s="144">
        <v>0.5</v>
      </c>
      <c r="AM88" s="144">
        <v>0.5</v>
      </c>
      <c r="AN88" s="144">
        <v>0.5</v>
      </c>
      <c r="AO88" s="144">
        <v>0.5</v>
      </c>
      <c r="AP88" s="144">
        <v>0.5</v>
      </c>
      <c r="AQ88" s="144">
        <v>0.5</v>
      </c>
      <c r="AR88" s="144">
        <v>0.5</v>
      </c>
      <c r="AS88" s="144">
        <v>0.5</v>
      </c>
      <c r="AT88" s="144">
        <v>0.5</v>
      </c>
      <c r="AU88" s="144">
        <v>0.5</v>
      </c>
      <c r="AV88" s="144">
        <v>0.5</v>
      </c>
      <c r="AW88" s="144">
        <v>0.5</v>
      </c>
      <c r="AX88" s="144">
        <v>0.5</v>
      </c>
      <c r="AY88" s="144">
        <v>0.5</v>
      </c>
      <c r="AZ88" s="144">
        <v>0.5</v>
      </c>
      <c r="BA88" s="144">
        <v>0.5</v>
      </c>
      <c r="BB88" s="144">
        <v>0.5</v>
      </c>
      <c r="BC88" s="144">
        <v>0.5</v>
      </c>
      <c r="BD88" s="144">
        <v>0.5</v>
      </c>
      <c r="BE88" s="144">
        <v>0</v>
      </c>
      <c r="BF88" s="144">
        <v>0</v>
      </c>
      <c r="BG88" s="144">
        <v>0</v>
      </c>
      <c r="BH88" s="144">
        <v>0</v>
      </c>
      <c r="BI88" s="144">
        <v>0</v>
      </c>
      <c r="BJ88" s="144">
        <v>0</v>
      </c>
      <c r="BK88" s="144">
        <v>0</v>
      </c>
      <c r="BL88" s="144">
        <v>0</v>
      </c>
      <c r="BM88" s="144">
        <v>0</v>
      </c>
      <c r="BN88" s="144">
        <v>0</v>
      </c>
      <c r="BO88" s="144">
        <v>0</v>
      </c>
      <c r="BP88" s="144">
        <v>0</v>
      </c>
      <c r="BQ88" s="144">
        <v>0</v>
      </c>
      <c r="BR88" s="144">
        <v>0</v>
      </c>
      <c r="BS88" s="144">
        <v>0</v>
      </c>
      <c r="BT88" s="144">
        <v>0</v>
      </c>
      <c r="BU88" s="144">
        <v>0</v>
      </c>
      <c r="BV88" s="144">
        <v>0</v>
      </c>
      <c r="BW88" s="144">
        <v>0</v>
      </c>
      <c r="BX88" s="144">
        <v>0</v>
      </c>
      <c r="BY88" s="144">
        <v>0</v>
      </c>
      <c r="BZ88" s="144">
        <v>0</v>
      </c>
      <c r="CA88" s="144">
        <v>0</v>
      </c>
      <c r="CB88" s="144">
        <v>0</v>
      </c>
      <c r="CC88" s="144">
        <v>0</v>
      </c>
      <c r="CD88" s="144">
        <v>0</v>
      </c>
      <c r="CE88" s="144">
        <v>0</v>
      </c>
      <c r="CF88" s="144">
        <v>0</v>
      </c>
      <c r="CG88" s="144">
        <v>0</v>
      </c>
      <c r="CH88" s="144">
        <v>0</v>
      </c>
      <c r="CI88" s="144">
        <v>0</v>
      </c>
      <c r="CJ88" s="144">
        <v>0</v>
      </c>
      <c r="CK88" s="144">
        <v>0</v>
      </c>
      <c r="CL88" s="144">
        <v>0</v>
      </c>
      <c r="CM88" s="144">
        <v>0</v>
      </c>
      <c r="CN88" s="144">
        <v>0</v>
      </c>
      <c r="CO88" s="144">
        <v>0</v>
      </c>
      <c r="CP88" s="144">
        <v>0</v>
      </c>
      <c r="CQ88" s="143">
        <v>0</v>
      </c>
      <c r="CR88" s="145">
        <v>0</v>
      </c>
      <c r="CS88" s="145">
        <v>0</v>
      </c>
      <c r="CT88" s="145">
        <v>0</v>
      </c>
      <c r="CU88" s="145">
        <v>0</v>
      </c>
      <c r="CV88" s="145">
        <v>0</v>
      </c>
      <c r="CW88" s="145">
        <v>0</v>
      </c>
      <c r="CX88" s="145">
        <v>0</v>
      </c>
      <c r="CY88" s="145">
        <v>0</v>
      </c>
      <c r="CZ88" s="145">
        <v>0</v>
      </c>
      <c r="DA88" s="145">
        <v>0</v>
      </c>
      <c r="DB88" s="145">
        <v>0</v>
      </c>
      <c r="DC88" s="145">
        <v>0</v>
      </c>
      <c r="DD88" s="145">
        <v>0</v>
      </c>
      <c r="DE88" s="145">
        <v>0</v>
      </c>
      <c r="DF88" s="145">
        <v>0</v>
      </c>
      <c r="DG88" s="145">
        <v>10643.324999999999</v>
      </c>
      <c r="DH88" s="145">
        <v>14191.099999999999</v>
      </c>
      <c r="DI88" s="145">
        <v>14191.099999999999</v>
      </c>
      <c r="DJ88" s="145">
        <v>14191.099999999999</v>
      </c>
      <c r="DK88" s="145">
        <v>14191.099999999999</v>
      </c>
      <c r="DL88" s="145">
        <v>14191.099999999999</v>
      </c>
      <c r="DM88" s="145">
        <v>14191.099999999999</v>
      </c>
      <c r="DN88" s="145">
        <v>14191.099999999999</v>
      </c>
      <c r="DO88" s="145">
        <v>10643.324999999999</v>
      </c>
      <c r="DP88" s="145">
        <v>10643.324999999999</v>
      </c>
      <c r="DQ88" s="145">
        <v>14191.099999999999</v>
      </c>
      <c r="DR88" s="145">
        <v>14622.3</v>
      </c>
      <c r="DS88" s="145">
        <v>10966.724999999999</v>
      </c>
      <c r="DT88" s="145">
        <v>15875.64</v>
      </c>
      <c r="DU88" s="145">
        <v>15875.64</v>
      </c>
      <c r="DV88" s="145">
        <v>14622.3</v>
      </c>
      <c r="DW88" s="145">
        <v>14622.3</v>
      </c>
      <c r="DX88" s="145">
        <v>14622.3</v>
      </c>
      <c r="DY88" s="145">
        <v>14622.3</v>
      </c>
      <c r="DZ88" s="145">
        <v>14622.3</v>
      </c>
      <c r="EA88" s="145">
        <v>10966.724999999999</v>
      </c>
      <c r="EB88" s="145">
        <v>10966.724999999999</v>
      </c>
      <c r="EC88" s="145">
        <v>14622.3</v>
      </c>
      <c r="ED88" s="145">
        <v>15054.2</v>
      </c>
      <c r="EE88" s="145">
        <v>11290.65</v>
      </c>
      <c r="EF88" s="145">
        <v>16344.56</v>
      </c>
      <c r="EG88" s="145">
        <v>16344.56</v>
      </c>
      <c r="EH88" s="145">
        <v>15054.2</v>
      </c>
      <c r="EI88" s="145">
        <v>15054.2</v>
      </c>
      <c r="EJ88" s="145">
        <v>15054.2</v>
      </c>
      <c r="EK88" s="145">
        <v>15054.2</v>
      </c>
      <c r="EL88" s="145">
        <v>0</v>
      </c>
      <c r="EM88" s="145">
        <v>0</v>
      </c>
      <c r="EN88" s="145">
        <v>0</v>
      </c>
      <c r="EO88" s="145">
        <v>0</v>
      </c>
      <c r="EP88" s="145">
        <v>0</v>
      </c>
      <c r="EQ88" s="145">
        <v>0</v>
      </c>
      <c r="ER88" s="145">
        <v>0</v>
      </c>
      <c r="ES88" s="145">
        <v>0</v>
      </c>
      <c r="ET88" s="145">
        <v>0</v>
      </c>
      <c r="EU88" s="145">
        <v>0</v>
      </c>
      <c r="EV88" s="145">
        <v>0</v>
      </c>
      <c r="EW88" s="145">
        <v>0</v>
      </c>
      <c r="EX88" s="145">
        <v>0</v>
      </c>
      <c r="EY88" s="145">
        <v>0</v>
      </c>
      <c r="EZ88" s="145">
        <v>0</v>
      </c>
      <c r="FA88" s="145">
        <v>0</v>
      </c>
      <c r="FB88" s="145">
        <v>0</v>
      </c>
      <c r="FC88" s="145">
        <v>0</v>
      </c>
      <c r="FD88" s="145">
        <v>0</v>
      </c>
      <c r="FE88" s="145">
        <v>0</v>
      </c>
      <c r="FF88" s="145">
        <v>0</v>
      </c>
      <c r="FG88" s="145">
        <v>0</v>
      </c>
      <c r="FH88" s="145">
        <v>0</v>
      </c>
      <c r="FI88" s="145">
        <v>0</v>
      </c>
      <c r="FJ88" s="145">
        <v>0</v>
      </c>
      <c r="FK88" s="145">
        <v>0</v>
      </c>
      <c r="FL88" s="145">
        <v>0</v>
      </c>
      <c r="FM88" s="145">
        <v>0</v>
      </c>
      <c r="FN88" s="145">
        <v>0</v>
      </c>
      <c r="FO88" s="145">
        <v>0</v>
      </c>
      <c r="FP88" s="145">
        <v>0</v>
      </c>
      <c r="FQ88" s="145">
        <v>0</v>
      </c>
      <c r="FR88" s="145">
        <v>0</v>
      </c>
      <c r="FS88" s="145">
        <v>0</v>
      </c>
      <c r="FT88" s="145">
        <v>0</v>
      </c>
      <c r="FU88" s="145">
        <v>0</v>
      </c>
      <c r="FV88" s="145">
        <v>0</v>
      </c>
      <c r="FW88" s="145">
        <v>0</v>
      </c>
      <c r="FX88" s="143"/>
      <c r="FY88" s="146" t="str">
        <f>_xlfn.XLOOKUP($E88,'Key assumptions'!$B$112:$B$120,'Key assumptions'!$C$112:$C$120,0)</f>
        <v>Nominal</v>
      </c>
      <c r="FZ88" s="146" cm="1">
        <f t="array" ref="FZ88">IF($FY88=0,0,_xlfn.IFS($FY88='Key assumptions'!$C$120,_xlfn.XLOOKUP(LEFT(FZ$7,6),Inflation_Year,Inflation_NominaltoReal),TRUE,_xlfn.XLOOKUP($FY88,Inflation_Year,NominaltoReal)))</f>
        <v>1.0197075870962191</v>
      </c>
      <c r="GA88" s="146" cm="1">
        <f t="array" ref="GA88">IF($FY88=0,0,_xlfn.IFS($FY88='Key assumptions'!$C$120,_xlfn.XLOOKUP(LEFT(GA$7,6),Inflation_Year,Inflation_NominaltoReal),TRUE,_xlfn.XLOOKUP($FY88,Inflation_Year,NominaltoReal)))</f>
        <v>0.98700804022984445</v>
      </c>
      <c r="GB88" s="146" cm="1">
        <f t="array" ref="GB88">IF($FY88=0,0,_xlfn.IFS($FY88='Key assumptions'!$C$120,_xlfn.XLOOKUP(LEFT(GB$7,6),Inflation_Year,Inflation_NominaltoReal),TRUE,_xlfn.XLOOKUP($FY88,Inflation_Year,NominaltoReal)))</f>
        <v>0.96152830081941731</v>
      </c>
      <c r="GC88" s="146" cm="1">
        <f t="array" ref="GC88">IF($FY88=0,0,_xlfn.IFS($FY88='Key assumptions'!$C$120,_xlfn.XLOOKUP(LEFT(GC$7,6),Inflation_Year,Inflation_NominaltoReal),TRUE,_xlfn.XLOOKUP($FY88,Inflation_Year,NominaltoReal)))</f>
        <v>0.93670632415656829</v>
      </c>
      <c r="GD88" s="146" cm="1">
        <f t="array" ref="GD88">IF($FY88=0,0,_xlfn.IFS($FY88='Key assumptions'!$C$120,_xlfn.XLOOKUP(LEFT(GD$7,6),Inflation_Year,Inflation_NominaltoReal),TRUE,_xlfn.XLOOKUP($FY88,Inflation_Year,NominaltoReal)))</f>
        <v>0.91252513001143176</v>
      </c>
      <c r="GE88" s="146" cm="1">
        <f t="array" ref="GE88">IF($FY88=0,0,_xlfn.IFS($FY88='Key assumptions'!$C$120,_xlfn.XLOOKUP(LEFT(GE$7,6),Inflation_Year,Inflation_NominaltoReal),TRUE,_xlfn.XLOOKUP($FY88,Inflation_Year,NominaltoReal)))</f>
        <v>0.88896817650095872</v>
      </c>
      <c r="GF88" s="146" cm="1">
        <f t="array" ref="GF88">IF($FY88=0,0,_xlfn.IFS($FY88='Key assumptions'!$C$120,_xlfn.XLOOKUP(LEFT(GF$7,6),Inflation_Year,Inflation_NominaltoReal),TRUE,_xlfn.XLOOKUP($FY88,Inflation_Year,NominaltoReal)))</f>
        <v>0.86601934877293718</v>
      </c>
      <c r="GG88" s="143"/>
      <c r="GH88" s="145" cm="1">
        <f t="array" ref="GH88">SUMPRODUCT(--($CR$7:$FW$7&gt;=GH$5),--($CR$7:$FW$7&lt;=GH$6),$CR88:$FW88)*FZ88</f>
        <v>83206.940950636621</v>
      </c>
      <c r="GI88" s="145" cm="1">
        <f t="array" ref="GI88">SUMPRODUCT(--($CR$7:$FW$7&gt;=GI$5),--($CR$7:$FW$7&lt;=GI$6),$CR88:$FW88)*GA88</f>
        <v>162922.60916286591</v>
      </c>
      <c r="GJ88" s="145" cm="1">
        <f t="array" ref="GJ88">SUMPRODUCT(--($CR$7:$FW$7&gt;=GJ$5),--($CR$7:$FW$7&lt;=GJ$6),$CR88:$FW88)*GB88</f>
        <v>163456.84963213443</v>
      </c>
      <c r="GK88" s="145" cm="1">
        <f t="array" ref="GK88">SUMPRODUCT(--($CR$7:$FW$7&gt;=GK$5),--($CR$7:$FW$7&lt;=GK$6),$CR88:$FW88)*GC88</f>
        <v>14101.36434511781</v>
      </c>
      <c r="GL88" s="145" cm="1">
        <f t="array" ref="GL88">SUMPRODUCT(--($CR$7:$FW$7&gt;=GL$5),--($CR$7:$FW$7&lt;=GL$6),$CR88:$FW88)*GD88</f>
        <v>0</v>
      </c>
      <c r="GM88" s="145" cm="1">
        <f t="array" ref="GM88">SUMPRODUCT(--($CR$7:$FW$7&gt;=GM$5),--($CR$7:$FW$7&lt;=GM$6),$CR88:$FW88)*GE88</f>
        <v>0</v>
      </c>
      <c r="GN88" s="145" cm="1">
        <f t="array" ref="GN88">SUMPRODUCT(--($CR$7:$FW$7&gt;=GN$5),--($CR$7:$FW$7&lt;=GN$6),$CR88:$FW88)*GF88</f>
        <v>0</v>
      </c>
      <c r="GO88" s="145">
        <f t="shared" si="23"/>
        <v>423687.76409075479</v>
      </c>
      <c r="GP88" s="87"/>
      <c r="GQ88" s="89"/>
      <c r="GR88" s="145" cm="1">
        <f t="array" ref="GR88">SUMPRODUCT(--($CR$7:$FW$7&gt;=GR$5),--($CR$7:$FW$7&lt;=GR$6),$CR88:$FW88)</f>
        <v>39025.524999999994</v>
      </c>
      <c r="GS88" s="89"/>
      <c r="GT88" s="214" cm="1">
        <f t="array" ref="GT88">--AND(MIN(IF($K88:$CP88&lt;&gt;0,$K$7:$CP$7))&gt;=GT$5,MIN(IF($K88:$CP88&lt;&gt;0,$K$7:$CP$7))&lt;=GT$6)</f>
        <v>1</v>
      </c>
      <c r="GU88" s="214" cm="1">
        <f t="array" ref="GU88">--AND(MIN(IF($K88:$CP88&lt;&gt;0,$K$7:$CP$7))&gt;=GU$5,MIN(IF($K88:$CP88&lt;&gt;0,$K$7:$CP$7))&lt;=GU$6)</f>
        <v>0</v>
      </c>
      <c r="GV88" s="214" cm="1">
        <f t="array" ref="GV88">--AND(MIN(IF($K88:$CP88&lt;&gt;0,$K$7:$CP$7))&gt;=GV$5,MIN(IF($K88:$CP88&lt;&gt;0,$K$7:$CP$7))&lt;=GV$6)</f>
        <v>0</v>
      </c>
      <c r="GW88" s="214" cm="1">
        <f t="array" ref="GW88">--AND(MIN(IF($K88:$CP88&lt;&gt;0,$K$7:$CP$7))&gt;=GW$5,MIN(IF($K88:$CP88&lt;&gt;0,$K$7:$CP$7))&lt;=GW$6)</f>
        <v>0</v>
      </c>
      <c r="GX88" s="214" cm="1">
        <f t="array" ref="GX88">--AND(MIN(IF($K88:$CP88&lt;&gt;0,$K$7:$CP$7))&gt;=GX$5,MIN(IF($K88:$CP88&lt;&gt;0,$K$7:$CP$7))&lt;=GX$6)</f>
        <v>0</v>
      </c>
      <c r="GY88" s="214" cm="1">
        <f t="array" ref="GY88">--AND(MIN(IF($K88:$CP88&lt;&gt;0,$K$7:$CP$7))&gt;=GY$5,MIN(IF($K88:$CP88&lt;&gt;0,$K$7:$CP$7))&lt;=GY$6)</f>
        <v>0</v>
      </c>
      <c r="GZ88" s="214" cm="1">
        <f t="array" ref="GZ88">--AND(MIN(IF($K88:$CP88&lt;&gt;0,$K$7:$CP$7))&gt;=GZ$5,MIN(IF($K88:$CP88&lt;&gt;0,$K$7:$CP$7))&lt;=GZ$6)</f>
        <v>0</v>
      </c>
      <c r="HA88" s="214">
        <f t="shared" si="24"/>
        <v>1</v>
      </c>
      <c r="HC88" s="214" cm="1">
        <f t="array" ref="HC88">--AND(MIN(IF($K88:$CP88&lt;&gt;0,$K$7:$CP$7))&gt;=HC$5,MIN(IF($K88:$CP88&lt;&gt;0,$K$7:$CP$7))&lt;=HC$6)</f>
        <v>1</v>
      </c>
      <c r="HE88" s="147" t="str">
        <f t="shared" si="43"/>
        <v>No</v>
      </c>
      <c r="HF88" s="147" t="str">
        <f t="shared" si="44"/>
        <v>No</v>
      </c>
      <c r="HG88" s="147">
        <f>IF($HF88="Yes",0,$H88*avg_hrs*12*'Key assumptions'!$D$87)</f>
        <v>362535.77629630821</v>
      </c>
      <c r="HH88" s="147">
        <f>IF(HE88="Yes",'Key assumptions'!$D$84*HG88,0)</f>
        <v>0</v>
      </c>
      <c r="HI88" s="144">
        <f>IFERROR(AVERAGEIFS($K88:$CP88,$K$7:$CP$7,"&gt;="&amp;'Key assumptions'!$D$24,$K$7:$CP$7,"&lt;="&amp;'Key assumptions'!$D$25),0)</f>
        <v>0.3504784688995215</v>
      </c>
      <c r="HJ88" s="148">
        <f t="shared" si="25"/>
        <v>0</v>
      </c>
      <c r="HK88" s="148">
        <f t="shared" si="26"/>
        <v>0</v>
      </c>
      <c r="HL88" s="148">
        <f t="shared" si="27"/>
        <v>0</v>
      </c>
      <c r="HM88" s="148">
        <f t="shared" si="28"/>
        <v>0</v>
      </c>
      <c r="HN88" s="148">
        <f t="shared" si="29"/>
        <v>0</v>
      </c>
      <c r="HO88" s="148">
        <f t="shared" si="30"/>
        <v>0</v>
      </c>
      <c r="HP88" s="148">
        <f t="shared" si="31"/>
        <v>0</v>
      </c>
      <c r="HQ88" s="148">
        <f t="shared" si="32"/>
        <v>0</v>
      </c>
      <c r="HR88" s="147">
        <f t="shared" si="33"/>
        <v>0</v>
      </c>
      <c r="HU88" s="147">
        <f>$HJ88*HC88/(1+'Key assumptions'!G110)^0.75</f>
        <v>0</v>
      </c>
      <c r="HW88" s="216">
        <f t="shared" si="34"/>
        <v>0.3504784688995215</v>
      </c>
      <c r="HX88" s="216">
        <f t="shared" si="35"/>
        <v>0</v>
      </c>
      <c r="HY88" s="216">
        <f t="shared" si="36"/>
        <v>0</v>
      </c>
      <c r="HZ88" s="216">
        <f t="shared" si="37"/>
        <v>0</v>
      </c>
      <c r="IA88" s="216">
        <f t="shared" si="38"/>
        <v>0</v>
      </c>
      <c r="IB88" s="216">
        <f t="shared" si="39"/>
        <v>0</v>
      </c>
      <c r="IC88" s="216">
        <f t="shared" si="40"/>
        <v>0</v>
      </c>
      <c r="ID88" s="216">
        <f t="shared" si="41"/>
        <v>0.3504784688995215</v>
      </c>
      <c r="IF88" s="216">
        <f t="shared" si="42"/>
        <v>0.3504784688995215</v>
      </c>
    </row>
    <row r="89" spans="2:240" x14ac:dyDescent="0.2">
      <c r="B89" s="141" t="str">
        <v>Project Delivery Management - Construction Management</v>
      </c>
      <c r="C89" s="141" t="str">
        <v>Construction Manager EA (Construction)</v>
      </c>
      <c r="D89" s="141" t="str">
        <v>Internal Labour</v>
      </c>
      <c r="E89" s="141" t="str">
        <v>$ Nominal</v>
      </c>
      <c r="F89" s="141" t="str">
        <v>Existing</v>
      </c>
      <c r="G89" s="141" t="str">
        <v>Normal time</v>
      </c>
      <c r="H89" s="142">
        <v>245.65</v>
      </c>
      <c r="I89" s="126">
        <v>503664.00000000006</v>
      </c>
      <c r="J89" s="143">
        <v>0</v>
      </c>
      <c r="K89" s="144">
        <v>0</v>
      </c>
      <c r="L89" s="144">
        <v>0</v>
      </c>
      <c r="M89" s="144">
        <v>0</v>
      </c>
      <c r="N89" s="144">
        <v>0</v>
      </c>
      <c r="O89" s="144">
        <v>0</v>
      </c>
      <c r="P89" s="144">
        <v>0</v>
      </c>
      <c r="Q89" s="144">
        <v>0</v>
      </c>
      <c r="R89" s="144">
        <v>0</v>
      </c>
      <c r="S89" s="144">
        <v>0</v>
      </c>
      <c r="T89" s="144">
        <v>0</v>
      </c>
      <c r="U89" s="144">
        <v>0</v>
      </c>
      <c r="V89" s="144">
        <v>0</v>
      </c>
      <c r="W89" s="144">
        <v>0</v>
      </c>
      <c r="X89" s="144">
        <v>0</v>
      </c>
      <c r="Y89" s="144">
        <v>0.5</v>
      </c>
      <c r="Z89" s="144">
        <v>0.5</v>
      </c>
      <c r="AA89" s="144">
        <v>0.46052631578947367</v>
      </c>
      <c r="AB89" s="144">
        <v>0.46052631578947367</v>
      </c>
      <c r="AC89" s="144">
        <v>0.5</v>
      </c>
      <c r="AD89" s="144">
        <v>0.5</v>
      </c>
      <c r="AE89" s="144">
        <v>0.5</v>
      </c>
      <c r="AF89" s="144">
        <v>0.5</v>
      </c>
      <c r="AG89" s="144">
        <v>0.5</v>
      </c>
      <c r="AH89" s="144">
        <v>0.5</v>
      </c>
      <c r="AI89" s="144">
        <v>0.5</v>
      </c>
      <c r="AJ89" s="144">
        <v>0.5</v>
      </c>
      <c r="AK89" s="144">
        <v>0.5</v>
      </c>
      <c r="AL89" s="144">
        <v>0.5</v>
      </c>
      <c r="AM89" s="144">
        <v>0.5</v>
      </c>
      <c r="AN89" s="144">
        <v>0.5</v>
      </c>
      <c r="AO89" s="144">
        <v>0.5</v>
      </c>
      <c r="AP89" s="144">
        <v>0.5</v>
      </c>
      <c r="AQ89" s="144">
        <v>0.5</v>
      </c>
      <c r="AR89" s="144">
        <v>0.5</v>
      </c>
      <c r="AS89" s="144">
        <v>0.5</v>
      </c>
      <c r="AT89" s="144">
        <v>0.5</v>
      </c>
      <c r="AU89" s="144">
        <v>0.5</v>
      </c>
      <c r="AV89" s="144">
        <v>0.5</v>
      </c>
      <c r="AW89" s="144">
        <v>0.5</v>
      </c>
      <c r="AX89" s="144">
        <v>0.5</v>
      </c>
      <c r="AY89" s="144">
        <v>0.5</v>
      </c>
      <c r="AZ89" s="144">
        <v>0.5</v>
      </c>
      <c r="BA89" s="144">
        <v>0.5</v>
      </c>
      <c r="BB89" s="144">
        <v>0.5</v>
      </c>
      <c r="BC89" s="144">
        <v>0</v>
      </c>
      <c r="BD89" s="144">
        <v>0</v>
      </c>
      <c r="BE89" s="144">
        <v>0</v>
      </c>
      <c r="BF89" s="144">
        <v>0</v>
      </c>
      <c r="BG89" s="144">
        <v>0</v>
      </c>
      <c r="BH89" s="144">
        <v>0</v>
      </c>
      <c r="BI89" s="144">
        <v>0</v>
      </c>
      <c r="BJ89" s="144">
        <v>0</v>
      </c>
      <c r="BK89" s="144">
        <v>0</v>
      </c>
      <c r="BL89" s="144">
        <v>0</v>
      </c>
      <c r="BM89" s="144">
        <v>0</v>
      </c>
      <c r="BN89" s="144">
        <v>0</v>
      </c>
      <c r="BO89" s="144">
        <v>0</v>
      </c>
      <c r="BP89" s="144">
        <v>0</v>
      </c>
      <c r="BQ89" s="144">
        <v>0</v>
      </c>
      <c r="BR89" s="144">
        <v>0</v>
      </c>
      <c r="BS89" s="144">
        <v>0</v>
      </c>
      <c r="BT89" s="144">
        <v>0</v>
      </c>
      <c r="BU89" s="144">
        <v>0</v>
      </c>
      <c r="BV89" s="144">
        <v>0</v>
      </c>
      <c r="BW89" s="144">
        <v>0</v>
      </c>
      <c r="BX89" s="144">
        <v>0</v>
      </c>
      <c r="BY89" s="144">
        <v>0</v>
      </c>
      <c r="BZ89" s="144">
        <v>0</v>
      </c>
      <c r="CA89" s="144">
        <v>0</v>
      </c>
      <c r="CB89" s="144">
        <v>0</v>
      </c>
      <c r="CC89" s="144">
        <v>0</v>
      </c>
      <c r="CD89" s="144">
        <v>0</v>
      </c>
      <c r="CE89" s="144">
        <v>0</v>
      </c>
      <c r="CF89" s="144">
        <v>0</v>
      </c>
      <c r="CG89" s="144">
        <v>0</v>
      </c>
      <c r="CH89" s="144">
        <v>0</v>
      </c>
      <c r="CI89" s="144">
        <v>0</v>
      </c>
      <c r="CJ89" s="144">
        <v>0</v>
      </c>
      <c r="CK89" s="144">
        <v>0</v>
      </c>
      <c r="CL89" s="144">
        <v>0</v>
      </c>
      <c r="CM89" s="144">
        <v>0</v>
      </c>
      <c r="CN89" s="144">
        <v>0</v>
      </c>
      <c r="CO89" s="144">
        <v>0</v>
      </c>
      <c r="CP89" s="144">
        <v>0</v>
      </c>
      <c r="CQ89" s="143">
        <v>0</v>
      </c>
      <c r="CR89" s="145">
        <v>0</v>
      </c>
      <c r="CS89" s="145">
        <v>0</v>
      </c>
      <c r="CT89" s="145">
        <v>0</v>
      </c>
      <c r="CU89" s="145">
        <v>0</v>
      </c>
      <c r="CV89" s="145">
        <v>0</v>
      </c>
      <c r="CW89" s="145">
        <v>0</v>
      </c>
      <c r="CX89" s="145">
        <v>0</v>
      </c>
      <c r="CY89" s="145">
        <v>0</v>
      </c>
      <c r="CZ89" s="145">
        <v>0</v>
      </c>
      <c r="DA89" s="145">
        <v>0</v>
      </c>
      <c r="DB89" s="145">
        <v>0</v>
      </c>
      <c r="DC89" s="145">
        <v>0</v>
      </c>
      <c r="DD89" s="145">
        <v>0</v>
      </c>
      <c r="DE89" s="145">
        <v>0</v>
      </c>
      <c r="DF89" s="145">
        <v>17195.5</v>
      </c>
      <c r="DG89" s="145">
        <v>12896.625</v>
      </c>
      <c r="DH89" s="145">
        <v>17195.5</v>
      </c>
      <c r="DI89" s="145">
        <v>17195.5</v>
      </c>
      <c r="DJ89" s="145">
        <v>17195.5</v>
      </c>
      <c r="DK89" s="145">
        <v>17195.5</v>
      </c>
      <c r="DL89" s="145">
        <v>17195.5</v>
      </c>
      <c r="DM89" s="145">
        <v>17195.5</v>
      </c>
      <c r="DN89" s="145">
        <v>17195.5</v>
      </c>
      <c r="DO89" s="145">
        <v>12896.625</v>
      </c>
      <c r="DP89" s="145">
        <v>12896.625</v>
      </c>
      <c r="DQ89" s="145">
        <v>17195.5</v>
      </c>
      <c r="DR89" s="145">
        <v>17707.2</v>
      </c>
      <c r="DS89" s="145">
        <v>13280.4</v>
      </c>
      <c r="DT89" s="145">
        <v>19224.96</v>
      </c>
      <c r="DU89" s="145">
        <v>19224.96</v>
      </c>
      <c r="DV89" s="145">
        <v>17707.2</v>
      </c>
      <c r="DW89" s="145">
        <v>17707.2</v>
      </c>
      <c r="DX89" s="145">
        <v>17707.2</v>
      </c>
      <c r="DY89" s="145">
        <v>17707.2</v>
      </c>
      <c r="DZ89" s="145">
        <v>17707.2</v>
      </c>
      <c r="EA89" s="145">
        <v>13280.4</v>
      </c>
      <c r="EB89" s="145">
        <v>13280.4</v>
      </c>
      <c r="EC89" s="145">
        <v>17707.2</v>
      </c>
      <c r="ED89" s="145">
        <v>18234.3</v>
      </c>
      <c r="EE89" s="145">
        <v>13675.725</v>
      </c>
      <c r="EF89" s="145">
        <v>19797.240000000002</v>
      </c>
      <c r="EG89" s="145">
        <v>19797.240000000002</v>
      </c>
      <c r="EH89" s="145">
        <v>18234.3</v>
      </c>
      <c r="EI89" s="145">
        <v>18234.3</v>
      </c>
      <c r="EJ89" s="145">
        <v>0</v>
      </c>
      <c r="EK89" s="145">
        <v>0</v>
      </c>
      <c r="EL89" s="145">
        <v>0</v>
      </c>
      <c r="EM89" s="145">
        <v>0</v>
      </c>
      <c r="EN89" s="145">
        <v>0</v>
      </c>
      <c r="EO89" s="145">
        <v>0</v>
      </c>
      <c r="EP89" s="145">
        <v>0</v>
      </c>
      <c r="EQ89" s="145">
        <v>0</v>
      </c>
      <c r="ER89" s="145">
        <v>0</v>
      </c>
      <c r="ES89" s="145">
        <v>0</v>
      </c>
      <c r="ET89" s="145">
        <v>0</v>
      </c>
      <c r="EU89" s="145">
        <v>0</v>
      </c>
      <c r="EV89" s="145">
        <v>0</v>
      </c>
      <c r="EW89" s="145">
        <v>0</v>
      </c>
      <c r="EX89" s="145">
        <v>0</v>
      </c>
      <c r="EY89" s="145">
        <v>0</v>
      </c>
      <c r="EZ89" s="145">
        <v>0</v>
      </c>
      <c r="FA89" s="145">
        <v>0</v>
      </c>
      <c r="FB89" s="145">
        <v>0</v>
      </c>
      <c r="FC89" s="145">
        <v>0</v>
      </c>
      <c r="FD89" s="145">
        <v>0</v>
      </c>
      <c r="FE89" s="145">
        <v>0</v>
      </c>
      <c r="FF89" s="145">
        <v>0</v>
      </c>
      <c r="FG89" s="145">
        <v>0</v>
      </c>
      <c r="FH89" s="145">
        <v>0</v>
      </c>
      <c r="FI89" s="145">
        <v>0</v>
      </c>
      <c r="FJ89" s="145">
        <v>0</v>
      </c>
      <c r="FK89" s="145">
        <v>0</v>
      </c>
      <c r="FL89" s="145">
        <v>0</v>
      </c>
      <c r="FM89" s="145">
        <v>0</v>
      </c>
      <c r="FN89" s="145">
        <v>0</v>
      </c>
      <c r="FO89" s="145">
        <v>0</v>
      </c>
      <c r="FP89" s="145">
        <v>0</v>
      </c>
      <c r="FQ89" s="145">
        <v>0</v>
      </c>
      <c r="FR89" s="145">
        <v>0</v>
      </c>
      <c r="FS89" s="145">
        <v>0</v>
      </c>
      <c r="FT89" s="145">
        <v>0</v>
      </c>
      <c r="FU89" s="145">
        <v>0</v>
      </c>
      <c r="FV89" s="145">
        <v>0</v>
      </c>
      <c r="FW89" s="145">
        <v>0</v>
      </c>
      <c r="FX89" s="143"/>
      <c r="FY89" s="146" t="str">
        <f>_xlfn.XLOOKUP($E89,'Key assumptions'!$B$112:$B$120,'Key assumptions'!$C$112:$C$120,0)</f>
        <v>Nominal</v>
      </c>
      <c r="FZ89" s="146" cm="1">
        <f t="array" ref="FZ89">IF($FY89=0,0,_xlfn.IFS($FY89='Key assumptions'!$C$120,_xlfn.XLOOKUP(LEFT(FZ$7,6),Inflation_Year,Inflation_NominaltoReal),TRUE,_xlfn.XLOOKUP($FY89,Inflation_Year,NominaltoReal)))</f>
        <v>1.0197075870962191</v>
      </c>
      <c r="GA89" s="146" cm="1">
        <f t="array" ref="GA89">IF($FY89=0,0,_xlfn.IFS($FY89='Key assumptions'!$C$120,_xlfn.XLOOKUP(LEFT(GA$7,6),Inflation_Year,Inflation_NominaltoReal),TRUE,_xlfn.XLOOKUP($FY89,Inflation_Year,NominaltoReal)))</f>
        <v>0.98700804022984445</v>
      </c>
      <c r="GB89" s="146" cm="1">
        <f t="array" ref="GB89">IF($FY89=0,0,_xlfn.IFS($FY89='Key assumptions'!$C$120,_xlfn.XLOOKUP(LEFT(GB$7,6),Inflation_Year,Inflation_NominaltoReal),TRUE,_xlfn.XLOOKUP($FY89,Inflation_Year,NominaltoReal)))</f>
        <v>0.96152830081941731</v>
      </c>
      <c r="GC89" s="146" cm="1">
        <f t="array" ref="GC89">IF($FY89=0,0,_xlfn.IFS($FY89='Key assumptions'!$C$120,_xlfn.XLOOKUP(LEFT(GC$7,6),Inflation_Year,Inflation_NominaltoReal),TRUE,_xlfn.XLOOKUP($FY89,Inflation_Year,NominaltoReal)))</f>
        <v>0.93670632415656829</v>
      </c>
      <c r="GD89" s="146" cm="1">
        <f t="array" ref="GD89">IF($FY89=0,0,_xlfn.IFS($FY89='Key assumptions'!$C$120,_xlfn.XLOOKUP(LEFT(GD$7,6),Inflation_Year,Inflation_NominaltoReal),TRUE,_xlfn.XLOOKUP($FY89,Inflation_Year,NominaltoReal)))</f>
        <v>0.91252513001143176</v>
      </c>
      <c r="GE89" s="146" cm="1">
        <f t="array" ref="GE89">IF($FY89=0,0,_xlfn.IFS($FY89='Key assumptions'!$C$120,_xlfn.XLOOKUP(LEFT(GE$7,6),Inflation_Year,Inflation_NominaltoReal),TRUE,_xlfn.XLOOKUP($FY89,Inflation_Year,NominaltoReal)))</f>
        <v>0.88896817650095872</v>
      </c>
      <c r="GF89" s="146" cm="1">
        <f t="array" ref="GF89">IF($FY89=0,0,_xlfn.IFS($FY89='Key assumptions'!$C$120,_xlfn.XLOOKUP(LEFT(GF$7,6),Inflation_Year,Inflation_NominaltoReal),TRUE,_xlfn.XLOOKUP($FY89,Inflation_Year,NominaltoReal)))</f>
        <v>0.86601934877293718</v>
      </c>
      <c r="GG89" s="143"/>
      <c r="GH89" s="145" cm="1">
        <f t="array" ref="GH89">SUMPRODUCT(--($CR$7:$FW$7&gt;=GH$5),--($CR$7:$FW$7&lt;=GH$6),$CR89:$FW89)*FZ89</f>
        <v>118357.07724391299</v>
      </c>
      <c r="GI89" s="145" cm="1">
        <f t="array" ref="GI89">SUMPRODUCT(--($CR$7:$FW$7&gt;=GI$5),--($CR$7:$FW$7&lt;=GI$6),$CR89:$FW89)*GA89</f>
        <v>197341.27224446967</v>
      </c>
      <c r="GJ89" s="145" cm="1">
        <f t="array" ref="GJ89">SUMPRODUCT(--($CR$7:$FW$7&gt;=GJ$5),--($CR$7:$FW$7&lt;=GJ$6),$CR89:$FW89)*GB89</f>
        <v>180436.07886205966</v>
      </c>
      <c r="GK89" s="145" cm="1">
        <f t="array" ref="GK89">SUMPRODUCT(--($CR$7:$FW$7&gt;=GK$5),--($CR$7:$FW$7&lt;=GK$6),$CR89:$FW89)*GC89</f>
        <v>0</v>
      </c>
      <c r="GL89" s="145" cm="1">
        <f t="array" ref="GL89">SUMPRODUCT(--($CR$7:$FW$7&gt;=GL$5),--($CR$7:$FW$7&lt;=GL$6),$CR89:$FW89)*GD89</f>
        <v>0</v>
      </c>
      <c r="GM89" s="145" cm="1">
        <f t="array" ref="GM89">SUMPRODUCT(--($CR$7:$FW$7&gt;=GM$5),--($CR$7:$FW$7&lt;=GM$6),$CR89:$FW89)*GE89</f>
        <v>0</v>
      </c>
      <c r="GN89" s="145" cm="1">
        <f t="array" ref="GN89">SUMPRODUCT(--($CR$7:$FW$7&gt;=GN$5),--($CR$7:$FW$7&lt;=GN$6),$CR89:$FW89)*GF89</f>
        <v>0</v>
      </c>
      <c r="GO89" s="145">
        <f t="shared" si="23"/>
        <v>496134.42835044232</v>
      </c>
      <c r="GP89" s="87"/>
      <c r="GQ89" s="89"/>
      <c r="GR89" s="145" cm="1">
        <f t="array" ref="GR89">SUMPRODUCT(--($CR$7:$FW$7&gt;=GR$5),--($CR$7:$FW$7&lt;=GR$6),$CR89:$FW89)</f>
        <v>64483.125</v>
      </c>
      <c r="GS89" s="89"/>
      <c r="GT89" s="214" cm="1">
        <f t="array" ref="GT89">--AND(MIN(IF($K89:$CP89&lt;&gt;0,$K$7:$CP$7))&gt;=GT$5,MIN(IF($K89:$CP89&lt;&gt;0,$K$7:$CP$7))&lt;=GT$6)</f>
        <v>1</v>
      </c>
      <c r="GU89" s="214" cm="1">
        <f t="array" ref="GU89">--AND(MIN(IF($K89:$CP89&lt;&gt;0,$K$7:$CP$7))&gt;=GU$5,MIN(IF($K89:$CP89&lt;&gt;0,$K$7:$CP$7))&lt;=GU$6)</f>
        <v>0</v>
      </c>
      <c r="GV89" s="214" cm="1">
        <f t="array" ref="GV89">--AND(MIN(IF($K89:$CP89&lt;&gt;0,$K$7:$CP$7))&gt;=GV$5,MIN(IF($K89:$CP89&lt;&gt;0,$K$7:$CP$7))&lt;=GV$6)</f>
        <v>0</v>
      </c>
      <c r="GW89" s="214" cm="1">
        <f t="array" ref="GW89">--AND(MIN(IF($K89:$CP89&lt;&gt;0,$K$7:$CP$7))&gt;=GW$5,MIN(IF($K89:$CP89&lt;&gt;0,$K$7:$CP$7))&lt;=GW$6)</f>
        <v>0</v>
      </c>
      <c r="GX89" s="214" cm="1">
        <f t="array" ref="GX89">--AND(MIN(IF($K89:$CP89&lt;&gt;0,$K$7:$CP$7))&gt;=GX$5,MIN(IF($K89:$CP89&lt;&gt;0,$K$7:$CP$7))&lt;=GX$6)</f>
        <v>0</v>
      </c>
      <c r="GY89" s="214" cm="1">
        <f t="array" ref="GY89">--AND(MIN(IF($K89:$CP89&lt;&gt;0,$K$7:$CP$7))&gt;=GY$5,MIN(IF($K89:$CP89&lt;&gt;0,$K$7:$CP$7))&lt;=GY$6)</f>
        <v>0</v>
      </c>
      <c r="GZ89" s="214" cm="1">
        <f t="array" ref="GZ89">--AND(MIN(IF($K89:$CP89&lt;&gt;0,$K$7:$CP$7))&gt;=GZ$5,MIN(IF($K89:$CP89&lt;&gt;0,$K$7:$CP$7))&lt;=GZ$6)</f>
        <v>0</v>
      </c>
      <c r="HA89" s="214">
        <f t="shared" si="24"/>
        <v>1</v>
      </c>
      <c r="HC89" s="214" cm="1">
        <f t="array" ref="HC89">--AND(MIN(IF($K89:$CP89&lt;&gt;0,$K$7:$CP$7))&gt;=HC$5,MIN(IF($K89:$CP89&lt;&gt;0,$K$7:$CP$7))&lt;=HC$6)</f>
        <v>1</v>
      </c>
      <c r="HE89" s="147" t="str">
        <f t="shared" si="43"/>
        <v>No</v>
      </c>
      <c r="HF89" s="147" t="str">
        <f t="shared" si="44"/>
        <v>No</v>
      </c>
      <c r="HG89" s="147">
        <f>IF($HF89="Yes",0,$H89*avg_hrs*12*'Key assumptions'!$D$87)</f>
        <v>439288.28218412725</v>
      </c>
      <c r="HH89" s="147">
        <f>IF(HE89="Yes",'Key assumptions'!$D$84*HG89,0)</f>
        <v>0</v>
      </c>
      <c r="HI89" s="144">
        <f>IFERROR(AVERAGEIFS($K89:$CP89,$K$7:$CP$7,"&gt;="&amp;'Key assumptions'!$D$24,$K$7:$CP$7,"&lt;="&amp;'Key assumptions'!$D$25),0)</f>
        <v>0.33911483253588515</v>
      </c>
      <c r="HJ89" s="148">
        <f t="shared" si="25"/>
        <v>0</v>
      </c>
      <c r="HK89" s="148">
        <f t="shared" si="26"/>
        <v>0</v>
      </c>
      <c r="HL89" s="148">
        <f t="shared" si="27"/>
        <v>0</v>
      </c>
      <c r="HM89" s="148">
        <f t="shared" si="28"/>
        <v>0</v>
      </c>
      <c r="HN89" s="148">
        <f t="shared" si="29"/>
        <v>0</v>
      </c>
      <c r="HO89" s="148">
        <f t="shared" si="30"/>
        <v>0</v>
      </c>
      <c r="HP89" s="148">
        <f t="shared" si="31"/>
        <v>0</v>
      </c>
      <c r="HQ89" s="148">
        <f t="shared" si="32"/>
        <v>0</v>
      </c>
      <c r="HR89" s="147">
        <f t="shared" si="33"/>
        <v>0</v>
      </c>
      <c r="HU89" s="147">
        <f>$HJ89*HC89/(1+'Key assumptions'!G111)^0.75</f>
        <v>0</v>
      </c>
      <c r="HW89" s="216">
        <f t="shared" si="34"/>
        <v>0.33911483253588515</v>
      </c>
      <c r="HX89" s="216">
        <f t="shared" si="35"/>
        <v>0</v>
      </c>
      <c r="HY89" s="216">
        <f t="shared" si="36"/>
        <v>0</v>
      </c>
      <c r="HZ89" s="216">
        <f t="shared" si="37"/>
        <v>0</v>
      </c>
      <c r="IA89" s="216">
        <f t="shared" si="38"/>
        <v>0</v>
      </c>
      <c r="IB89" s="216">
        <f t="shared" si="39"/>
        <v>0</v>
      </c>
      <c r="IC89" s="216">
        <f t="shared" si="40"/>
        <v>0</v>
      </c>
      <c r="ID89" s="216">
        <f t="shared" si="41"/>
        <v>0.33911483253588515</v>
      </c>
      <c r="IF89" s="216">
        <f t="shared" si="42"/>
        <v>0.33911483253588515</v>
      </c>
    </row>
    <row r="90" spans="2:240" x14ac:dyDescent="0.2">
      <c r="B90" s="141" t="str">
        <v>Project Delivery Management - Construction Management</v>
      </c>
      <c r="C90" s="141" t="str">
        <v>Construction Manager EA (Construction)</v>
      </c>
      <c r="D90" s="141" t="str">
        <v>Internal Labour</v>
      </c>
      <c r="E90" s="141" t="str">
        <v>$ Nominal</v>
      </c>
      <c r="F90" s="141">
        <v>0</v>
      </c>
      <c r="G90" s="141" t="str">
        <v>Overtime</v>
      </c>
      <c r="H90" s="142">
        <v>245.65</v>
      </c>
      <c r="I90" s="126">
        <v>568569.9</v>
      </c>
      <c r="J90" s="143">
        <v>0</v>
      </c>
      <c r="K90" s="144">
        <v>0</v>
      </c>
      <c r="L90" s="144">
        <v>0</v>
      </c>
      <c r="M90" s="144">
        <v>0</v>
      </c>
      <c r="N90" s="144">
        <v>0</v>
      </c>
      <c r="O90" s="144">
        <v>0</v>
      </c>
      <c r="P90" s="144">
        <v>0</v>
      </c>
      <c r="Q90" s="144">
        <v>0</v>
      </c>
      <c r="R90" s="144">
        <v>0</v>
      </c>
      <c r="S90" s="144">
        <v>0</v>
      </c>
      <c r="T90" s="144">
        <v>0</v>
      </c>
      <c r="U90" s="144">
        <v>0</v>
      </c>
      <c r="V90" s="144">
        <v>0</v>
      </c>
      <c r="W90" s="144">
        <v>0</v>
      </c>
      <c r="X90" s="144">
        <v>0</v>
      </c>
      <c r="Y90" s="144">
        <v>0.2857142857142857</v>
      </c>
      <c r="Z90" s="144">
        <v>0.2857142857142857</v>
      </c>
      <c r="AA90" s="144">
        <v>0.26315789473684209</v>
      </c>
      <c r="AB90" s="144">
        <v>0.26315789473684209</v>
      </c>
      <c r="AC90" s="144">
        <v>0.2857142857142857</v>
      </c>
      <c r="AD90" s="144">
        <v>0.2857142857142857</v>
      </c>
      <c r="AE90" s="144">
        <v>0.2857142857142857</v>
      </c>
      <c r="AF90" s="144">
        <v>0.2857142857142857</v>
      </c>
      <c r="AG90" s="144">
        <v>0.2857142857142857</v>
      </c>
      <c r="AH90" s="144">
        <v>0.2857142857142857</v>
      </c>
      <c r="AI90" s="144">
        <v>0.2857142857142857</v>
      </c>
      <c r="AJ90" s="144">
        <v>0.2857142857142857</v>
      </c>
      <c r="AK90" s="144">
        <v>0.2857142857142857</v>
      </c>
      <c r="AL90" s="144">
        <v>0.2857142857142857</v>
      </c>
      <c r="AM90" s="144">
        <v>0.26315789473684209</v>
      </c>
      <c r="AN90" s="144">
        <v>0.26315789473684209</v>
      </c>
      <c r="AO90" s="144">
        <v>0.2857142857142857</v>
      </c>
      <c r="AP90" s="144">
        <v>0.2857142857142857</v>
      </c>
      <c r="AQ90" s="144">
        <v>0.2857142857142857</v>
      </c>
      <c r="AR90" s="144">
        <v>0.2857142857142857</v>
      </c>
      <c r="AS90" s="144">
        <v>0.2857142857142857</v>
      </c>
      <c r="AT90" s="144">
        <v>0.2857142857142857</v>
      </c>
      <c r="AU90" s="144">
        <v>0.2857142857142857</v>
      </c>
      <c r="AV90" s="144">
        <v>0.2857142857142857</v>
      </c>
      <c r="AW90" s="144">
        <v>0.2857142857142857</v>
      </c>
      <c r="AX90" s="144">
        <v>0.2857142857142857</v>
      </c>
      <c r="AY90" s="144">
        <v>0.26315789473684209</v>
      </c>
      <c r="AZ90" s="144">
        <v>0.26315789473684209</v>
      </c>
      <c r="BA90" s="144">
        <v>0.2857142857142857</v>
      </c>
      <c r="BB90" s="144">
        <v>0.2857142857142857</v>
      </c>
      <c r="BC90" s="144">
        <v>0</v>
      </c>
      <c r="BD90" s="144">
        <v>0</v>
      </c>
      <c r="BE90" s="144">
        <v>0</v>
      </c>
      <c r="BF90" s="144">
        <v>0</v>
      </c>
      <c r="BG90" s="144">
        <v>0</v>
      </c>
      <c r="BH90" s="144">
        <v>0</v>
      </c>
      <c r="BI90" s="144">
        <v>0</v>
      </c>
      <c r="BJ90" s="144">
        <v>0</v>
      </c>
      <c r="BK90" s="144">
        <v>0</v>
      </c>
      <c r="BL90" s="144">
        <v>0</v>
      </c>
      <c r="BM90" s="144">
        <v>0</v>
      </c>
      <c r="BN90" s="144">
        <v>0</v>
      </c>
      <c r="BO90" s="144">
        <v>0</v>
      </c>
      <c r="BP90" s="144">
        <v>0</v>
      </c>
      <c r="BQ90" s="144">
        <v>0</v>
      </c>
      <c r="BR90" s="144">
        <v>0</v>
      </c>
      <c r="BS90" s="144">
        <v>0</v>
      </c>
      <c r="BT90" s="144">
        <v>0</v>
      </c>
      <c r="BU90" s="144">
        <v>0</v>
      </c>
      <c r="BV90" s="144">
        <v>0</v>
      </c>
      <c r="BW90" s="144">
        <v>0</v>
      </c>
      <c r="BX90" s="144">
        <v>0</v>
      </c>
      <c r="BY90" s="144">
        <v>0</v>
      </c>
      <c r="BZ90" s="144">
        <v>0</v>
      </c>
      <c r="CA90" s="144">
        <v>0</v>
      </c>
      <c r="CB90" s="144">
        <v>0</v>
      </c>
      <c r="CC90" s="144">
        <v>0</v>
      </c>
      <c r="CD90" s="144">
        <v>0</v>
      </c>
      <c r="CE90" s="144">
        <v>0</v>
      </c>
      <c r="CF90" s="144">
        <v>0</v>
      </c>
      <c r="CG90" s="144">
        <v>0</v>
      </c>
      <c r="CH90" s="144">
        <v>0</v>
      </c>
      <c r="CI90" s="144">
        <v>0</v>
      </c>
      <c r="CJ90" s="144">
        <v>0</v>
      </c>
      <c r="CK90" s="144">
        <v>0</v>
      </c>
      <c r="CL90" s="144">
        <v>0</v>
      </c>
      <c r="CM90" s="144">
        <v>0</v>
      </c>
      <c r="CN90" s="144">
        <v>0</v>
      </c>
      <c r="CO90" s="144">
        <v>0</v>
      </c>
      <c r="CP90" s="144">
        <v>0</v>
      </c>
      <c r="CQ90" s="143">
        <v>0</v>
      </c>
      <c r="CR90" s="145">
        <v>0</v>
      </c>
      <c r="CS90" s="145">
        <v>0</v>
      </c>
      <c r="CT90" s="145">
        <v>0</v>
      </c>
      <c r="CU90" s="145">
        <v>0</v>
      </c>
      <c r="CV90" s="145">
        <v>0</v>
      </c>
      <c r="CW90" s="145">
        <v>0</v>
      </c>
      <c r="CX90" s="145">
        <v>0</v>
      </c>
      <c r="CY90" s="145">
        <v>0</v>
      </c>
      <c r="CZ90" s="145">
        <v>0</v>
      </c>
      <c r="DA90" s="145">
        <v>0</v>
      </c>
      <c r="DB90" s="145">
        <v>0</v>
      </c>
      <c r="DC90" s="145">
        <v>0</v>
      </c>
      <c r="DD90" s="145">
        <v>0</v>
      </c>
      <c r="DE90" s="145">
        <v>0</v>
      </c>
      <c r="DF90" s="145">
        <v>19652</v>
      </c>
      <c r="DG90" s="145">
        <v>14739</v>
      </c>
      <c r="DH90" s="145">
        <v>19652</v>
      </c>
      <c r="DI90" s="145">
        <v>19652</v>
      </c>
      <c r="DJ90" s="145">
        <v>19652</v>
      </c>
      <c r="DK90" s="145">
        <v>19652</v>
      </c>
      <c r="DL90" s="145">
        <v>19652</v>
      </c>
      <c r="DM90" s="145">
        <v>19652</v>
      </c>
      <c r="DN90" s="145">
        <v>19652</v>
      </c>
      <c r="DO90" s="145">
        <v>14739</v>
      </c>
      <c r="DP90" s="145">
        <v>14739</v>
      </c>
      <c r="DQ90" s="145">
        <v>19652</v>
      </c>
      <c r="DR90" s="145">
        <v>20236.400000000001</v>
      </c>
      <c r="DS90" s="145">
        <v>15177.300000000001</v>
      </c>
      <c r="DT90" s="145">
        <v>20236.400000000001</v>
      </c>
      <c r="DU90" s="145">
        <v>20236.400000000001</v>
      </c>
      <c r="DV90" s="145">
        <v>20236.400000000001</v>
      </c>
      <c r="DW90" s="145">
        <v>20236.400000000001</v>
      </c>
      <c r="DX90" s="145">
        <v>20236.400000000001</v>
      </c>
      <c r="DY90" s="145">
        <v>20236.400000000001</v>
      </c>
      <c r="DZ90" s="145">
        <v>20236.400000000001</v>
      </c>
      <c r="EA90" s="145">
        <v>15177.300000000001</v>
      </c>
      <c r="EB90" s="145">
        <v>15177.300000000001</v>
      </c>
      <c r="EC90" s="145">
        <v>20236.400000000001</v>
      </c>
      <c r="ED90" s="145">
        <v>20839.2</v>
      </c>
      <c r="EE90" s="145">
        <v>15629.400000000001</v>
      </c>
      <c r="EF90" s="145">
        <v>20839.2</v>
      </c>
      <c r="EG90" s="145">
        <v>20839.2</v>
      </c>
      <c r="EH90" s="145">
        <v>20839.2</v>
      </c>
      <c r="EI90" s="145">
        <v>20839.2</v>
      </c>
      <c r="EJ90" s="145">
        <v>0</v>
      </c>
      <c r="EK90" s="145">
        <v>0</v>
      </c>
      <c r="EL90" s="145">
        <v>0</v>
      </c>
      <c r="EM90" s="145">
        <v>0</v>
      </c>
      <c r="EN90" s="145">
        <v>0</v>
      </c>
      <c r="EO90" s="145">
        <v>0</v>
      </c>
      <c r="EP90" s="145">
        <v>0</v>
      </c>
      <c r="EQ90" s="145">
        <v>0</v>
      </c>
      <c r="ER90" s="145">
        <v>0</v>
      </c>
      <c r="ES90" s="145">
        <v>0</v>
      </c>
      <c r="ET90" s="145">
        <v>0</v>
      </c>
      <c r="EU90" s="145">
        <v>0</v>
      </c>
      <c r="EV90" s="145">
        <v>0</v>
      </c>
      <c r="EW90" s="145">
        <v>0</v>
      </c>
      <c r="EX90" s="145">
        <v>0</v>
      </c>
      <c r="EY90" s="145">
        <v>0</v>
      </c>
      <c r="EZ90" s="145">
        <v>0</v>
      </c>
      <c r="FA90" s="145">
        <v>0</v>
      </c>
      <c r="FB90" s="145">
        <v>0</v>
      </c>
      <c r="FC90" s="145">
        <v>0</v>
      </c>
      <c r="FD90" s="145">
        <v>0</v>
      </c>
      <c r="FE90" s="145">
        <v>0</v>
      </c>
      <c r="FF90" s="145">
        <v>0</v>
      </c>
      <c r="FG90" s="145">
        <v>0</v>
      </c>
      <c r="FH90" s="145">
        <v>0</v>
      </c>
      <c r="FI90" s="145">
        <v>0</v>
      </c>
      <c r="FJ90" s="145">
        <v>0</v>
      </c>
      <c r="FK90" s="145">
        <v>0</v>
      </c>
      <c r="FL90" s="145">
        <v>0</v>
      </c>
      <c r="FM90" s="145">
        <v>0</v>
      </c>
      <c r="FN90" s="145">
        <v>0</v>
      </c>
      <c r="FO90" s="145">
        <v>0</v>
      </c>
      <c r="FP90" s="145">
        <v>0</v>
      </c>
      <c r="FQ90" s="145">
        <v>0</v>
      </c>
      <c r="FR90" s="145">
        <v>0</v>
      </c>
      <c r="FS90" s="145">
        <v>0</v>
      </c>
      <c r="FT90" s="145">
        <v>0</v>
      </c>
      <c r="FU90" s="145">
        <v>0</v>
      </c>
      <c r="FV90" s="145">
        <v>0</v>
      </c>
      <c r="FW90" s="145">
        <v>0</v>
      </c>
      <c r="FX90" s="143"/>
      <c r="FY90" s="146" t="str">
        <f>_xlfn.XLOOKUP($E90,'Key assumptions'!$B$112:$B$120,'Key assumptions'!$C$112:$C$120,0)</f>
        <v>Nominal</v>
      </c>
      <c r="FZ90" s="146" cm="1">
        <f t="array" ref="FZ90">IF($FY90=0,0,_xlfn.IFS($FY90='Key assumptions'!$C$120,_xlfn.XLOOKUP(LEFT(FZ$7,6),Inflation_Year,Inflation_NominaltoReal),TRUE,_xlfn.XLOOKUP($FY90,Inflation_Year,NominaltoReal)))</f>
        <v>1.0197075870962191</v>
      </c>
      <c r="GA90" s="146" cm="1">
        <f t="array" ref="GA90">IF($FY90=0,0,_xlfn.IFS($FY90='Key assumptions'!$C$120,_xlfn.XLOOKUP(LEFT(GA$7,6),Inflation_Year,Inflation_NominaltoReal),TRUE,_xlfn.XLOOKUP($FY90,Inflation_Year,NominaltoReal)))</f>
        <v>0.98700804022984445</v>
      </c>
      <c r="GB90" s="146" cm="1">
        <f t="array" ref="GB90">IF($FY90=0,0,_xlfn.IFS($FY90='Key assumptions'!$C$120,_xlfn.XLOOKUP(LEFT(GB$7,6),Inflation_Year,Inflation_NominaltoReal),TRUE,_xlfn.XLOOKUP($FY90,Inflation_Year,NominaltoReal)))</f>
        <v>0.96152830081941731</v>
      </c>
      <c r="GC90" s="146" cm="1">
        <f t="array" ref="GC90">IF($FY90=0,0,_xlfn.IFS($FY90='Key assumptions'!$C$120,_xlfn.XLOOKUP(LEFT(GC$7,6),Inflation_Year,Inflation_NominaltoReal),TRUE,_xlfn.XLOOKUP($FY90,Inflation_Year,NominaltoReal)))</f>
        <v>0.93670632415656829</v>
      </c>
      <c r="GD90" s="146" cm="1">
        <f t="array" ref="GD90">IF($FY90=0,0,_xlfn.IFS($FY90='Key assumptions'!$C$120,_xlfn.XLOOKUP(LEFT(GD$7,6),Inflation_Year,Inflation_NominaltoReal),TRUE,_xlfn.XLOOKUP($FY90,Inflation_Year,NominaltoReal)))</f>
        <v>0.91252513001143176</v>
      </c>
      <c r="GE90" s="146" cm="1">
        <f t="array" ref="GE90">IF($FY90=0,0,_xlfn.IFS($FY90='Key assumptions'!$C$120,_xlfn.XLOOKUP(LEFT(GE$7,6),Inflation_Year,Inflation_NominaltoReal),TRUE,_xlfn.XLOOKUP($FY90,Inflation_Year,NominaltoReal)))</f>
        <v>0.88896817650095872</v>
      </c>
      <c r="GF90" s="146" cm="1">
        <f t="array" ref="GF90">IF($FY90=0,0,_xlfn.IFS($FY90='Key assumptions'!$C$120,_xlfn.XLOOKUP(LEFT(GF$7,6),Inflation_Year,Inflation_NominaltoReal),TRUE,_xlfn.XLOOKUP($FY90,Inflation_Year,NominaltoReal)))</f>
        <v>0.86601934877293718</v>
      </c>
      <c r="GG90" s="143"/>
      <c r="GH90" s="145" cm="1">
        <f t="array" ref="GH90">SUMPRODUCT(--($CR$7:$FW$7&gt;=GH$5),--($CR$7:$FW$7&lt;=GH$6),$CR90:$FW90)*FZ90</f>
        <v>135265.23113590057</v>
      </c>
      <c r="GI90" s="145" cm="1">
        <f t="array" ref="GI90">SUMPRODUCT(--($CR$7:$FW$7&gt;=GI$5),--($CR$7:$FW$7&lt;=GI$6),$CR90:$FW90)*GA90</f>
        <v>222106.12319050982</v>
      </c>
      <c r="GJ90" s="145" cm="1">
        <f t="array" ref="GJ90">SUMPRODUCT(--($CR$7:$FW$7&gt;=GJ$5),--($CR$7:$FW$7&lt;=GJ$6),$CR90:$FW90)*GB90</f>
        <v>202775.93413716633</v>
      </c>
      <c r="GK90" s="145" cm="1">
        <f t="array" ref="GK90">SUMPRODUCT(--($CR$7:$FW$7&gt;=GK$5),--($CR$7:$FW$7&lt;=GK$6),$CR90:$FW90)*GC90</f>
        <v>0</v>
      </c>
      <c r="GL90" s="145" cm="1">
        <f t="array" ref="GL90">SUMPRODUCT(--($CR$7:$FW$7&gt;=GL$5),--($CR$7:$FW$7&lt;=GL$6),$CR90:$FW90)*GD90</f>
        <v>0</v>
      </c>
      <c r="GM90" s="145" cm="1">
        <f t="array" ref="GM90">SUMPRODUCT(--($CR$7:$FW$7&gt;=GM$5),--($CR$7:$FW$7&lt;=GM$6),$CR90:$FW90)*GE90</f>
        <v>0</v>
      </c>
      <c r="GN90" s="145" cm="1">
        <f t="array" ref="GN90">SUMPRODUCT(--($CR$7:$FW$7&gt;=GN$5),--($CR$7:$FW$7&lt;=GN$6),$CR90:$FW90)*GF90</f>
        <v>0</v>
      </c>
      <c r="GO90" s="145">
        <f t="shared" si="23"/>
        <v>560147.2884635767</v>
      </c>
      <c r="GP90" s="87"/>
      <c r="GQ90" s="89"/>
      <c r="GR90" s="145" cm="1">
        <f t="array" ref="GR90">SUMPRODUCT(--($CR$7:$FW$7&gt;=GR$5),--($CR$7:$FW$7&lt;=GR$6),$CR90:$FW90)</f>
        <v>73695</v>
      </c>
      <c r="GS90" s="89"/>
      <c r="GT90" s="214" cm="1">
        <f t="array" ref="GT90">--AND(MIN(IF($K90:$CP90&lt;&gt;0,$K$7:$CP$7))&gt;=GT$5,MIN(IF($K90:$CP90&lt;&gt;0,$K$7:$CP$7))&lt;=GT$6)</f>
        <v>1</v>
      </c>
      <c r="GU90" s="214" cm="1">
        <f t="array" ref="GU90">--AND(MIN(IF($K90:$CP90&lt;&gt;0,$K$7:$CP$7))&gt;=GU$5,MIN(IF($K90:$CP90&lt;&gt;0,$K$7:$CP$7))&lt;=GU$6)</f>
        <v>0</v>
      </c>
      <c r="GV90" s="214" cm="1">
        <f t="array" ref="GV90">--AND(MIN(IF($K90:$CP90&lt;&gt;0,$K$7:$CP$7))&gt;=GV$5,MIN(IF($K90:$CP90&lt;&gt;0,$K$7:$CP$7))&lt;=GV$6)</f>
        <v>0</v>
      </c>
      <c r="GW90" s="214" cm="1">
        <f t="array" ref="GW90">--AND(MIN(IF($K90:$CP90&lt;&gt;0,$K$7:$CP$7))&gt;=GW$5,MIN(IF($K90:$CP90&lt;&gt;0,$K$7:$CP$7))&lt;=GW$6)</f>
        <v>0</v>
      </c>
      <c r="GX90" s="214" cm="1">
        <f t="array" ref="GX90">--AND(MIN(IF($K90:$CP90&lt;&gt;0,$K$7:$CP$7))&gt;=GX$5,MIN(IF($K90:$CP90&lt;&gt;0,$K$7:$CP$7))&lt;=GX$6)</f>
        <v>0</v>
      </c>
      <c r="GY90" s="214" cm="1">
        <f t="array" ref="GY90">--AND(MIN(IF($K90:$CP90&lt;&gt;0,$K$7:$CP$7))&gt;=GY$5,MIN(IF($K90:$CP90&lt;&gt;0,$K$7:$CP$7))&lt;=GY$6)</f>
        <v>0</v>
      </c>
      <c r="GZ90" s="214" cm="1">
        <f t="array" ref="GZ90">--AND(MIN(IF($K90:$CP90&lt;&gt;0,$K$7:$CP$7))&gt;=GZ$5,MIN(IF($K90:$CP90&lt;&gt;0,$K$7:$CP$7))&lt;=GZ$6)</f>
        <v>0</v>
      </c>
      <c r="HA90" s="214">
        <f t="shared" si="24"/>
        <v>1</v>
      </c>
      <c r="HC90" s="214" cm="1">
        <f t="array" ref="HC90">--AND(MIN(IF($K90:$CP90&lt;&gt;0,$K$7:$CP$7))&gt;=HC$5,MIN(IF($K90:$CP90&lt;&gt;0,$K$7:$CP$7))&lt;=HC$6)</f>
        <v>1</v>
      </c>
      <c r="HE90" s="147" t="str">
        <f t="shared" si="43"/>
        <v>No</v>
      </c>
      <c r="HF90" s="147" t="str">
        <f t="shared" si="44"/>
        <v>Yes</v>
      </c>
      <c r="HG90" s="147">
        <f>IF($HF90="Yes",0,$H90*avg_hrs*12*'Key assumptions'!$D$87)</f>
        <v>0</v>
      </c>
      <c r="HH90" s="147">
        <f>IF(HE90="Yes",'Key assumptions'!$D$84*HG90,0)</f>
        <v>0</v>
      </c>
      <c r="HI90" s="144">
        <f>IFERROR(AVERAGEIFS($K90:$CP90,$K$7:$CP$7,"&gt;="&amp;'Key assumptions'!$D$24,$K$7:$CP$7,"&lt;="&amp;'Key assumptions'!$D$25),0)</f>
        <v>0.19172932330827067</v>
      </c>
      <c r="HJ90" s="148">
        <f t="shared" si="25"/>
        <v>0</v>
      </c>
      <c r="HK90" s="148">
        <f t="shared" si="26"/>
        <v>0</v>
      </c>
      <c r="HL90" s="148">
        <f t="shared" si="27"/>
        <v>0</v>
      </c>
      <c r="HM90" s="148">
        <f t="shared" si="28"/>
        <v>0</v>
      </c>
      <c r="HN90" s="148">
        <f t="shared" si="29"/>
        <v>0</v>
      </c>
      <c r="HO90" s="148">
        <f t="shared" si="30"/>
        <v>0</v>
      </c>
      <c r="HP90" s="148">
        <f t="shared" si="31"/>
        <v>0</v>
      </c>
      <c r="HQ90" s="148">
        <f t="shared" si="32"/>
        <v>0</v>
      </c>
      <c r="HR90" s="147">
        <f t="shared" si="33"/>
        <v>0</v>
      </c>
      <c r="HU90" s="147">
        <f>$HJ90*HC90/(1+'Key assumptions'!G112)^0.75</f>
        <v>0</v>
      </c>
      <c r="HW90" s="216">
        <f t="shared" si="34"/>
        <v>0.19172932330827067</v>
      </c>
      <c r="HX90" s="216">
        <f t="shared" si="35"/>
        <v>0</v>
      </c>
      <c r="HY90" s="216">
        <f t="shared" si="36"/>
        <v>0</v>
      </c>
      <c r="HZ90" s="216">
        <f t="shared" si="37"/>
        <v>0</v>
      </c>
      <c r="IA90" s="216">
        <f t="shared" si="38"/>
        <v>0</v>
      </c>
      <c r="IB90" s="216">
        <f t="shared" si="39"/>
        <v>0</v>
      </c>
      <c r="IC90" s="216">
        <f t="shared" si="40"/>
        <v>0</v>
      </c>
      <c r="ID90" s="216">
        <f t="shared" si="41"/>
        <v>0.19172932330827067</v>
      </c>
      <c r="IF90" s="216">
        <f t="shared" si="42"/>
        <v>0.19172932330827067</v>
      </c>
    </row>
    <row r="91" spans="2:240" x14ac:dyDescent="0.2">
      <c r="B91" s="141" t="str">
        <v>Project Delivery Management - Construction Management</v>
      </c>
      <c r="C91" s="141" t="str">
        <v>Substation Site Manager - Senior (Construction)</v>
      </c>
      <c r="D91" s="141" t="str">
        <v>Internal Labour</v>
      </c>
      <c r="E91" s="141" t="str">
        <v>$ Nominal</v>
      </c>
      <c r="F91" s="141" t="str">
        <v>Existing</v>
      </c>
      <c r="G91" s="141" t="str">
        <v>Normal time</v>
      </c>
      <c r="H91" s="142">
        <v>214.83</v>
      </c>
      <c r="I91" s="126">
        <v>941058.09999999986</v>
      </c>
      <c r="J91" s="143">
        <v>0</v>
      </c>
      <c r="K91" s="144">
        <v>0</v>
      </c>
      <c r="L91" s="144">
        <v>0</v>
      </c>
      <c r="M91" s="144">
        <v>0</v>
      </c>
      <c r="N91" s="144">
        <v>0</v>
      </c>
      <c r="O91" s="144">
        <v>0</v>
      </c>
      <c r="P91" s="144">
        <v>0</v>
      </c>
      <c r="Q91" s="144">
        <v>0</v>
      </c>
      <c r="R91" s="144">
        <v>0</v>
      </c>
      <c r="S91" s="144">
        <v>0</v>
      </c>
      <c r="T91" s="144">
        <v>0</v>
      </c>
      <c r="U91" s="144">
        <v>0</v>
      </c>
      <c r="V91" s="144">
        <v>0</v>
      </c>
      <c r="W91" s="144">
        <v>0</v>
      </c>
      <c r="X91" s="144">
        <v>0</v>
      </c>
      <c r="Y91" s="144">
        <v>0</v>
      </c>
      <c r="Z91" s="144">
        <v>1</v>
      </c>
      <c r="AA91" s="144">
        <v>0.78289473684210531</v>
      </c>
      <c r="AB91" s="144">
        <v>0.82894736842105265</v>
      </c>
      <c r="AC91" s="144">
        <v>0.95</v>
      </c>
      <c r="AD91" s="144">
        <v>0.75</v>
      </c>
      <c r="AE91" s="144">
        <v>0.9</v>
      </c>
      <c r="AF91" s="144">
        <v>0.9</v>
      </c>
      <c r="AG91" s="144">
        <v>0.85</v>
      </c>
      <c r="AH91" s="144">
        <v>0.8</v>
      </c>
      <c r="AI91" s="144">
        <v>1.5333333333333334</v>
      </c>
      <c r="AJ91" s="144">
        <v>0.8</v>
      </c>
      <c r="AK91" s="144">
        <v>0.8</v>
      </c>
      <c r="AL91" s="144">
        <v>1.2666666666666666</v>
      </c>
      <c r="AM91" s="144">
        <v>0.82894736842105265</v>
      </c>
      <c r="AN91" s="144">
        <v>0.78289473684210531</v>
      </c>
      <c r="AO91" s="144">
        <v>0.9</v>
      </c>
      <c r="AP91" s="144">
        <v>0.85</v>
      </c>
      <c r="AQ91" s="144">
        <v>0.9</v>
      </c>
      <c r="AR91" s="144">
        <v>0.9</v>
      </c>
      <c r="AS91" s="144">
        <v>0.85</v>
      </c>
      <c r="AT91" s="144">
        <v>1.0666666666666667</v>
      </c>
      <c r="AU91" s="144">
        <v>1.2666666666666666</v>
      </c>
      <c r="AV91" s="144">
        <v>0.8</v>
      </c>
      <c r="AW91" s="144">
        <v>0.95</v>
      </c>
      <c r="AX91" s="144">
        <v>1.0666666666666667</v>
      </c>
      <c r="AY91" s="144">
        <v>0.875</v>
      </c>
      <c r="AZ91" s="144">
        <v>0.875</v>
      </c>
      <c r="BA91" s="144">
        <v>0.8</v>
      </c>
      <c r="BB91" s="144">
        <v>0.9</v>
      </c>
      <c r="BC91" s="144">
        <v>5.1428571428571432</v>
      </c>
      <c r="BD91" s="144">
        <v>0</v>
      </c>
      <c r="BE91" s="144">
        <v>0</v>
      </c>
      <c r="BF91" s="144">
        <v>0</v>
      </c>
      <c r="BG91" s="144">
        <v>0</v>
      </c>
      <c r="BH91" s="144">
        <v>0</v>
      </c>
      <c r="BI91" s="144">
        <v>0</v>
      </c>
      <c r="BJ91" s="144">
        <v>0</v>
      </c>
      <c r="BK91" s="144">
        <v>0</v>
      </c>
      <c r="BL91" s="144">
        <v>0</v>
      </c>
      <c r="BM91" s="144">
        <v>0</v>
      </c>
      <c r="BN91" s="144">
        <v>0</v>
      </c>
      <c r="BO91" s="144">
        <v>0</v>
      </c>
      <c r="BP91" s="144">
        <v>0</v>
      </c>
      <c r="BQ91" s="144">
        <v>0</v>
      </c>
      <c r="BR91" s="144">
        <v>0</v>
      </c>
      <c r="BS91" s="144">
        <v>0</v>
      </c>
      <c r="BT91" s="144">
        <v>0</v>
      </c>
      <c r="BU91" s="144">
        <v>0</v>
      </c>
      <c r="BV91" s="144">
        <v>0</v>
      </c>
      <c r="BW91" s="144">
        <v>0</v>
      </c>
      <c r="BX91" s="144">
        <v>0</v>
      </c>
      <c r="BY91" s="144">
        <v>0</v>
      </c>
      <c r="BZ91" s="144">
        <v>0</v>
      </c>
      <c r="CA91" s="144">
        <v>0</v>
      </c>
      <c r="CB91" s="144">
        <v>0</v>
      </c>
      <c r="CC91" s="144">
        <v>0</v>
      </c>
      <c r="CD91" s="144">
        <v>0</v>
      </c>
      <c r="CE91" s="144">
        <v>0</v>
      </c>
      <c r="CF91" s="144">
        <v>0</v>
      </c>
      <c r="CG91" s="144">
        <v>0</v>
      </c>
      <c r="CH91" s="144">
        <v>0</v>
      </c>
      <c r="CI91" s="144">
        <v>0</v>
      </c>
      <c r="CJ91" s="144">
        <v>0</v>
      </c>
      <c r="CK91" s="144">
        <v>0</v>
      </c>
      <c r="CL91" s="144">
        <v>0</v>
      </c>
      <c r="CM91" s="144">
        <v>0</v>
      </c>
      <c r="CN91" s="144">
        <v>0</v>
      </c>
      <c r="CO91" s="144">
        <v>0</v>
      </c>
      <c r="CP91" s="144">
        <v>0</v>
      </c>
      <c r="CQ91" s="143">
        <v>0</v>
      </c>
      <c r="CR91" s="145">
        <v>0</v>
      </c>
      <c r="CS91" s="145">
        <v>0</v>
      </c>
      <c r="CT91" s="145">
        <v>0</v>
      </c>
      <c r="CU91" s="145">
        <v>0</v>
      </c>
      <c r="CV91" s="145">
        <v>0</v>
      </c>
      <c r="CW91" s="145">
        <v>0</v>
      </c>
      <c r="CX91" s="145">
        <v>0</v>
      </c>
      <c r="CY91" s="145">
        <v>0</v>
      </c>
      <c r="CZ91" s="145">
        <v>0</v>
      </c>
      <c r="DA91" s="145">
        <v>0</v>
      </c>
      <c r="DB91" s="145">
        <v>0</v>
      </c>
      <c r="DC91" s="145">
        <v>0</v>
      </c>
      <c r="DD91" s="145">
        <v>0</v>
      </c>
      <c r="DE91" s="145">
        <v>0</v>
      </c>
      <c r="DF91" s="145">
        <v>0</v>
      </c>
      <c r="DG91" s="145">
        <v>22557.15</v>
      </c>
      <c r="DH91" s="145">
        <v>25564.77</v>
      </c>
      <c r="DI91" s="145">
        <v>27068.58</v>
      </c>
      <c r="DJ91" s="145">
        <v>28572.390000000003</v>
      </c>
      <c r="DK91" s="145">
        <v>22557.15</v>
      </c>
      <c r="DL91" s="145">
        <v>27068.58</v>
      </c>
      <c r="DM91" s="145">
        <v>27068.58</v>
      </c>
      <c r="DN91" s="145">
        <v>25564.77</v>
      </c>
      <c r="DO91" s="145">
        <v>18045.72</v>
      </c>
      <c r="DP91" s="145">
        <v>34587.630000000005</v>
      </c>
      <c r="DQ91" s="145">
        <v>24060.960000000003</v>
      </c>
      <c r="DR91" s="145">
        <v>24776.639999999999</v>
      </c>
      <c r="DS91" s="145">
        <v>29422.26</v>
      </c>
      <c r="DT91" s="145">
        <v>27873.72</v>
      </c>
      <c r="DU91" s="145">
        <v>26325.18</v>
      </c>
      <c r="DV91" s="145">
        <v>27873.72</v>
      </c>
      <c r="DW91" s="145">
        <v>26325.18</v>
      </c>
      <c r="DX91" s="145">
        <v>27873.72</v>
      </c>
      <c r="DY91" s="145">
        <v>27873.72</v>
      </c>
      <c r="DZ91" s="145">
        <v>26325.18</v>
      </c>
      <c r="EA91" s="145">
        <v>24776.639999999999</v>
      </c>
      <c r="EB91" s="145">
        <v>29422.26</v>
      </c>
      <c r="EC91" s="145">
        <v>24776.639999999999</v>
      </c>
      <c r="ED91" s="145">
        <v>30302.720000000001</v>
      </c>
      <c r="EE91" s="145">
        <v>25518.080000000002</v>
      </c>
      <c r="EF91" s="145">
        <v>30302.720000000001</v>
      </c>
      <c r="EG91" s="145">
        <v>30302.720000000001</v>
      </c>
      <c r="EH91" s="145">
        <v>25518.080000000002</v>
      </c>
      <c r="EI91" s="145">
        <v>28707.84</v>
      </c>
      <c r="EJ91" s="145">
        <v>164044.79999999999</v>
      </c>
      <c r="EK91" s="145">
        <v>0</v>
      </c>
      <c r="EL91" s="145">
        <v>0</v>
      </c>
      <c r="EM91" s="145">
        <v>0</v>
      </c>
      <c r="EN91" s="145">
        <v>0</v>
      </c>
      <c r="EO91" s="145">
        <v>0</v>
      </c>
      <c r="EP91" s="145">
        <v>0</v>
      </c>
      <c r="EQ91" s="145">
        <v>0</v>
      </c>
      <c r="ER91" s="145">
        <v>0</v>
      </c>
      <c r="ES91" s="145">
        <v>0</v>
      </c>
      <c r="ET91" s="145">
        <v>0</v>
      </c>
      <c r="EU91" s="145">
        <v>0</v>
      </c>
      <c r="EV91" s="145">
        <v>0</v>
      </c>
      <c r="EW91" s="145">
        <v>0</v>
      </c>
      <c r="EX91" s="145">
        <v>0</v>
      </c>
      <c r="EY91" s="145">
        <v>0</v>
      </c>
      <c r="EZ91" s="145">
        <v>0</v>
      </c>
      <c r="FA91" s="145">
        <v>0</v>
      </c>
      <c r="FB91" s="145">
        <v>0</v>
      </c>
      <c r="FC91" s="145">
        <v>0</v>
      </c>
      <c r="FD91" s="145">
        <v>0</v>
      </c>
      <c r="FE91" s="145">
        <v>0</v>
      </c>
      <c r="FF91" s="145">
        <v>0</v>
      </c>
      <c r="FG91" s="145">
        <v>0</v>
      </c>
      <c r="FH91" s="145">
        <v>0</v>
      </c>
      <c r="FI91" s="145">
        <v>0</v>
      </c>
      <c r="FJ91" s="145">
        <v>0</v>
      </c>
      <c r="FK91" s="145">
        <v>0</v>
      </c>
      <c r="FL91" s="145">
        <v>0</v>
      </c>
      <c r="FM91" s="145">
        <v>0</v>
      </c>
      <c r="FN91" s="145">
        <v>0</v>
      </c>
      <c r="FO91" s="145">
        <v>0</v>
      </c>
      <c r="FP91" s="145">
        <v>0</v>
      </c>
      <c r="FQ91" s="145">
        <v>0</v>
      </c>
      <c r="FR91" s="145">
        <v>0</v>
      </c>
      <c r="FS91" s="145">
        <v>0</v>
      </c>
      <c r="FT91" s="145">
        <v>0</v>
      </c>
      <c r="FU91" s="145">
        <v>0</v>
      </c>
      <c r="FV91" s="145">
        <v>0</v>
      </c>
      <c r="FW91" s="145">
        <v>0</v>
      </c>
      <c r="FX91" s="143"/>
      <c r="FY91" s="146" t="str">
        <f>_xlfn.XLOOKUP($E91,'Key assumptions'!$B$112:$B$120,'Key assumptions'!$C$112:$C$120,0)</f>
        <v>Nominal</v>
      </c>
      <c r="FZ91" s="146" cm="1">
        <f t="array" ref="FZ91">IF($FY91=0,0,_xlfn.IFS($FY91='Key assumptions'!$C$120,_xlfn.XLOOKUP(LEFT(FZ$7,6),Inflation_Year,Inflation_NominaltoReal),TRUE,_xlfn.XLOOKUP($FY91,Inflation_Year,NominaltoReal)))</f>
        <v>1.0197075870962191</v>
      </c>
      <c r="GA91" s="146" cm="1">
        <f t="array" ref="GA91">IF($FY91=0,0,_xlfn.IFS($FY91='Key assumptions'!$C$120,_xlfn.XLOOKUP(LEFT(GA$7,6),Inflation_Year,Inflation_NominaltoReal),TRUE,_xlfn.XLOOKUP($FY91,Inflation_Year,NominaltoReal)))</f>
        <v>0.98700804022984445</v>
      </c>
      <c r="GB91" s="146" cm="1">
        <f t="array" ref="GB91">IF($FY91=0,0,_xlfn.IFS($FY91='Key assumptions'!$C$120,_xlfn.XLOOKUP(LEFT(GB$7,6),Inflation_Year,Inflation_NominaltoReal),TRUE,_xlfn.XLOOKUP($FY91,Inflation_Year,NominaltoReal)))</f>
        <v>0.96152830081941731</v>
      </c>
      <c r="GC91" s="146" cm="1">
        <f t="array" ref="GC91">IF($FY91=0,0,_xlfn.IFS($FY91='Key assumptions'!$C$120,_xlfn.XLOOKUP(LEFT(GC$7,6),Inflation_Year,Inflation_NominaltoReal),TRUE,_xlfn.XLOOKUP($FY91,Inflation_Year,NominaltoReal)))</f>
        <v>0.93670632415656829</v>
      </c>
      <c r="GD91" s="146" cm="1">
        <f t="array" ref="GD91">IF($FY91=0,0,_xlfn.IFS($FY91='Key assumptions'!$C$120,_xlfn.XLOOKUP(LEFT(GD$7,6),Inflation_Year,Inflation_NominaltoReal),TRUE,_xlfn.XLOOKUP($FY91,Inflation_Year,NominaltoReal)))</f>
        <v>0.91252513001143176</v>
      </c>
      <c r="GE91" s="146" cm="1">
        <f t="array" ref="GE91">IF($FY91=0,0,_xlfn.IFS($FY91='Key assumptions'!$C$120,_xlfn.XLOOKUP(LEFT(GE$7,6),Inflation_Year,Inflation_NominaltoReal),TRUE,_xlfn.XLOOKUP($FY91,Inflation_Year,NominaltoReal)))</f>
        <v>0.88896817650095872</v>
      </c>
      <c r="GF91" s="146" cm="1">
        <f t="array" ref="GF91">IF($FY91=0,0,_xlfn.IFS($FY91='Key assumptions'!$C$120,_xlfn.XLOOKUP(LEFT(GF$7,6),Inflation_Year,Inflation_NominaltoReal),TRUE,_xlfn.XLOOKUP($FY91,Inflation_Year,NominaltoReal)))</f>
        <v>0.86601934877293718</v>
      </c>
      <c r="GG91" s="143"/>
      <c r="GH91" s="145" cm="1">
        <f t="array" ref="GH91">SUMPRODUCT(--($CR$7:$FW$7&gt;=GH$5),--($CR$7:$FW$7&lt;=GH$6),$CR91:$FW91)*FZ91</f>
        <v>156411.53958821885</v>
      </c>
      <c r="GI91" s="145" cm="1">
        <f t="array" ref="GI91">SUMPRODUCT(--($CR$7:$FW$7&gt;=GI$5),--($CR$7:$FW$7&lt;=GI$6),$CR91:$FW91)*GA91</f>
        <v>315643.2762100671</v>
      </c>
      <c r="GJ91" s="145" cm="1">
        <f t="array" ref="GJ91">SUMPRODUCT(--($CR$7:$FW$7&gt;=GJ$5),--($CR$7:$FW$7&lt;=GJ$6),$CR91:$FW91)*GB91</f>
        <v>449871.59224400192</v>
      </c>
      <c r="GK91" s="145" cm="1">
        <f t="array" ref="GK91">SUMPRODUCT(--($CR$7:$FW$7&gt;=GK$5),--($CR$7:$FW$7&lt;=GK$6),$CR91:$FW91)*GC91</f>
        <v>0</v>
      </c>
      <c r="GL91" s="145" cm="1">
        <f t="array" ref="GL91">SUMPRODUCT(--($CR$7:$FW$7&gt;=GL$5),--($CR$7:$FW$7&lt;=GL$6),$CR91:$FW91)*GD91</f>
        <v>0</v>
      </c>
      <c r="GM91" s="145" cm="1">
        <f t="array" ref="GM91">SUMPRODUCT(--($CR$7:$FW$7&gt;=GM$5),--($CR$7:$FW$7&lt;=GM$6),$CR91:$FW91)*GE91</f>
        <v>0</v>
      </c>
      <c r="GN91" s="145" cm="1">
        <f t="array" ref="GN91">SUMPRODUCT(--($CR$7:$FW$7&gt;=GN$5),--($CR$7:$FW$7&lt;=GN$6),$CR91:$FW91)*GF91</f>
        <v>0</v>
      </c>
      <c r="GO91" s="145">
        <f t="shared" si="23"/>
        <v>921926.40804228792</v>
      </c>
      <c r="GP91" s="87"/>
      <c r="GQ91" s="89"/>
      <c r="GR91" s="145" cm="1">
        <f t="array" ref="GR91">SUMPRODUCT(--($CR$7:$FW$7&gt;=GR$5),--($CR$7:$FW$7&lt;=GR$6),$CR91:$FW91)</f>
        <v>75190.5</v>
      </c>
      <c r="GS91" s="89"/>
      <c r="GT91" s="214" cm="1">
        <f t="array" ref="GT91">--AND(MIN(IF($K91:$CP91&lt;&gt;0,$K$7:$CP$7))&gt;=GT$5,MIN(IF($K91:$CP91&lt;&gt;0,$K$7:$CP$7))&lt;=GT$6)</f>
        <v>1</v>
      </c>
      <c r="GU91" s="214" cm="1">
        <f t="array" ref="GU91">--AND(MIN(IF($K91:$CP91&lt;&gt;0,$K$7:$CP$7))&gt;=GU$5,MIN(IF($K91:$CP91&lt;&gt;0,$K$7:$CP$7))&lt;=GU$6)</f>
        <v>0</v>
      </c>
      <c r="GV91" s="214" cm="1">
        <f t="array" ref="GV91">--AND(MIN(IF($K91:$CP91&lt;&gt;0,$K$7:$CP$7))&gt;=GV$5,MIN(IF($K91:$CP91&lt;&gt;0,$K$7:$CP$7))&lt;=GV$6)</f>
        <v>0</v>
      </c>
      <c r="GW91" s="214" cm="1">
        <f t="array" ref="GW91">--AND(MIN(IF($K91:$CP91&lt;&gt;0,$K$7:$CP$7))&gt;=GW$5,MIN(IF($K91:$CP91&lt;&gt;0,$K$7:$CP$7))&lt;=GW$6)</f>
        <v>0</v>
      </c>
      <c r="GX91" s="214" cm="1">
        <f t="array" ref="GX91">--AND(MIN(IF($K91:$CP91&lt;&gt;0,$K$7:$CP$7))&gt;=GX$5,MIN(IF($K91:$CP91&lt;&gt;0,$K$7:$CP$7))&lt;=GX$6)</f>
        <v>0</v>
      </c>
      <c r="GY91" s="214" cm="1">
        <f t="array" ref="GY91">--AND(MIN(IF($K91:$CP91&lt;&gt;0,$K$7:$CP$7))&gt;=GY$5,MIN(IF($K91:$CP91&lt;&gt;0,$K$7:$CP$7))&lt;=GY$6)</f>
        <v>0</v>
      </c>
      <c r="GZ91" s="214" cm="1">
        <f t="array" ref="GZ91">--AND(MIN(IF($K91:$CP91&lt;&gt;0,$K$7:$CP$7))&gt;=GZ$5,MIN(IF($K91:$CP91&lt;&gt;0,$K$7:$CP$7))&lt;=GZ$6)</f>
        <v>0</v>
      </c>
      <c r="HA91" s="214">
        <f t="shared" si="24"/>
        <v>1</v>
      </c>
      <c r="HC91" s="214" cm="1">
        <f t="array" ref="HC91">--AND(MIN(IF($K91:$CP91&lt;&gt;0,$K$7:$CP$7))&gt;=HC$5,MIN(IF($K91:$CP91&lt;&gt;0,$K$7:$CP$7))&lt;=HC$6)</f>
        <v>1</v>
      </c>
      <c r="HE91" s="147" t="str">
        <f t="shared" si="43"/>
        <v>No</v>
      </c>
      <c r="HF91" s="147" t="str">
        <f t="shared" si="44"/>
        <v>No</v>
      </c>
      <c r="HG91" s="147">
        <f>IF($HF91="Yes",0,$H91*avg_hrs*12*'Key assumptions'!$D$87)</f>
        <v>384173.83131128055</v>
      </c>
      <c r="HH91" s="147">
        <f>IF(HE91="Yes",'Key assumptions'!$D$84*HG91,0)</f>
        <v>0</v>
      </c>
      <c r="HI91" s="144">
        <f>IFERROR(AVERAGEIFS($K91:$CP91,$K$7:$CP$7,"&gt;="&amp;'Key assumptions'!$D$24,$K$7:$CP$7,"&lt;="&amp;'Key assumptions'!$D$25),0)</f>
        <v>0.72537593984962401</v>
      </c>
      <c r="HJ91" s="148">
        <f t="shared" si="25"/>
        <v>0</v>
      </c>
      <c r="HK91" s="148">
        <f t="shared" si="26"/>
        <v>0</v>
      </c>
      <c r="HL91" s="148">
        <f t="shared" si="27"/>
        <v>0</v>
      </c>
      <c r="HM91" s="148">
        <f t="shared" si="28"/>
        <v>0</v>
      </c>
      <c r="HN91" s="148">
        <f t="shared" si="29"/>
        <v>0</v>
      </c>
      <c r="HO91" s="148">
        <f t="shared" si="30"/>
        <v>0</v>
      </c>
      <c r="HP91" s="148">
        <f t="shared" si="31"/>
        <v>0</v>
      </c>
      <c r="HQ91" s="148">
        <f t="shared" si="32"/>
        <v>0</v>
      </c>
      <c r="HR91" s="147">
        <f t="shared" si="33"/>
        <v>0</v>
      </c>
      <c r="HU91" s="147">
        <f>$HJ91*HC91/(1+'Key assumptions'!G113)^0.75</f>
        <v>0</v>
      </c>
      <c r="HW91" s="216">
        <f t="shared" si="34"/>
        <v>0.72537593984962401</v>
      </c>
      <c r="HX91" s="216">
        <f t="shared" si="35"/>
        <v>0</v>
      </c>
      <c r="HY91" s="216">
        <f t="shared" si="36"/>
        <v>0</v>
      </c>
      <c r="HZ91" s="216">
        <f t="shared" si="37"/>
        <v>0</v>
      </c>
      <c r="IA91" s="216">
        <f t="shared" si="38"/>
        <v>0</v>
      </c>
      <c r="IB91" s="216">
        <f t="shared" si="39"/>
        <v>0</v>
      </c>
      <c r="IC91" s="216">
        <f t="shared" si="40"/>
        <v>0</v>
      </c>
      <c r="ID91" s="216">
        <f t="shared" si="41"/>
        <v>0.72537593984962401</v>
      </c>
      <c r="IF91" s="216">
        <f t="shared" si="42"/>
        <v>0.72537593984962401</v>
      </c>
    </row>
    <row r="92" spans="2:240" x14ac:dyDescent="0.2">
      <c r="B92" s="141" t="str">
        <v>Project Delivery Management - Construction Management</v>
      </c>
      <c r="C92" s="141" t="str">
        <v>Substation Site Manager - Senior (Construction)</v>
      </c>
      <c r="D92" s="141" t="str">
        <v>Internal Labour</v>
      </c>
      <c r="E92" s="141" t="str">
        <v>$ Nominal</v>
      </c>
      <c r="F92" s="141">
        <v>0</v>
      </c>
      <c r="G92" s="141" t="str">
        <v>Overtime</v>
      </c>
      <c r="H92" s="142">
        <v>214.83</v>
      </c>
      <c r="I92" s="126">
        <v>1302747.3</v>
      </c>
      <c r="J92" s="143">
        <v>0</v>
      </c>
      <c r="K92" s="144">
        <v>0</v>
      </c>
      <c r="L92" s="144">
        <v>0</v>
      </c>
      <c r="M92" s="144">
        <v>0</v>
      </c>
      <c r="N92" s="144">
        <v>0</v>
      </c>
      <c r="O92" s="144">
        <v>0</v>
      </c>
      <c r="P92" s="144">
        <v>0</v>
      </c>
      <c r="Q92" s="144">
        <v>0</v>
      </c>
      <c r="R92" s="144">
        <v>0</v>
      </c>
      <c r="S92" s="144">
        <v>0</v>
      </c>
      <c r="T92" s="144">
        <v>0</v>
      </c>
      <c r="U92" s="144">
        <v>0</v>
      </c>
      <c r="V92" s="144">
        <v>0</v>
      </c>
      <c r="W92" s="144">
        <v>0</v>
      </c>
      <c r="X92" s="144">
        <v>0</v>
      </c>
      <c r="Y92" s="144">
        <v>0</v>
      </c>
      <c r="Z92" s="144">
        <v>0</v>
      </c>
      <c r="AA92" s="144">
        <v>0.65131578947368418</v>
      </c>
      <c r="AB92" s="144">
        <v>0.67105263157894735</v>
      </c>
      <c r="AC92" s="144">
        <v>0.92142857142857137</v>
      </c>
      <c r="AD92" s="144">
        <v>0.66428571428571426</v>
      </c>
      <c r="AE92" s="144">
        <v>0.72857142857142854</v>
      </c>
      <c r="AF92" s="144">
        <v>0.72857142857142854</v>
      </c>
      <c r="AG92" s="144">
        <v>0.70714285714285718</v>
      </c>
      <c r="AH92" s="144">
        <v>0.8</v>
      </c>
      <c r="AI92" s="144">
        <v>1.3428571428571427</v>
      </c>
      <c r="AJ92" s="144">
        <v>0.68571428571428572</v>
      </c>
      <c r="AK92" s="144">
        <v>0.68571428571428572</v>
      </c>
      <c r="AL92" s="144">
        <v>1</v>
      </c>
      <c r="AM92" s="144">
        <v>0.75</v>
      </c>
      <c r="AN92" s="144">
        <v>0.73026315789473684</v>
      </c>
      <c r="AO92" s="144">
        <v>0.72857142857142854</v>
      </c>
      <c r="AP92" s="144">
        <v>0.70714285714285718</v>
      </c>
      <c r="AQ92" s="144">
        <v>0.72857142857142854</v>
      </c>
      <c r="AR92" s="144">
        <v>0.72857142857142854</v>
      </c>
      <c r="AS92" s="144">
        <v>0.87857142857142856</v>
      </c>
      <c r="AT92" s="144">
        <v>0.68571428571428572</v>
      </c>
      <c r="AU92" s="144">
        <v>1.2285714285714286</v>
      </c>
      <c r="AV92" s="144">
        <v>0.68571428571428572</v>
      </c>
      <c r="AW92" s="144">
        <v>0.75</v>
      </c>
      <c r="AX92" s="144">
        <v>0.91428571428571426</v>
      </c>
      <c r="AY92" s="144">
        <v>0.84868421052631582</v>
      </c>
      <c r="AZ92" s="144">
        <v>0.84868421052631582</v>
      </c>
      <c r="BA92" s="144">
        <v>0.68571428571428572</v>
      </c>
      <c r="BB92" s="144">
        <v>0.72857142857142854</v>
      </c>
      <c r="BC92" s="144">
        <v>0</v>
      </c>
      <c r="BD92" s="144">
        <v>0</v>
      </c>
      <c r="BE92" s="144">
        <v>0</v>
      </c>
      <c r="BF92" s="144">
        <v>0</v>
      </c>
      <c r="BG92" s="144">
        <v>0</v>
      </c>
      <c r="BH92" s="144">
        <v>0</v>
      </c>
      <c r="BI92" s="144">
        <v>0</v>
      </c>
      <c r="BJ92" s="144">
        <v>0</v>
      </c>
      <c r="BK92" s="144">
        <v>0</v>
      </c>
      <c r="BL92" s="144">
        <v>0</v>
      </c>
      <c r="BM92" s="144">
        <v>0</v>
      </c>
      <c r="BN92" s="144">
        <v>0</v>
      </c>
      <c r="BO92" s="144">
        <v>0</v>
      </c>
      <c r="BP92" s="144">
        <v>0</v>
      </c>
      <c r="BQ92" s="144">
        <v>0</v>
      </c>
      <c r="BR92" s="144">
        <v>0</v>
      </c>
      <c r="BS92" s="144">
        <v>0</v>
      </c>
      <c r="BT92" s="144">
        <v>0</v>
      </c>
      <c r="BU92" s="144">
        <v>0</v>
      </c>
      <c r="BV92" s="144">
        <v>0</v>
      </c>
      <c r="BW92" s="144">
        <v>0</v>
      </c>
      <c r="BX92" s="144">
        <v>0</v>
      </c>
      <c r="BY92" s="144">
        <v>0</v>
      </c>
      <c r="BZ92" s="144">
        <v>0</v>
      </c>
      <c r="CA92" s="144">
        <v>0</v>
      </c>
      <c r="CB92" s="144">
        <v>0</v>
      </c>
      <c r="CC92" s="144">
        <v>0</v>
      </c>
      <c r="CD92" s="144">
        <v>0</v>
      </c>
      <c r="CE92" s="144">
        <v>0</v>
      </c>
      <c r="CF92" s="144">
        <v>0</v>
      </c>
      <c r="CG92" s="144">
        <v>0</v>
      </c>
      <c r="CH92" s="144">
        <v>0</v>
      </c>
      <c r="CI92" s="144">
        <v>0</v>
      </c>
      <c r="CJ92" s="144">
        <v>0</v>
      </c>
      <c r="CK92" s="144">
        <v>0</v>
      </c>
      <c r="CL92" s="144">
        <v>0</v>
      </c>
      <c r="CM92" s="144">
        <v>0</v>
      </c>
      <c r="CN92" s="144">
        <v>0</v>
      </c>
      <c r="CO92" s="144">
        <v>0</v>
      </c>
      <c r="CP92" s="144">
        <v>0</v>
      </c>
      <c r="CQ92" s="143">
        <v>0</v>
      </c>
      <c r="CR92" s="145">
        <v>0</v>
      </c>
      <c r="CS92" s="145">
        <v>0</v>
      </c>
      <c r="CT92" s="145">
        <v>0</v>
      </c>
      <c r="CU92" s="145">
        <v>0</v>
      </c>
      <c r="CV92" s="145">
        <v>0</v>
      </c>
      <c r="CW92" s="145">
        <v>0</v>
      </c>
      <c r="CX92" s="145">
        <v>0</v>
      </c>
      <c r="CY92" s="145">
        <v>0</v>
      </c>
      <c r="CZ92" s="145">
        <v>0</v>
      </c>
      <c r="DA92" s="145">
        <v>0</v>
      </c>
      <c r="DB92" s="145">
        <v>0</v>
      </c>
      <c r="DC92" s="145">
        <v>0</v>
      </c>
      <c r="DD92" s="145">
        <v>0</v>
      </c>
      <c r="DE92" s="145">
        <v>0</v>
      </c>
      <c r="DF92" s="145">
        <v>0</v>
      </c>
      <c r="DG92" s="145">
        <v>0</v>
      </c>
      <c r="DH92" s="145">
        <v>42536.340000000004</v>
      </c>
      <c r="DI92" s="145">
        <v>43825.32</v>
      </c>
      <c r="DJ92" s="145">
        <v>55426.140000000007</v>
      </c>
      <c r="DK92" s="145">
        <v>39958.380000000005</v>
      </c>
      <c r="DL92" s="145">
        <v>43825.32</v>
      </c>
      <c r="DM92" s="145">
        <v>43825.32</v>
      </c>
      <c r="DN92" s="145">
        <v>42536.340000000004</v>
      </c>
      <c r="DO92" s="145">
        <v>36091.440000000002</v>
      </c>
      <c r="DP92" s="145">
        <v>60582.060000000005</v>
      </c>
      <c r="DQ92" s="145">
        <v>41247.360000000001</v>
      </c>
      <c r="DR92" s="145">
        <v>42475.199999999997</v>
      </c>
      <c r="DS92" s="145">
        <v>46457.25</v>
      </c>
      <c r="DT92" s="145">
        <v>50439.299999999996</v>
      </c>
      <c r="DU92" s="145">
        <v>49111.95</v>
      </c>
      <c r="DV92" s="145">
        <v>45129.9</v>
      </c>
      <c r="DW92" s="145">
        <v>43802.549999999996</v>
      </c>
      <c r="DX92" s="145">
        <v>45129.9</v>
      </c>
      <c r="DY92" s="145">
        <v>45129.9</v>
      </c>
      <c r="DZ92" s="145">
        <v>54421.35</v>
      </c>
      <c r="EA92" s="145">
        <v>31856.399999999998</v>
      </c>
      <c r="EB92" s="145">
        <v>57076.049999999996</v>
      </c>
      <c r="EC92" s="145">
        <v>42475.199999999997</v>
      </c>
      <c r="ED92" s="145">
        <v>47847.45</v>
      </c>
      <c r="EE92" s="145">
        <v>43746.239999999998</v>
      </c>
      <c r="EF92" s="145">
        <v>58784.01</v>
      </c>
      <c r="EG92" s="145">
        <v>58784.01</v>
      </c>
      <c r="EH92" s="145">
        <v>43746.239999999998</v>
      </c>
      <c r="EI92" s="145">
        <v>46480.38</v>
      </c>
      <c r="EJ92" s="145">
        <v>0</v>
      </c>
      <c r="EK92" s="145">
        <v>0</v>
      </c>
      <c r="EL92" s="145">
        <v>0</v>
      </c>
      <c r="EM92" s="145">
        <v>0</v>
      </c>
      <c r="EN92" s="145">
        <v>0</v>
      </c>
      <c r="EO92" s="145">
        <v>0</v>
      </c>
      <c r="EP92" s="145">
        <v>0</v>
      </c>
      <c r="EQ92" s="145">
        <v>0</v>
      </c>
      <c r="ER92" s="145">
        <v>0</v>
      </c>
      <c r="ES92" s="145">
        <v>0</v>
      </c>
      <c r="ET92" s="145">
        <v>0</v>
      </c>
      <c r="EU92" s="145">
        <v>0</v>
      </c>
      <c r="EV92" s="145">
        <v>0</v>
      </c>
      <c r="EW92" s="145">
        <v>0</v>
      </c>
      <c r="EX92" s="145">
        <v>0</v>
      </c>
      <c r="EY92" s="145">
        <v>0</v>
      </c>
      <c r="EZ92" s="145">
        <v>0</v>
      </c>
      <c r="FA92" s="145">
        <v>0</v>
      </c>
      <c r="FB92" s="145">
        <v>0</v>
      </c>
      <c r="FC92" s="145">
        <v>0</v>
      </c>
      <c r="FD92" s="145">
        <v>0</v>
      </c>
      <c r="FE92" s="145">
        <v>0</v>
      </c>
      <c r="FF92" s="145">
        <v>0</v>
      </c>
      <c r="FG92" s="145">
        <v>0</v>
      </c>
      <c r="FH92" s="145">
        <v>0</v>
      </c>
      <c r="FI92" s="145">
        <v>0</v>
      </c>
      <c r="FJ92" s="145">
        <v>0</v>
      </c>
      <c r="FK92" s="145">
        <v>0</v>
      </c>
      <c r="FL92" s="145">
        <v>0</v>
      </c>
      <c r="FM92" s="145">
        <v>0</v>
      </c>
      <c r="FN92" s="145">
        <v>0</v>
      </c>
      <c r="FO92" s="145">
        <v>0</v>
      </c>
      <c r="FP92" s="145">
        <v>0</v>
      </c>
      <c r="FQ92" s="145">
        <v>0</v>
      </c>
      <c r="FR92" s="145">
        <v>0</v>
      </c>
      <c r="FS92" s="145">
        <v>0</v>
      </c>
      <c r="FT92" s="145">
        <v>0</v>
      </c>
      <c r="FU92" s="145">
        <v>0</v>
      </c>
      <c r="FV92" s="145">
        <v>0</v>
      </c>
      <c r="FW92" s="145">
        <v>0</v>
      </c>
      <c r="FX92" s="143"/>
      <c r="FY92" s="146" t="str">
        <f>_xlfn.XLOOKUP($E92,'Key assumptions'!$B$112:$B$120,'Key assumptions'!$C$112:$C$120,0)</f>
        <v>Nominal</v>
      </c>
      <c r="FZ92" s="146" cm="1">
        <f t="array" ref="FZ92">IF($FY92=0,0,_xlfn.IFS($FY92='Key assumptions'!$C$120,_xlfn.XLOOKUP(LEFT(FZ$7,6),Inflation_Year,Inflation_NominaltoReal),TRUE,_xlfn.XLOOKUP($FY92,Inflation_Year,NominaltoReal)))</f>
        <v>1.0197075870962191</v>
      </c>
      <c r="GA92" s="146" cm="1">
        <f t="array" ref="GA92">IF($FY92=0,0,_xlfn.IFS($FY92='Key assumptions'!$C$120,_xlfn.XLOOKUP(LEFT(GA$7,6),Inflation_Year,Inflation_NominaltoReal),TRUE,_xlfn.XLOOKUP($FY92,Inflation_Year,NominaltoReal)))</f>
        <v>0.98700804022984445</v>
      </c>
      <c r="GB92" s="146" cm="1">
        <f t="array" ref="GB92">IF($FY92=0,0,_xlfn.IFS($FY92='Key assumptions'!$C$120,_xlfn.XLOOKUP(LEFT(GB$7,6),Inflation_Year,Inflation_NominaltoReal),TRUE,_xlfn.XLOOKUP($FY92,Inflation_Year,NominaltoReal)))</f>
        <v>0.96152830081941731</v>
      </c>
      <c r="GC92" s="146" cm="1">
        <f t="array" ref="GC92">IF($FY92=0,0,_xlfn.IFS($FY92='Key assumptions'!$C$120,_xlfn.XLOOKUP(LEFT(GC$7,6),Inflation_Year,Inflation_NominaltoReal),TRUE,_xlfn.XLOOKUP($FY92,Inflation_Year,NominaltoReal)))</f>
        <v>0.93670632415656829</v>
      </c>
      <c r="GD92" s="146" cm="1">
        <f t="array" ref="GD92">IF($FY92=0,0,_xlfn.IFS($FY92='Key assumptions'!$C$120,_xlfn.XLOOKUP(LEFT(GD$7,6),Inflation_Year,Inflation_NominaltoReal),TRUE,_xlfn.XLOOKUP($FY92,Inflation_Year,NominaltoReal)))</f>
        <v>0.91252513001143176</v>
      </c>
      <c r="GE92" s="146" cm="1">
        <f t="array" ref="GE92">IF($FY92=0,0,_xlfn.IFS($FY92='Key assumptions'!$C$120,_xlfn.XLOOKUP(LEFT(GE$7,6),Inflation_Year,Inflation_NominaltoReal),TRUE,_xlfn.XLOOKUP($FY92,Inflation_Year,NominaltoReal)))</f>
        <v>0.88896817650095872</v>
      </c>
      <c r="GF92" s="146" cm="1">
        <f t="array" ref="GF92">IF($FY92=0,0,_xlfn.IFS($FY92='Key assumptions'!$C$120,_xlfn.XLOOKUP(LEFT(GF$7,6),Inflation_Year,Inflation_NominaltoReal),TRUE,_xlfn.XLOOKUP($FY92,Inflation_Year,NominaltoReal)))</f>
        <v>0.86601934877293718</v>
      </c>
      <c r="GG92" s="143"/>
      <c r="GH92" s="145" cm="1">
        <f t="array" ref="GH92">SUMPRODUCT(--($CR$7:$FW$7&gt;=GH$5),--($CR$7:$FW$7&lt;=GH$6),$CR92:$FW92)*FZ92</f>
        <v>230016.96998267481</v>
      </c>
      <c r="GI92" s="145" cm="1">
        <f t="array" ref="GI92">SUMPRODUCT(--($CR$7:$FW$7&gt;=GI$5),--($CR$7:$FW$7&lt;=GI$6),$CR92:$FW92)*GA92</f>
        <v>539724.19521738833</v>
      </c>
      <c r="GJ92" s="145" cm="1">
        <f t="array" ref="GJ92">SUMPRODUCT(--($CR$7:$FW$7&gt;=GJ$5),--($CR$7:$FW$7&lt;=GJ$6),$CR92:$FW92)*GB92</f>
        <v>509943.87090618466</v>
      </c>
      <c r="GK92" s="145" cm="1">
        <f t="array" ref="GK92">SUMPRODUCT(--($CR$7:$FW$7&gt;=GK$5),--($CR$7:$FW$7&lt;=GK$6),$CR92:$FW92)*GC92</f>
        <v>0</v>
      </c>
      <c r="GL92" s="145" cm="1">
        <f t="array" ref="GL92">SUMPRODUCT(--($CR$7:$FW$7&gt;=GL$5),--($CR$7:$FW$7&lt;=GL$6),$CR92:$FW92)*GD92</f>
        <v>0</v>
      </c>
      <c r="GM92" s="145" cm="1">
        <f t="array" ref="GM92">SUMPRODUCT(--($CR$7:$FW$7&gt;=GM$5),--($CR$7:$FW$7&lt;=GM$6),$CR92:$FW92)*GE92</f>
        <v>0</v>
      </c>
      <c r="GN92" s="145" cm="1">
        <f t="array" ref="GN92">SUMPRODUCT(--($CR$7:$FW$7&gt;=GN$5),--($CR$7:$FW$7&lt;=GN$6),$CR92:$FW92)*GF92</f>
        <v>0</v>
      </c>
      <c r="GO92" s="145">
        <f t="shared" si="23"/>
        <v>1279685.0361062479</v>
      </c>
      <c r="GP92" s="87"/>
      <c r="GQ92" s="89"/>
      <c r="GR92" s="145" cm="1">
        <f t="array" ref="GR92">SUMPRODUCT(--($CR$7:$FW$7&gt;=GR$5),--($CR$7:$FW$7&lt;=GR$6),$CR92:$FW92)</f>
        <v>86361.66</v>
      </c>
      <c r="GS92" s="89"/>
      <c r="GT92" s="214" cm="1">
        <f t="array" ref="GT92">--AND(MIN(IF($K92:$CP92&lt;&gt;0,$K$7:$CP$7))&gt;=GT$5,MIN(IF($K92:$CP92&lt;&gt;0,$K$7:$CP$7))&lt;=GT$6)</f>
        <v>1</v>
      </c>
      <c r="GU92" s="214" cm="1">
        <f t="array" ref="GU92">--AND(MIN(IF($K92:$CP92&lt;&gt;0,$K$7:$CP$7))&gt;=GU$5,MIN(IF($K92:$CP92&lt;&gt;0,$K$7:$CP$7))&lt;=GU$6)</f>
        <v>0</v>
      </c>
      <c r="GV92" s="214" cm="1">
        <f t="array" ref="GV92">--AND(MIN(IF($K92:$CP92&lt;&gt;0,$K$7:$CP$7))&gt;=GV$5,MIN(IF($K92:$CP92&lt;&gt;0,$K$7:$CP$7))&lt;=GV$6)</f>
        <v>0</v>
      </c>
      <c r="GW92" s="214" cm="1">
        <f t="array" ref="GW92">--AND(MIN(IF($K92:$CP92&lt;&gt;0,$K$7:$CP$7))&gt;=GW$5,MIN(IF($K92:$CP92&lt;&gt;0,$K$7:$CP$7))&lt;=GW$6)</f>
        <v>0</v>
      </c>
      <c r="GX92" s="214" cm="1">
        <f t="array" ref="GX92">--AND(MIN(IF($K92:$CP92&lt;&gt;0,$K$7:$CP$7))&gt;=GX$5,MIN(IF($K92:$CP92&lt;&gt;0,$K$7:$CP$7))&lt;=GX$6)</f>
        <v>0</v>
      </c>
      <c r="GY92" s="214" cm="1">
        <f t="array" ref="GY92">--AND(MIN(IF($K92:$CP92&lt;&gt;0,$K$7:$CP$7))&gt;=GY$5,MIN(IF($K92:$CP92&lt;&gt;0,$K$7:$CP$7))&lt;=GY$6)</f>
        <v>0</v>
      </c>
      <c r="GZ92" s="214" cm="1">
        <f t="array" ref="GZ92">--AND(MIN(IF($K92:$CP92&lt;&gt;0,$K$7:$CP$7))&gt;=GZ$5,MIN(IF($K92:$CP92&lt;&gt;0,$K$7:$CP$7))&lt;=GZ$6)</f>
        <v>0</v>
      </c>
      <c r="HA92" s="214">
        <f t="shared" si="24"/>
        <v>1</v>
      </c>
      <c r="HC92" s="214" cm="1">
        <f t="array" ref="HC92">--AND(MIN(IF($K92:$CP92&lt;&gt;0,$K$7:$CP$7))&gt;=HC$5,MIN(IF($K92:$CP92&lt;&gt;0,$K$7:$CP$7))&lt;=HC$6)</f>
        <v>1</v>
      </c>
      <c r="HE92" s="147" t="str">
        <f t="shared" si="43"/>
        <v>No</v>
      </c>
      <c r="HF92" s="147" t="str">
        <f t="shared" si="44"/>
        <v>Yes</v>
      </c>
      <c r="HG92" s="147">
        <f>IF($HF92="Yes",0,$H92*avg_hrs*12*'Key assumptions'!$D$87)</f>
        <v>0</v>
      </c>
      <c r="HH92" s="147">
        <f>IF(HE92="Yes",'Key assumptions'!$D$84*HG92,0)</f>
        <v>0</v>
      </c>
      <c r="HI92" s="144">
        <f>IFERROR(AVERAGEIFS($K92:$CP92,$K$7:$CP$7,"&gt;="&amp;'Key assumptions'!$D$24,$K$7:$CP$7,"&lt;="&amp;'Key assumptions'!$D$25),0)</f>
        <v>0.50487012987012969</v>
      </c>
      <c r="HJ92" s="148">
        <f t="shared" si="25"/>
        <v>0</v>
      </c>
      <c r="HK92" s="148">
        <f t="shared" si="26"/>
        <v>0</v>
      </c>
      <c r="HL92" s="148">
        <f t="shared" si="27"/>
        <v>0</v>
      </c>
      <c r="HM92" s="148">
        <f t="shared" si="28"/>
        <v>0</v>
      </c>
      <c r="HN92" s="148">
        <f t="shared" si="29"/>
        <v>0</v>
      </c>
      <c r="HO92" s="148">
        <f t="shared" si="30"/>
        <v>0</v>
      </c>
      <c r="HP92" s="148">
        <f t="shared" si="31"/>
        <v>0</v>
      </c>
      <c r="HQ92" s="148">
        <f t="shared" si="32"/>
        <v>0</v>
      </c>
      <c r="HR92" s="147">
        <f t="shared" si="33"/>
        <v>0</v>
      </c>
      <c r="HU92" s="147">
        <f>$HJ92*HC92/(1+'Key assumptions'!G114)^0.75</f>
        <v>0</v>
      </c>
      <c r="HW92" s="216">
        <f t="shared" si="34"/>
        <v>0.50487012987012969</v>
      </c>
      <c r="HX92" s="216">
        <f t="shared" si="35"/>
        <v>0</v>
      </c>
      <c r="HY92" s="216">
        <f t="shared" si="36"/>
        <v>0</v>
      </c>
      <c r="HZ92" s="216">
        <f t="shared" si="37"/>
        <v>0</v>
      </c>
      <c r="IA92" s="216">
        <f t="shared" si="38"/>
        <v>0</v>
      </c>
      <c r="IB92" s="216">
        <f t="shared" si="39"/>
        <v>0</v>
      </c>
      <c r="IC92" s="216">
        <f t="shared" si="40"/>
        <v>0</v>
      </c>
      <c r="ID92" s="216">
        <f t="shared" si="41"/>
        <v>0.50487012987012969</v>
      </c>
      <c r="IF92" s="216">
        <f t="shared" si="42"/>
        <v>0.50487012987012969</v>
      </c>
    </row>
    <row r="93" spans="2:240" x14ac:dyDescent="0.2">
      <c r="B93" s="141" t="str">
        <v>Project Delivery Management - Construction Management</v>
      </c>
      <c r="C93" s="141" t="str">
        <v>Safety Officer (Safety and Environmental Delivery)</v>
      </c>
      <c r="D93" s="141" t="str">
        <v>Internal Labour</v>
      </c>
      <c r="E93" s="141" t="str">
        <v>$ Nominal</v>
      </c>
      <c r="F93" s="141" t="str">
        <v>Existing</v>
      </c>
      <c r="G93" s="141" t="str">
        <v>Normal time</v>
      </c>
      <c r="H93" s="142">
        <v>205.24</v>
      </c>
      <c r="I93" s="126">
        <v>149940.85400000005</v>
      </c>
      <c r="J93" s="143">
        <v>0</v>
      </c>
      <c r="K93" s="144">
        <v>0</v>
      </c>
      <c r="L93" s="144">
        <v>0</v>
      </c>
      <c r="M93" s="144">
        <v>0</v>
      </c>
      <c r="N93" s="144">
        <v>0</v>
      </c>
      <c r="O93" s="144">
        <v>0</v>
      </c>
      <c r="P93" s="144">
        <v>0</v>
      </c>
      <c r="Q93" s="144">
        <v>0</v>
      </c>
      <c r="R93" s="144">
        <v>0</v>
      </c>
      <c r="S93" s="144">
        <v>0</v>
      </c>
      <c r="T93" s="144">
        <v>0</v>
      </c>
      <c r="U93" s="144">
        <v>0</v>
      </c>
      <c r="V93" s="144">
        <v>0</v>
      </c>
      <c r="W93" s="144">
        <v>0</v>
      </c>
      <c r="X93" s="144">
        <v>0</v>
      </c>
      <c r="Y93" s="144">
        <v>0.1</v>
      </c>
      <c r="Z93" s="144">
        <v>0.13333333333333333</v>
      </c>
      <c r="AA93" s="144">
        <v>0.15657894736842107</v>
      </c>
      <c r="AB93" s="144">
        <v>0.16578947368421051</v>
      </c>
      <c r="AC93" s="144">
        <v>0.19</v>
      </c>
      <c r="AD93" s="144">
        <v>0.15</v>
      </c>
      <c r="AE93" s="144">
        <v>0.18</v>
      </c>
      <c r="AF93" s="144">
        <v>0.18</v>
      </c>
      <c r="AG93" s="144">
        <v>0.17</v>
      </c>
      <c r="AH93" s="144">
        <v>0.16</v>
      </c>
      <c r="AI93" s="144">
        <v>0.3066666666666667</v>
      </c>
      <c r="AJ93" s="144">
        <v>0.16</v>
      </c>
      <c r="AK93" s="144">
        <v>0.16</v>
      </c>
      <c r="AL93" s="144">
        <v>0.25333333333333335</v>
      </c>
      <c r="AM93" s="144">
        <v>0.16578947368421051</v>
      </c>
      <c r="AN93" s="144">
        <v>0.15657894736842107</v>
      </c>
      <c r="AO93" s="144">
        <v>0.18</v>
      </c>
      <c r="AP93" s="144">
        <v>0.17</v>
      </c>
      <c r="AQ93" s="144">
        <v>0.18</v>
      </c>
      <c r="AR93" s="144">
        <v>0.18</v>
      </c>
      <c r="AS93" s="144">
        <v>0.17</v>
      </c>
      <c r="AT93" s="144">
        <v>0.21333333333333332</v>
      </c>
      <c r="AU93" s="144">
        <v>0.25333333333333335</v>
      </c>
      <c r="AV93" s="144">
        <v>0.16</v>
      </c>
      <c r="AW93" s="144">
        <v>0.19</v>
      </c>
      <c r="AX93" s="144">
        <v>0.21333333333333332</v>
      </c>
      <c r="AY93" s="144">
        <v>0.17500000000000002</v>
      </c>
      <c r="AZ93" s="144">
        <v>0.17500000000000002</v>
      </c>
      <c r="BA93" s="144">
        <v>0.16</v>
      </c>
      <c r="BB93" s="144">
        <v>0.18</v>
      </c>
      <c r="BC93" s="144">
        <v>0</v>
      </c>
      <c r="BD93" s="144">
        <v>0</v>
      </c>
      <c r="BE93" s="144">
        <v>0</v>
      </c>
      <c r="BF93" s="144">
        <v>0</v>
      </c>
      <c r="BG93" s="144">
        <v>0</v>
      </c>
      <c r="BH93" s="144">
        <v>0</v>
      </c>
      <c r="BI93" s="144">
        <v>0</v>
      </c>
      <c r="BJ93" s="144">
        <v>0</v>
      </c>
      <c r="BK93" s="144">
        <v>0</v>
      </c>
      <c r="BL93" s="144">
        <v>0</v>
      </c>
      <c r="BM93" s="144">
        <v>0</v>
      </c>
      <c r="BN93" s="144">
        <v>0</v>
      </c>
      <c r="BO93" s="144">
        <v>0</v>
      </c>
      <c r="BP93" s="144">
        <v>0</v>
      </c>
      <c r="BQ93" s="144">
        <v>0</v>
      </c>
      <c r="BR93" s="144">
        <v>0</v>
      </c>
      <c r="BS93" s="144">
        <v>0</v>
      </c>
      <c r="BT93" s="144">
        <v>0</v>
      </c>
      <c r="BU93" s="144">
        <v>0</v>
      </c>
      <c r="BV93" s="144">
        <v>0</v>
      </c>
      <c r="BW93" s="144">
        <v>0</v>
      </c>
      <c r="BX93" s="144">
        <v>0</v>
      </c>
      <c r="BY93" s="144">
        <v>0</v>
      </c>
      <c r="BZ93" s="144">
        <v>0</v>
      </c>
      <c r="CA93" s="144">
        <v>0</v>
      </c>
      <c r="CB93" s="144">
        <v>0</v>
      </c>
      <c r="CC93" s="144">
        <v>0</v>
      </c>
      <c r="CD93" s="144">
        <v>0</v>
      </c>
      <c r="CE93" s="144">
        <v>0</v>
      </c>
      <c r="CF93" s="144">
        <v>0</v>
      </c>
      <c r="CG93" s="144">
        <v>0</v>
      </c>
      <c r="CH93" s="144">
        <v>0</v>
      </c>
      <c r="CI93" s="144">
        <v>0</v>
      </c>
      <c r="CJ93" s="144">
        <v>0</v>
      </c>
      <c r="CK93" s="144">
        <v>0</v>
      </c>
      <c r="CL93" s="144">
        <v>0</v>
      </c>
      <c r="CM93" s="144">
        <v>0</v>
      </c>
      <c r="CN93" s="144">
        <v>0</v>
      </c>
      <c r="CO93" s="144">
        <v>0</v>
      </c>
      <c r="CP93" s="144">
        <v>0</v>
      </c>
      <c r="CQ93" s="143">
        <v>0</v>
      </c>
      <c r="CR93" s="145">
        <v>0</v>
      </c>
      <c r="CS93" s="145">
        <v>0</v>
      </c>
      <c r="CT93" s="145">
        <v>0</v>
      </c>
      <c r="CU93" s="145">
        <v>0</v>
      </c>
      <c r="CV93" s="145">
        <v>0</v>
      </c>
      <c r="CW93" s="145">
        <v>0</v>
      </c>
      <c r="CX93" s="145">
        <v>0</v>
      </c>
      <c r="CY93" s="145">
        <v>0</v>
      </c>
      <c r="CZ93" s="145">
        <v>0</v>
      </c>
      <c r="DA93" s="145">
        <v>0</v>
      </c>
      <c r="DB93" s="145">
        <v>0</v>
      </c>
      <c r="DC93" s="145">
        <v>0</v>
      </c>
      <c r="DD93" s="145">
        <v>0</v>
      </c>
      <c r="DE93" s="145">
        <v>0</v>
      </c>
      <c r="DF93" s="145">
        <v>2873.36</v>
      </c>
      <c r="DG93" s="145">
        <v>2873.36</v>
      </c>
      <c r="DH93" s="145">
        <v>4884.7120000000004</v>
      </c>
      <c r="DI93" s="145">
        <v>5172.0479999999998</v>
      </c>
      <c r="DJ93" s="145">
        <v>5459.3840000000009</v>
      </c>
      <c r="DK93" s="145">
        <v>4310.04</v>
      </c>
      <c r="DL93" s="145">
        <v>5172.0479999999998</v>
      </c>
      <c r="DM93" s="145">
        <v>5172.0479999999998</v>
      </c>
      <c r="DN93" s="145">
        <v>4884.7120000000004</v>
      </c>
      <c r="DO93" s="145">
        <v>3448.0320000000002</v>
      </c>
      <c r="DP93" s="145">
        <v>6608.728000000001</v>
      </c>
      <c r="DQ93" s="145">
        <v>4597.3760000000002</v>
      </c>
      <c r="DR93" s="145">
        <v>4735.5839999999998</v>
      </c>
      <c r="DS93" s="145">
        <v>5623.5060000000003</v>
      </c>
      <c r="DT93" s="145">
        <v>5327.5320000000002</v>
      </c>
      <c r="DU93" s="145">
        <v>5031.558</v>
      </c>
      <c r="DV93" s="145">
        <v>5327.5320000000002</v>
      </c>
      <c r="DW93" s="145">
        <v>5031.558</v>
      </c>
      <c r="DX93" s="145">
        <v>5327.5320000000002</v>
      </c>
      <c r="DY93" s="145">
        <v>5327.5320000000002</v>
      </c>
      <c r="DZ93" s="145">
        <v>5031.558</v>
      </c>
      <c r="EA93" s="145">
        <v>4735.5839999999998</v>
      </c>
      <c r="EB93" s="145">
        <v>5623.5060000000003</v>
      </c>
      <c r="EC93" s="145">
        <v>4735.5839999999998</v>
      </c>
      <c r="ED93" s="145">
        <v>5793.4800000000005</v>
      </c>
      <c r="EE93" s="145">
        <v>4878.72</v>
      </c>
      <c r="EF93" s="145">
        <v>5793.4800000000005</v>
      </c>
      <c r="EG93" s="145">
        <v>5793.4800000000005</v>
      </c>
      <c r="EH93" s="145">
        <v>4878.72</v>
      </c>
      <c r="EI93" s="145">
        <v>5488.56</v>
      </c>
      <c r="EJ93" s="145">
        <v>0</v>
      </c>
      <c r="EK93" s="145">
        <v>0</v>
      </c>
      <c r="EL93" s="145">
        <v>0</v>
      </c>
      <c r="EM93" s="145">
        <v>0</v>
      </c>
      <c r="EN93" s="145">
        <v>0</v>
      </c>
      <c r="EO93" s="145">
        <v>0</v>
      </c>
      <c r="EP93" s="145">
        <v>0</v>
      </c>
      <c r="EQ93" s="145">
        <v>0</v>
      </c>
      <c r="ER93" s="145">
        <v>0</v>
      </c>
      <c r="ES93" s="145">
        <v>0</v>
      </c>
      <c r="ET93" s="145">
        <v>0</v>
      </c>
      <c r="EU93" s="145">
        <v>0</v>
      </c>
      <c r="EV93" s="145">
        <v>0</v>
      </c>
      <c r="EW93" s="145">
        <v>0</v>
      </c>
      <c r="EX93" s="145">
        <v>0</v>
      </c>
      <c r="EY93" s="145">
        <v>0</v>
      </c>
      <c r="EZ93" s="145">
        <v>0</v>
      </c>
      <c r="FA93" s="145">
        <v>0</v>
      </c>
      <c r="FB93" s="145">
        <v>0</v>
      </c>
      <c r="FC93" s="145">
        <v>0</v>
      </c>
      <c r="FD93" s="145">
        <v>0</v>
      </c>
      <c r="FE93" s="145">
        <v>0</v>
      </c>
      <c r="FF93" s="145">
        <v>0</v>
      </c>
      <c r="FG93" s="145">
        <v>0</v>
      </c>
      <c r="FH93" s="145">
        <v>0</v>
      </c>
      <c r="FI93" s="145">
        <v>0</v>
      </c>
      <c r="FJ93" s="145">
        <v>0</v>
      </c>
      <c r="FK93" s="145">
        <v>0</v>
      </c>
      <c r="FL93" s="145">
        <v>0</v>
      </c>
      <c r="FM93" s="145">
        <v>0</v>
      </c>
      <c r="FN93" s="145">
        <v>0</v>
      </c>
      <c r="FO93" s="145">
        <v>0</v>
      </c>
      <c r="FP93" s="145">
        <v>0</v>
      </c>
      <c r="FQ93" s="145">
        <v>0</v>
      </c>
      <c r="FR93" s="145">
        <v>0</v>
      </c>
      <c r="FS93" s="145">
        <v>0</v>
      </c>
      <c r="FT93" s="145">
        <v>0</v>
      </c>
      <c r="FU93" s="145">
        <v>0</v>
      </c>
      <c r="FV93" s="145">
        <v>0</v>
      </c>
      <c r="FW93" s="145">
        <v>0</v>
      </c>
      <c r="FX93" s="143"/>
      <c r="FY93" s="146" t="str">
        <f>_xlfn.XLOOKUP($E93,'Key assumptions'!$B$112:$B$120,'Key assumptions'!$C$112:$C$120,0)</f>
        <v>Nominal</v>
      </c>
      <c r="FZ93" s="146" cm="1">
        <f t="array" ref="FZ93">IF($FY93=0,0,_xlfn.IFS($FY93='Key assumptions'!$C$120,_xlfn.XLOOKUP(LEFT(FZ$7,6),Inflation_Year,Inflation_NominaltoReal),TRUE,_xlfn.XLOOKUP($FY93,Inflation_Year,NominaltoReal)))</f>
        <v>1.0197075870962191</v>
      </c>
      <c r="GA93" s="146" cm="1">
        <f t="array" ref="GA93">IF($FY93=0,0,_xlfn.IFS($FY93='Key assumptions'!$C$120,_xlfn.XLOOKUP(LEFT(GA$7,6),Inflation_Year,Inflation_NominaltoReal),TRUE,_xlfn.XLOOKUP($FY93,Inflation_Year,NominaltoReal)))</f>
        <v>0.98700804022984445</v>
      </c>
      <c r="GB93" s="146" cm="1">
        <f t="array" ref="GB93">IF($FY93=0,0,_xlfn.IFS($FY93='Key assumptions'!$C$120,_xlfn.XLOOKUP(LEFT(GB$7,6),Inflation_Year,Inflation_NominaltoReal),TRUE,_xlfn.XLOOKUP($FY93,Inflation_Year,NominaltoReal)))</f>
        <v>0.96152830081941731</v>
      </c>
      <c r="GC93" s="146" cm="1">
        <f t="array" ref="GC93">IF($FY93=0,0,_xlfn.IFS($FY93='Key assumptions'!$C$120,_xlfn.XLOOKUP(LEFT(GC$7,6),Inflation_Year,Inflation_NominaltoReal),TRUE,_xlfn.XLOOKUP($FY93,Inflation_Year,NominaltoReal)))</f>
        <v>0.93670632415656829</v>
      </c>
      <c r="GD93" s="146" cm="1">
        <f t="array" ref="GD93">IF($FY93=0,0,_xlfn.IFS($FY93='Key assumptions'!$C$120,_xlfn.XLOOKUP(LEFT(GD$7,6),Inflation_Year,Inflation_NominaltoReal),TRUE,_xlfn.XLOOKUP($FY93,Inflation_Year,NominaltoReal)))</f>
        <v>0.91252513001143176</v>
      </c>
      <c r="GE93" s="146" cm="1">
        <f t="array" ref="GE93">IF($FY93=0,0,_xlfn.IFS($FY93='Key assumptions'!$C$120,_xlfn.XLOOKUP(LEFT(GE$7,6),Inflation_Year,Inflation_NominaltoReal),TRUE,_xlfn.XLOOKUP($FY93,Inflation_Year,NominaltoReal)))</f>
        <v>0.88896817650095872</v>
      </c>
      <c r="GF93" s="146" cm="1">
        <f t="array" ref="GF93">IF($FY93=0,0,_xlfn.IFS($FY93='Key assumptions'!$C$120,_xlfn.XLOOKUP(LEFT(GF$7,6),Inflation_Year,Inflation_NominaltoReal),TRUE,_xlfn.XLOOKUP($FY93,Inflation_Year,NominaltoReal)))</f>
        <v>0.86601934877293718</v>
      </c>
      <c r="GG93" s="143"/>
      <c r="GH93" s="145" cm="1">
        <f t="array" ref="GH93">SUMPRODUCT(--($CR$7:$FW$7&gt;=GH$5),--($CR$7:$FW$7&lt;=GH$6),$CR93:$FW93)*FZ93</f>
        <v>31350.860819309077</v>
      </c>
      <c r="GI93" s="145" cm="1">
        <f t="array" ref="GI93">SUMPRODUCT(--($CR$7:$FW$7&gt;=GI$5),--($CR$7:$FW$7&lt;=GI$6),$CR93:$FW93)*GA93</f>
        <v>60321.685310259018</v>
      </c>
      <c r="GJ93" s="145" cm="1">
        <f t="array" ref="GJ93">SUMPRODUCT(--($CR$7:$FW$7&gt;=GJ$5),--($CR$7:$FW$7&lt;=GJ$6),$CR93:$FW93)*GB93</f>
        <v>55845.759863365129</v>
      </c>
      <c r="GK93" s="145" cm="1">
        <f t="array" ref="GK93">SUMPRODUCT(--($CR$7:$FW$7&gt;=GK$5),--($CR$7:$FW$7&lt;=GK$6),$CR93:$FW93)*GC93</f>
        <v>0</v>
      </c>
      <c r="GL93" s="145" cm="1">
        <f t="array" ref="GL93">SUMPRODUCT(--($CR$7:$FW$7&gt;=GL$5),--($CR$7:$FW$7&lt;=GL$6),$CR93:$FW93)*GD93</f>
        <v>0</v>
      </c>
      <c r="GM93" s="145" cm="1">
        <f t="array" ref="GM93">SUMPRODUCT(--($CR$7:$FW$7&gt;=GM$5),--($CR$7:$FW$7&lt;=GM$6),$CR93:$FW93)*GE93</f>
        <v>0</v>
      </c>
      <c r="GN93" s="145" cm="1">
        <f t="array" ref="GN93">SUMPRODUCT(--($CR$7:$FW$7&gt;=GN$5),--($CR$7:$FW$7&lt;=GN$6),$CR93:$FW93)*GF93</f>
        <v>0</v>
      </c>
      <c r="GO93" s="145">
        <f t="shared" si="23"/>
        <v>147518.30599293322</v>
      </c>
      <c r="GP93" s="87"/>
      <c r="GQ93" s="89"/>
      <c r="GR93" s="145" cm="1">
        <f t="array" ref="GR93">SUMPRODUCT(--($CR$7:$FW$7&gt;=GR$5),--($CR$7:$FW$7&lt;=GR$6),$CR93:$FW93)</f>
        <v>15803.48</v>
      </c>
      <c r="GS93" s="89"/>
      <c r="GT93" s="214" cm="1">
        <f t="array" ref="GT93">--AND(MIN(IF($K93:$CP93&lt;&gt;0,$K$7:$CP$7))&gt;=GT$5,MIN(IF($K93:$CP93&lt;&gt;0,$K$7:$CP$7))&lt;=GT$6)</f>
        <v>1</v>
      </c>
      <c r="GU93" s="214" cm="1">
        <f t="array" ref="GU93">--AND(MIN(IF($K93:$CP93&lt;&gt;0,$K$7:$CP$7))&gt;=GU$5,MIN(IF($K93:$CP93&lt;&gt;0,$K$7:$CP$7))&lt;=GU$6)</f>
        <v>0</v>
      </c>
      <c r="GV93" s="214" cm="1">
        <f t="array" ref="GV93">--AND(MIN(IF($K93:$CP93&lt;&gt;0,$K$7:$CP$7))&gt;=GV$5,MIN(IF($K93:$CP93&lt;&gt;0,$K$7:$CP$7))&lt;=GV$6)</f>
        <v>0</v>
      </c>
      <c r="GW93" s="214" cm="1">
        <f t="array" ref="GW93">--AND(MIN(IF($K93:$CP93&lt;&gt;0,$K$7:$CP$7))&gt;=GW$5,MIN(IF($K93:$CP93&lt;&gt;0,$K$7:$CP$7))&lt;=GW$6)</f>
        <v>0</v>
      </c>
      <c r="GX93" s="214" cm="1">
        <f t="array" ref="GX93">--AND(MIN(IF($K93:$CP93&lt;&gt;0,$K$7:$CP$7))&gt;=GX$5,MIN(IF($K93:$CP93&lt;&gt;0,$K$7:$CP$7))&lt;=GX$6)</f>
        <v>0</v>
      </c>
      <c r="GY93" s="214" cm="1">
        <f t="array" ref="GY93">--AND(MIN(IF($K93:$CP93&lt;&gt;0,$K$7:$CP$7))&gt;=GY$5,MIN(IF($K93:$CP93&lt;&gt;0,$K$7:$CP$7))&lt;=GY$6)</f>
        <v>0</v>
      </c>
      <c r="GZ93" s="214" cm="1">
        <f t="array" ref="GZ93">--AND(MIN(IF($K93:$CP93&lt;&gt;0,$K$7:$CP$7))&gt;=GZ$5,MIN(IF($K93:$CP93&lt;&gt;0,$K$7:$CP$7))&lt;=GZ$6)</f>
        <v>0</v>
      </c>
      <c r="HA93" s="214">
        <f t="shared" si="24"/>
        <v>1</v>
      </c>
      <c r="HC93" s="214" cm="1">
        <f t="array" ref="HC93">--AND(MIN(IF($K93:$CP93&lt;&gt;0,$K$7:$CP$7))&gt;=HC$5,MIN(IF($K93:$CP93&lt;&gt;0,$K$7:$CP$7))&lt;=HC$6)</f>
        <v>1</v>
      </c>
      <c r="HE93" s="147" t="str">
        <f t="shared" si="43"/>
        <v>No</v>
      </c>
      <c r="HF93" s="147" t="str">
        <f t="shared" si="44"/>
        <v>No</v>
      </c>
      <c r="HG93" s="147">
        <f>IF($HF93="Yes",0,$H93*avg_hrs*12*'Key assumptions'!$D$87)</f>
        <v>367024.33151015785</v>
      </c>
      <c r="HH93" s="147">
        <f>IF(HE93="Yes",'Key assumptions'!$D$84*HG93,0)</f>
        <v>0</v>
      </c>
      <c r="HI93" s="144">
        <f>IFERROR(AVERAGEIFS($K93:$CP93,$K$7:$CP$7,"&gt;="&amp;'Key assumptions'!$D$24,$K$7:$CP$7,"&lt;="&amp;'Key assumptions'!$D$25),0)</f>
        <v>0.12245614035087721</v>
      </c>
      <c r="HJ93" s="148">
        <f t="shared" si="25"/>
        <v>0</v>
      </c>
      <c r="HK93" s="148">
        <f t="shared" si="26"/>
        <v>0</v>
      </c>
      <c r="HL93" s="148">
        <f t="shared" si="27"/>
        <v>0</v>
      </c>
      <c r="HM93" s="148">
        <f t="shared" si="28"/>
        <v>0</v>
      </c>
      <c r="HN93" s="148">
        <f t="shared" si="29"/>
        <v>0</v>
      </c>
      <c r="HO93" s="148">
        <f t="shared" si="30"/>
        <v>0</v>
      </c>
      <c r="HP93" s="148">
        <f t="shared" si="31"/>
        <v>0</v>
      </c>
      <c r="HQ93" s="148">
        <f t="shared" si="32"/>
        <v>0</v>
      </c>
      <c r="HR93" s="147">
        <f t="shared" si="33"/>
        <v>0</v>
      </c>
      <c r="HU93" s="147">
        <f>$HJ93*HC93/(1+'Key assumptions'!G115)^0.75</f>
        <v>0</v>
      </c>
      <c r="HW93" s="216">
        <f t="shared" si="34"/>
        <v>0.12245614035087721</v>
      </c>
      <c r="HX93" s="216">
        <f t="shared" si="35"/>
        <v>0</v>
      </c>
      <c r="HY93" s="216">
        <f t="shared" si="36"/>
        <v>0</v>
      </c>
      <c r="HZ93" s="216">
        <f t="shared" si="37"/>
        <v>0</v>
      </c>
      <c r="IA93" s="216">
        <f t="shared" si="38"/>
        <v>0</v>
      </c>
      <c r="IB93" s="216">
        <f t="shared" si="39"/>
        <v>0</v>
      </c>
      <c r="IC93" s="216">
        <f t="shared" si="40"/>
        <v>0</v>
      </c>
      <c r="ID93" s="216">
        <f t="shared" si="41"/>
        <v>0.12245614035087721</v>
      </c>
      <c r="IF93" s="216">
        <f t="shared" si="42"/>
        <v>0.12245614035087721</v>
      </c>
    </row>
    <row r="94" spans="2:240" x14ac:dyDescent="0.2">
      <c r="B94" s="141" t="str">
        <v>Project Delivery Management - Construction Management</v>
      </c>
      <c r="C94" s="141" t="str">
        <v>Safety Officer (Safety and Environmental Delivery)</v>
      </c>
      <c r="D94" s="141" t="str">
        <v>Internal Labour</v>
      </c>
      <c r="E94" s="141" t="str">
        <v>$ Nominal</v>
      </c>
      <c r="F94" s="141">
        <v>0</v>
      </c>
      <c r="G94" s="141" t="str">
        <v>Overtime</v>
      </c>
      <c r="H94" s="142">
        <v>205.24</v>
      </c>
      <c r="I94" s="126">
        <v>248979.41399999996</v>
      </c>
      <c r="J94" s="143">
        <v>0</v>
      </c>
      <c r="K94" s="144">
        <v>0</v>
      </c>
      <c r="L94" s="144">
        <v>0</v>
      </c>
      <c r="M94" s="144">
        <v>0</v>
      </c>
      <c r="N94" s="144">
        <v>0</v>
      </c>
      <c r="O94" s="144">
        <v>0</v>
      </c>
      <c r="P94" s="144">
        <v>0</v>
      </c>
      <c r="Q94" s="144">
        <v>0</v>
      </c>
      <c r="R94" s="144">
        <v>0</v>
      </c>
      <c r="S94" s="144">
        <v>0</v>
      </c>
      <c r="T94" s="144">
        <v>0</v>
      </c>
      <c r="U94" s="144">
        <v>0</v>
      </c>
      <c r="V94" s="144">
        <v>0</v>
      </c>
      <c r="W94" s="144">
        <v>0</v>
      </c>
      <c r="X94" s="144">
        <v>0</v>
      </c>
      <c r="Y94" s="144">
        <v>0</v>
      </c>
      <c r="Z94" s="144">
        <v>0</v>
      </c>
      <c r="AA94" s="144">
        <v>0.13026315789473686</v>
      </c>
      <c r="AB94" s="144">
        <v>0.13421052631578947</v>
      </c>
      <c r="AC94" s="144">
        <v>0.1842857142857143</v>
      </c>
      <c r="AD94" s="144">
        <v>0.13285714285714287</v>
      </c>
      <c r="AE94" s="144">
        <v>0.14571428571428571</v>
      </c>
      <c r="AF94" s="144">
        <v>0.14571428571428571</v>
      </c>
      <c r="AG94" s="144">
        <v>0.14142857142857143</v>
      </c>
      <c r="AH94" s="144">
        <v>0.16</v>
      </c>
      <c r="AI94" s="144">
        <v>0.26857142857142857</v>
      </c>
      <c r="AJ94" s="144">
        <v>0.13714285714285715</v>
      </c>
      <c r="AK94" s="144">
        <v>0.13714285714285715</v>
      </c>
      <c r="AL94" s="144">
        <v>0.2</v>
      </c>
      <c r="AM94" s="144">
        <v>0.15</v>
      </c>
      <c r="AN94" s="144">
        <v>0.14605263157894735</v>
      </c>
      <c r="AO94" s="144">
        <v>0.14571428571428571</v>
      </c>
      <c r="AP94" s="144">
        <v>0.14142857142857143</v>
      </c>
      <c r="AQ94" s="144">
        <v>0.14571428571428571</v>
      </c>
      <c r="AR94" s="144">
        <v>0.14571428571428571</v>
      </c>
      <c r="AS94" s="144">
        <v>0.17571428571428571</v>
      </c>
      <c r="AT94" s="144">
        <v>0.13714285714285715</v>
      </c>
      <c r="AU94" s="144">
        <v>0.24571428571428572</v>
      </c>
      <c r="AV94" s="144">
        <v>0.13714285714285715</v>
      </c>
      <c r="AW94" s="144">
        <v>0.15</v>
      </c>
      <c r="AX94" s="144">
        <v>0.18285714285714286</v>
      </c>
      <c r="AY94" s="144">
        <v>0.16973684210526316</v>
      </c>
      <c r="AZ94" s="144">
        <v>0.16973684210526316</v>
      </c>
      <c r="BA94" s="144">
        <v>0.13714285714285715</v>
      </c>
      <c r="BB94" s="144">
        <v>0.14571428571428571</v>
      </c>
      <c r="BC94" s="144">
        <v>0</v>
      </c>
      <c r="BD94" s="144">
        <v>0</v>
      </c>
      <c r="BE94" s="144">
        <v>0</v>
      </c>
      <c r="BF94" s="144">
        <v>0</v>
      </c>
      <c r="BG94" s="144">
        <v>0</v>
      </c>
      <c r="BH94" s="144">
        <v>0</v>
      </c>
      <c r="BI94" s="144">
        <v>0</v>
      </c>
      <c r="BJ94" s="144">
        <v>0</v>
      </c>
      <c r="BK94" s="144">
        <v>0</v>
      </c>
      <c r="BL94" s="144">
        <v>0</v>
      </c>
      <c r="BM94" s="144">
        <v>0</v>
      </c>
      <c r="BN94" s="144">
        <v>0</v>
      </c>
      <c r="BO94" s="144">
        <v>0</v>
      </c>
      <c r="BP94" s="144">
        <v>0</v>
      </c>
      <c r="BQ94" s="144">
        <v>0</v>
      </c>
      <c r="BR94" s="144">
        <v>0</v>
      </c>
      <c r="BS94" s="144">
        <v>0</v>
      </c>
      <c r="BT94" s="144">
        <v>0</v>
      </c>
      <c r="BU94" s="144">
        <v>0</v>
      </c>
      <c r="BV94" s="144">
        <v>0</v>
      </c>
      <c r="BW94" s="144">
        <v>0</v>
      </c>
      <c r="BX94" s="144">
        <v>0</v>
      </c>
      <c r="BY94" s="144">
        <v>0</v>
      </c>
      <c r="BZ94" s="144">
        <v>0</v>
      </c>
      <c r="CA94" s="144">
        <v>0</v>
      </c>
      <c r="CB94" s="144">
        <v>0</v>
      </c>
      <c r="CC94" s="144">
        <v>0</v>
      </c>
      <c r="CD94" s="144">
        <v>0</v>
      </c>
      <c r="CE94" s="144">
        <v>0</v>
      </c>
      <c r="CF94" s="144">
        <v>0</v>
      </c>
      <c r="CG94" s="144">
        <v>0</v>
      </c>
      <c r="CH94" s="144">
        <v>0</v>
      </c>
      <c r="CI94" s="144">
        <v>0</v>
      </c>
      <c r="CJ94" s="144">
        <v>0</v>
      </c>
      <c r="CK94" s="144">
        <v>0</v>
      </c>
      <c r="CL94" s="144">
        <v>0</v>
      </c>
      <c r="CM94" s="144">
        <v>0</v>
      </c>
      <c r="CN94" s="144">
        <v>0</v>
      </c>
      <c r="CO94" s="144">
        <v>0</v>
      </c>
      <c r="CP94" s="144">
        <v>0</v>
      </c>
      <c r="CQ94" s="143">
        <v>0</v>
      </c>
      <c r="CR94" s="145">
        <v>0</v>
      </c>
      <c r="CS94" s="145">
        <v>0</v>
      </c>
      <c r="CT94" s="145">
        <v>0</v>
      </c>
      <c r="CU94" s="145">
        <v>0</v>
      </c>
      <c r="CV94" s="145">
        <v>0</v>
      </c>
      <c r="CW94" s="145">
        <v>0</v>
      </c>
      <c r="CX94" s="145">
        <v>0</v>
      </c>
      <c r="CY94" s="145">
        <v>0</v>
      </c>
      <c r="CZ94" s="145">
        <v>0</v>
      </c>
      <c r="DA94" s="145">
        <v>0</v>
      </c>
      <c r="DB94" s="145">
        <v>0</v>
      </c>
      <c r="DC94" s="145">
        <v>0</v>
      </c>
      <c r="DD94" s="145">
        <v>0</v>
      </c>
      <c r="DE94" s="145">
        <v>0</v>
      </c>
      <c r="DF94" s="145">
        <v>0</v>
      </c>
      <c r="DG94" s="145">
        <v>0</v>
      </c>
      <c r="DH94" s="145">
        <v>8127.5040000000008</v>
      </c>
      <c r="DI94" s="145">
        <v>8373.7919999999995</v>
      </c>
      <c r="DJ94" s="145">
        <v>10590.384</v>
      </c>
      <c r="DK94" s="145">
        <v>7634.9280000000008</v>
      </c>
      <c r="DL94" s="145">
        <v>8373.7919999999995</v>
      </c>
      <c r="DM94" s="145">
        <v>8373.7919999999995</v>
      </c>
      <c r="DN94" s="145">
        <v>8127.5040000000008</v>
      </c>
      <c r="DO94" s="145">
        <v>6896.0640000000003</v>
      </c>
      <c r="DP94" s="145">
        <v>11575.536</v>
      </c>
      <c r="DQ94" s="145">
        <v>7881.2160000000003</v>
      </c>
      <c r="DR94" s="145">
        <v>8117.9519999999993</v>
      </c>
      <c r="DS94" s="145">
        <v>8879.01</v>
      </c>
      <c r="DT94" s="145">
        <v>9640.0680000000011</v>
      </c>
      <c r="DU94" s="145">
        <v>9386.3819999999996</v>
      </c>
      <c r="DV94" s="145">
        <v>8625.3239999999987</v>
      </c>
      <c r="DW94" s="145">
        <v>8371.6380000000008</v>
      </c>
      <c r="DX94" s="145">
        <v>8625.3239999999987</v>
      </c>
      <c r="DY94" s="145">
        <v>8625.3239999999987</v>
      </c>
      <c r="DZ94" s="145">
        <v>10401.126</v>
      </c>
      <c r="EA94" s="145">
        <v>6088.4639999999999</v>
      </c>
      <c r="EB94" s="145">
        <v>10908.498</v>
      </c>
      <c r="EC94" s="145">
        <v>8117.9519999999993</v>
      </c>
      <c r="ED94" s="145">
        <v>9147.6</v>
      </c>
      <c r="EE94" s="145">
        <v>8363.52</v>
      </c>
      <c r="EF94" s="145">
        <v>11238.480000000001</v>
      </c>
      <c r="EG94" s="145">
        <v>11238.480000000001</v>
      </c>
      <c r="EH94" s="145">
        <v>8363.52</v>
      </c>
      <c r="EI94" s="145">
        <v>8886.24</v>
      </c>
      <c r="EJ94" s="145">
        <v>0</v>
      </c>
      <c r="EK94" s="145">
        <v>0</v>
      </c>
      <c r="EL94" s="145">
        <v>0</v>
      </c>
      <c r="EM94" s="145">
        <v>0</v>
      </c>
      <c r="EN94" s="145">
        <v>0</v>
      </c>
      <c r="EO94" s="145">
        <v>0</v>
      </c>
      <c r="EP94" s="145">
        <v>0</v>
      </c>
      <c r="EQ94" s="145">
        <v>0</v>
      </c>
      <c r="ER94" s="145">
        <v>0</v>
      </c>
      <c r="ES94" s="145">
        <v>0</v>
      </c>
      <c r="ET94" s="145">
        <v>0</v>
      </c>
      <c r="EU94" s="145">
        <v>0</v>
      </c>
      <c r="EV94" s="145">
        <v>0</v>
      </c>
      <c r="EW94" s="145">
        <v>0</v>
      </c>
      <c r="EX94" s="145">
        <v>0</v>
      </c>
      <c r="EY94" s="145">
        <v>0</v>
      </c>
      <c r="EZ94" s="145">
        <v>0</v>
      </c>
      <c r="FA94" s="145">
        <v>0</v>
      </c>
      <c r="FB94" s="145">
        <v>0</v>
      </c>
      <c r="FC94" s="145">
        <v>0</v>
      </c>
      <c r="FD94" s="145">
        <v>0</v>
      </c>
      <c r="FE94" s="145">
        <v>0</v>
      </c>
      <c r="FF94" s="145">
        <v>0</v>
      </c>
      <c r="FG94" s="145">
        <v>0</v>
      </c>
      <c r="FH94" s="145">
        <v>0</v>
      </c>
      <c r="FI94" s="145">
        <v>0</v>
      </c>
      <c r="FJ94" s="145">
        <v>0</v>
      </c>
      <c r="FK94" s="145">
        <v>0</v>
      </c>
      <c r="FL94" s="145">
        <v>0</v>
      </c>
      <c r="FM94" s="145">
        <v>0</v>
      </c>
      <c r="FN94" s="145">
        <v>0</v>
      </c>
      <c r="FO94" s="145">
        <v>0</v>
      </c>
      <c r="FP94" s="145">
        <v>0</v>
      </c>
      <c r="FQ94" s="145">
        <v>0</v>
      </c>
      <c r="FR94" s="145">
        <v>0</v>
      </c>
      <c r="FS94" s="145">
        <v>0</v>
      </c>
      <c r="FT94" s="145">
        <v>0</v>
      </c>
      <c r="FU94" s="145">
        <v>0</v>
      </c>
      <c r="FV94" s="145">
        <v>0</v>
      </c>
      <c r="FW94" s="145">
        <v>0</v>
      </c>
      <c r="FX94" s="143"/>
      <c r="FY94" s="146" t="str">
        <f>_xlfn.XLOOKUP($E94,'Key assumptions'!$B$112:$B$120,'Key assumptions'!$C$112:$C$120,0)</f>
        <v>Nominal</v>
      </c>
      <c r="FZ94" s="146" cm="1">
        <f t="array" ref="FZ94">IF($FY94=0,0,_xlfn.IFS($FY94='Key assumptions'!$C$120,_xlfn.XLOOKUP(LEFT(FZ$7,6),Inflation_Year,Inflation_NominaltoReal),TRUE,_xlfn.XLOOKUP($FY94,Inflation_Year,NominaltoReal)))</f>
        <v>1.0197075870962191</v>
      </c>
      <c r="GA94" s="146" cm="1">
        <f t="array" ref="GA94">IF($FY94=0,0,_xlfn.IFS($FY94='Key assumptions'!$C$120,_xlfn.XLOOKUP(LEFT(GA$7,6),Inflation_Year,Inflation_NominaltoReal),TRUE,_xlfn.XLOOKUP($FY94,Inflation_Year,NominaltoReal)))</f>
        <v>0.98700804022984445</v>
      </c>
      <c r="GB94" s="146" cm="1">
        <f t="array" ref="GB94">IF($FY94=0,0,_xlfn.IFS($FY94='Key assumptions'!$C$120,_xlfn.XLOOKUP(LEFT(GB$7,6),Inflation_Year,Inflation_NominaltoReal),TRUE,_xlfn.XLOOKUP($FY94,Inflation_Year,NominaltoReal)))</f>
        <v>0.96152830081941731</v>
      </c>
      <c r="GC94" s="146" cm="1">
        <f t="array" ref="GC94">IF($FY94=0,0,_xlfn.IFS($FY94='Key assumptions'!$C$120,_xlfn.XLOOKUP(LEFT(GC$7,6),Inflation_Year,Inflation_NominaltoReal),TRUE,_xlfn.XLOOKUP($FY94,Inflation_Year,NominaltoReal)))</f>
        <v>0.93670632415656829</v>
      </c>
      <c r="GD94" s="146" cm="1">
        <f t="array" ref="GD94">IF($FY94=0,0,_xlfn.IFS($FY94='Key assumptions'!$C$120,_xlfn.XLOOKUP(LEFT(GD$7,6),Inflation_Year,Inflation_NominaltoReal),TRUE,_xlfn.XLOOKUP($FY94,Inflation_Year,NominaltoReal)))</f>
        <v>0.91252513001143176</v>
      </c>
      <c r="GE94" s="146" cm="1">
        <f t="array" ref="GE94">IF($FY94=0,0,_xlfn.IFS($FY94='Key assumptions'!$C$120,_xlfn.XLOOKUP(LEFT(GE$7,6),Inflation_Year,Inflation_NominaltoReal),TRUE,_xlfn.XLOOKUP($FY94,Inflation_Year,NominaltoReal)))</f>
        <v>0.88896817650095872</v>
      </c>
      <c r="GF94" s="146" cm="1">
        <f t="array" ref="GF94">IF($FY94=0,0,_xlfn.IFS($FY94='Key assumptions'!$C$120,_xlfn.XLOOKUP(LEFT(GF$7,6),Inflation_Year,Inflation_NominaltoReal),TRUE,_xlfn.XLOOKUP($FY94,Inflation_Year,NominaltoReal)))</f>
        <v>0.86601934877293718</v>
      </c>
      <c r="GG94" s="143"/>
      <c r="GH94" s="145" cm="1">
        <f t="array" ref="GH94">SUMPRODUCT(--($CR$7:$FW$7&gt;=GH$5),--($CR$7:$FW$7&lt;=GH$6),$CR94:$FW94)*FZ94</f>
        <v>43949.804886881881</v>
      </c>
      <c r="GI94" s="145" cm="1">
        <f t="array" ref="GI94">SUMPRODUCT(--($CR$7:$FW$7&gt;=GI$5),--($CR$7:$FW$7&lt;=GI$6),$CR94:$FW94)*GA94</f>
        <v>103142.15267249109</v>
      </c>
      <c r="GJ94" s="145" cm="1">
        <f t="array" ref="GJ94">SUMPRODUCT(--($CR$7:$FW$7&gt;=GJ$5),--($CR$7:$FW$7&lt;=GJ$6),$CR94:$FW94)*GB94</f>
        <v>97478.973760545079</v>
      </c>
      <c r="GK94" s="145" cm="1">
        <f t="array" ref="GK94">SUMPRODUCT(--($CR$7:$FW$7&gt;=GK$5),--($CR$7:$FW$7&lt;=GK$6),$CR94:$FW94)*GC94</f>
        <v>0</v>
      </c>
      <c r="GL94" s="145" cm="1">
        <f t="array" ref="GL94">SUMPRODUCT(--($CR$7:$FW$7&gt;=GL$5),--($CR$7:$FW$7&lt;=GL$6),$CR94:$FW94)*GD94</f>
        <v>0</v>
      </c>
      <c r="GM94" s="145" cm="1">
        <f t="array" ref="GM94">SUMPRODUCT(--($CR$7:$FW$7&gt;=GM$5),--($CR$7:$FW$7&lt;=GM$6),$CR94:$FW94)*GE94</f>
        <v>0</v>
      </c>
      <c r="GN94" s="145" cm="1">
        <f t="array" ref="GN94">SUMPRODUCT(--($CR$7:$FW$7&gt;=GN$5),--($CR$7:$FW$7&lt;=GN$6),$CR94:$FW94)*GF94</f>
        <v>0</v>
      </c>
      <c r="GO94" s="145">
        <f t="shared" si="23"/>
        <v>244570.93131991805</v>
      </c>
      <c r="GP94" s="87"/>
      <c r="GQ94" s="89"/>
      <c r="GR94" s="145" cm="1">
        <f t="array" ref="GR94">SUMPRODUCT(--($CR$7:$FW$7&gt;=GR$5),--($CR$7:$FW$7&lt;=GR$6),$CR94:$FW94)</f>
        <v>16501.296000000002</v>
      </c>
      <c r="GS94" s="89"/>
      <c r="GT94" s="214" cm="1">
        <f t="array" ref="GT94">--AND(MIN(IF($K94:$CP94&lt;&gt;0,$K$7:$CP$7))&gt;=GT$5,MIN(IF($K94:$CP94&lt;&gt;0,$K$7:$CP$7))&lt;=GT$6)</f>
        <v>1</v>
      </c>
      <c r="GU94" s="214" cm="1">
        <f t="array" ref="GU94">--AND(MIN(IF($K94:$CP94&lt;&gt;0,$K$7:$CP$7))&gt;=GU$5,MIN(IF($K94:$CP94&lt;&gt;0,$K$7:$CP$7))&lt;=GU$6)</f>
        <v>0</v>
      </c>
      <c r="GV94" s="214" cm="1">
        <f t="array" ref="GV94">--AND(MIN(IF($K94:$CP94&lt;&gt;0,$K$7:$CP$7))&gt;=GV$5,MIN(IF($K94:$CP94&lt;&gt;0,$K$7:$CP$7))&lt;=GV$6)</f>
        <v>0</v>
      </c>
      <c r="GW94" s="214" cm="1">
        <f t="array" ref="GW94">--AND(MIN(IF($K94:$CP94&lt;&gt;0,$K$7:$CP$7))&gt;=GW$5,MIN(IF($K94:$CP94&lt;&gt;0,$K$7:$CP$7))&lt;=GW$6)</f>
        <v>0</v>
      </c>
      <c r="GX94" s="214" cm="1">
        <f t="array" ref="GX94">--AND(MIN(IF($K94:$CP94&lt;&gt;0,$K$7:$CP$7))&gt;=GX$5,MIN(IF($K94:$CP94&lt;&gt;0,$K$7:$CP$7))&lt;=GX$6)</f>
        <v>0</v>
      </c>
      <c r="GY94" s="214" cm="1">
        <f t="array" ref="GY94">--AND(MIN(IF($K94:$CP94&lt;&gt;0,$K$7:$CP$7))&gt;=GY$5,MIN(IF($K94:$CP94&lt;&gt;0,$K$7:$CP$7))&lt;=GY$6)</f>
        <v>0</v>
      </c>
      <c r="GZ94" s="214" cm="1">
        <f t="array" ref="GZ94">--AND(MIN(IF($K94:$CP94&lt;&gt;0,$K$7:$CP$7))&gt;=GZ$5,MIN(IF($K94:$CP94&lt;&gt;0,$K$7:$CP$7))&lt;=GZ$6)</f>
        <v>0</v>
      </c>
      <c r="HA94" s="214">
        <f t="shared" si="24"/>
        <v>1</v>
      </c>
      <c r="HC94" s="214" cm="1">
        <f t="array" ref="HC94">--AND(MIN(IF($K94:$CP94&lt;&gt;0,$K$7:$CP$7))&gt;=HC$5,MIN(IF($K94:$CP94&lt;&gt;0,$K$7:$CP$7))&lt;=HC$6)</f>
        <v>1</v>
      </c>
      <c r="HE94" s="147" t="str">
        <f t="shared" si="43"/>
        <v>No</v>
      </c>
      <c r="HF94" s="147" t="str">
        <f t="shared" si="44"/>
        <v>Yes</v>
      </c>
      <c r="HG94" s="147">
        <f>IF($HF94="Yes",0,$H94*avg_hrs*12*'Key assumptions'!$D$87)</f>
        <v>0</v>
      </c>
      <c r="HH94" s="147">
        <f>IF(HE94="Yes",'Key assumptions'!$D$84*HG94,0)</f>
        <v>0</v>
      </c>
      <c r="HI94" s="144">
        <f>IFERROR(AVERAGEIFS($K94:$CP94,$K$7:$CP$7,"&gt;="&amp;'Key assumptions'!$D$24,$K$7:$CP$7,"&lt;="&amp;'Key assumptions'!$D$25),0)</f>
        <v>0.10097402597402598</v>
      </c>
      <c r="HJ94" s="148">
        <f t="shared" si="25"/>
        <v>0</v>
      </c>
      <c r="HK94" s="148">
        <f t="shared" si="26"/>
        <v>0</v>
      </c>
      <c r="HL94" s="148">
        <f t="shared" si="27"/>
        <v>0</v>
      </c>
      <c r="HM94" s="148">
        <f t="shared" si="28"/>
        <v>0</v>
      </c>
      <c r="HN94" s="148">
        <f t="shared" si="29"/>
        <v>0</v>
      </c>
      <c r="HO94" s="148">
        <f t="shared" si="30"/>
        <v>0</v>
      </c>
      <c r="HP94" s="148">
        <f t="shared" si="31"/>
        <v>0</v>
      </c>
      <c r="HQ94" s="148">
        <f t="shared" si="32"/>
        <v>0</v>
      </c>
      <c r="HR94" s="147">
        <f t="shared" si="33"/>
        <v>0</v>
      </c>
      <c r="HU94" s="147">
        <f>$HJ94*HC94/(1+'Key assumptions'!G116)^0.75</f>
        <v>0</v>
      </c>
      <c r="HW94" s="216">
        <f t="shared" si="34"/>
        <v>0.10097402597402598</v>
      </c>
      <c r="HX94" s="216">
        <f t="shared" si="35"/>
        <v>0</v>
      </c>
      <c r="HY94" s="216">
        <f t="shared" si="36"/>
        <v>0</v>
      </c>
      <c r="HZ94" s="216">
        <f t="shared" si="37"/>
        <v>0</v>
      </c>
      <c r="IA94" s="216">
        <f t="shared" si="38"/>
        <v>0</v>
      </c>
      <c r="IB94" s="216">
        <f t="shared" si="39"/>
        <v>0</v>
      </c>
      <c r="IC94" s="216">
        <f t="shared" si="40"/>
        <v>0</v>
      </c>
      <c r="ID94" s="216">
        <f t="shared" si="41"/>
        <v>0.10097402597402598</v>
      </c>
      <c r="IF94" s="216">
        <f t="shared" si="42"/>
        <v>0.10097402597402598</v>
      </c>
    </row>
    <row r="95" spans="2:240" x14ac:dyDescent="0.2">
      <c r="B95" s="141" t="str">
        <v>Project Delivery Management - Construction Management</v>
      </c>
      <c r="C95" s="141" t="str">
        <v>Safety Officer (Safety and Environmental Delivery)</v>
      </c>
      <c r="D95" s="141" t="str">
        <v>Internal Labour</v>
      </c>
      <c r="E95" s="141" t="str">
        <v>$ Nominal</v>
      </c>
      <c r="F95" s="141" t="str">
        <v>Existing</v>
      </c>
      <c r="G95" s="141" t="str">
        <v>Normal time</v>
      </c>
      <c r="H95" s="142">
        <v>205.24</v>
      </c>
      <c r="I95" s="126">
        <v>240323.5566666667</v>
      </c>
      <c r="J95" s="143">
        <v>0</v>
      </c>
      <c r="K95" s="144">
        <v>0</v>
      </c>
      <c r="L95" s="144">
        <v>0</v>
      </c>
      <c r="M95" s="144">
        <v>0</v>
      </c>
      <c r="N95" s="144">
        <v>0</v>
      </c>
      <c r="O95" s="144">
        <v>0</v>
      </c>
      <c r="P95" s="144">
        <v>0</v>
      </c>
      <c r="Q95" s="144">
        <v>0</v>
      </c>
      <c r="R95" s="144">
        <v>0</v>
      </c>
      <c r="S95" s="144">
        <v>0</v>
      </c>
      <c r="T95" s="144">
        <v>0</v>
      </c>
      <c r="U95" s="144">
        <v>0</v>
      </c>
      <c r="V95" s="144">
        <v>0</v>
      </c>
      <c r="W95" s="144">
        <v>0</v>
      </c>
      <c r="X95" s="144">
        <v>0</v>
      </c>
      <c r="Y95" s="144">
        <v>0</v>
      </c>
      <c r="Z95" s="144">
        <v>0</v>
      </c>
      <c r="AA95" s="144">
        <v>0.26096491228070173</v>
      </c>
      <c r="AB95" s="144">
        <v>0.27631578947368424</v>
      </c>
      <c r="AC95" s="144">
        <v>0.31666666666666671</v>
      </c>
      <c r="AD95" s="144">
        <v>0.25</v>
      </c>
      <c r="AE95" s="144">
        <v>0.3</v>
      </c>
      <c r="AF95" s="144">
        <v>0.3</v>
      </c>
      <c r="AG95" s="144">
        <v>0.28333333333333333</v>
      </c>
      <c r="AH95" s="144">
        <v>0.26666666666666666</v>
      </c>
      <c r="AI95" s="144">
        <v>0.51111111111111107</v>
      </c>
      <c r="AJ95" s="144">
        <v>0.26666666666666666</v>
      </c>
      <c r="AK95" s="144">
        <v>0.26666666666666666</v>
      </c>
      <c r="AL95" s="144">
        <v>0.42222222222222222</v>
      </c>
      <c r="AM95" s="144">
        <v>0.27631578947368424</v>
      </c>
      <c r="AN95" s="144">
        <v>0.26096491228070173</v>
      </c>
      <c r="AO95" s="144">
        <v>0.3</v>
      </c>
      <c r="AP95" s="144">
        <v>0.28333333333333333</v>
      </c>
      <c r="AQ95" s="144">
        <v>0.3</v>
      </c>
      <c r="AR95" s="144">
        <v>0.3</v>
      </c>
      <c r="AS95" s="144">
        <v>0.28333333333333333</v>
      </c>
      <c r="AT95" s="144">
        <v>0.35555555555555557</v>
      </c>
      <c r="AU95" s="144">
        <v>0.42222222222222222</v>
      </c>
      <c r="AV95" s="144">
        <v>0.26666666666666666</v>
      </c>
      <c r="AW95" s="144">
        <v>0.31666666666666671</v>
      </c>
      <c r="AX95" s="144">
        <v>0.35555555555555557</v>
      </c>
      <c r="AY95" s="144">
        <v>0.29166666666666669</v>
      </c>
      <c r="AZ95" s="144">
        <v>0.29166666666666669</v>
      </c>
      <c r="BA95" s="144">
        <v>0.26666666666666666</v>
      </c>
      <c r="BB95" s="144">
        <v>0.3</v>
      </c>
      <c r="BC95" s="144">
        <v>0</v>
      </c>
      <c r="BD95" s="144">
        <v>0</v>
      </c>
      <c r="BE95" s="144">
        <v>0</v>
      </c>
      <c r="BF95" s="144">
        <v>0</v>
      </c>
      <c r="BG95" s="144">
        <v>0</v>
      </c>
      <c r="BH95" s="144">
        <v>0</v>
      </c>
      <c r="BI95" s="144">
        <v>0</v>
      </c>
      <c r="BJ95" s="144">
        <v>0</v>
      </c>
      <c r="BK95" s="144">
        <v>0</v>
      </c>
      <c r="BL95" s="144">
        <v>0</v>
      </c>
      <c r="BM95" s="144">
        <v>0</v>
      </c>
      <c r="BN95" s="144">
        <v>0</v>
      </c>
      <c r="BO95" s="144">
        <v>0</v>
      </c>
      <c r="BP95" s="144">
        <v>0</v>
      </c>
      <c r="BQ95" s="144">
        <v>0</v>
      </c>
      <c r="BR95" s="144">
        <v>0</v>
      </c>
      <c r="BS95" s="144">
        <v>0</v>
      </c>
      <c r="BT95" s="144">
        <v>0</v>
      </c>
      <c r="BU95" s="144">
        <v>0</v>
      </c>
      <c r="BV95" s="144">
        <v>0</v>
      </c>
      <c r="BW95" s="144">
        <v>0</v>
      </c>
      <c r="BX95" s="144">
        <v>0</v>
      </c>
      <c r="BY95" s="144">
        <v>0</v>
      </c>
      <c r="BZ95" s="144">
        <v>0</v>
      </c>
      <c r="CA95" s="144">
        <v>0</v>
      </c>
      <c r="CB95" s="144">
        <v>0</v>
      </c>
      <c r="CC95" s="144">
        <v>0</v>
      </c>
      <c r="CD95" s="144">
        <v>0</v>
      </c>
      <c r="CE95" s="144">
        <v>0</v>
      </c>
      <c r="CF95" s="144">
        <v>0</v>
      </c>
      <c r="CG95" s="144">
        <v>0</v>
      </c>
      <c r="CH95" s="144">
        <v>0</v>
      </c>
      <c r="CI95" s="144">
        <v>0</v>
      </c>
      <c r="CJ95" s="144">
        <v>0</v>
      </c>
      <c r="CK95" s="144">
        <v>0</v>
      </c>
      <c r="CL95" s="144">
        <v>0</v>
      </c>
      <c r="CM95" s="144">
        <v>0</v>
      </c>
      <c r="CN95" s="144">
        <v>0</v>
      </c>
      <c r="CO95" s="144">
        <v>0</v>
      </c>
      <c r="CP95" s="144">
        <v>0</v>
      </c>
      <c r="CQ95" s="143">
        <v>0</v>
      </c>
      <c r="CR95" s="145">
        <v>0</v>
      </c>
      <c r="CS95" s="145">
        <v>0</v>
      </c>
      <c r="CT95" s="145">
        <v>0</v>
      </c>
      <c r="CU95" s="145">
        <v>0</v>
      </c>
      <c r="CV95" s="145">
        <v>0</v>
      </c>
      <c r="CW95" s="145">
        <v>0</v>
      </c>
      <c r="CX95" s="145">
        <v>0</v>
      </c>
      <c r="CY95" s="145">
        <v>0</v>
      </c>
      <c r="CZ95" s="145">
        <v>0</v>
      </c>
      <c r="DA95" s="145">
        <v>0</v>
      </c>
      <c r="DB95" s="145">
        <v>0</v>
      </c>
      <c r="DC95" s="145">
        <v>0</v>
      </c>
      <c r="DD95" s="145">
        <v>0</v>
      </c>
      <c r="DE95" s="145">
        <v>0</v>
      </c>
      <c r="DF95" s="145">
        <v>0</v>
      </c>
      <c r="DG95" s="145">
        <v>0</v>
      </c>
      <c r="DH95" s="145">
        <v>8141.1866666666665</v>
      </c>
      <c r="DI95" s="145">
        <v>8620.08</v>
      </c>
      <c r="DJ95" s="145">
        <v>9098.9733333333334</v>
      </c>
      <c r="DK95" s="145">
        <v>7183.4000000000005</v>
      </c>
      <c r="DL95" s="145">
        <v>8620.08</v>
      </c>
      <c r="DM95" s="145">
        <v>8620.08</v>
      </c>
      <c r="DN95" s="145">
        <v>8141.1866666666665</v>
      </c>
      <c r="DO95" s="145">
        <v>5746.72</v>
      </c>
      <c r="DP95" s="145">
        <v>11014.546666666667</v>
      </c>
      <c r="DQ95" s="145">
        <v>7662.293333333334</v>
      </c>
      <c r="DR95" s="145">
        <v>7892.64</v>
      </c>
      <c r="DS95" s="145">
        <v>9372.51</v>
      </c>
      <c r="DT95" s="145">
        <v>8879.2199999999993</v>
      </c>
      <c r="DU95" s="145">
        <v>8385.9299999999985</v>
      </c>
      <c r="DV95" s="145">
        <v>8879.2199999999993</v>
      </c>
      <c r="DW95" s="145">
        <v>8385.9299999999985</v>
      </c>
      <c r="DX95" s="145">
        <v>8879.2199999999993</v>
      </c>
      <c r="DY95" s="145">
        <v>8879.2199999999993</v>
      </c>
      <c r="DZ95" s="145">
        <v>8385.9299999999985</v>
      </c>
      <c r="EA95" s="145">
        <v>7892.64</v>
      </c>
      <c r="EB95" s="145">
        <v>9372.51</v>
      </c>
      <c r="EC95" s="145">
        <v>7892.64</v>
      </c>
      <c r="ED95" s="145">
        <v>9655.8000000000011</v>
      </c>
      <c r="EE95" s="145">
        <v>8131.2000000000007</v>
      </c>
      <c r="EF95" s="145">
        <v>9655.8000000000011</v>
      </c>
      <c r="EG95" s="145">
        <v>9655.8000000000011</v>
      </c>
      <c r="EH95" s="145">
        <v>8131.2000000000007</v>
      </c>
      <c r="EI95" s="145">
        <v>9147.6</v>
      </c>
      <c r="EJ95" s="145">
        <v>0</v>
      </c>
      <c r="EK95" s="145">
        <v>0</v>
      </c>
      <c r="EL95" s="145">
        <v>0</v>
      </c>
      <c r="EM95" s="145">
        <v>0</v>
      </c>
      <c r="EN95" s="145">
        <v>0</v>
      </c>
      <c r="EO95" s="145">
        <v>0</v>
      </c>
      <c r="EP95" s="145">
        <v>0</v>
      </c>
      <c r="EQ95" s="145">
        <v>0</v>
      </c>
      <c r="ER95" s="145">
        <v>0</v>
      </c>
      <c r="ES95" s="145">
        <v>0</v>
      </c>
      <c r="ET95" s="145">
        <v>0</v>
      </c>
      <c r="EU95" s="145">
        <v>0</v>
      </c>
      <c r="EV95" s="145">
        <v>0</v>
      </c>
      <c r="EW95" s="145">
        <v>0</v>
      </c>
      <c r="EX95" s="145">
        <v>0</v>
      </c>
      <c r="EY95" s="145">
        <v>0</v>
      </c>
      <c r="EZ95" s="145">
        <v>0</v>
      </c>
      <c r="FA95" s="145">
        <v>0</v>
      </c>
      <c r="FB95" s="145">
        <v>0</v>
      </c>
      <c r="FC95" s="145">
        <v>0</v>
      </c>
      <c r="FD95" s="145">
        <v>0</v>
      </c>
      <c r="FE95" s="145">
        <v>0</v>
      </c>
      <c r="FF95" s="145">
        <v>0</v>
      </c>
      <c r="FG95" s="145">
        <v>0</v>
      </c>
      <c r="FH95" s="145">
        <v>0</v>
      </c>
      <c r="FI95" s="145">
        <v>0</v>
      </c>
      <c r="FJ95" s="145">
        <v>0</v>
      </c>
      <c r="FK95" s="145">
        <v>0</v>
      </c>
      <c r="FL95" s="145">
        <v>0</v>
      </c>
      <c r="FM95" s="145">
        <v>0</v>
      </c>
      <c r="FN95" s="145">
        <v>0</v>
      </c>
      <c r="FO95" s="145">
        <v>0</v>
      </c>
      <c r="FP95" s="145">
        <v>0</v>
      </c>
      <c r="FQ95" s="145">
        <v>0</v>
      </c>
      <c r="FR95" s="145">
        <v>0</v>
      </c>
      <c r="FS95" s="145">
        <v>0</v>
      </c>
      <c r="FT95" s="145">
        <v>0</v>
      </c>
      <c r="FU95" s="145">
        <v>0</v>
      </c>
      <c r="FV95" s="145">
        <v>0</v>
      </c>
      <c r="FW95" s="145">
        <v>0</v>
      </c>
      <c r="FX95" s="143"/>
      <c r="FY95" s="146" t="str">
        <f>_xlfn.XLOOKUP($E95,'Key assumptions'!$B$112:$B$120,'Key assumptions'!$C$112:$C$120,0)</f>
        <v>Nominal</v>
      </c>
      <c r="FZ95" s="146" cm="1">
        <f t="array" ref="FZ95">IF($FY95=0,0,_xlfn.IFS($FY95='Key assumptions'!$C$120,_xlfn.XLOOKUP(LEFT(FZ$7,6),Inflation_Year,Inflation_NominaltoReal),TRUE,_xlfn.XLOOKUP($FY95,Inflation_Year,NominaltoReal)))</f>
        <v>1.0197075870962191</v>
      </c>
      <c r="GA95" s="146" cm="1">
        <f t="array" ref="GA95">IF($FY95=0,0,_xlfn.IFS($FY95='Key assumptions'!$C$120,_xlfn.XLOOKUP(LEFT(GA$7,6),Inflation_Year,Inflation_NominaltoReal),TRUE,_xlfn.XLOOKUP($FY95,Inflation_Year,NominaltoReal)))</f>
        <v>0.98700804022984445</v>
      </c>
      <c r="GB95" s="146" cm="1">
        <f t="array" ref="GB95">IF($FY95=0,0,_xlfn.IFS($FY95='Key assumptions'!$C$120,_xlfn.XLOOKUP(LEFT(GB$7,6),Inflation_Year,Inflation_NominaltoReal),TRUE,_xlfn.XLOOKUP($FY95,Inflation_Year,NominaltoReal)))</f>
        <v>0.96152830081941731</v>
      </c>
      <c r="GC95" s="146" cm="1">
        <f t="array" ref="GC95">IF($FY95=0,0,_xlfn.IFS($FY95='Key assumptions'!$C$120,_xlfn.XLOOKUP(LEFT(GC$7,6),Inflation_Year,Inflation_NominaltoReal),TRUE,_xlfn.XLOOKUP($FY95,Inflation_Year,NominaltoReal)))</f>
        <v>0.93670632415656829</v>
      </c>
      <c r="GD95" s="146" cm="1">
        <f t="array" ref="GD95">IF($FY95=0,0,_xlfn.IFS($FY95='Key assumptions'!$C$120,_xlfn.XLOOKUP(LEFT(GD$7,6),Inflation_Year,Inflation_NominaltoReal),TRUE,_xlfn.XLOOKUP($FY95,Inflation_Year,NominaltoReal)))</f>
        <v>0.91252513001143176</v>
      </c>
      <c r="GE95" s="146" cm="1">
        <f t="array" ref="GE95">IF($FY95=0,0,_xlfn.IFS($FY95='Key assumptions'!$C$120,_xlfn.XLOOKUP(LEFT(GE$7,6),Inflation_Year,Inflation_NominaltoReal),TRUE,_xlfn.XLOOKUP($FY95,Inflation_Year,NominaltoReal)))</f>
        <v>0.88896817650095872</v>
      </c>
      <c r="GF95" s="146" cm="1">
        <f t="array" ref="GF95">IF($FY95=0,0,_xlfn.IFS($FY95='Key assumptions'!$C$120,_xlfn.XLOOKUP(LEFT(GF$7,6),Inflation_Year,Inflation_NominaltoReal),TRUE,_xlfn.XLOOKUP($FY95,Inflation_Year,NominaltoReal)))</f>
        <v>0.86601934877293718</v>
      </c>
      <c r="GG95" s="143"/>
      <c r="GH95" s="145" cm="1">
        <f t="array" ref="GH95">SUMPRODUCT(--($CR$7:$FW$7&gt;=GH$5),--($CR$7:$FW$7&lt;=GH$6),$CR95:$FW95)*FZ95</f>
        <v>42484.811390652489</v>
      </c>
      <c r="GI95" s="145" cm="1">
        <f t="array" ref="GI95">SUMPRODUCT(--($CR$7:$FW$7&gt;=GI$5),--($CR$7:$FW$7&lt;=GI$6),$CR95:$FW95)*GA95</f>
        <v>100536.14218376503</v>
      </c>
      <c r="GJ95" s="145" cm="1">
        <f t="array" ref="GJ95">SUMPRODUCT(--($CR$7:$FW$7&gt;=GJ$5),--($CR$7:$FW$7&lt;=GJ$6),$CR95:$FW95)*GB95</f>
        <v>93076.266438941879</v>
      </c>
      <c r="GK95" s="145" cm="1">
        <f t="array" ref="GK95">SUMPRODUCT(--($CR$7:$FW$7&gt;=GK$5),--($CR$7:$FW$7&lt;=GK$6),$CR95:$FW95)*GC95</f>
        <v>0</v>
      </c>
      <c r="GL95" s="145" cm="1">
        <f t="array" ref="GL95">SUMPRODUCT(--($CR$7:$FW$7&gt;=GL$5),--($CR$7:$FW$7&lt;=GL$6),$CR95:$FW95)*GD95</f>
        <v>0</v>
      </c>
      <c r="GM95" s="145" cm="1">
        <f t="array" ref="GM95">SUMPRODUCT(--($CR$7:$FW$7&gt;=GM$5),--($CR$7:$FW$7&lt;=GM$6),$CR95:$FW95)*GE95</f>
        <v>0</v>
      </c>
      <c r="GN95" s="145" cm="1">
        <f t="array" ref="GN95">SUMPRODUCT(--($CR$7:$FW$7&gt;=GN$5),--($CR$7:$FW$7&lt;=GN$6),$CR95:$FW95)*GF95</f>
        <v>0</v>
      </c>
      <c r="GO95" s="145">
        <f t="shared" si="23"/>
        <v>236097.22001335939</v>
      </c>
      <c r="GP95" s="87"/>
      <c r="GQ95" s="89"/>
      <c r="GR95" s="145" cm="1">
        <f t="array" ref="GR95">SUMPRODUCT(--($CR$7:$FW$7&gt;=GR$5),--($CR$7:$FW$7&lt;=GR$6),$CR95:$FW95)</f>
        <v>16761.266666666666</v>
      </c>
      <c r="GS95" s="89"/>
      <c r="GT95" s="214" cm="1">
        <f t="array" ref="GT95">--AND(MIN(IF($K95:$CP95&lt;&gt;0,$K$7:$CP$7))&gt;=GT$5,MIN(IF($K95:$CP95&lt;&gt;0,$K$7:$CP$7))&lt;=GT$6)</f>
        <v>1</v>
      </c>
      <c r="GU95" s="214" cm="1">
        <f t="array" ref="GU95">--AND(MIN(IF($K95:$CP95&lt;&gt;0,$K$7:$CP$7))&gt;=GU$5,MIN(IF($K95:$CP95&lt;&gt;0,$K$7:$CP$7))&lt;=GU$6)</f>
        <v>0</v>
      </c>
      <c r="GV95" s="214" cm="1">
        <f t="array" ref="GV95">--AND(MIN(IF($K95:$CP95&lt;&gt;0,$K$7:$CP$7))&gt;=GV$5,MIN(IF($K95:$CP95&lt;&gt;0,$K$7:$CP$7))&lt;=GV$6)</f>
        <v>0</v>
      </c>
      <c r="GW95" s="214" cm="1">
        <f t="array" ref="GW95">--AND(MIN(IF($K95:$CP95&lt;&gt;0,$K$7:$CP$7))&gt;=GW$5,MIN(IF($K95:$CP95&lt;&gt;0,$K$7:$CP$7))&lt;=GW$6)</f>
        <v>0</v>
      </c>
      <c r="GX95" s="214" cm="1">
        <f t="array" ref="GX95">--AND(MIN(IF($K95:$CP95&lt;&gt;0,$K$7:$CP$7))&gt;=GX$5,MIN(IF($K95:$CP95&lt;&gt;0,$K$7:$CP$7))&lt;=GX$6)</f>
        <v>0</v>
      </c>
      <c r="GY95" s="214" cm="1">
        <f t="array" ref="GY95">--AND(MIN(IF($K95:$CP95&lt;&gt;0,$K$7:$CP$7))&gt;=GY$5,MIN(IF($K95:$CP95&lt;&gt;0,$K$7:$CP$7))&lt;=GY$6)</f>
        <v>0</v>
      </c>
      <c r="GZ95" s="214" cm="1">
        <f t="array" ref="GZ95">--AND(MIN(IF($K95:$CP95&lt;&gt;0,$K$7:$CP$7))&gt;=GZ$5,MIN(IF($K95:$CP95&lt;&gt;0,$K$7:$CP$7))&lt;=GZ$6)</f>
        <v>0</v>
      </c>
      <c r="HA95" s="214">
        <f t="shared" si="24"/>
        <v>1</v>
      </c>
      <c r="HC95" s="214" cm="1">
        <f t="array" ref="HC95">--AND(MIN(IF($K95:$CP95&lt;&gt;0,$K$7:$CP$7))&gt;=HC$5,MIN(IF($K95:$CP95&lt;&gt;0,$K$7:$CP$7))&lt;=HC$6)</f>
        <v>1</v>
      </c>
      <c r="HE95" s="147" t="str">
        <f t="shared" si="43"/>
        <v>No</v>
      </c>
      <c r="HF95" s="147" t="str">
        <f t="shared" si="44"/>
        <v>No</v>
      </c>
      <c r="HG95" s="147">
        <f>IF($HF95="Yes",0,$H95*avg_hrs*12*'Key assumptions'!$D$87)</f>
        <v>367024.33151015785</v>
      </c>
      <c r="HH95" s="147">
        <f>IF(HE95="Yes",'Key assumptions'!$D$84*HG95,0)</f>
        <v>0</v>
      </c>
      <c r="HI95" s="144">
        <f>IFERROR(AVERAGEIFS($K95:$CP95,$K$7:$CP$7,"&gt;="&amp;'Key assumptions'!$D$24,$K$7:$CP$7,"&lt;="&amp;'Key assumptions'!$D$25),0)</f>
        <v>0.19525518341307813</v>
      </c>
      <c r="HJ95" s="148">
        <f t="shared" si="25"/>
        <v>0</v>
      </c>
      <c r="HK95" s="148">
        <f t="shared" si="26"/>
        <v>0</v>
      </c>
      <c r="HL95" s="148">
        <f t="shared" si="27"/>
        <v>0</v>
      </c>
      <c r="HM95" s="148">
        <f t="shared" si="28"/>
        <v>0</v>
      </c>
      <c r="HN95" s="148">
        <f t="shared" si="29"/>
        <v>0</v>
      </c>
      <c r="HO95" s="148">
        <f t="shared" si="30"/>
        <v>0</v>
      </c>
      <c r="HP95" s="148">
        <f t="shared" si="31"/>
        <v>0</v>
      </c>
      <c r="HQ95" s="148">
        <f t="shared" si="32"/>
        <v>0</v>
      </c>
      <c r="HR95" s="147">
        <f t="shared" si="33"/>
        <v>0</v>
      </c>
      <c r="HU95" s="147">
        <f>$HJ95*HC95/(1+'Key assumptions'!G117)^0.75</f>
        <v>0</v>
      </c>
      <c r="HW95" s="216">
        <f t="shared" si="34"/>
        <v>0.19525518341307813</v>
      </c>
      <c r="HX95" s="216">
        <f t="shared" si="35"/>
        <v>0</v>
      </c>
      <c r="HY95" s="216">
        <f t="shared" si="36"/>
        <v>0</v>
      </c>
      <c r="HZ95" s="216">
        <f t="shared" si="37"/>
        <v>0</v>
      </c>
      <c r="IA95" s="216">
        <f t="shared" si="38"/>
        <v>0</v>
      </c>
      <c r="IB95" s="216">
        <f t="shared" si="39"/>
        <v>0</v>
      </c>
      <c r="IC95" s="216">
        <f t="shared" si="40"/>
        <v>0</v>
      </c>
      <c r="ID95" s="216">
        <f t="shared" si="41"/>
        <v>0.19525518341307813</v>
      </c>
      <c r="IF95" s="216">
        <f t="shared" si="42"/>
        <v>0.19525518341307813</v>
      </c>
    </row>
    <row r="96" spans="2:240" x14ac:dyDescent="0.2">
      <c r="B96" s="141" t="str">
        <v>Project Delivery Management - Construction Management</v>
      </c>
      <c r="C96" s="141" t="str">
        <v>Safety Officer (Safety and Environmental Delivery)</v>
      </c>
      <c r="D96" s="141" t="str">
        <v>Internal Labour</v>
      </c>
      <c r="E96" s="141" t="str">
        <v>$ Nominal</v>
      </c>
      <c r="F96" s="141">
        <v>0</v>
      </c>
      <c r="G96" s="141" t="str">
        <v>Overtime</v>
      </c>
      <c r="H96" s="142">
        <v>205.24</v>
      </c>
      <c r="I96" s="126">
        <v>414965.69000000012</v>
      </c>
      <c r="J96" s="143">
        <v>0</v>
      </c>
      <c r="K96" s="144">
        <v>0</v>
      </c>
      <c r="L96" s="144">
        <v>0</v>
      </c>
      <c r="M96" s="144">
        <v>0</v>
      </c>
      <c r="N96" s="144">
        <v>0</v>
      </c>
      <c r="O96" s="144">
        <v>0</v>
      </c>
      <c r="P96" s="144">
        <v>0</v>
      </c>
      <c r="Q96" s="144">
        <v>0</v>
      </c>
      <c r="R96" s="144">
        <v>0</v>
      </c>
      <c r="S96" s="144">
        <v>0</v>
      </c>
      <c r="T96" s="144">
        <v>0</v>
      </c>
      <c r="U96" s="144">
        <v>0</v>
      </c>
      <c r="V96" s="144">
        <v>0</v>
      </c>
      <c r="W96" s="144">
        <v>0</v>
      </c>
      <c r="X96" s="144">
        <v>0</v>
      </c>
      <c r="Y96" s="144">
        <v>0</v>
      </c>
      <c r="Z96" s="144">
        <v>0</v>
      </c>
      <c r="AA96" s="144">
        <v>0.21710526315789475</v>
      </c>
      <c r="AB96" s="144">
        <v>0.22368421052631579</v>
      </c>
      <c r="AC96" s="144">
        <v>0.30714285714285716</v>
      </c>
      <c r="AD96" s="144">
        <v>0.22142857142857142</v>
      </c>
      <c r="AE96" s="144">
        <v>0.24285714285714285</v>
      </c>
      <c r="AF96" s="144">
        <v>0.24285714285714285</v>
      </c>
      <c r="AG96" s="144">
        <v>0.23571428571428571</v>
      </c>
      <c r="AH96" s="144">
        <v>0.26666666666666666</v>
      </c>
      <c r="AI96" s="144">
        <v>0.44761904761904764</v>
      </c>
      <c r="AJ96" s="144">
        <v>0.22857142857142856</v>
      </c>
      <c r="AK96" s="144">
        <v>0.22857142857142856</v>
      </c>
      <c r="AL96" s="144">
        <v>0.33333333333333331</v>
      </c>
      <c r="AM96" s="144">
        <v>0.25</v>
      </c>
      <c r="AN96" s="144">
        <v>0.24342105263157895</v>
      </c>
      <c r="AO96" s="144">
        <v>0.24285714285714285</v>
      </c>
      <c r="AP96" s="144">
        <v>0.23571428571428571</v>
      </c>
      <c r="AQ96" s="144">
        <v>0.24285714285714285</v>
      </c>
      <c r="AR96" s="144">
        <v>0.24285714285714285</v>
      </c>
      <c r="AS96" s="144">
        <v>0.29285714285714287</v>
      </c>
      <c r="AT96" s="144">
        <v>0.22857142857142856</v>
      </c>
      <c r="AU96" s="144">
        <v>0.40952380952380951</v>
      </c>
      <c r="AV96" s="144">
        <v>0.22857142857142856</v>
      </c>
      <c r="AW96" s="144">
        <v>0.25</v>
      </c>
      <c r="AX96" s="144">
        <v>0.30476190476190479</v>
      </c>
      <c r="AY96" s="144">
        <v>0.28289473684210525</v>
      </c>
      <c r="AZ96" s="144">
        <v>0.28289473684210525</v>
      </c>
      <c r="BA96" s="144">
        <v>0.22857142857142856</v>
      </c>
      <c r="BB96" s="144">
        <v>0.24285714285714285</v>
      </c>
      <c r="BC96" s="144">
        <v>0</v>
      </c>
      <c r="BD96" s="144">
        <v>0</v>
      </c>
      <c r="BE96" s="144">
        <v>0</v>
      </c>
      <c r="BF96" s="144">
        <v>0</v>
      </c>
      <c r="BG96" s="144">
        <v>0</v>
      </c>
      <c r="BH96" s="144">
        <v>0</v>
      </c>
      <c r="BI96" s="144">
        <v>0</v>
      </c>
      <c r="BJ96" s="144">
        <v>0</v>
      </c>
      <c r="BK96" s="144">
        <v>0</v>
      </c>
      <c r="BL96" s="144">
        <v>0</v>
      </c>
      <c r="BM96" s="144">
        <v>0</v>
      </c>
      <c r="BN96" s="144">
        <v>0</v>
      </c>
      <c r="BO96" s="144">
        <v>0</v>
      </c>
      <c r="BP96" s="144">
        <v>0</v>
      </c>
      <c r="BQ96" s="144">
        <v>0</v>
      </c>
      <c r="BR96" s="144">
        <v>0</v>
      </c>
      <c r="BS96" s="144">
        <v>0</v>
      </c>
      <c r="BT96" s="144">
        <v>0</v>
      </c>
      <c r="BU96" s="144">
        <v>0</v>
      </c>
      <c r="BV96" s="144">
        <v>0</v>
      </c>
      <c r="BW96" s="144">
        <v>0</v>
      </c>
      <c r="BX96" s="144">
        <v>0</v>
      </c>
      <c r="BY96" s="144">
        <v>0</v>
      </c>
      <c r="BZ96" s="144">
        <v>0</v>
      </c>
      <c r="CA96" s="144">
        <v>0</v>
      </c>
      <c r="CB96" s="144">
        <v>0</v>
      </c>
      <c r="CC96" s="144">
        <v>0</v>
      </c>
      <c r="CD96" s="144">
        <v>0</v>
      </c>
      <c r="CE96" s="144">
        <v>0</v>
      </c>
      <c r="CF96" s="144">
        <v>0</v>
      </c>
      <c r="CG96" s="144">
        <v>0</v>
      </c>
      <c r="CH96" s="144">
        <v>0</v>
      </c>
      <c r="CI96" s="144">
        <v>0</v>
      </c>
      <c r="CJ96" s="144">
        <v>0</v>
      </c>
      <c r="CK96" s="144">
        <v>0</v>
      </c>
      <c r="CL96" s="144">
        <v>0</v>
      </c>
      <c r="CM96" s="144">
        <v>0</v>
      </c>
      <c r="CN96" s="144">
        <v>0</v>
      </c>
      <c r="CO96" s="144">
        <v>0</v>
      </c>
      <c r="CP96" s="144">
        <v>0</v>
      </c>
      <c r="CQ96" s="143">
        <v>0</v>
      </c>
      <c r="CR96" s="145">
        <v>0</v>
      </c>
      <c r="CS96" s="145">
        <v>0</v>
      </c>
      <c r="CT96" s="145">
        <v>0</v>
      </c>
      <c r="CU96" s="145">
        <v>0</v>
      </c>
      <c r="CV96" s="145">
        <v>0</v>
      </c>
      <c r="CW96" s="145">
        <v>0</v>
      </c>
      <c r="CX96" s="145">
        <v>0</v>
      </c>
      <c r="CY96" s="145">
        <v>0</v>
      </c>
      <c r="CZ96" s="145">
        <v>0</v>
      </c>
      <c r="DA96" s="145">
        <v>0</v>
      </c>
      <c r="DB96" s="145">
        <v>0</v>
      </c>
      <c r="DC96" s="145">
        <v>0</v>
      </c>
      <c r="DD96" s="145">
        <v>0</v>
      </c>
      <c r="DE96" s="145">
        <v>0</v>
      </c>
      <c r="DF96" s="145">
        <v>0</v>
      </c>
      <c r="DG96" s="145">
        <v>0</v>
      </c>
      <c r="DH96" s="145">
        <v>13545.84</v>
      </c>
      <c r="DI96" s="145">
        <v>13956.32</v>
      </c>
      <c r="DJ96" s="145">
        <v>17650.64</v>
      </c>
      <c r="DK96" s="145">
        <v>12724.880000000001</v>
      </c>
      <c r="DL96" s="145">
        <v>13956.32</v>
      </c>
      <c r="DM96" s="145">
        <v>13956.32</v>
      </c>
      <c r="DN96" s="145">
        <v>13545.84</v>
      </c>
      <c r="DO96" s="145">
        <v>11493.44</v>
      </c>
      <c r="DP96" s="145">
        <v>19292.560000000001</v>
      </c>
      <c r="DQ96" s="145">
        <v>13135.36</v>
      </c>
      <c r="DR96" s="145">
        <v>13529.92</v>
      </c>
      <c r="DS96" s="145">
        <v>14798.35</v>
      </c>
      <c r="DT96" s="145">
        <v>16066.78</v>
      </c>
      <c r="DU96" s="145">
        <v>15643.97</v>
      </c>
      <c r="DV96" s="145">
        <v>14375.54</v>
      </c>
      <c r="DW96" s="145">
        <v>13952.73</v>
      </c>
      <c r="DX96" s="145">
        <v>14375.54</v>
      </c>
      <c r="DY96" s="145">
        <v>14375.54</v>
      </c>
      <c r="DZ96" s="145">
        <v>17335.21</v>
      </c>
      <c r="EA96" s="145">
        <v>10147.44</v>
      </c>
      <c r="EB96" s="145">
        <v>18180.830000000002</v>
      </c>
      <c r="EC96" s="145">
        <v>13529.92</v>
      </c>
      <c r="ED96" s="145">
        <v>15246</v>
      </c>
      <c r="EE96" s="145">
        <v>13939.2</v>
      </c>
      <c r="EF96" s="145">
        <v>18730.8</v>
      </c>
      <c r="EG96" s="145">
        <v>18730.8</v>
      </c>
      <c r="EH96" s="145">
        <v>13939.2</v>
      </c>
      <c r="EI96" s="145">
        <v>14810.400000000001</v>
      </c>
      <c r="EJ96" s="145">
        <v>0</v>
      </c>
      <c r="EK96" s="145">
        <v>0</v>
      </c>
      <c r="EL96" s="145">
        <v>0</v>
      </c>
      <c r="EM96" s="145">
        <v>0</v>
      </c>
      <c r="EN96" s="145">
        <v>0</v>
      </c>
      <c r="EO96" s="145">
        <v>0</v>
      </c>
      <c r="EP96" s="145">
        <v>0</v>
      </c>
      <c r="EQ96" s="145">
        <v>0</v>
      </c>
      <c r="ER96" s="145">
        <v>0</v>
      </c>
      <c r="ES96" s="145">
        <v>0</v>
      </c>
      <c r="ET96" s="145">
        <v>0</v>
      </c>
      <c r="EU96" s="145">
        <v>0</v>
      </c>
      <c r="EV96" s="145">
        <v>0</v>
      </c>
      <c r="EW96" s="145">
        <v>0</v>
      </c>
      <c r="EX96" s="145">
        <v>0</v>
      </c>
      <c r="EY96" s="145">
        <v>0</v>
      </c>
      <c r="EZ96" s="145">
        <v>0</v>
      </c>
      <c r="FA96" s="145">
        <v>0</v>
      </c>
      <c r="FB96" s="145">
        <v>0</v>
      </c>
      <c r="FC96" s="145">
        <v>0</v>
      </c>
      <c r="FD96" s="145">
        <v>0</v>
      </c>
      <c r="FE96" s="145">
        <v>0</v>
      </c>
      <c r="FF96" s="145">
        <v>0</v>
      </c>
      <c r="FG96" s="145">
        <v>0</v>
      </c>
      <c r="FH96" s="145">
        <v>0</v>
      </c>
      <c r="FI96" s="145">
        <v>0</v>
      </c>
      <c r="FJ96" s="145">
        <v>0</v>
      </c>
      <c r="FK96" s="145">
        <v>0</v>
      </c>
      <c r="FL96" s="145">
        <v>0</v>
      </c>
      <c r="FM96" s="145">
        <v>0</v>
      </c>
      <c r="FN96" s="145">
        <v>0</v>
      </c>
      <c r="FO96" s="145">
        <v>0</v>
      </c>
      <c r="FP96" s="145">
        <v>0</v>
      </c>
      <c r="FQ96" s="145">
        <v>0</v>
      </c>
      <c r="FR96" s="145">
        <v>0</v>
      </c>
      <c r="FS96" s="145">
        <v>0</v>
      </c>
      <c r="FT96" s="145">
        <v>0</v>
      </c>
      <c r="FU96" s="145">
        <v>0</v>
      </c>
      <c r="FV96" s="145">
        <v>0</v>
      </c>
      <c r="FW96" s="145">
        <v>0</v>
      </c>
      <c r="FX96" s="143"/>
      <c r="FY96" s="146" t="str">
        <f>_xlfn.XLOOKUP($E96,'Key assumptions'!$B$112:$B$120,'Key assumptions'!$C$112:$C$120,0)</f>
        <v>Nominal</v>
      </c>
      <c r="FZ96" s="146" cm="1">
        <f t="array" ref="FZ96">IF($FY96=0,0,_xlfn.IFS($FY96='Key assumptions'!$C$120,_xlfn.XLOOKUP(LEFT(FZ$7,6),Inflation_Year,Inflation_NominaltoReal),TRUE,_xlfn.XLOOKUP($FY96,Inflation_Year,NominaltoReal)))</f>
        <v>1.0197075870962191</v>
      </c>
      <c r="GA96" s="146" cm="1">
        <f t="array" ref="GA96">IF($FY96=0,0,_xlfn.IFS($FY96='Key assumptions'!$C$120,_xlfn.XLOOKUP(LEFT(GA$7,6),Inflation_Year,Inflation_NominaltoReal),TRUE,_xlfn.XLOOKUP($FY96,Inflation_Year,NominaltoReal)))</f>
        <v>0.98700804022984445</v>
      </c>
      <c r="GB96" s="146" cm="1">
        <f t="array" ref="GB96">IF($FY96=0,0,_xlfn.IFS($FY96='Key assumptions'!$C$120,_xlfn.XLOOKUP(LEFT(GB$7,6),Inflation_Year,Inflation_NominaltoReal),TRUE,_xlfn.XLOOKUP($FY96,Inflation_Year,NominaltoReal)))</f>
        <v>0.96152830081941731</v>
      </c>
      <c r="GC96" s="146" cm="1">
        <f t="array" ref="GC96">IF($FY96=0,0,_xlfn.IFS($FY96='Key assumptions'!$C$120,_xlfn.XLOOKUP(LEFT(GC$7,6),Inflation_Year,Inflation_NominaltoReal),TRUE,_xlfn.XLOOKUP($FY96,Inflation_Year,NominaltoReal)))</f>
        <v>0.93670632415656829</v>
      </c>
      <c r="GD96" s="146" cm="1">
        <f t="array" ref="GD96">IF($FY96=0,0,_xlfn.IFS($FY96='Key assumptions'!$C$120,_xlfn.XLOOKUP(LEFT(GD$7,6),Inflation_Year,Inflation_NominaltoReal),TRUE,_xlfn.XLOOKUP($FY96,Inflation_Year,NominaltoReal)))</f>
        <v>0.91252513001143176</v>
      </c>
      <c r="GE96" s="146" cm="1">
        <f t="array" ref="GE96">IF($FY96=0,0,_xlfn.IFS($FY96='Key assumptions'!$C$120,_xlfn.XLOOKUP(LEFT(GE$7,6),Inflation_Year,Inflation_NominaltoReal),TRUE,_xlfn.XLOOKUP($FY96,Inflation_Year,NominaltoReal)))</f>
        <v>0.88896817650095872</v>
      </c>
      <c r="GF96" s="146" cm="1">
        <f t="array" ref="GF96">IF($FY96=0,0,_xlfn.IFS($FY96='Key assumptions'!$C$120,_xlfn.XLOOKUP(LEFT(GF$7,6),Inflation_Year,Inflation_NominaltoReal),TRUE,_xlfn.XLOOKUP($FY96,Inflation_Year,NominaltoReal)))</f>
        <v>0.86601934877293718</v>
      </c>
      <c r="GG96" s="143"/>
      <c r="GH96" s="145" cm="1">
        <f t="array" ref="GH96">SUMPRODUCT(--($CR$7:$FW$7&gt;=GH$5),--($CR$7:$FW$7&lt;=GH$6),$CR96:$FW96)*FZ96</f>
        <v>73249.674811469798</v>
      </c>
      <c r="GI96" s="145" cm="1">
        <f t="array" ref="GI96">SUMPRODUCT(--($CR$7:$FW$7&gt;=GI$5),--($CR$7:$FW$7&lt;=GI$6),$CR96:$FW96)*GA96</f>
        <v>171903.58778748522</v>
      </c>
      <c r="GJ96" s="145" cm="1">
        <f t="array" ref="GJ96">SUMPRODUCT(--($CR$7:$FW$7&gt;=GJ$5),--($CR$7:$FW$7&lt;=GJ$6),$CR96:$FW96)*GB96</f>
        <v>162464.95626757512</v>
      </c>
      <c r="GK96" s="145" cm="1">
        <f t="array" ref="GK96">SUMPRODUCT(--($CR$7:$FW$7&gt;=GK$5),--($CR$7:$FW$7&lt;=GK$6),$CR96:$FW96)*GC96</f>
        <v>0</v>
      </c>
      <c r="GL96" s="145" cm="1">
        <f t="array" ref="GL96">SUMPRODUCT(--($CR$7:$FW$7&gt;=GL$5),--($CR$7:$FW$7&lt;=GL$6),$CR96:$FW96)*GD96</f>
        <v>0</v>
      </c>
      <c r="GM96" s="145" cm="1">
        <f t="array" ref="GM96">SUMPRODUCT(--($CR$7:$FW$7&gt;=GM$5),--($CR$7:$FW$7&lt;=GM$6),$CR96:$FW96)*GE96</f>
        <v>0</v>
      </c>
      <c r="GN96" s="145" cm="1">
        <f t="array" ref="GN96">SUMPRODUCT(--($CR$7:$FW$7&gt;=GN$5),--($CR$7:$FW$7&lt;=GN$6),$CR96:$FW96)*GF96</f>
        <v>0</v>
      </c>
      <c r="GO96" s="145">
        <f t="shared" si="23"/>
        <v>407618.21886653011</v>
      </c>
      <c r="GP96" s="87"/>
      <c r="GQ96" s="89"/>
      <c r="GR96" s="145" cm="1">
        <f t="array" ref="GR96">SUMPRODUCT(--($CR$7:$FW$7&gt;=GR$5),--($CR$7:$FW$7&lt;=GR$6),$CR96:$FW96)</f>
        <v>27502.16</v>
      </c>
      <c r="GS96" s="89"/>
      <c r="GT96" s="214" cm="1">
        <f t="array" ref="GT96">--AND(MIN(IF($K96:$CP96&lt;&gt;0,$K$7:$CP$7))&gt;=GT$5,MIN(IF($K96:$CP96&lt;&gt;0,$K$7:$CP$7))&lt;=GT$6)</f>
        <v>1</v>
      </c>
      <c r="GU96" s="214" cm="1">
        <f t="array" ref="GU96">--AND(MIN(IF($K96:$CP96&lt;&gt;0,$K$7:$CP$7))&gt;=GU$5,MIN(IF($K96:$CP96&lt;&gt;0,$K$7:$CP$7))&lt;=GU$6)</f>
        <v>0</v>
      </c>
      <c r="GV96" s="214" cm="1">
        <f t="array" ref="GV96">--AND(MIN(IF($K96:$CP96&lt;&gt;0,$K$7:$CP$7))&gt;=GV$5,MIN(IF($K96:$CP96&lt;&gt;0,$K$7:$CP$7))&lt;=GV$6)</f>
        <v>0</v>
      </c>
      <c r="GW96" s="214" cm="1">
        <f t="array" ref="GW96">--AND(MIN(IF($K96:$CP96&lt;&gt;0,$K$7:$CP$7))&gt;=GW$5,MIN(IF($K96:$CP96&lt;&gt;0,$K$7:$CP$7))&lt;=GW$6)</f>
        <v>0</v>
      </c>
      <c r="GX96" s="214" cm="1">
        <f t="array" ref="GX96">--AND(MIN(IF($K96:$CP96&lt;&gt;0,$K$7:$CP$7))&gt;=GX$5,MIN(IF($K96:$CP96&lt;&gt;0,$K$7:$CP$7))&lt;=GX$6)</f>
        <v>0</v>
      </c>
      <c r="GY96" s="214" cm="1">
        <f t="array" ref="GY96">--AND(MIN(IF($K96:$CP96&lt;&gt;0,$K$7:$CP$7))&gt;=GY$5,MIN(IF($K96:$CP96&lt;&gt;0,$K$7:$CP$7))&lt;=GY$6)</f>
        <v>0</v>
      </c>
      <c r="GZ96" s="214" cm="1">
        <f t="array" ref="GZ96">--AND(MIN(IF($K96:$CP96&lt;&gt;0,$K$7:$CP$7))&gt;=GZ$5,MIN(IF($K96:$CP96&lt;&gt;0,$K$7:$CP$7))&lt;=GZ$6)</f>
        <v>0</v>
      </c>
      <c r="HA96" s="214">
        <f t="shared" si="24"/>
        <v>1</v>
      </c>
      <c r="HC96" s="214" cm="1">
        <f t="array" ref="HC96">--AND(MIN(IF($K96:$CP96&lt;&gt;0,$K$7:$CP$7))&gt;=HC$5,MIN(IF($K96:$CP96&lt;&gt;0,$K$7:$CP$7))&lt;=HC$6)</f>
        <v>1</v>
      </c>
      <c r="HE96" s="147" t="str">
        <f t="shared" si="43"/>
        <v>No</v>
      </c>
      <c r="HF96" s="147" t="str">
        <f t="shared" si="44"/>
        <v>Yes</v>
      </c>
      <c r="HG96" s="147">
        <f>IF($HF96="Yes",0,$H96*avg_hrs*12*'Key assumptions'!$D$87)</f>
        <v>0</v>
      </c>
      <c r="HH96" s="147">
        <f>IF(HE96="Yes",'Key assumptions'!$D$84*HG96,0)</f>
        <v>0</v>
      </c>
      <c r="HI96" s="144">
        <f>IFERROR(AVERAGEIFS($K96:$CP96,$K$7:$CP$7,"&gt;="&amp;'Key assumptions'!$D$24,$K$7:$CP$7,"&lt;="&amp;'Key assumptions'!$D$25),0)</f>
        <v>0.1682900432900433</v>
      </c>
      <c r="HJ96" s="148">
        <f t="shared" si="25"/>
        <v>0</v>
      </c>
      <c r="HK96" s="148">
        <f t="shared" si="26"/>
        <v>0</v>
      </c>
      <c r="HL96" s="148">
        <f t="shared" si="27"/>
        <v>0</v>
      </c>
      <c r="HM96" s="148">
        <f t="shared" si="28"/>
        <v>0</v>
      </c>
      <c r="HN96" s="148">
        <f t="shared" si="29"/>
        <v>0</v>
      </c>
      <c r="HO96" s="148">
        <f t="shared" si="30"/>
        <v>0</v>
      </c>
      <c r="HP96" s="148">
        <f t="shared" si="31"/>
        <v>0</v>
      </c>
      <c r="HQ96" s="148">
        <f t="shared" si="32"/>
        <v>0</v>
      </c>
      <c r="HR96" s="147">
        <f t="shared" si="33"/>
        <v>0</v>
      </c>
      <c r="HU96" s="147">
        <f>$HJ96*HC96/(1+'Key assumptions'!G118)^0.75</f>
        <v>0</v>
      </c>
      <c r="HW96" s="216">
        <f t="shared" si="34"/>
        <v>0.1682900432900433</v>
      </c>
      <c r="HX96" s="216">
        <f t="shared" si="35"/>
        <v>0</v>
      </c>
      <c r="HY96" s="216">
        <f t="shared" si="36"/>
        <v>0</v>
      </c>
      <c r="HZ96" s="216">
        <f t="shared" si="37"/>
        <v>0</v>
      </c>
      <c r="IA96" s="216">
        <f t="shared" si="38"/>
        <v>0</v>
      </c>
      <c r="IB96" s="216">
        <f t="shared" si="39"/>
        <v>0</v>
      </c>
      <c r="IC96" s="216">
        <f t="shared" si="40"/>
        <v>0</v>
      </c>
      <c r="ID96" s="216">
        <f t="shared" si="41"/>
        <v>0.1682900432900433</v>
      </c>
      <c r="IF96" s="216">
        <f t="shared" si="42"/>
        <v>0.1682900432900433</v>
      </c>
    </row>
    <row r="97" spans="2:240" x14ac:dyDescent="0.2">
      <c r="B97" s="141" t="str">
        <v>Land and Environment</v>
      </c>
      <c r="C97" s="141" t="str">
        <v>Environment Officer (Safety and Environmental Delivery)</v>
      </c>
      <c r="D97" s="141" t="str">
        <v>Internal Labour</v>
      </c>
      <c r="E97" s="141" t="str">
        <v>$ Nominal</v>
      </c>
      <c r="F97" s="141" t="str">
        <v>Existing</v>
      </c>
      <c r="G97" s="141" t="str">
        <v>Normal time</v>
      </c>
      <c r="H97" s="142">
        <v>210.04</v>
      </c>
      <c r="I97" s="126">
        <v>153458.66200000001</v>
      </c>
      <c r="J97" s="143">
        <v>0</v>
      </c>
      <c r="K97" s="144">
        <v>0</v>
      </c>
      <c r="L97" s="144">
        <v>0</v>
      </c>
      <c r="M97" s="144">
        <v>0</v>
      </c>
      <c r="N97" s="144">
        <v>0</v>
      </c>
      <c r="O97" s="144">
        <v>0</v>
      </c>
      <c r="P97" s="144">
        <v>0</v>
      </c>
      <c r="Q97" s="144">
        <v>0</v>
      </c>
      <c r="R97" s="144">
        <v>0</v>
      </c>
      <c r="S97" s="144">
        <v>0</v>
      </c>
      <c r="T97" s="144">
        <v>0</v>
      </c>
      <c r="U97" s="144">
        <v>0</v>
      </c>
      <c r="V97" s="144">
        <v>0</v>
      </c>
      <c r="W97" s="144">
        <v>0</v>
      </c>
      <c r="X97" s="144">
        <v>0</v>
      </c>
      <c r="Y97" s="144">
        <v>0.1</v>
      </c>
      <c r="Z97" s="144">
        <v>0.13333333333333333</v>
      </c>
      <c r="AA97" s="144">
        <v>0.15657894736842107</v>
      </c>
      <c r="AB97" s="144">
        <v>0.16578947368421051</v>
      </c>
      <c r="AC97" s="144">
        <v>0.19</v>
      </c>
      <c r="AD97" s="144">
        <v>0.15</v>
      </c>
      <c r="AE97" s="144">
        <v>0.18</v>
      </c>
      <c r="AF97" s="144">
        <v>0.18</v>
      </c>
      <c r="AG97" s="144">
        <v>0.17</v>
      </c>
      <c r="AH97" s="144">
        <v>0.16</v>
      </c>
      <c r="AI97" s="144">
        <v>0.3066666666666667</v>
      </c>
      <c r="AJ97" s="144">
        <v>0.16</v>
      </c>
      <c r="AK97" s="144">
        <v>0.16</v>
      </c>
      <c r="AL97" s="144">
        <v>0.25333333333333335</v>
      </c>
      <c r="AM97" s="144">
        <v>0.16578947368421051</v>
      </c>
      <c r="AN97" s="144">
        <v>0.15657894736842107</v>
      </c>
      <c r="AO97" s="144">
        <v>0.18</v>
      </c>
      <c r="AP97" s="144">
        <v>0.17</v>
      </c>
      <c r="AQ97" s="144">
        <v>0.18</v>
      </c>
      <c r="AR97" s="144">
        <v>0.18</v>
      </c>
      <c r="AS97" s="144">
        <v>0.17</v>
      </c>
      <c r="AT97" s="144">
        <v>0.21333333333333332</v>
      </c>
      <c r="AU97" s="144">
        <v>0.25333333333333335</v>
      </c>
      <c r="AV97" s="144">
        <v>0.16</v>
      </c>
      <c r="AW97" s="144">
        <v>0.19</v>
      </c>
      <c r="AX97" s="144">
        <v>0.21333333333333332</v>
      </c>
      <c r="AY97" s="144">
        <v>0.17500000000000002</v>
      </c>
      <c r="AZ97" s="144">
        <v>0.17500000000000002</v>
      </c>
      <c r="BA97" s="144">
        <v>0.16</v>
      </c>
      <c r="BB97" s="144">
        <v>0.18</v>
      </c>
      <c r="BC97" s="144">
        <v>0</v>
      </c>
      <c r="BD97" s="144">
        <v>0</v>
      </c>
      <c r="BE97" s="144">
        <v>0</v>
      </c>
      <c r="BF97" s="144">
        <v>0</v>
      </c>
      <c r="BG97" s="144">
        <v>0</v>
      </c>
      <c r="BH97" s="144">
        <v>0</v>
      </c>
      <c r="BI97" s="144">
        <v>0</v>
      </c>
      <c r="BJ97" s="144">
        <v>0</v>
      </c>
      <c r="BK97" s="144">
        <v>0</v>
      </c>
      <c r="BL97" s="144">
        <v>0</v>
      </c>
      <c r="BM97" s="144">
        <v>0</v>
      </c>
      <c r="BN97" s="144">
        <v>0</v>
      </c>
      <c r="BO97" s="144">
        <v>0</v>
      </c>
      <c r="BP97" s="144">
        <v>0</v>
      </c>
      <c r="BQ97" s="144">
        <v>0</v>
      </c>
      <c r="BR97" s="144">
        <v>0</v>
      </c>
      <c r="BS97" s="144">
        <v>0</v>
      </c>
      <c r="BT97" s="144">
        <v>0</v>
      </c>
      <c r="BU97" s="144">
        <v>0</v>
      </c>
      <c r="BV97" s="144">
        <v>0</v>
      </c>
      <c r="BW97" s="144">
        <v>0</v>
      </c>
      <c r="BX97" s="144">
        <v>0</v>
      </c>
      <c r="BY97" s="144">
        <v>0</v>
      </c>
      <c r="BZ97" s="144">
        <v>0</v>
      </c>
      <c r="CA97" s="144">
        <v>0</v>
      </c>
      <c r="CB97" s="144">
        <v>0</v>
      </c>
      <c r="CC97" s="144">
        <v>0</v>
      </c>
      <c r="CD97" s="144">
        <v>0</v>
      </c>
      <c r="CE97" s="144">
        <v>0</v>
      </c>
      <c r="CF97" s="144">
        <v>0</v>
      </c>
      <c r="CG97" s="144">
        <v>0</v>
      </c>
      <c r="CH97" s="144">
        <v>0</v>
      </c>
      <c r="CI97" s="144">
        <v>0</v>
      </c>
      <c r="CJ97" s="144">
        <v>0</v>
      </c>
      <c r="CK97" s="144">
        <v>0</v>
      </c>
      <c r="CL97" s="144">
        <v>0</v>
      </c>
      <c r="CM97" s="144">
        <v>0</v>
      </c>
      <c r="CN97" s="144">
        <v>0</v>
      </c>
      <c r="CO97" s="144">
        <v>0</v>
      </c>
      <c r="CP97" s="144">
        <v>0</v>
      </c>
      <c r="CQ97" s="143">
        <v>0</v>
      </c>
      <c r="CR97" s="145">
        <v>0</v>
      </c>
      <c r="CS97" s="145">
        <v>0</v>
      </c>
      <c r="CT97" s="145">
        <v>0</v>
      </c>
      <c r="CU97" s="145">
        <v>0</v>
      </c>
      <c r="CV97" s="145">
        <v>0</v>
      </c>
      <c r="CW97" s="145">
        <v>0</v>
      </c>
      <c r="CX97" s="145">
        <v>0</v>
      </c>
      <c r="CY97" s="145">
        <v>0</v>
      </c>
      <c r="CZ97" s="145">
        <v>0</v>
      </c>
      <c r="DA97" s="145">
        <v>0</v>
      </c>
      <c r="DB97" s="145">
        <v>0</v>
      </c>
      <c r="DC97" s="145">
        <v>0</v>
      </c>
      <c r="DD97" s="145">
        <v>0</v>
      </c>
      <c r="DE97" s="145">
        <v>0</v>
      </c>
      <c r="DF97" s="145">
        <v>2940.56</v>
      </c>
      <c r="DG97" s="145">
        <v>2940.56</v>
      </c>
      <c r="DH97" s="145">
        <v>4998.9520000000002</v>
      </c>
      <c r="DI97" s="145">
        <v>5293.0079999999998</v>
      </c>
      <c r="DJ97" s="145">
        <v>5587.0640000000003</v>
      </c>
      <c r="DK97" s="145">
        <v>4410.84</v>
      </c>
      <c r="DL97" s="145">
        <v>5293.0079999999998</v>
      </c>
      <c r="DM97" s="145">
        <v>5293.0079999999998</v>
      </c>
      <c r="DN97" s="145">
        <v>4998.9520000000002</v>
      </c>
      <c r="DO97" s="145">
        <v>3528.672</v>
      </c>
      <c r="DP97" s="145">
        <v>6763.2880000000005</v>
      </c>
      <c r="DQ97" s="145">
        <v>4704.8959999999997</v>
      </c>
      <c r="DR97" s="145">
        <v>4848.0320000000002</v>
      </c>
      <c r="DS97" s="145">
        <v>5757.0380000000005</v>
      </c>
      <c r="DT97" s="145">
        <v>5454.0360000000001</v>
      </c>
      <c r="DU97" s="145">
        <v>5151.0340000000006</v>
      </c>
      <c r="DV97" s="145">
        <v>5454.0360000000001</v>
      </c>
      <c r="DW97" s="145">
        <v>5151.0340000000006</v>
      </c>
      <c r="DX97" s="145">
        <v>5454.0360000000001</v>
      </c>
      <c r="DY97" s="145">
        <v>5454.0360000000001</v>
      </c>
      <c r="DZ97" s="145">
        <v>5151.0340000000006</v>
      </c>
      <c r="EA97" s="145">
        <v>4848.0320000000002</v>
      </c>
      <c r="EB97" s="145">
        <v>5757.0380000000005</v>
      </c>
      <c r="EC97" s="145">
        <v>4848.0320000000002</v>
      </c>
      <c r="ED97" s="145">
        <v>5927.0119999999997</v>
      </c>
      <c r="EE97" s="145">
        <v>4991.1679999999997</v>
      </c>
      <c r="EF97" s="145">
        <v>5927.0119999999997</v>
      </c>
      <c r="EG97" s="145">
        <v>5927.0119999999997</v>
      </c>
      <c r="EH97" s="145">
        <v>4991.1679999999997</v>
      </c>
      <c r="EI97" s="145">
        <v>5615.0639999999994</v>
      </c>
      <c r="EJ97" s="145">
        <v>0</v>
      </c>
      <c r="EK97" s="145">
        <v>0</v>
      </c>
      <c r="EL97" s="145">
        <v>0</v>
      </c>
      <c r="EM97" s="145">
        <v>0</v>
      </c>
      <c r="EN97" s="145">
        <v>0</v>
      </c>
      <c r="EO97" s="145">
        <v>0</v>
      </c>
      <c r="EP97" s="145">
        <v>0</v>
      </c>
      <c r="EQ97" s="145">
        <v>0</v>
      </c>
      <c r="ER97" s="145">
        <v>0</v>
      </c>
      <c r="ES97" s="145">
        <v>0</v>
      </c>
      <c r="ET97" s="145">
        <v>0</v>
      </c>
      <c r="EU97" s="145">
        <v>0</v>
      </c>
      <c r="EV97" s="145">
        <v>0</v>
      </c>
      <c r="EW97" s="145">
        <v>0</v>
      </c>
      <c r="EX97" s="145">
        <v>0</v>
      </c>
      <c r="EY97" s="145">
        <v>0</v>
      </c>
      <c r="EZ97" s="145">
        <v>0</v>
      </c>
      <c r="FA97" s="145">
        <v>0</v>
      </c>
      <c r="FB97" s="145">
        <v>0</v>
      </c>
      <c r="FC97" s="145">
        <v>0</v>
      </c>
      <c r="FD97" s="145">
        <v>0</v>
      </c>
      <c r="FE97" s="145">
        <v>0</v>
      </c>
      <c r="FF97" s="145">
        <v>0</v>
      </c>
      <c r="FG97" s="145">
        <v>0</v>
      </c>
      <c r="FH97" s="145">
        <v>0</v>
      </c>
      <c r="FI97" s="145">
        <v>0</v>
      </c>
      <c r="FJ97" s="145">
        <v>0</v>
      </c>
      <c r="FK97" s="145">
        <v>0</v>
      </c>
      <c r="FL97" s="145">
        <v>0</v>
      </c>
      <c r="FM97" s="145">
        <v>0</v>
      </c>
      <c r="FN97" s="145">
        <v>0</v>
      </c>
      <c r="FO97" s="145">
        <v>0</v>
      </c>
      <c r="FP97" s="145">
        <v>0</v>
      </c>
      <c r="FQ97" s="145">
        <v>0</v>
      </c>
      <c r="FR97" s="145">
        <v>0</v>
      </c>
      <c r="FS97" s="145">
        <v>0</v>
      </c>
      <c r="FT97" s="145">
        <v>0</v>
      </c>
      <c r="FU97" s="145">
        <v>0</v>
      </c>
      <c r="FV97" s="145">
        <v>0</v>
      </c>
      <c r="FW97" s="145">
        <v>0</v>
      </c>
      <c r="FX97" s="143"/>
      <c r="FY97" s="146" t="str">
        <f>_xlfn.XLOOKUP($E97,'Key assumptions'!$B$112:$B$120,'Key assumptions'!$C$112:$C$120,0)</f>
        <v>Nominal</v>
      </c>
      <c r="FZ97" s="146" cm="1">
        <f t="array" ref="FZ97">IF($FY97=0,0,_xlfn.IFS($FY97='Key assumptions'!$C$120,_xlfn.XLOOKUP(LEFT(FZ$7,6),Inflation_Year,Inflation_NominaltoReal),TRUE,_xlfn.XLOOKUP($FY97,Inflation_Year,NominaltoReal)))</f>
        <v>1.0197075870962191</v>
      </c>
      <c r="GA97" s="146" cm="1">
        <f t="array" ref="GA97">IF($FY97=0,0,_xlfn.IFS($FY97='Key assumptions'!$C$120,_xlfn.XLOOKUP(LEFT(GA$7,6),Inflation_Year,Inflation_NominaltoReal),TRUE,_xlfn.XLOOKUP($FY97,Inflation_Year,NominaltoReal)))</f>
        <v>0.98700804022984445</v>
      </c>
      <c r="GB97" s="146" cm="1">
        <f t="array" ref="GB97">IF($FY97=0,0,_xlfn.IFS($FY97='Key assumptions'!$C$120,_xlfn.XLOOKUP(LEFT(GB$7,6),Inflation_Year,Inflation_NominaltoReal),TRUE,_xlfn.XLOOKUP($FY97,Inflation_Year,NominaltoReal)))</f>
        <v>0.96152830081941731</v>
      </c>
      <c r="GC97" s="146" cm="1">
        <f t="array" ref="GC97">IF($FY97=0,0,_xlfn.IFS($FY97='Key assumptions'!$C$120,_xlfn.XLOOKUP(LEFT(GC$7,6),Inflation_Year,Inflation_NominaltoReal),TRUE,_xlfn.XLOOKUP($FY97,Inflation_Year,NominaltoReal)))</f>
        <v>0.93670632415656829</v>
      </c>
      <c r="GD97" s="146" cm="1">
        <f t="array" ref="GD97">IF($FY97=0,0,_xlfn.IFS($FY97='Key assumptions'!$C$120,_xlfn.XLOOKUP(LEFT(GD$7,6),Inflation_Year,Inflation_NominaltoReal),TRUE,_xlfn.XLOOKUP($FY97,Inflation_Year,NominaltoReal)))</f>
        <v>0.91252513001143176</v>
      </c>
      <c r="GE97" s="146" cm="1">
        <f t="array" ref="GE97">IF($FY97=0,0,_xlfn.IFS($FY97='Key assumptions'!$C$120,_xlfn.XLOOKUP(LEFT(GE$7,6),Inflation_Year,Inflation_NominaltoReal),TRUE,_xlfn.XLOOKUP($FY97,Inflation_Year,NominaltoReal)))</f>
        <v>0.88896817650095872</v>
      </c>
      <c r="GF97" s="146" cm="1">
        <f t="array" ref="GF97">IF($FY97=0,0,_xlfn.IFS($FY97='Key assumptions'!$C$120,_xlfn.XLOOKUP(LEFT(GF$7,6),Inflation_Year,Inflation_NominaltoReal),TRUE,_xlfn.XLOOKUP($FY97,Inflation_Year,NominaltoReal)))</f>
        <v>0.86601934877293718</v>
      </c>
      <c r="GG97" s="143"/>
      <c r="GH97" s="145" cm="1">
        <f t="array" ref="GH97">SUMPRODUCT(--($CR$7:$FW$7&gt;=GH$5),--($CR$7:$FW$7&lt;=GH$6),$CR97:$FW97)*FZ97</f>
        <v>32084.07136273474</v>
      </c>
      <c r="GI97" s="145" cm="1">
        <f t="array" ref="GI97">SUMPRODUCT(--($CR$7:$FW$7&gt;=GI$5),--($CR$7:$FW$7&lt;=GI$6),$CR97:$FW97)*GA97</f>
        <v>61745.310175197104</v>
      </c>
      <c r="GJ97" s="145" cm="1">
        <f t="array" ref="GJ97">SUMPRODUCT(--($CR$7:$FW$7&gt;=GJ$5),--($CR$7:$FW$7&lt;=GJ$6),$CR97:$FW97)*GB97</f>
        <v>57149.980696709783</v>
      </c>
      <c r="GK97" s="145" cm="1">
        <f t="array" ref="GK97">SUMPRODUCT(--($CR$7:$FW$7&gt;=GK$5),--($CR$7:$FW$7&lt;=GK$6),$CR97:$FW97)*GC97</f>
        <v>0</v>
      </c>
      <c r="GL97" s="145" cm="1">
        <f t="array" ref="GL97">SUMPRODUCT(--($CR$7:$FW$7&gt;=GL$5),--($CR$7:$FW$7&lt;=GL$6),$CR97:$FW97)*GD97</f>
        <v>0</v>
      </c>
      <c r="GM97" s="145" cm="1">
        <f t="array" ref="GM97">SUMPRODUCT(--($CR$7:$FW$7&gt;=GM$5),--($CR$7:$FW$7&lt;=GM$6),$CR97:$FW97)*GE97</f>
        <v>0</v>
      </c>
      <c r="GN97" s="145" cm="1">
        <f t="array" ref="GN97">SUMPRODUCT(--($CR$7:$FW$7&gt;=GN$5),--($CR$7:$FW$7&lt;=GN$6),$CR97:$FW97)*GF97</f>
        <v>0</v>
      </c>
      <c r="GO97" s="145">
        <f t="shared" si="23"/>
        <v>150979.36223464162</v>
      </c>
      <c r="GP97" s="87"/>
      <c r="GQ97" s="89"/>
      <c r="GR97" s="145" cm="1">
        <f t="array" ref="GR97">SUMPRODUCT(--($CR$7:$FW$7&gt;=GR$5),--($CR$7:$FW$7&lt;=GR$6),$CR97:$FW97)</f>
        <v>16173.08</v>
      </c>
      <c r="GS97" s="89"/>
      <c r="GT97" s="214" cm="1">
        <f t="array" ref="GT97">--AND(MIN(IF($K97:$CP97&lt;&gt;0,$K$7:$CP$7))&gt;=GT$5,MIN(IF($K97:$CP97&lt;&gt;0,$K$7:$CP$7))&lt;=GT$6)</f>
        <v>1</v>
      </c>
      <c r="GU97" s="214" cm="1">
        <f t="array" ref="GU97">--AND(MIN(IF($K97:$CP97&lt;&gt;0,$K$7:$CP$7))&gt;=GU$5,MIN(IF($K97:$CP97&lt;&gt;0,$K$7:$CP$7))&lt;=GU$6)</f>
        <v>0</v>
      </c>
      <c r="GV97" s="214" cm="1">
        <f t="array" ref="GV97">--AND(MIN(IF($K97:$CP97&lt;&gt;0,$K$7:$CP$7))&gt;=GV$5,MIN(IF($K97:$CP97&lt;&gt;0,$K$7:$CP$7))&lt;=GV$6)</f>
        <v>0</v>
      </c>
      <c r="GW97" s="214" cm="1">
        <f t="array" ref="GW97">--AND(MIN(IF($K97:$CP97&lt;&gt;0,$K$7:$CP$7))&gt;=GW$5,MIN(IF($K97:$CP97&lt;&gt;0,$K$7:$CP$7))&lt;=GW$6)</f>
        <v>0</v>
      </c>
      <c r="GX97" s="214" cm="1">
        <f t="array" ref="GX97">--AND(MIN(IF($K97:$CP97&lt;&gt;0,$K$7:$CP$7))&gt;=GX$5,MIN(IF($K97:$CP97&lt;&gt;0,$K$7:$CP$7))&lt;=GX$6)</f>
        <v>0</v>
      </c>
      <c r="GY97" s="214" cm="1">
        <f t="array" ref="GY97">--AND(MIN(IF($K97:$CP97&lt;&gt;0,$K$7:$CP$7))&gt;=GY$5,MIN(IF($K97:$CP97&lt;&gt;0,$K$7:$CP$7))&lt;=GY$6)</f>
        <v>0</v>
      </c>
      <c r="GZ97" s="214" cm="1">
        <f t="array" ref="GZ97">--AND(MIN(IF($K97:$CP97&lt;&gt;0,$K$7:$CP$7))&gt;=GZ$5,MIN(IF($K97:$CP97&lt;&gt;0,$K$7:$CP$7))&lt;=GZ$6)</f>
        <v>0</v>
      </c>
      <c r="HA97" s="214">
        <f t="shared" si="24"/>
        <v>1</v>
      </c>
      <c r="HC97" s="214" cm="1">
        <f t="array" ref="HC97">--AND(MIN(IF($K97:$CP97&lt;&gt;0,$K$7:$CP$7))&gt;=HC$5,MIN(IF($K97:$CP97&lt;&gt;0,$K$7:$CP$7))&lt;=HC$6)</f>
        <v>1</v>
      </c>
      <c r="HE97" s="147" t="str">
        <f t="shared" si="43"/>
        <v>No</v>
      </c>
      <c r="HF97" s="147" t="str">
        <f t="shared" si="44"/>
        <v>No</v>
      </c>
      <c r="HG97" s="147">
        <f>IF($HF97="Yes",0,$H97*avg_hrs*12*'Key assumptions'!$D$87)</f>
        <v>375608.02275576669</v>
      </c>
      <c r="HH97" s="147">
        <f>IF(HE97="Yes",'Key assumptions'!$D$84*HG97,0)</f>
        <v>0</v>
      </c>
      <c r="HI97" s="144">
        <f>IFERROR(AVERAGEIFS($K97:$CP97,$K$7:$CP$7,"&gt;="&amp;'Key assumptions'!$D$24,$K$7:$CP$7,"&lt;="&amp;'Key assumptions'!$D$25),0)</f>
        <v>0.12245614035087721</v>
      </c>
      <c r="HJ97" s="148">
        <f t="shared" si="25"/>
        <v>0</v>
      </c>
      <c r="HK97" s="148">
        <f t="shared" si="26"/>
        <v>0</v>
      </c>
      <c r="HL97" s="148">
        <f t="shared" si="27"/>
        <v>0</v>
      </c>
      <c r="HM97" s="148">
        <f t="shared" si="28"/>
        <v>0</v>
      </c>
      <c r="HN97" s="148">
        <f t="shared" si="29"/>
        <v>0</v>
      </c>
      <c r="HO97" s="148">
        <f t="shared" si="30"/>
        <v>0</v>
      </c>
      <c r="HP97" s="148">
        <f t="shared" si="31"/>
        <v>0</v>
      </c>
      <c r="HQ97" s="148">
        <f t="shared" si="32"/>
        <v>0</v>
      </c>
      <c r="HR97" s="147">
        <f t="shared" si="33"/>
        <v>0</v>
      </c>
      <c r="HU97" s="147">
        <f>$HJ97*HC97/(1+'Key assumptions'!G119)^0.75</f>
        <v>0</v>
      </c>
      <c r="HW97" s="216">
        <f t="shared" si="34"/>
        <v>0.12245614035087721</v>
      </c>
      <c r="HX97" s="216">
        <f t="shared" si="35"/>
        <v>0</v>
      </c>
      <c r="HY97" s="216">
        <f t="shared" si="36"/>
        <v>0</v>
      </c>
      <c r="HZ97" s="216">
        <f t="shared" si="37"/>
        <v>0</v>
      </c>
      <c r="IA97" s="216">
        <f t="shared" si="38"/>
        <v>0</v>
      </c>
      <c r="IB97" s="216">
        <f t="shared" si="39"/>
        <v>0</v>
      </c>
      <c r="IC97" s="216">
        <f t="shared" si="40"/>
        <v>0</v>
      </c>
      <c r="ID97" s="216">
        <f t="shared" si="41"/>
        <v>0.12245614035087721</v>
      </c>
      <c r="IF97" s="216">
        <f t="shared" si="42"/>
        <v>0.12245614035087721</v>
      </c>
    </row>
    <row r="98" spans="2:240" x14ac:dyDescent="0.2">
      <c r="B98" s="141" t="str">
        <v>Land and Environment</v>
      </c>
      <c r="C98" s="141" t="str">
        <v>Environment Officer (Safety and Environmental Delivery)</v>
      </c>
      <c r="D98" s="141" t="str">
        <v>Internal Labour</v>
      </c>
      <c r="E98" s="141" t="str">
        <v>$ Nominal</v>
      </c>
      <c r="F98" s="141">
        <v>0</v>
      </c>
      <c r="G98" s="141" t="str">
        <v>Overtime</v>
      </c>
      <c r="H98" s="142">
        <v>210.04</v>
      </c>
      <c r="I98" s="126">
        <v>254821.32600000003</v>
      </c>
      <c r="J98" s="143">
        <v>0</v>
      </c>
      <c r="K98" s="144">
        <v>0</v>
      </c>
      <c r="L98" s="144">
        <v>0</v>
      </c>
      <c r="M98" s="144">
        <v>0</v>
      </c>
      <c r="N98" s="144">
        <v>0</v>
      </c>
      <c r="O98" s="144">
        <v>0</v>
      </c>
      <c r="P98" s="144">
        <v>0</v>
      </c>
      <c r="Q98" s="144">
        <v>0</v>
      </c>
      <c r="R98" s="144">
        <v>0</v>
      </c>
      <c r="S98" s="144">
        <v>0</v>
      </c>
      <c r="T98" s="144">
        <v>0</v>
      </c>
      <c r="U98" s="144">
        <v>0</v>
      </c>
      <c r="V98" s="144">
        <v>0</v>
      </c>
      <c r="W98" s="144">
        <v>0</v>
      </c>
      <c r="X98" s="144">
        <v>0</v>
      </c>
      <c r="Y98" s="144">
        <v>0</v>
      </c>
      <c r="Z98" s="144">
        <v>0</v>
      </c>
      <c r="AA98" s="144">
        <v>0.13026315789473686</v>
      </c>
      <c r="AB98" s="144">
        <v>0.13421052631578947</v>
      </c>
      <c r="AC98" s="144">
        <v>0.1842857142857143</v>
      </c>
      <c r="AD98" s="144">
        <v>0.13285714285714287</v>
      </c>
      <c r="AE98" s="144">
        <v>0.14571428571428571</v>
      </c>
      <c r="AF98" s="144">
        <v>0.14571428571428571</v>
      </c>
      <c r="AG98" s="144">
        <v>0.14142857142857143</v>
      </c>
      <c r="AH98" s="144">
        <v>0.16</v>
      </c>
      <c r="AI98" s="144">
        <v>0.26857142857142857</v>
      </c>
      <c r="AJ98" s="144">
        <v>0.13714285714285715</v>
      </c>
      <c r="AK98" s="144">
        <v>0.13714285714285715</v>
      </c>
      <c r="AL98" s="144">
        <v>0.2</v>
      </c>
      <c r="AM98" s="144">
        <v>0.15</v>
      </c>
      <c r="AN98" s="144">
        <v>0.14605263157894735</v>
      </c>
      <c r="AO98" s="144">
        <v>0.14571428571428571</v>
      </c>
      <c r="AP98" s="144">
        <v>0.14142857142857143</v>
      </c>
      <c r="AQ98" s="144">
        <v>0.14571428571428571</v>
      </c>
      <c r="AR98" s="144">
        <v>0.14571428571428571</v>
      </c>
      <c r="AS98" s="144">
        <v>0.17571428571428571</v>
      </c>
      <c r="AT98" s="144">
        <v>0.13714285714285715</v>
      </c>
      <c r="AU98" s="144">
        <v>0.24571428571428572</v>
      </c>
      <c r="AV98" s="144">
        <v>0.13714285714285715</v>
      </c>
      <c r="AW98" s="144">
        <v>0.15</v>
      </c>
      <c r="AX98" s="144">
        <v>0.18285714285714286</v>
      </c>
      <c r="AY98" s="144">
        <v>0.16973684210526316</v>
      </c>
      <c r="AZ98" s="144">
        <v>0.16973684210526316</v>
      </c>
      <c r="BA98" s="144">
        <v>0.13714285714285715</v>
      </c>
      <c r="BB98" s="144">
        <v>0.14571428571428571</v>
      </c>
      <c r="BC98" s="144">
        <v>0</v>
      </c>
      <c r="BD98" s="144">
        <v>0</v>
      </c>
      <c r="BE98" s="144">
        <v>0</v>
      </c>
      <c r="BF98" s="144">
        <v>0</v>
      </c>
      <c r="BG98" s="144">
        <v>0</v>
      </c>
      <c r="BH98" s="144">
        <v>0</v>
      </c>
      <c r="BI98" s="144">
        <v>0</v>
      </c>
      <c r="BJ98" s="144">
        <v>0</v>
      </c>
      <c r="BK98" s="144">
        <v>0</v>
      </c>
      <c r="BL98" s="144">
        <v>0</v>
      </c>
      <c r="BM98" s="144">
        <v>0</v>
      </c>
      <c r="BN98" s="144">
        <v>0</v>
      </c>
      <c r="BO98" s="144">
        <v>0</v>
      </c>
      <c r="BP98" s="144">
        <v>0</v>
      </c>
      <c r="BQ98" s="144">
        <v>0</v>
      </c>
      <c r="BR98" s="144">
        <v>0</v>
      </c>
      <c r="BS98" s="144">
        <v>0</v>
      </c>
      <c r="BT98" s="144">
        <v>0</v>
      </c>
      <c r="BU98" s="144">
        <v>0</v>
      </c>
      <c r="BV98" s="144">
        <v>0</v>
      </c>
      <c r="BW98" s="144">
        <v>0</v>
      </c>
      <c r="BX98" s="144">
        <v>0</v>
      </c>
      <c r="BY98" s="144">
        <v>0</v>
      </c>
      <c r="BZ98" s="144">
        <v>0</v>
      </c>
      <c r="CA98" s="144">
        <v>0</v>
      </c>
      <c r="CB98" s="144">
        <v>0</v>
      </c>
      <c r="CC98" s="144">
        <v>0</v>
      </c>
      <c r="CD98" s="144">
        <v>0</v>
      </c>
      <c r="CE98" s="144">
        <v>0</v>
      </c>
      <c r="CF98" s="144">
        <v>0</v>
      </c>
      <c r="CG98" s="144">
        <v>0</v>
      </c>
      <c r="CH98" s="144">
        <v>0</v>
      </c>
      <c r="CI98" s="144">
        <v>0</v>
      </c>
      <c r="CJ98" s="144">
        <v>0</v>
      </c>
      <c r="CK98" s="144">
        <v>0</v>
      </c>
      <c r="CL98" s="144">
        <v>0</v>
      </c>
      <c r="CM98" s="144">
        <v>0</v>
      </c>
      <c r="CN98" s="144">
        <v>0</v>
      </c>
      <c r="CO98" s="144">
        <v>0</v>
      </c>
      <c r="CP98" s="144">
        <v>0</v>
      </c>
      <c r="CQ98" s="143">
        <v>0</v>
      </c>
      <c r="CR98" s="145">
        <v>0</v>
      </c>
      <c r="CS98" s="145">
        <v>0</v>
      </c>
      <c r="CT98" s="145">
        <v>0</v>
      </c>
      <c r="CU98" s="145">
        <v>0</v>
      </c>
      <c r="CV98" s="145">
        <v>0</v>
      </c>
      <c r="CW98" s="145">
        <v>0</v>
      </c>
      <c r="CX98" s="145">
        <v>0</v>
      </c>
      <c r="CY98" s="145">
        <v>0</v>
      </c>
      <c r="CZ98" s="145">
        <v>0</v>
      </c>
      <c r="DA98" s="145">
        <v>0</v>
      </c>
      <c r="DB98" s="145">
        <v>0</v>
      </c>
      <c r="DC98" s="145">
        <v>0</v>
      </c>
      <c r="DD98" s="145">
        <v>0</v>
      </c>
      <c r="DE98" s="145">
        <v>0</v>
      </c>
      <c r="DF98" s="145">
        <v>0</v>
      </c>
      <c r="DG98" s="145">
        <v>0</v>
      </c>
      <c r="DH98" s="145">
        <v>8317.3860000000004</v>
      </c>
      <c r="DI98" s="145">
        <v>8569.4279999999999</v>
      </c>
      <c r="DJ98" s="145">
        <v>10837.806</v>
      </c>
      <c r="DK98" s="145">
        <v>7813.3020000000006</v>
      </c>
      <c r="DL98" s="145">
        <v>8569.4279999999999</v>
      </c>
      <c r="DM98" s="145">
        <v>8569.4279999999999</v>
      </c>
      <c r="DN98" s="145">
        <v>8317.3860000000004</v>
      </c>
      <c r="DO98" s="145">
        <v>7057.1760000000004</v>
      </c>
      <c r="DP98" s="145">
        <v>11845.974</v>
      </c>
      <c r="DQ98" s="145">
        <v>8065.3439999999991</v>
      </c>
      <c r="DR98" s="145">
        <v>8310.9120000000003</v>
      </c>
      <c r="DS98" s="145">
        <v>9090.06</v>
      </c>
      <c r="DT98" s="145">
        <v>9869.2080000000005</v>
      </c>
      <c r="DU98" s="145">
        <v>9609.4920000000002</v>
      </c>
      <c r="DV98" s="145">
        <v>8830.3439999999991</v>
      </c>
      <c r="DW98" s="145">
        <v>8570.6280000000006</v>
      </c>
      <c r="DX98" s="145">
        <v>8830.3439999999991</v>
      </c>
      <c r="DY98" s="145">
        <v>8830.3439999999991</v>
      </c>
      <c r="DZ98" s="145">
        <v>10648.356000000002</v>
      </c>
      <c r="EA98" s="145">
        <v>6233.1840000000002</v>
      </c>
      <c r="EB98" s="145">
        <v>11167.788</v>
      </c>
      <c r="EC98" s="145">
        <v>8310.9120000000003</v>
      </c>
      <c r="ED98" s="145">
        <v>9358.44</v>
      </c>
      <c r="EE98" s="145">
        <v>8556.2879999999986</v>
      </c>
      <c r="EF98" s="145">
        <v>11497.512000000001</v>
      </c>
      <c r="EG98" s="145">
        <v>11497.512000000001</v>
      </c>
      <c r="EH98" s="145">
        <v>8556.2879999999986</v>
      </c>
      <c r="EI98" s="145">
        <v>9091.0559999999987</v>
      </c>
      <c r="EJ98" s="145">
        <v>0</v>
      </c>
      <c r="EK98" s="145">
        <v>0</v>
      </c>
      <c r="EL98" s="145">
        <v>0</v>
      </c>
      <c r="EM98" s="145">
        <v>0</v>
      </c>
      <c r="EN98" s="145">
        <v>0</v>
      </c>
      <c r="EO98" s="145">
        <v>0</v>
      </c>
      <c r="EP98" s="145">
        <v>0</v>
      </c>
      <c r="EQ98" s="145">
        <v>0</v>
      </c>
      <c r="ER98" s="145">
        <v>0</v>
      </c>
      <c r="ES98" s="145">
        <v>0</v>
      </c>
      <c r="ET98" s="145">
        <v>0</v>
      </c>
      <c r="EU98" s="145">
        <v>0</v>
      </c>
      <c r="EV98" s="145">
        <v>0</v>
      </c>
      <c r="EW98" s="145">
        <v>0</v>
      </c>
      <c r="EX98" s="145">
        <v>0</v>
      </c>
      <c r="EY98" s="145">
        <v>0</v>
      </c>
      <c r="EZ98" s="145">
        <v>0</v>
      </c>
      <c r="FA98" s="145">
        <v>0</v>
      </c>
      <c r="FB98" s="145">
        <v>0</v>
      </c>
      <c r="FC98" s="145">
        <v>0</v>
      </c>
      <c r="FD98" s="145">
        <v>0</v>
      </c>
      <c r="FE98" s="145">
        <v>0</v>
      </c>
      <c r="FF98" s="145">
        <v>0</v>
      </c>
      <c r="FG98" s="145">
        <v>0</v>
      </c>
      <c r="FH98" s="145">
        <v>0</v>
      </c>
      <c r="FI98" s="145">
        <v>0</v>
      </c>
      <c r="FJ98" s="145">
        <v>0</v>
      </c>
      <c r="FK98" s="145">
        <v>0</v>
      </c>
      <c r="FL98" s="145">
        <v>0</v>
      </c>
      <c r="FM98" s="145">
        <v>0</v>
      </c>
      <c r="FN98" s="145">
        <v>0</v>
      </c>
      <c r="FO98" s="145">
        <v>0</v>
      </c>
      <c r="FP98" s="145">
        <v>0</v>
      </c>
      <c r="FQ98" s="145">
        <v>0</v>
      </c>
      <c r="FR98" s="145">
        <v>0</v>
      </c>
      <c r="FS98" s="145">
        <v>0</v>
      </c>
      <c r="FT98" s="145">
        <v>0</v>
      </c>
      <c r="FU98" s="145">
        <v>0</v>
      </c>
      <c r="FV98" s="145">
        <v>0</v>
      </c>
      <c r="FW98" s="145">
        <v>0</v>
      </c>
      <c r="FX98" s="143"/>
      <c r="FY98" s="146" t="str">
        <f>_xlfn.XLOOKUP($E98,'Key assumptions'!$B$112:$B$120,'Key assumptions'!$C$112:$C$120,0)</f>
        <v>Nominal</v>
      </c>
      <c r="FZ98" s="146" cm="1">
        <f t="array" ref="FZ98">IF($FY98=0,0,_xlfn.IFS($FY98='Key assumptions'!$C$120,_xlfn.XLOOKUP(LEFT(FZ$7,6),Inflation_Year,Inflation_NominaltoReal),TRUE,_xlfn.XLOOKUP($FY98,Inflation_Year,NominaltoReal)))</f>
        <v>1.0197075870962191</v>
      </c>
      <c r="GA98" s="146" cm="1">
        <f t="array" ref="GA98">IF($FY98=0,0,_xlfn.IFS($FY98='Key assumptions'!$C$120,_xlfn.XLOOKUP(LEFT(GA$7,6),Inflation_Year,Inflation_NominaltoReal),TRUE,_xlfn.XLOOKUP($FY98,Inflation_Year,NominaltoReal)))</f>
        <v>0.98700804022984445</v>
      </c>
      <c r="GB98" s="146" cm="1">
        <f t="array" ref="GB98">IF($FY98=0,0,_xlfn.IFS($FY98='Key assumptions'!$C$120,_xlfn.XLOOKUP(LEFT(GB$7,6),Inflation_Year,Inflation_NominaltoReal),TRUE,_xlfn.XLOOKUP($FY98,Inflation_Year,NominaltoReal)))</f>
        <v>0.96152830081941731</v>
      </c>
      <c r="GC98" s="146" cm="1">
        <f t="array" ref="GC98">IF($FY98=0,0,_xlfn.IFS($FY98='Key assumptions'!$C$120,_xlfn.XLOOKUP(LEFT(GC$7,6),Inflation_Year,Inflation_NominaltoReal),TRUE,_xlfn.XLOOKUP($FY98,Inflation_Year,NominaltoReal)))</f>
        <v>0.93670632415656829</v>
      </c>
      <c r="GD98" s="146" cm="1">
        <f t="array" ref="GD98">IF($FY98=0,0,_xlfn.IFS($FY98='Key assumptions'!$C$120,_xlfn.XLOOKUP(LEFT(GD$7,6),Inflation_Year,Inflation_NominaltoReal),TRUE,_xlfn.XLOOKUP($FY98,Inflation_Year,NominaltoReal)))</f>
        <v>0.91252513001143176</v>
      </c>
      <c r="GE98" s="146" cm="1">
        <f t="array" ref="GE98">IF($FY98=0,0,_xlfn.IFS($FY98='Key assumptions'!$C$120,_xlfn.XLOOKUP(LEFT(GE$7,6),Inflation_Year,Inflation_NominaltoReal),TRUE,_xlfn.XLOOKUP($FY98,Inflation_Year,NominaltoReal)))</f>
        <v>0.88896817650095872</v>
      </c>
      <c r="GF98" s="146" cm="1">
        <f t="array" ref="GF98">IF($FY98=0,0,_xlfn.IFS($FY98='Key assumptions'!$C$120,_xlfn.XLOOKUP(LEFT(GF$7,6),Inflation_Year,Inflation_NominaltoReal),TRUE,_xlfn.XLOOKUP($FY98,Inflation_Year,NominaltoReal)))</f>
        <v>0.86601934877293718</v>
      </c>
      <c r="GG98" s="143"/>
      <c r="GH98" s="145" cm="1">
        <f t="array" ref="GH98">SUMPRODUCT(--($CR$7:$FW$7&gt;=GH$5),--($CR$7:$FW$7&lt;=GH$6),$CR98:$FW98)*FZ98</f>
        <v>44976.599441708422</v>
      </c>
      <c r="GI98" s="145" cm="1">
        <f t="array" ref="GI98">SUMPRODUCT(--($CR$7:$FW$7&gt;=GI$5),--($CR$7:$FW$7&lt;=GI$6),$CR98:$FW98)*GA98</f>
        <v>105576.59418560544</v>
      </c>
      <c r="GJ98" s="145" cm="1">
        <f t="array" ref="GJ98">SUMPRODUCT(--($CR$7:$FW$7&gt;=GJ$5),--($CR$7:$FW$7&lt;=GJ$6),$CR98:$FW98)*GB98</f>
        <v>99756.330464356652</v>
      </c>
      <c r="GK98" s="145" cm="1">
        <f t="array" ref="GK98">SUMPRODUCT(--($CR$7:$FW$7&gt;=GK$5),--($CR$7:$FW$7&lt;=GK$6),$CR98:$FW98)*GC98</f>
        <v>0</v>
      </c>
      <c r="GL98" s="145" cm="1">
        <f t="array" ref="GL98">SUMPRODUCT(--($CR$7:$FW$7&gt;=GL$5),--($CR$7:$FW$7&lt;=GL$6),$CR98:$FW98)*GD98</f>
        <v>0</v>
      </c>
      <c r="GM98" s="145" cm="1">
        <f t="array" ref="GM98">SUMPRODUCT(--($CR$7:$FW$7&gt;=GM$5),--($CR$7:$FW$7&lt;=GM$6),$CR98:$FW98)*GE98</f>
        <v>0</v>
      </c>
      <c r="GN98" s="145" cm="1">
        <f t="array" ref="GN98">SUMPRODUCT(--($CR$7:$FW$7&gt;=GN$5),--($CR$7:$FW$7&lt;=GN$6),$CR98:$FW98)*GF98</f>
        <v>0</v>
      </c>
      <c r="GO98" s="145">
        <f t="shared" si="23"/>
        <v>250309.52409167052</v>
      </c>
      <c r="GP98" s="87"/>
      <c r="GQ98" s="89"/>
      <c r="GR98" s="145" cm="1">
        <f t="array" ref="GR98">SUMPRODUCT(--($CR$7:$FW$7&gt;=GR$5),--($CR$7:$FW$7&lt;=GR$6),$CR98:$FW98)</f>
        <v>16886.813999999998</v>
      </c>
      <c r="GS98" s="89"/>
      <c r="GT98" s="214" cm="1">
        <f t="array" ref="GT98">--AND(MIN(IF($K98:$CP98&lt;&gt;0,$K$7:$CP$7))&gt;=GT$5,MIN(IF($K98:$CP98&lt;&gt;0,$K$7:$CP$7))&lt;=GT$6)</f>
        <v>1</v>
      </c>
      <c r="GU98" s="214" cm="1">
        <f t="array" ref="GU98">--AND(MIN(IF($K98:$CP98&lt;&gt;0,$K$7:$CP$7))&gt;=GU$5,MIN(IF($K98:$CP98&lt;&gt;0,$K$7:$CP$7))&lt;=GU$6)</f>
        <v>0</v>
      </c>
      <c r="GV98" s="214" cm="1">
        <f t="array" ref="GV98">--AND(MIN(IF($K98:$CP98&lt;&gt;0,$K$7:$CP$7))&gt;=GV$5,MIN(IF($K98:$CP98&lt;&gt;0,$K$7:$CP$7))&lt;=GV$6)</f>
        <v>0</v>
      </c>
      <c r="GW98" s="214" cm="1">
        <f t="array" ref="GW98">--AND(MIN(IF($K98:$CP98&lt;&gt;0,$K$7:$CP$7))&gt;=GW$5,MIN(IF($K98:$CP98&lt;&gt;0,$K$7:$CP$7))&lt;=GW$6)</f>
        <v>0</v>
      </c>
      <c r="GX98" s="214" cm="1">
        <f t="array" ref="GX98">--AND(MIN(IF($K98:$CP98&lt;&gt;0,$K$7:$CP$7))&gt;=GX$5,MIN(IF($K98:$CP98&lt;&gt;0,$K$7:$CP$7))&lt;=GX$6)</f>
        <v>0</v>
      </c>
      <c r="GY98" s="214" cm="1">
        <f t="array" ref="GY98">--AND(MIN(IF($K98:$CP98&lt;&gt;0,$K$7:$CP$7))&gt;=GY$5,MIN(IF($K98:$CP98&lt;&gt;0,$K$7:$CP$7))&lt;=GY$6)</f>
        <v>0</v>
      </c>
      <c r="GZ98" s="214" cm="1">
        <f t="array" ref="GZ98">--AND(MIN(IF($K98:$CP98&lt;&gt;0,$K$7:$CP$7))&gt;=GZ$5,MIN(IF($K98:$CP98&lt;&gt;0,$K$7:$CP$7))&lt;=GZ$6)</f>
        <v>0</v>
      </c>
      <c r="HA98" s="214">
        <f t="shared" si="24"/>
        <v>1</v>
      </c>
      <c r="HC98" s="214" cm="1">
        <f t="array" ref="HC98">--AND(MIN(IF($K98:$CP98&lt;&gt;0,$K$7:$CP$7))&gt;=HC$5,MIN(IF($K98:$CP98&lt;&gt;0,$K$7:$CP$7))&lt;=HC$6)</f>
        <v>1</v>
      </c>
      <c r="HE98" s="147" t="str">
        <f t="shared" si="43"/>
        <v>No</v>
      </c>
      <c r="HF98" s="147" t="str">
        <f t="shared" si="44"/>
        <v>Yes</v>
      </c>
      <c r="HG98" s="147">
        <f>IF($HF98="Yes",0,$H98*avg_hrs*12*'Key assumptions'!$D$87)</f>
        <v>0</v>
      </c>
      <c r="HH98" s="147">
        <f>IF(HE98="Yes",'Key assumptions'!$D$84*HG98,0)</f>
        <v>0</v>
      </c>
      <c r="HI98" s="144">
        <f>IFERROR(AVERAGEIFS($K98:$CP98,$K$7:$CP$7,"&gt;="&amp;'Key assumptions'!$D$24,$K$7:$CP$7,"&lt;="&amp;'Key assumptions'!$D$25),0)</f>
        <v>0.10097402597402598</v>
      </c>
      <c r="HJ98" s="148">
        <f t="shared" si="25"/>
        <v>0</v>
      </c>
      <c r="HK98" s="148">
        <f t="shared" si="26"/>
        <v>0</v>
      </c>
      <c r="HL98" s="148">
        <f t="shared" si="27"/>
        <v>0</v>
      </c>
      <c r="HM98" s="148">
        <f t="shared" si="28"/>
        <v>0</v>
      </c>
      <c r="HN98" s="148">
        <f t="shared" si="29"/>
        <v>0</v>
      </c>
      <c r="HO98" s="148">
        <f t="shared" si="30"/>
        <v>0</v>
      </c>
      <c r="HP98" s="148">
        <f t="shared" si="31"/>
        <v>0</v>
      </c>
      <c r="HQ98" s="148">
        <f t="shared" si="32"/>
        <v>0</v>
      </c>
      <c r="HR98" s="147">
        <f t="shared" si="33"/>
        <v>0</v>
      </c>
      <c r="HU98" s="147">
        <f>$HJ98*HC98/(1+'Key assumptions'!G120)^0.75</f>
        <v>0</v>
      </c>
      <c r="HW98" s="216">
        <f t="shared" si="34"/>
        <v>0.10097402597402598</v>
      </c>
      <c r="HX98" s="216">
        <f t="shared" si="35"/>
        <v>0</v>
      </c>
      <c r="HY98" s="216">
        <f t="shared" si="36"/>
        <v>0</v>
      </c>
      <c r="HZ98" s="216">
        <f t="shared" si="37"/>
        <v>0</v>
      </c>
      <c r="IA98" s="216">
        <f t="shared" si="38"/>
        <v>0</v>
      </c>
      <c r="IB98" s="216">
        <f t="shared" si="39"/>
        <v>0</v>
      </c>
      <c r="IC98" s="216">
        <f t="shared" si="40"/>
        <v>0</v>
      </c>
      <c r="ID98" s="216">
        <f t="shared" si="41"/>
        <v>0.10097402597402598</v>
      </c>
      <c r="IF98" s="216">
        <f t="shared" si="42"/>
        <v>0.10097402597402598</v>
      </c>
    </row>
    <row r="99" spans="2:240" x14ac:dyDescent="0.2">
      <c r="B99" s="141" t="str">
        <v>Land and Environment</v>
      </c>
      <c r="C99" s="141" t="str">
        <v>Environment Officer (Safety and Environmental Delivery)</v>
      </c>
      <c r="D99" s="141" t="str">
        <v>Internal Labour</v>
      </c>
      <c r="E99" s="141" t="str">
        <v>$ Nominal</v>
      </c>
      <c r="F99" s="141" t="str">
        <v>New</v>
      </c>
      <c r="G99" s="141" t="str">
        <v>Normal time</v>
      </c>
      <c r="H99" s="142">
        <v>210.04</v>
      </c>
      <c r="I99" s="126">
        <v>147577.54200000004</v>
      </c>
      <c r="J99" s="143">
        <v>0</v>
      </c>
      <c r="K99" s="144">
        <v>0</v>
      </c>
      <c r="L99" s="144">
        <v>0</v>
      </c>
      <c r="M99" s="144">
        <v>0</v>
      </c>
      <c r="N99" s="144">
        <v>0</v>
      </c>
      <c r="O99" s="144">
        <v>0</v>
      </c>
      <c r="P99" s="144">
        <v>0</v>
      </c>
      <c r="Q99" s="144">
        <v>0</v>
      </c>
      <c r="R99" s="144">
        <v>0</v>
      </c>
      <c r="S99" s="144">
        <v>0</v>
      </c>
      <c r="T99" s="144">
        <v>0</v>
      </c>
      <c r="U99" s="144">
        <v>0</v>
      </c>
      <c r="V99" s="144">
        <v>0</v>
      </c>
      <c r="W99" s="144">
        <v>0</v>
      </c>
      <c r="X99" s="144">
        <v>0</v>
      </c>
      <c r="Y99" s="144">
        <v>0</v>
      </c>
      <c r="Z99" s="144">
        <v>0</v>
      </c>
      <c r="AA99" s="144">
        <v>0.15657894736842107</v>
      </c>
      <c r="AB99" s="144">
        <v>0.16578947368421051</v>
      </c>
      <c r="AC99" s="144">
        <v>0.19</v>
      </c>
      <c r="AD99" s="144">
        <v>0.15</v>
      </c>
      <c r="AE99" s="144">
        <v>0.18</v>
      </c>
      <c r="AF99" s="144">
        <v>0.18</v>
      </c>
      <c r="AG99" s="144">
        <v>0.17</v>
      </c>
      <c r="AH99" s="144">
        <v>0.16</v>
      </c>
      <c r="AI99" s="144">
        <v>0.3066666666666667</v>
      </c>
      <c r="AJ99" s="144">
        <v>0.16</v>
      </c>
      <c r="AK99" s="144">
        <v>0.16</v>
      </c>
      <c r="AL99" s="144">
        <v>0.25333333333333335</v>
      </c>
      <c r="AM99" s="144">
        <v>0.16578947368421051</v>
      </c>
      <c r="AN99" s="144">
        <v>0.15657894736842107</v>
      </c>
      <c r="AO99" s="144">
        <v>0.18</v>
      </c>
      <c r="AP99" s="144">
        <v>0.17</v>
      </c>
      <c r="AQ99" s="144">
        <v>0.18</v>
      </c>
      <c r="AR99" s="144">
        <v>0.18</v>
      </c>
      <c r="AS99" s="144">
        <v>0.17</v>
      </c>
      <c r="AT99" s="144">
        <v>0.21333333333333332</v>
      </c>
      <c r="AU99" s="144">
        <v>0.25333333333333335</v>
      </c>
      <c r="AV99" s="144">
        <v>0.16</v>
      </c>
      <c r="AW99" s="144">
        <v>0.19</v>
      </c>
      <c r="AX99" s="144">
        <v>0.21333333333333332</v>
      </c>
      <c r="AY99" s="144">
        <v>0.17500000000000002</v>
      </c>
      <c r="AZ99" s="144">
        <v>0.17500000000000002</v>
      </c>
      <c r="BA99" s="144">
        <v>0.16</v>
      </c>
      <c r="BB99" s="144">
        <v>0.18</v>
      </c>
      <c r="BC99" s="144">
        <v>0</v>
      </c>
      <c r="BD99" s="144">
        <v>0</v>
      </c>
      <c r="BE99" s="144">
        <v>0</v>
      </c>
      <c r="BF99" s="144">
        <v>0</v>
      </c>
      <c r="BG99" s="144">
        <v>0</v>
      </c>
      <c r="BH99" s="144">
        <v>0</v>
      </c>
      <c r="BI99" s="144">
        <v>0</v>
      </c>
      <c r="BJ99" s="144">
        <v>0</v>
      </c>
      <c r="BK99" s="144">
        <v>0</v>
      </c>
      <c r="BL99" s="144">
        <v>0</v>
      </c>
      <c r="BM99" s="144">
        <v>0</v>
      </c>
      <c r="BN99" s="144">
        <v>0</v>
      </c>
      <c r="BO99" s="144">
        <v>0</v>
      </c>
      <c r="BP99" s="144">
        <v>0</v>
      </c>
      <c r="BQ99" s="144">
        <v>0</v>
      </c>
      <c r="BR99" s="144">
        <v>0</v>
      </c>
      <c r="BS99" s="144">
        <v>0</v>
      </c>
      <c r="BT99" s="144">
        <v>0</v>
      </c>
      <c r="BU99" s="144">
        <v>0</v>
      </c>
      <c r="BV99" s="144">
        <v>0</v>
      </c>
      <c r="BW99" s="144">
        <v>0</v>
      </c>
      <c r="BX99" s="144">
        <v>0</v>
      </c>
      <c r="BY99" s="144">
        <v>0</v>
      </c>
      <c r="BZ99" s="144">
        <v>0</v>
      </c>
      <c r="CA99" s="144">
        <v>0</v>
      </c>
      <c r="CB99" s="144">
        <v>0</v>
      </c>
      <c r="CC99" s="144">
        <v>0</v>
      </c>
      <c r="CD99" s="144">
        <v>0</v>
      </c>
      <c r="CE99" s="144">
        <v>0</v>
      </c>
      <c r="CF99" s="144">
        <v>0</v>
      </c>
      <c r="CG99" s="144">
        <v>0</v>
      </c>
      <c r="CH99" s="144">
        <v>0</v>
      </c>
      <c r="CI99" s="144">
        <v>0</v>
      </c>
      <c r="CJ99" s="144">
        <v>0</v>
      </c>
      <c r="CK99" s="144">
        <v>0</v>
      </c>
      <c r="CL99" s="144">
        <v>0</v>
      </c>
      <c r="CM99" s="144">
        <v>0</v>
      </c>
      <c r="CN99" s="144">
        <v>0</v>
      </c>
      <c r="CO99" s="144">
        <v>0</v>
      </c>
      <c r="CP99" s="144">
        <v>0</v>
      </c>
      <c r="CQ99" s="143">
        <v>0</v>
      </c>
      <c r="CR99" s="145">
        <v>0</v>
      </c>
      <c r="CS99" s="145">
        <v>0</v>
      </c>
      <c r="CT99" s="145">
        <v>0</v>
      </c>
      <c r="CU99" s="145">
        <v>0</v>
      </c>
      <c r="CV99" s="145">
        <v>0</v>
      </c>
      <c r="CW99" s="145">
        <v>0</v>
      </c>
      <c r="CX99" s="145">
        <v>0</v>
      </c>
      <c r="CY99" s="145">
        <v>0</v>
      </c>
      <c r="CZ99" s="145">
        <v>0</v>
      </c>
      <c r="DA99" s="145">
        <v>0</v>
      </c>
      <c r="DB99" s="145">
        <v>0</v>
      </c>
      <c r="DC99" s="145">
        <v>0</v>
      </c>
      <c r="DD99" s="145">
        <v>0</v>
      </c>
      <c r="DE99" s="145">
        <v>0</v>
      </c>
      <c r="DF99" s="145">
        <v>0</v>
      </c>
      <c r="DG99" s="145">
        <v>0</v>
      </c>
      <c r="DH99" s="145">
        <v>4998.9520000000002</v>
      </c>
      <c r="DI99" s="145">
        <v>5293.0079999999998</v>
      </c>
      <c r="DJ99" s="145">
        <v>5587.0640000000003</v>
      </c>
      <c r="DK99" s="145">
        <v>4410.84</v>
      </c>
      <c r="DL99" s="145">
        <v>5293.0079999999998</v>
      </c>
      <c r="DM99" s="145">
        <v>5293.0079999999998</v>
      </c>
      <c r="DN99" s="145">
        <v>4998.9520000000002</v>
      </c>
      <c r="DO99" s="145">
        <v>3528.672</v>
      </c>
      <c r="DP99" s="145">
        <v>6763.2880000000005</v>
      </c>
      <c r="DQ99" s="145">
        <v>4704.8959999999997</v>
      </c>
      <c r="DR99" s="145">
        <v>4848.0320000000002</v>
      </c>
      <c r="DS99" s="145">
        <v>5757.0380000000005</v>
      </c>
      <c r="DT99" s="145">
        <v>5454.0360000000001</v>
      </c>
      <c r="DU99" s="145">
        <v>5151.0340000000006</v>
      </c>
      <c r="DV99" s="145">
        <v>5454.0360000000001</v>
      </c>
      <c r="DW99" s="145">
        <v>5151.0340000000006</v>
      </c>
      <c r="DX99" s="145">
        <v>5454.0360000000001</v>
      </c>
      <c r="DY99" s="145">
        <v>5454.0360000000001</v>
      </c>
      <c r="DZ99" s="145">
        <v>5151.0340000000006</v>
      </c>
      <c r="EA99" s="145">
        <v>4848.0320000000002</v>
      </c>
      <c r="EB99" s="145">
        <v>5757.0380000000005</v>
      </c>
      <c r="EC99" s="145">
        <v>4848.0320000000002</v>
      </c>
      <c r="ED99" s="145">
        <v>5927.0119999999997</v>
      </c>
      <c r="EE99" s="145">
        <v>4991.1679999999997</v>
      </c>
      <c r="EF99" s="145">
        <v>5927.0119999999997</v>
      </c>
      <c r="EG99" s="145">
        <v>5927.0119999999997</v>
      </c>
      <c r="EH99" s="145">
        <v>4991.1679999999997</v>
      </c>
      <c r="EI99" s="145">
        <v>5615.0639999999994</v>
      </c>
      <c r="EJ99" s="145">
        <v>0</v>
      </c>
      <c r="EK99" s="145">
        <v>0</v>
      </c>
      <c r="EL99" s="145">
        <v>0</v>
      </c>
      <c r="EM99" s="145">
        <v>0</v>
      </c>
      <c r="EN99" s="145">
        <v>0</v>
      </c>
      <c r="EO99" s="145">
        <v>0</v>
      </c>
      <c r="EP99" s="145">
        <v>0</v>
      </c>
      <c r="EQ99" s="145">
        <v>0</v>
      </c>
      <c r="ER99" s="145">
        <v>0</v>
      </c>
      <c r="ES99" s="145">
        <v>0</v>
      </c>
      <c r="ET99" s="145">
        <v>0</v>
      </c>
      <c r="EU99" s="145">
        <v>0</v>
      </c>
      <c r="EV99" s="145">
        <v>0</v>
      </c>
      <c r="EW99" s="145">
        <v>0</v>
      </c>
      <c r="EX99" s="145">
        <v>0</v>
      </c>
      <c r="EY99" s="145">
        <v>0</v>
      </c>
      <c r="EZ99" s="145">
        <v>0</v>
      </c>
      <c r="FA99" s="145">
        <v>0</v>
      </c>
      <c r="FB99" s="145">
        <v>0</v>
      </c>
      <c r="FC99" s="145">
        <v>0</v>
      </c>
      <c r="FD99" s="145">
        <v>0</v>
      </c>
      <c r="FE99" s="145">
        <v>0</v>
      </c>
      <c r="FF99" s="145">
        <v>0</v>
      </c>
      <c r="FG99" s="145">
        <v>0</v>
      </c>
      <c r="FH99" s="145">
        <v>0</v>
      </c>
      <c r="FI99" s="145">
        <v>0</v>
      </c>
      <c r="FJ99" s="145">
        <v>0</v>
      </c>
      <c r="FK99" s="145">
        <v>0</v>
      </c>
      <c r="FL99" s="145">
        <v>0</v>
      </c>
      <c r="FM99" s="145">
        <v>0</v>
      </c>
      <c r="FN99" s="145">
        <v>0</v>
      </c>
      <c r="FO99" s="145">
        <v>0</v>
      </c>
      <c r="FP99" s="145">
        <v>0</v>
      </c>
      <c r="FQ99" s="145">
        <v>0</v>
      </c>
      <c r="FR99" s="145">
        <v>0</v>
      </c>
      <c r="FS99" s="145">
        <v>0</v>
      </c>
      <c r="FT99" s="145">
        <v>0</v>
      </c>
      <c r="FU99" s="145">
        <v>0</v>
      </c>
      <c r="FV99" s="145">
        <v>0</v>
      </c>
      <c r="FW99" s="145">
        <v>0</v>
      </c>
      <c r="FX99" s="143"/>
      <c r="FY99" s="146" t="str">
        <f>_xlfn.XLOOKUP($E99,'Key assumptions'!$B$112:$B$120,'Key assumptions'!$C$112:$C$120,0)</f>
        <v>Nominal</v>
      </c>
      <c r="FZ99" s="146" cm="1">
        <f t="array" ref="FZ99">IF($FY99=0,0,_xlfn.IFS($FY99='Key assumptions'!$C$120,_xlfn.XLOOKUP(LEFT(FZ$7,6),Inflation_Year,Inflation_NominaltoReal),TRUE,_xlfn.XLOOKUP($FY99,Inflation_Year,NominaltoReal)))</f>
        <v>1.0197075870962191</v>
      </c>
      <c r="GA99" s="146" cm="1">
        <f t="array" ref="GA99">IF($FY99=0,0,_xlfn.IFS($FY99='Key assumptions'!$C$120,_xlfn.XLOOKUP(LEFT(GA$7,6),Inflation_Year,Inflation_NominaltoReal),TRUE,_xlfn.XLOOKUP($FY99,Inflation_Year,NominaltoReal)))</f>
        <v>0.98700804022984445</v>
      </c>
      <c r="GB99" s="146" cm="1">
        <f t="array" ref="GB99">IF($FY99=0,0,_xlfn.IFS($FY99='Key assumptions'!$C$120,_xlfn.XLOOKUP(LEFT(GB$7,6),Inflation_Year,Inflation_NominaltoReal),TRUE,_xlfn.XLOOKUP($FY99,Inflation_Year,NominaltoReal)))</f>
        <v>0.96152830081941731</v>
      </c>
      <c r="GC99" s="146" cm="1">
        <f t="array" ref="GC99">IF($FY99=0,0,_xlfn.IFS($FY99='Key assumptions'!$C$120,_xlfn.XLOOKUP(LEFT(GC$7,6),Inflation_Year,Inflation_NominaltoReal),TRUE,_xlfn.XLOOKUP($FY99,Inflation_Year,NominaltoReal)))</f>
        <v>0.93670632415656829</v>
      </c>
      <c r="GD99" s="146" cm="1">
        <f t="array" ref="GD99">IF($FY99=0,0,_xlfn.IFS($FY99='Key assumptions'!$C$120,_xlfn.XLOOKUP(LEFT(GD$7,6),Inflation_Year,Inflation_NominaltoReal),TRUE,_xlfn.XLOOKUP($FY99,Inflation_Year,NominaltoReal)))</f>
        <v>0.91252513001143176</v>
      </c>
      <c r="GE99" s="146" cm="1">
        <f t="array" ref="GE99">IF($FY99=0,0,_xlfn.IFS($FY99='Key assumptions'!$C$120,_xlfn.XLOOKUP(LEFT(GE$7,6),Inflation_Year,Inflation_NominaltoReal),TRUE,_xlfn.XLOOKUP($FY99,Inflation_Year,NominaltoReal)))</f>
        <v>0.88896817650095872</v>
      </c>
      <c r="GF99" s="146" cm="1">
        <f t="array" ref="GF99">IF($FY99=0,0,_xlfn.IFS($FY99='Key assumptions'!$C$120,_xlfn.XLOOKUP(LEFT(GF$7,6),Inflation_Year,Inflation_NominaltoReal),TRUE,_xlfn.XLOOKUP($FY99,Inflation_Year,NominaltoReal)))</f>
        <v>0.86601934877293718</v>
      </c>
      <c r="GG99" s="143"/>
      <c r="GH99" s="145" cm="1">
        <f t="array" ref="GH99">SUMPRODUCT(--($CR$7:$FW$7&gt;=GH$5),--($CR$7:$FW$7&lt;=GH$6),$CR99:$FW99)*FZ99</f>
        <v>26087.048678111427</v>
      </c>
      <c r="GI99" s="145" cm="1">
        <f t="array" ref="GI99">SUMPRODUCT(--($CR$7:$FW$7&gt;=GI$5),--($CR$7:$FW$7&lt;=GI$6),$CR99:$FW99)*GA99</f>
        <v>61745.310175197104</v>
      </c>
      <c r="GJ99" s="145" cm="1">
        <f t="array" ref="GJ99">SUMPRODUCT(--($CR$7:$FW$7&gt;=GJ$5),--($CR$7:$FW$7&lt;=GJ$6),$CR99:$FW99)*GB99</f>
        <v>57149.980696709783</v>
      </c>
      <c r="GK99" s="145" cm="1">
        <f t="array" ref="GK99">SUMPRODUCT(--($CR$7:$FW$7&gt;=GK$5),--($CR$7:$FW$7&lt;=GK$6),$CR99:$FW99)*GC99</f>
        <v>0</v>
      </c>
      <c r="GL99" s="145" cm="1">
        <f t="array" ref="GL99">SUMPRODUCT(--($CR$7:$FW$7&gt;=GL$5),--($CR$7:$FW$7&lt;=GL$6),$CR99:$FW99)*GD99</f>
        <v>0</v>
      </c>
      <c r="GM99" s="145" cm="1">
        <f t="array" ref="GM99">SUMPRODUCT(--($CR$7:$FW$7&gt;=GM$5),--($CR$7:$FW$7&lt;=GM$6),$CR99:$FW99)*GE99</f>
        <v>0</v>
      </c>
      <c r="GN99" s="145" cm="1">
        <f t="array" ref="GN99">SUMPRODUCT(--($CR$7:$FW$7&gt;=GN$5),--($CR$7:$FW$7&lt;=GN$6),$CR99:$FW99)*GF99</f>
        <v>0</v>
      </c>
      <c r="GO99" s="145">
        <f t="shared" si="23"/>
        <v>144982.33955001831</v>
      </c>
      <c r="GP99" s="87"/>
      <c r="GQ99" s="89"/>
      <c r="GR99" s="145" cm="1">
        <f t="array" ref="GR99">SUMPRODUCT(--($CR$7:$FW$7&gt;=GR$5),--($CR$7:$FW$7&lt;=GR$6),$CR99:$FW99)</f>
        <v>10291.959999999999</v>
      </c>
      <c r="GS99" s="89"/>
      <c r="GT99" s="214" cm="1">
        <f t="array" ref="GT99">--AND(MIN(IF($K99:$CP99&lt;&gt;0,$K$7:$CP$7))&gt;=GT$5,MIN(IF($K99:$CP99&lt;&gt;0,$K$7:$CP$7))&lt;=GT$6)</f>
        <v>1</v>
      </c>
      <c r="GU99" s="214" cm="1">
        <f t="array" ref="GU99">--AND(MIN(IF($K99:$CP99&lt;&gt;0,$K$7:$CP$7))&gt;=GU$5,MIN(IF($K99:$CP99&lt;&gt;0,$K$7:$CP$7))&lt;=GU$6)</f>
        <v>0</v>
      </c>
      <c r="GV99" s="214" cm="1">
        <f t="array" ref="GV99">--AND(MIN(IF($K99:$CP99&lt;&gt;0,$K$7:$CP$7))&gt;=GV$5,MIN(IF($K99:$CP99&lt;&gt;0,$K$7:$CP$7))&lt;=GV$6)</f>
        <v>0</v>
      </c>
      <c r="GW99" s="214" cm="1">
        <f t="array" ref="GW99">--AND(MIN(IF($K99:$CP99&lt;&gt;0,$K$7:$CP$7))&gt;=GW$5,MIN(IF($K99:$CP99&lt;&gt;0,$K$7:$CP$7))&lt;=GW$6)</f>
        <v>0</v>
      </c>
      <c r="GX99" s="214" cm="1">
        <f t="array" ref="GX99">--AND(MIN(IF($K99:$CP99&lt;&gt;0,$K$7:$CP$7))&gt;=GX$5,MIN(IF($K99:$CP99&lt;&gt;0,$K$7:$CP$7))&lt;=GX$6)</f>
        <v>0</v>
      </c>
      <c r="GY99" s="214" cm="1">
        <f t="array" ref="GY99">--AND(MIN(IF($K99:$CP99&lt;&gt;0,$K$7:$CP$7))&gt;=GY$5,MIN(IF($K99:$CP99&lt;&gt;0,$K$7:$CP$7))&lt;=GY$6)</f>
        <v>0</v>
      </c>
      <c r="GZ99" s="214" cm="1">
        <f t="array" ref="GZ99">--AND(MIN(IF($K99:$CP99&lt;&gt;0,$K$7:$CP$7))&gt;=GZ$5,MIN(IF($K99:$CP99&lt;&gt;0,$K$7:$CP$7))&lt;=GZ$6)</f>
        <v>0</v>
      </c>
      <c r="HA99" s="214">
        <f t="shared" si="24"/>
        <v>1</v>
      </c>
      <c r="HC99" s="214" cm="1">
        <f t="array" ref="HC99">--AND(MIN(IF($K99:$CP99&lt;&gt;0,$K$7:$CP$7))&gt;=HC$5,MIN(IF($K99:$CP99&lt;&gt;0,$K$7:$CP$7))&lt;=HC$6)</f>
        <v>1</v>
      </c>
      <c r="HE99" s="147" t="str">
        <f t="shared" si="43"/>
        <v>Yes</v>
      </c>
      <c r="HF99" s="147" t="str">
        <f t="shared" si="44"/>
        <v>No</v>
      </c>
      <c r="HG99" s="147">
        <f>IF($HF99="Yes",0,$H99*avg_hrs*12*'Key assumptions'!$D$87)</f>
        <v>375608.02275576669</v>
      </c>
      <c r="HH99" s="147">
        <f>IF(HE99="Yes",'Key assumptions'!$D$84*HG99,0)</f>
        <v>56341.203413365001</v>
      </c>
      <c r="HI99" s="144">
        <f>IFERROR(AVERAGEIFS($K99:$CP99,$K$7:$CP$7,"&gt;="&amp;'Key assumptions'!$D$24,$K$7:$CP$7,"&lt;="&amp;'Key assumptions'!$D$25),0)</f>
        <v>0.11715311004784688</v>
      </c>
      <c r="HJ99" s="148">
        <f t="shared" si="25"/>
        <v>6600.5472037140762</v>
      </c>
      <c r="HK99" s="148">
        <f t="shared" si="26"/>
        <v>6600.5472037140762</v>
      </c>
      <c r="HL99" s="148">
        <f t="shared" si="27"/>
        <v>0</v>
      </c>
      <c r="HM99" s="148">
        <f t="shared" si="28"/>
        <v>0</v>
      </c>
      <c r="HN99" s="148">
        <f t="shared" si="29"/>
        <v>0</v>
      </c>
      <c r="HO99" s="148">
        <f t="shared" si="30"/>
        <v>0</v>
      </c>
      <c r="HP99" s="148">
        <f t="shared" si="31"/>
        <v>0</v>
      </c>
      <c r="HQ99" s="148">
        <f t="shared" si="32"/>
        <v>0</v>
      </c>
      <c r="HR99" s="147">
        <f t="shared" si="33"/>
        <v>6600.5472037140762</v>
      </c>
      <c r="HU99" s="147">
        <f>$HJ99*HC99/(1+'Key assumptions'!G121)^0.75</f>
        <v>6600.5472037140762</v>
      </c>
      <c r="HW99" s="216">
        <f t="shared" si="34"/>
        <v>0.11715311004784688</v>
      </c>
      <c r="HX99" s="216">
        <f t="shared" si="35"/>
        <v>0</v>
      </c>
      <c r="HY99" s="216">
        <f t="shared" si="36"/>
        <v>0</v>
      </c>
      <c r="HZ99" s="216">
        <f t="shared" si="37"/>
        <v>0</v>
      </c>
      <c r="IA99" s="216">
        <f t="shared" si="38"/>
        <v>0</v>
      </c>
      <c r="IB99" s="216">
        <f t="shared" si="39"/>
        <v>0</v>
      </c>
      <c r="IC99" s="216">
        <f t="shared" si="40"/>
        <v>0</v>
      </c>
      <c r="ID99" s="216">
        <f t="shared" si="41"/>
        <v>0.11715311004784688</v>
      </c>
      <c r="IF99" s="216">
        <f t="shared" si="42"/>
        <v>0.11715311004784688</v>
      </c>
    </row>
    <row r="100" spans="2:240" x14ac:dyDescent="0.2">
      <c r="B100" s="141" t="str">
        <v>Land and Environment</v>
      </c>
      <c r="C100" s="141" t="str">
        <v>Environment Officer (Safety and Environmental Delivery)</v>
      </c>
      <c r="D100" s="141" t="str">
        <v>Internal Labour</v>
      </c>
      <c r="E100" s="141" t="str">
        <v>$ Nominal</v>
      </c>
      <c r="F100" s="141">
        <v>0</v>
      </c>
      <c r="G100" s="141" t="str">
        <v>Overtime</v>
      </c>
      <c r="H100" s="142">
        <v>210.04</v>
      </c>
      <c r="I100" s="126">
        <v>254821.32600000003</v>
      </c>
      <c r="J100" s="143">
        <v>0</v>
      </c>
      <c r="K100" s="144">
        <v>0</v>
      </c>
      <c r="L100" s="144">
        <v>0</v>
      </c>
      <c r="M100" s="144">
        <v>0</v>
      </c>
      <c r="N100" s="144">
        <v>0</v>
      </c>
      <c r="O100" s="144">
        <v>0</v>
      </c>
      <c r="P100" s="144">
        <v>0</v>
      </c>
      <c r="Q100" s="144">
        <v>0</v>
      </c>
      <c r="R100" s="144">
        <v>0</v>
      </c>
      <c r="S100" s="144">
        <v>0</v>
      </c>
      <c r="T100" s="144">
        <v>0</v>
      </c>
      <c r="U100" s="144">
        <v>0</v>
      </c>
      <c r="V100" s="144">
        <v>0</v>
      </c>
      <c r="W100" s="144">
        <v>0</v>
      </c>
      <c r="X100" s="144">
        <v>0</v>
      </c>
      <c r="Y100" s="144">
        <v>0</v>
      </c>
      <c r="Z100" s="144">
        <v>0</v>
      </c>
      <c r="AA100" s="144">
        <v>0.13026315789473686</v>
      </c>
      <c r="AB100" s="144">
        <v>0.13421052631578947</v>
      </c>
      <c r="AC100" s="144">
        <v>0.1842857142857143</v>
      </c>
      <c r="AD100" s="144">
        <v>0.13285714285714287</v>
      </c>
      <c r="AE100" s="144">
        <v>0.14571428571428571</v>
      </c>
      <c r="AF100" s="144">
        <v>0.14571428571428571</v>
      </c>
      <c r="AG100" s="144">
        <v>0.14142857142857143</v>
      </c>
      <c r="AH100" s="144">
        <v>0.16</v>
      </c>
      <c r="AI100" s="144">
        <v>0.26857142857142857</v>
      </c>
      <c r="AJ100" s="144">
        <v>0.13714285714285715</v>
      </c>
      <c r="AK100" s="144">
        <v>0.13714285714285715</v>
      </c>
      <c r="AL100" s="144">
        <v>0.2</v>
      </c>
      <c r="AM100" s="144">
        <v>0.15</v>
      </c>
      <c r="AN100" s="144">
        <v>0.14605263157894735</v>
      </c>
      <c r="AO100" s="144">
        <v>0.14571428571428571</v>
      </c>
      <c r="AP100" s="144">
        <v>0.14142857142857143</v>
      </c>
      <c r="AQ100" s="144">
        <v>0.14571428571428571</v>
      </c>
      <c r="AR100" s="144">
        <v>0.14571428571428571</v>
      </c>
      <c r="AS100" s="144">
        <v>0.17571428571428571</v>
      </c>
      <c r="AT100" s="144">
        <v>0.13714285714285715</v>
      </c>
      <c r="AU100" s="144">
        <v>0.24571428571428572</v>
      </c>
      <c r="AV100" s="144">
        <v>0.13714285714285715</v>
      </c>
      <c r="AW100" s="144">
        <v>0.15</v>
      </c>
      <c r="AX100" s="144">
        <v>0.18285714285714286</v>
      </c>
      <c r="AY100" s="144">
        <v>0.16973684210526316</v>
      </c>
      <c r="AZ100" s="144">
        <v>0.16973684210526316</v>
      </c>
      <c r="BA100" s="144">
        <v>0.13714285714285715</v>
      </c>
      <c r="BB100" s="144">
        <v>0.14571428571428571</v>
      </c>
      <c r="BC100" s="144">
        <v>0</v>
      </c>
      <c r="BD100" s="144">
        <v>0</v>
      </c>
      <c r="BE100" s="144">
        <v>0</v>
      </c>
      <c r="BF100" s="144">
        <v>0</v>
      </c>
      <c r="BG100" s="144">
        <v>0</v>
      </c>
      <c r="BH100" s="144">
        <v>0</v>
      </c>
      <c r="BI100" s="144">
        <v>0</v>
      </c>
      <c r="BJ100" s="144">
        <v>0</v>
      </c>
      <c r="BK100" s="144">
        <v>0</v>
      </c>
      <c r="BL100" s="144">
        <v>0</v>
      </c>
      <c r="BM100" s="144">
        <v>0</v>
      </c>
      <c r="BN100" s="144">
        <v>0</v>
      </c>
      <c r="BO100" s="144">
        <v>0</v>
      </c>
      <c r="BP100" s="144">
        <v>0</v>
      </c>
      <c r="BQ100" s="144">
        <v>0</v>
      </c>
      <c r="BR100" s="144">
        <v>0</v>
      </c>
      <c r="BS100" s="144">
        <v>0</v>
      </c>
      <c r="BT100" s="144">
        <v>0</v>
      </c>
      <c r="BU100" s="144">
        <v>0</v>
      </c>
      <c r="BV100" s="144">
        <v>0</v>
      </c>
      <c r="BW100" s="144">
        <v>0</v>
      </c>
      <c r="BX100" s="144">
        <v>0</v>
      </c>
      <c r="BY100" s="144">
        <v>0</v>
      </c>
      <c r="BZ100" s="144">
        <v>0</v>
      </c>
      <c r="CA100" s="144">
        <v>0</v>
      </c>
      <c r="CB100" s="144">
        <v>0</v>
      </c>
      <c r="CC100" s="144">
        <v>0</v>
      </c>
      <c r="CD100" s="144">
        <v>0</v>
      </c>
      <c r="CE100" s="144">
        <v>0</v>
      </c>
      <c r="CF100" s="144">
        <v>0</v>
      </c>
      <c r="CG100" s="144">
        <v>0</v>
      </c>
      <c r="CH100" s="144">
        <v>0</v>
      </c>
      <c r="CI100" s="144">
        <v>0</v>
      </c>
      <c r="CJ100" s="144">
        <v>0</v>
      </c>
      <c r="CK100" s="144">
        <v>0</v>
      </c>
      <c r="CL100" s="144">
        <v>0</v>
      </c>
      <c r="CM100" s="144">
        <v>0</v>
      </c>
      <c r="CN100" s="144">
        <v>0</v>
      </c>
      <c r="CO100" s="144">
        <v>0</v>
      </c>
      <c r="CP100" s="144">
        <v>0</v>
      </c>
      <c r="CQ100" s="143">
        <v>0</v>
      </c>
      <c r="CR100" s="145">
        <v>0</v>
      </c>
      <c r="CS100" s="145">
        <v>0</v>
      </c>
      <c r="CT100" s="145">
        <v>0</v>
      </c>
      <c r="CU100" s="145">
        <v>0</v>
      </c>
      <c r="CV100" s="145">
        <v>0</v>
      </c>
      <c r="CW100" s="145">
        <v>0</v>
      </c>
      <c r="CX100" s="145">
        <v>0</v>
      </c>
      <c r="CY100" s="145">
        <v>0</v>
      </c>
      <c r="CZ100" s="145">
        <v>0</v>
      </c>
      <c r="DA100" s="145">
        <v>0</v>
      </c>
      <c r="DB100" s="145">
        <v>0</v>
      </c>
      <c r="DC100" s="145">
        <v>0</v>
      </c>
      <c r="DD100" s="145">
        <v>0</v>
      </c>
      <c r="DE100" s="145">
        <v>0</v>
      </c>
      <c r="DF100" s="145">
        <v>0</v>
      </c>
      <c r="DG100" s="145">
        <v>0</v>
      </c>
      <c r="DH100" s="145">
        <v>8317.3860000000004</v>
      </c>
      <c r="DI100" s="145">
        <v>8569.4279999999999</v>
      </c>
      <c r="DJ100" s="145">
        <v>10837.806</v>
      </c>
      <c r="DK100" s="145">
        <v>7813.3020000000006</v>
      </c>
      <c r="DL100" s="145">
        <v>8569.4279999999999</v>
      </c>
      <c r="DM100" s="145">
        <v>8569.4279999999999</v>
      </c>
      <c r="DN100" s="145">
        <v>8317.3860000000004</v>
      </c>
      <c r="DO100" s="145">
        <v>7057.1760000000004</v>
      </c>
      <c r="DP100" s="145">
        <v>11845.974</v>
      </c>
      <c r="DQ100" s="145">
        <v>8065.3439999999991</v>
      </c>
      <c r="DR100" s="145">
        <v>8310.9120000000003</v>
      </c>
      <c r="DS100" s="145">
        <v>9090.06</v>
      </c>
      <c r="DT100" s="145">
        <v>9869.2080000000005</v>
      </c>
      <c r="DU100" s="145">
        <v>9609.4920000000002</v>
      </c>
      <c r="DV100" s="145">
        <v>8830.3439999999991</v>
      </c>
      <c r="DW100" s="145">
        <v>8570.6280000000006</v>
      </c>
      <c r="DX100" s="145">
        <v>8830.3439999999991</v>
      </c>
      <c r="DY100" s="145">
        <v>8830.3439999999991</v>
      </c>
      <c r="DZ100" s="145">
        <v>10648.356000000002</v>
      </c>
      <c r="EA100" s="145">
        <v>6233.1840000000002</v>
      </c>
      <c r="EB100" s="145">
        <v>11167.788</v>
      </c>
      <c r="EC100" s="145">
        <v>8310.9120000000003</v>
      </c>
      <c r="ED100" s="145">
        <v>9358.44</v>
      </c>
      <c r="EE100" s="145">
        <v>8556.2879999999986</v>
      </c>
      <c r="EF100" s="145">
        <v>11497.512000000001</v>
      </c>
      <c r="EG100" s="145">
        <v>11497.512000000001</v>
      </c>
      <c r="EH100" s="145">
        <v>8556.2879999999986</v>
      </c>
      <c r="EI100" s="145">
        <v>9091.0559999999987</v>
      </c>
      <c r="EJ100" s="145">
        <v>0</v>
      </c>
      <c r="EK100" s="145">
        <v>0</v>
      </c>
      <c r="EL100" s="145">
        <v>0</v>
      </c>
      <c r="EM100" s="145">
        <v>0</v>
      </c>
      <c r="EN100" s="145">
        <v>0</v>
      </c>
      <c r="EO100" s="145">
        <v>0</v>
      </c>
      <c r="EP100" s="145">
        <v>0</v>
      </c>
      <c r="EQ100" s="145">
        <v>0</v>
      </c>
      <c r="ER100" s="145">
        <v>0</v>
      </c>
      <c r="ES100" s="145">
        <v>0</v>
      </c>
      <c r="ET100" s="145">
        <v>0</v>
      </c>
      <c r="EU100" s="145">
        <v>0</v>
      </c>
      <c r="EV100" s="145">
        <v>0</v>
      </c>
      <c r="EW100" s="145">
        <v>0</v>
      </c>
      <c r="EX100" s="145">
        <v>0</v>
      </c>
      <c r="EY100" s="145">
        <v>0</v>
      </c>
      <c r="EZ100" s="145">
        <v>0</v>
      </c>
      <c r="FA100" s="145">
        <v>0</v>
      </c>
      <c r="FB100" s="145">
        <v>0</v>
      </c>
      <c r="FC100" s="145">
        <v>0</v>
      </c>
      <c r="FD100" s="145">
        <v>0</v>
      </c>
      <c r="FE100" s="145">
        <v>0</v>
      </c>
      <c r="FF100" s="145">
        <v>0</v>
      </c>
      <c r="FG100" s="145">
        <v>0</v>
      </c>
      <c r="FH100" s="145">
        <v>0</v>
      </c>
      <c r="FI100" s="145">
        <v>0</v>
      </c>
      <c r="FJ100" s="145">
        <v>0</v>
      </c>
      <c r="FK100" s="145">
        <v>0</v>
      </c>
      <c r="FL100" s="145">
        <v>0</v>
      </c>
      <c r="FM100" s="145">
        <v>0</v>
      </c>
      <c r="FN100" s="145">
        <v>0</v>
      </c>
      <c r="FO100" s="145">
        <v>0</v>
      </c>
      <c r="FP100" s="145">
        <v>0</v>
      </c>
      <c r="FQ100" s="145">
        <v>0</v>
      </c>
      <c r="FR100" s="145">
        <v>0</v>
      </c>
      <c r="FS100" s="145">
        <v>0</v>
      </c>
      <c r="FT100" s="145">
        <v>0</v>
      </c>
      <c r="FU100" s="145">
        <v>0</v>
      </c>
      <c r="FV100" s="145">
        <v>0</v>
      </c>
      <c r="FW100" s="145">
        <v>0</v>
      </c>
      <c r="FX100" s="143"/>
      <c r="FY100" s="146" t="str">
        <f>_xlfn.XLOOKUP($E100,'Key assumptions'!$B$112:$B$120,'Key assumptions'!$C$112:$C$120,0)</f>
        <v>Nominal</v>
      </c>
      <c r="FZ100" s="146" cm="1">
        <f t="array" ref="FZ100">IF($FY100=0,0,_xlfn.IFS($FY100='Key assumptions'!$C$120,_xlfn.XLOOKUP(LEFT(FZ$7,6),Inflation_Year,Inflation_NominaltoReal),TRUE,_xlfn.XLOOKUP($FY100,Inflation_Year,NominaltoReal)))</f>
        <v>1.0197075870962191</v>
      </c>
      <c r="GA100" s="146" cm="1">
        <f t="array" ref="GA100">IF($FY100=0,0,_xlfn.IFS($FY100='Key assumptions'!$C$120,_xlfn.XLOOKUP(LEFT(GA$7,6),Inflation_Year,Inflation_NominaltoReal),TRUE,_xlfn.XLOOKUP($FY100,Inflation_Year,NominaltoReal)))</f>
        <v>0.98700804022984445</v>
      </c>
      <c r="GB100" s="146" cm="1">
        <f t="array" ref="GB100">IF($FY100=0,0,_xlfn.IFS($FY100='Key assumptions'!$C$120,_xlfn.XLOOKUP(LEFT(GB$7,6),Inflation_Year,Inflation_NominaltoReal),TRUE,_xlfn.XLOOKUP($FY100,Inflation_Year,NominaltoReal)))</f>
        <v>0.96152830081941731</v>
      </c>
      <c r="GC100" s="146" cm="1">
        <f t="array" ref="GC100">IF($FY100=0,0,_xlfn.IFS($FY100='Key assumptions'!$C$120,_xlfn.XLOOKUP(LEFT(GC$7,6),Inflation_Year,Inflation_NominaltoReal),TRUE,_xlfn.XLOOKUP($FY100,Inflation_Year,NominaltoReal)))</f>
        <v>0.93670632415656829</v>
      </c>
      <c r="GD100" s="146" cm="1">
        <f t="array" ref="GD100">IF($FY100=0,0,_xlfn.IFS($FY100='Key assumptions'!$C$120,_xlfn.XLOOKUP(LEFT(GD$7,6),Inflation_Year,Inflation_NominaltoReal),TRUE,_xlfn.XLOOKUP($FY100,Inflation_Year,NominaltoReal)))</f>
        <v>0.91252513001143176</v>
      </c>
      <c r="GE100" s="146" cm="1">
        <f t="array" ref="GE100">IF($FY100=0,0,_xlfn.IFS($FY100='Key assumptions'!$C$120,_xlfn.XLOOKUP(LEFT(GE$7,6),Inflation_Year,Inflation_NominaltoReal),TRUE,_xlfn.XLOOKUP($FY100,Inflation_Year,NominaltoReal)))</f>
        <v>0.88896817650095872</v>
      </c>
      <c r="GF100" s="146" cm="1">
        <f t="array" ref="GF100">IF($FY100=0,0,_xlfn.IFS($FY100='Key assumptions'!$C$120,_xlfn.XLOOKUP(LEFT(GF$7,6),Inflation_Year,Inflation_NominaltoReal),TRUE,_xlfn.XLOOKUP($FY100,Inflation_Year,NominaltoReal)))</f>
        <v>0.86601934877293718</v>
      </c>
      <c r="GG100" s="143"/>
      <c r="GH100" s="145" cm="1">
        <f t="array" ref="GH100">SUMPRODUCT(--($CR$7:$FW$7&gt;=GH$5),--($CR$7:$FW$7&lt;=GH$6),$CR100:$FW100)*FZ100</f>
        <v>44976.599441708422</v>
      </c>
      <c r="GI100" s="145" cm="1">
        <f t="array" ref="GI100">SUMPRODUCT(--($CR$7:$FW$7&gt;=GI$5),--($CR$7:$FW$7&lt;=GI$6),$CR100:$FW100)*GA100</f>
        <v>105576.59418560544</v>
      </c>
      <c r="GJ100" s="145" cm="1">
        <f t="array" ref="GJ100">SUMPRODUCT(--($CR$7:$FW$7&gt;=GJ$5),--($CR$7:$FW$7&lt;=GJ$6),$CR100:$FW100)*GB100</f>
        <v>99756.330464356652</v>
      </c>
      <c r="GK100" s="145" cm="1">
        <f t="array" ref="GK100">SUMPRODUCT(--($CR$7:$FW$7&gt;=GK$5),--($CR$7:$FW$7&lt;=GK$6),$CR100:$FW100)*GC100</f>
        <v>0</v>
      </c>
      <c r="GL100" s="145" cm="1">
        <f t="array" ref="GL100">SUMPRODUCT(--($CR$7:$FW$7&gt;=GL$5),--($CR$7:$FW$7&lt;=GL$6),$CR100:$FW100)*GD100</f>
        <v>0</v>
      </c>
      <c r="GM100" s="145" cm="1">
        <f t="array" ref="GM100">SUMPRODUCT(--($CR$7:$FW$7&gt;=GM$5),--($CR$7:$FW$7&lt;=GM$6),$CR100:$FW100)*GE100</f>
        <v>0</v>
      </c>
      <c r="GN100" s="145" cm="1">
        <f t="array" ref="GN100">SUMPRODUCT(--($CR$7:$FW$7&gt;=GN$5),--($CR$7:$FW$7&lt;=GN$6),$CR100:$FW100)*GF100</f>
        <v>0</v>
      </c>
      <c r="GO100" s="145">
        <f t="shared" si="23"/>
        <v>250309.52409167052</v>
      </c>
      <c r="GP100" s="87"/>
      <c r="GQ100" s="89"/>
      <c r="GR100" s="145" cm="1">
        <f t="array" ref="GR100">SUMPRODUCT(--($CR$7:$FW$7&gt;=GR$5),--($CR$7:$FW$7&lt;=GR$6),$CR100:$FW100)</f>
        <v>16886.813999999998</v>
      </c>
      <c r="GS100" s="89"/>
      <c r="GT100" s="214" cm="1">
        <f t="array" ref="GT100">--AND(MIN(IF($K100:$CP100&lt;&gt;0,$K$7:$CP$7))&gt;=GT$5,MIN(IF($K100:$CP100&lt;&gt;0,$K$7:$CP$7))&lt;=GT$6)</f>
        <v>1</v>
      </c>
      <c r="GU100" s="214" cm="1">
        <f t="array" ref="GU100">--AND(MIN(IF($K100:$CP100&lt;&gt;0,$K$7:$CP$7))&gt;=GU$5,MIN(IF($K100:$CP100&lt;&gt;0,$K$7:$CP$7))&lt;=GU$6)</f>
        <v>0</v>
      </c>
      <c r="GV100" s="214" cm="1">
        <f t="array" ref="GV100">--AND(MIN(IF($K100:$CP100&lt;&gt;0,$K$7:$CP$7))&gt;=GV$5,MIN(IF($K100:$CP100&lt;&gt;0,$K$7:$CP$7))&lt;=GV$6)</f>
        <v>0</v>
      </c>
      <c r="GW100" s="214" cm="1">
        <f t="array" ref="GW100">--AND(MIN(IF($K100:$CP100&lt;&gt;0,$K$7:$CP$7))&gt;=GW$5,MIN(IF($K100:$CP100&lt;&gt;0,$K$7:$CP$7))&lt;=GW$6)</f>
        <v>0</v>
      </c>
      <c r="GX100" s="214" cm="1">
        <f t="array" ref="GX100">--AND(MIN(IF($K100:$CP100&lt;&gt;0,$K$7:$CP$7))&gt;=GX$5,MIN(IF($K100:$CP100&lt;&gt;0,$K$7:$CP$7))&lt;=GX$6)</f>
        <v>0</v>
      </c>
      <c r="GY100" s="214" cm="1">
        <f t="array" ref="GY100">--AND(MIN(IF($K100:$CP100&lt;&gt;0,$K$7:$CP$7))&gt;=GY$5,MIN(IF($K100:$CP100&lt;&gt;0,$K$7:$CP$7))&lt;=GY$6)</f>
        <v>0</v>
      </c>
      <c r="GZ100" s="214" cm="1">
        <f t="array" ref="GZ100">--AND(MIN(IF($K100:$CP100&lt;&gt;0,$K$7:$CP$7))&gt;=GZ$5,MIN(IF($K100:$CP100&lt;&gt;0,$K$7:$CP$7))&lt;=GZ$6)</f>
        <v>0</v>
      </c>
      <c r="HA100" s="214">
        <f t="shared" si="24"/>
        <v>1</v>
      </c>
      <c r="HC100" s="214" cm="1">
        <f t="array" ref="HC100">--AND(MIN(IF($K100:$CP100&lt;&gt;0,$K$7:$CP$7))&gt;=HC$5,MIN(IF($K100:$CP100&lt;&gt;0,$K$7:$CP$7))&lt;=HC$6)</f>
        <v>1</v>
      </c>
      <c r="HE100" s="147" t="str">
        <f t="shared" si="43"/>
        <v>No</v>
      </c>
      <c r="HF100" s="147" t="str">
        <f t="shared" si="44"/>
        <v>Yes</v>
      </c>
      <c r="HG100" s="147">
        <f>IF($HF100="Yes",0,$H100*avg_hrs*12*'Key assumptions'!$D$87)</f>
        <v>0</v>
      </c>
      <c r="HH100" s="147">
        <f>IF(HE100="Yes",'Key assumptions'!$D$84*HG100,0)</f>
        <v>0</v>
      </c>
      <c r="HI100" s="144">
        <f>IFERROR(AVERAGEIFS($K100:$CP100,$K$7:$CP$7,"&gt;="&amp;'Key assumptions'!$D$24,$K$7:$CP$7,"&lt;="&amp;'Key assumptions'!$D$25),0)</f>
        <v>0.10097402597402598</v>
      </c>
      <c r="HJ100" s="148">
        <f t="shared" si="25"/>
        <v>0</v>
      </c>
      <c r="HK100" s="148">
        <f t="shared" si="26"/>
        <v>0</v>
      </c>
      <c r="HL100" s="148">
        <f t="shared" si="27"/>
        <v>0</v>
      </c>
      <c r="HM100" s="148">
        <f t="shared" si="28"/>
        <v>0</v>
      </c>
      <c r="HN100" s="148">
        <f t="shared" si="29"/>
        <v>0</v>
      </c>
      <c r="HO100" s="148">
        <f t="shared" si="30"/>
        <v>0</v>
      </c>
      <c r="HP100" s="148">
        <f t="shared" si="31"/>
        <v>0</v>
      </c>
      <c r="HQ100" s="148">
        <f t="shared" si="32"/>
        <v>0</v>
      </c>
      <c r="HR100" s="147">
        <f t="shared" si="33"/>
        <v>0</v>
      </c>
      <c r="HU100" s="147">
        <f>$HJ100*HC100/(1+'Key assumptions'!G122)^0.75</f>
        <v>0</v>
      </c>
      <c r="HW100" s="216">
        <f t="shared" si="34"/>
        <v>0.10097402597402598</v>
      </c>
      <c r="HX100" s="216">
        <f t="shared" si="35"/>
        <v>0</v>
      </c>
      <c r="HY100" s="216">
        <f t="shared" si="36"/>
        <v>0</v>
      </c>
      <c r="HZ100" s="216">
        <f t="shared" si="37"/>
        <v>0</v>
      </c>
      <c r="IA100" s="216">
        <f t="shared" si="38"/>
        <v>0</v>
      </c>
      <c r="IB100" s="216">
        <f t="shared" si="39"/>
        <v>0</v>
      </c>
      <c r="IC100" s="216">
        <f t="shared" si="40"/>
        <v>0</v>
      </c>
      <c r="ID100" s="216">
        <f t="shared" si="41"/>
        <v>0.10097402597402598</v>
      </c>
      <c r="IF100" s="216">
        <f t="shared" si="42"/>
        <v>0.10097402597402598</v>
      </c>
    </row>
    <row r="101" spans="2:240" x14ac:dyDescent="0.2">
      <c r="B101" s="141" t="str">
        <v>Project Delivery Management - Construction Management</v>
      </c>
      <c r="C101" s="141" t="str">
        <v>Safety Officer - Senior (Safety and Environmental Delivery)</v>
      </c>
      <c r="D101" s="141" t="str">
        <v>Internal Labour</v>
      </c>
      <c r="E101" s="141" t="str">
        <v>$ Nominal</v>
      </c>
      <c r="F101" s="141" t="str">
        <v>Existing</v>
      </c>
      <c r="G101" s="141" t="str">
        <v>Normal time</v>
      </c>
      <c r="H101" s="142">
        <v>316.45</v>
      </c>
      <c r="I101" s="126">
        <v>1670144</v>
      </c>
      <c r="J101" s="143">
        <v>0</v>
      </c>
      <c r="K101" s="144">
        <v>0</v>
      </c>
      <c r="L101" s="144">
        <v>0</v>
      </c>
      <c r="M101" s="144">
        <v>0</v>
      </c>
      <c r="N101" s="144">
        <v>0</v>
      </c>
      <c r="O101" s="144">
        <v>0</v>
      </c>
      <c r="P101" s="144">
        <v>0</v>
      </c>
      <c r="Q101" s="144">
        <v>0</v>
      </c>
      <c r="R101" s="144">
        <v>0</v>
      </c>
      <c r="S101" s="144">
        <v>0</v>
      </c>
      <c r="T101" s="144">
        <v>0</v>
      </c>
      <c r="U101" s="144">
        <v>0</v>
      </c>
      <c r="V101" s="144">
        <v>0</v>
      </c>
      <c r="W101" s="144">
        <v>0</v>
      </c>
      <c r="X101" s="144">
        <v>1</v>
      </c>
      <c r="Y101" s="144">
        <v>1</v>
      </c>
      <c r="Z101" s="144">
        <v>1.3333333333333333</v>
      </c>
      <c r="AA101" s="144">
        <v>0.92105263157894735</v>
      </c>
      <c r="AB101" s="144">
        <v>0.92105263157894735</v>
      </c>
      <c r="AC101" s="144">
        <v>1</v>
      </c>
      <c r="AD101" s="144">
        <v>1</v>
      </c>
      <c r="AE101" s="144">
        <v>1</v>
      </c>
      <c r="AF101" s="144">
        <v>1</v>
      </c>
      <c r="AG101" s="144">
        <v>1</v>
      </c>
      <c r="AH101" s="144">
        <v>1.3333333333333333</v>
      </c>
      <c r="AI101" s="144">
        <v>1.3333333333333333</v>
      </c>
      <c r="AJ101" s="144">
        <v>1</v>
      </c>
      <c r="AK101" s="144">
        <v>1</v>
      </c>
      <c r="AL101" s="144">
        <v>1.3333333333333333</v>
      </c>
      <c r="AM101" s="144">
        <v>0.92105263157894735</v>
      </c>
      <c r="AN101" s="144">
        <v>0.92105263157894735</v>
      </c>
      <c r="AO101" s="144">
        <v>1</v>
      </c>
      <c r="AP101" s="144">
        <v>1</v>
      </c>
      <c r="AQ101" s="144">
        <v>1</v>
      </c>
      <c r="AR101" s="144">
        <v>1</v>
      </c>
      <c r="AS101" s="144">
        <v>1</v>
      </c>
      <c r="AT101" s="144">
        <v>1.3333333333333333</v>
      </c>
      <c r="AU101" s="144">
        <v>1.3333333333333333</v>
      </c>
      <c r="AV101" s="144">
        <v>1</v>
      </c>
      <c r="AW101" s="144">
        <v>1</v>
      </c>
      <c r="AX101" s="144">
        <v>1.3333333333333333</v>
      </c>
      <c r="AY101" s="144">
        <v>0.92105263157894735</v>
      </c>
      <c r="AZ101" s="144">
        <v>0.92105263157894735</v>
      </c>
      <c r="BA101" s="144">
        <v>1</v>
      </c>
      <c r="BB101" s="144">
        <v>1</v>
      </c>
      <c r="BC101" s="144">
        <v>1</v>
      </c>
      <c r="BD101" s="144">
        <v>1</v>
      </c>
      <c r="BE101" s="144">
        <v>1</v>
      </c>
      <c r="BF101" s="144">
        <v>1.3333333333333333</v>
      </c>
      <c r="BG101" s="144">
        <v>1.3333333333333333</v>
      </c>
      <c r="BH101" s="144">
        <v>1</v>
      </c>
      <c r="BI101" s="144">
        <v>0</v>
      </c>
      <c r="BJ101" s="144">
        <v>0</v>
      </c>
      <c r="BK101" s="144">
        <v>0</v>
      </c>
      <c r="BL101" s="144">
        <v>0</v>
      </c>
      <c r="BM101" s="144">
        <v>0</v>
      </c>
      <c r="BN101" s="144">
        <v>0</v>
      </c>
      <c r="BO101" s="144">
        <v>0</v>
      </c>
      <c r="BP101" s="144">
        <v>0</v>
      </c>
      <c r="BQ101" s="144">
        <v>0</v>
      </c>
      <c r="BR101" s="144">
        <v>0</v>
      </c>
      <c r="BS101" s="144">
        <v>0</v>
      </c>
      <c r="BT101" s="144">
        <v>0</v>
      </c>
      <c r="BU101" s="144">
        <v>0</v>
      </c>
      <c r="BV101" s="144">
        <v>0</v>
      </c>
      <c r="BW101" s="144">
        <v>0</v>
      </c>
      <c r="BX101" s="144">
        <v>0</v>
      </c>
      <c r="BY101" s="144">
        <v>0</v>
      </c>
      <c r="BZ101" s="144">
        <v>0</v>
      </c>
      <c r="CA101" s="144">
        <v>0</v>
      </c>
      <c r="CB101" s="144">
        <v>0</v>
      </c>
      <c r="CC101" s="144">
        <v>0</v>
      </c>
      <c r="CD101" s="144">
        <v>0</v>
      </c>
      <c r="CE101" s="144">
        <v>0</v>
      </c>
      <c r="CF101" s="144">
        <v>0</v>
      </c>
      <c r="CG101" s="144">
        <v>0</v>
      </c>
      <c r="CH101" s="144">
        <v>0</v>
      </c>
      <c r="CI101" s="144">
        <v>0</v>
      </c>
      <c r="CJ101" s="144">
        <v>0</v>
      </c>
      <c r="CK101" s="144">
        <v>0</v>
      </c>
      <c r="CL101" s="144">
        <v>0</v>
      </c>
      <c r="CM101" s="144">
        <v>0</v>
      </c>
      <c r="CN101" s="144">
        <v>0</v>
      </c>
      <c r="CO101" s="144">
        <v>0</v>
      </c>
      <c r="CP101" s="144">
        <v>0</v>
      </c>
      <c r="CQ101" s="143">
        <v>0</v>
      </c>
      <c r="CR101" s="145">
        <v>0</v>
      </c>
      <c r="CS101" s="145">
        <v>0</v>
      </c>
      <c r="CT101" s="145">
        <v>0</v>
      </c>
      <c r="CU101" s="145">
        <v>0</v>
      </c>
      <c r="CV101" s="145">
        <v>0</v>
      </c>
      <c r="CW101" s="145">
        <v>0</v>
      </c>
      <c r="CX101" s="145">
        <v>0</v>
      </c>
      <c r="CY101" s="145">
        <v>0</v>
      </c>
      <c r="CZ101" s="145">
        <v>0</v>
      </c>
      <c r="DA101" s="145">
        <v>0</v>
      </c>
      <c r="DB101" s="145">
        <v>0</v>
      </c>
      <c r="DC101" s="145">
        <v>0</v>
      </c>
      <c r="DD101" s="145">
        <v>0</v>
      </c>
      <c r="DE101" s="145">
        <v>43019.199999999997</v>
      </c>
      <c r="DF101" s="145">
        <v>43019.199999999997</v>
      </c>
      <c r="DG101" s="145">
        <v>43019.199999999997</v>
      </c>
      <c r="DH101" s="145">
        <v>43019.199999999997</v>
      </c>
      <c r="DI101" s="145">
        <v>43019.199999999997</v>
      </c>
      <c r="DJ101" s="145">
        <v>44303</v>
      </c>
      <c r="DK101" s="145">
        <v>44303</v>
      </c>
      <c r="DL101" s="145">
        <v>44303</v>
      </c>
      <c r="DM101" s="145">
        <v>44303</v>
      </c>
      <c r="DN101" s="145">
        <v>44303</v>
      </c>
      <c r="DO101" s="145">
        <v>44303</v>
      </c>
      <c r="DP101" s="145">
        <v>44303</v>
      </c>
      <c r="DQ101" s="145">
        <v>44303</v>
      </c>
      <c r="DR101" s="145">
        <v>44303</v>
      </c>
      <c r="DS101" s="145">
        <v>44303</v>
      </c>
      <c r="DT101" s="145">
        <v>44303</v>
      </c>
      <c r="DU101" s="145">
        <v>44303</v>
      </c>
      <c r="DV101" s="145">
        <v>45619</v>
      </c>
      <c r="DW101" s="145">
        <v>45619</v>
      </c>
      <c r="DX101" s="145">
        <v>45619</v>
      </c>
      <c r="DY101" s="145">
        <v>45619</v>
      </c>
      <c r="DZ101" s="145">
        <v>45619</v>
      </c>
      <c r="EA101" s="145">
        <v>45619</v>
      </c>
      <c r="EB101" s="145">
        <v>45619</v>
      </c>
      <c r="EC101" s="145">
        <v>45619</v>
      </c>
      <c r="ED101" s="145">
        <v>45619</v>
      </c>
      <c r="EE101" s="145">
        <v>45619</v>
      </c>
      <c r="EF101" s="145">
        <v>45619</v>
      </c>
      <c r="EG101" s="145">
        <v>45619</v>
      </c>
      <c r="EH101" s="145">
        <v>46998</v>
      </c>
      <c r="EI101" s="145">
        <v>46998</v>
      </c>
      <c r="EJ101" s="145">
        <v>46998</v>
      </c>
      <c r="EK101" s="145">
        <v>46998</v>
      </c>
      <c r="EL101" s="145">
        <v>46998</v>
      </c>
      <c r="EM101" s="145">
        <v>46998</v>
      </c>
      <c r="EN101" s="145">
        <v>46998</v>
      </c>
      <c r="EO101" s="145">
        <v>46998</v>
      </c>
      <c r="EP101" s="145">
        <v>0</v>
      </c>
      <c r="EQ101" s="145">
        <v>0</v>
      </c>
      <c r="ER101" s="145">
        <v>0</v>
      </c>
      <c r="ES101" s="145">
        <v>0</v>
      </c>
      <c r="ET101" s="145">
        <v>0</v>
      </c>
      <c r="EU101" s="145">
        <v>0</v>
      </c>
      <c r="EV101" s="145">
        <v>0</v>
      </c>
      <c r="EW101" s="145">
        <v>0</v>
      </c>
      <c r="EX101" s="145">
        <v>0</v>
      </c>
      <c r="EY101" s="145">
        <v>0</v>
      </c>
      <c r="EZ101" s="145">
        <v>0</v>
      </c>
      <c r="FA101" s="145">
        <v>0</v>
      </c>
      <c r="FB101" s="145">
        <v>0</v>
      </c>
      <c r="FC101" s="145">
        <v>0</v>
      </c>
      <c r="FD101" s="145">
        <v>0</v>
      </c>
      <c r="FE101" s="145">
        <v>0</v>
      </c>
      <c r="FF101" s="145">
        <v>0</v>
      </c>
      <c r="FG101" s="145">
        <v>0</v>
      </c>
      <c r="FH101" s="145">
        <v>0</v>
      </c>
      <c r="FI101" s="145">
        <v>0</v>
      </c>
      <c r="FJ101" s="145">
        <v>0</v>
      </c>
      <c r="FK101" s="145">
        <v>0</v>
      </c>
      <c r="FL101" s="145">
        <v>0</v>
      </c>
      <c r="FM101" s="145">
        <v>0</v>
      </c>
      <c r="FN101" s="145">
        <v>0</v>
      </c>
      <c r="FO101" s="145">
        <v>0</v>
      </c>
      <c r="FP101" s="145">
        <v>0</v>
      </c>
      <c r="FQ101" s="145">
        <v>0</v>
      </c>
      <c r="FR101" s="145">
        <v>0</v>
      </c>
      <c r="FS101" s="145">
        <v>0</v>
      </c>
      <c r="FT101" s="145">
        <v>0</v>
      </c>
      <c r="FU101" s="145">
        <v>0</v>
      </c>
      <c r="FV101" s="145">
        <v>0</v>
      </c>
      <c r="FW101" s="145">
        <v>0</v>
      </c>
      <c r="FX101" s="143"/>
      <c r="FY101" s="146" t="str">
        <f>_xlfn.XLOOKUP($E101,'Key assumptions'!$B$112:$B$120,'Key assumptions'!$C$112:$C$120,0)</f>
        <v>Nominal</v>
      </c>
      <c r="FZ101" s="146" cm="1">
        <f t="array" ref="FZ101">IF($FY101=0,0,_xlfn.IFS($FY101='Key assumptions'!$C$120,_xlfn.XLOOKUP(LEFT(FZ$7,6),Inflation_Year,Inflation_NominaltoReal),TRUE,_xlfn.XLOOKUP($FY101,Inflation_Year,NominaltoReal)))</f>
        <v>1.0197075870962191</v>
      </c>
      <c r="GA101" s="146" cm="1">
        <f t="array" ref="GA101">IF($FY101=0,0,_xlfn.IFS($FY101='Key assumptions'!$C$120,_xlfn.XLOOKUP(LEFT(GA$7,6),Inflation_Year,Inflation_NominaltoReal),TRUE,_xlfn.XLOOKUP($FY101,Inflation_Year,NominaltoReal)))</f>
        <v>0.98700804022984445</v>
      </c>
      <c r="GB101" s="146" cm="1">
        <f t="array" ref="GB101">IF($FY101=0,0,_xlfn.IFS($FY101='Key assumptions'!$C$120,_xlfn.XLOOKUP(LEFT(GB$7,6),Inflation_Year,Inflation_NominaltoReal),TRUE,_xlfn.XLOOKUP($FY101,Inflation_Year,NominaltoReal)))</f>
        <v>0.96152830081941731</v>
      </c>
      <c r="GC101" s="146" cm="1">
        <f t="array" ref="GC101">IF($FY101=0,0,_xlfn.IFS($FY101='Key assumptions'!$C$120,_xlfn.XLOOKUP(LEFT(GC$7,6),Inflation_Year,Inflation_NominaltoReal),TRUE,_xlfn.XLOOKUP($FY101,Inflation_Year,NominaltoReal)))</f>
        <v>0.93670632415656829</v>
      </c>
      <c r="GD101" s="146" cm="1">
        <f t="array" ref="GD101">IF($FY101=0,0,_xlfn.IFS($FY101='Key assumptions'!$C$120,_xlfn.XLOOKUP(LEFT(GD$7,6),Inflation_Year,Inflation_NominaltoReal),TRUE,_xlfn.XLOOKUP($FY101,Inflation_Year,NominaltoReal)))</f>
        <v>0.91252513001143176</v>
      </c>
      <c r="GE101" s="146" cm="1">
        <f t="array" ref="GE101">IF($FY101=0,0,_xlfn.IFS($FY101='Key assumptions'!$C$120,_xlfn.XLOOKUP(LEFT(GE$7,6),Inflation_Year,Inflation_NominaltoReal),TRUE,_xlfn.XLOOKUP($FY101,Inflation_Year,NominaltoReal)))</f>
        <v>0.88896817650095872</v>
      </c>
      <c r="GF101" s="146" cm="1">
        <f t="array" ref="GF101">IF($FY101=0,0,_xlfn.IFS($FY101='Key assumptions'!$C$120,_xlfn.XLOOKUP(LEFT(GF$7,6),Inflation_Year,Inflation_NominaltoReal),TRUE,_xlfn.XLOOKUP($FY101,Inflation_Year,NominaltoReal)))</f>
        <v>0.86601934877293718</v>
      </c>
      <c r="GG101" s="143"/>
      <c r="GH101" s="145" cm="1">
        <f t="array" ref="GH101">SUMPRODUCT(--($CR$7:$FW$7&gt;=GH$5),--($CR$7:$FW$7&lt;=GH$6),$CR101:$FW101)*FZ101</f>
        <v>354863.33884741971</v>
      </c>
      <c r="GI101" s="145" cm="1">
        <f t="array" ref="GI101">SUMPRODUCT(--($CR$7:$FW$7&gt;=GI$5),--($CR$7:$FW$7&lt;=GI$6),$CR101:$FW101)*GA101</f>
        <v>528625.71421846095</v>
      </c>
      <c r="GJ101" s="145" cm="1">
        <f t="array" ref="GJ101">SUMPRODUCT(--($CR$7:$FW$7&gt;=GJ$5),--($CR$7:$FW$7&lt;=GJ$6),$CR101:$FW101)*GB101</f>
        <v>530345.35724146187</v>
      </c>
      <c r="GK101" s="145" cm="1">
        <f t="array" ref="GK101">SUMPRODUCT(--($CR$7:$FW$7&gt;=GK$5),--($CR$7:$FW$7&lt;=GK$6),$CR101:$FW101)*GC101</f>
        <v>220116.61911355198</v>
      </c>
      <c r="GL101" s="145" cm="1">
        <f t="array" ref="GL101">SUMPRODUCT(--($CR$7:$FW$7&gt;=GL$5),--($CR$7:$FW$7&lt;=GL$6),$CR101:$FW101)*GD101</f>
        <v>0</v>
      </c>
      <c r="GM101" s="145" cm="1">
        <f t="array" ref="GM101">SUMPRODUCT(--($CR$7:$FW$7&gt;=GM$5),--($CR$7:$FW$7&lt;=GM$6),$CR101:$FW101)*GE101</f>
        <v>0</v>
      </c>
      <c r="GN101" s="145" cm="1">
        <f t="array" ref="GN101">SUMPRODUCT(--($CR$7:$FW$7&gt;=GN$5),--($CR$7:$FW$7&lt;=GN$6),$CR101:$FW101)*GF101</f>
        <v>0</v>
      </c>
      <c r="GO101" s="145">
        <f t="shared" si="23"/>
        <v>1633951.0294208946</v>
      </c>
      <c r="GP101" s="87"/>
      <c r="GQ101" s="89"/>
      <c r="GR101" s="145" cm="1">
        <f t="array" ref="GR101">SUMPRODUCT(--($CR$7:$FW$7&gt;=GR$5),--($CR$7:$FW$7&lt;=GR$6),$CR101:$FW101)</f>
        <v>215096</v>
      </c>
      <c r="GS101" s="89"/>
      <c r="GT101" s="214" cm="1">
        <f t="array" ref="GT101">--AND(MIN(IF($K101:$CP101&lt;&gt;0,$K$7:$CP$7))&gt;=GT$5,MIN(IF($K101:$CP101&lt;&gt;0,$K$7:$CP$7))&lt;=GT$6)</f>
        <v>1</v>
      </c>
      <c r="GU101" s="214" cm="1">
        <f t="array" ref="GU101">--AND(MIN(IF($K101:$CP101&lt;&gt;0,$K$7:$CP$7))&gt;=GU$5,MIN(IF($K101:$CP101&lt;&gt;0,$K$7:$CP$7))&lt;=GU$6)</f>
        <v>0</v>
      </c>
      <c r="GV101" s="214" cm="1">
        <f t="array" ref="GV101">--AND(MIN(IF($K101:$CP101&lt;&gt;0,$K$7:$CP$7))&gt;=GV$5,MIN(IF($K101:$CP101&lt;&gt;0,$K$7:$CP$7))&lt;=GV$6)</f>
        <v>0</v>
      </c>
      <c r="GW101" s="214" cm="1">
        <f t="array" ref="GW101">--AND(MIN(IF($K101:$CP101&lt;&gt;0,$K$7:$CP$7))&gt;=GW$5,MIN(IF($K101:$CP101&lt;&gt;0,$K$7:$CP$7))&lt;=GW$6)</f>
        <v>0</v>
      </c>
      <c r="GX101" s="214" cm="1">
        <f t="array" ref="GX101">--AND(MIN(IF($K101:$CP101&lt;&gt;0,$K$7:$CP$7))&gt;=GX$5,MIN(IF($K101:$CP101&lt;&gt;0,$K$7:$CP$7))&lt;=GX$6)</f>
        <v>0</v>
      </c>
      <c r="GY101" s="214" cm="1">
        <f t="array" ref="GY101">--AND(MIN(IF($K101:$CP101&lt;&gt;0,$K$7:$CP$7))&gt;=GY$5,MIN(IF($K101:$CP101&lt;&gt;0,$K$7:$CP$7))&lt;=GY$6)</f>
        <v>0</v>
      </c>
      <c r="GZ101" s="214" cm="1">
        <f t="array" ref="GZ101">--AND(MIN(IF($K101:$CP101&lt;&gt;0,$K$7:$CP$7))&gt;=GZ$5,MIN(IF($K101:$CP101&lt;&gt;0,$K$7:$CP$7))&lt;=GZ$6)</f>
        <v>0</v>
      </c>
      <c r="HA101" s="214">
        <f t="shared" si="24"/>
        <v>1</v>
      </c>
      <c r="HC101" s="214" cm="1">
        <f t="array" ref="HC101">--AND(MIN(IF($K101:$CP101&lt;&gt;0,$K$7:$CP$7))&gt;=HC$5,MIN(IF($K101:$CP101&lt;&gt;0,$K$7:$CP$7))&lt;=HC$6)</f>
        <v>1</v>
      </c>
      <c r="HE101" s="147" t="str">
        <f t="shared" si="43"/>
        <v>No</v>
      </c>
      <c r="HF101" s="147" t="str">
        <f t="shared" si="44"/>
        <v>No</v>
      </c>
      <c r="HG101" s="147">
        <f>IF($HF101="Yes",0,$H101*avg_hrs*12*'Key assumptions'!$D$87)</f>
        <v>565897.7280568576</v>
      </c>
      <c r="HH101" s="147">
        <f>IF(HE101="Yes",'Key assumptions'!$D$84*HG101,0)</f>
        <v>0</v>
      </c>
      <c r="HI101" s="144">
        <f>IFERROR(AVERAGEIFS($K101:$CP101,$K$7:$CP$7,"&gt;="&amp;'Key assumptions'!$D$24,$K$7:$CP$7,"&lt;="&amp;'Key assumptions'!$D$25),0)</f>
        <v>0.89832535885167486</v>
      </c>
      <c r="HJ101" s="148">
        <f t="shared" si="25"/>
        <v>0</v>
      </c>
      <c r="HK101" s="148">
        <f t="shared" si="26"/>
        <v>0</v>
      </c>
      <c r="HL101" s="148">
        <f t="shared" si="27"/>
        <v>0</v>
      </c>
      <c r="HM101" s="148">
        <f t="shared" si="28"/>
        <v>0</v>
      </c>
      <c r="HN101" s="148">
        <f t="shared" si="29"/>
        <v>0</v>
      </c>
      <c r="HO101" s="148">
        <f t="shared" si="30"/>
        <v>0</v>
      </c>
      <c r="HP101" s="148">
        <f t="shared" si="31"/>
        <v>0</v>
      </c>
      <c r="HQ101" s="148">
        <f t="shared" si="32"/>
        <v>0</v>
      </c>
      <c r="HR101" s="147">
        <f t="shared" si="33"/>
        <v>0</v>
      </c>
      <c r="HU101" s="147">
        <f>$HJ101*HC101/(1+'Key assumptions'!G123)^0.75</f>
        <v>0</v>
      </c>
      <c r="HW101" s="216">
        <f t="shared" si="34"/>
        <v>0.89832535885167486</v>
      </c>
      <c r="HX101" s="216">
        <f t="shared" si="35"/>
        <v>0</v>
      </c>
      <c r="HY101" s="216">
        <f t="shared" si="36"/>
        <v>0</v>
      </c>
      <c r="HZ101" s="216">
        <f t="shared" si="37"/>
        <v>0</v>
      </c>
      <c r="IA101" s="216">
        <f t="shared" si="38"/>
        <v>0</v>
      </c>
      <c r="IB101" s="216">
        <f t="shared" si="39"/>
        <v>0</v>
      </c>
      <c r="IC101" s="216">
        <f t="shared" si="40"/>
        <v>0</v>
      </c>
      <c r="ID101" s="216">
        <f t="shared" si="41"/>
        <v>0.89832535885167486</v>
      </c>
      <c r="IF101" s="216">
        <f t="shared" si="42"/>
        <v>0.89832535885167486</v>
      </c>
    </row>
    <row r="102" spans="2:240" x14ac:dyDescent="0.2">
      <c r="B102" s="141" t="str">
        <v>Project Delivery Management - Commissioning</v>
      </c>
      <c r="C102" s="141" t="str">
        <v>Commissioning Engineer (Construction)</v>
      </c>
      <c r="D102" s="141" t="str">
        <v>Internal Labour</v>
      </c>
      <c r="E102" s="141" t="str">
        <v>$ Nominal</v>
      </c>
      <c r="F102" s="141" t="str">
        <v>Existing</v>
      </c>
      <c r="G102" s="141" t="str">
        <v>Normal time</v>
      </c>
      <c r="H102" s="142">
        <v>210.04</v>
      </c>
      <c r="I102" s="126">
        <v>85684.62000000001</v>
      </c>
      <c r="J102" s="143">
        <v>0</v>
      </c>
      <c r="K102" s="144">
        <v>0</v>
      </c>
      <c r="L102" s="144">
        <v>0</v>
      </c>
      <c r="M102" s="144">
        <v>0</v>
      </c>
      <c r="N102" s="144">
        <v>0</v>
      </c>
      <c r="O102" s="144">
        <v>0</v>
      </c>
      <c r="P102" s="144">
        <v>0</v>
      </c>
      <c r="Q102" s="144">
        <v>0</v>
      </c>
      <c r="R102" s="144">
        <v>0</v>
      </c>
      <c r="S102" s="144">
        <v>0</v>
      </c>
      <c r="T102" s="144">
        <v>0</v>
      </c>
      <c r="U102" s="144">
        <v>0</v>
      </c>
      <c r="V102" s="144">
        <v>0</v>
      </c>
      <c r="W102" s="144">
        <v>0</v>
      </c>
      <c r="X102" s="144">
        <v>0</v>
      </c>
      <c r="Y102" s="144">
        <v>0</v>
      </c>
      <c r="Z102" s="144">
        <v>0</v>
      </c>
      <c r="AA102" s="144">
        <v>0</v>
      </c>
      <c r="AB102" s="144">
        <v>0</v>
      </c>
      <c r="AC102" s="144">
        <v>0</v>
      </c>
      <c r="AD102" s="144">
        <v>0</v>
      </c>
      <c r="AE102" s="144">
        <v>0</v>
      </c>
      <c r="AF102" s="144">
        <v>0.5</v>
      </c>
      <c r="AG102" s="144">
        <v>0.25</v>
      </c>
      <c r="AH102" s="144">
        <v>0</v>
      </c>
      <c r="AI102" s="144">
        <v>0</v>
      </c>
      <c r="AJ102" s="144">
        <v>0</v>
      </c>
      <c r="AK102" s="144">
        <v>0</v>
      </c>
      <c r="AL102" s="144">
        <v>0</v>
      </c>
      <c r="AM102" s="144">
        <v>0</v>
      </c>
      <c r="AN102" s="144">
        <v>0</v>
      </c>
      <c r="AO102" s="144">
        <v>0</v>
      </c>
      <c r="AP102" s="144">
        <v>1.1000000000000001</v>
      </c>
      <c r="AQ102" s="144">
        <v>0</v>
      </c>
      <c r="AR102" s="144">
        <v>0</v>
      </c>
      <c r="AS102" s="144">
        <v>0.5</v>
      </c>
      <c r="AT102" s="144">
        <v>0.66666666666666663</v>
      </c>
      <c r="AU102" s="144">
        <v>0</v>
      </c>
      <c r="AV102" s="144">
        <v>0</v>
      </c>
      <c r="AW102" s="144">
        <v>0</v>
      </c>
      <c r="AX102" s="144">
        <v>0</v>
      </c>
      <c r="AY102" s="144">
        <v>0</v>
      </c>
      <c r="AZ102" s="144">
        <v>0</v>
      </c>
      <c r="BA102" s="144">
        <v>0</v>
      </c>
      <c r="BB102" s="144">
        <v>0</v>
      </c>
      <c r="BC102" s="144">
        <v>0</v>
      </c>
      <c r="BD102" s="144">
        <v>0</v>
      </c>
      <c r="BE102" s="144">
        <v>0</v>
      </c>
      <c r="BF102" s="144">
        <v>0</v>
      </c>
      <c r="BG102" s="144">
        <v>0</v>
      </c>
      <c r="BH102" s="144">
        <v>0</v>
      </c>
      <c r="BI102" s="144">
        <v>0</v>
      </c>
      <c r="BJ102" s="144">
        <v>0</v>
      </c>
      <c r="BK102" s="144">
        <v>0</v>
      </c>
      <c r="BL102" s="144">
        <v>0</v>
      </c>
      <c r="BM102" s="144">
        <v>0</v>
      </c>
      <c r="BN102" s="144">
        <v>0</v>
      </c>
      <c r="BO102" s="144">
        <v>0</v>
      </c>
      <c r="BP102" s="144">
        <v>0</v>
      </c>
      <c r="BQ102" s="144">
        <v>0</v>
      </c>
      <c r="BR102" s="144">
        <v>0</v>
      </c>
      <c r="BS102" s="144">
        <v>0</v>
      </c>
      <c r="BT102" s="144">
        <v>0</v>
      </c>
      <c r="BU102" s="144">
        <v>0</v>
      </c>
      <c r="BV102" s="144">
        <v>0</v>
      </c>
      <c r="BW102" s="144">
        <v>0</v>
      </c>
      <c r="BX102" s="144">
        <v>0</v>
      </c>
      <c r="BY102" s="144">
        <v>0</v>
      </c>
      <c r="BZ102" s="144">
        <v>0</v>
      </c>
      <c r="CA102" s="144">
        <v>0</v>
      </c>
      <c r="CB102" s="144">
        <v>0</v>
      </c>
      <c r="CC102" s="144">
        <v>0</v>
      </c>
      <c r="CD102" s="144">
        <v>0</v>
      </c>
      <c r="CE102" s="144">
        <v>0</v>
      </c>
      <c r="CF102" s="144">
        <v>0</v>
      </c>
      <c r="CG102" s="144">
        <v>0</v>
      </c>
      <c r="CH102" s="144">
        <v>0</v>
      </c>
      <c r="CI102" s="144">
        <v>0</v>
      </c>
      <c r="CJ102" s="144">
        <v>0</v>
      </c>
      <c r="CK102" s="144">
        <v>0</v>
      </c>
      <c r="CL102" s="144">
        <v>0</v>
      </c>
      <c r="CM102" s="144">
        <v>0</v>
      </c>
      <c r="CN102" s="144">
        <v>0</v>
      </c>
      <c r="CO102" s="144">
        <v>0</v>
      </c>
      <c r="CP102" s="144">
        <v>0</v>
      </c>
      <c r="CQ102" s="143">
        <v>0</v>
      </c>
      <c r="CR102" s="145">
        <v>0</v>
      </c>
      <c r="CS102" s="145">
        <v>0</v>
      </c>
      <c r="CT102" s="145">
        <v>0</v>
      </c>
      <c r="CU102" s="145">
        <v>0</v>
      </c>
      <c r="CV102" s="145">
        <v>0</v>
      </c>
      <c r="CW102" s="145">
        <v>0</v>
      </c>
      <c r="CX102" s="145">
        <v>0</v>
      </c>
      <c r="CY102" s="145">
        <v>0</v>
      </c>
      <c r="CZ102" s="145">
        <v>0</v>
      </c>
      <c r="DA102" s="145">
        <v>0</v>
      </c>
      <c r="DB102" s="145">
        <v>0</v>
      </c>
      <c r="DC102" s="145">
        <v>0</v>
      </c>
      <c r="DD102" s="145">
        <v>0</v>
      </c>
      <c r="DE102" s="145">
        <v>0</v>
      </c>
      <c r="DF102" s="145">
        <v>0</v>
      </c>
      <c r="DG102" s="145">
        <v>0</v>
      </c>
      <c r="DH102" s="145">
        <v>0</v>
      </c>
      <c r="DI102" s="145">
        <v>0</v>
      </c>
      <c r="DJ102" s="145">
        <v>0</v>
      </c>
      <c r="DK102" s="145">
        <v>0</v>
      </c>
      <c r="DL102" s="145">
        <v>0</v>
      </c>
      <c r="DM102" s="145">
        <v>14702.8</v>
      </c>
      <c r="DN102" s="145">
        <v>7351.4</v>
      </c>
      <c r="DO102" s="145">
        <v>0</v>
      </c>
      <c r="DP102" s="145">
        <v>0</v>
      </c>
      <c r="DQ102" s="145">
        <v>0</v>
      </c>
      <c r="DR102" s="145">
        <v>0</v>
      </c>
      <c r="DS102" s="145">
        <v>0</v>
      </c>
      <c r="DT102" s="145">
        <v>0</v>
      </c>
      <c r="DU102" s="145">
        <v>0</v>
      </c>
      <c r="DV102" s="145">
        <v>0</v>
      </c>
      <c r="DW102" s="145">
        <v>33330.22</v>
      </c>
      <c r="DX102" s="145">
        <v>0</v>
      </c>
      <c r="DY102" s="145">
        <v>0</v>
      </c>
      <c r="DZ102" s="145">
        <v>15150.1</v>
      </c>
      <c r="EA102" s="145">
        <v>15150.1</v>
      </c>
      <c r="EB102" s="145">
        <v>0</v>
      </c>
      <c r="EC102" s="145">
        <v>0</v>
      </c>
      <c r="ED102" s="145">
        <v>0</v>
      </c>
      <c r="EE102" s="145">
        <v>0</v>
      </c>
      <c r="EF102" s="145">
        <v>0</v>
      </c>
      <c r="EG102" s="145">
        <v>0</v>
      </c>
      <c r="EH102" s="145">
        <v>0</v>
      </c>
      <c r="EI102" s="145">
        <v>0</v>
      </c>
      <c r="EJ102" s="145">
        <v>0</v>
      </c>
      <c r="EK102" s="145">
        <v>0</v>
      </c>
      <c r="EL102" s="145">
        <v>0</v>
      </c>
      <c r="EM102" s="145">
        <v>0</v>
      </c>
      <c r="EN102" s="145">
        <v>0</v>
      </c>
      <c r="EO102" s="145">
        <v>0</v>
      </c>
      <c r="EP102" s="145">
        <v>0</v>
      </c>
      <c r="EQ102" s="145">
        <v>0</v>
      </c>
      <c r="ER102" s="145">
        <v>0</v>
      </c>
      <c r="ES102" s="145">
        <v>0</v>
      </c>
      <c r="ET102" s="145">
        <v>0</v>
      </c>
      <c r="EU102" s="145">
        <v>0</v>
      </c>
      <c r="EV102" s="145">
        <v>0</v>
      </c>
      <c r="EW102" s="145">
        <v>0</v>
      </c>
      <c r="EX102" s="145">
        <v>0</v>
      </c>
      <c r="EY102" s="145">
        <v>0</v>
      </c>
      <c r="EZ102" s="145">
        <v>0</v>
      </c>
      <c r="FA102" s="145">
        <v>0</v>
      </c>
      <c r="FB102" s="145">
        <v>0</v>
      </c>
      <c r="FC102" s="145">
        <v>0</v>
      </c>
      <c r="FD102" s="145">
        <v>0</v>
      </c>
      <c r="FE102" s="145">
        <v>0</v>
      </c>
      <c r="FF102" s="145">
        <v>0</v>
      </c>
      <c r="FG102" s="145">
        <v>0</v>
      </c>
      <c r="FH102" s="145">
        <v>0</v>
      </c>
      <c r="FI102" s="145">
        <v>0</v>
      </c>
      <c r="FJ102" s="145">
        <v>0</v>
      </c>
      <c r="FK102" s="145">
        <v>0</v>
      </c>
      <c r="FL102" s="145">
        <v>0</v>
      </c>
      <c r="FM102" s="145">
        <v>0</v>
      </c>
      <c r="FN102" s="145">
        <v>0</v>
      </c>
      <c r="FO102" s="145">
        <v>0</v>
      </c>
      <c r="FP102" s="145">
        <v>0</v>
      </c>
      <c r="FQ102" s="145">
        <v>0</v>
      </c>
      <c r="FR102" s="145">
        <v>0</v>
      </c>
      <c r="FS102" s="145">
        <v>0</v>
      </c>
      <c r="FT102" s="145">
        <v>0</v>
      </c>
      <c r="FU102" s="145">
        <v>0</v>
      </c>
      <c r="FV102" s="145">
        <v>0</v>
      </c>
      <c r="FW102" s="145">
        <v>0</v>
      </c>
      <c r="FX102" s="143"/>
      <c r="FY102" s="146" t="str">
        <f>_xlfn.XLOOKUP($E102,'Key assumptions'!$B$112:$B$120,'Key assumptions'!$C$112:$C$120,0)</f>
        <v>Nominal</v>
      </c>
      <c r="FZ102" s="146" cm="1">
        <f t="array" ref="FZ102">IF($FY102=0,0,_xlfn.IFS($FY102='Key assumptions'!$C$120,_xlfn.XLOOKUP(LEFT(FZ$7,6),Inflation_Year,Inflation_NominaltoReal),TRUE,_xlfn.XLOOKUP($FY102,Inflation_Year,NominaltoReal)))</f>
        <v>1.0197075870962191</v>
      </c>
      <c r="GA102" s="146" cm="1">
        <f t="array" ref="GA102">IF($FY102=0,0,_xlfn.IFS($FY102='Key assumptions'!$C$120,_xlfn.XLOOKUP(LEFT(GA$7,6),Inflation_Year,Inflation_NominaltoReal),TRUE,_xlfn.XLOOKUP($FY102,Inflation_Year,NominaltoReal)))</f>
        <v>0.98700804022984445</v>
      </c>
      <c r="GB102" s="146" cm="1">
        <f t="array" ref="GB102">IF($FY102=0,0,_xlfn.IFS($FY102='Key assumptions'!$C$120,_xlfn.XLOOKUP(LEFT(GB$7,6),Inflation_Year,Inflation_NominaltoReal),TRUE,_xlfn.XLOOKUP($FY102,Inflation_Year,NominaltoReal)))</f>
        <v>0.96152830081941731</v>
      </c>
      <c r="GC102" s="146" cm="1">
        <f t="array" ref="GC102">IF($FY102=0,0,_xlfn.IFS($FY102='Key assumptions'!$C$120,_xlfn.XLOOKUP(LEFT(GC$7,6),Inflation_Year,Inflation_NominaltoReal),TRUE,_xlfn.XLOOKUP($FY102,Inflation_Year,NominaltoReal)))</f>
        <v>0.93670632415656829</v>
      </c>
      <c r="GD102" s="146" cm="1">
        <f t="array" ref="GD102">IF($FY102=0,0,_xlfn.IFS($FY102='Key assumptions'!$C$120,_xlfn.XLOOKUP(LEFT(GD$7,6),Inflation_Year,Inflation_NominaltoReal),TRUE,_xlfn.XLOOKUP($FY102,Inflation_Year,NominaltoReal)))</f>
        <v>0.91252513001143176</v>
      </c>
      <c r="GE102" s="146" cm="1">
        <f t="array" ref="GE102">IF($FY102=0,0,_xlfn.IFS($FY102='Key assumptions'!$C$120,_xlfn.XLOOKUP(LEFT(GE$7,6),Inflation_Year,Inflation_NominaltoReal),TRUE,_xlfn.XLOOKUP($FY102,Inflation_Year,NominaltoReal)))</f>
        <v>0.88896817650095872</v>
      </c>
      <c r="GF102" s="146" cm="1">
        <f t="array" ref="GF102">IF($FY102=0,0,_xlfn.IFS($FY102='Key assumptions'!$C$120,_xlfn.XLOOKUP(LEFT(GF$7,6),Inflation_Year,Inflation_NominaltoReal),TRUE,_xlfn.XLOOKUP($FY102,Inflation_Year,NominaltoReal)))</f>
        <v>0.86601934877293718</v>
      </c>
      <c r="GG102" s="143"/>
      <c r="GH102" s="145" cm="1">
        <f t="array" ref="GH102">SUMPRODUCT(--($CR$7:$FW$7&gt;=GH$5),--($CR$7:$FW$7&lt;=GH$6),$CR102:$FW102)*FZ102</f>
        <v>0</v>
      </c>
      <c r="GI102" s="145" cm="1">
        <f t="array" ref="GI102">SUMPRODUCT(--($CR$7:$FW$7&gt;=GI$5),--($CR$7:$FW$7&lt;=GI$6),$CR102:$FW102)*GA102</f>
        <v>54664.8678434666</v>
      </c>
      <c r="GJ102" s="145" cm="1">
        <f t="array" ref="GJ102">SUMPRODUCT(--($CR$7:$FW$7&gt;=GJ$5),--($CR$7:$FW$7&lt;=GJ$6),$CR102:$FW102)*GB102</f>
        <v>29134.499820488509</v>
      </c>
      <c r="GK102" s="145" cm="1">
        <f t="array" ref="GK102">SUMPRODUCT(--($CR$7:$FW$7&gt;=GK$5),--($CR$7:$FW$7&lt;=GK$6),$CR102:$FW102)*GC102</f>
        <v>0</v>
      </c>
      <c r="GL102" s="145" cm="1">
        <f t="array" ref="GL102">SUMPRODUCT(--($CR$7:$FW$7&gt;=GL$5),--($CR$7:$FW$7&lt;=GL$6),$CR102:$FW102)*GD102</f>
        <v>0</v>
      </c>
      <c r="GM102" s="145" cm="1">
        <f t="array" ref="GM102">SUMPRODUCT(--($CR$7:$FW$7&gt;=GM$5),--($CR$7:$FW$7&lt;=GM$6),$CR102:$FW102)*GE102</f>
        <v>0</v>
      </c>
      <c r="GN102" s="145" cm="1">
        <f t="array" ref="GN102">SUMPRODUCT(--($CR$7:$FW$7&gt;=GN$5),--($CR$7:$FW$7&lt;=GN$6),$CR102:$FW102)*GF102</f>
        <v>0</v>
      </c>
      <c r="GO102" s="145">
        <f t="shared" si="23"/>
        <v>83799.367663955112</v>
      </c>
      <c r="GP102" s="87"/>
      <c r="GQ102" s="89"/>
      <c r="GR102" s="145" cm="1">
        <f t="array" ref="GR102">SUMPRODUCT(--($CR$7:$FW$7&gt;=GR$5),--($CR$7:$FW$7&lt;=GR$6),$CR102:$FW102)</f>
        <v>0</v>
      </c>
      <c r="GS102" s="89"/>
      <c r="GT102" s="214" cm="1">
        <f t="array" ref="GT102">--AND(MIN(IF($K102:$CP102&lt;&gt;0,$K$7:$CP$7))&gt;=GT$5,MIN(IF($K102:$CP102&lt;&gt;0,$K$7:$CP$7))&lt;=GT$6)</f>
        <v>0</v>
      </c>
      <c r="GU102" s="214" cm="1">
        <f t="array" ref="GU102">--AND(MIN(IF($K102:$CP102&lt;&gt;0,$K$7:$CP$7))&gt;=GU$5,MIN(IF($K102:$CP102&lt;&gt;0,$K$7:$CP$7))&lt;=GU$6)</f>
        <v>1</v>
      </c>
      <c r="GV102" s="214" cm="1">
        <f t="array" ref="GV102">--AND(MIN(IF($K102:$CP102&lt;&gt;0,$K$7:$CP$7))&gt;=GV$5,MIN(IF($K102:$CP102&lt;&gt;0,$K$7:$CP$7))&lt;=GV$6)</f>
        <v>0</v>
      </c>
      <c r="GW102" s="214" cm="1">
        <f t="array" ref="GW102">--AND(MIN(IF($K102:$CP102&lt;&gt;0,$K$7:$CP$7))&gt;=GW$5,MIN(IF($K102:$CP102&lt;&gt;0,$K$7:$CP$7))&lt;=GW$6)</f>
        <v>0</v>
      </c>
      <c r="GX102" s="214" cm="1">
        <f t="array" ref="GX102">--AND(MIN(IF($K102:$CP102&lt;&gt;0,$K$7:$CP$7))&gt;=GX$5,MIN(IF($K102:$CP102&lt;&gt;0,$K$7:$CP$7))&lt;=GX$6)</f>
        <v>0</v>
      </c>
      <c r="GY102" s="214" cm="1">
        <f t="array" ref="GY102">--AND(MIN(IF($K102:$CP102&lt;&gt;0,$K$7:$CP$7))&gt;=GY$5,MIN(IF($K102:$CP102&lt;&gt;0,$K$7:$CP$7))&lt;=GY$6)</f>
        <v>0</v>
      </c>
      <c r="GZ102" s="214" cm="1">
        <f t="array" ref="GZ102">--AND(MIN(IF($K102:$CP102&lt;&gt;0,$K$7:$CP$7))&gt;=GZ$5,MIN(IF($K102:$CP102&lt;&gt;0,$K$7:$CP$7))&lt;=GZ$6)</f>
        <v>0</v>
      </c>
      <c r="HA102" s="214">
        <f t="shared" si="24"/>
        <v>1</v>
      </c>
      <c r="HC102" s="214" cm="1">
        <f t="array" ref="HC102">--AND(MIN(IF($K102:$CP102&lt;&gt;0,$K$7:$CP$7))&gt;=HC$5,MIN(IF($K102:$CP102&lt;&gt;0,$K$7:$CP$7))&lt;=HC$6)</f>
        <v>0</v>
      </c>
      <c r="HE102" s="147" t="str">
        <f t="shared" si="43"/>
        <v>No</v>
      </c>
      <c r="HF102" s="147" t="str">
        <f t="shared" si="44"/>
        <v>No</v>
      </c>
      <c r="HG102" s="147">
        <f>IF($HF102="Yes",0,$H102*avg_hrs*12*'Key assumptions'!$D$87)</f>
        <v>375608.02275576669</v>
      </c>
      <c r="HH102" s="147">
        <f>IF(HE102="Yes",'Key assumptions'!$D$84*HG102,0)</f>
        <v>0</v>
      </c>
      <c r="HI102" s="144">
        <f>IFERROR(AVERAGEIFS($K102:$CP102,$K$7:$CP$7,"&gt;="&amp;'Key assumptions'!$D$24,$K$7:$CP$7,"&lt;="&amp;'Key assumptions'!$D$25),0)</f>
        <v>6.8560606060606058E-2</v>
      </c>
      <c r="HJ102" s="148">
        <f t="shared" si="25"/>
        <v>0</v>
      </c>
      <c r="HK102" s="148">
        <f t="shared" si="26"/>
        <v>0</v>
      </c>
      <c r="HL102" s="148">
        <f t="shared" si="27"/>
        <v>0</v>
      </c>
      <c r="HM102" s="148">
        <f t="shared" si="28"/>
        <v>0</v>
      </c>
      <c r="HN102" s="148">
        <f t="shared" si="29"/>
        <v>0</v>
      </c>
      <c r="HO102" s="148">
        <f t="shared" si="30"/>
        <v>0</v>
      </c>
      <c r="HP102" s="148">
        <f t="shared" si="31"/>
        <v>0</v>
      </c>
      <c r="HQ102" s="148">
        <f t="shared" si="32"/>
        <v>0</v>
      </c>
      <c r="HR102" s="147">
        <f t="shared" si="33"/>
        <v>0</v>
      </c>
      <c r="HU102" s="147">
        <f>$HJ102*HC102/(1+'Key assumptions'!G124)^0.75</f>
        <v>0</v>
      </c>
      <c r="HW102" s="216">
        <f t="shared" si="34"/>
        <v>0</v>
      </c>
      <c r="HX102" s="216">
        <f t="shared" si="35"/>
        <v>6.8560606060606058E-2</v>
      </c>
      <c r="HY102" s="216">
        <f t="shared" si="36"/>
        <v>0</v>
      </c>
      <c r="HZ102" s="216">
        <f t="shared" si="37"/>
        <v>0</v>
      </c>
      <c r="IA102" s="216">
        <f t="shared" si="38"/>
        <v>0</v>
      </c>
      <c r="IB102" s="216">
        <f t="shared" si="39"/>
        <v>0</v>
      </c>
      <c r="IC102" s="216">
        <f t="shared" si="40"/>
        <v>0</v>
      </c>
      <c r="ID102" s="216">
        <f t="shared" si="41"/>
        <v>6.8560606060606058E-2</v>
      </c>
      <c r="IF102" s="216">
        <f t="shared" si="42"/>
        <v>0</v>
      </c>
    </row>
    <row r="103" spans="2:240" x14ac:dyDescent="0.2">
      <c r="B103" s="141" t="str">
        <v>Project Delivery Management - Commissioning</v>
      </c>
      <c r="C103" s="141" t="str">
        <v>Commissioning Engineer (Construction)</v>
      </c>
      <c r="D103" s="141" t="str">
        <v>Internal Labour</v>
      </c>
      <c r="E103" s="141" t="str">
        <v>$ Nominal</v>
      </c>
      <c r="F103" s="141">
        <v>0</v>
      </c>
      <c r="G103" s="141" t="str">
        <v>Overtime</v>
      </c>
      <c r="H103" s="142">
        <v>210.04</v>
      </c>
      <c r="I103" s="126">
        <v>64417.400000000009</v>
      </c>
      <c r="J103" s="143">
        <v>0</v>
      </c>
      <c r="K103" s="144">
        <v>0</v>
      </c>
      <c r="L103" s="144">
        <v>0</v>
      </c>
      <c r="M103" s="144">
        <v>0</v>
      </c>
      <c r="N103" s="144">
        <v>0</v>
      </c>
      <c r="O103" s="144">
        <v>0</v>
      </c>
      <c r="P103" s="144">
        <v>0</v>
      </c>
      <c r="Q103" s="144">
        <v>0</v>
      </c>
      <c r="R103" s="144">
        <v>0</v>
      </c>
      <c r="S103" s="144">
        <v>0</v>
      </c>
      <c r="T103" s="144">
        <v>0</v>
      </c>
      <c r="U103" s="144">
        <v>0</v>
      </c>
      <c r="V103" s="144">
        <v>0</v>
      </c>
      <c r="W103" s="144">
        <v>0</v>
      </c>
      <c r="X103" s="144">
        <v>0</v>
      </c>
      <c r="Y103" s="144">
        <v>0</v>
      </c>
      <c r="Z103" s="144">
        <v>0</v>
      </c>
      <c r="AA103" s="144">
        <v>0</v>
      </c>
      <c r="AB103" s="144">
        <v>0</v>
      </c>
      <c r="AC103" s="144">
        <v>0</v>
      </c>
      <c r="AD103" s="144">
        <v>0</v>
      </c>
      <c r="AE103" s="144">
        <v>0</v>
      </c>
      <c r="AF103" s="144">
        <v>0.21428571428571427</v>
      </c>
      <c r="AG103" s="144">
        <v>7.1428571428571425E-2</v>
      </c>
      <c r="AH103" s="144">
        <v>0</v>
      </c>
      <c r="AI103" s="144">
        <v>0</v>
      </c>
      <c r="AJ103" s="144">
        <v>0</v>
      </c>
      <c r="AK103" s="144">
        <v>0</v>
      </c>
      <c r="AL103" s="144">
        <v>0</v>
      </c>
      <c r="AM103" s="144">
        <v>0</v>
      </c>
      <c r="AN103" s="144">
        <v>0</v>
      </c>
      <c r="AO103" s="144">
        <v>0</v>
      </c>
      <c r="AP103" s="144">
        <v>0.35714285714285715</v>
      </c>
      <c r="AQ103" s="144">
        <v>0</v>
      </c>
      <c r="AR103" s="144">
        <v>0</v>
      </c>
      <c r="AS103" s="144">
        <v>0.21428571428571427</v>
      </c>
      <c r="AT103" s="144">
        <v>0.2857142857142857</v>
      </c>
      <c r="AU103" s="144">
        <v>0</v>
      </c>
      <c r="AV103" s="144">
        <v>0</v>
      </c>
      <c r="AW103" s="144">
        <v>0</v>
      </c>
      <c r="AX103" s="144">
        <v>0</v>
      </c>
      <c r="AY103" s="144">
        <v>0</v>
      </c>
      <c r="AZ103" s="144">
        <v>0</v>
      </c>
      <c r="BA103" s="144">
        <v>0</v>
      </c>
      <c r="BB103" s="144">
        <v>0</v>
      </c>
      <c r="BC103" s="144">
        <v>0</v>
      </c>
      <c r="BD103" s="144">
        <v>0</v>
      </c>
      <c r="BE103" s="144">
        <v>0</v>
      </c>
      <c r="BF103" s="144">
        <v>0</v>
      </c>
      <c r="BG103" s="144">
        <v>0</v>
      </c>
      <c r="BH103" s="144">
        <v>0</v>
      </c>
      <c r="BI103" s="144">
        <v>0</v>
      </c>
      <c r="BJ103" s="144">
        <v>0</v>
      </c>
      <c r="BK103" s="144">
        <v>0</v>
      </c>
      <c r="BL103" s="144">
        <v>0</v>
      </c>
      <c r="BM103" s="144">
        <v>0</v>
      </c>
      <c r="BN103" s="144">
        <v>0</v>
      </c>
      <c r="BO103" s="144">
        <v>0</v>
      </c>
      <c r="BP103" s="144">
        <v>0</v>
      </c>
      <c r="BQ103" s="144">
        <v>0</v>
      </c>
      <c r="BR103" s="144">
        <v>0</v>
      </c>
      <c r="BS103" s="144">
        <v>0</v>
      </c>
      <c r="BT103" s="144">
        <v>0</v>
      </c>
      <c r="BU103" s="144">
        <v>0</v>
      </c>
      <c r="BV103" s="144">
        <v>0</v>
      </c>
      <c r="BW103" s="144">
        <v>0</v>
      </c>
      <c r="BX103" s="144">
        <v>0</v>
      </c>
      <c r="BY103" s="144">
        <v>0</v>
      </c>
      <c r="BZ103" s="144">
        <v>0</v>
      </c>
      <c r="CA103" s="144">
        <v>0</v>
      </c>
      <c r="CB103" s="144">
        <v>0</v>
      </c>
      <c r="CC103" s="144">
        <v>0</v>
      </c>
      <c r="CD103" s="144">
        <v>0</v>
      </c>
      <c r="CE103" s="144">
        <v>0</v>
      </c>
      <c r="CF103" s="144">
        <v>0</v>
      </c>
      <c r="CG103" s="144">
        <v>0</v>
      </c>
      <c r="CH103" s="144">
        <v>0</v>
      </c>
      <c r="CI103" s="144">
        <v>0</v>
      </c>
      <c r="CJ103" s="144">
        <v>0</v>
      </c>
      <c r="CK103" s="144">
        <v>0</v>
      </c>
      <c r="CL103" s="144">
        <v>0</v>
      </c>
      <c r="CM103" s="144">
        <v>0</v>
      </c>
      <c r="CN103" s="144">
        <v>0</v>
      </c>
      <c r="CO103" s="144">
        <v>0</v>
      </c>
      <c r="CP103" s="144">
        <v>0</v>
      </c>
      <c r="CQ103" s="143">
        <v>0</v>
      </c>
      <c r="CR103" s="145">
        <v>0</v>
      </c>
      <c r="CS103" s="145">
        <v>0</v>
      </c>
      <c r="CT103" s="145">
        <v>0</v>
      </c>
      <c r="CU103" s="145">
        <v>0</v>
      </c>
      <c r="CV103" s="145">
        <v>0</v>
      </c>
      <c r="CW103" s="145">
        <v>0</v>
      </c>
      <c r="CX103" s="145">
        <v>0</v>
      </c>
      <c r="CY103" s="145">
        <v>0</v>
      </c>
      <c r="CZ103" s="145">
        <v>0</v>
      </c>
      <c r="DA103" s="145">
        <v>0</v>
      </c>
      <c r="DB103" s="145">
        <v>0</v>
      </c>
      <c r="DC103" s="145">
        <v>0</v>
      </c>
      <c r="DD103" s="145">
        <v>0</v>
      </c>
      <c r="DE103" s="145">
        <v>0</v>
      </c>
      <c r="DF103" s="145">
        <v>0</v>
      </c>
      <c r="DG103" s="145">
        <v>0</v>
      </c>
      <c r="DH103" s="145">
        <v>0</v>
      </c>
      <c r="DI103" s="145">
        <v>0</v>
      </c>
      <c r="DJ103" s="145">
        <v>0</v>
      </c>
      <c r="DK103" s="145">
        <v>0</v>
      </c>
      <c r="DL103" s="145">
        <v>0</v>
      </c>
      <c r="DM103" s="145">
        <v>12602.1</v>
      </c>
      <c r="DN103" s="145">
        <v>4200.7</v>
      </c>
      <c r="DO103" s="145">
        <v>0</v>
      </c>
      <c r="DP103" s="145">
        <v>0</v>
      </c>
      <c r="DQ103" s="145">
        <v>0</v>
      </c>
      <c r="DR103" s="145">
        <v>0</v>
      </c>
      <c r="DS103" s="145">
        <v>0</v>
      </c>
      <c r="DT103" s="145">
        <v>0</v>
      </c>
      <c r="DU103" s="145">
        <v>0</v>
      </c>
      <c r="DV103" s="145">
        <v>0</v>
      </c>
      <c r="DW103" s="145">
        <v>21643</v>
      </c>
      <c r="DX103" s="145">
        <v>0</v>
      </c>
      <c r="DY103" s="145">
        <v>0</v>
      </c>
      <c r="DZ103" s="145">
        <v>12985.800000000001</v>
      </c>
      <c r="EA103" s="145">
        <v>12985.800000000001</v>
      </c>
      <c r="EB103" s="145">
        <v>0</v>
      </c>
      <c r="EC103" s="145">
        <v>0</v>
      </c>
      <c r="ED103" s="145">
        <v>0</v>
      </c>
      <c r="EE103" s="145">
        <v>0</v>
      </c>
      <c r="EF103" s="145">
        <v>0</v>
      </c>
      <c r="EG103" s="145">
        <v>0</v>
      </c>
      <c r="EH103" s="145">
        <v>0</v>
      </c>
      <c r="EI103" s="145">
        <v>0</v>
      </c>
      <c r="EJ103" s="145">
        <v>0</v>
      </c>
      <c r="EK103" s="145">
        <v>0</v>
      </c>
      <c r="EL103" s="145">
        <v>0</v>
      </c>
      <c r="EM103" s="145">
        <v>0</v>
      </c>
      <c r="EN103" s="145">
        <v>0</v>
      </c>
      <c r="EO103" s="145">
        <v>0</v>
      </c>
      <c r="EP103" s="145">
        <v>0</v>
      </c>
      <c r="EQ103" s="145">
        <v>0</v>
      </c>
      <c r="ER103" s="145">
        <v>0</v>
      </c>
      <c r="ES103" s="145">
        <v>0</v>
      </c>
      <c r="ET103" s="145">
        <v>0</v>
      </c>
      <c r="EU103" s="145">
        <v>0</v>
      </c>
      <c r="EV103" s="145">
        <v>0</v>
      </c>
      <c r="EW103" s="145">
        <v>0</v>
      </c>
      <c r="EX103" s="145">
        <v>0</v>
      </c>
      <c r="EY103" s="145">
        <v>0</v>
      </c>
      <c r="EZ103" s="145">
        <v>0</v>
      </c>
      <c r="FA103" s="145">
        <v>0</v>
      </c>
      <c r="FB103" s="145">
        <v>0</v>
      </c>
      <c r="FC103" s="145">
        <v>0</v>
      </c>
      <c r="FD103" s="145">
        <v>0</v>
      </c>
      <c r="FE103" s="145">
        <v>0</v>
      </c>
      <c r="FF103" s="145">
        <v>0</v>
      </c>
      <c r="FG103" s="145">
        <v>0</v>
      </c>
      <c r="FH103" s="145">
        <v>0</v>
      </c>
      <c r="FI103" s="145">
        <v>0</v>
      </c>
      <c r="FJ103" s="145">
        <v>0</v>
      </c>
      <c r="FK103" s="145">
        <v>0</v>
      </c>
      <c r="FL103" s="145">
        <v>0</v>
      </c>
      <c r="FM103" s="145">
        <v>0</v>
      </c>
      <c r="FN103" s="145">
        <v>0</v>
      </c>
      <c r="FO103" s="145">
        <v>0</v>
      </c>
      <c r="FP103" s="145">
        <v>0</v>
      </c>
      <c r="FQ103" s="145">
        <v>0</v>
      </c>
      <c r="FR103" s="145">
        <v>0</v>
      </c>
      <c r="FS103" s="145">
        <v>0</v>
      </c>
      <c r="FT103" s="145">
        <v>0</v>
      </c>
      <c r="FU103" s="145">
        <v>0</v>
      </c>
      <c r="FV103" s="145">
        <v>0</v>
      </c>
      <c r="FW103" s="145">
        <v>0</v>
      </c>
      <c r="FX103" s="143"/>
      <c r="FY103" s="146" t="str">
        <f>_xlfn.XLOOKUP($E103,'Key assumptions'!$B$112:$B$120,'Key assumptions'!$C$112:$C$120,0)</f>
        <v>Nominal</v>
      </c>
      <c r="FZ103" s="146" cm="1">
        <f t="array" ref="FZ103">IF($FY103=0,0,_xlfn.IFS($FY103='Key assumptions'!$C$120,_xlfn.XLOOKUP(LEFT(FZ$7,6),Inflation_Year,Inflation_NominaltoReal),TRUE,_xlfn.XLOOKUP($FY103,Inflation_Year,NominaltoReal)))</f>
        <v>1.0197075870962191</v>
      </c>
      <c r="GA103" s="146" cm="1">
        <f t="array" ref="GA103">IF($FY103=0,0,_xlfn.IFS($FY103='Key assumptions'!$C$120,_xlfn.XLOOKUP(LEFT(GA$7,6),Inflation_Year,Inflation_NominaltoReal),TRUE,_xlfn.XLOOKUP($FY103,Inflation_Year,NominaltoReal)))</f>
        <v>0.98700804022984445</v>
      </c>
      <c r="GB103" s="146" cm="1">
        <f t="array" ref="GB103">IF($FY103=0,0,_xlfn.IFS($FY103='Key assumptions'!$C$120,_xlfn.XLOOKUP(LEFT(GB$7,6),Inflation_Year,Inflation_NominaltoReal),TRUE,_xlfn.XLOOKUP($FY103,Inflation_Year,NominaltoReal)))</f>
        <v>0.96152830081941731</v>
      </c>
      <c r="GC103" s="146" cm="1">
        <f t="array" ref="GC103">IF($FY103=0,0,_xlfn.IFS($FY103='Key assumptions'!$C$120,_xlfn.XLOOKUP(LEFT(GC$7,6),Inflation_Year,Inflation_NominaltoReal),TRUE,_xlfn.XLOOKUP($FY103,Inflation_Year,NominaltoReal)))</f>
        <v>0.93670632415656829</v>
      </c>
      <c r="GD103" s="146" cm="1">
        <f t="array" ref="GD103">IF($FY103=0,0,_xlfn.IFS($FY103='Key assumptions'!$C$120,_xlfn.XLOOKUP(LEFT(GD$7,6),Inflation_Year,Inflation_NominaltoReal),TRUE,_xlfn.XLOOKUP($FY103,Inflation_Year,NominaltoReal)))</f>
        <v>0.91252513001143176</v>
      </c>
      <c r="GE103" s="146" cm="1">
        <f t="array" ref="GE103">IF($FY103=0,0,_xlfn.IFS($FY103='Key assumptions'!$C$120,_xlfn.XLOOKUP(LEFT(GE$7,6),Inflation_Year,Inflation_NominaltoReal),TRUE,_xlfn.XLOOKUP($FY103,Inflation_Year,NominaltoReal)))</f>
        <v>0.88896817650095872</v>
      </c>
      <c r="GF103" s="146" cm="1">
        <f t="array" ref="GF103">IF($FY103=0,0,_xlfn.IFS($FY103='Key assumptions'!$C$120,_xlfn.XLOOKUP(LEFT(GF$7,6),Inflation_Year,Inflation_NominaltoReal),TRUE,_xlfn.XLOOKUP($FY103,Inflation_Year,NominaltoReal)))</f>
        <v>0.86601934877293718</v>
      </c>
      <c r="GG103" s="143"/>
      <c r="GH103" s="145" cm="1">
        <f t="array" ref="GH103">SUMPRODUCT(--($CR$7:$FW$7&gt;=GH$5),--($CR$7:$FW$7&lt;=GH$6),$CR103:$FW103)*FZ103</f>
        <v>0</v>
      </c>
      <c r="GI103" s="145" cm="1">
        <f t="array" ref="GI103">SUMPRODUCT(--($CR$7:$FW$7&gt;=GI$5),--($CR$7:$FW$7&lt;=GI$6),$CR103:$FW103)*GA103</f>
        <v>37946.313713068557</v>
      </c>
      <c r="GJ103" s="145" cm="1">
        <f t="array" ref="GJ103">SUMPRODUCT(--($CR$7:$FW$7&gt;=GJ$5),--($CR$7:$FW$7&lt;=GJ$6),$CR103:$FW103)*GB103</f>
        <v>24972.428417561579</v>
      </c>
      <c r="GK103" s="145" cm="1">
        <f t="array" ref="GK103">SUMPRODUCT(--($CR$7:$FW$7&gt;=GK$5),--($CR$7:$FW$7&lt;=GK$6),$CR103:$FW103)*GC103</f>
        <v>0</v>
      </c>
      <c r="GL103" s="145" cm="1">
        <f t="array" ref="GL103">SUMPRODUCT(--($CR$7:$FW$7&gt;=GL$5),--($CR$7:$FW$7&lt;=GL$6),$CR103:$FW103)*GD103</f>
        <v>0</v>
      </c>
      <c r="GM103" s="145" cm="1">
        <f t="array" ref="GM103">SUMPRODUCT(--($CR$7:$FW$7&gt;=GM$5),--($CR$7:$FW$7&lt;=GM$6),$CR103:$FW103)*GE103</f>
        <v>0</v>
      </c>
      <c r="GN103" s="145" cm="1">
        <f t="array" ref="GN103">SUMPRODUCT(--($CR$7:$FW$7&gt;=GN$5),--($CR$7:$FW$7&lt;=GN$6),$CR103:$FW103)*GF103</f>
        <v>0</v>
      </c>
      <c r="GO103" s="145">
        <f t="shared" si="23"/>
        <v>62918.74213063014</v>
      </c>
      <c r="GP103" s="87"/>
      <c r="GQ103" s="89"/>
      <c r="GR103" s="145" cm="1">
        <f t="array" ref="GR103">SUMPRODUCT(--($CR$7:$FW$7&gt;=GR$5),--($CR$7:$FW$7&lt;=GR$6),$CR103:$FW103)</f>
        <v>0</v>
      </c>
      <c r="GS103" s="89"/>
      <c r="GT103" s="214" cm="1">
        <f t="array" ref="GT103">--AND(MIN(IF($K103:$CP103&lt;&gt;0,$K$7:$CP$7))&gt;=GT$5,MIN(IF($K103:$CP103&lt;&gt;0,$K$7:$CP$7))&lt;=GT$6)</f>
        <v>0</v>
      </c>
      <c r="GU103" s="214" cm="1">
        <f t="array" ref="GU103">--AND(MIN(IF($K103:$CP103&lt;&gt;0,$K$7:$CP$7))&gt;=GU$5,MIN(IF($K103:$CP103&lt;&gt;0,$K$7:$CP$7))&lt;=GU$6)</f>
        <v>1</v>
      </c>
      <c r="GV103" s="214" cm="1">
        <f t="array" ref="GV103">--AND(MIN(IF($K103:$CP103&lt;&gt;0,$K$7:$CP$7))&gt;=GV$5,MIN(IF($K103:$CP103&lt;&gt;0,$K$7:$CP$7))&lt;=GV$6)</f>
        <v>0</v>
      </c>
      <c r="GW103" s="214" cm="1">
        <f t="array" ref="GW103">--AND(MIN(IF($K103:$CP103&lt;&gt;0,$K$7:$CP$7))&gt;=GW$5,MIN(IF($K103:$CP103&lt;&gt;0,$K$7:$CP$7))&lt;=GW$6)</f>
        <v>0</v>
      </c>
      <c r="GX103" s="214" cm="1">
        <f t="array" ref="GX103">--AND(MIN(IF($K103:$CP103&lt;&gt;0,$K$7:$CP$7))&gt;=GX$5,MIN(IF($K103:$CP103&lt;&gt;0,$K$7:$CP$7))&lt;=GX$6)</f>
        <v>0</v>
      </c>
      <c r="GY103" s="214" cm="1">
        <f t="array" ref="GY103">--AND(MIN(IF($K103:$CP103&lt;&gt;0,$K$7:$CP$7))&gt;=GY$5,MIN(IF($K103:$CP103&lt;&gt;0,$K$7:$CP$7))&lt;=GY$6)</f>
        <v>0</v>
      </c>
      <c r="GZ103" s="214" cm="1">
        <f t="array" ref="GZ103">--AND(MIN(IF($K103:$CP103&lt;&gt;0,$K$7:$CP$7))&gt;=GZ$5,MIN(IF($K103:$CP103&lt;&gt;0,$K$7:$CP$7))&lt;=GZ$6)</f>
        <v>0</v>
      </c>
      <c r="HA103" s="214">
        <f t="shared" si="24"/>
        <v>1</v>
      </c>
      <c r="HC103" s="214" cm="1">
        <f t="array" ref="HC103">--AND(MIN(IF($K103:$CP103&lt;&gt;0,$K$7:$CP$7))&gt;=HC$5,MIN(IF($K103:$CP103&lt;&gt;0,$K$7:$CP$7))&lt;=HC$6)</f>
        <v>0</v>
      </c>
      <c r="HE103" s="147" t="str">
        <f t="shared" si="43"/>
        <v>No</v>
      </c>
      <c r="HF103" s="147" t="str">
        <f t="shared" si="44"/>
        <v>Yes</v>
      </c>
      <c r="HG103" s="147">
        <f>IF($HF103="Yes",0,$H103*avg_hrs*12*'Key assumptions'!$D$87)</f>
        <v>0</v>
      </c>
      <c r="HH103" s="147">
        <f>IF(HE103="Yes",'Key assumptions'!$D$84*HG103,0)</f>
        <v>0</v>
      </c>
      <c r="HI103" s="144">
        <f>IFERROR(AVERAGEIFS($K103:$CP103,$K$7:$CP$7,"&gt;="&amp;'Key assumptions'!$D$24,$K$7:$CP$7,"&lt;="&amp;'Key assumptions'!$D$25),0)</f>
        <v>2.5974025974025972E-2</v>
      </c>
      <c r="HJ103" s="148">
        <f t="shared" si="25"/>
        <v>0</v>
      </c>
      <c r="HK103" s="148">
        <f t="shared" si="26"/>
        <v>0</v>
      </c>
      <c r="HL103" s="148">
        <f t="shared" si="27"/>
        <v>0</v>
      </c>
      <c r="HM103" s="148">
        <f t="shared" si="28"/>
        <v>0</v>
      </c>
      <c r="HN103" s="148">
        <f t="shared" si="29"/>
        <v>0</v>
      </c>
      <c r="HO103" s="148">
        <f t="shared" si="30"/>
        <v>0</v>
      </c>
      <c r="HP103" s="148">
        <f t="shared" si="31"/>
        <v>0</v>
      </c>
      <c r="HQ103" s="148">
        <f t="shared" si="32"/>
        <v>0</v>
      </c>
      <c r="HR103" s="147">
        <f t="shared" si="33"/>
        <v>0</v>
      </c>
      <c r="HU103" s="147">
        <f>$HJ103*HC103/(1+'Key assumptions'!G125)^0.75</f>
        <v>0</v>
      </c>
      <c r="HW103" s="216">
        <f t="shared" si="34"/>
        <v>0</v>
      </c>
      <c r="HX103" s="216">
        <f t="shared" si="35"/>
        <v>2.5974025974025972E-2</v>
      </c>
      <c r="HY103" s="216">
        <f t="shared" si="36"/>
        <v>0</v>
      </c>
      <c r="HZ103" s="216">
        <f t="shared" si="37"/>
        <v>0</v>
      </c>
      <c r="IA103" s="216">
        <f t="shared" si="38"/>
        <v>0</v>
      </c>
      <c r="IB103" s="216">
        <f t="shared" si="39"/>
        <v>0</v>
      </c>
      <c r="IC103" s="216">
        <f t="shared" si="40"/>
        <v>0</v>
      </c>
      <c r="ID103" s="216">
        <f t="shared" si="41"/>
        <v>2.5974025974025972E-2</v>
      </c>
      <c r="IF103" s="216">
        <f t="shared" si="42"/>
        <v>0</v>
      </c>
    </row>
    <row r="104" spans="2:240" x14ac:dyDescent="0.2">
      <c r="B104" s="141" t="str">
        <v>Project Delivery Management - Commissioning</v>
      </c>
      <c r="C104" s="141" t="str">
        <v>Control Technician (Construction)</v>
      </c>
      <c r="D104" s="141" t="str">
        <v>Internal Labour</v>
      </c>
      <c r="E104" s="141" t="str">
        <v>$ Nominal</v>
      </c>
      <c r="F104" s="141" t="str">
        <v>Existing</v>
      </c>
      <c r="G104" s="141" t="str">
        <v>Normal time</v>
      </c>
      <c r="H104" s="142">
        <v>221.91</v>
      </c>
      <c r="I104" s="126">
        <v>322448.28000000003</v>
      </c>
      <c r="J104" s="143">
        <v>0</v>
      </c>
      <c r="K104" s="144">
        <v>0</v>
      </c>
      <c r="L104" s="144">
        <v>0</v>
      </c>
      <c r="M104" s="144">
        <v>0</v>
      </c>
      <c r="N104" s="144">
        <v>0</v>
      </c>
      <c r="O104" s="144">
        <v>0</v>
      </c>
      <c r="P104" s="144">
        <v>0</v>
      </c>
      <c r="Q104" s="144">
        <v>0</v>
      </c>
      <c r="R104" s="144">
        <v>0</v>
      </c>
      <c r="S104" s="144">
        <v>0</v>
      </c>
      <c r="T104" s="144">
        <v>0</v>
      </c>
      <c r="U104" s="144">
        <v>0</v>
      </c>
      <c r="V104" s="144">
        <v>0</v>
      </c>
      <c r="W104" s="144">
        <v>0</v>
      </c>
      <c r="X104" s="144">
        <v>0</v>
      </c>
      <c r="Y104" s="144">
        <v>0</v>
      </c>
      <c r="Z104" s="144">
        <v>0</v>
      </c>
      <c r="AA104" s="144">
        <v>0</v>
      </c>
      <c r="AB104" s="144">
        <v>0</v>
      </c>
      <c r="AC104" s="144">
        <v>0</v>
      </c>
      <c r="AD104" s="144">
        <v>0</v>
      </c>
      <c r="AE104" s="144">
        <v>0</v>
      </c>
      <c r="AF104" s="144">
        <v>0.5</v>
      </c>
      <c r="AG104" s="144">
        <v>0.5</v>
      </c>
      <c r="AH104" s="144">
        <v>1.5333333333333334</v>
      </c>
      <c r="AI104" s="144">
        <v>1.4</v>
      </c>
      <c r="AJ104" s="144">
        <v>1</v>
      </c>
      <c r="AK104" s="144">
        <v>0</v>
      </c>
      <c r="AL104" s="144">
        <v>0</v>
      </c>
      <c r="AM104" s="144">
        <v>0</v>
      </c>
      <c r="AN104" s="144">
        <v>0</v>
      </c>
      <c r="AO104" s="144">
        <v>0</v>
      </c>
      <c r="AP104" s="144">
        <v>1.6</v>
      </c>
      <c r="AQ104" s="144">
        <v>1.1000000000000001</v>
      </c>
      <c r="AR104" s="144">
        <v>1.05</v>
      </c>
      <c r="AS104" s="144">
        <v>1.1000000000000001</v>
      </c>
      <c r="AT104" s="144">
        <v>1.5333333333333334</v>
      </c>
      <c r="AU104" s="144">
        <v>0</v>
      </c>
      <c r="AV104" s="144">
        <v>0</v>
      </c>
      <c r="AW104" s="144">
        <v>0</v>
      </c>
      <c r="AX104" s="144">
        <v>0</v>
      </c>
      <c r="AY104" s="144">
        <v>0</v>
      </c>
      <c r="AZ104" s="144">
        <v>0</v>
      </c>
      <c r="BA104" s="144">
        <v>0</v>
      </c>
      <c r="BB104" s="144">
        <v>0</v>
      </c>
      <c r="BC104" s="144">
        <v>0</v>
      </c>
      <c r="BD104" s="144">
        <v>0</v>
      </c>
      <c r="BE104" s="144">
        <v>0</v>
      </c>
      <c r="BF104" s="144">
        <v>0</v>
      </c>
      <c r="BG104" s="144">
        <v>0</v>
      </c>
      <c r="BH104" s="144">
        <v>0</v>
      </c>
      <c r="BI104" s="144">
        <v>0</v>
      </c>
      <c r="BJ104" s="144">
        <v>0</v>
      </c>
      <c r="BK104" s="144">
        <v>0</v>
      </c>
      <c r="BL104" s="144">
        <v>0</v>
      </c>
      <c r="BM104" s="144">
        <v>0</v>
      </c>
      <c r="BN104" s="144">
        <v>0</v>
      </c>
      <c r="BO104" s="144">
        <v>0</v>
      </c>
      <c r="BP104" s="144">
        <v>0</v>
      </c>
      <c r="BQ104" s="144">
        <v>0</v>
      </c>
      <c r="BR104" s="144">
        <v>0</v>
      </c>
      <c r="BS104" s="144">
        <v>0</v>
      </c>
      <c r="BT104" s="144">
        <v>0</v>
      </c>
      <c r="BU104" s="144">
        <v>0</v>
      </c>
      <c r="BV104" s="144">
        <v>0</v>
      </c>
      <c r="BW104" s="144">
        <v>0</v>
      </c>
      <c r="BX104" s="144">
        <v>0</v>
      </c>
      <c r="BY104" s="144">
        <v>0</v>
      </c>
      <c r="BZ104" s="144">
        <v>0</v>
      </c>
      <c r="CA104" s="144">
        <v>0</v>
      </c>
      <c r="CB104" s="144">
        <v>0</v>
      </c>
      <c r="CC104" s="144">
        <v>0</v>
      </c>
      <c r="CD104" s="144">
        <v>0</v>
      </c>
      <c r="CE104" s="144">
        <v>0</v>
      </c>
      <c r="CF104" s="144">
        <v>0</v>
      </c>
      <c r="CG104" s="144">
        <v>0</v>
      </c>
      <c r="CH104" s="144">
        <v>0</v>
      </c>
      <c r="CI104" s="144">
        <v>0</v>
      </c>
      <c r="CJ104" s="144">
        <v>0</v>
      </c>
      <c r="CK104" s="144">
        <v>0</v>
      </c>
      <c r="CL104" s="144">
        <v>0</v>
      </c>
      <c r="CM104" s="144">
        <v>0</v>
      </c>
      <c r="CN104" s="144">
        <v>0</v>
      </c>
      <c r="CO104" s="144">
        <v>0</v>
      </c>
      <c r="CP104" s="144">
        <v>0</v>
      </c>
      <c r="CQ104" s="143">
        <v>0</v>
      </c>
      <c r="CR104" s="145">
        <v>0</v>
      </c>
      <c r="CS104" s="145">
        <v>0</v>
      </c>
      <c r="CT104" s="145">
        <v>0</v>
      </c>
      <c r="CU104" s="145">
        <v>0</v>
      </c>
      <c r="CV104" s="145">
        <v>0</v>
      </c>
      <c r="CW104" s="145">
        <v>0</v>
      </c>
      <c r="CX104" s="145">
        <v>0</v>
      </c>
      <c r="CY104" s="145">
        <v>0</v>
      </c>
      <c r="CZ104" s="145">
        <v>0</v>
      </c>
      <c r="DA104" s="145">
        <v>0</v>
      </c>
      <c r="DB104" s="145">
        <v>0</v>
      </c>
      <c r="DC104" s="145">
        <v>0</v>
      </c>
      <c r="DD104" s="145">
        <v>0</v>
      </c>
      <c r="DE104" s="145">
        <v>0</v>
      </c>
      <c r="DF104" s="145">
        <v>0</v>
      </c>
      <c r="DG104" s="145">
        <v>0</v>
      </c>
      <c r="DH104" s="145">
        <v>0</v>
      </c>
      <c r="DI104" s="145">
        <v>0</v>
      </c>
      <c r="DJ104" s="145">
        <v>0</v>
      </c>
      <c r="DK104" s="145">
        <v>0</v>
      </c>
      <c r="DL104" s="145">
        <v>0</v>
      </c>
      <c r="DM104" s="145">
        <v>15533.699999999999</v>
      </c>
      <c r="DN104" s="145">
        <v>15533.699999999999</v>
      </c>
      <c r="DO104" s="145">
        <v>35727.51</v>
      </c>
      <c r="DP104" s="145">
        <v>32620.77</v>
      </c>
      <c r="DQ104" s="145">
        <v>31067.399999999998</v>
      </c>
      <c r="DR104" s="145">
        <v>0</v>
      </c>
      <c r="DS104" s="145">
        <v>0</v>
      </c>
      <c r="DT104" s="145">
        <v>0</v>
      </c>
      <c r="DU104" s="145">
        <v>0</v>
      </c>
      <c r="DV104" s="145">
        <v>0</v>
      </c>
      <c r="DW104" s="145">
        <v>51190.720000000001</v>
      </c>
      <c r="DX104" s="145">
        <v>35193.620000000003</v>
      </c>
      <c r="DY104" s="145">
        <v>33593.910000000003</v>
      </c>
      <c r="DZ104" s="145">
        <v>35193.620000000003</v>
      </c>
      <c r="EA104" s="145">
        <v>36793.33</v>
      </c>
      <c r="EB104" s="145">
        <v>0</v>
      </c>
      <c r="EC104" s="145">
        <v>0</v>
      </c>
      <c r="ED104" s="145">
        <v>0</v>
      </c>
      <c r="EE104" s="145">
        <v>0</v>
      </c>
      <c r="EF104" s="145">
        <v>0</v>
      </c>
      <c r="EG104" s="145">
        <v>0</v>
      </c>
      <c r="EH104" s="145">
        <v>0</v>
      </c>
      <c r="EI104" s="145">
        <v>0</v>
      </c>
      <c r="EJ104" s="145">
        <v>0</v>
      </c>
      <c r="EK104" s="145">
        <v>0</v>
      </c>
      <c r="EL104" s="145">
        <v>0</v>
      </c>
      <c r="EM104" s="145">
        <v>0</v>
      </c>
      <c r="EN104" s="145">
        <v>0</v>
      </c>
      <c r="EO104" s="145">
        <v>0</v>
      </c>
      <c r="EP104" s="145">
        <v>0</v>
      </c>
      <c r="EQ104" s="145">
        <v>0</v>
      </c>
      <c r="ER104" s="145">
        <v>0</v>
      </c>
      <c r="ES104" s="145">
        <v>0</v>
      </c>
      <c r="ET104" s="145">
        <v>0</v>
      </c>
      <c r="EU104" s="145">
        <v>0</v>
      </c>
      <c r="EV104" s="145">
        <v>0</v>
      </c>
      <c r="EW104" s="145">
        <v>0</v>
      </c>
      <c r="EX104" s="145">
        <v>0</v>
      </c>
      <c r="EY104" s="145">
        <v>0</v>
      </c>
      <c r="EZ104" s="145">
        <v>0</v>
      </c>
      <c r="FA104" s="145">
        <v>0</v>
      </c>
      <c r="FB104" s="145">
        <v>0</v>
      </c>
      <c r="FC104" s="145">
        <v>0</v>
      </c>
      <c r="FD104" s="145">
        <v>0</v>
      </c>
      <c r="FE104" s="145">
        <v>0</v>
      </c>
      <c r="FF104" s="145">
        <v>0</v>
      </c>
      <c r="FG104" s="145">
        <v>0</v>
      </c>
      <c r="FH104" s="145">
        <v>0</v>
      </c>
      <c r="FI104" s="145">
        <v>0</v>
      </c>
      <c r="FJ104" s="145">
        <v>0</v>
      </c>
      <c r="FK104" s="145">
        <v>0</v>
      </c>
      <c r="FL104" s="145">
        <v>0</v>
      </c>
      <c r="FM104" s="145">
        <v>0</v>
      </c>
      <c r="FN104" s="145">
        <v>0</v>
      </c>
      <c r="FO104" s="145">
        <v>0</v>
      </c>
      <c r="FP104" s="145">
        <v>0</v>
      </c>
      <c r="FQ104" s="145">
        <v>0</v>
      </c>
      <c r="FR104" s="145">
        <v>0</v>
      </c>
      <c r="FS104" s="145">
        <v>0</v>
      </c>
      <c r="FT104" s="145">
        <v>0</v>
      </c>
      <c r="FU104" s="145">
        <v>0</v>
      </c>
      <c r="FV104" s="145">
        <v>0</v>
      </c>
      <c r="FW104" s="145">
        <v>0</v>
      </c>
      <c r="FX104" s="143"/>
      <c r="FY104" s="146" t="str">
        <f>_xlfn.XLOOKUP($E104,'Key assumptions'!$B$112:$B$120,'Key assumptions'!$C$112:$C$120,0)</f>
        <v>Nominal</v>
      </c>
      <c r="FZ104" s="146" cm="1">
        <f t="array" ref="FZ104">IF($FY104=0,0,_xlfn.IFS($FY104='Key assumptions'!$C$120,_xlfn.XLOOKUP(LEFT(FZ$7,6),Inflation_Year,Inflation_NominaltoReal),TRUE,_xlfn.XLOOKUP($FY104,Inflation_Year,NominaltoReal)))</f>
        <v>1.0197075870962191</v>
      </c>
      <c r="GA104" s="146" cm="1">
        <f t="array" ref="GA104">IF($FY104=0,0,_xlfn.IFS($FY104='Key assumptions'!$C$120,_xlfn.XLOOKUP(LEFT(GA$7,6),Inflation_Year,Inflation_NominaltoReal),TRUE,_xlfn.XLOOKUP($FY104,Inflation_Year,NominaltoReal)))</f>
        <v>0.98700804022984445</v>
      </c>
      <c r="GB104" s="146" cm="1">
        <f t="array" ref="GB104">IF($FY104=0,0,_xlfn.IFS($FY104='Key assumptions'!$C$120,_xlfn.XLOOKUP(LEFT(GB$7,6),Inflation_Year,Inflation_NominaltoReal),TRUE,_xlfn.XLOOKUP($FY104,Inflation_Year,NominaltoReal)))</f>
        <v>0.96152830081941731</v>
      </c>
      <c r="GC104" s="146" cm="1">
        <f t="array" ref="GC104">IF($FY104=0,0,_xlfn.IFS($FY104='Key assumptions'!$C$120,_xlfn.XLOOKUP(LEFT(GC$7,6),Inflation_Year,Inflation_NominaltoReal),TRUE,_xlfn.XLOOKUP($FY104,Inflation_Year,NominaltoReal)))</f>
        <v>0.93670632415656829</v>
      </c>
      <c r="GD104" s="146" cm="1">
        <f t="array" ref="GD104">IF($FY104=0,0,_xlfn.IFS($FY104='Key assumptions'!$C$120,_xlfn.XLOOKUP(LEFT(GD$7,6),Inflation_Year,Inflation_NominaltoReal),TRUE,_xlfn.XLOOKUP($FY104,Inflation_Year,NominaltoReal)))</f>
        <v>0.91252513001143176</v>
      </c>
      <c r="GE104" s="146" cm="1">
        <f t="array" ref="GE104">IF($FY104=0,0,_xlfn.IFS($FY104='Key assumptions'!$C$120,_xlfn.XLOOKUP(LEFT(GE$7,6),Inflation_Year,Inflation_NominaltoReal),TRUE,_xlfn.XLOOKUP($FY104,Inflation_Year,NominaltoReal)))</f>
        <v>0.88896817650095872</v>
      </c>
      <c r="GF104" s="146" cm="1">
        <f t="array" ref="GF104">IF($FY104=0,0,_xlfn.IFS($FY104='Key assumptions'!$C$120,_xlfn.XLOOKUP(LEFT(GF$7,6),Inflation_Year,Inflation_NominaltoReal),TRUE,_xlfn.XLOOKUP($FY104,Inflation_Year,NominaltoReal)))</f>
        <v>0.86601934877293718</v>
      </c>
      <c r="GG104" s="143"/>
      <c r="GH104" s="145" cm="1">
        <f t="array" ref="GH104">SUMPRODUCT(--($CR$7:$FW$7&gt;=GH$5),--($CR$7:$FW$7&lt;=GH$6),$CR104:$FW104)*FZ104</f>
        <v>0</v>
      </c>
      <c r="GI104" s="145" cm="1">
        <f t="array" ref="GI104">SUMPRODUCT(--($CR$7:$FW$7&gt;=GI$5),--($CR$7:$FW$7&lt;=GI$6),$CR104:$FW104)*GA104</f>
        <v>214049.88720390256</v>
      </c>
      <c r="GJ104" s="145" cm="1">
        <f t="array" ref="GJ104">SUMPRODUCT(--($CR$7:$FW$7&gt;=GJ$5),--($CR$7:$FW$7&lt;=GJ$6),$CR104:$FW104)*GB104</f>
        <v>101518.98491485279</v>
      </c>
      <c r="GK104" s="145" cm="1">
        <f t="array" ref="GK104">SUMPRODUCT(--($CR$7:$FW$7&gt;=GK$5),--($CR$7:$FW$7&lt;=GK$6),$CR104:$FW104)*GC104</f>
        <v>0</v>
      </c>
      <c r="GL104" s="145" cm="1">
        <f t="array" ref="GL104">SUMPRODUCT(--($CR$7:$FW$7&gt;=GL$5),--($CR$7:$FW$7&lt;=GL$6),$CR104:$FW104)*GD104</f>
        <v>0</v>
      </c>
      <c r="GM104" s="145" cm="1">
        <f t="array" ref="GM104">SUMPRODUCT(--($CR$7:$FW$7&gt;=GM$5),--($CR$7:$FW$7&lt;=GM$6),$CR104:$FW104)*GE104</f>
        <v>0</v>
      </c>
      <c r="GN104" s="145" cm="1">
        <f t="array" ref="GN104">SUMPRODUCT(--($CR$7:$FW$7&gt;=GN$5),--($CR$7:$FW$7&lt;=GN$6),$CR104:$FW104)*GF104</f>
        <v>0</v>
      </c>
      <c r="GO104" s="145">
        <f t="shared" si="23"/>
        <v>315568.87211875536</v>
      </c>
      <c r="GP104" s="87"/>
      <c r="GQ104" s="89"/>
      <c r="GR104" s="145" cm="1">
        <f t="array" ref="GR104">SUMPRODUCT(--($CR$7:$FW$7&gt;=GR$5),--($CR$7:$FW$7&lt;=GR$6),$CR104:$FW104)</f>
        <v>0</v>
      </c>
      <c r="GS104" s="89"/>
      <c r="GT104" s="214" cm="1">
        <f t="array" ref="GT104">--AND(MIN(IF($K104:$CP104&lt;&gt;0,$K$7:$CP$7))&gt;=GT$5,MIN(IF($K104:$CP104&lt;&gt;0,$K$7:$CP$7))&lt;=GT$6)</f>
        <v>0</v>
      </c>
      <c r="GU104" s="214" cm="1">
        <f t="array" ref="GU104">--AND(MIN(IF($K104:$CP104&lt;&gt;0,$K$7:$CP$7))&gt;=GU$5,MIN(IF($K104:$CP104&lt;&gt;0,$K$7:$CP$7))&lt;=GU$6)</f>
        <v>1</v>
      </c>
      <c r="GV104" s="214" cm="1">
        <f t="array" ref="GV104">--AND(MIN(IF($K104:$CP104&lt;&gt;0,$K$7:$CP$7))&gt;=GV$5,MIN(IF($K104:$CP104&lt;&gt;0,$K$7:$CP$7))&lt;=GV$6)</f>
        <v>0</v>
      </c>
      <c r="GW104" s="214" cm="1">
        <f t="array" ref="GW104">--AND(MIN(IF($K104:$CP104&lt;&gt;0,$K$7:$CP$7))&gt;=GW$5,MIN(IF($K104:$CP104&lt;&gt;0,$K$7:$CP$7))&lt;=GW$6)</f>
        <v>0</v>
      </c>
      <c r="GX104" s="214" cm="1">
        <f t="array" ref="GX104">--AND(MIN(IF($K104:$CP104&lt;&gt;0,$K$7:$CP$7))&gt;=GX$5,MIN(IF($K104:$CP104&lt;&gt;0,$K$7:$CP$7))&lt;=GX$6)</f>
        <v>0</v>
      </c>
      <c r="GY104" s="214" cm="1">
        <f t="array" ref="GY104">--AND(MIN(IF($K104:$CP104&lt;&gt;0,$K$7:$CP$7))&gt;=GY$5,MIN(IF($K104:$CP104&lt;&gt;0,$K$7:$CP$7))&lt;=GY$6)</f>
        <v>0</v>
      </c>
      <c r="GZ104" s="214" cm="1">
        <f t="array" ref="GZ104">--AND(MIN(IF($K104:$CP104&lt;&gt;0,$K$7:$CP$7))&gt;=GZ$5,MIN(IF($K104:$CP104&lt;&gt;0,$K$7:$CP$7))&lt;=GZ$6)</f>
        <v>0</v>
      </c>
      <c r="HA104" s="214">
        <f t="shared" si="24"/>
        <v>1</v>
      </c>
      <c r="HC104" s="214" cm="1">
        <f t="array" ref="HC104">--AND(MIN(IF($K104:$CP104&lt;&gt;0,$K$7:$CP$7))&gt;=HC$5,MIN(IF($K104:$CP104&lt;&gt;0,$K$7:$CP$7))&lt;=HC$6)</f>
        <v>0</v>
      </c>
      <c r="HE104" s="147" t="str">
        <f t="shared" si="43"/>
        <v>No</v>
      </c>
      <c r="HF104" s="147" t="str">
        <f t="shared" si="44"/>
        <v>No</v>
      </c>
      <c r="HG104" s="147">
        <f>IF($HF104="Yes",0,$H104*avg_hrs*12*'Key assumptions'!$D$87)</f>
        <v>396834.77589855355</v>
      </c>
      <c r="HH104" s="147">
        <f>IF(HE104="Yes",'Key assumptions'!$D$84*HG104,0)</f>
        <v>0</v>
      </c>
      <c r="HI104" s="144">
        <f>IFERROR(AVERAGEIFS($K104:$CP104,$K$7:$CP$7,"&gt;="&amp;'Key assumptions'!$D$24,$K$7:$CP$7,"&lt;="&amp;'Key assumptions'!$D$25),0)</f>
        <v>0.2571969696969697</v>
      </c>
      <c r="HJ104" s="148">
        <f t="shared" ref="HJ104:HJ135" si="45">HH104*HI104</f>
        <v>0</v>
      </c>
      <c r="HK104" s="148">
        <f t="shared" si="26"/>
        <v>0</v>
      </c>
      <c r="HL104" s="148">
        <f t="shared" si="27"/>
        <v>0</v>
      </c>
      <c r="HM104" s="148">
        <f t="shared" si="28"/>
        <v>0</v>
      </c>
      <c r="HN104" s="148">
        <f t="shared" si="29"/>
        <v>0</v>
      </c>
      <c r="HO104" s="148">
        <f t="shared" si="30"/>
        <v>0</v>
      </c>
      <c r="HP104" s="148">
        <f t="shared" si="31"/>
        <v>0</v>
      </c>
      <c r="HQ104" s="148">
        <f t="shared" si="32"/>
        <v>0</v>
      </c>
      <c r="HR104" s="147">
        <f t="shared" si="33"/>
        <v>0</v>
      </c>
      <c r="HU104" s="147">
        <f>$HJ104*HC104/(1+'Key assumptions'!G126)^0.75</f>
        <v>0</v>
      </c>
      <c r="HW104" s="216">
        <f t="shared" si="34"/>
        <v>0</v>
      </c>
      <c r="HX104" s="216">
        <f t="shared" si="35"/>
        <v>0.2571969696969697</v>
      </c>
      <c r="HY104" s="216">
        <f t="shared" si="36"/>
        <v>0</v>
      </c>
      <c r="HZ104" s="216">
        <f t="shared" si="37"/>
        <v>0</v>
      </c>
      <c r="IA104" s="216">
        <f t="shared" si="38"/>
        <v>0</v>
      </c>
      <c r="IB104" s="216">
        <f t="shared" si="39"/>
        <v>0</v>
      </c>
      <c r="IC104" s="216">
        <f t="shared" si="40"/>
        <v>0</v>
      </c>
      <c r="ID104" s="216">
        <f t="shared" si="41"/>
        <v>0.2571969696969697</v>
      </c>
      <c r="IF104" s="216">
        <f t="shared" si="42"/>
        <v>0</v>
      </c>
    </row>
    <row r="105" spans="2:240" x14ac:dyDescent="0.2">
      <c r="B105" s="141" t="str">
        <v>Project Delivery Management - Commissioning</v>
      </c>
      <c r="C105" s="141" t="str">
        <v>Control Technician (Construction)</v>
      </c>
      <c r="D105" s="141" t="str">
        <v>Internal Labour</v>
      </c>
      <c r="E105" s="141" t="str">
        <v>$ Nominal</v>
      </c>
      <c r="F105" s="141">
        <v>0</v>
      </c>
      <c r="G105" s="141" t="str">
        <v>Overtime</v>
      </c>
      <c r="H105" s="142">
        <v>221.91</v>
      </c>
      <c r="I105" s="126">
        <v>221179</v>
      </c>
      <c r="J105" s="143">
        <v>0</v>
      </c>
      <c r="K105" s="144">
        <v>0</v>
      </c>
      <c r="L105" s="144">
        <v>0</v>
      </c>
      <c r="M105" s="144">
        <v>0</v>
      </c>
      <c r="N105" s="144">
        <v>0</v>
      </c>
      <c r="O105" s="144">
        <v>0</v>
      </c>
      <c r="P105" s="144">
        <v>0</v>
      </c>
      <c r="Q105" s="144">
        <v>0</v>
      </c>
      <c r="R105" s="144">
        <v>0</v>
      </c>
      <c r="S105" s="144">
        <v>0</v>
      </c>
      <c r="T105" s="144">
        <v>0</v>
      </c>
      <c r="U105" s="144">
        <v>0</v>
      </c>
      <c r="V105" s="144">
        <v>0</v>
      </c>
      <c r="W105" s="144">
        <v>0</v>
      </c>
      <c r="X105" s="144">
        <v>0</v>
      </c>
      <c r="Y105" s="144">
        <v>0</v>
      </c>
      <c r="Z105" s="144">
        <v>0</v>
      </c>
      <c r="AA105" s="144">
        <v>0</v>
      </c>
      <c r="AB105" s="144">
        <v>0</v>
      </c>
      <c r="AC105" s="144">
        <v>0</v>
      </c>
      <c r="AD105" s="144">
        <v>0</v>
      </c>
      <c r="AE105" s="144">
        <v>0</v>
      </c>
      <c r="AF105" s="144">
        <v>0.21428571428571427</v>
      </c>
      <c r="AG105" s="144">
        <v>0.21428571428571427</v>
      </c>
      <c r="AH105" s="144">
        <v>0.47619047619047616</v>
      </c>
      <c r="AI105" s="144">
        <v>0.47619047619047616</v>
      </c>
      <c r="AJ105" s="144">
        <v>0.35714285714285715</v>
      </c>
      <c r="AK105" s="144">
        <v>0</v>
      </c>
      <c r="AL105" s="144">
        <v>0</v>
      </c>
      <c r="AM105" s="144">
        <v>0</v>
      </c>
      <c r="AN105" s="144">
        <v>0</v>
      </c>
      <c r="AO105" s="144">
        <v>0</v>
      </c>
      <c r="AP105" s="144">
        <v>0.5714285714285714</v>
      </c>
      <c r="AQ105" s="144">
        <v>0.35714285714285715</v>
      </c>
      <c r="AR105" s="144">
        <v>0.35714285714285715</v>
      </c>
      <c r="AS105" s="144">
        <v>0.35714285714285715</v>
      </c>
      <c r="AT105" s="144">
        <v>0.47619047619047616</v>
      </c>
      <c r="AU105" s="144">
        <v>0</v>
      </c>
      <c r="AV105" s="144">
        <v>0</v>
      </c>
      <c r="AW105" s="144">
        <v>0</v>
      </c>
      <c r="AX105" s="144">
        <v>0</v>
      </c>
      <c r="AY105" s="144">
        <v>0</v>
      </c>
      <c r="AZ105" s="144">
        <v>0</v>
      </c>
      <c r="BA105" s="144">
        <v>0</v>
      </c>
      <c r="BB105" s="144">
        <v>0</v>
      </c>
      <c r="BC105" s="144">
        <v>0</v>
      </c>
      <c r="BD105" s="144">
        <v>0</v>
      </c>
      <c r="BE105" s="144">
        <v>0</v>
      </c>
      <c r="BF105" s="144">
        <v>0</v>
      </c>
      <c r="BG105" s="144">
        <v>0</v>
      </c>
      <c r="BH105" s="144">
        <v>0</v>
      </c>
      <c r="BI105" s="144">
        <v>0</v>
      </c>
      <c r="BJ105" s="144">
        <v>0</v>
      </c>
      <c r="BK105" s="144">
        <v>0</v>
      </c>
      <c r="BL105" s="144">
        <v>0</v>
      </c>
      <c r="BM105" s="144">
        <v>0</v>
      </c>
      <c r="BN105" s="144">
        <v>0</v>
      </c>
      <c r="BO105" s="144">
        <v>0</v>
      </c>
      <c r="BP105" s="144">
        <v>0</v>
      </c>
      <c r="BQ105" s="144">
        <v>0</v>
      </c>
      <c r="BR105" s="144">
        <v>0</v>
      </c>
      <c r="BS105" s="144">
        <v>0</v>
      </c>
      <c r="BT105" s="144">
        <v>0</v>
      </c>
      <c r="BU105" s="144">
        <v>0</v>
      </c>
      <c r="BV105" s="144">
        <v>0</v>
      </c>
      <c r="BW105" s="144">
        <v>0</v>
      </c>
      <c r="BX105" s="144">
        <v>0</v>
      </c>
      <c r="BY105" s="144">
        <v>0</v>
      </c>
      <c r="BZ105" s="144">
        <v>0</v>
      </c>
      <c r="CA105" s="144">
        <v>0</v>
      </c>
      <c r="CB105" s="144">
        <v>0</v>
      </c>
      <c r="CC105" s="144">
        <v>0</v>
      </c>
      <c r="CD105" s="144">
        <v>0</v>
      </c>
      <c r="CE105" s="144">
        <v>0</v>
      </c>
      <c r="CF105" s="144">
        <v>0</v>
      </c>
      <c r="CG105" s="144">
        <v>0</v>
      </c>
      <c r="CH105" s="144">
        <v>0</v>
      </c>
      <c r="CI105" s="144">
        <v>0</v>
      </c>
      <c r="CJ105" s="144">
        <v>0</v>
      </c>
      <c r="CK105" s="144">
        <v>0</v>
      </c>
      <c r="CL105" s="144">
        <v>0</v>
      </c>
      <c r="CM105" s="144">
        <v>0</v>
      </c>
      <c r="CN105" s="144">
        <v>0</v>
      </c>
      <c r="CO105" s="144">
        <v>0</v>
      </c>
      <c r="CP105" s="144">
        <v>0</v>
      </c>
      <c r="CQ105" s="143">
        <v>0</v>
      </c>
      <c r="CR105" s="145">
        <v>0</v>
      </c>
      <c r="CS105" s="145">
        <v>0</v>
      </c>
      <c r="CT105" s="145">
        <v>0</v>
      </c>
      <c r="CU105" s="145">
        <v>0</v>
      </c>
      <c r="CV105" s="145">
        <v>0</v>
      </c>
      <c r="CW105" s="145">
        <v>0</v>
      </c>
      <c r="CX105" s="145">
        <v>0</v>
      </c>
      <c r="CY105" s="145">
        <v>0</v>
      </c>
      <c r="CZ105" s="145">
        <v>0</v>
      </c>
      <c r="DA105" s="145">
        <v>0</v>
      </c>
      <c r="DB105" s="145">
        <v>0</v>
      </c>
      <c r="DC105" s="145">
        <v>0</v>
      </c>
      <c r="DD105" s="145">
        <v>0</v>
      </c>
      <c r="DE105" s="145">
        <v>0</v>
      </c>
      <c r="DF105" s="145">
        <v>0</v>
      </c>
      <c r="DG105" s="145">
        <v>0</v>
      </c>
      <c r="DH105" s="145">
        <v>0</v>
      </c>
      <c r="DI105" s="145">
        <v>0</v>
      </c>
      <c r="DJ105" s="145">
        <v>0</v>
      </c>
      <c r="DK105" s="145">
        <v>0</v>
      </c>
      <c r="DL105" s="145">
        <v>0</v>
      </c>
      <c r="DM105" s="145">
        <v>13314.6</v>
      </c>
      <c r="DN105" s="145">
        <v>13314.6</v>
      </c>
      <c r="DO105" s="145">
        <v>22191</v>
      </c>
      <c r="DP105" s="145">
        <v>22191</v>
      </c>
      <c r="DQ105" s="145">
        <v>22191</v>
      </c>
      <c r="DR105" s="145">
        <v>0</v>
      </c>
      <c r="DS105" s="145">
        <v>0</v>
      </c>
      <c r="DT105" s="145">
        <v>0</v>
      </c>
      <c r="DU105" s="145">
        <v>0</v>
      </c>
      <c r="DV105" s="145">
        <v>0</v>
      </c>
      <c r="DW105" s="145">
        <v>36564.800000000003</v>
      </c>
      <c r="DX105" s="145">
        <v>22853</v>
      </c>
      <c r="DY105" s="145">
        <v>22853</v>
      </c>
      <c r="DZ105" s="145">
        <v>22853</v>
      </c>
      <c r="EA105" s="145">
        <v>22853</v>
      </c>
      <c r="EB105" s="145">
        <v>0</v>
      </c>
      <c r="EC105" s="145">
        <v>0</v>
      </c>
      <c r="ED105" s="145">
        <v>0</v>
      </c>
      <c r="EE105" s="145">
        <v>0</v>
      </c>
      <c r="EF105" s="145">
        <v>0</v>
      </c>
      <c r="EG105" s="145">
        <v>0</v>
      </c>
      <c r="EH105" s="145">
        <v>0</v>
      </c>
      <c r="EI105" s="145">
        <v>0</v>
      </c>
      <c r="EJ105" s="145">
        <v>0</v>
      </c>
      <c r="EK105" s="145">
        <v>0</v>
      </c>
      <c r="EL105" s="145">
        <v>0</v>
      </c>
      <c r="EM105" s="145">
        <v>0</v>
      </c>
      <c r="EN105" s="145">
        <v>0</v>
      </c>
      <c r="EO105" s="145">
        <v>0</v>
      </c>
      <c r="EP105" s="145">
        <v>0</v>
      </c>
      <c r="EQ105" s="145">
        <v>0</v>
      </c>
      <c r="ER105" s="145">
        <v>0</v>
      </c>
      <c r="ES105" s="145">
        <v>0</v>
      </c>
      <c r="ET105" s="145">
        <v>0</v>
      </c>
      <c r="EU105" s="145">
        <v>0</v>
      </c>
      <c r="EV105" s="145">
        <v>0</v>
      </c>
      <c r="EW105" s="145">
        <v>0</v>
      </c>
      <c r="EX105" s="145">
        <v>0</v>
      </c>
      <c r="EY105" s="145">
        <v>0</v>
      </c>
      <c r="EZ105" s="145">
        <v>0</v>
      </c>
      <c r="FA105" s="145">
        <v>0</v>
      </c>
      <c r="FB105" s="145">
        <v>0</v>
      </c>
      <c r="FC105" s="145">
        <v>0</v>
      </c>
      <c r="FD105" s="145">
        <v>0</v>
      </c>
      <c r="FE105" s="145">
        <v>0</v>
      </c>
      <c r="FF105" s="145">
        <v>0</v>
      </c>
      <c r="FG105" s="145">
        <v>0</v>
      </c>
      <c r="FH105" s="145">
        <v>0</v>
      </c>
      <c r="FI105" s="145">
        <v>0</v>
      </c>
      <c r="FJ105" s="145">
        <v>0</v>
      </c>
      <c r="FK105" s="145">
        <v>0</v>
      </c>
      <c r="FL105" s="145">
        <v>0</v>
      </c>
      <c r="FM105" s="145">
        <v>0</v>
      </c>
      <c r="FN105" s="145">
        <v>0</v>
      </c>
      <c r="FO105" s="145">
        <v>0</v>
      </c>
      <c r="FP105" s="145">
        <v>0</v>
      </c>
      <c r="FQ105" s="145">
        <v>0</v>
      </c>
      <c r="FR105" s="145">
        <v>0</v>
      </c>
      <c r="FS105" s="145">
        <v>0</v>
      </c>
      <c r="FT105" s="145">
        <v>0</v>
      </c>
      <c r="FU105" s="145">
        <v>0</v>
      </c>
      <c r="FV105" s="145">
        <v>0</v>
      </c>
      <c r="FW105" s="145">
        <v>0</v>
      </c>
      <c r="FX105" s="143"/>
      <c r="FY105" s="146" t="str">
        <f>_xlfn.XLOOKUP($E105,'Key assumptions'!$B$112:$B$120,'Key assumptions'!$C$112:$C$120,0)</f>
        <v>Nominal</v>
      </c>
      <c r="FZ105" s="146" cm="1">
        <f t="array" ref="FZ105">IF($FY105=0,0,_xlfn.IFS($FY105='Key assumptions'!$C$120,_xlfn.XLOOKUP(LEFT(FZ$7,6),Inflation_Year,Inflation_NominaltoReal),TRUE,_xlfn.XLOOKUP($FY105,Inflation_Year,NominaltoReal)))</f>
        <v>1.0197075870962191</v>
      </c>
      <c r="GA105" s="146" cm="1">
        <f t="array" ref="GA105">IF($FY105=0,0,_xlfn.IFS($FY105='Key assumptions'!$C$120,_xlfn.XLOOKUP(LEFT(GA$7,6),Inflation_Year,Inflation_NominaltoReal),TRUE,_xlfn.XLOOKUP($FY105,Inflation_Year,NominaltoReal)))</f>
        <v>0.98700804022984445</v>
      </c>
      <c r="GB105" s="146" cm="1">
        <f t="array" ref="GB105">IF($FY105=0,0,_xlfn.IFS($FY105='Key assumptions'!$C$120,_xlfn.XLOOKUP(LEFT(GB$7,6),Inflation_Year,Inflation_NominaltoReal),TRUE,_xlfn.XLOOKUP($FY105,Inflation_Year,NominaltoReal)))</f>
        <v>0.96152830081941731</v>
      </c>
      <c r="GC105" s="146" cm="1">
        <f t="array" ref="GC105">IF($FY105=0,0,_xlfn.IFS($FY105='Key assumptions'!$C$120,_xlfn.XLOOKUP(LEFT(GC$7,6),Inflation_Year,Inflation_NominaltoReal),TRUE,_xlfn.XLOOKUP($FY105,Inflation_Year,NominaltoReal)))</f>
        <v>0.93670632415656829</v>
      </c>
      <c r="GD105" s="146" cm="1">
        <f t="array" ref="GD105">IF($FY105=0,0,_xlfn.IFS($FY105='Key assumptions'!$C$120,_xlfn.XLOOKUP(LEFT(GD$7,6),Inflation_Year,Inflation_NominaltoReal),TRUE,_xlfn.XLOOKUP($FY105,Inflation_Year,NominaltoReal)))</f>
        <v>0.91252513001143176</v>
      </c>
      <c r="GE105" s="146" cm="1">
        <f t="array" ref="GE105">IF($FY105=0,0,_xlfn.IFS($FY105='Key assumptions'!$C$120,_xlfn.XLOOKUP(LEFT(GE$7,6),Inflation_Year,Inflation_NominaltoReal),TRUE,_xlfn.XLOOKUP($FY105,Inflation_Year,NominaltoReal)))</f>
        <v>0.88896817650095872</v>
      </c>
      <c r="GF105" s="146" cm="1">
        <f t="array" ref="GF105">IF($FY105=0,0,_xlfn.IFS($FY105='Key assumptions'!$C$120,_xlfn.XLOOKUP(LEFT(GF$7,6),Inflation_Year,Inflation_NominaltoReal),TRUE,_xlfn.XLOOKUP($FY105,Inflation_Year,NominaltoReal)))</f>
        <v>0.86601934877293718</v>
      </c>
      <c r="GG105" s="143"/>
      <c r="GH105" s="145" cm="1">
        <f t="array" ref="GH105">SUMPRODUCT(--($CR$7:$FW$7&gt;=GH$5),--($CR$7:$FW$7&lt;=GH$6),$CR105:$FW105)*FZ105</f>
        <v>0</v>
      </c>
      <c r="GI105" s="145" cm="1">
        <f t="array" ref="GI105">SUMPRODUCT(--($CR$7:$FW$7&gt;=GI$5),--($CR$7:$FW$7&lt;=GI$6),$CR105:$FW105)*GA105</f>
        <v>150637.16709987886</v>
      </c>
      <c r="GJ105" s="145" cm="1">
        <f t="array" ref="GJ105">SUMPRODUCT(--($CR$7:$FW$7&gt;=GJ$5),--($CR$7:$FW$7&lt;=GJ$6),$CR105:$FW105)*GB105</f>
        <v>65921.418775878425</v>
      </c>
      <c r="GK105" s="145" cm="1">
        <f t="array" ref="GK105">SUMPRODUCT(--($CR$7:$FW$7&gt;=GK$5),--($CR$7:$FW$7&lt;=GK$6),$CR105:$FW105)*GC105</f>
        <v>0</v>
      </c>
      <c r="GL105" s="145" cm="1">
        <f t="array" ref="GL105">SUMPRODUCT(--($CR$7:$FW$7&gt;=GL$5),--($CR$7:$FW$7&lt;=GL$6),$CR105:$FW105)*GD105</f>
        <v>0</v>
      </c>
      <c r="GM105" s="145" cm="1">
        <f t="array" ref="GM105">SUMPRODUCT(--($CR$7:$FW$7&gt;=GM$5),--($CR$7:$FW$7&lt;=GM$6),$CR105:$FW105)*GE105</f>
        <v>0</v>
      </c>
      <c r="GN105" s="145" cm="1">
        <f t="array" ref="GN105">SUMPRODUCT(--($CR$7:$FW$7&gt;=GN$5),--($CR$7:$FW$7&lt;=GN$6),$CR105:$FW105)*GF105</f>
        <v>0</v>
      </c>
      <c r="GO105" s="145">
        <f t="shared" si="23"/>
        <v>216558.58587575727</v>
      </c>
      <c r="GP105" s="87"/>
      <c r="GQ105" s="89"/>
      <c r="GR105" s="145" cm="1">
        <f t="array" ref="GR105">SUMPRODUCT(--($CR$7:$FW$7&gt;=GR$5),--($CR$7:$FW$7&lt;=GR$6),$CR105:$FW105)</f>
        <v>0</v>
      </c>
      <c r="GS105" s="89"/>
      <c r="GT105" s="214" cm="1">
        <f t="array" ref="GT105">--AND(MIN(IF($K105:$CP105&lt;&gt;0,$K$7:$CP$7))&gt;=GT$5,MIN(IF($K105:$CP105&lt;&gt;0,$K$7:$CP$7))&lt;=GT$6)</f>
        <v>0</v>
      </c>
      <c r="GU105" s="214" cm="1">
        <f t="array" ref="GU105">--AND(MIN(IF($K105:$CP105&lt;&gt;0,$K$7:$CP$7))&gt;=GU$5,MIN(IF($K105:$CP105&lt;&gt;0,$K$7:$CP$7))&lt;=GU$6)</f>
        <v>1</v>
      </c>
      <c r="GV105" s="214" cm="1">
        <f t="array" ref="GV105">--AND(MIN(IF($K105:$CP105&lt;&gt;0,$K$7:$CP$7))&gt;=GV$5,MIN(IF($K105:$CP105&lt;&gt;0,$K$7:$CP$7))&lt;=GV$6)</f>
        <v>0</v>
      </c>
      <c r="GW105" s="214" cm="1">
        <f t="array" ref="GW105">--AND(MIN(IF($K105:$CP105&lt;&gt;0,$K$7:$CP$7))&gt;=GW$5,MIN(IF($K105:$CP105&lt;&gt;0,$K$7:$CP$7))&lt;=GW$6)</f>
        <v>0</v>
      </c>
      <c r="GX105" s="214" cm="1">
        <f t="array" ref="GX105">--AND(MIN(IF($K105:$CP105&lt;&gt;0,$K$7:$CP$7))&gt;=GX$5,MIN(IF($K105:$CP105&lt;&gt;0,$K$7:$CP$7))&lt;=GX$6)</f>
        <v>0</v>
      </c>
      <c r="GY105" s="214" cm="1">
        <f t="array" ref="GY105">--AND(MIN(IF($K105:$CP105&lt;&gt;0,$K$7:$CP$7))&gt;=GY$5,MIN(IF($K105:$CP105&lt;&gt;0,$K$7:$CP$7))&lt;=GY$6)</f>
        <v>0</v>
      </c>
      <c r="GZ105" s="214" cm="1">
        <f t="array" ref="GZ105">--AND(MIN(IF($K105:$CP105&lt;&gt;0,$K$7:$CP$7))&gt;=GZ$5,MIN(IF($K105:$CP105&lt;&gt;0,$K$7:$CP$7))&lt;=GZ$6)</f>
        <v>0</v>
      </c>
      <c r="HA105" s="214">
        <f t="shared" si="24"/>
        <v>1</v>
      </c>
      <c r="HC105" s="214" cm="1">
        <f t="array" ref="HC105">--AND(MIN(IF($K105:$CP105&lt;&gt;0,$K$7:$CP$7))&gt;=HC$5,MIN(IF($K105:$CP105&lt;&gt;0,$K$7:$CP$7))&lt;=HC$6)</f>
        <v>0</v>
      </c>
      <c r="HE105" s="147" t="str">
        <f t="shared" si="43"/>
        <v>No</v>
      </c>
      <c r="HF105" s="147" t="str">
        <f t="shared" si="44"/>
        <v>Yes</v>
      </c>
      <c r="HG105" s="147">
        <f>IF($HF105="Yes",0,$H105*avg_hrs*12*'Key assumptions'!$D$87)</f>
        <v>0</v>
      </c>
      <c r="HH105" s="147">
        <f>IF(HE105="Yes",'Key assumptions'!$D$84*HG105,0)</f>
        <v>0</v>
      </c>
      <c r="HI105" s="144">
        <f>IFERROR(AVERAGEIFS($K105:$CP105,$K$7:$CP$7,"&gt;="&amp;'Key assumptions'!$D$24,$K$7:$CP$7,"&lt;="&amp;'Key assumptions'!$D$25),0)</f>
        <v>8.7662337662337664E-2</v>
      </c>
      <c r="HJ105" s="148">
        <f t="shared" si="45"/>
        <v>0</v>
      </c>
      <c r="HK105" s="148">
        <f t="shared" si="26"/>
        <v>0</v>
      </c>
      <c r="HL105" s="148">
        <f t="shared" si="27"/>
        <v>0</v>
      </c>
      <c r="HM105" s="148">
        <f t="shared" si="28"/>
        <v>0</v>
      </c>
      <c r="HN105" s="148">
        <f t="shared" si="29"/>
        <v>0</v>
      </c>
      <c r="HO105" s="148">
        <f t="shared" si="30"/>
        <v>0</v>
      </c>
      <c r="HP105" s="148">
        <f t="shared" si="31"/>
        <v>0</v>
      </c>
      <c r="HQ105" s="148">
        <f t="shared" si="32"/>
        <v>0</v>
      </c>
      <c r="HR105" s="147">
        <f t="shared" si="33"/>
        <v>0</v>
      </c>
      <c r="HU105" s="147">
        <f>$HJ105*HC105/(1+'Key assumptions'!G127)^0.75</f>
        <v>0</v>
      </c>
      <c r="HW105" s="216">
        <f t="shared" si="34"/>
        <v>0</v>
      </c>
      <c r="HX105" s="216">
        <f t="shared" si="35"/>
        <v>8.7662337662337664E-2</v>
      </c>
      <c r="HY105" s="216">
        <f t="shared" si="36"/>
        <v>0</v>
      </c>
      <c r="HZ105" s="216">
        <f t="shared" si="37"/>
        <v>0</v>
      </c>
      <c r="IA105" s="216">
        <f t="shared" si="38"/>
        <v>0</v>
      </c>
      <c r="IB105" s="216">
        <f t="shared" si="39"/>
        <v>0</v>
      </c>
      <c r="IC105" s="216">
        <f t="shared" si="40"/>
        <v>0</v>
      </c>
      <c r="ID105" s="216">
        <f t="shared" si="41"/>
        <v>8.7662337662337664E-2</v>
      </c>
      <c r="IF105" s="216">
        <f t="shared" si="42"/>
        <v>0</v>
      </c>
    </row>
    <row r="106" spans="2:240" x14ac:dyDescent="0.2">
      <c r="B106" s="141" t="str">
        <v>Project Delivery Management - Commissioning</v>
      </c>
      <c r="C106" s="141" t="str">
        <v>Resource Coordinator (Construction)</v>
      </c>
      <c r="D106" s="141" t="str">
        <v>Internal Labour</v>
      </c>
      <c r="E106" s="141" t="str">
        <v>$ Nominal</v>
      </c>
      <c r="F106" s="141" t="str">
        <v>Existing</v>
      </c>
      <c r="G106" s="141" t="str">
        <v>Normal time</v>
      </c>
      <c r="H106" s="142">
        <v>202.73</v>
      </c>
      <c r="I106" s="126">
        <v>69842.639999999985</v>
      </c>
      <c r="J106" s="143">
        <v>0</v>
      </c>
      <c r="K106" s="144">
        <v>0</v>
      </c>
      <c r="L106" s="144">
        <v>0</v>
      </c>
      <c r="M106" s="144">
        <v>0</v>
      </c>
      <c r="N106" s="144">
        <v>0</v>
      </c>
      <c r="O106" s="144">
        <v>0</v>
      </c>
      <c r="P106" s="144">
        <v>0</v>
      </c>
      <c r="Q106" s="144">
        <v>0</v>
      </c>
      <c r="R106" s="144">
        <v>0</v>
      </c>
      <c r="S106" s="144">
        <v>0</v>
      </c>
      <c r="T106" s="144">
        <v>0</v>
      </c>
      <c r="U106" s="144">
        <v>0</v>
      </c>
      <c r="V106" s="144">
        <v>0</v>
      </c>
      <c r="W106" s="144">
        <v>0</v>
      </c>
      <c r="X106" s="144">
        <v>0</v>
      </c>
      <c r="Y106" s="144">
        <v>0</v>
      </c>
      <c r="Z106" s="144">
        <v>0</v>
      </c>
      <c r="AA106" s="144">
        <v>0</v>
      </c>
      <c r="AB106" s="144">
        <v>0</v>
      </c>
      <c r="AC106" s="144">
        <v>0.1</v>
      </c>
      <c r="AD106" s="144">
        <v>0.1</v>
      </c>
      <c r="AE106" s="144">
        <v>0.1</v>
      </c>
      <c r="AF106" s="144">
        <v>0.1</v>
      </c>
      <c r="AG106" s="144">
        <v>0.1</v>
      </c>
      <c r="AH106" s="144">
        <v>0.13333333333333333</v>
      </c>
      <c r="AI106" s="144">
        <v>0.13333333333333333</v>
      </c>
      <c r="AJ106" s="144">
        <v>0.1</v>
      </c>
      <c r="AK106" s="144">
        <v>0.1</v>
      </c>
      <c r="AL106" s="144">
        <v>0.13333333333333333</v>
      </c>
      <c r="AM106" s="144">
        <v>9.2105263157894732E-2</v>
      </c>
      <c r="AN106" s="144">
        <v>9.2105263157894732E-2</v>
      </c>
      <c r="AO106" s="144">
        <v>0.1</v>
      </c>
      <c r="AP106" s="144">
        <v>0.1</v>
      </c>
      <c r="AQ106" s="144">
        <v>0.1</v>
      </c>
      <c r="AR106" s="144">
        <v>0.1</v>
      </c>
      <c r="AS106" s="144">
        <v>0.1</v>
      </c>
      <c r="AT106" s="144">
        <v>0.13333333333333333</v>
      </c>
      <c r="AU106" s="144">
        <v>0.13333333333333333</v>
      </c>
      <c r="AV106" s="144">
        <v>0.1</v>
      </c>
      <c r="AW106" s="144">
        <v>0.1</v>
      </c>
      <c r="AX106" s="144">
        <v>0.13333333333333333</v>
      </c>
      <c r="AY106" s="144">
        <v>9.2105263157894732E-2</v>
      </c>
      <c r="AZ106" s="144">
        <v>9.2105263157894732E-2</v>
      </c>
      <c r="BA106" s="144">
        <v>0</v>
      </c>
      <c r="BB106" s="144">
        <v>0</v>
      </c>
      <c r="BC106" s="144">
        <v>0</v>
      </c>
      <c r="BD106" s="144">
        <v>0</v>
      </c>
      <c r="BE106" s="144">
        <v>0</v>
      </c>
      <c r="BF106" s="144">
        <v>0</v>
      </c>
      <c r="BG106" s="144">
        <v>0</v>
      </c>
      <c r="BH106" s="144">
        <v>0</v>
      </c>
      <c r="BI106" s="144">
        <v>0</v>
      </c>
      <c r="BJ106" s="144">
        <v>0</v>
      </c>
      <c r="BK106" s="144">
        <v>0</v>
      </c>
      <c r="BL106" s="144">
        <v>0</v>
      </c>
      <c r="BM106" s="144">
        <v>0</v>
      </c>
      <c r="BN106" s="144">
        <v>0</v>
      </c>
      <c r="BO106" s="144">
        <v>0</v>
      </c>
      <c r="BP106" s="144">
        <v>0</v>
      </c>
      <c r="BQ106" s="144">
        <v>0</v>
      </c>
      <c r="BR106" s="144">
        <v>0</v>
      </c>
      <c r="BS106" s="144">
        <v>0</v>
      </c>
      <c r="BT106" s="144">
        <v>0</v>
      </c>
      <c r="BU106" s="144">
        <v>0</v>
      </c>
      <c r="BV106" s="144">
        <v>0</v>
      </c>
      <c r="BW106" s="144">
        <v>0</v>
      </c>
      <c r="BX106" s="144">
        <v>0</v>
      </c>
      <c r="BY106" s="144">
        <v>0</v>
      </c>
      <c r="BZ106" s="144">
        <v>0</v>
      </c>
      <c r="CA106" s="144">
        <v>0</v>
      </c>
      <c r="CB106" s="144">
        <v>0</v>
      </c>
      <c r="CC106" s="144">
        <v>0</v>
      </c>
      <c r="CD106" s="144">
        <v>0</v>
      </c>
      <c r="CE106" s="144">
        <v>0</v>
      </c>
      <c r="CF106" s="144">
        <v>0</v>
      </c>
      <c r="CG106" s="144">
        <v>0</v>
      </c>
      <c r="CH106" s="144">
        <v>0</v>
      </c>
      <c r="CI106" s="144">
        <v>0</v>
      </c>
      <c r="CJ106" s="144">
        <v>0</v>
      </c>
      <c r="CK106" s="144">
        <v>0</v>
      </c>
      <c r="CL106" s="144">
        <v>0</v>
      </c>
      <c r="CM106" s="144">
        <v>0</v>
      </c>
      <c r="CN106" s="144">
        <v>0</v>
      </c>
      <c r="CO106" s="144">
        <v>0</v>
      </c>
      <c r="CP106" s="144">
        <v>0</v>
      </c>
      <c r="CQ106" s="143">
        <v>0</v>
      </c>
      <c r="CR106" s="145">
        <v>0</v>
      </c>
      <c r="CS106" s="145">
        <v>0</v>
      </c>
      <c r="CT106" s="145">
        <v>0</v>
      </c>
      <c r="CU106" s="145">
        <v>0</v>
      </c>
      <c r="CV106" s="145">
        <v>0</v>
      </c>
      <c r="CW106" s="145">
        <v>0</v>
      </c>
      <c r="CX106" s="145">
        <v>0</v>
      </c>
      <c r="CY106" s="145">
        <v>0</v>
      </c>
      <c r="CZ106" s="145">
        <v>0</v>
      </c>
      <c r="DA106" s="145">
        <v>0</v>
      </c>
      <c r="DB106" s="145">
        <v>0</v>
      </c>
      <c r="DC106" s="145">
        <v>0</v>
      </c>
      <c r="DD106" s="145">
        <v>0</v>
      </c>
      <c r="DE106" s="145">
        <v>0</v>
      </c>
      <c r="DF106" s="145">
        <v>0</v>
      </c>
      <c r="DG106" s="145">
        <v>0</v>
      </c>
      <c r="DH106" s="145">
        <v>0</v>
      </c>
      <c r="DI106" s="145">
        <v>0</v>
      </c>
      <c r="DJ106" s="145">
        <v>2838.22</v>
      </c>
      <c r="DK106" s="145">
        <v>2838.22</v>
      </c>
      <c r="DL106" s="145">
        <v>2838.22</v>
      </c>
      <c r="DM106" s="145">
        <v>2838.22</v>
      </c>
      <c r="DN106" s="145">
        <v>2838.22</v>
      </c>
      <c r="DO106" s="145">
        <v>2838.22</v>
      </c>
      <c r="DP106" s="145">
        <v>2838.22</v>
      </c>
      <c r="DQ106" s="145">
        <v>2838.22</v>
      </c>
      <c r="DR106" s="145">
        <v>2924.46</v>
      </c>
      <c r="DS106" s="145">
        <v>2924.46</v>
      </c>
      <c r="DT106" s="145">
        <v>2924.46</v>
      </c>
      <c r="DU106" s="145">
        <v>2924.46</v>
      </c>
      <c r="DV106" s="145">
        <v>2924.46</v>
      </c>
      <c r="DW106" s="145">
        <v>2924.46</v>
      </c>
      <c r="DX106" s="145">
        <v>2924.46</v>
      </c>
      <c r="DY106" s="145">
        <v>2924.46</v>
      </c>
      <c r="DZ106" s="145">
        <v>2924.46</v>
      </c>
      <c r="EA106" s="145">
        <v>2924.46</v>
      </c>
      <c r="EB106" s="145">
        <v>2924.46</v>
      </c>
      <c r="EC106" s="145">
        <v>2924.46</v>
      </c>
      <c r="ED106" s="145">
        <v>3010.84</v>
      </c>
      <c r="EE106" s="145">
        <v>3010.84</v>
      </c>
      <c r="EF106" s="145">
        <v>3010.84</v>
      </c>
      <c r="EG106" s="145">
        <v>3010.84</v>
      </c>
      <c r="EH106" s="145">
        <v>0</v>
      </c>
      <c r="EI106" s="145">
        <v>0</v>
      </c>
      <c r="EJ106" s="145">
        <v>0</v>
      </c>
      <c r="EK106" s="145">
        <v>0</v>
      </c>
      <c r="EL106" s="145">
        <v>0</v>
      </c>
      <c r="EM106" s="145">
        <v>0</v>
      </c>
      <c r="EN106" s="145">
        <v>0</v>
      </c>
      <c r="EO106" s="145">
        <v>0</v>
      </c>
      <c r="EP106" s="145">
        <v>0</v>
      </c>
      <c r="EQ106" s="145">
        <v>0</v>
      </c>
      <c r="ER106" s="145">
        <v>0</v>
      </c>
      <c r="ES106" s="145">
        <v>0</v>
      </c>
      <c r="ET106" s="145">
        <v>0</v>
      </c>
      <c r="EU106" s="145">
        <v>0</v>
      </c>
      <c r="EV106" s="145">
        <v>0</v>
      </c>
      <c r="EW106" s="145">
        <v>0</v>
      </c>
      <c r="EX106" s="145">
        <v>0</v>
      </c>
      <c r="EY106" s="145">
        <v>0</v>
      </c>
      <c r="EZ106" s="145">
        <v>0</v>
      </c>
      <c r="FA106" s="145">
        <v>0</v>
      </c>
      <c r="FB106" s="145">
        <v>0</v>
      </c>
      <c r="FC106" s="145">
        <v>0</v>
      </c>
      <c r="FD106" s="145">
        <v>0</v>
      </c>
      <c r="FE106" s="145">
        <v>0</v>
      </c>
      <c r="FF106" s="145">
        <v>0</v>
      </c>
      <c r="FG106" s="145">
        <v>0</v>
      </c>
      <c r="FH106" s="145">
        <v>0</v>
      </c>
      <c r="FI106" s="145">
        <v>0</v>
      </c>
      <c r="FJ106" s="145">
        <v>0</v>
      </c>
      <c r="FK106" s="145">
        <v>0</v>
      </c>
      <c r="FL106" s="145">
        <v>0</v>
      </c>
      <c r="FM106" s="145">
        <v>0</v>
      </c>
      <c r="FN106" s="145">
        <v>0</v>
      </c>
      <c r="FO106" s="145">
        <v>0</v>
      </c>
      <c r="FP106" s="145">
        <v>0</v>
      </c>
      <c r="FQ106" s="145">
        <v>0</v>
      </c>
      <c r="FR106" s="145">
        <v>0</v>
      </c>
      <c r="FS106" s="145">
        <v>0</v>
      </c>
      <c r="FT106" s="145">
        <v>0</v>
      </c>
      <c r="FU106" s="145">
        <v>0</v>
      </c>
      <c r="FV106" s="145">
        <v>0</v>
      </c>
      <c r="FW106" s="145">
        <v>0</v>
      </c>
      <c r="FX106" s="143"/>
      <c r="FY106" s="146" t="str">
        <f>_xlfn.XLOOKUP($E106,'Key assumptions'!$B$112:$B$120,'Key assumptions'!$C$112:$C$120,0)</f>
        <v>Nominal</v>
      </c>
      <c r="FZ106" s="146" cm="1">
        <f t="array" ref="FZ106">IF($FY106=0,0,_xlfn.IFS($FY106='Key assumptions'!$C$120,_xlfn.XLOOKUP(LEFT(FZ$7,6),Inflation_Year,Inflation_NominaltoReal),TRUE,_xlfn.XLOOKUP($FY106,Inflation_Year,NominaltoReal)))</f>
        <v>1.0197075870962191</v>
      </c>
      <c r="GA106" s="146" cm="1">
        <f t="array" ref="GA106">IF($FY106=0,0,_xlfn.IFS($FY106='Key assumptions'!$C$120,_xlfn.XLOOKUP(LEFT(GA$7,6),Inflation_Year,Inflation_NominaltoReal),TRUE,_xlfn.XLOOKUP($FY106,Inflation_Year,NominaltoReal)))</f>
        <v>0.98700804022984445</v>
      </c>
      <c r="GB106" s="146" cm="1">
        <f t="array" ref="GB106">IF($FY106=0,0,_xlfn.IFS($FY106='Key assumptions'!$C$120,_xlfn.XLOOKUP(LEFT(GB$7,6),Inflation_Year,Inflation_NominaltoReal),TRUE,_xlfn.XLOOKUP($FY106,Inflation_Year,NominaltoReal)))</f>
        <v>0.96152830081941731</v>
      </c>
      <c r="GC106" s="146" cm="1">
        <f t="array" ref="GC106">IF($FY106=0,0,_xlfn.IFS($FY106='Key assumptions'!$C$120,_xlfn.XLOOKUP(LEFT(GC$7,6),Inflation_Year,Inflation_NominaltoReal),TRUE,_xlfn.XLOOKUP($FY106,Inflation_Year,NominaltoReal)))</f>
        <v>0.93670632415656829</v>
      </c>
      <c r="GD106" s="146" cm="1">
        <f t="array" ref="GD106">IF($FY106=0,0,_xlfn.IFS($FY106='Key assumptions'!$C$120,_xlfn.XLOOKUP(LEFT(GD$7,6),Inflation_Year,Inflation_NominaltoReal),TRUE,_xlfn.XLOOKUP($FY106,Inflation_Year,NominaltoReal)))</f>
        <v>0.91252513001143176</v>
      </c>
      <c r="GE106" s="146" cm="1">
        <f t="array" ref="GE106">IF($FY106=0,0,_xlfn.IFS($FY106='Key assumptions'!$C$120,_xlfn.XLOOKUP(LEFT(GE$7,6),Inflation_Year,Inflation_NominaltoReal),TRUE,_xlfn.XLOOKUP($FY106,Inflation_Year,NominaltoReal)))</f>
        <v>0.88896817650095872</v>
      </c>
      <c r="GF106" s="146" cm="1">
        <f t="array" ref="GF106">IF($FY106=0,0,_xlfn.IFS($FY106='Key assumptions'!$C$120,_xlfn.XLOOKUP(LEFT(GF$7,6),Inflation_Year,Inflation_NominaltoReal),TRUE,_xlfn.XLOOKUP($FY106,Inflation_Year,NominaltoReal)))</f>
        <v>0.86601934877293718</v>
      </c>
      <c r="GG106" s="143"/>
      <c r="GH106" s="145" cm="1">
        <f t="array" ref="GH106">SUMPRODUCT(--($CR$7:$FW$7&gt;=GH$5),--($CR$7:$FW$7&lt;=GH$6),$CR106:$FW106)*FZ106</f>
        <v>8682.4634035446925</v>
      </c>
      <c r="GI106" s="145" cm="1">
        <f t="array" ref="GI106">SUMPRODUCT(--($CR$7:$FW$7&gt;=GI$5),--($CR$7:$FW$7&lt;=GI$6),$CR106:$FW106)*GA106</f>
        <v>34211.988533019736</v>
      </c>
      <c r="GJ106" s="145" cm="1">
        <f t="array" ref="GJ106">SUMPRODUCT(--($CR$7:$FW$7&gt;=GJ$5),--($CR$7:$FW$7&lt;=GJ$6),$CR106:$FW106)*GB106</f>
        <v>25639.786750028303</v>
      </c>
      <c r="GK106" s="145" cm="1">
        <f t="array" ref="GK106">SUMPRODUCT(--($CR$7:$FW$7&gt;=GK$5),--($CR$7:$FW$7&lt;=GK$6),$CR106:$FW106)*GC106</f>
        <v>0</v>
      </c>
      <c r="GL106" s="145" cm="1">
        <f t="array" ref="GL106">SUMPRODUCT(--($CR$7:$FW$7&gt;=GL$5),--($CR$7:$FW$7&lt;=GL$6),$CR106:$FW106)*GD106</f>
        <v>0</v>
      </c>
      <c r="GM106" s="145" cm="1">
        <f t="array" ref="GM106">SUMPRODUCT(--($CR$7:$FW$7&gt;=GM$5),--($CR$7:$FW$7&lt;=GM$6),$CR106:$FW106)*GE106</f>
        <v>0</v>
      </c>
      <c r="GN106" s="145" cm="1">
        <f t="array" ref="GN106">SUMPRODUCT(--($CR$7:$FW$7&gt;=GN$5),--($CR$7:$FW$7&lt;=GN$6),$CR106:$FW106)*GF106</f>
        <v>0</v>
      </c>
      <c r="GO106" s="145">
        <f t="shared" si="23"/>
        <v>68534.238686592726</v>
      </c>
      <c r="GP106" s="87"/>
      <c r="GQ106" s="89"/>
      <c r="GR106" s="145" cm="1">
        <f t="array" ref="GR106">SUMPRODUCT(--($CR$7:$FW$7&gt;=GR$5),--($CR$7:$FW$7&lt;=GR$6),$CR106:$FW106)</f>
        <v>0</v>
      </c>
      <c r="GS106" s="89"/>
      <c r="GT106" s="214" cm="1">
        <f t="array" ref="GT106">--AND(MIN(IF($K106:$CP106&lt;&gt;0,$K$7:$CP$7))&gt;=GT$5,MIN(IF($K106:$CP106&lt;&gt;0,$K$7:$CP$7))&lt;=GT$6)</f>
        <v>1</v>
      </c>
      <c r="GU106" s="214" cm="1">
        <f t="array" ref="GU106">--AND(MIN(IF($K106:$CP106&lt;&gt;0,$K$7:$CP$7))&gt;=GU$5,MIN(IF($K106:$CP106&lt;&gt;0,$K$7:$CP$7))&lt;=GU$6)</f>
        <v>0</v>
      </c>
      <c r="GV106" s="214" cm="1">
        <f t="array" ref="GV106">--AND(MIN(IF($K106:$CP106&lt;&gt;0,$K$7:$CP$7))&gt;=GV$5,MIN(IF($K106:$CP106&lt;&gt;0,$K$7:$CP$7))&lt;=GV$6)</f>
        <v>0</v>
      </c>
      <c r="GW106" s="214" cm="1">
        <f t="array" ref="GW106">--AND(MIN(IF($K106:$CP106&lt;&gt;0,$K$7:$CP$7))&gt;=GW$5,MIN(IF($K106:$CP106&lt;&gt;0,$K$7:$CP$7))&lt;=GW$6)</f>
        <v>0</v>
      </c>
      <c r="GX106" s="214" cm="1">
        <f t="array" ref="GX106">--AND(MIN(IF($K106:$CP106&lt;&gt;0,$K$7:$CP$7))&gt;=GX$5,MIN(IF($K106:$CP106&lt;&gt;0,$K$7:$CP$7))&lt;=GX$6)</f>
        <v>0</v>
      </c>
      <c r="GY106" s="214" cm="1">
        <f t="array" ref="GY106">--AND(MIN(IF($K106:$CP106&lt;&gt;0,$K$7:$CP$7))&gt;=GY$5,MIN(IF($K106:$CP106&lt;&gt;0,$K$7:$CP$7))&lt;=GY$6)</f>
        <v>0</v>
      </c>
      <c r="GZ106" s="214" cm="1">
        <f t="array" ref="GZ106">--AND(MIN(IF($K106:$CP106&lt;&gt;0,$K$7:$CP$7))&gt;=GZ$5,MIN(IF($K106:$CP106&lt;&gt;0,$K$7:$CP$7))&lt;=GZ$6)</f>
        <v>0</v>
      </c>
      <c r="HA106" s="214">
        <f t="shared" si="24"/>
        <v>1</v>
      </c>
      <c r="HC106" s="214" cm="1">
        <f t="array" ref="HC106">--AND(MIN(IF($K106:$CP106&lt;&gt;0,$K$7:$CP$7))&gt;=HC$5,MIN(IF($K106:$CP106&lt;&gt;0,$K$7:$CP$7))&lt;=HC$6)</f>
        <v>0</v>
      </c>
      <c r="HE106" s="147" t="str">
        <f t="shared" si="43"/>
        <v>No</v>
      </c>
      <c r="HF106" s="147" t="str">
        <f t="shared" si="44"/>
        <v>No</v>
      </c>
      <c r="HG106" s="147">
        <f>IF($HF106="Yes",0,$H106*avg_hrs*12*'Key assumptions'!$D$87)</f>
        <v>362535.77629630821</v>
      </c>
      <c r="HH106" s="147">
        <f>IF(HE106="Yes",'Key assumptions'!$D$84*HG106,0)</f>
        <v>0</v>
      </c>
      <c r="HI106" s="144">
        <f>IFERROR(AVERAGEIFS($K106:$CP106,$K$7:$CP$7,"&gt;="&amp;'Key assumptions'!$D$24,$K$7:$CP$7,"&lt;="&amp;'Key assumptions'!$D$25),0)</f>
        <v>5.8373205741626806E-2</v>
      </c>
      <c r="HJ106" s="148">
        <f t="shared" si="45"/>
        <v>0</v>
      </c>
      <c r="HK106" s="148">
        <f t="shared" si="26"/>
        <v>0</v>
      </c>
      <c r="HL106" s="148">
        <f t="shared" si="27"/>
        <v>0</v>
      </c>
      <c r="HM106" s="148">
        <f t="shared" si="28"/>
        <v>0</v>
      </c>
      <c r="HN106" s="148">
        <f t="shared" si="29"/>
        <v>0</v>
      </c>
      <c r="HO106" s="148">
        <f t="shared" si="30"/>
        <v>0</v>
      </c>
      <c r="HP106" s="148">
        <f t="shared" si="31"/>
        <v>0</v>
      </c>
      <c r="HQ106" s="148">
        <f t="shared" si="32"/>
        <v>0</v>
      </c>
      <c r="HR106" s="147">
        <f t="shared" si="33"/>
        <v>0</v>
      </c>
      <c r="HU106" s="147">
        <f>$HJ106*HC106/(1+'Key assumptions'!G128)^0.75</f>
        <v>0</v>
      </c>
      <c r="HW106" s="216">
        <f t="shared" si="34"/>
        <v>5.8373205741626806E-2</v>
      </c>
      <c r="HX106" s="216">
        <f t="shared" si="35"/>
        <v>0</v>
      </c>
      <c r="HY106" s="216">
        <f t="shared" si="36"/>
        <v>0</v>
      </c>
      <c r="HZ106" s="216">
        <f t="shared" si="37"/>
        <v>0</v>
      </c>
      <c r="IA106" s="216">
        <f t="shared" si="38"/>
        <v>0</v>
      </c>
      <c r="IB106" s="216">
        <f t="shared" si="39"/>
        <v>0</v>
      </c>
      <c r="IC106" s="216">
        <f t="shared" si="40"/>
        <v>0</v>
      </c>
      <c r="ID106" s="216">
        <f t="shared" si="41"/>
        <v>5.8373205741626806E-2</v>
      </c>
      <c r="IF106" s="216">
        <f t="shared" si="42"/>
        <v>0</v>
      </c>
    </row>
    <row r="107" spans="2:240" x14ac:dyDescent="0.2">
      <c r="B107" s="141" t="str">
        <v>Project Delivery Management - Commissioning</v>
      </c>
      <c r="C107" s="141" t="str">
        <v>SCADA Officer (Nwk Operations Tech)</v>
      </c>
      <c r="D107" s="141" t="str">
        <v>Internal Labour</v>
      </c>
      <c r="E107" s="141" t="str">
        <v>$ Nominal</v>
      </c>
      <c r="F107" s="141" t="str">
        <v>Existing</v>
      </c>
      <c r="G107" s="141" t="str">
        <v>Normal time</v>
      </c>
      <c r="H107" s="142">
        <v>202.73</v>
      </c>
      <c r="I107" s="126">
        <v>201909.39999999994</v>
      </c>
      <c r="J107" s="143">
        <v>0</v>
      </c>
      <c r="K107" s="144">
        <v>0</v>
      </c>
      <c r="L107" s="144">
        <v>0</v>
      </c>
      <c r="M107" s="144">
        <v>0</v>
      </c>
      <c r="N107" s="144">
        <v>0</v>
      </c>
      <c r="O107" s="144">
        <v>0</v>
      </c>
      <c r="P107" s="144">
        <v>0</v>
      </c>
      <c r="Q107" s="144">
        <v>0</v>
      </c>
      <c r="R107" s="144">
        <v>0</v>
      </c>
      <c r="S107" s="144">
        <v>0</v>
      </c>
      <c r="T107" s="144">
        <v>0</v>
      </c>
      <c r="U107" s="144">
        <v>0</v>
      </c>
      <c r="V107" s="144">
        <v>0</v>
      </c>
      <c r="W107" s="144">
        <v>0</v>
      </c>
      <c r="X107" s="144">
        <v>0</v>
      </c>
      <c r="Y107" s="144">
        <v>0</v>
      </c>
      <c r="Z107" s="144">
        <v>0</v>
      </c>
      <c r="AA107" s="144">
        <v>0</v>
      </c>
      <c r="AB107" s="144">
        <v>0</v>
      </c>
      <c r="AC107" s="144">
        <v>0.5</v>
      </c>
      <c r="AD107" s="144">
        <v>0.5</v>
      </c>
      <c r="AE107" s="144">
        <v>0.5</v>
      </c>
      <c r="AF107" s="144">
        <v>0.5</v>
      </c>
      <c r="AG107" s="144">
        <v>0</v>
      </c>
      <c r="AH107" s="144">
        <v>0.33333333333333331</v>
      </c>
      <c r="AI107" s="144">
        <v>0.33333333333333331</v>
      </c>
      <c r="AJ107" s="144">
        <v>0.75</v>
      </c>
      <c r="AK107" s="144">
        <v>0.5</v>
      </c>
      <c r="AL107" s="144">
        <v>0.66666666666666663</v>
      </c>
      <c r="AM107" s="144">
        <v>0.46052631578947367</v>
      </c>
      <c r="AN107" s="144">
        <v>0.46052631578947367</v>
      </c>
      <c r="AO107" s="144">
        <v>0.5</v>
      </c>
      <c r="AP107" s="144">
        <v>0.25</v>
      </c>
      <c r="AQ107" s="144">
        <v>0.25</v>
      </c>
      <c r="AR107" s="144">
        <v>0.25</v>
      </c>
      <c r="AS107" s="144">
        <v>0.25</v>
      </c>
      <c r="AT107" s="144">
        <v>0.33333333333333331</v>
      </c>
      <c r="AU107" s="144">
        <v>0</v>
      </c>
      <c r="AV107" s="144">
        <v>0</v>
      </c>
      <c r="AW107" s="144">
        <v>0</v>
      </c>
      <c r="AX107" s="144">
        <v>0</v>
      </c>
      <c r="AY107" s="144">
        <v>0</v>
      </c>
      <c r="AZ107" s="144">
        <v>0</v>
      </c>
      <c r="BA107" s="144">
        <v>0</v>
      </c>
      <c r="BB107" s="144">
        <v>0</v>
      </c>
      <c r="BC107" s="144">
        <v>0</v>
      </c>
      <c r="BD107" s="144">
        <v>0</v>
      </c>
      <c r="BE107" s="144">
        <v>0</v>
      </c>
      <c r="BF107" s="144">
        <v>0</v>
      </c>
      <c r="BG107" s="144">
        <v>0</v>
      </c>
      <c r="BH107" s="144">
        <v>0</v>
      </c>
      <c r="BI107" s="144">
        <v>0</v>
      </c>
      <c r="BJ107" s="144">
        <v>0</v>
      </c>
      <c r="BK107" s="144">
        <v>0</v>
      </c>
      <c r="BL107" s="144">
        <v>0</v>
      </c>
      <c r="BM107" s="144">
        <v>0</v>
      </c>
      <c r="BN107" s="144">
        <v>0</v>
      </c>
      <c r="BO107" s="144">
        <v>0</v>
      </c>
      <c r="BP107" s="144">
        <v>0</v>
      </c>
      <c r="BQ107" s="144">
        <v>0</v>
      </c>
      <c r="BR107" s="144">
        <v>0</v>
      </c>
      <c r="BS107" s="144">
        <v>0</v>
      </c>
      <c r="BT107" s="144">
        <v>0</v>
      </c>
      <c r="BU107" s="144">
        <v>0</v>
      </c>
      <c r="BV107" s="144">
        <v>0</v>
      </c>
      <c r="BW107" s="144">
        <v>0</v>
      </c>
      <c r="BX107" s="144">
        <v>0</v>
      </c>
      <c r="BY107" s="144">
        <v>0</v>
      </c>
      <c r="BZ107" s="144">
        <v>0</v>
      </c>
      <c r="CA107" s="144">
        <v>0</v>
      </c>
      <c r="CB107" s="144">
        <v>0</v>
      </c>
      <c r="CC107" s="144">
        <v>0</v>
      </c>
      <c r="CD107" s="144">
        <v>0</v>
      </c>
      <c r="CE107" s="144">
        <v>0</v>
      </c>
      <c r="CF107" s="144">
        <v>0</v>
      </c>
      <c r="CG107" s="144">
        <v>0</v>
      </c>
      <c r="CH107" s="144">
        <v>0</v>
      </c>
      <c r="CI107" s="144">
        <v>0</v>
      </c>
      <c r="CJ107" s="144">
        <v>0</v>
      </c>
      <c r="CK107" s="144">
        <v>0</v>
      </c>
      <c r="CL107" s="144">
        <v>0</v>
      </c>
      <c r="CM107" s="144">
        <v>0</v>
      </c>
      <c r="CN107" s="144">
        <v>0</v>
      </c>
      <c r="CO107" s="144">
        <v>0</v>
      </c>
      <c r="CP107" s="144">
        <v>0</v>
      </c>
      <c r="CQ107" s="143">
        <v>0</v>
      </c>
      <c r="CR107" s="145">
        <v>0</v>
      </c>
      <c r="CS107" s="145">
        <v>0</v>
      </c>
      <c r="CT107" s="145">
        <v>0</v>
      </c>
      <c r="CU107" s="145">
        <v>0</v>
      </c>
      <c r="CV107" s="145">
        <v>0</v>
      </c>
      <c r="CW107" s="145">
        <v>0</v>
      </c>
      <c r="CX107" s="145">
        <v>0</v>
      </c>
      <c r="CY107" s="145">
        <v>0</v>
      </c>
      <c r="CZ107" s="145">
        <v>0</v>
      </c>
      <c r="DA107" s="145">
        <v>0</v>
      </c>
      <c r="DB107" s="145">
        <v>0</v>
      </c>
      <c r="DC107" s="145">
        <v>0</v>
      </c>
      <c r="DD107" s="145">
        <v>0</v>
      </c>
      <c r="DE107" s="145">
        <v>0</v>
      </c>
      <c r="DF107" s="145">
        <v>0</v>
      </c>
      <c r="DG107" s="145">
        <v>0</v>
      </c>
      <c r="DH107" s="145">
        <v>0</v>
      </c>
      <c r="DI107" s="145">
        <v>0</v>
      </c>
      <c r="DJ107" s="145">
        <v>14191.099999999999</v>
      </c>
      <c r="DK107" s="145">
        <v>14191.099999999999</v>
      </c>
      <c r="DL107" s="145">
        <v>14191.099999999999</v>
      </c>
      <c r="DM107" s="145">
        <v>14191.099999999999</v>
      </c>
      <c r="DN107" s="145">
        <v>0</v>
      </c>
      <c r="DO107" s="145">
        <v>7095.5499999999993</v>
      </c>
      <c r="DP107" s="145">
        <v>7095.5499999999993</v>
      </c>
      <c r="DQ107" s="145">
        <v>21286.649999999998</v>
      </c>
      <c r="DR107" s="145">
        <v>14622.3</v>
      </c>
      <c r="DS107" s="145">
        <v>14622.3</v>
      </c>
      <c r="DT107" s="145">
        <v>14622.3</v>
      </c>
      <c r="DU107" s="145">
        <v>14622.3</v>
      </c>
      <c r="DV107" s="145">
        <v>14622.3</v>
      </c>
      <c r="DW107" s="145">
        <v>7311.15</v>
      </c>
      <c r="DX107" s="145">
        <v>7311.15</v>
      </c>
      <c r="DY107" s="145">
        <v>7311.15</v>
      </c>
      <c r="DZ107" s="145">
        <v>7311.15</v>
      </c>
      <c r="EA107" s="145">
        <v>7311.15</v>
      </c>
      <c r="EB107" s="145">
        <v>0</v>
      </c>
      <c r="EC107" s="145">
        <v>0</v>
      </c>
      <c r="ED107" s="145">
        <v>0</v>
      </c>
      <c r="EE107" s="145">
        <v>0</v>
      </c>
      <c r="EF107" s="145">
        <v>0</v>
      </c>
      <c r="EG107" s="145">
        <v>0</v>
      </c>
      <c r="EH107" s="145">
        <v>0</v>
      </c>
      <c r="EI107" s="145">
        <v>0</v>
      </c>
      <c r="EJ107" s="145">
        <v>0</v>
      </c>
      <c r="EK107" s="145">
        <v>0</v>
      </c>
      <c r="EL107" s="145">
        <v>0</v>
      </c>
      <c r="EM107" s="145">
        <v>0</v>
      </c>
      <c r="EN107" s="145">
        <v>0</v>
      </c>
      <c r="EO107" s="145">
        <v>0</v>
      </c>
      <c r="EP107" s="145">
        <v>0</v>
      </c>
      <c r="EQ107" s="145">
        <v>0</v>
      </c>
      <c r="ER107" s="145">
        <v>0</v>
      </c>
      <c r="ES107" s="145">
        <v>0</v>
      </c>
      <c r="ET107" s="145">
        <v>0</v>
      </c>
      <c r="EU107" s="145">
        <v>0</v>
      </c>
      <c r="EV107" s="145">
        <v>0</v>
      </c>
      <c r="EW107" s="145">
        <v>0</v>
      </c>
      <c r="EX107" s="145">
        <v>0</v>
      </c>
      <c r="EY107" s="145">
        <v>0</v>
      </c>
      <c r="EZ107" s="145">
        <v>0</v>
      </c>
      <c r="FA107" s="145">
        <v>0</v>
      </c>
      <c r="FB107" s="145">
        <v>0</v>
      </c>
      <c r="FC107" s="145">
        <v>0</v>
      </c>
      <c r="FD107" s="145">
        <v>0</v>
      </c>
      <c r="FE107" s="145">
        <v>0</v>
      </c>
      <c r="FF107" s="145">
        <v>0</v>
      </c>
      <c r="FG107" s="145">
        <v>0</v>
      </c>
      <c r="FH107" s="145">
        <v>0</v>
      </c>
      <c r="FI107" s="145">
        <v>0</v>
      </c>
      <c r="FJ107" s="145">
        <v>0</v>
      </c>
      <c r="FK107" s="145">
        <v>0</v>
      </c>
      <c r="FL107" s="145">
        <v>0</v>
      </c>
      <c r="FM107" s="145">
        <v>0</v>
      </c>
      <c r="FN107" s="145">
        <v>0</v>
      </c>
      <c r="FO107" s="145">
        <v>0</v>
      </c>
      <c r="FP107" s="145">
        <v>0</v>
      </c>
      <c r="FQ107" s="145">
        <v>0</v>
      </c>
      <c r="FR107" s="145">
        <v>0</v>
      </c>
      <c r="FS107" s="145">
        <v>0</v>
      </c>
      <c r="FT107" s="145">
        <v>0</v>
      </c>
      <c r="FU107" s="145">
        <v>0</v>
      </c>
      <c r="FV107" s="145">
        <v>0</v>
      </c>
      <c r="FW107" s="145">
        <v>0</v>
      </c>
      <c r="FX107" s="143"/>
      <c r="FY107" s="146" t="str">
        <f>_xlfn.XLOOKUP($E107,'Key assumptions'!$B$112:$B$120,'Key assumptions'!$C$112:$C$120,0)</f>
        <v>Nominal</v>
      </c>
      <c r="FZ107" s="146" cm="1">
        <f t="array" ref="FZ107">IF($FY107=0,0,_xlfn.IFS($FY107='Key assumptions'!$C$120,_xlfn.XLOOKUP(LEFT(FZ$7,6),Inflation_Year,Inflation_NominaltoReal),TRUE,_xlfn.XLOOKUP($FY107,Inflation_Year,NominaltoReal)))</f>
        <v>1.0197075870962191</v>
      </c>
      <c r="GA107" s="146" cm="1">
        <f t="array" ref="GA107">IF($FY107=0,0,_xlfn.IFS($FY107='Key assumptions'!$C$120,_xlfn.XLOOKUP(LEFT(GA$7,6),Inflation_Year,Inflation_NominaltoReal),TRUE,_xlfn.XLOOKUP($FY107,Inflation_Year,NominaltoReal)))</f>
        <v>0.98700804022984445</v>
      </c>
      <c r="GB107" s="146" cm="1">
        <f t="array" ref="GB107">IF($FY107=0,0,_xlfn.IFS($FY107='Key assumptions'!$C$120,_xlfn.XLOOKUP(LEFT(GB$7,6),Inflation_Year,Inflation_NominaltoReal),TRUE,_xlfn.XLOOKUP($FY107,Inflation_Year,NominaltoReal)))</f>
        <v>0.96152830081941731</v>
      </c>
      <c r="GC107" s="146" cm="1">
        <f t="array" ref="GC107">IF($FY107=0,0,_xlfn.IFS($FY107='Key assumptions'!$C$120,_xlfn.XLOOKUP(LEFT(GC$7,6),Inflation_Year,Inflation_NominaltoReal),TRUE,_xlfn.XLOOKUP($FY107,Inflation_Year,NominaltoReal)))</f>
        <v>0.93670632415656829</v>
      </c>
      <c r="GD107" s="146" cm="1">
        <f t="array" ref="GD107">IF($FY107=0,0,_xlfn.IFS($FY107='Key assumptions'!$C$120,_xlfn.XLOOKUP(LEFT(GD$7,6),Inflation_Year,Inflation_NominaltoReal),TRUE,_xlfn.XLOOKUP($FY107,Inflation_Year,NominaltoReal)))</f>
        <v>0.91252513001143176</v>
      </c>
      <c r="GE107" s="146" cm="1">
        <f t="array" ref="GE107">IF($FY107=0,0,_xlfn.IFS($FY107='Key assumptions'!$C$120,_xlfn.XLOOKUP(LEFT(GE$7,6),Inflation_Year,Inflation_NominaltoReal),TRUE,_xlfn.XLOOKUP($FY107,Inflation_Year,NominaltoReal)))</f>
        <v>0.88896817650095872</v>
      </c>
      <c r="GF107" s="146" cm="1">
        <f t="array" ref="GF107">IF($FY107=0,0,_xlfn.IFS($FY107='Key assumptions'!$C$120,_xlfn.XLOOKUP(LEFT(GF$7,6),Inflation_Year,Inflation_NominaltoReal),TRUE,_xlfn.XLOOKUP($FY107,Inflation_Year,NominaltoReal)))</f>
        <v>0.86601934877293718</v>
      </c>
      <c r="GG107" s="143"/>
      <c r="GH107" s="145" cm="1">
        <f t="array" ref="GH107">SUMPRODUCT(--($CR$7:$FW$7&gt;=GH$5),--($CR$7:$FW$7&lt;=GH$6),$CR107:$FW107)*FZ107</f>
        <v>43412.317017723464</v>
      </c>
      <c r="GI107" s="145" cm="1">
        <f t="array" ref="GI107">SUMPRODUCT(--($CR$7:$FW$7&gt;=GI$5),--($CR$7:$FW$7&lt;=GI$6),$CR107:$FW107)*GA107</f>
        <v>135617.52029888722</v>
      </c>
      <c r="GJ107" s="145" cm="1">
        <f t="array" ref="GJ107">SUMPRODUCT(--($CR$7:$FW$7&gt;=GJ$5),--($CR$7:$FW$7&lt;=GJ$6),$CR107:$FW107)*GB107</f>
        <v>21089.632909607644</v>
      </c>
      <c r="GK107" s="145" cm="1">
        <f t="array" ref="GK107">SUMPRODUCT(--($CR$7:$FW$7&gt;=GK$5),--($CR$7:$FW$7&lt;=GK$6),$CR107:$FW107)*GC107</f>
        <v>0</v>
      </c>
      <c r="GL107" s="145" cm="1">
        <f t="array" ref="GL107">SUMPRODUCT(--($CR$7:$FW$7&gt;=GL$5),--($CR$7:$FW$7&lt;=GL$6),$CR107:$FW107)*GD107</f>
        <v>0</v>
      </c>
      <c r="GM107" s="145" cm="1">
        <f t="array" ref="GM107">SUMPRODUCT(--($CR$7:$FW$7&gt;=GM$5),--($CR$7:$FW$7&lt;=GM$6),$CR107:$FW107)*GE107</f>
        <v>0</v>
      </c>
      <c r="GN107" s="145" cm="1">
        <f t="array" ref="GN107">SUMPRODUCT(--($CR$7:$FW$7&gt;=GN$5),--($CR$7:$FW$7&lt;=GN$6),$CR107:$FW107)*GF107</f>
        <v>0</v>
      </c>
      <c r="GO107" s="145">
        <f t="shared" si="23"/>
        <v>200119.47022621831</v>
      </c>
      <c r="GP107" s="87"/>
      <c r="GQ107" s="89"/>
      <c r="GR107" s="145" cm="1">
        <f t="array" ref="GR107">SUMPRODUCT(--($CR$7:$FW$7&gt;=GR$5),--($CR$7:$FW$7&lt;=GR$6),$CR107:$FW107)</f>
        <v>0</v>
      </c>
      <c r="GS107" s="89"/>
      <c r="GT107" s="214" cm="1">
        <f t="array" ref="GT107">--AND(MIN(IF($K107:$CP107&lt;&gt;0,$K$7:$CP$7))&gt;=GT$5,MIN(IF($K107:$CP107&lt;&gt;0,$K$7:$CP$7))&lt;=GT$6)</f>
        <v>1</v>
      </c>
      <c r="GU107" s="214" cm="1">
        <f t="array" ref="GU107">--AND(MIN(IF($K107:$CP107&lt;&gt;0,$K$7:$CP$7))&gt;=GU$5,MIN(IF($K107:$CP107&lt;&gt;0,$K$7:$CP$7))&lt;=GU$6)</f>
        <v>0</v>
      </c>
      <c r="GV107" s="214" cm="1">
        <f t="array" ref="GV107">--AND(MIN(IF($K107:$CP107&lt;&gt;0,$K$7:$CP$7))&gt;=GV$5,MIN(IF($K107:$CP107&lt;&gt;0,$K$7:$CP$7))&lt;=GV$6)</f>
        <v>0</v>
      </c>
      <c r="GW107" s="214" cm="1">
        <f t="array" ref="GW107">--AND(MIN(IF($K107:$CP107&lt;&gt;0,$K$7:$CP$7))&gt;=GW$5,MIN(IF($K107:$CP107&lt;&gt;0,$K$7:$CP$7))&lt;=GW$6)</f>
        <v>0</v>
      </c>
      <c r="GX107" s="214" cm="1">
        <f t="array" ref="GX107">--AND(MIN(IF($K107:$CP107&lt;&gt;0,$K$7:$CP$7))&gt;=GX$5,MIN(IF($K107:$CP107&lt;&gt;0,$K$7:$CP$7))&lt;=GX$6)</f>
        <v>0</v>
      </c>
      <c r="GY107" s="214" cm="1">
        <f t="array" ref="GY107">--AND(MIN(IF($K107:$CP107&lt;&gt;0,$K$7:$CP$7))&gt;=GY$5,MIN(IF($K107:$CP107&lt;&gt;0,$K$7:$CP$7))&lt;=GY$6)</f>
        <v>0</v>
      </c>
      <c r="GZ107" s="214" cm="1">
        <f t="array" ref="GZ107">--AND(MIN(IF($K107:$CP107&lt;&gt;0,$K$7:$CP$7))&gt;=GZ$5,MIN(IF($K107:$CP107&lt;&gt;0,$K$7:$CP$7))&lt;=GZ$6)</f>
        <v>0</v>
      </c>
      <c r="HA107" s="214">
        <f t="shared" si="24"/>
        <v>1</v>
      </c>
      <c r="HC107" s="214" cm="1">
        <f t="array" ref="HC107">--AND(MIN(IF($K107:$CP107&lt;&gt;0,$K$7:$CP$7))&gt;=HC$5,MIN(IF($K107:$CP107&lt;&gt;0,$K$7:$CP$7))&lt;=HC$6)</f>
        <v>0</v>
      </c>
      <c r="HE107" s="147" t="str">
        <f t="shared" si="43"/>
        <v>No</v>
      </c>
      <c r="HF107" s="147" t="str">
        <f t="shared" si="44"/>
        <v>No</v>
      </c>
      <c r="HG107" s="147">
        <f>IF($HF107="Yes",0,$H107*avg_hrs*12*'Key assumptions'!$D$87)</f>
        <v>362535.77629630821</v>
      </c>
      <c r="HH107" s="147">
        <f>IF(HE107="Yes",'Key assumptions'!$D$84*HG107,0)</f>
        <v>0</v>
      </c>
      <c r="HI107" s="144">
        <f>IFERROR(AVERAGEIFS($K107:$CP107,$K$7:$CP$7,"&gt;="&amp;'Key assumptions'!$D$24,$K$7:$CP$7,"&lt;="&amp;'Key assumptions'!$D$25),0)</f>
        <v>0.16676634768740031</v>
      </c>
      <c r="HJ107" s="148">
        <f t="shared" si="45"/>
        <v>0</v>
      </c>
      <c r="HK107" s="148">
        <f t="shared" si="26"/>
        <v>0</v>
      </c>
      <c r="HL107" s="148">
        <f t="shared" si="27"/>
        <v>0</v>
      </c>
      <c r="HM107" s="148">
        <f t="shared" si="28"/>
        <v>0</v>
      </c>
      <c r="HN107" s="148">
        <f t="shared" si="29"/>
        <v>0</v>
      </c>
      <c r="HO107" s="148">
        <f t="shared" si="30"/>
        <v>0</v>
      </c>
      <c r="HP107" s="148">
        <f t="shared" si="31"/>
        <v>0</v>
      </c>
      <c r="HQ107" s="148">
        <f t="shared" si="32"/>
        <v>0</v>
      </c>
      <c r="HR107" s="147">
        <f t="shared" si="33"/>
        <v>0</v>
      </c>
      <c r="HU107" s="147">
        <f>$HJ107*HC107/(1+'Key assumptions'!G129)^0.75</f>
        <v>0</v>
      </c>
      <c r="HW107" s="216">
        <f t="shared" si="34"/>
        <v>0.16676634768740031</v>
      </c>
      <c r="HX107" s="216">
        <f t="shared" si="35"/>
        <v>0</v>
      </c>
      <c r="HY107" s="216">
        <f t="shared" si="36"/>
        <v>0</v>
      </c>
      <c r="HZ107" s="216">
        <f t="shared" si="37"/>
        <v>0</v>
      </c>
      <c r="IA107" s="216">
        <f t="shared" si="38"/>
        <v>0</v>
      </c>
      <c r="IB107" s="216">
        <f t="shared" si="39"/>
        <v>0</v>
      </c>
      <c r="IC107" s="216">
        <f t="shared" si="40"/>
        <v>0</v>
      </c>
      <c r="ID107" s="216">
        <f t="shared" si="41"/>
        <v>0.16676634768740031</v>
      </c>
      <c r="IF107" s="216">
        <f t="shared" si="42"/>
        <v>0</v>
      </c>
    </row>
    <row r="108" spans="2:240" x14ac:dyDescent="0.2">
      <c r="B108" s="141" t="str">
        <v>Project Delivery Management - Commissioning</v>
      </c>
      <c r="C108" s="141" t="str">
        <v>Secondary Systems Technician (Construction)</v>
      </c>
      <c r="D108" s="141" t="str">
        <v>Internal Labour</v>
      </c>
      <c r="E108" s="141" t="str">
        <v>$ Nominal</v>
      </c>
      <c r="F108" s="141" t="str">
        <v>Existing</v>
      </c>
      <c r="G108" s="141" t="str">
        <v>Normal time</v>
      </c>
      <c r="H108" s="142">
        <v>195.66</v>
      </c>
      <c r="I108" s="126">
        <v>215396.15999999997</v>
      </c>
      <c r="J108" s="143">
        <v>0</v>
      </c>
      <c r="K108" s="144">
        <v>0</v>
      </c>
      <c r="L108" s="144">
        <v>0</v>
      </c>
      <c r="M108" s="144">
        <v>0</v>
      </c>
      <c r="N108" s="144">
        <v>0</v>
      </c>
      <c r="O108" s="144">
        <v>0</v>
      </c>
      <c r="P108" s="144">
        <v>0</v>
      </c>
      <c r="Q108" s="144">
        <v>0</v>
      </c>
      <c r="R108" s="144">
        <v>0</v>
      </c>
      <c r="S108" s="144">
        <v>0</v>
      </c>
      <c r="T108" s="144">
        <v>0</v>
      </c>
      <c r="U108" s="144">
        <v>0</v>
      </c>
      <c r="V108" s="144">
        <v>0</v>
      </c>
      <c r="W108" s="144">
        <v>0</v>
      </c>
      <c r="X108" s="144">
        <v>0</v>
      </c>
      <c r="Y108" s="144">
        <v>0</v>
      </c>
      <c r="Z108" s="144">
        <v>0</v>
      </c>
      <c r="AA108" s="144">
        <v>0</v>
      </c>
      <c r="AB108" s="144">
        <v>0</v>
      </c>
      <c r="AC108" s="144">
        <v>0</v>
      </c>
      <c r="AD108" s="144">
        <v>0</v>
      </c>
      <c r="AE108" s="144">
        <v>0</v>
      </c>
      <c r="AF108" s="144">
        <v>1.1000000000000001</v>
      </c>
      <c r="AG108" s="144">
        <v>1.55</v>
      </c>
      <c r="AH108" s="144">
        <v>0</v>
      </c>
      <c r="AI108" s="144">
        <v>2.0666666666666669</v>
      </c>
      <c r="AJ108" s="144">
        <v>1.5</v>
      </c>
      <c r="AK108" s="144">
        <v>0</v>
      </c>
      <c r="AL108" s="144">
        <v>0</v>
      </c>
      <c r="AM108" s="144">
        <v>0</v>
      </c>
      <c r="AN108" s="144">
        <v>0</v>
      </c>
      <c r="AO108" s="144">
        <v>0</v>
      </c>
      <c r="AP108" s="144">
        <v>1.1000000000000001</v>
      </c>
      <c r="AQ108" s="144">
        <v>0.5</v>
      </c>
      <c r="AR108" s="144">
        <v>0.5</v>
      </c>
      <c r="AS108" s="144">
        <v>0</v>
      </c>
      <c r="AT108" s="144">
        <v>0</v>
      </c>
      <c r="AU108" s="144">
        <v>0</v>
      </c>
      <c r="AV108" s="144">
        <v>0</v>
      </c>
      <c r="AW108" s="144">
        <v>0</v>
      </c>
      <c r="AX108" s="144">
        <v>0</v>
      </c>
      <c r="AY108" s="144">
        <v>0</v>
      </c>
      <c r="AZ108" s="144">
        <v>0</v>
      </c>
      <c r="BA108" s="144">
        <v>0</v>
      </c>
      <c r="BB108" s="144">
        <v>0</v>
      </c>
      <c r="BC108" s="144">
        <v>0</v>
      </c>
      <c r="BD108" s="144">
        <v>0</v>
      </c>
      <c r="BE108" s="144">
        <v>0</v>
      </c>
      <c r="BF108" s="144">
        <v>0</v>
      </c>
      <c r="BG108" s="144">
        <v>0</v>
      </c>
      <c r="BH108" s="144">
        <v>0</v>
      </c>
      <c r="BI108" s="144">
        <v>0</v>
      </c>
      <c r="BJ108" s="144">
        <v>0</v>
      </c>
      <c r="BK108" s="144">
        <v>0</v>
      </c>
      <c r="BL108" s="144">
        <v>0</v>
      </c>
      <c r="BM108" s="144">
        <v>0</v>
      </c>
      <c r="BN108" s="144">
        <v>0</v>
      </c>
      <c r="BO108" s="144">
        <v>0</v>
      </c>
      <c r="BP108" s="144">
        <v>0</v>
      </c>
      <c r="BQ108" s="144">
        <v>0</v>
      </c>
      <c r="BR108" s="144">
        <v>0</v>
      </c>
      <c r="BS108" s="144">
        <v>0</v>
      </c>
      <c r="BT108" s="144">
        <v>0</v>
      </c>
      <c r="BU108" s="144">
        <v>0</v>
      </c>
      <c r="BV108" s="144">
        <v>0</v>
      </c>
      <c r="BW108" s="144">
        <v>0</v>
      </c>
      <c r="BX108" s="144">
        <v>0</v>
      </c>
      <c r="BY108" s="144">
        <v>0</v>
      </c>
      <c r="BZ108" s="144">
        <v>0</v>
      </c>
      <c r="CA108" s="144">
        <v>0</v>
      </c>
      <c r="CB108" s="144">
        <v>0</v>
      </c>
      <c r="CC108" s="144">
        <v>0</v>
      </c>
      <c r="CD108" s="144">
        <v>0</v>
      </c>
      <c r="CE108" s="144">
        <v>0</v>
      </c>
      <c r="CF108" s="144">
        <v>0</v>
      </c>
      <c r="CG108" s="144">
        <v>0</v>
      </c>
      <c r="CH108" s="144">
        <v>0</v>
      </c>
      <c r="CI108" s="144">
        <v>0</v>
      </c>
      <c r="CJ108" s="144">
        <v>0</v>
      </c>
      <c r="CK108" s="144">
        <v>0</v>
      </c>
      <c r="CL108" s="144">
        <v>0</v>
      </c>
      <c r="CM108" s="144">
        <v>0</v>
      </c>
      <c r="CN108" s="144">
        <v>0</v>
      </c>
      <c r="CO108" s="144">
        <v>0</v>
      </c>
      <c r="CP108" s="144">
        <v>0</v>
      </c>
      <c r="CQ108" s="143">
        <v>0</v>
      </c>
      <c r="CR108" s="145">
        <v>0</v>
      </c>
      <c r="CS108" s="145">
        <v>0</v>
      </c>
      <c r="CT108" s="145">
        <v>0</v>
      </c>
      <c r="CU108" s="145">
        <v>0</v>
      </c>
      <c r="CV108" s="145">
        <v>0</v>
      </c>
      <c r="CW108" s="145">
        <v>0</v>
      </c>
      <c r="CX108" s="145">
        <v>0</v>
      </c>
      <c r="CY108" s="145">
        <v>0</v>
      </c>
      <c r="CZ108" s="145">
        <v>0</v>
      </c>
      <c r="DA108" s="145">
        <v>0</v>
      </c>
      <c r="DB108" s="145">
        <v>0</v>
      </c>
      <c r="DC108" s="145">
        <v>0</v>
      </c>
      <c r="DD108" s="145">
        <v>0</v>
      </c>
      <c r="DE108" s="145">
        <v>0</v>
      </c>
      <c r="DF108" s="145">
        <v>0</v>
      </c>
      <c r="DG108" s="145">
        <v>0</v>
      </c>
      <c r="DH108" s="145">
        <v>0</v>
      </c>
      <c r="DI108" s="145">
        <v>0</v>
      </c>
      <c r="DJ108" s="145">
        <v>0</v>
      </c>
      <c r="DK108" s="145">
        <v>0</v>
      </c>
      <c r="DL108" s="145">
        <v>0</v>
      </c>
      <c r="DM108" s="145">
        <v>30130.100000000002</v>
      </c>
      <c r="DN108" s="145">
        <v>42456.05</v>
      </c>
      <c r="DO108" s="145">
        <v>0</v>
      </c>
      <c r="DP108" s="145">
        <v>42456.05</v>
      </c>
      <c r="DQ108" s="145">
        <v>41086.5</v>
      </c>
      <c r="DR108" s="145">
        <v>0</v>
      </c>
      <c r="DS108" s="145">
        <v>0</v>
      </c>
      <c r="DT108" s="145">
        <v>0</v>
      </c>
      <c r="DU108" s="145">
        <v>0</v>
      </c>
      <c r="DV108" s="145">
        <v>0</v>
      </c>
      <c r="DW108" s="145">
        <v>31044.86</v>
      </c>
      <c r="DX108" s="145">
        <v>14111.300000000001</v>
      </c>
      <c r="DY108" s="145">
        <v>14111.300000000001</v>
      </c>
      <c r="DZ108" s="145">
        <v>0</v>
      </c>
      <c r="EA108" s="145">
        <v>0</v>
      </c>
      <c r="EB108" s="145">
        <v>0</v>
      </c>
      <c r="EC108" s="145">
        <v>0</v>
      </c>
      <c r="ED108" s="145">
        <v>0</v>
      </c>
      <c r="EE108" s="145">
        <v>0</v>
      </c>
      <c r="EF108" s="145">
        <v>0</v>
      </c>
      <c r="EG108" s="145">
        <v>0</v>
      </c>
      <c r="EH108" s="145">
        <v>0</v>
      </c>
      <c r="EI108" s="145">
        <v>0</v>
      </c>
      <c r="EJ108" s="145">
        <v>0</v>
      </c>
      <c r="EK108" s="145">
        <v>0</v>
      </c>
      <c r="EL108" s="145">
        <v>0</v>
      </c>
      <c r="EM108" s="145">
        <v>0</v>
      </c>
      <c r="EN108" s="145">
        <v>0</v>
      </c>
      <c r="EO108" s="145">
        <v>0</v>
      </c>
      <c r="EP108" s="145">
        <v>0</v>
      </c>
      <c r="EQ108" s="145">
        <v>0</v>
      </c>
      <c r="ER108" s="145">
        <v>0</v>
      </c>
      <c r="ES108" s="145">
        <v>0</v>
      </c>
      <c r="ET108" s="145">
        <v>0</v>
      </c>
      <c r="EU108" s="145">
        <v>0</v>
      </c>
      <c r="EV108" s="145">
        <v>0</v>
      </c>
      <c r="EW108" s="145">
        <v>0</v>
      </c>
      <c r="EX108" s="145">
        <v>0</v>
      </c>
      <c r="EY108" s="145">
        <v>0</v>
      </c>
      <c r="EZ108" s="145">
        <v>0</v>
      </c>
      <c r="FA108" s="145">
        <v>0</v>
      </c>
      <c r="FB108" s="145">
        <v>0</v>
      </c>
      <c r="FC108" s="145">
        <v>0</v>
      </c>
      <c r="FD108" s="145">
        <v>0</v>
      </c>
      <c r="FE108" s="145">
        <v>0</v>
      </c>
      <c r="FF108" s="145">
        <v>0</v>
      </c>
      <c r="FG108" s="145">
        <v>0</v>
      </c>
      <c r="FH108" s="145">
        <v>0</v>
      </c>
      <c r="FI108" s="145">
        <v>0</v>
      </c>
      <c r="FJ108" s="145">
        <v>0</v>
      </c>
      <c r="FK108" s="145">
        <v>0</v>
      </c>
      <c r="FL108" s="145">
        <v>0</v>
      </c>
      <c r="FM108" s="145">
        <v>0</v>
      </c>
      <c r="FN108" s="145">
        <v>0</v>
      </c>
      <c r="FO108" s="145">
        <v>0</v>
      </c>
      <c r="FP108" s="145">
        <v>0</v>
      </c>
      <c r="FQ108" s="145">
        <v>0</v>
      </c>
      <c r="FR108" s="145">
        <v>0</v>
      </c>
      <c r="FS108" s="145">
        <v>0</v>
      </c>
      <c r="FT108" s="145">
        <v>0</v>
      </c>
      <c r="FU108" s="145">
        <v>0</v>
      </c>
      <c r="FV108" s="145">
        <v>0</v>
      </c>
      <c r="FW108" s="145">
        <v>0</v>
      </c>
      <c r="FX108" s="143"/>
      <c r="FY108" s="146" t="str">
        <f>_xlfn.XLOOKUP($E108,'Key assumptions'!$B$112:$B$120,'Key assumptions'!$C$112:$C$120,0)</f>
        <v>Nominal</v>
      </c>
      <c r="FZ108" s="146" cm="1">
        <f t="array" ref="FZ108">IF($FY108=0,0,_xlfn.IFS($FY108='Key assumptions'!$C$120,_xlfn.XLOOKUP(LEFT(FZ$7,6),Inflation_Year,Inflation_NominaltoReal),TRUE,_xlfn.XLOOKUP($FY108,Inflation_Year,NominaltoReal)))</f>
        <v>1.0197075870962191</v>
      </c>
      <c r="GA108" s="146" cm="1">
        <f t="array" ref="GA108">IF($FY108=0,0,_xlfn.IFS($FY108='Key assumptions'!$C$120,_xlfn.XLOOKUP(LEFT(GA$7,6),Inflation_Year,Inflation_NominaltoReal),TRUE,_xlfn.XLOOKUP($FY108,Inflation_Year,NominaltoReal)))</f>
        <v>0.98700804022984445</v>
      </c>
      <c r="GB108" s="146" cm="1">
        <f t="array" ref="GB108">IF($FY108=0,0,_xlfn.IFS($FY108='Key assumptions'!$C$120,_xlfn.XLOOKUP(LEFT(GB$7,6),Inflation_Year,Inflation_NominaltoReal),TRUE,_xlfn.XLOOKUP($FY108,Inflation_Year,NominaltoReal)))</f>
        <v>0.96152830081941731</v>
      </c>
      <c r="GC108" s="146" cm="1">
        <f t="array" ref="GC108">IF($FY108=0,0,_xlfn.IFS($FY108='Key assumptions'!$C$120,_xlfn.XLOOKUP(LEFT(GC$7,6),Inflation_Year,Inflation_NominaltoReal),TRUE,_xlfn.XLOOKUP($FY108,Inflation_Year,NominaltoReal)))</f>
        <v>0.93670632415656829</v>
      </c>
      <c r="GD108" s="146" cm="1">
        <f t="array" ref="GD108">IF($FY108=0,0,_xlfn.IFS($FY108='Key assumptions'!$C$120,_xlfn.XLOOKUP(LEFT(GD$7,6),Inflation_Year,Inflation_NominaltoReal),TRUE,_xlfn.XLOOKUP($FY108,Inflation_Year,NominaltoReal)))</f>
        <v>0.91252513001143176</v>
      </c>
      <c r="GE108" s="146" cm="1">
        <f t="array" ref="GE108">IF($FY108=0,0,_xlfn.IFS($FY108='Key assumptions'!$C$120,_xlfn.XLOOKUP(LEFT(GE$7,6),Inflation_Year,Inflation_NominaltoReal),TRUE,_xlfn.XLOOKUP($FY108,Inflation_Year,NominaltoReal)))</f>
        <v>0.88896817650095872</v>
      </c>
      <c r="GF108" s="146" cm="1">
        <f t="array" ref="GF108">IF($FY108=0,0,_xlfn.IFS($FY108='Key assumptions'!$C$120,_xlfn.XLOOKUP(LEFT(GF$7,6),Inflation_Year,Inflation_NominaltoReal),TRUE,_xlfn.XLOOKUP($FY108,Inflation_Year,NominaltoReal)))</f>
        <v>0.86601934877293718</v>
      </c>
      <c r="GG108" s="143"/>
      <c r="GH108" s="145" cm="1">
        <f t="array" ref="GH108">SUMPRODUCT(--($CR$7:$FW$7&gt;=GH$5),--($CR$7:$FW$7&lt;=GH$6),$CR108:$FW108)*FZ108</f>
        <v>0</v>
      </c>
      <c r="GI108" s="145" cm="1">
        <f t="array" ref="GI108">SUMPRODUCT(--($CR$7:$FW$7&gt;=GI$5),--($CR$7:$FW$7&lt;=GI$6),$CR108:$FW108)*GA108</f>
        <v>198669.7751965386</v>
      </c>
      <c r="GJ108" s="145" cm="1">
        <f t="array" ref="GJ108">SUMPRODUCT(--($CR$7:$FW$7&gt;=GJ$5),--($CR$7:$FW$7&lt;=GJ$6),$CR108:$FW108)*GB108</f>
        <v>13568.414311353044</v>
      </c>
      <c r="GK108" s="145" cm="1">
        <f t="array" ref="GK108">SUMPRODUCT(--($CR$7:$FW$7&gt;=GK$5),--($CR$7:$FW$7&lt;=GK$6),$CR108:$FW108)*GC108</f>
        <v>0</v>
      </c>
      <c r="GL108" s="145" cm="1">
        <f t="array" ref="GL108">SUMPRODUCT(--($CR$7:$FW$7&gt;=GL$5),--($CR$7:$FW$7&lt;=GL$6),$CR108:$FW108)*GD108</f>
        <v>0</v>
      </c>
      <c r="GM108" s="145" cm="1">
        <f t="array" ref="GM108">SUMPRODUCT(--($CR$7:$FW$7&gt;=GM$5),--($CR$7:$FW$7&lt;=GM$6),$CR108:$FW108)*GE108</f>
        <v>0</v>
      </c>
      <c r="GN108" s="145" cm="1">
        <f t="array" ref="GN108">SUMPRODUCT(--($CR$7:$FW$7&gt;=GN$5),--($CR$7:$FW$7&lt;=GN$6),$CR108:$FW108)*GF108</f>
        <v>0</v>
      </c>
      <c r="GO108" s="145">
        <f t="shared" si="23"/>
        <v>212238.18950789166</v>
      </c>
      <c r="GP108" s="87"/>
      <c r="GQ108" s="89"/>
      <c r="GR108" s="145" cm="1">
        <f t="array" ref="GR108">SUMPRODUCT(--($CR$7:$FW$7&gt;=GR$5),--($CR$7:$FW$7&lt;=GR$6),$CR108:$FW108)</f>
        <v>0</v>
      </c>
      <c r="GS108" s="89"/>
      <c r="GT108" s="214" cm="1">
        <f t="array" ref="GT108">--AND(MIN(IF($K108:$CP108&lt;&gt;0,$K$7:$CP$7))&gt;=GT$5,MIN(IF($K108:$CP108&lt;&gt;0,$K$7:$CP$7))&lt;=GT$6)</f>
        <v>0</v>
      </c>
      <c r="GU108" s="214" cm="1">
        <f t="array" ref="GU108">--AND(MIN(IF($K108:$CP108&lt;&gt;0,$K$7:$CP$7))&gt;=GU$5,MIN(IF($K108:$CP108&lt;&gt;0,$K$7:$CP$7))&lt;=GU$6)</f>
        <v>1</v>
      </c>
      <c r="GV108" s="214" cm="1">
        <f t="array" ref="GV108">--AND(MIN(IF($K108:$CP108&lt;&gt;0,$K$7:$CP$7))&gt;=GV$5,MIN(IF($K108:$CP108&lt;&gt;0,$K$7:$CP$7))&lt;=GV$6)</f>
        <v>0</v>
      </c>
      <c r="GW108" s="214" cm="1">
        <f t="array" ref="GW108">--AND(MIN(IF($K108:$CP108&lt;&gt;0,$K$7:$CP$7))&gt;=GW$5,MIN(IF($K108:$CP108&lt;&gt;0,$K$7:$CP$7))&lt;=GW$6)</f>
        <v>0</v>
      </c>
      <c r="GX108" s="214" cm="1">
        <f t="array" ref="GX108">--AND(MIN(IF($K108:$CP108&lt;&gt;0,$K$7:$CP$7))&gt;=GX$5,MIN(IF($K108:$CP108&lt;&gt;0,$K$7:$CP$7))&lt;=GX$6)</f>
        <v>0</v>
      </c>
      <c r="GY108" s="214" cm="1">
        <f t="array" ref="GY108">--AND(MIN(IF($K108:$CP108&lt;&gt;0,$K$7:$CP$7))&gt;=GY$5,MIN(IF($K108:$CP108&lt;&gt;0,$K$7:$CP$7))&lt;=GY$6)</f>
        <v>0</v>
      </c>
      <c r="GZ108" s="214" cm="1">
        <f t="array" ref="GZ108">--AND(MIN(IF($K108:$CP108&lt;&gt;0,$K$7:$CP$7))&gt;=GZ$5,MIN(IF($K108:$CP108&lt;&gt;0,$K$7:$CP$7))&lt;=GZ$6)</f>
        <v>0</v>
      </c>
      <c r="HA108" s="214">
        <f t="shared" si="24"/>
        <v>1</v>
      </c>
      <c r="HC108" s="214" cm="1">
        <f t="array" ref="HC108">--AND(MIN(IF($K108:$CP108&lt;&gt;0,$K$7:$CP$7))&gt;=HC$5,MIN(IF($K108:$CP108&lt;&gt;0,$K$7:$CP$7))&lt;=HC$6)</f>
        <v>0</v>
      </c>
      <c r="HE108" s="147" t="str">
        <f t="shared" si="43"/>
        <v>No</v>
      </c>
      <c r="HF108" s="147" t="str">
        <f t="shared" si="44"/>
        <v>No</v>
      </c>
      <c r="HG108" s="147">
        <f>IF($HF108="Yes",0,$H108*avg_hrs*12*'Key assumptions'!$D$87)</f>
        <v>349892.7143991302</v>
      </c>
      <c r="HH108" s="147">
        <f>IF(HE108="Yes",'Key assumptions'!$D$84*HG108,0)</f>
        <v>0</v>
      </c>
      <c r="HI108" s="144">
        <f>IFERROR(AVERAGEIFS($K108:$CP108,$K$7:$CP$7,"&gt;="&amp;'Key assumptions'!$D$24,$K$7:$CP$7,"&lt;="&amp;'Key assumptions'!$D$25),0)</f>
        <v>0.1890151515151515</v>
      </c>
      <c r="HJ108" s="148">
        <f t="shared" si="45"/>
        <v>0</v>
      </c>
      <c r="HK108" s="148">
        <f t="shared" si="26"/>
        <v>0</v>
      </c>
      <c r="HL108" s="148">
        <f t="shared" si="27"/>
        <v>0</v>
      </c>
      <c r="HM108" s="148">
        <f t="shared" si="28"/>
        <v>0</v>
      </c>
      <c r="HN108" s="148">
        <f t="shared" si="29"/>
        <v>0</v>
      </c>
      <c r="HO108" s="148">
        <f t="shared" si="30"/>
        <v>0</v>
      </c>
      <c r="HP108" s="148">
        <f t="shared" si="31"/>
        <v>0</v>
      </c>
      <c r="HQ108" s="148">
        <f t="shared" si="32"/>
        <v>0</v>
      </c>
      <c r="HR108" s="147">
        <f t="shared" si="33"/>
        <v>0</v>
      </c>
      <c r="HU108" s="147">
        <f>$HJ108*HC108/(1+'Key assumptions'!G130)^0.75</f>
        <v>0</v>
      </c>
      <c r="HW108" s="216">
        <f t="shared" si="34"/>
        <v>0</v>
      </c>
      <c r="HX108" s="216">
        <f t="shared" si="35"/>
        <v>0.1890151515151515</v>
      </c>
      <c r="HY108" s="216">
        <f t="shared" si="36"/>
        <v>0</v>
      </c>
      <c r="HZ108" s="216">
        <f t="shared" si="37"/>
        <v>0</v>
      </c>
      <c r="IA108" s="216">
        <f t="shared" si="38"/>
        <v>0</v>
      </c>
      <c r="IB108" s="216">
        <f t="shared" si="39"/>
        <v>0</v>
      </c>
      <c r="IC108" s="216">
        <f t="shared" si="40"/>
        <v>0</v>
      </c>
      <c r="ID108" s="216">
        <f t="shared" si="41"/>
        <v>0.1890151515151515</v>
      </c>
      <c r="IF108" s="216">
        <f t="shared" si="42"/>
        <v>0</v>
      </c>
    </row>
    <row r="109" spans="2:240" x14ac:dyDescent="0.2">
      <c r="B109" s="141" t="str">
        <v>Project Delivery Management - Commissioning</v>
      </c>
      <c r="C109" s="141" t="str">
        <v>Secondary Systems Technician (Construction)</v>
      </c>
      <c r="D109" s="141" t="str">
        <v>Internal Labour</v>
      </c>
      <c r="E109" s="141" t="str">
        <v>$ Nominal</v>
      </c>
      <c r="F109" s="141">
        <v>0</v>
      </c>
      <c r="G109" s="141" t="str">
        <v>Overtime</v>
      </c>
      <c r="H109" s="142">
        <v>195.66</v>
      </c>
      <c r="I109" s="126">
        <v>130437.99999999999</v>
      </c>
      <c r="J109" s="143">
        <v>0</v>
      </c>
      <c r="K109" s="144">
        <v>0</v>
      </c>
      <c r="L109" s="144">
        <v>0</v>
      </c>
      <c r="M109" s="144">
        <v>0</v>
      </c>
      <c r="N109" s="144">
        <v>0</v>
      </c>
      <c r="O109" s="144">
        <v>0</v>
      </c>
      <c r="P109" s="144">
        <v>0</v>
      </c>
      <c r="Q109" s="144">
        <v>0</v>
      </c>
      <c r="R109" s="144">
        <v>0</v>
      </c>
      <c r="S109" s="144">
        <v>0</v>
      </c>
      <c r="T109" s="144">
        <v>0</v>
      </c>
      <c r="U109" s="144">
        <v>0</v>
      </c>
      <c r="V109" s="144">
        <v>0</v>
      </c>
      <c r="W109" s="144">
        <v>0</v>
      </c>
      <c r="X109" s="144">
        <v>0</v>
      </c>
      <c r="Y109" s="144">
        <v>0</v>
      </c>
      <c r="Z109" s="144">
        <v>0</v>
      </c>
      <c r="AA109" s="144">
        <v>0</v>
      </c>
      <c r="AB109" s="144">
        <v>0</v>
      </c>
      <c r="AC109" s="144">
        <v>0</v>
      </c>
      <c r="AD109" s="144">
        <v>0</v>
      </c>
      <c r="AE109" s="144">
        <v>0</v>
      </c>
      <c r="AF109" s="144">
        <v>0.35714285714285715</v>
      </c>
      <c r="AG109" s="144">
        <v>0.35714285714285715</v>
      </c>
      <c r="AH109" s="144">
        <v>0</v>
      </c>
      <c r="AI109" s="144">
        <v>0.5714285714285714</v>
      </c>
      <c r="AJ109" s="144">
        <v>0.42857142857142855</v>
      </c>
      <c r="AK109" s="144">
        <v>0</v>
      </c>
      <c r="AL109" s="144">
        <v>0</v>
      </c>
      <c r="AM109" s="144">
        <v>0</v>
      </c>
      <c r="AN109" s="144">
        <v>0</v>
      </c>
      <c r="AO109" s="144">
        <v>0</v>
      </c>
      <c r="AP109" s="144">
        <v>0.35714285714285715</v>
      </c>
      <c r="AQ109" s="144">
        <v>0.21428571428571427</v>
      </c>
      <c r="AR109" s="144">
        <v>0.21428571428571427</v>
      </c>
      <c r="AS109" s="144">
        <v>0</v>
      </c>
      <c r="AT109" s="144">
        <v>0</v>
      </c>
      <c r="AU109" s="144">
        <v>0</v>
      </c>
      <c r="AV109" s="144">
        <v>0</v>
      </c>
      <c r="AW109" s="144">
        <v>0</v>
      </c>
      <c r="AX109" s="144">
        <v>0</v>
      </c>
      <c r="AY109" s="144">
        <v>0</v>
      </c>
      <c r="AZ109" s="144">
        <v>0</v>
      </c>
      <c r="BA109" s="144">
        <v>0</v>
      </c>
      <c r="BB109" s="144">
        <v>0</v>
      </c>
      <c r="BC109" s="144">
        <v>0</v>
      </c>
      <c r="BD109" s="144">
        <v>0</v>
      </c>
      <c r="BE109" s="144">
        <v>0</v>
      </c>
      <c r="BF109" s="144">
        <v>0</v>
      </c>
      <c r="BG109" s="144">
        <v>0</v>
      </c>
      <c r="BH109" s="144">
        <v>0</v>
      </c>
      <c r="BI109" s="144">
        <v>0</v>
      </c>
      <c r="BJ109" s="144">
        <v>0</v>
      </c>
      <c r="BK109" s="144">
        <v>0</v>
      </c>
      <c r="BL109" s="144">
        <v>0</v>
      </c>
      <c r="BM109" s="144">
        <v>0</v>
      </c>
      <c r="BN109" s="144">
        <v>0</v>
      </c>
      <c r="BO109" s="144">
        <v>0</v>
      </c>
      <c r="BP109" s="144">
        <v>0</v>
      </c>
      <c r="BQ109" s="144">
        <v>0</v>
      </c>
      <c r="BR109" s="144">
        <v>0</v>
      </c>
      <c r="BS109" s="144">
        <v>0</v>
      </c>
      <c r="BT109" s="144">
        <v>0</v>
      </c>
      <c r="BU109" s="144">
        <v>0</v>
      </c>
      <c r="BV109" s="144">
        <v>0</v>
      </c>
      <c r="BW109" s="144">
        <v>0</v>
      </c>
      <c r="BX109" s="144">
        <v>0</v>
      </c>
      <c r="BY109" s="144">
        <v>0</v>
      </c>
      <c r="BZ109" s="144">
        <v>0</v>
      </c>
      <c r="CA109" s="144">
        <v>0</v>
      </c>
      <c r="CB109" s="144">
        <v>0</v>
      </c>
      <c r="CC109" s="144">
        <v>0</v>
      </c>
      <c r="CD109" s="144">
        <v>0</v>
      </c>
      <c r="CE109" s="144">
        <v>0</v>
      </c>
      <c r="CF109" s="144">
        <v>0</v>
      </c>
      <c r="CG109" s="144">
        <v>0</v>
      </c>
      <c r="CH109" s="144">
        <v>0</v>
      </c>
      <c r="CI109" s="144">
        <v>0</v>
      </c>
      <c r="CJ109" s="144">
        <v>0</v>
      </c>
      <c r="CK109" s="144">
        <v>0</v>
      </c>
      <c r="CL109" s="144">
        <v>0</v>
      </c>
      <c r="CM109" s="144">
        <v>0</v>
      </c>
      <c r="CN109" s="144">
        <v>0</v>
      </c>
      <c r="CO109" s="144">
        <v>0</v>
      </c>
      <c r="CP109" s="144">
        <v>0</v>
      </c>
      <c r="CQ109" s="143">
        <v>0</v>
      </c>
      <c r="CR109" s="145">
        <v>0</v>
      </c>
      <c r="CS109" s="145">
        <v>0</v>
      </c>
      <c r="CT109" s="145">
        <v>0</v>
      </c>
      <c r="CU109" s="145">
        <v>0</v>
      </c>
      <c r="CV109" s="145">
        <v>0</v>
      </c>
      <c r="CW109" s="145">
        <v>0</v>
      </c>
      <c r="CX109" s="145">
        <v>0</v>
      </c>
      <c r="CY109" s="145">
        <v>0</v>
      </c>
      <c r="CZ109" s="145">
        <v>0</v>
      </c>
      <c r="DA109" s="145">
        <v>0</v>
      </c>
      <c r="DB109" s="145">
        <v>0</v>
      </c>
      <c r="DC109" s="145">
        <v>0</v>
      </c>
      <c r="DD109" s="145">
        <v>0</v>
      </c>
      <c r="DE109" s="145">
        <v>0</v>
      </c>
      <c r="DF109" s="145">
        <v>0</v>
      </c>
      <c r="DG109" s="145">
        <v>0</v>
      </c>
      <c r="DH109" s="145">
        <v>0</v>
      </c>
      <c r="DI109" s="145">
        <v>0</v>
      </c>
      <c r="DJ109" s="145">
        <v>0</v>
      </c>
      <c r="DK109" s="145">
        <v>0</v>
      </c>
      <c r="DL109" s="145">
        <v>0</v>
      </c>
      <c r="DM109" s="145">
        <v>19565.5</v>
      </c>
      <c r="DN109" s="145">
        <v>19565.5</v>
      </c>
      <c r="DO109" s="145">
        <v>0</v>
      </c>
      <c r="DP109" s="145">
        <v>23478.6</v>
      </c>
      <c r="DQ109" s="145">
        <v>23478.6</v>
      </c>
      <c r="DR109" s="145">
        <v>0</v>
      </c>
      <c r="DS109" s="145">
        <v>0</v>
      </c>
      <c r="DT109" s="145">
        <v>0</v>
      </c>
      <c r="DU109" s="145">
        <v>0</v>
      </c>
      <c r="DV109" s="145">
        <v>0</v>
      </c>
      <c r="DW109" s="145">
        <v>20159</v>
      </c>
      <c r="DX109" s="145">
        <v>12095.4</v>
      </c>
      <c r="DY109" s="145">
        <v>12095.4</v>
      </c>
      <c r="DZ109" s="145">
        <v>0</v>
      </c>
      <c r="EA109" s="145">
        <v>0</v>
      </c>
      <c r="EB109" s="145">
        <v>0</v>
      </c>
      <c r="EC109" s="145">
        <v>0</v>
      </c>
      <c r="ED109" s="145">
        <v>0</v>
      </c>
      <c r="EE109" s="145">
        <v>0</v>
      </c>
      <c r="EF109" s="145">
        <v>0</v>
      </c>
      <c r="EG109" s="145">
        <v>0</v>
      </c>
      <c r="EH109" s="145">
        <v>0</v>
      </c>
      <c r="EI109" s="145">
        <v>0</v>
      </c>
      <c r="EJ109" s="145">
        <v>0</v>
      </c>
      <c r="EK109" s="145">
        <v>0</v>
      </c>
      <c r="EL109" s="145">
        <v>0</v>
      </c>
      <c r="EM109" s="145">
        <v>0</v>
      </c>
      <c r="EN109" s="145">
        <v>0</v>
      </c>
      <c r="EO109" s="145">
        <v>0</v>
      </c>
      <c r="EP109" s="145">
        <v>0</v>
      </c>
      <c r="EQ109" s="145">
        <v>0</v>
      </c>
      <c r="ER109" s="145">
        <v>0</v>
      </c>
      <c r="ES109" s="145">
        <v>0</v>
      </c>
      <c r="ET109" s="145">
        <v>0</v>
      </c>
      <c r="EU109" s="145">
        <v>0</v>
      </c>
      <c r="EV109" s="145">
        <v>0</v>
      </c>
      <c r="EW109" s="145">
        <v>0</v>
      </c>
      <c r="EX109" s="145">
        <v>0</v>
      </c>
      <c r="EY109" s="145">
        <v>0</v>
      </c>
      <c r="EZ109" s="145">
        <v>0</v>
      </c>
      <c r="FA109" s="145">
        <v>0</v>
      </c>
      <c r="FB109" s="145">
        <v>0</v>
      </c>
      <c r="FC109" s="145">
        <v>0</v>
      </c>
      <c r="FD109" s="145">
        <v>0</v>
      </c>
      <c r="FE109" s="145">
        <v>0</v>
      </c>
      <c r="FF109" s="145">
        <v>0</v>
      </c>
      <c r="FG109" s="145">
        <v>0</v>
      </c>
      <c r="FH109" s="145">
        <v>0</v>
      </c>
      <c r="FI109" s="145">
        <v>0</v>
      </c>
      <c r="FJ109" s="145">
        <v>0</v>
      </c>
      <c r="FK109" s="145">
        <v>0</v>
      </c>
      <c r="FL109" s="145">
        <v>0</v>
      </c>
      <c r="FM109" s="145">
        <v>0</v>
      </c>
      <c r="FN109" s="145">
        <v>0</v>
      </c>
      <c r="FO109" s="145">
        <v>0</v>
      </c>
      <c r="FP109" s="145">
        <v>0</v>
      </c>
      <c r="FQ109" s="145">
        <v>0</v>
      </c>
      <c r="FR109" s="145">
        <v>0</v>
      </c>
      <c r="FS109" s="145">
        <v>0</v>
      </c>
      <c r="FT109" s="145">
        <v>0</v>
      </c>
      <c r="FU109" s="145">
        <v>0</v>
      </c>
      <c r="FV109" s="145">
        <v>0</v>
      </c>
      <c r="FW109" s="145">
        <v>0</v>
      </c>
      <c r="FX109" s="143"/>
      <c r="FY109" s="146" t="str">
        <f>_xlfn.XLOOKUP($E109,'Key assumptions'!$B$112:$B$120,'Key assumptions'!$C$112:$C$120,0)</f>
        <v>Nominal</v>
      </c>
      <c r="FZ109" s="146" cm="1">
        <f t="array" ref="FZ109">IF($FY109=0,0,_xlfn.IFS($FY109='Key assumptions'!$C$120,_xlfn.XLOOKUP(LEFT(FZ$7,6),Inflation_Year,Inflation_NominaltoReal),TRUE,_xlfn.XLOOKUP($FY109,Inflation_Year,NominaltoReal)))</f>
        <v>1.0197075870962191</v>
      </c>
      <c r="GA109" s="146" cm="1">
        <f t="array" ref="GA109">IF($FY109=0,0,_xlfn.IFS($FY109='Key assumptions'!$C$120,_xlfn.XLOOKUP(LEFT(GA$7,6),Inflation_Year,Inflation_NominaltoReal),TRUE,_xlfn.XLOOKUP($FY109,Inflation_Year,NominaltoReal)))</f>
        <v>0.98700804022984445</v>
      </c>
      <c r="GB109" s="146" cm="1">
        <f t="array" ref="GB109">IF($FY109=0,0,_xlfn.IFS($FY109='Key assumptions'!$C$120,_xlfn.XLOOKUP(LEFT(GB$7,6),Inflation_Year,Inflation_NominaltoReal),TRUE,_xlfn.XLOOKUP($FY109,Inflation_Year,NominaltoReal)))</f>
        <v>0.96152830081941731</v>
      </c>
      <c r="GC109" s="146" cm="1">
        <f t="array" ref="GC109">IF($FY109=0,0,_xlfn.IFS($FY109='Key assumptions'!$C$120,_xlfn.XLOOKUP(LEFT(GC$7,6),Inflation_Year,Inflation_NominaltoReal),TRUE,_xlfn.XLOOKUP($FY109,Inflation_Year,NominaltoReal)))</f>
        <v>0.93670632415656829</v>
      </c>
      <c r="GD109" s="146" cm="1">
        <f t="array" ref="GD109">IF($FY109=0,0,_xlfn.IFS($FY109='Key assumptions'!$C$120,_xlfn.XLOOKUP(LEFT(GD$7,6),Inflation_Year,Inflation_NominaltoReal),TRUE,_xlfn.XLOOKUP($FY109,Inflation_Year,NominaltoReal)))</f>
        <v>0.91252513001143176</v>
      </c>
      <c r="GE109" s="146" cm="1">
        <f t="array" ref="GE109">IF($FY109=0,0,_xlfn.IFS($FY109='Key assumptions'!$C$120,_xlfn.XLOOKUP(LEFT(GE$7,6),Inflation_Year,Inflation_NominaltoReal),TRUE,_xlfn.XLOOKUP($FY109,Inflation_Year,NominaltoReal)))</f>
        <v>0.88896817650095872</v>
      </c>
      <c r="GF109" s="146" cm="1">
        <f t="array" ref="GF109">IF($FY109=0,0,_xlfn.IFS($FY109='Key assumptions'!$C$120,_xlfn.XLOOKUP(LEFT(GF$7,6),Inflation_Year,Inflation_NominaltoReal),TRUE,_xlfn.XLOOKUP($FY109,Inflation_Year,NominaltoReal)))</f>
        <v>0.86601934877293718</v>
      </c>
      <c r="GG109" s="143"/>
      <c r="GH109" s="145" cm="1">
        <f t="array" ref="GH109">SUMPRODUCT(--($CR$7:$FW$7&gt;=GH$5),--($CR$7:$FW$7&lt;=GH$6),$CR109:$FW109)*FZ109</f>
        <v>0</v>
      </c>
      <c r="GI109" s="145" cm="1">
        <f t="array" ref="GI109">SUMPRODUCT(--($CR$7:$FW$7&gt;=GI$5),--($CR$7:$FW$7&lt;=GI$6),$CR109:$FW109)*GA109</f>
        <v>116805.09770170438</v>
      </c>
      <c r="GJ109" s="145" cm="1">
        <f t="array" ref="GJ109">SUMPRODUCT(--($CR$7:$FW$7&gt;=GJ$5),--($CR$7:$FW$7&lt;=GJ$6),$CR109:$FW109)*GB109</f>
        <v>11630.069409731181</v>
      </c>
      <c r="GK109" s="145" cm="1">
        <f t="array" ref="GK109">SUMPRODUCT(--($CR$7:$FW$7&gt;=GK$5),--($CR$7:$FW$7&lt;=GK$6),$CR109:$FW109)*GC109</f>
        <v>0</v>
      </c>
      <c r="GL109" s="145" cm="1">
        <f t="array" ref="GL109">SUMPRODUCT(--($CR$7:$FW$7&gt;=GL$5),--($CR$7:$FW$7&lt;=GL$6),$CR109:$FW109)*GD109</f>
        <v>0</v>
      </c>
      <c r="GM109" s="145" cm="1">
        <f t="array" ref="GM109">SUMPRODUCT(--($CR$7:$FW$7&gt;=GM$5),--($CR$7:$FW$7&lt;=GM$6),$CR109:$FW109)*GE109</f>
        <v>0</v>
      </c>
      <c r="GN109" s="145" cm="1">
        <f t="array" ref="GN109">SUMPRODUCT(--($CR$7:$FW$7&gt;=GN$5),--($CR$7:$FW$7&lt;=GN$6),$CR109:$FW109)*GF109</f>
        <v>0</v>
      </c>
      <c r="GO109" s="145">
        <f t="shared" si="23"/>
        <v>128435.16711143556</v>
      </c>
      <c r="GP109" s="87"/>
      <c r="GQ109" s="89"/>
      <c r="GR109" s="145" cm="1">
        <f t="array" ref="GR109">SUMPRODUCT(--($CR$7:$FW$7&gt;=GR$5),--($CR$7:$FW$7&lt;=GR$6),$CR109:$FW109)</f>
        <v>0</v>
      </c>
      <c r="GS109" s="89"/>
      <c r="GT109" s="214" cm="1">
        <f t="array" ref="GT109">--AND(MIN(IF($K109:$CP109&lt;&gt;0,$K$7:$CP$7))&gt;=GT$5,MIN(IF($K109:$CP109&lt;&gt;0,$K$7:$CP$7))&lt;=GT$6)</f>
        <v>0</v>
      </c>
      <c r="GU109" s="214" cm="1">
        <f t="array" ref="GU109">--AND(MIN(IF($K109:$CP109&lt;&gt;0,$K$7:$CP$7))&gt;=GU$5,MIN(IF($K109:$CP109&lt;&gt;0,$K$7:$CP$7))&lt;=GU$6)</f>
        <v>1</v>
      </c>
      <c r="GV109" s="214" cm="1">
        <f t="array" ref="GV109">--AND(MIN(IF($K109:$CP109&lt;&gt;0,$K$7:$CP$7))&gt;=GV$5,MIN(IF($K109:$CP109&lt;&gt;0,$K$7:$CP$7))&lt;=GV$6)</f>
        <v>0</v>
      </c>
      <c r="GW109" s="214" cm="1">
        <f t="array" ref="GW109">--AND(MIN(IF($K109:$CP109&lt;&gt;0,$K$7:$CP$7))&gt;=GW$5,MIN(IF($K109:$CP109&lt;&gt;0,$K$7:$CP$7))&lt;=GW$6)</f>
        <v>0</v>
      </c>
      <c r="GX109" s="214" cm="1">
        <f t="array" ref="GX109">--AND(MIN(IF($K109:$CP109&lt;&gt;0,$K$7:$CP$7))&gt;=GX$5,MIN(IF($K109:$CP109&lt;&gt;0,$K$7:$CP$7))&lt;=GX$6)</f>
        <v>0</v>
      </c>
      <c r="GY109" s="214" cm="1">
        <f t="array" ref="GY109">--AND(MIN(IF($K109:$CP109&lt;&gt;0,$K$7:$CP$7))&gt;=GY$5,MIN(IF($K109:$CP109&lt;&gt;0,$K$7:$CP$7))&lt;=GY$6)</f>
        <v>0</v>
      </c>
      <c r="GZ109" s="214" cm="1">
        <f t="array" ref="GZ109">--AND(MIN(IF($K109:$CP109&lt;&gt;0,$K$7:$CP$7))&gt;=GZ$5,MIN(IF($K109:$CP109&lt;&gt;0,$K$7:$CP$7))&lt;=GZ$6)</f>
        <v>0</v>
      </c>
      <c r="HA109" s="214">
        <f t="shared" si="24"/>
        <v>1</v>
      </c>
      <c r="HC109" s="214" cm="1">
        <f t="array" ref="HC109">--AND(MIN(IF($K109:$CP109&lt;&gt;0,$K$7:$CP$7))&gt;=HC$5,MIN(IF($K109:$CP109&lt;&gt;0,$K$7:$CP$7))&lt;=HC$6)</f>
        <v>0</v>
      </c>
      <c r="HE109" s="147" t="str">
        <f t="shared" si="43"/>
        <v>No</v>
      </c>
      <c r="HF109" s="147" t="str">
        <f t="shared" si="44"/>
        <v>Yes</v>
      </c>
      <c r="HG109" s="147">
        <f>IF($HF109="Yes",0,$H109*avg_hrs*12*'Key assumptions'!$D$87)</f>
        <v>0</v>
      </c>
      <c r="HH109" s="147">
        <f>IF(HE109="Yes",'Key assumptions'!$D$84*HG109,0)</f>
        <v>0</v>
      </c>
      <c r="HI109" s="144">
        <f>IFERROR(AVERAGEIFS($K109:$CP109,$K$7:$CP$7,"&gt;="&amp;'Key assumptions'!$D$24,$K$7:$CP$7,"&lt;="&amp;'Key assumptions'!$D$25),0)</f>
        <v>5.6818181818181816E-2</v>
      </c>
      <c r="HJ109" s="148">
        <f t="shared" si="45"/>
        <v>0</v>
      </c>
      <c r="HK109" s="148">
        <f t="shared" si="26"/>
        <v>0</v>
      </c>
      <c r="HL109" s="148">
        <f t="shared" si="27"/>
        <v>0</v>
      </c>
      <c r="HM109" s="148">
        <f t="shared" si="28"/>
        <v>0</v>
      </c>
      <c r="HN109" s="148">
        <f t="shared" si="29"/>
        <v>0</v>
      </c>
      <c r="HO109" s="148">
        <f t="shared" si="30"/>
        <v>0</v>
      </c>
      <c r="HP109" s="148">
        <f t="shared" si="31"/>
        <v>0</v>
      </c>
      <c r="HQ109" s="148">
        <f t="shared" si="32"/>
        <v>0</v>
      </c>
      <c r="HR109" s="147">
        <f t="shared" si="33"/>
        <v>0</v>
      </c>
      <c r="HU109" s="147">
        <f>$HJ109*HC109/(1+'Key assumptions'!G131)^0.75</f>
        <v>0</v>
      </c>
      <c r="HW109" s="216">
        <f t="shared" si="34"/>
        <v>0</v>
      </c>
      <c r="HX109" s="216">
        <f t="shared" si="35"/>
        <v>5.6818181818181816E-2</v>
      </c>
      <c r="HY109" s="216">
        <f t="shared" si="36"/>
        <v>0</v>
      </c>
      <c r="HZ109" s="216">
        <f t="shared" si="37"/>
        <v>0</v>
      </c>
      <c r="IA109" s="216">
        <f t="shared" si="38"/>
        <v>0</v>
      </c>
      <c r="IB109" s="216">
        <f t="shared" si="39"/>
        <v>0</v>
      </c>
      <c r="IC109" s="216">
        <f t="shared" si="40"/>
        <v>0</v>
      </c>
      <c r="ID109" s="216">
        <f t="shared" si="41"/>
        <v>5.6818181818181816E-2</v>
      </c>
      <c r="IF109" s="216">
        <f t="shared" si="42"/>
        <v>0</v>
      </c>
    </row>
    <row r="110" spans="2:240" x14ac:dyDescent="0.2">
      <c r="B110" s="141" t="str">
        <v>Project Delivery Management - Commissioning</v>
      </c>
      <c r="C110" s="141" t="str">
        <v>Substations Technician (Field Delivery)</v>
      </c>
      <c r="D110" s="141" t="str">
        <v>Internal Labour</v>
      </c>
      <c r="E110" s="141" t="str">
        <v>$ Nominal</v>
      </c>
      <c r="F110" s="141" t="str">
        <v>Existing</v>
      </c>
      <c r="G110" s="141" t="str">
        <v>Normal time</v>
      </c>
      <c r="H110" s="142">
        <v>157.53</v>
      </c>
      <c r="I110" s="126">
        <v>948736.06000000017</v>
      </c>
      <c r="J110" s="143">
        <v>0</v>
      </c>
      <c r="K110" s="144">
        <v>0</v>
      </c>
      <c r="L110" s="144">
        <v>0</v>
      </c>
      <c r="M110" s="144">
        <v>0</v>
      </c>
      <c r="N110" s="144">
        <v>0</v>
      </c>
      <c r="O110" s="144">
        <v>0</v>
      </c>
      <c r="P110" s="144">
        <v>0</v>
      </c>
      <c r="Q110" s="144">
        <v>0</v>
      </c>
      <c r="R110" s="144">
        <v>0</v>
      </c>
      <c r="S110" s="144">
        <v>0</v>
      </c>
      <c r="T110" s="144">
        <v>0</v>
      </c>
      <c r="U110" s="144">
        <v>0</v>
      </c>
      <c r="V110" s="144">
        <v>0</v>
      </c>
      <c r="W110" s="144">
        <v>0</v>
      </c>
      <c r="X110" s="144">
        <v>0</v>
      </c>
      <c r="Y110" s="144">
        <v>0</v>
      </c>
      <c r="Z110" s="144">
        <v>0</v>
      </c>
      <c r="AA110" s="144">
        <v>0</v>
      </c>
      <c r="AB110" s="144">
        <v>1.243421052631579</v>
      </c>
      <c r="AC110" s="144">
        <v>1.425</v>
      </c>
      <c r="AD110" s="144">
        <v>1.125</v>
      </c>
      <c r="AE110" s="144">
        <v>1.35</v>
      </c>
      <c r="AF110" s="144">
        <v>1.35</v>
      </c>
      <c r="AG110" s="144">
        <v>1.2749999999999999</v>
      </c>
      <c r="AH110" s="144">
        <v>1.2</v>
      </c>
      <c r="AI110" s="144">
        <v>2.2999999999999998</v>
      </c>
      <c r="AJ110" s="144">
        <v>1.2</v>
      </c>
      <c r="AK110" s="144">
        <v>1.2</v>
      </c>
      <c r="AL110" s="144">
        <v>1.9</v>
      </c>
      <c r="AM110" s="144">
        <v>1.243421052631579</v>
      </c>
      <c r="AN110" s="144">
        <v>1.174342105263158</v>
      </c>
      <c r="AO110" s="144">
        <v>1.35</v>
      </c>
      <c r="AP110" s="144">
        <v>1.2749999999999999</v>
      </c>
      <c r="AQ110" s="144">
        <v>1.35</v>
      </c>
      <c r="AR110" s="144">
        <v>1.35</v>
      </c>
      <c r="AS110" s="144">
        <v>1.2749999999999999</v>
      </c>
      <c r="AT110" s="144">
        <v>1.6</v>
      </c>
      <c r="AU110" s="144">
        <v>1.9</v>
      </c>
      <c r="AV110" s="144">
        <v>1.2</v>
      </c>
      <c r="AW110" s="144">
        <v>1.425</v>
      </c>
      <c r="AX110" s="144">
        <v>1.6</v>
      </c>
      <c r="AY110" s="144">
        <v>1.3125</v>
      </c>
      <c r="AZ110" s="144">
        <v>1.3125</v>
      </c>
      <c r="BA110" s="144">
        <v>1.2</v>
      </c>
      <c r="BB110" s="144">
        <v>1.35</v>
      </c>
      <c r="BC110" s="144">
        <v>6.2714285714285714</v>
      </c>
      <c r="BD110" s="144">
        <v>0</v>
      </c>
      <c r="BE110" s="144">
        <v>0</v>
      </c>
      <c r="BF110" s="144">
        <v>0</v>
      </c>
      <c r="BG110" s="144">
        <v>0</v>
      </c>
      <c r="BH110" s="144">
        <v>0</v>
      </c>
      <c r="BI110" s="144">
        <v>0</v>
      </c>
      <c r="BJ110" s="144">
        <v>0</v>
      </c>
      <c r="BK110" s="144">
        <v>0</v>
      </c>
      <c r="BL110" s="144">
        <v>0</v>
      </c>
      <c r="BM110" s="144">
        <v>0</v>
      </c>
      <c r="BN110" s="144">
        <v>0</v>
      </c>
      <c r="BO110" s="144">
        <v>0</v>
      </c>
      <c r="BP110" s="144">
        <v>0</v>
      </c>
      <c r="BQ110" s="144">
        <v>0</v>
      </c>
      <c r="BR110" s="144">
        <v>0</v>
      </c>
      <c r="BS110" s="144">
        <v>0</v>
      </c>
      <c r="BT110" s="144">
        <v>0</v>
      </c>
      <c r="BU110" s="144">
        <v>0</v>
      </c>
      <c r="BV110" s="144">
        <v>0</v>
      </c>
      <c r="BW110" s="144">
        <v>0</v>
      </c>
      <c r="BX110" s="144">
        <v>0</v>
      </c>
      <c r="BY110" s="144">
        <v>0</v>
      </c>
      <c r="BZ110" s="144">
        <v>0</v>
      </c>
      <c r="CA110" s="144">
        <v>0</v>
      </c>
      <c r="CB110" s="144">
        <v>0</v>
      </c>
      <c r="CC110" s="144">
        <v>0</v>
      </c>
      <c r="CD110" s="144">
        <v>0</v>
      </c>
      <c r="CE110" s="144">
        <v>0</v>
      </c>
      <c r="CF110" s="144">
        <v>0</v>
      </c>
      <c r="CG110" s="144">
        <v>0</v>
      </c>
      <c r="CH110" s="144">
        <v>0</v>
      </c>
      <c r="CI110" s="144">
        <v>0</v>
      </c>
      <c r="CJ110" s="144">
        <v>0</v>
      </c>
      <c r="CK110" s="144">
        <v>0</v>
      </c>
      <c r="CL110" s="144">
        <v>0</v>
      </c>
      <c r="CM110" s="144">
        <v>0</v>
      </c>
      <c r="CN110" s="144">
        <v>0</v>
      </c>
      <c r="CO110" s="144">
        <v>0</v>
      </c>
      <c r="CP110" s="144">
        <v>0</v>
      </c>
      <c r="CQ110" s="143">
        <v>0</v>
      </c>
      <c r="CR110" s="145">
        <v>0</v>
      </c>
      <c r="CS110" s="145">
        <v>0</v>
      </c>
      <c r="CT110" s="145">
        <v>0</v>
      </c>
      <c r="CU110" s="145">
        <v>0</v>
      </c>
      <c r="CV110" s="145">
        <v>0</v>
      </c>
      <c r="CW110" s="145">
        <v>0</v>
      </c>
      <c r="CX110" s="145">
        <v>0</v>
      </c>
      <c r="CY110" s="145">
        <v>0</v>
      </c>
      <c r="CZ110" s="145">
        <v>0</v>
      </c>
      <c r="DA110" s="145">
        <v>0</v>
      </c>
      <c r="DB110" s="145">
        <v>0</v>
      </c>
      <c r="DC110" s="145">
        <v>0</v>
      </c>
      <c r="DD110" s="145">
        <v>0</v>
      </c>
      <c r="DE110" s="145">
        <v>0</v>
      </c>
      <c r="DF110" s="145">
        <v>0</v>
      </c>
      <c r="DG110" s="145">
        <v>0</v>
      </c>
      <c r="DH110" s="145">
        <v>0</v>
      </c>
      <c r="DI110" s="145">
        <v>29773.170000000002</v>
      </c>
      <c r="DJ110" s="145">
        <v>31427.235000000001</v>
      </c>
      <c r="DK110" s="145">
        <v>24810.974999999999</v>
      </c>
      <c r="DL110" s="145">
        <v>29773.170000000002</v>
      </c>
      <c r="DM110" s="145">
        <v>29773.170000000002</v>
      </c>
      <c r="DN110" s="145">
        <v>28119.105</v>
      </c>
      <c r="DO110" s="145">
        <v>19848.78</v>
      </c>
      <c r="DP110" s="145">
        <v>38043.495000000003</v>
      </c>
      <c r="DQ110" s="145">
        <v>26465.040000000001</v>
      </c>
      <c r="DR110" s="145">
        <v>27269.759999999998</v>
      </c>
      <c r="DS110" s="145">
        <v>32382.84</v>
      </c>
      <c r="DT110" s="145">
        <v>30678.48</v>
      </c>
      <c r="DU110" s="145">
        <v>28974.12</v>
      </c>
      <c r="DV110" s="145">
        <v>30678.48</v>
      </c>
      <c r="DW110" s="145">
        <v>28974.12</v>
      </c>
      <c r="DX110" s="145">
        <v>30678.48</v>
      </c>
      <c r="DY110" s="145">
        <v>30678.48</v>
      </c>
      <c r="DZ110" s="145">
        <v>28974.12</v>
      </c>
      <c r="EA110" s="145">
        <v>27269.759999999998</v>
      </c>
      <c r="EB110" s="145">
        <v>32382.84</v>
      </c>
      <c r="EC110" s="145">
        <v>27269.759999999998</v>
      </c>
      <c r="ED110" s="145">
        <v>33340.44</v>
      </c>
      <c r="EE110" s="145">
        <v>28076.16</v>
      </c>
      <c r="EF110" s="145">
        <v>33340.44</v>
      </c>
      <c r="EG110" s="145">
        <v>33340.44</v>
      </c>
      <c r="EH110" s="145">
        <v>28076.16</v>
      </c>
      <c r="EI110" s="145">
        <v>31585.68</v>
      </c>
      <c r="EJ110" s="145">
        <v>146731.36000000002</v>
      </c>
      <c r="EK110" s="145">
        <v>0</v>
      </c>
      <c r="EL110" s="145">
        <v>0</v>
      </c>
      <c r="EM110" s="145">
        <v>0</v>
      </c>
      <c r="EN110" s="145">
        <v>0</v>
      </c>
      <c r="EO110" s="145">
        <v>0</v>
      </c>
      <c r="EP110" s="145">
        <v>0</v>
      </c>
      <c r="EQ110" s="145">
        <v>0</v>
      </c>
      <c r="ER110" s="145">
        <v>0</v>
      </c>
      <c r="ES110" s="145">
        <v>0</v>
      </c>
      <c r="ET110" s="145">
        <v>0</v>
      </c>
      <c r="EU110" s="145">
        <v>0</v>
      </c>
      <c r="EV110" s="145">
        <v>0</v>
      </c>
      <c r="EW110" s="145">
        <v>0</v>
      </c>
      <c r="EX110" s="145">
        <v>0</v>
      </c>
      <c r="EY110" s="145">
        <v>0</v>
      </c>
      <c r="EZ110" s="145">
        <v>0</v>
      </c>
      <c r="FA110" s="145">
        <v>0</v>
      </c>
      <c r="FB110" s="145">
        <v>0</v>
      </c>
      <c r="FC110" s="145">
        <v>0</v>
      </c>
      <c r="FD110" s="145">
        <v>0</v>
      </c>
      <c r="FE110" s="145">
        <v>0</v>
      </c>
      <c r="FF110" s="145">
        <v>0</v>
      </c>
      <c r="FG110" s="145">
        <v>0</v>
      </c>
      <c r="FH110" s="145">
        <v>0</v>
      </c>
      <c r="FI110" s="145">
        <v>0</v>
      </c>
      <c r="FJ110" s="145">
        <v>0</v>
      </c>
      <c r="FK110" s="145">
        <v>0</v>
      </c>
      <c r="FL110" s="145">
        <v>0</v>
      </c>
      <c r="FM110" s="145">
        <v>0</v>
      </c>
      <c r="FN110" s="145">
        <v>0</v>
      </c>
      <c r="FO110" s="145">
        <v>0</v>
      </c>
      <c r="FP110" s="145">
        <v>0</v>
      </c>
      <c r="FQ110" s="145">
        <v>0</v>
      </c>
      <c r="FR110" s="145">
        <v>0</v>
      </c>
      <c r="FS110" s="145">
        <v>0</v>
      </c>
      <c r="FT110" s="145">
        <v>0</v>
      </c>
      <c r="FU110" s="145">
        <v>0</v>
      </c>
      <c r="FV110" s="145">
        <v>0</v>
      </c>
      <c r="FW110" s="145">
        <v>0</v>
      </c>
      <c r="FX110" s="143"/>
      <c r="FY110" s="146" t="str">
        <f>_xlfn.XLOOKUP($E110,'Key assumptions'!$B$112:$B$120,'Key assumptions'!$C$112:$C$120,0)</f>
        <v>Nominal</v>
      </c>
      <c r="FZ110" s="146" cm="1">
        <f t="array" ref="FZ110">IF($FY110=0,0,_xlfn.IFS($FY110='Key assumptions'!$C$120,_xlfn.XLOOKUP(LEFT(FZ$7,6),Inflation_Year,Inflation_NominaltoReal),TRUE,_xlfn.XLOOKUP($FY110,Inflation_Year,NominaltoReal)))</f>
        <v>1.0197075870962191</v>
      </c>
      <c r="GA110" s="146" cm="1">
        <f t="array" ref="GA110">IF($FY110=0,0,_xlfn.IFS($FY110='Key assumptions'!$C$120,_xlfn.XLOOKUP(LEFT(GA$7,6),Inflation_Year,Inflation_NominaltoReal),TRUE,_xlfn.XLOOKUP($FY110,Inflation_Year,NominaltoReal)))</f>
        <v>0.98700804022984445</v>
      </c>
      <c r="GB110" s="146" cm="1">
        <f t="array" ref="GB110">IF($FY110=0,0,_xlfn.IFS($FY110='Key assumptions'!$C$120,_xlfn.XLOOKUP(LEFT(GB$7,6),Inflation_Year,Inflation_NominaltoReal),TRUE,_xlfn.XLOOKUP($FY110,Inflation_Year,NominaltoReal)))</f>
        <v>0.96152830081941731</v>
      </c>
      <c r="GC110" s="146" cm="1">
        <f t="array" ref="GC110">IF($FY110=0,0,_xlfn.IFS($FY110='Key assumptions'!$C$120,_xlfn.XLOOKUP(LEFT(GC$7,6),Inflation_Year,Inflation_NominaltoReal),TRUE,_xlfn.XLOOKUP($FY110,Inflation_Year,NominaltoReal)))</f>
        <v>0.93670632415656829</v>
      </c>
      <c r="GD110" s="146" cm="1">
        <f t="array" ref="GD110">IF($FY110=0,0,_xlfn.IFS($FY110='Key assumptions'!$C$120,_xlfn.XLOOKUP(LEFT(GD$7,6),Inflation_Year,Inflation_NominaltoReal),TRUE,_xlfn.XLOOKUP($FY110,Inflation_Year,NominaltoReal)))</f>
        <v>0.91252513001143176</v>
      </c>
      <c r="GE110" s="146" cm="1">
        <f t="array" ref="GE110">IF($FY110=0,0,_xlfn.IFS($FY110='Key assumptions'!$C$120,_xlfn.XLOOKUP(LEFT(GE$7,6),Inflation_Year,Inflation_NominaltoReal),TRUE,_xlfn.XLOOKUP($FY110,Inflation_Year,NominaltoReal)))</f>
        <v>0.88896817650095872</v>
      </c>
      <c r="GF110" s="146" cm="1">
        <f t="array" ref="GF110">IF($FY110=0,0,_xlfn.IFS($FY110='Key assumptions'!$C$120,_xlfn.XLOOKUP(LEFT(GF$7,6),Inflation_Year,Inflation_NominaltoReal),TRUE,_xlfn.XLOOKUP($FY110,Inflation_Year,NominaltoReal)))</f>
        <v>0.86601934877293718</v>
      </c>
      <c r="GG110" s="143"/>
      <c r="GH110" s="145" cm="1">
        <f t="array" ref="GH110">SUMPRODUCT(--($CR$7:$FW$7&gt;=GH$5),--($CR$7:$FW$7&lt;=GH$6),$CR110:$FW110)*FZ110</f>
        <v>118066.38410352154</v>
      </c>
      <c r="GI110" s="145" cm="1">
        <f t="array" ref="GI110">SUMPRODUCT(--($CR$7:$FW$7&gt;=GI$5),--($CR$7:$FW$7&lt;=GI$6),$CR110:$FW110)*GA110</f>
        <v>347314.18293327378</v>
      </c>
      <c r="GJ110" s="145" cm="1">
        <f t="array" ref="GJ110">SUMPRODUCT(--($CR$7:$FW$7&gt;=GJ$5),--($CR$7:$FW$7&lt;=GJ$6),$CR110:$FW110)*GB110</f>
        <v>462558.22741180554</v>
      </c>
      <c r="GK110" s="145" cm="1">
        <f t="array" ref="GK110">SUMPRODUCT(--($CR$7:$FW$7&gt;=GK$5),--($CR$7:$FW$7&lt;=GK$6),$CR110:$FW110)*GC110</f>
        <v>0</v>
      </c>
      <c r="GL110" s="145" cm="1">
        <f t="array" ref="GL110">SUMPRODUCT(--($CR$7:$FW$7&gt;=GL$5),--($CR$7:$FW$7&lt;=GL$6),$CR110:$FW110)*GD110</f>
        <v>0</v>
      </c>
      <c r="GM110" s="145" cm="1">
        <f t="array" ref="GM110">SUMPRODUCT(--($CR$7:$FW$7&gt;=GM$5),--($CR$7:$FW$7&lt;=GM$6),$CR110:$FW110)*GE110</f>
        <v>0</v>
      </c>
      <c r="GN110" s="145" cm="1">
        <f t="array" ref="GN110">SUMPRODUCT(--($CR$7:$FW$7&gt;=GN$5),--($CR$7:$FW$7&lt;=GN$6),$CR110:$FW110)*GF110</f>
        <v>0</v>
      </c>
      <c r="GO110" s="145">
        <f t="shared" si="23"/>
        <v>927938.79444860085</v>
      </c>
      <c r="GP110" s="87"/>
      <c r="GQ110" s="89"/>
      <c r="GR110" s="145" cm="1">
        <f t="array" ref="GR110">SUMPRODUCT(--($CR$7:$FW$7&gt;=GR$5),--($CR$7:$FW$7&lt;=GR$6),$CR110:$FW110)</f>
        <v>29773.170000000002</v>
      </c>
      <c r="GS110" s="89"/>
      <c r="GT110" s="214" cm="1">
        <f t="array" ref="GT110">--AND(MIN(IF($K110:$CP110&lt;&gt;0,$K$7:$CP$7))&gt;=GT$5,MIN(IF($K110:$CP110&lt;&gt;0,$K$7:$CP$7))&lt;=GT$6)</f>
        <v>1</v>
      </c>
      <c r="GU110" s="214" cm="1">
        <f t="array" ref="GU110">--AND(MIN(IF($K110:$CP110&lt;&gt;0,$K$7:$CP$7))&gt;=GU$5,MIN(IF($K110:$CP110&lt;&gt;0,$K$7:$CP$7))&lt;=GU$6)</f>
        <v>0</v>
      </c>
      <c r="GV110" s="214" cm="1">
        <f t="array" ref="GV110">--AND(MIN(IF($K110:$CP110&lt;&gt;0,$K$7:$CP$7))&gt;=GV$5,MIN(IF($K110:$CP110&lt;&gt;0,$K$7:$CP$7))&lt;=GV$6)</f>
        <v>0</v>
      </c>
      <c r="GW110" s="214" cm="1">
        <f t="array" ref="GW110">--AND(MIN(IF($K110:$CP110&lt;&gt;0,$K$7:$CP$7))&gt;=GW$5,MIN(IF($K110:$CP110&lt;&gt;0,$K$7:$CP$7))&lt;=GW$6)</f>
        <v>0</v>
      </c>
      <c r="GX110" s="214" cm="1">
        <f t="array" ref="GX110">--AND(MIN(IF($K110:$CP110&lt;&gt;0,$K$7:$CP$7))&gt;=GX$5,MIN(IF($K110:$CP110&lt;&gt;0,$K$7:$CP$7))&lt;=GX$6)</f>
        <v>0</v>
      </c>
      <c r="GY110" s="214" cm="1">
        <f t="array" ref="GY110">--AND(MIN(IF($K110:$CP110&lt;&gt;0,$K$7:$CP$7))&gt;=GY$5,MIN(IF($K110:$CP110&lt;&gt;0,$K$7:$CP$7))&lt;=GY$6)</f>
        <v>0</v>
      </c>
      <c r="GZ110" s="214" cm="1">
        <f t="array" ref="GZ110">--AND(MIN(IF($K110:$CP110&lt;&gt;0,$K$7:$CP$7))&gt;=GZ$5,MIN(IF($K110:$CP110&lt;&gt;0,$K$7:$CP$7))&lt;=GZ$6)</f>
        <v>0</v>
      </c>
      <c r="HA110" s="214">
        <f t="shared" si="24"/>
        <v>1</v>
      </c>
      <c r="HC110" s="214" cm="1">
        <f t="array" ref="HC110">--AND(MIN(IF($K110:$CP110&lt;&gt;0,$K$7:$CP$7))&gt;=HC$5,MIN(IF($K110:$CP110&lt;&gt;0,$K$7:$CP$7))&lt;=HC$6)</f>
        <v>1</v>
      </c>
      <c r="HE110" s="147" t="str">
        <f t="shared" si="43"/>
        <v>No</v>
      </c>
      <c r="HF110" s="147" t="str">
        <f t="shared" si="44"/>
        <v>No</v>
      </c>
      <c r="HG110" s="147">
        <f>IF($HF110="Yes",0,$H110*avg_hrs*12*'Key assumptions'!$D$87)</f>
        <v>281706.01706682501</v>
      </c>
      <c r="HH110" s="147">
        <f>IF(HE110="Yes",'Key assumptions'!$D$84*HG110,0)</f>
        <v>0</v>
      </c>
      <c r="HI110" s="144">
        <f>IFERROR(AVERAGEIFS($K110:$CP110,$K$7:$CP$7,"&gt;="&amp;'Key assumptions'!$D$24,$K$7:$CP$7,"&lt;="&amp;'Key assumptions'!$D$25),0)</f>
        <v>0.99449119958988386</v>
      </c>
      <c r="HJ110" s="148">
        <f t="shared" si="45"/>
        <v>0</v>
      </c>
      <c r="HK110" s="148">
        <f t="shared" si="26"/>
        <v>0</v>
      </c>
      <c r="HL110" s="148">
        <f t="shared" si="27"/>
        <v>0</v>
      </c>
      <c r="HM110" s="148">
        <f t="shared" si="28"/>
        <v>0</v>
      </c>
      <c r="HN110" s="148">
        <f t="shared" si="29"/>
        <v>0</v>
      </c>
      <c r="HO110" s="148">
        <f t="shared" si="30"/>
        <v>0</v>
      </c>
      <c r="HP110" s="148">
        <f t="shared" si="31"/>
        <v>0</v>
      </c>
      <c r="HQ110" s="148">
        <f t="shared" si="32"/>
        <v>0</v>
      </c>
      <c r="HR110" s="147">
        <f t="shared" si="33"/>
        <v>0</v>
      </c>
      <c r="HU110" s="147">
        <f>$HJ110*HC110/(1+'Key assumptions'!G132)^0.75</f>
        <v>0</v>
      </c>
      <c r="HW110" s="216">
        <f t="shared" si="34"/>
        <v>0.99449119958988386</v>
      </c>
      <c r="HX110" s="216">
        <f t="shared" si="35"/>
        <v>0</v>
      </c>
      <c r="HY110" s="216">
        <f t="shared" si="36"/>
        <v>0</v>
      </c>
      <c r="HZ110" s="216">
        <f t="shared" si="37"/>
        <v>0</v>
      </c>
      <c r="IA110" s="216">
        <f t="shared" si="38"/>
        <v>0</v>
      </c>
      <c r="IB110" s="216">
        <f t="shared" si="39"/>
        <v>0</v>
      </c>
      <c r="IC110" s="216">
        <f t="shared" si="40"/>
        <v>0</v>
      </c>
      <c r="ID110" s="216">
        <f t="shared" si="41"/>
        <v>0.99449119958988386</v>
      </c>
      <c r="IF110" s="216">
        <f t="shared" si="42"/>
        <v>0.99449119958988386</v>
      </c>
    </row>
    <row r="111" spans="2:240" x14ac:dyDescent="0.2">
      <c r="B111" s="141" t="str">
        <v>Project Delivery Management - Commissioning</v>
      </c>
      <c r="C111" s="141" t="str">
        <v>Substations Technician (Field Delivery)</v>
      </c>
      <c r="D111" s="141" t="str">
        <v>Internal Labour</v>
      </c>
      <c r="E111" s="141" t="str">
        <v>$ Nominal</v>
      </c>
      <c r="F111" s="141">
        <v>0</v>
      </c>
      <c r="G111" s="141" t="str">
        <v>Overtime</v>
      </c>
      <c r="H111" s="142">
        <v>157.53</v>
      </c>
      <c r="I111" s="126">
        <v>1386571.7250000001</v>
      </c>
      <c r="J111" s="143">
        <v>0</v>
      </c>
      <c r="K111" s="144">
        <v>0</v>
      </c>
      <c r="L111" s="144">
        <v>0</v>
      </c>
      <c r="M111" s="144">
        <v>0</v>
      </c>
      <c r="N111" s="144">
        <v>0</v>
      </c>
      <c r="O111" s="144">
        <v>0</v>
      </c>
      <c r="P111" s="144">
        <v>0</v>
      </c>
      <c r="Q111" s="144">
        <v>0</v>
      </c>
      <c r="R111" s="144">
        <v>0</v>
      </c>
      <c r="S111" s="144">
        <v>0</v>
      </c>
      <c r="T111" s="144">
        <v>0</v>
      </c>
      <c r="U111" s="144">
        <v>0</v>
      </c>
      <c r="V111" s="144">
        <v>0</v>
      </c>
      <c r="W111" s="144">
        <v>0</v>
      </c>
      <c r="X111" s="144">
        <v>0</v>
      </c>
      <c r="Y111" s="144">
        <v>0</v>
      </c>
      <c r="Z111" s="144">
        <v>0</v>
      </c>
      <c r="AA111" s="144">
        <v>0</v>
      </c>
      <c r="AB111" s="144">
        <v>1.006578947368421</v>
      </c>
      <c r="AC111" s="144">
        <v>1.3821428571428571</v>
      </c>
      <c r="AD111" s="144">
        <v>0.99642857142857144</v>
      </c>
      <c r="AE111" s="144">
        <v>1.0928571428571427</v>
      </c>
      <c r="AF111" s="144">
        <v>1.0928571428571427</v>
      </c>
      <c r="AG111" s="144">
        <v>1.0607142857142857</v>
      </c>
      <c r="AH111" s="144">
        <v>1.2</v>
      </c>
      <c r="AI111" s="144">
        <v>2.0142857142857142</v>
      </c>
      <c r="AJ111" s="144">
        <v>1.0285714285714285</v>
      </c>
      <c r="AK111" s="144">
        <v>1.0285714285714285</v>
      </c>
      <c r="AL111" s="144">
        <v>1.5</v>
      </c>
      <c r="AM111" s="144">
        <v>1.125</v>
      </c>
      <c r="AN111" s="144">
        <v>1.0953947368421053</v>
      </c>
      <c r="AO111" s="144">
        <v>1.0928571428571427</v>
      </c>
      <c r="AP111" s="144">
        <v>1.0607142857142857</v>
      </c>
      <c r="AQ111" s="144">
        <v>1.0928571428571427</v>
      </c>
      <c r="AR111" s="144">
        <v>1.0928571428571427</v>
      </c>
      <c r="AS111" s="144">
        <v>1.3178571428571428</v>
      </c>
      <c r="AT111" s="144">
        <v>1.0285714285714285</v>
      </c>
      <c r="AU111" s="144">
        <v>1.8428571428571427</v>
      </c>
      <c r="AV111" s="144">
        <v>1.0285714285714285</v>
      </c>
      <c r="AW111" s="144">
        <v>1.125</v>
      </c>
      <c r="AX111" s="144">
        <v>1.3714285714285714</v>
      </c>
      <c r="AY111" s="144">
        <v>1.2730263157894737</v>
      </c>
      <c r="AZ111" s="144">
        <v>1.2730263157894737</v>
      </c>
      <c r="BA111" s="144">
        <v>1.0285714285714285</v>
      </c>
      <c r="BB111" s="144">
        <v>1.0928571428571427</v>
      </c>
      <c r="BC111" s="144">
        <v>0</v>
      </c>
      <c r="BD111" s="144">
        <v>0</v>
      </c>
      <c r="BE111" s="144">
        <v>0</v>
      </c>
      <c r="BF111" s="144">
        <v>0</v>
      </c>
      <c r="BG111" s="144">
        <v>0</v>
      </c>
      <c r="BH111" s="144">
        <v>0</v>
      </c>
      <c r="BI111" s="144">
        <v>0</v>
      </c>
      <c r="BJ111" s="144">
        <v>0</v>
      </c>
      <c r="BK111" s="144">
        <v>0</v>
      </c>
      <c r="BL111" s="144">
        <v>0</v>
      </c>
      <c r="BM111" s="144">
        <v>0</v>
      </c>
      <c r="BN111" s="144">
        <v>0</v>
      </c>
      <c r="BO111" s="144">
        <v>0</v>
      </c>
      <c r="BP111" s="144">
        <v>0</v>
      </c>
      <c r="BQ111" s="144">
        <v>0</v>
      </c>
      <c r="BR111" s="144">
        <v>0</v>
      </c>
      <c r="BS111" s="144">
        <v>0</v>
      </c>
      <c r="BT111" s="144">
        <v>0</v>
      </c>
      <c r="BU111" s="144">
        <v>0</v>
      </c>
      <c r="BV111" s="144">
        <v>0</v>
      </c>
      <c r="BW111" s="144">
        <v>0</v>
      </c>
      <c r="BX111" s="144">
        <v>0</v>
      </c>
      <c r="BY111" s="144">
        <v>0</v>
      </c>
      <c r="BZ111" s="144">
        <v>0</v>
      </c>
      <c r="CA111" s="144">
        <v>0</v>
      </c>
      <c r="CB111" s="144">
        <v>0</v>
      </c>
      <c r="CC111" s="144">
        <v>0</v>
      </c>
      <c r="CD111" s="144">
        <v>0</v>
      </c>
      <c r="CE111" s="144">
        <v>0</v>
      </c>
      <c r="CF111" s="144">
        <v>0</v>
      </c>
      <c r="CG111" s="144">
        <v>0</v>
      </c>
      <c r="CH111" s="144">
        <v>0</v>
      </c>
      <c r="CI111" s="144">
        <v>0</v>
      </c>
      <c r="CJ111" s="144">
        <v>0</v>
      </c>
      <c r="CK111" s="144">
        <v>0</v>
      </c>
      <c r="CL111" s="144">
        <v>0</v>
      </c>
      <c r="CM111" s="144">
        <v>0</v>
      </c>
      <c r="CN111" s="144">
        <v>0</v>
      </c>
      <c r="CO111" s="144">
        <v>0</v>
      </c>
      <c r="CP111" s="144">
        <v>0</v>
      </c>
      <c r="CQ111" s="143">
        <v>0</v>
      </c>
      <c r="CR111" s="145">
        <v>0</v>
      </c>
      <c r="CS111" s="145">
        <v>0</v>
      </c>
      <c r="CT111" s="145">
        <v>0</v>
      </c>
      <c r="CU111" s="145">
        <v>0</v>
      </c>
      <c r="CV111" s="145">
        <v>0</v>
      </c>
      <c r="CW111" s="145">
        <v>0</v>
      </c>
      <c r="CX111" s="145">
        <v>0</v>
      </c>
      <c r="CY111" s="145">
        <v>0</v>
      </c>
      <c r="CZ111" s="145">
        <v>0</v>
      </c>
      <c r="DA111" s="145">
        <v>0</v>
      </c>
      <c r="DB111" s="145">
        <v>0</v>
      </c>
      <c r="DC111" s="145">
        <v>0</v>
      </c>
      <c r="DD111" s="145">
        <v>0</v>
      </c>
      <c r="DE111" s="145">
        <v>0</v>
      </c>
      <c r="DF111" s="145">
        <v>0</v>
      </c>
      <c r="DG111" s="145">
        <v>0</v>
      </c>
      <c r="DH111" s="145">
        <v>0</v>
      </c>
      <c r="DI111" s="145">
        <v>48202.65</v>
      </c>
      <c r="DJ111" s="145">
        <v>60962.175000000003</v>
      </c>
      <c r="DK111" s="145">
        <v>43949.474999999999</v>
      </c>
      <c r="DL111" s="145">
        <v>48202.65</v>
      </c>
      <c r="DM111" s="145">
        <v>48202.65</v>
      </c>
      <c r="DN111" s="145">
        <v>46784.925000000003</v>
      </c>
      <c r="DO111" s="145">
        <v>39696.300000000003</v>
      </c>
      <c r="DP111" s="145">
        <v>66633.074999999997</v>
      </c>
      <c r="DQ111" s="145">
        <v>45367.200000000004</v>
      </c>
      <c r="DR111" s="145">
        <v>46748.159999999996</v>
      </c>
      <c r="DS111" s="145">
        <v>51130.799999999996</v>
      </c>
      <c r="DT111" s="145">
        <v>55513.439999999995</v>
      </c>
      <c r="DU111" s="145">
        <v>54052.56</v>
      </c>
      <c r="DV111" s="145">
        <v>49669.919999999998</v>
      </c>
      <c r="DW111" s="145">
        <v>48209.04</v>
      </c>
      <c r="DX111" s="145">
        <v>49669.919999999998</v>
      </c>
      <c r="DY111" s="145">
        <v>49669.919999999998</v>
      </c>
      <c r="DZ111" s="145">
        <v>59896.079999999994</v>
      </c>
      <c r="EA111" s="145">
        <v>35061.119999999995</v>
      </c>
      <c r="EB111" s="145">
        <v>62817.84</v>
      </c>
      <c r="EC111" s="145">
        <v>46748.159999999996</v>
      </c>
      <c r="ED111" s="145">
        <v>52641.225000000006</v>
      </c>
      <c r="EE111" s="145">
        <v>48129.120000000003</v>
      </c>
      <c r="EF111" s="145">
        <v>64673.505000000005</v>
      </c>
      <c r="EG111" s="145">
        <v>64673.505000000005</v>
      </c>
      <c r="EH111" s="145">
        <v>48129.120000000003</v>
      </c>
      <c r="EI111" s="145">
        <v>51137.19</v>
      </c>
      <c r="EJ111" s="145">
        <v>0</v>
      </c>
      <c r="EK111" s="145">
        <v>0</v>
      </c>
      <c r="EL111" s="145">
        <v>0</v>
      </c>
      <c r="EM111" s="145">
        <v>0</v>
      </c>
      <c r="EN111" s="145">
        <v>0</v>
      </c>
      <c r="EO111" s="145">
        <v>0</v>
      </c>
      <c r="EP111" s="145">
        <v>0</v>
      </c>
      <c r="EQ111" s="145">
        <v>0</v>
      </c>
      <c r="ER111" s="145">
        <v>0</v>
      </c>
      <c r="ES111" s="145">
        <v>0</v>
      </c>
      <c r="ET111" s="145">
        <v>0</v>
      </c>
      <c r="EU111" s="145">
        <v>0</v>
      </c>
      <c r="EV111" s="145">
        <v>0</v>
      </c>
      <c r="EW111" s="145">
        <v>0</v>
      </c>
      <c r="EX111" s="145">
        <v>0</v>
      </c>
      <c r="EY111" s="145">
        <v>0</v>
      </c>
      <c r="EZ111" s="145">
        <v>0</v>
      </c>
      <c r="FA111" s="145">
        <v>0</v>
      </c>
      <c r="FB111" s="145">
        <v>0</v>
      </c>
      <c r="FC111" s="145">
        <v>0</v>
      </c>
      <c r="FD111" s="145">
        <v>0</v>
      </c>
      <c r="FE111" s="145">
        <v>0</v>
      </c>
      <c r="FF111" s="145">
        <v>0</v>
      </c>
      <c r="FG111" s="145">
        <v>0</v>
      </c>
      <c r="FH111" s="145">
        <v>0</v>
      </c>
      <c r="FI111" s="145">
        <v>0</v>
      </c>
      <c r="FJ111" s="145">
        <v>0</v>
      </c>
      <c r="FK111" s="145">
        <v>0</v>
      </c>
      <c r="FL111" s="145">
        <v>0</v>
      </c>
      <c r="FM111" s="145">
        <v>0</v>
      </c>
      <c r="FN111" s="145">
        <v>0</v>
      </c>
      <c r="FO111" s="145">
        <v>0</v>
      </c>
      <c r="FP111" s="145">
        <v>0</v>
      </c>
      <c r="FQ111" s="145">
        <v>0</v>
      </c>
      <c r="FR111" s="145">
        <v>0</v>
      </c>
      <c r="FS111" s="145">
        <v>0</v>
      </c>
      <c r="FT111" s="145">
        <v>0</v>
      </c>
      <c r="FU111" s="145">
        <v>0</v>
      </c>
      <c r="FV111" s="145">
        <v>0</v>
      </c>
      <c r="FW111" s="145">
        <v>0</v>
      </c>
      <c r="FX111" s="143"/>
      <c r="FY111" s="146" t="str">
        <f>_xlfn.XLOOKUP($E111,'Key assumptions'!$B$112:$B$120,'Key assumptions'!$C$112:$C$120,0)</f>
        <v>Nominal</v>
      </c>
      <c r="FZ111" s="146" cm="1">
        <f t="array" ref="FZ111">IF($FY111=0,0,_xlfn.IFS($FY111='Key assumptions'!$C$120,_xlfn.XLOOKUP(LEFT(FZ$7,6),Inflation_Year,Inflation_NominaltoReal),TRUE,_xlfn.XLOOKUP($FY111,Inflation_Year,NominaltoReal)))</f>
        <v>1.0197075870962191</v>
      </c>
      <c r="GA111" s="146" cm="1">
        <f t="array" ref="GA111">IF($FY111=0,0,_xlfn.IFS($FY111='Key assumptions'!$C$120,_xlfn.XLOOKUP(LEFT(GA$7,6),Inflation_Year,Inflation_NominaltoReal),TRUE,_xlfn.XLOOKUP($FY111,Inflation_Year,NominaltoReal)))</f>
        <v>0.98700804022984445</v>
      </c>
      <c r="GB111" s="146" cm="1">
        <f t="array" ref="GB111">IF($FY111=0,0,_xlfn.IFS($FY111='Key assumptions'!$C$120,_xlfn.XLOOKUP(LEFT(GB$7,6),Inflation_Year,Inflation_NominaltoReal),TRUE,_xlfn.XLOOKUP($FY111,Inflation_Year,NominaltoReal)))</f>
        <v>0.96152830081941731</v>
      </c>
      <c r="GC111" s="146" cm="1">
        <f t="array" ref="GC111">IF($FY111=0,0,_xlfn.IFS($FY111='Key assumptions'!$C$120,_xlfn.XLOOKUP(LEFT(GC$7,6),Inflation_Year,Inflation_NominaltoReal),TRUE,_xlfn.XLOOKUP($FY111,Inflation_Year,NominaltoReal)))</f>
        <v>0.93670632415656829</v>
      </c>
      <c r="GD111" s="146" cm="1">
        <f t="array" ref="GD111">IF($FY111=0,0,_xlfn.IFS($FY111='Key assumptions'!$C$120,_xlfn.XLOOKUP(LEFT(GD$7,6),Inflation_Year,Inflation_NominaltoReal),TRUE,_xlfn.XLOOKUP($FY111,Inflation_Year,NominaltoReal)))</f>
        <v>0.91252513001143176</v>
      </c>
      <c r="GE111" s="146" cm="1">
        <f t="array" ref="GE111">IF($FY111=0,0,_xlfn.IFS($FY111='Key assumptions'!$C$120,_xlfn.XLOOKUP(LEFT(GE$7,6),Inflation_Year,Inflation_NominaltoReal),TRUE,_xlfn.XLOOKUP($FY111,Inflation_Year,NominaltoReal)))</f>
        <v>0.88896817650095872</v>
      </c>
      <c r="GF111" s="146" cm="1">
        <f t="array" ref="GF111">IF($FY111=0,0,_xlfn.IFS($FY111='Key assumptions'!$C$120,_xlfn.XLOOKUP(LEFT(GF$7,6),Inflation_Year,Inflation_NominaltoReal),TRUE,_xlfn.XLOOKUP($FY111,Inflation_Year,NominaltoReal)))</f>
        <v>0.86601934877293718</v>
      </c>
      <c r="GG111" s="143"/>
      <c r="GH111" s="145" cm="1">
        <f t="array" ref="GH111">SUMPRODUCT(--($CR$7:$FW$7&gt;=GH$5),--($CR$7:$FW$7&lt;=GH$6),$CR111:$FW111)*FZ111</f>
        <v>205284.42132607021</v>
      </c>
      <c r="GI111" s="145" cm="1">
        <f t="array" ref="GI111">SUMPRODUCT(--($CR$7:$FW$7&gt;=GI$5),--($CR$7:$FW$7&lt;=GI$6),$CR111:$FW111)*GA111</f>
        <v>593861.01375933189</v>
      </c>
      <c r="GJ111" s="145" cm="1">
        <f t="array" ref="GJ111">SUMPRODUCT(--($CR$7:$FW$7&gt;=GJ$5),--($CR$7:$FW$7&lt;=GJ$6),$CR111:$FW111)*GB111</f>
        <v>561125.59447870834</v>
      </c>
      <c r="GK111" s="145" cm="1">
        <f t="array" ref="GK111">SUMPRODUCT(--($CR$7:$FW$7&gt;=GK$5),--($CR$7:$FW$7&lt;=GK$6),$CR111:$FW111)*GC111</f>
        <v>0</v>
      </c>
      <c r="GL111" s="145" cm="1">
        <f t="array" ref="GL111">SUMPRODUCT(--($CR$7:$FW$7&gt;=GL$5),--($CR$7:$FW$7&lt;=GL$6),$CR111:$FW111)*GD111</f>
        <v>0</v>
      </c>
      <c r="GM111" s="145" cm="1">
        <f t="array" ref="GM111">SUMPRODUCT(--($CR$7:$FW$7&gt;=GM$5),--($CR$7:$FW$7&lt;=GM$6),$CR111:$FW111)*GE111</f>
        <v>0</v>
      </c>
      <c r="GN111" s="145" cm="1">
        <f t="array" ref="GN111">SUMPRODUCT(--($CR$7:$FW$7&gt;=GN$5),--($CR$7:$FW$7&lt;=GN$6),$CR111:$FW111)*GF111</f>
        <v>0</v>
      </c>
      <c r="GO111" s="145">
        <f t="shared" si="23"/>
        <v>1360271.0295641106</v>
      </c>
      <c r="GP111" s="87"/>
      <c r="GQ111" s="89"/>
      <c r="GR111" s="145" cm="1">
        <f t="array" ref="GR111">SUMPRODUCT(--($CR$7:$FW$7&gt;=GR$5),--($CR$7:$FW$7&lt;=GR$6),$CR111:$FW111)</f>
        <v>48202.65</v>
      </c>
      <c r="GS111" s="89"/>
      <c r="GT111" s="214" cm="1">
        <f t="array" ref="GT111">--AND(MIN(IF($K111:$CP111&lt;&gt;0,$K$7:$CP$7))&gt;=GT$5,MIN(IF($K111:$CP111&lt;&gt;0,$K$7:$CP$7))&lt;=GT$6)</f>
        <v>1</v>
      </c>
      <c r="GU111" s="214" cm="1">
        <f t="array" ref="GU111">--AND(MIN(IF($K111:$CP111&lt;&gt;0,$K$7:$CP$7))&gt;=GU$5,MIN(IF($K111:$CP111&lt;&gt;0,$K$7:$CP$7))&lt;=GU$6)</f>
        <v>0</v>
      </c>
      <c r="GV111" s="214" cm="1">
        <f t="array" ref="GV111">--AND(MIN(IF($K111:$CP111&lt;&gt;0,$K$7:$CP$7))&gt;=GV$5,MIN(IF($K111:$CP111&lt;&gt;0,$K$7:$CP$7))&lt;=GV$6)</f>
        <v>0</v>
      </c>
      <c r="GW111" s="214" cm="1">
        <f t="array" ref="GW111">--AND(MIN(IF($K111:$CP111&lt;&gt;0,$K$7:$CP$7))&gt;=GW$5,MIN(IF($K111:$CP111&lt;&gt;0,$K$7:$CP$7))&lt;=GW$6)</f>
        <v>0</v>
      </c>
      <c r="GX111" s="214" cm="1">
        <f t="array" ref="GX111">--AND(MIN(IF($K111:$CP111&lt;&gt;0,$K$7:$CP$7))&gt;=GX$5,MIN(IF($K111:$CP111&lt;&gt;0,$K$7:$CP$7))&lt;=GX$6)</f>
        <v>0</v>
      </c>
      <c r="GY111" s="214" cm="1">
        <f t="array" ref="GY111">--AND(MIN(IF($K111:$CP111&lt;&gt;0,$K$7:$CP$7))&gt;=GY$5,MIN(IF($K111:$CP111&lt;&gt;0,$K$7:$CP$7))&lt;=GY$6)</f>
        <v>0</v>
      </c>
      <c r="GZ111" s="214" cm="1">
        <f t="array" ref="GZ111">--AND(MIN(IF($K111:$CP111&lt;&gt;0,$K$7:$CP$7))&gt;=GZ$5,MIN(IF($K111:$CP111&lt;&gt;0,$K$7:$CP$7))&lt;=GZ$6)</f>
        <v>0</v>
      </c>
      <c r="HA111" s="214">
        <f t="shared" si="24"/>
        <v>1</v>
      </c>
      <c r="HC111" s="214" cm="1">
        <f t="array" ref="HC111">--AND(MIN(IF($K111:$CP111&lt;&gt;0,$K$7:$CP$7))&gt;=HC$5,MIN(IF($K111:$CP111&lt;&gt;0,$K$7:$CP$7))&lt;=HC$6)</f>
        <v>1</v>
      </c>
      <c r="HE111" s="147" t="str">
        <f t="shared" si="43"/>
        <v>No</v>
      </c>
      <c r="HF111" s="147" t="str">
        <f t="shared" si="44"/>
        <v>Yes</v>
      </c>
      <c r="HG111" s="147">
        <f>IF($HF111="Yes",0,$H111*avg_hrs*12*'Key assumptions'!$D$87)</f>
        <v>0</v>
      </c>
      <c r="HH111" s="147">
        <f>IF(HE111="Yes",'Key assumptions'!$D$84*HG111,0)</f>
        <v>0</v>
      </c>
      <c r="HI111" s="144">
        <f>IFERROR(AVERAGEIFS($K111:$CP111,$K$7:$CP$7,"&gt;="&amp;'Key assumptions'!$D$24,$K$7:$CP$7,"&lt;="&amp;'Key assumptions'!$D$25),0)</f>
        <v>0.73510124743677363</v>
      </c>
      <c r="HJ111" s="148">
        <f t="shared" si="45"/>
        <v>0</v>
      </c>
      <c r="HK111" s="148">
        <f t="shared" si="26"/>
        <v>0</v>
      </c>
      <c r="HL111" s="148">
        <f t="shared" si="27"/>
        <v>0</v>
      </c>
      <c r="HM111" s="148">
        <f t="shared" si="28"/>
        <v>0</v>
      </c>
      <c r="HN111" s="148">
        <f t="shared" si="29"/>
        <v>0</v>
      </c>
      <c r="HO111" s="148">
        <f t="shared" si="30"/>
        <v>0</v>
      </c>
      <c r="HP111" s="148">
        <f t="shared" si="31"/>
        <v>0</v>
      </c>
      <c r="HQ111" s="148">
        <f t="shared" si="32"/>
        <v>0</v>
      </c>
      <c r="HR111" s="147">
        <f t="shared" si="33"/>
        <v>0</v>
      </c>
      <c r="HU111" s="147">
        <f>$HJ111*HC111/(1+'Key assumptions'!G133)^0.75</f>
        <v>0</v>
      </c>
      <c r="HW111" s="216">
        <f t="shared" si="34"/>
        <v>0.73510124743677363</v>
      </c>
      <c r="HX111" s="216">
        <f t="shared" si="35"/>
        <v>0</v>
      </c>
      <c r="HY111" s="216">
        <f t="shared" si="36"/>
        <v>0</v>
      </c>
      <c r="HZ111" s="216">
        <f t="shared" si="37"/>
        <v>0</v>
      </c>
      <c r="IA111" s="216">
        <f t="shared" si="38"/>
        <v>0</v>
      </c>
      <c r="IB111" s="216">
        <f t="shared" si="39"/>
        <v>0</v>
      </c>
      <c r="IC111" s="216">
        <f t="shared" si="40"/>
        <v>0</v>
      </c>
      <c r="ID111" s="216">
        <f t="shared" si="41"/>
        <v>0.73510124743677363</v>
      </c>
      <c r="IF111" s="216">
        <f t="shared" si="42"/>
        <v>0.73510124743677363</v>
      </c>
    </row>
    <row r="112" spans="2:240" x14ac:dyDescent="0.2">
      <c r="B112" s="141" t="str">
        <v>Project Delivery Management - Commissioning</v>
      </c>
      <c r="C112" s="141" t="str">
        <v>Network Operations Officer (Control Centre)</v>
      </c>
      <c r="D112" s="141" t="str">
        <v>Internal Labour</v>
      </c>
      <c r="E112" s="141" t="str">
        <v>$ Nominal</v>
      </c>
      <c r="F112" s="141" t="str">
        <v>Existing</v>
      </c>
      <c r="G112" s="141" t="str">
        <v>Normal time</v>
      </c>
      <c r="H112" s="142">
        <v>240.85</v>
      </c>
      <c r="I112" s="126">
        <v>53697</v>
      </c>
      <c r="J112" s="143">
        <v>0</v>
      </c>
      <c r="K112" s="144">
        <v>0</v>
      </c>
      <c r="L112" s="144">
        <v>0</v>
      </c>
      <c r="M112" s="144">
        <v>0</v>
      </c>
      <c r="N112" s="144">
        <v>0</v>
      </c>
      <c r="O112" s="144">
        <v>0</v>
      </c>
      <c r="P112" s="144">
        <v>0</v>
      </c>
      <c r="Q112" s="144">
        <v>0</v>
      </c>
      <c r="R112" s="144">
        <v>0</v>
      </c>
      <c r="S112" s="144">
        <v>0</v>
      </c>
      <c r="T112" s="144">
        <v>0</v>
      </c>
      <c r="U112" s="144">
        <v>0</v>
      </c>
      <c r="V112" s="144">
        <v>0</v>
      </c>
      <c r="W112" s="144">
        <v>0</v>
      </c>
      <c r="X112" s="144">
        <v>0</v>
      </c>
      <c r="Y112" s="144">
        <v>0</v>
      </c>
      <c r="Z112" s="144">
        <v>0</v>
      </c>
      <c r="AA112" s="144">
        <v>0</v>
      </c>
      <c r="AB112" s="144">
        <v>0</v>
      </c>
      <c r="AC112" s="144">
        <v>0</v>
      </c>
      <c r="AD112" s="144">
        <v>0</v>
      </c>
      <c r="AE112" s="144">
        <v>0</v>
      </c>
      <c r="AF112" s="144">
        <v>0</v>
      </c>
      <c r="AG112" s="144">
        <v>0</v>
      </c>
      <c r="AH112" s="144">
        <v>0</v>
      </c>
      <c r="AI112" s="144">
        <v>0</v>
      </c>
      <c r="AJ112" s="144">
        <v>0</v>
      </c>
      <c r="AK112" s="144">
        <v>0</v>
      </c>
      <c r="AL112" s="144">
        <v>0</v>
      </c>
      <c r="AM112" s="144">
        <v>0</v>
      </c>
      <c r="AN112" s="144">
        <v>0</v>
      </c>
      <c r="AO112" s="144">
        <v>0</v>
      </c>
      <c r="AP112" s="144">
        <v>0</v>
      </c>
      <c r="AQ112" s="144">
        <v>0</v>
      </c>
      <c r="AR112" s="144">
        <v>0</v>
      </c>
      <c r="AS112" s="144">
        <v>0</v>
      </c>
      <c r="AT112" s="144">
        <v>0</v>
      </c>
      <c r="AU112" s="144">
        <v>0</v>
      </c>
      <c r="AV112" s="144">
        <v>0</v>
      </c>
      <c r="AW112" s="144">
        <v>0</v>
      </c>
      <c r="AX112" s="144">
        <v>0.66666666666666663</v>
      </c>
      <c r="AY112" s="144">
        <v>0.46052631578947367</v>
      </c>
      <c r="AZ112" s="144">
        <v>0.46052631578947367</v>
      </c>
      <c r="BA112" s="144">
        <v>0</v>
      </c>
      <c r="BB112" s="144">
        <v>0</v>
      </c>
      <c r="BC112" s="144">
        <v>0</v>
      </c>
      <c r="BD112" s="144">
        <v>0</v>
      </c>
      <c r="BE112" s="144">
        <v>0</v>
      </c>
      <c r="BF112" s="144">
        <v>0</v>
      </c>
      <c r="BG112" s="144">
        <v>0</v>
      </c>
      <c r="BH112" s="144">
        <v>0</v>
      </c>
      <c r="BI112" s="144">
        <v>0</v>
      </c>
      <c r="BJ112" s="144">
        <v>0</v>
      </c>
      <c r="BK112" s="144">
        <v>0</v>
      </c>
      <c r="BL112" s="144">
        <v>0</v>
      </c>
      <c r="BM112" s="144">
        <v>0</v>
      </c>
      <c r="BN112" s="144">
        <v>0</v>
      </c>
      <c r="BO112" s="144">
        <v>0</v>
      </c>
      <c r="BP112" s="144">
        <v>0</v>
      </c>
      <c r="BQ112" s="144">
        <v>0</v>
      </c>
      <c r="BR112" s="144">
        <v>0</v>
      </c>
      <c r="BS112" s="144">
        <v>0</v>
      </c>
      <c r="BT112" s="144">
        <v>0</v>
      </c>
      <c r="BU112" s="144">
        <v>0</v>
      </c>
      <c r="BV112" s="144">
        <v>0</v>
      </c>
      <c r="BW112" s="144">
        <v>0</v>
      </c>
      <c r="BX112" s="144">
        <v>0</v>
      </c>
      <c r="BY112" s="144">
        <v>0</v>
      </c>
      <c r="BZ112" s="144">
        <v>0</v>
      </c>
      <c r="CA112" s="144">
        <v>0</v>
      </c>
      <c r="CB112" s="144">
        <v>0</v>
      </c>
      <c r="CC112" s="144">
        <v>0</v>
      </c>
      <c r="CD112" s="144">
        <v>0</v>
      </c>
      <c r="CE112" s="144">
        <v>0</v>
      </c>
      <c r="CF112" s="144">
        <v>0</v>
      </c>
      <c r="CG112" s="144">
        <v>0</v>
      </c>
      <c r="CH112" s="144">
        <v>0</v>
      </c>
      <c r="CI112" s="144">
        <v>0</v>
      </c>
      <c r="CJ112" s="144">
        <v>0</v>
      </c>
      <c r="CK112" s="144">
        <v>0</v>
      </c>
      <c r="CL112" s="144">
        <v>0</v>
      </c>
      <c r="CM112" s="144">
        <v>0</v>
      </c>
      <c r="CN112" s="144">
        <v>0</v>
      </c>
      <c r="CO112" s="144">
        <v>0</v>
      </c>
      <c r="CP112" s="144">
        <v>0</v>
      </c>
      <c r="CQ112" s="143">
        <v>0</v>
      </c>
      <c r="CR112" s="145">
        <v>0</v>
      </c>
      <c r="CS112" s="145">
        <v>0</v>
      </c>
      <c r="CT112" s="145">
        <v>0</v>
      </c>
      <c r="CU112" s="145">
        <v>0</v>
      </c>
      <c r="CV112" s="145">
        <v>0</v>
      </c>
      <c r="CW112" s="145">
        <v>0</v>
      </c>
      <c r="CX112" s="145">
        <v>0</v>
      </c>
      <c r="CY112" s="145">
        <v>0</v>
      </c>
      <c r="CZ112" s="145">
        <v>0</v>
      </c>
      <c r="DA112" s="145">
        <v>0</v>
      </c>
      <c r="DB112" s="145">
        <v>0</v>
      </c>
      <c r="DC112" s="145">
        <v>0</v>
      </c>
      <c r="DD112" s="145">
        <v>0</v>
      </c>
      <c r="DE112" s="145">
        <v>0</v>
      </c>
      <c r="DF112" s="145">
        <v>0</v>
      </c>
      <c r="DG112" s="145">
        <v>0</v>
      </c>
      <c r="DH112" s="145">
        <v>0</v>
      </c>
      <c r="DI112" s="145">
        <v>0</v>
      </c>
      <c r="DJ112" s="145">
        <v>0</v>
      </c>
      <c r="DK112" s="145">
        <v>0</v>
      </c>
      <c r="DL112" s="145">
        <v>0</v>
      </c>
      <c r="DM112" s="145">
        <v>0</v>
      </c>
      <c r="DN112" s="145">
        <v>0</v>
      </c>
      <c r="DO112" s="145">
        <v>0</v>
      </c>
      <c r="DP112" s="145">
        <v>0</v>
      </c>
      <c r="DQ112" s="145">
        <v>0</v>
      </c>
      <c r="DR112" s="145">
        <v>0</v>
      </c>
      <c r="DS112" s="145">
        <v>0</v>
      </c>
      <c r="DT112" s="145">
        <v>0</v>
      </c>
      <c r="DU112" s="145">
        <v>0</v>
      </c>
      <c r="DV112" s="145">
        <v>0</v>
      </c>
      <c r="DW112" s="145">
        <v>0</v>
      </c>
      <c r="DX112" s="145">
        <v>0</v>
      </c>
      <c r="DY112" s="145">
        <v>0</v>
      </c>
      <c r="DZ112" s="145">
        <v>0</v>
      </c>
      <c r="EA112" s="145">
        <v>0</v>
      </c>
      <c r="EB112" s="145">
        <v>0</v>
      </c>
      <c r="EC112" s="145">
        <v>0</v>
      </c>
      <c r="ED112" s="145">
        <v>0</v>
      </c>
      <c r="EE112" s="145">
        <v>17899</v>
      </c>
      <c r="EF112" s="145">
        <v>17899</v>
      </c>
      <c r="EG112" s="145">
        <v>17899</v>
      </c>
      <c r="EH112" s="145">
        <v>0</v>
      </c>
      <c r="EI112" s="145">
        <v>0</v>
      </c>
      <c r="EJ112" s="145">
        <v>0</v>
      </c>
      <c r="EK112" s="145">
        <v>0</v>
      </c>
      <c r="EL112" s="145">
        <v>0</v>
      </c>
      <c r="EM112" s="145">
        <v>0</v>
      </c>
      <c r="EN112" s="145">
        <v>0</v>
      </c>
      <c r="EO112" s="145">
        <v>0</v>
      </c>
      <c r="EP112" s="145">
        <v>0</v>
      </c>
      <c r="EQ112" s="145">
        <v>0</v>
      </c>
      <c r="ER112" s="145">
        <v>0</v>
      </c>
      <c r="ES112" s="145">
        <v>0</v>
      </c>
      <c r="ET112" s="145">
        <v>0</v>
      </c>
      <c r="EU112" s="145">
        <v>0</v>
      </c>
      <c r="EV112" s="145">
        <v>0</v>
      </c>
      <c r="EW112" s="145">
        <v>0</v>
      </c>
      <c r="EX112" s="145">
        <v>0</v>
      </c>
      <c r="EY112" s="145">
        <v>0</v>
      </c>
      <c r="EZ112" s="145">
        <v>0</v>
      </c>
      <c r="FA112" s="145">
        <v>0</v>
      </c>
      <c r="FB112" s="145">
        <v>0</v>
      </c>
      <c r="FC112" s="145">
        <v>0</v>
      </c>
      <c r="FD112" s="145">
        <v>0</v>
      </c>
      <c r="FE112" s="145">
        <v>0</v>
      </c>
      <c r="FF112" s="145">
        <v>0</v>
      </c>
      <c r="FG112" s="145">
        <v>0</v>
      </c>
      <c r="FH112" s="145">
        <v>0</v>
      </c>
      <c r="FI112" s="145">
        <v>0</v>
      </c>
      <c r="FJ112" s="145">
        <v>0</v>
      </c>
      <c r="FK112" s="145">
        <v>0</v>
      </c>
      <c r="FL112" s="145">
        <v>0</v>
      </c>
      <c r="FM112" s="145">
        <v>0</v>
      </c>
      <c r="FN112" s="145">
        <v>0</v>
      </c>
      <c r="FO112" s="145">
        <v>0</v>
      </c>
      <c r="FP112" s="145">
        <v>0</v>
      </c>
      <c r="FQ112" s="145">
        <v>0</v>
      </c>
      <c r="FR112" s="145">
        <v>0</v>
      </c>
      <c r="FS112" s="145">
        <v>0</v>
      </c>
      <c r="FT112" s="145">
        <v>0</v>
      </c>
      <c r="FU112" s="145">
        <v>0</v>
      </c>
      <c r="FV112" s="145">
        <v>0</v>
      </c>
      <c r="FW112" s="145">
        <v>0</v>
      </c>
      <c r="FX112" s="143"/>
      <c r="FY112" s="146" t="str">
        <f>_xlfn.XLOOKUP($E112,'Key assumptions'!$B$112:$B$120,'Key assumptions'!$C$112:$C$120,0)</f>
        <v>Nominal</v>
      </c>
      <c r="FZ112" s="146" cm="1">
        <f t="array" ref="FZ112">IF($FY112=0,0,_xlfn.IFS($FY112='Key assumptions'!$C$120,_xlfn.XLOOKUP(LEFT(FZ$7,6),Inflation_Year,Inflation_NominaltoReal),TRUE,_xlfn.XLOOKUP($FY112,Inflation_Year,NominaltoReal)))</f>
        <v>1.0197075870962191</v>
      </c>
      <c r="GA112" s="146" cm="1">
        <f t="array" ref="GA112">IF($FY112=0,0,_xlfn.IFS($FY112='Key assumptions'!$C$120,_xlfn.XLOOKUP(LEFT(GA$7,6),Inflation_Year,Inflation_NominaltoReal),TRUE,_xlfn.XLOOKUP($FY112,Inflation_Year,NominaltoReal)))</f>
        <v>0.98700804022984445</v>
      </c>
      <c r="GB112" s="146" cm="1">
        <f t="array" ref="GB112">IF($FY112=0,0,_xlfn.IFS($FY112='Key assumptions'!$C$120,_xlfn.XLOOKUP(LEFT(GB$7,6),Inflation_Year,Inflation_NominaltoReal),TRUE,_xlfn.XLOOKUP($FY112,Inflation_Year,NominaltoReal)))</f>
        <v>0.96152830081941731</v>
      </c>
      <c r="GC112" s="146" cm="1">
        <f t="array" ref="GC112">IF($FY112=0,0,_xlfn.IFS($FY112='Key assumptions'!$C$120,_xlfn.XLOOKUP(LEFT(GC$7,6),Inflation_Year,Inflation_NominaltoReal),TRUE,_xlfn.XLOOKUP($FY112,Inflation_Year,NominaltoReal)))</f>
        <v>0.93670632415656829</v>
      </c>
      <c r="GD112" s="146" cm="1">
        <f t="array" ref="GD112">IF($FY112=0,0,_xlfn.IFS($FY112='Key assumptions'!$C$120,_xlfn.XLOOKUP(LEFT(GD$7,6),Inflation_Year,Inflation_NominaltoReal),TRUE,_xlfn.XLOOKUP($FY112,Inflation_Year,NominaltoReal)))</f>
        <v>0.91252513001143176</v>
      </c>
      <c r="GE112" s="146" cm="1">
        <f t="array" ref="GE112">IF($FY112=0,0,_xlfn.IFS($FY112='Key assumptions'!$C$120,_xlfn.XLOOKUP(LEFT(GE$7,6),Inflation_Year,Inflation_NominaltoReal),TRUE,_xlfn.XLOOKUP($FY112,Inflation_Year,NominaltoReal)))</f>
        <v>0.88896817650095872</v>
      </c>
      <c r="GF112" s="146" cm="1">
        <f t="array" ref="GF112">IF($FY112=0,0,_xlfn.IFS($FY112='Key assumptions'!$C$120,_xlfn.XLOOKUP(LEFT(GF$7,6),Inflation_Year,Inflation_NominaltoReal),TRUE,_xlfn.XLOOKUP($FY112,Inflation_Year,NominaltoReal)))</f>
        <v>0.86601934877293718</v>
      </c>
      <c r="GG112" s="143"/>
      <c r="GH112" s="145" cm="1">
        <f t="array" ref="GH112">SUMPRODUCT(--($CR$7:$FW$7&gt;=GH$5),--($CR$7:$FW$7&lt;=GH$6),$CR112:$FW112)*FZ112</f>
        <v>0</v>
      </c>
      <c r="GI112" s="145" cm="1">
        <f t="array" ref="GI112">SUMPRODUCT(--($CR$7:$FW$7&gt;=GI$5),--($CR$7:$FW$7&lt;=GI$6),$CR112:$FW112)*GA112</f>
        <v>0</v>
      </c>
      <c r="GJ112" s="145" cm="1">
        <f t="array" ref="GJ112">SUMPRODUCT(--($CR$7:$FW$7&gt;=GJ$5),--($CR$7:$FW$7&lt;=GJ$6),$CR112:$FW112)*GB112</f>
        <v>51631.185169100252</v>
      </c>
      <c r="GK112" s="145" cm="1">
        <f t="array" ref="GK112">SUMPRODUCT(--($CR$7:$FW$7&gt;=GK$5),--($CR$7:$FW$7&lt;=GK$6),$CR112:$FW112)*GC112</f>
        <v>0</v>
      </c>
      <c r="GL112" s="145" cm="1">
        <f t="array" ref="GL112">SUMPRODUCT(--($CR$7:$FW$7&gt;=GL$5),--($CR$7:$FW$7&lt;=GL$6),$CR112:$FW112)*GD112</f>
        <v>0</v>
      </c>
      <c r="GM112" s="145" cm="1">
        <f t="array" ref="GM112">SUMPRODUCT(--($CR$7:$FW$7&gt;=GM$5),--($CR$7:$FW$7&lt;=GM$6),$CR112:$FW112)*GE112</f>
        <v>0</v>
      </c>
      <c r="GN112" s="145" cm="1">
        <f t="array" ref="GN112">SUMPRODUCT(--($CR$7:$FW$7&gt;=GN$5),--($CR$7:$FW$7&lt;=GN$6),$CR112:$FW112)*GF112</f>
        <v>0</v>
      </c>
      <c r="GO112" s="145">
        <f t="shared" si="23"/>
        <v>51631.185169100252</v>
      </c>
      <c r="GP112" s="87"/>
      <c r="GQ112" s="89"/>
      <c r="GR112" s="145" cm="1">
        <f t="array" ref="GR112">SUMPRODUCT(--($CR$7:$FW$7&gt;=GR$5),--($CR$7:$FW$7&lt;=GR$6),$CR112:$FW112)</f>
        <v>0</v>
      </c>
      <c r="GS112" s="89"/>
      <c r="GT112" s="214" cm="1">
        <f t="array" ref="GT112">--AND(MIN(IF($K112:$CP112&lt;&gt;0,$K$7:$CP$7))&gt;=GT$5,MIN(IF($K112:$CP112&lt;&gt;0,$K$7:$CP$7))&lt;=GT$6)</f>
        <v>0</v>
      </c>
      <c r="GU112" s="214" cm="1">
        <f t="array" ref="GU112">--AND(MIN(IF($K112:$CP112&lt;&gt;0,$K$7:$CP$7))&gt;=GU$5,MIN(IF($K112:$CP112&lt;&gt;0,$K$7:$CP$7))&lt;=GU$6)</f>
        <v>0</v>
      </c>
      <c r="GV112" s="214" cm="1">
        <f t="array" ref="GV112">--AND(MIN(IF($K112:$CP112&lt;&gt;0,$K$7:$CP$7))&gt;=GV$5,MIN(IF($K112:$CP112&lt;&gt;0,$K$7:$CP$7))&lt;=GV$6)</f>
        <v>1</v>
      </c>
      <c r="GW112" s="214" cm="1">
        <f t="array" ref="GW112">--AND(MIN(IF($K112:$CP112&lt;&gt;0,$K$7:$CP$7))&gt;=GW$5,MIN(IF($K112:$CP112&lt;&gt;0,$K$7:$CP$7))&lt;=GW$6)</f>
        <v>0</v>
      </c>
      <c r="GX112" s="214" cm="1">
        <f t="array" ref="GX112">--AND(MIN(IF($K112:$CP112&lt;&gt;0,$K$7:$CP$7))&gt;=GX$5,MIN(IF($K112:$CP112&lt;&gt;0,$K$7:$CP$7))&lt;=GX$6)</f>
        <v>0</v>
      </c>
      <c r="GY112" s="214" cm="1">
        <f t="array" ref="GY112">--AND(MIN(IF($K112:$CP112&lt;&gt;0,$K$7:$CP$7))&gt;=GY$5,MIN(IF($K112:$CP112&lt;&gt;0,$K$7:$CP$7))&lt;=GY$6)</f>
        <v>0</v>
      </c>
      <c r="GZ112" s="214" cm="1">
        <f t="array" ref="GZ112">--AND(MIN(IF($K112:$CP112&lt;&gt;0,$K$7:$CP$7))&gt;=GZ$5,MIN(IF($K112:$CP112&lt;&gt;0,$K$7:$CP$7))&lt;=GZ$6)</f>
        <v>0</v>
      </c>
      <c r="HA112" s="214">
        <f t="shared" si="24"/>
        <v>1</v>
      </c>
      <c r="HC112" s="214" cm="1">
        <f t="array" ref="HC112">--AND(MIN(IF($K112:$CP112&lt;&gt;0,$K$7:$CP$7))&gt;=HC$5,MIN(IF($K112:$CP112&lt;&gt;0,$K$7:$CP$7))&lt;=HC$6)</f>
        <v>0</v>
      </c>
      <c r="HE112" s="147" t="str">
        <f t="shared" si="43"/>
        <v>No</v>
      </c>
      <c r="HF112" s="147" t="str">
        <f t="shared" si="44"/>
        <v>No</v>
      </c>
      <c r="HG112" s="147">
        <f>IF($HF112="Yes",0,$H112*avg_hrs*12*'Key assumptions'!$D$87)</f>
        <v>430704.59093851841</v>
      </c>
      <c r="HH112" s="147">
        <f>IF(HE112="Yes",'Key assumptions'!$D$84*HG112,0)</f>
        <v>0</v>
      </c>
      <c r="HI112" s="144">
        <f>IFERROR(AVERAGEIFS($K112:$CP112,$K$7:$CP$7,"&gt;="&amp;'Key assumptions'!$D$24,$K$7:$CP$7,"&lt;="&amp;'Key assumptions'!$D$25),0)</f>
        <v>3.6084529505582136E-2</v>
      </c>
      <c r="HJ112" s="148">
        <f t="shared" si="45"/>
        <v>0</v>
      </c>
      <c r="HK112" s="148">
        <f t="shared" si="26"/>
        <v>0</v>
      </c>
      <c r="HL112" s="148">
        <f t="shared" si="27"/>
        <v>0</v>
      </c>
      <c r="HM112" s="148">
        <f t="shared" si="28"/>
        <v>0</v>
      </c>
      <c r="HN112" s="148">
        <f t="shared" si="29"/>
        <v>0</v>
      </c>
      <c r="HO112" s="148">
        <f t="shared" si="30"/>
        <v>0</v>
      </c>
      <c r="HP112" s="148">
        <f t="shared" si="31"/>
        <v>0</v>
      </c>
      <c r="HQ112" s="148">
        <f t="shared" si="32"/>
        <v>0</v>
      </c>
      <c r="HR112" s="147">
        <f t="shared" si="33"/>
        <v>0</v>
      </c>
      <c r="HU112" s="147">
        <f>$HJ112*HC112/(1+'Key assumptions'!G134)^0.75</f>
        <v>0</v>
      </c>
      <c r="HW112" s="216">
        <f t="shared" si="34"/>
        <v>0</v>
      </c>
      <c r="HX112" s="216">
        <f t="shared" si="35"/>
        <v>0</v>
      </c>
      <c r="HY112" s="216">
        <f t="shared" si="36"/>
        <v>3.6084529505582136E-2</v>
      </c>
      <c r="HZ112" s="216">
        <f t="shared" si="37"/>
        <v>0</v>
      </c>
      <c r="IA112" s="216">
        <f t="shared" si="38"/>
        <v>0</v>
      </c>
      <c r="IB112" s="216">
        <f t="shared" si="39"/>
        <v>0</v>
      </c>
      <c r="IC112" s="216">
        <f t="shared" si="40"/>
        <v>0</v>
      </c>
      <c r="ID112" s="216">
        <f t="shared" si="41"/>
        <v>3.6084529505582136E-2</v>
      </c>
      <c r="IF112" s="216">
        <f t="shared" si="42"/>
        <v>0</v>
      </c>
    </row>
    <row r="113" spans="2:240" x14ac:dyDescent="0.2">
      <c r="B113" s="141" t="str">
        <v>Project Delivery Management - Commissioning</v>
      </c>
      <c r="C113" s="141" t="str">
        <v>Network Operations Officer (Control Centre)</v>
      </c>
      <c r="D113" s="141" t="str">
        <v>Internal Labour</v>
      </c>
      <c r="E113" s="141" t="str">
        <v>$ Nominal</v>
      </c>
      <c r="F113" s="141" t="str">
        <v>Existing</v>
      </c>
      <c r="G113" s="141" t="str">
        <v>Normal time</v>
      </c>
      <c r="H113" s="142">
        <v>240.85</v>
      </c>
      <c r="I113" s="126">
        <v>53697</v>
      </c>
      <c r="J113" s="143">
        <v>0</v>
      </c>
      <c r="K113" s="144">
        <v>0</v>
      </c>
      <c r="L113" s="144">
        <v>0</v>
      </c>
      <c r="M113" s="144">
        <v>0</v>
      </c>
      <c r="N113" s="144">
        <v>0</v>
      </c>
      <c r="O113" s="144">
        <v>0</v>
      </c>
      <c r="P113" s="144">
        <v>0</v>
      </c>
      <c r="Q113" s="144">
        <v>0</v>
      </c>
      <c r="R113" s="144">
        <v>0</v>
      </c>
      <c r="S113" s="144">
        <v>0</v>
      </c>
      <c r="T113" s="144">
        <v>0</v>
      </c>
      <c r="U113" s="144">
        <v>0</v>
      </c>
      <c r="V113" s="144">
        <v>0</v>
      </c>
      <c r="W113" s="144">
        <v>0</v>
      </c>
      <c r="X113" s="144">
        <v>0</v>
      </c>
      <c r="Y113" s="144">
        <v>0</v>
      </c>
      <c r="Z113" s="144">
        <v>0</v>
      </c>
      <c r="AA113" s="144">
        <v>0</v>
      </c>
      <c r="AB113" s="144">
        <v>0</v>
      </c>
      <c r="AC113" s="144">
        <v>0</v>
      </c>
      <c r="AD113" s="144">
        <v>0</v>
      </c>
      <c r="AE113" s="144">
        <v>0</v>
      </c>
      <c r="AF113" s="144">
        <v>0</v>
      </c>
      <c r="AG113" s="144">
        <v>0</v>
      </c>
      <c r="AH113" s="144">
        <v>0</v>
      </c>
      <c r="AI113" s="144">
        <v>0</v>
      </c>
      <c r="AJ113" s="144">
        <v>0</v>
      </c>
      <c r="AK113" s="144">
        <v>0</v>
      </c>
      <c r="AL113" s="144">
        <v>0</v>
      </c>
      <c r="AM113" s="144">
        <v>0</v>
      </c>
      <c r="AN113" s="144">
        <v>0</v>
      </c>
      <c r="AO113" s="144">
        <v>0</v>
      </c>
      <c r="AP113" s="144">
        <v>0</v>
      </c>
      <c r="AQ113" s="144">
        <v>0</v>
      </c>
      <c r="AR113" s="144">
        <v>0</v>
      </c>
      <c r="AS113" s="144">
        <v>0</v>
      </c>
      <c r="AT113" s="144">
        <v>0</v>
      </c>
      <c r="AU113" s="144">
        <v>0</v>
      </c>
      <c r="AV113" s="144">
        <v>0</v>
      </c>
      <c r="AW113" s="144">
        <v>0</v>
      </c>
      <c r="AX113" s="144">
        <v>0.66666666666666663</v>
      </c>
      <c r="AY113" s="144">
        <v>0.46052631578947367</v>
      </c>
      <c r="AZ113" s="144">
        <v>0.46052631578947367</v>
      </c>
      <c r="BA113" s="144">
        <v>0</v>
      </c>
      <c r="BB113" s="144">
        <v>0</v>
      </c>
      <c r="BC113" s="144">
        <v>0</v>
      </c>
      <c r="BD113" s="144">
        <v>0</v>
      </c>
      <c r="BE113" s="144">
        <v>0</v>
      </c>
      <c r="BF113" s="144">
        <v>0</v>
      </c>
      <c r="BG113" s="144">
        <v>0</v>
      </c>
      <c r="BH113" s="144">
        <v>0</v>
      </c>
      <c r="BI113" s="144">
        <v>0</v>
      </c>
      <c r="BJ113" s="144">
        <v>0</v>
      </c>
      <c r="BK113" s="144">
        <v>0</v>
      </c>
      <c r="BL113" s="144">
        <v>0</v>
      </c>
      <c r="BM113" s="144">
        <v>0</v>
      </c>
      <c r="BN113" s="144">
        <v>0</v>
      </c>
      <c r="BO113" s="144">
        <v>0</v>
      </c>
      <c r="BP113" s="144">
        <v>0</v>
      </c>
      <c r="BQ113" s="144">
        <v>0</v>
      </c>
      <c r="BR113" s="144">
        <v>0</v>
      </c>
      <c r="BS113" s="144">
        <v>0</v>
      </c>
      <c r="BT113" s="144">
        <v>0</v>
      </c>
      <c r="BU113" s="144">
        <v>0</v>
      </c>
      <c r="BV113" s="144">
        <v>0</v>
      </c>
      <c r="BW113" s="144">
        <v>0</v>
      </c>
      <c r="BX113" s="144">
        <v>0</v>
      </c>
      <c r="BY113" s="144">
        <v>0</v>
      </c>
      <c r="BZ113" s="144">
        <v>0</v>
      </c>
      <c r="CA113" s="144">
        <v>0</v>
      </c>
      <c r="CB113" s="144">
        <v>0</v>
      </c>
      <c r="CC113" s="144">
        <v>0</v>
      </c>
      <c r="CD113" s="144">
        <v>0</v>
      </c>
      <c r="CE113" s="144">
        <v>0</v>
      </c>
      <c r="CF113" s="144">
        <v>0</v>
      </c>
      <c r="CG113" s="144">
        <v>0</v>
      </c>
      <c r="CH113" s="144">
        <v>0</v>
      </c>
      <c r="CI113" s="144">
        <v>0</v>
      </c>
      <c r="CJ113" s="144">
        <v>0</v>
      </c>
      <c r="CK113" s="144">
        <v>0</v>
      </c>
      <c r="CL113" s="144">
        <v>0</v>
      </c>
      <c r="CM113" s="144">
        <v>0</v>
      </c>
      <c r="CN113" s="144">
        <v>0</v>
      </c>
      <c r="CO113" s="144">
        <v>0</v>
      </c>
      <c r="CP113" s="144">
        <v>0</v>
      </c>
      <c r="CQ113" s="143">
        <v>0</v>
      </c>
      <c r="CR113" s="145">
        <v>0</v>
      </c>
      <c r="CS113" s="145">
        <v>0</v>
      </c>
      <c r="CT113" s="145">
        <v>0</v>
      </c>
      <c r="CU113" s="145">
        <v>0</v>
      </c>
      <c r="CV113" s="145">
        <v>0</v>
      </c>
      <c r="CW113" s="145">
        <v>0</v>
      </c>
      <c r="CX113" s="145">
        <v>0</v>
      </c>
      <c r="CY113" s="145">
        <v>0</v>
      </c>
      <c r="CZ113" s="145">
        <v>0</v>
      </c>
      <c r="DA113" s="145">
        <v>0</v>
      </c>
      <c r="DB113" s="145">
        <v>0</v>
      </c>
      <c r="DC113" s="145">
        <v>0</v>
      </c>
      <c r="DD113" s="145">
        <v>0</v>
      </c>
      <c r="DE113" s="145">
        <v>0</v>
      </c>
      <c r="DF113" s="145">
        <v>0</v>
      </c>
      <c r="DG113" s="145">
        <v>0</v>
      </c>
      <c r="DH113" s="145">
        <v>0</v>
      </c>
      <c r="DI113" s="145">
        <v>0</v>
      </c>
      <c r="DJ113" s="145">
        <v>0</v>
      </c>
      <c r="DK113" s="145">
        <v>0</v>
      </c>
      <c r="DL113" s="145">
        <v>0</v>
      </c>
      <c r="DM113" s="145">
        <v>0</v>
      </c>
      <c r="DN113" s="145">
        <v>0</v>
      </c>
      <c r="DO113" s="145">
        <v>0</v>
      </c>
      <c r="DP113" s="145">
        <v>0</v>
      </c>
      <c r="DQ113" s="145">
        <v>0</v>
      </c>
      <c r="DR113" s="145">
        <v>0</v>
      </c>
      <c r="DS113" s="145">
        <v>0</v>
      </c>
      <c r="DT113" s="145">
        <v>0</v>
      </c>
      <c r="DU113" s="145">
        <v>0</v>
      </c>
      <c r="DV113" s="145">
        <v>0</v>
      </c>
      <c r="DW113" s="145">
        <v>0</v>
      </c>
      <c r="DX113" s="145">
        <v>0</v>
      </c>
      <c r="DY113" s="145">
        <v>0</v>
      </c>
      <c r="DZ113" s="145">
        <v>0</v>
      </c>
      <c r="EA113" s="145">
        <v>0</v>
      </c>
      <c r="EB113" s="145">
        <v>0</v>
      </c>
      <c r="EC113" s="145">
        <v>0</v>
      </c>
      <c r="ED113" s="145">
        <v>0</v>
      </c>
      <c r="EE113" s="145">
        <v>17899</v>
      </c>
      <c r="EF113" s="145">
        <v>17899</v>
      </c>
      <c r="EG113" s="145">
        <v>17899</v>
      </c>
      <c r="EH113" s="145">
        <v>0</v>
      </c>
      <c r="EI113" s="145">
        <v>0</v>
      </c>
      <c r="EJ113" s="145">
        <v>0</v>
      </c>
      <c r="EK113" s="145">
        <v>0</v>
      </c>
      <c r="EL113" s="145">
        <v>0</v>
      </c>
      <c r="EM113" s="145">
        <v>0</v>
      </c>
      <c r="EN113" s="145">
        <v>0</v>
      </c>
      <c r="EO113" s="145">
        <v>0</v>
      </c>
      <c r="EP113" s="145">
        <v>0</v>
      </c>
      <c r="EQ113" s="145">
        <v>0</v>
      </c>
      <c r="ER113" s="145">
        <v>0</v>
      </c>
      <c r="ES113" s="145">
        <v>0</v>
      </c>
      <c r="ET113" s="145">
        <v>0</v>
      </c>
      <c r="EU113" s="145">
        <v>0</v>
      </c>
      <c r="EV113" s="145">
        <v>0</v>
      </c>
      <c r="EW113" s="145">
        <v>0</v>
      </c>
      <c r="EX113" s="145">
        <v>0</v>
      </c>
      <c r="EY113" s="145">
        <v>0</v>
      </c>
      <c r="EZ113" s="145">
        <v>0</v>
      </c>
      <c r="FA113" s="145">
        <v>0</v>
      </c>
      <c r="FB113" s="145">
        <v>0</v>
      </c>
      <c r="FC113" s="145">
        <v>0</v>
      </c>
      <c r="FD113" s="145">
        <v>0</v>
      </c>
      <c r="FE113" s="145">
        <v>0</v>
      </c>
      <c r="FF113" s="145">
        <v>0</v>
      </c>
      <c r="FG113" s="145">
        <v>0</v>
      </c>
      <c r="FH113" s="145">
        <v>0</v>
      </c>
      <c r="FI113" s="145">
        <v>0</v>
      </c>
      <c r="FJ113" s="145">
        <v>0</v>
      </c>
      <c r="FK113" s="145">
        <v>0</v>
      </c>
      <c r="FL113" s="145">
        <v>0</v>
      </c>
      <c r="FM113" s="145">
        <v>0</v>
      </c>
      <c r="FN113" s="145">
        <v>0</v>
      </c>
      <c r="FO113" s="145">
        <v>0</v>
      </c>
      <c r="FP113" s="145">
        <v>0</v>
      </c>
      <c r="FQ113" s="145">
        <v>0</v>
      </c>
      <c r="FR113" s="145">
        <v>0</v>
      </c>
      <c r="FS113" s="145">
        <v>0</v>
      </c>
      <c r="FT113" s="145">
        <v>0</v>
      </c>
      <c r="FU113" s="145">
        <v>0</v>
      </c>
      <c r="FV113" s="145">
        <v>0</v>
      </c>
      <c r="FW113" s="145">
        <v>0</v>
      </c>
      <c r="FX113" s="143"/>
      <c r="FY113" s="146" t="str">
        <f>_xlfn.XLOOKUP($E113,'Key assumptions'!$B$112:$B$120,'Key assumptions'!$C$112:$C$120,0)</f>
        <v>Nominal</v>
      </c>
      <c r="FZ113" s="146" cm="1">
        <f t="array" ref="FZ113">IF($FY113=0,0,_xlfn.IFS($FY113='Key assumptions'!$C$120,_xlfn.XLOOKUP(LEFT(FZ$7,6),Inflation_Year,Inflation_NominaltoReal),TRUE,_xlfn.XLOOKUP($FY113,Inflation_Year,NominaltoReal)))</f>
        <v>1.0197075870962191</v>
      </c>
      <c r="GA113" s="146" cm="1">
        <f t="array" ref="GA113">IF($FY113=0,0,_xlfn.IFS($FY113='Key assumptions'!$C$120,_xlfn.XLOOKUP(LEFT(GA$7,6),Inflation_Year,Inflation_NominaltoReal),TRUE,_xlfn.XLOOKUP($FY113,Inflation_Year,NominaltoReal)))</f>
        <v>0.98700804022984445</v>
      </c>
      <c r="GB113" s="146" cm="1">
        <f t="array" ref="GB113">IF($FY113=0,0,_xlfn.IFS($FY113='Key assumptions'!$C$120,_xlfn.XLOOKUP(LEFT(GB$7,6),Inflation_Year,Inflation_NominaltoReal),TRUE,_xlfn.XLOOKUP($FY113,Inflation_Year,NominaltoReal)))</f>
        <v>0.96152830081941731</v>
      </c>
      <c r="GC113" s="146" cm="1">
        <f t="array" ref="GC113">IF($FY113=0,0,_xlfn.IFS($FY113='Key assumptions'!$C$120,_xlfn.XLOOKUP(LEFT(GC$7,6),Inflation_Year,Inflation_NominaltoReal),TRUE,_xlfn.XLOOKUP($FY113,Inflation_Year,NominaltoReal)))</f>
        <v>0.93670632415656829</v>
      </c>
      <c r="GD113" s="146" cm="1">
        <f t="array" ref="GD113">IF($FY113=0,0,_xlfn.IFS($FY113='Key assumptions'!$C$120,_xlfn.XLOOKUP(LEFT(GD$7,6),Inflation_Year,Inflation_NominaltoReal),TRUE,_xlfn.XLOOKUP($FY113,Inflation_Year,NominaltoReal)))</f>
        <v>0.91252513001143176</v>
      </c>
      <c r="GE113" s="146" cm="1">
        <f t="array" ref="GE113">IF($FY113=0,0,_xlfn.IFS($FY113='Key assumptions'!$C$120,_xlfn.XLOOKUP(LEFT(GE$7,6),Inflation_Year,Inflation_NominaltoReal),TRUE,_xlfn.XLOOKUP($FY113,Inflation_Year,NominaltoReal)))</f>
        <v>0.88896817650095872</v>
      </c>
      <c r="GF113" s="146" cm="1">
        <f t="array" ref="GF113">IF($FY113=0,0,_xlfn.IFS($FY113='Key assumptions'!$C$120,_xlfn.XLOOKUP(LEFT(GF$7,6),Inflation_Year,Inflation_NominaltoReal),TRUE,_xlfn.XLOOKUP($FY113,Inflation_Year,NominaltoReal)))</f>
        <v>0.86601934877293718</v>
      </c>
      <c r="GG113" s="143"/>
      <c r="GH113" s="145" cm="1">
        <f t="array" ref="GH113">SUMPRODUCT(--($CR$7:$FW$7&gt;=GH$5),--($CR$7:$FW$7&lt;=GH$6),$CR113:$FW113)*FZ113</f>
        <v>0</v>
      </c>
      <c r="GI113" s="145" cm="1">
        <f t="array" ref="GI113">SUMPRODUCT(--($CR$7:$FW$7&gt;=GI$5),--($CR$7:$FW$7&lt;=GI$6),$CR113:$FW113)*GA113</f>
        <v>0</v>
      </c>
      <c r="GJ113" s="145" cm="1">
        <f t="array" ref="GJ113">SUMPRODUCT(--($CR$7:$FW$7&gt;=GJ$5),--($CR$7:$FW$7&lt;=GJ$6),$CR113:$FW113)*GB113</f>
        <v>51631.185169100252</v>
      </c>
      <c r="GK113" s="145" cm="1">
        <f t="array" ref="GK113">SUMPRODUCT(--($CR$7:$FW$7&gt;=GK$5),--($CR$7:$FW$7&lt;=GK$6),$CR113:$FW113)*GC113</f>
        <v>0</v>
      </c>
      <c r="GL113" s="145" cm="1">
        <f t="array" ref="GL113">SUMPRODUCT(--($CR$7:$FW$7&gt;=GL$5),--($CR$7:$FW$7&lt;=GL$6),$CR113:$FW113)*GD113</f>
        <v>0</v>
      </c>
      <c r="GM113" s="145" cm="1">
        <f t="array" ref="GM113">SUMPRODUCT(--($CR$7:$FW$7&gt;=GM$5),--($CR$7:$FW$7&lt;=GM$6),$CR113:$FW113)*GE113</f>
        <v>0</v>
      </c>
      <c r="GN113" s="145" cm="1">
        <f t="array" ref="GN113">SUMPRODUCT(--($CR$7:$FW$7&gt;=GN$5),--($CR$7:$FW$7&lt;=GN$6),$CR113:$FW113)*GF113</f>
        <v>0</v>
      </c>
      <c r="GO113" s="145">
        <f t="shared" si="23"/>
        <v>51631.185169100252</v>
      </c>
      <c r="GP113" s="87"/>
      <c r="GQ113" s="89"/>
      <c r="GR113" s="145" cm="1">
        <f t="array" ref="GR113">SUMPRODUCT(--($CR$7:$FW$7&gt;=GR$5),--($CR$7:$FW$7&lt;=GR$6),$CR113:$FW113)</f>
        <v>0</v>
      </c>
      <c r="GS113" s="89"/>
      <c r="GT113" s="214" cm="1">
        <f t="array" ref="GT113">--AND(MIN(IF($K113:$CP113&lt;&gt;0,$K$7:$CP$7))&gt;=GT$5,MIN(IF($K113:$CP113&lt;&gt;0,$K$7:$CP$7))&lt;=GT$6)</f>
        <v>0</v>
      </c>
      <c r="GU113" s="214" cm="1">
        <f t="array" ref="GU113">--AND(MIN(IF($K113:$CP113&lt;&gt;0,$K$7:$CP$7))&gt;=GU$5,MIN(IF($K113:$CP113&lt;&gt;0,$K$7:$CP$7))&lt;=GU$6)</f>
        <v>0</v>
      </c>
      <c r="GV113" s="214" cm="1">
        <f t="array" ref="GV113">--AND(MIN(IF($K113:$CP113&lt;&gt;0,$K$7:$CP$7))&gt;=GV$5,MIN(IF($K113:$CP113&lt;&gt;0,$K$7:$CP$7))&lt;=GV$6)</f>
        <v>1</v>
      </c>
      <c r="GW113" s="214" cm="1">
        <f t="array" ref="GW113">--AND(MIN(IF($K113:$CP113&lt;&gt;0,$K$7:$CP$7))&gt;=GW$5,MIN(IF($K113:$CP113&lt;&gt;0,$K$7:$CP$7))&lt;=GW$6)</f>
        <v>0</v>
      </c>
      <c r="GX113" s="214" cm="1">
        <f t="array" ref="GX113">--AND(MIN(IF($K113:$CP113&lt;&gt;0,$K$7:$CP$7))&gt;=GX$5,MIN(IF($K113:$CP113&lt;&gt;0,$K$7:$CP$7))&lt;=GX$6)</f>
        <v>0</v>
      </c>
      <c r="GY113" s="214" cm="1">
        <f t="array" ref="GY113">--AND(MIN(IF($K113:$CP113&lt;&gt;0,$K$7:$CP$7))&gt;=GY$5,MIN(IF($K113:$CP113&lt;&gt;0,$K$7:$CP$7))&lt;=GY$6)</f>
        <v>0</v>
      </c>
      <c r="GZ113" s="214" cm="1">
        <f t="array" ref="GZ113">--AND(MIN(IF($K113:$CP113&lt;&gt;0,$K$7:$CP$7))&gt;=GZ$5,MIN(IF($K113:$CP113&lt;&gt;0,$K$7:$CP$7))&lt;=GZ$6)</f>
        <v>0</v>
      </c>
      <c r="HA113" s="214">
        <f t="shared" si="24"/>
        <v>1</v>
      </c>
      <c r="HC113" s="214" cm="1">
        <f t="array" ref="HC113">--AND(MIN(IF($K113:$CP113&lt;&gt;0,$K$7:$CP$7))&gt;=HC$5,MIN(IF($K113:$CP113&lt;&gt;0,$K$7:$CP$7))&lt;=HC$6)</f>
        <v>0</v>
      </c>
      <c r="HE113" s="147" t="str">
        <f t="shared" si="43"/>
        <v>No</v>
      </c>
      <c r="HF113" s="147" t="str">
        <f t="shared" si="44"/>
        <v>No</v>
      </c>
      <c r="HG113" s="147">
        <f>IF($HF113="Yes",0,$H113*avg_hrs*12*'Key assumptions'!$D$87)</f>
        <v>430704.59093851841</v>
      </c>
      <c r="HH113" s="147">
        <f>IF(HE113="Yes",'Key assumptions'!$D$84*HG113,0)</f>
        <v>0</v>
      </c>
      <c r="HI113" s="144">
        <f>IFERROR(AVERAGEIFS($K113:$CP113,$K$7:$CP$7,"&gt;="&amp;'Key assumptions'!$D$24,$K$7:$CP$7,"&lt;="&amp;'Key assumptions'!$D$25),0)</f>
        <v>3.6084529505582136E-2</v>
      </c>
      <c r="HJ113" s="148">
        <f t="shared" si="45"/>
        <v>0</v>
      </c>
      <c r="HK113" s="148">
        <f t="shared" si="26"/>
        <v>0</v>
      </c>
      <c r="HL113" s="148">
        <f t="shared" si="27"/>
        <v>0</v>
      </c>
      <c r="HM113" s="148">
        <f t="shared" si="28"/>
        <v>0</v>
      </c>
      <c r="HN113" s="148">
        <f t="shared" si="29"/>
        <v>0</v>
      </c>
      <c r="HO113" s="148">
        <f t="shared" si="30"/>
        <v>0</v>
      </c>
      <c r="HP113" s="148">
        <f t="shared" si="31"/>
        <v>0</v>
      </c>
      <c r="HQ113" s="148">
        <f t="shared" si="32"/>
        <v>0</v>
      </c>
      <c r="HR113" s="147">
        <f t="shared" si="33"/>
        <v>0</v>
      </c>
      <c r="HU113" s="147">
        <f>$HJ113*HC113/(1+'Key assumptions'!G135)^0.75</f>
        <v>0</v>
      </c>
      <c r="HW113" s="216">
        <f t="shared" si="34"/>
        <v>0</v>
      </c>
      <c r="HX113" s="216">
        <f t="shared" si="35"/>
        <v>0</v>
      </c>
      <c r="HY113" s="216">
        <f t="shared" si="36"/>
        <v>3.6084529505582136E-2</v>
      </c>
      <c r="HZ113" s="216">
        <f t="shared" si="37"/>
        <v>0</v>
      </c>
      <c r="IA113" s="216">
        <f t="shared" si="38"/>
        <v>0</v>
      </c>
      <c r="IB113" s="216">
        <f t="shared" si="39"/>
        <v>0</v>
      </c>
      <c r="IC113" s="216">
        <f t="shared" si="40"/>
        <v>0</v>
      </c>
      <c r="ID113" s="216">
        <f t="shared" si="41"/>
        <v>3.6084529505582136E-2</v>
      </c>
      <c r="IF113" s="216">
        <f t="shared" si="42"/>
        <v>0</v>
      </c>
    </row>
    <row r="114" spans="2:240" x14ac:dyDescent="0.2">
      <c r="B114" s="141" t="str">
        <v>Project Delivery Management - Commissioning</v>
      </c>
      <c r="C114" s="141" t="str">
        <v>Technical Lead (Construction)</v>
      </c>
      <c r="D114" s="141" t="str">
        <v>Internal Labour</v>
      </c>
      <c r="E114" s="141" t="str">
        <v>$ Nominal</v>
      </c>
      <c r="F114" s="141" t="str">
        <v>Existing</v>
      </c>
      <c r="G114" s="141" t="str">
        <v>Normal time</v>
      </c>
      <c r="H114" s="142">
        <v>233.78</v>
      </c>
      <c r="I114" s="126">
        <v>103205.2</v>
      </c>
      <c r="J114" s="143">
        <v>0</v>
      </c>
      <c r="K114" s="144">
        <v>0</v>
      </c>
      <c r="L114" s="144">
        <v>0</v>
      </c>
      <c r="M114" s="144">
        <v>0</v>
      </c>
      <c r="N114" s="144">
        <v>0</v>
      </c>
      <c r="O114" s="144">
        <v>0</v>
      </c>
      <c r="P114" s="144">
        <v>0</v>
      </c>
      <c r="Q114" s="144">
        <v>0</v>
      </c>
      <c r="R114" s="144">
        <v>0</v>
      </c>
      <c r="S114" s="144">
        <v>0</v>
      </c>
      <c r="T114" s="144">
        <v>0</v>
      </c>
      <c r="U114" s="144">
        <v>0</v>
      </c>
      <c r="V114" s="144">
        <v>0</v>
      </c>
      <c r="W114" s="144">
        <v>0</v>
      </c>
      <c r="X114" s="144">
        <v>0</v>
      </c>
      <c r="Y114" s="144">
        <v>0</v>
      </c>
      <c r="Z114" s="144">
        <v>0</v>
      </c>
      <c r="AA114" s="144">
        <v>0</v>
      </c>
      <c r="AB114" s="144">
        <v>0</v>
      </c>
      <c r="AC114" s="144">
        <v>0</v>
      </c>
      <c r="AD114" s="144">
        <v>0</v>
      </c>
      <c r="AE114" s="144">
        <v>0</v>
      </c>
      <c r="AF114" s="144">
        <v>0</v>
      </c>
      <c r="AG114" s="144">
        <v>0</v>
      </c>
      <c r="AH114" s="144">
        <v>0</v>
      </c>
      <c r="AI114" s="144">
        <v>0</v>
      </c>
      <c r="AJ114" s="144">
        <v>0</v>
      </c>
      <c r="AK114" s="144">
        <v>0.5</v>
      </c>
      <c r="AL114" s="144">
        <v>0.66666666666666663</v>
      </c>
      <c r="AM114" s="144">
        <v>0</v>
      </c>
      <c r="AN114" s="144">
        <v>0</v>
      </c>
      <c r="AO114" s="144">
        <v>0</v>
      </c>
      <c r="AP114" s="144">
        <v>0</v>
      </c>
      <c r="AQ114" s="144">
        <v>0</v>
      </c>
      <c r="AR114" s="144">
        <v>0</v>
      </c>
      <c r="AS114" s="144">
        <v>0</v>
      </c>
      <c r="AT114" s="144">
        <v>0</v>
      </c>
      <c r="AU114" s="144">
        <v>0</v>
      </c>
      <c r="AV114" s="144">
        <v>0</v>
      </c>
      <c r="AW114" s="144">
        <v>0.5</v>
      </c>
      <c r="AX114" s="144">
        <v>0.66666666666666663</v>
      </c>
      <c r="AY114" s="144">
        <v>0.46052631578947367</v>
      </c>
      <c r="AZ114" s="144">
        <v>0.46052631578947367</v>
      </c>
      <c r="BA114" s="144">
        <v>0</v>
      </c>
      <c r="BB114" s="144">
        <v>0</v>
      </c>
      <c r="BC114" s="144">
        <v>0</v>
      </c>
      <c r="BD114" s="144">
        <v>0</v>
      </c>
      <c r="BE114" s="144">
        <v>0</v>
      </c>
      <c r="BF114" s="144">
        <v>0</v>
      </c>
      <c r="BG114" s="144">
        <v>0</v>
      </c>
      <c r="BH114" s="144">
        <v>0</v>
      </c>
      <c r="BI114" s="144">
        <v>0</v>
      </c>
      <c r="BJ114" s="144">
        <v>0</v>
      </c>
      <c r="BK114" s="144">
        <v>0</v>
      </c>
      <c r="BL114" s="144">
        <v>0</v>
      </c>
      <c r="BM114" s="144">
        <v>0</v>
      </c>
      <c r="BN114" s="144">
        <v>0</v>
      </c>
      <c r="BO114" s="144">
        <v>0</v>
      </c>
      <c r="BP114" s="144">
        <v>0</v>
      </c>
      <c r="BQ114" s="144">
        <v>0</v>
      </c>
      <c r="BR114" s="144">
        <v>0</v>
      </c>
      <c r="BS114" s="144">
        <v>0</v>
      </c>
      <c r="BT114" s="144">
        <v>0</v>
      </c>
      <c r="BU114" s="144">
        <v>0</v>
      </c>
      <c r="BV114" s="144">
        <v>0</v>
      </c>
      <c r="BW114" s="144">
        <v>0</v>
      </c>
      <c r="BX114" s="144">
        <v>0</v>
      </c>
      <c r="BY114" s="144">
        <v>0</v>
      </c>
      <c r="BZ114" s="144">
        <v>0</v>
      </c>
      <c r="CA114" s="144">
        <v>0</v>
      </c>
      <c r="CB114" s="144">
        <v>0</v>
      </c>
      <c r="CC114" s="144">
        <v>0</v>
      </c>
      <c r="CD114" s="144">
        <v>0</v>
      </c>
      <c r="CE114" s="144">
        <v>0</v>
      </c>
      <c r="CF114" s="144">
        <v>0</v>
      </c>
      <c r="CG114" s="144">
        <v>0</v>
      </c>
      <c r="CH114" s="144">
        <v>0</v>
      </c>
      <c r="CI114" s="144">
        <v>0</v>
      </c>
      <c r="CJ114" s="144">
        <v>0</v>
      </c>
      <c r="CK114" s="144">
        <v>0</v>
      </c>
      <c r="CL114" s="144">
        <v>0</v>
      </c>
      <c r="CM114" s="144">
        <v>0</v>
      </c>
      <c r="CN114" s="144">
        <v>0</v>
      </c>
      <c r="CO114" s="144">
        <v>0</v>
      </c>
      <c r="CP114" s="144">
        <v>0</v>
      </c>
      <c r="CQ114" s="143">
        <v>0</v>
      </c>
      <c r="CR114" s="145">
        <v>0</v>
      </c>
      <c r="CS114" s="145">
        <v>0</v>
      </c>
      <c r="CT114" s="145">
        <v>0</v>
      </c>
      <c r="CU114" s="145">
        <v>0</v>
      </c>
      <c r="CV114" s="145">
        <v>0</v>
      </c>
      <c r="CW114" s="145">
        <v>0</v>
      </c>
      <c r="CX114" s="145">
        <v>0</v>
      </c>
      <c r="CY114" s="145">
        <v>0</v>
      </c>
      <c r="CZ114" s="145">
        <v>0</v>
      </c>
      <c r="DA114" s="145">
        <v>0</v>
      </c>
      <c r="DB114" s="145">
        <v>0</v>
      </c>
      <c r="DC114" s="145">
        <v>0</v>
      </c>
      <c r="DD114" s="145">
        <v>0</v>
      </c>
      <c r="DE114" s="145">
        <v>0</v>
      </c>
      <c r="DF114" s="145">
        <v>0</v>
      </c>
      <c r="DG114" s="145">
        <v>0</v>
      </c>
      <c r="DH114" s="145">
        <v>0</v>
      </c>
      <c r="DI114" s="145">
        <v>0</v>
      </c>
      <c r="DJ114" s="145">
        <v>0</v>
      </c>
      <c r="DK114" s="145">
        <v>0</v>
      </c>
      <c r="DL114" s="145">
        <v>0</v>
      </c>
      <c r="DM114" s="145">
        <v>0</v>
      </c>
      <c r="DN114" s="145">
        <v>0</v>
      </c>
      <c r="DO114" s="145">
        <v>0</v>
      </c>
      <c r="DP114" s="145">
        <v>0</v>
      </c>
      <c r="DQ114" s="145">
        <v>0</v>
      </c>
      <c r="DR114" s="145">
        <v>16860.2</v>
      </c>
      <c r="DS114" s="145">
        <v>16860.2</v>
      </c>
      <c r="DT114" s="145">
        <v>0</v>
      </c>
      <c r="DU114" s="145">
        <v>0</v>
      </c>
      <c r="DV114" s="145">
        <v>0</v>
      </c>
      <c r="DW114" s="145">
        <v>0</v>
      </c>
      <c r="DX114" s="145">
        <v>0</v>
      </c>
      <c r="DY114" s="145">
        <v>0</v>
      </c>
      <c r="DZ114" s="145">
        <v>0</v>
      </c>
      <c r="EA114" s="145">
        <v>0</v>
      </c>
      <c r="EB114" s="145">
        <v>0</v>
      </c>
      <c r="EC114" s="145">
        <v>0</v>
      </c>
      <c r="ED114" s="145">
        <v>17371.2</v>
      </c>
      <c r="EE114" s="145">
        <v>17371.2</v>
      </c>
      <c r="EF114" s="145">
        <v>17371.2</v>
      </c>
      <c r="EG114" s="145">
        <v>17371.2</v>
      </c>
      <c r="EH114" s="145">
        <v>0</v>
      </c>
      <c r="EI114" s="145">
        <v>0</v>
      </c>
      <c r="EJ114" s="145">
        <v>0</v>
      </c>
      <c r="EK114" s="145">
        <v>0</v>
      </c>
      <c r="EL114" s="145">
        <v>0</v>
      </c>
      <c r="EM114" s="145">
        <v>0</v>
      </c>
      <c r="EN114" s="145">
        <v>0</v>
      </c>
      <c r="EO114" s="145">
        <v>0</v>
      </c>
      <c r="EP114" s="145">
        <v>0</v>
      </c>
      <c r="EQ114" s="145">
        <v>0</v>
      </c>
      <c r="ER114" s="145">
        <v>0</v>
      </c>
      <c r="ES114" s="145">
        <v>0</v>
      </c>
      <c r="ET114" s="145">
        <v>0</v>
      </c>
      <c r="EU114" s="145">
        <v>0</v>
      </c>
      <c r="EV114" s="145">
        <v>0</v>
      </c>
      <c r="EW114" s="145">
        <v>0</v>
      </c>
      <c r="EX114" s="145">
        <v>0</v>
      </c>
      <c r="EY114" s="145">
        <v>0</v>
      </c>
      <c r="EZ114" s="145">
        <v>0</v>
      </c>
      <c r="FA114" s="145">
        <v>0</v>
      </c>
      <c r="FB114" s="145">
        <v>0</v>
      </c>
      <c r="FC114" s="145">
        <v>0</v>
      </c>
      <c r="FD114" s="145">
        <v>0</v>
      </c>
      <c r="FE114" s="145">
        <v>0</v>
      </c>
      <c r="FF114" s="145">
        <v>0</v>
      </c>
      <c r="FG114" s="145">
        <v>0</v>
      </c>
      <c r="FH114" s="145">
        <v>0</v>
      </c>
      <c r="FI114" s="145">
        <v>0</v>
      </c>
      <c r="FJ114" s="145">
        <v>0</v>
      </c>
      <c r="FK114" s="145">
        <v>0</v>
      </c>
      <c r="FL114" s="145">
        <v>0</v>
      </c>
      <c r="FM114" s="145">
        <v>0</v>
      </c>
      <c r="FN114" s="145">
        <v>0</v>
      </c>
      <c r="FO114" s="145">
        <v>0</v>
      </c>
      <c r="FP114" s="145">
        <v>0</v>
      </c>
      <c r="FQ114" s="145">
        <v>0</v>
      </c>
      <c r="FR114" s="145">
        <v>0</v>
      </c>
      <c r="FS114" s="145">
        <v>0</v>
      </c>
      <c r="FT114" s="145">
        <v>0</v>
      </c>
      <c r="FU114" s="145">
        <v>0</v>
      </c>
      <c r="FV114" s="145">
        <v>0</v>
      </c>
      <c r="FW114" s="145">
        <v>0</v>
      </c>
      <c r="FX114" s="143"/>
      <c r="FY114" s="146" t="str">
        <f>_xlfn.XLOOKUP($E114,'Key assumptions'!$B$112:$B$120,'Key assumptions'!$C$112:$C$120,0)</f>
        <v>Nominal</v>
      </c>
      <c r="FZ114" s="146" cm="1">
        <f t="array" ref="FZ114">IF($FY114=0,0,_xlfn.IFS($FY114='Key assumptions'!$C$120,_xlfn.XLOOKUP(LEFT(FZ$7,6),Inflation_Year,Inflation_NominaltoReal),TRUE,_xlfn.XLOOKUP($FY114,Inflation_Year,NominaltoReal)))</f>
        <v>1.0197075870962191</v>
      </c>
      <c r="GA114" s="146" cm="1">
        <f t="array" ref="GA114">IF($FY114=0,0,_xlfn.IFS($FY114='Key assumptions'!$C$120,_xlfn.XLOOKUP(LEFT(GA$7,6),Inflation_Year,Inflation_NominaltoReal),TRUE,_xlfn.XLOOKUP($FY114,Inflation_Year,NominaltoReal)))</f>
        <v>0.98700804022984445</v>
      </c>
      <c r="GB114" s="146" cm="1">
        <f t="array" ref="GB114">IF($FY114=0,0,_xlfn.IFS($FY114='Key assumptions'!$C$120,_xlfn.XLOOKUP(LEFT(GB$7,6),Inflation_Year,Inflation_NominaltoReal),TRUE,_xlfn.XLOOKUP($FY114,Inflation_Year,NominaltoReal)))</f>
        <v>0.96152830081941731</v>
      </c>
      <c r="GC114" s="146" cm="1">
        <f t="array" ref="GC114">IF($FY114=0,0,_xlfn.IFS($FY114='Key assumptions'!$C$120,_xlfn.XLOOKUP(LEFT(GC$7,6),Inflation_Year,Inflation_NominaltoReal),TRUE,_xlfn.XLOOKUP($FY114,Inflation_Year,NominaltoReal)))</f>
        <v>0.93670632415656829</v>
      </c>
      <c r="GD114" s="146" cm="1">
        <f t="array" ref="GD114">IF($FY114=0,0,_xlfn.IFS($FY114='Key assumptions'!$C$120,_xlfn.XLOOKUP(LEFT(GD$7,6),Inflation_Year,Inflation_NominaltoReal),TRUE,_xlfn.XLOOKUP($FY114,Inflation_Year,NominaltoReal)))</f>
        <v>0.91252513001143176</v>
      </c>
      <c r="GE114" s="146" cm="1">
        <f t="array" ref="GE114">IF($FY114=0,0,_xlfn.IFS($FY114='Key assumptions'!$C$120,_xlfn.XLOOKUP(LEFT(GE$7,6),Inflation_Year,Inflation_NominaltoReal),TRUE,_xlfn.XLOOKUP($FY114,Inflation_Year,NominaltoReal)))</f>
        <v>0.88896817650095872</v>
      </c>
      <c r="GF114" s="146" cm="1">
        <f t="array" ref="GF114">IF($FY114=0,0,_xlfn.IFS($FY114='Key assumptions'!$C$120,_xlfn.XLOOKUP(LEFT(GF$7,6),Inflation_Year,Inflation_NominaltoReal),TRUE,_xlfn.XLOOKUP($FY114,Inflation_Year,NominaltoReal)))</f>
        <v>0.86601934877293718</v>
      </c>
      <c r="GG114" s="143"/>
      <c r="GH114" s="145" cm="1">
        <f t="array" ref="GH114">SUMPRODUCT(--($CR$7:$FW$7&gt;=GH$5),--($CR$7:$FW$7&lt;=GH$6),$CR114:$FW114)*FZ114</f>
        <v>0</v>
      </c>
      <c r="GI114" s="145" cm="1">
        <f t="array" ref="GI114">SUMPRODUCT(--($CR$7:$FW$7&gt;=GI$5),--($CR$7:$FW$7&lt;=GI$6),$CR114:$FW114)*GA114</f>
        <v>33282.305919766448</v>
      </c>
      <c r="GJ114" s="145" cm="1">
        <f t="array" ref="GJ114">SUMPRODUCT(--($CR$7:$FW$7&gt;=GJ$5),--($CR$7:$FW$7&lt;=GJ$6),$CR114:$FW114)*GB114</f>
        <v>66811.601676777049</v>
      </c>
      <c r="GK114" s="145" cm="1">
        <f t="array" ref="GK114">SUMPRODUCT(--($CR$7:$FW$7&gt;=GK$5),--($CR$7:$FW$7&lt;=GK$6),$CR114:$FW114)*GC114</f>
        <v>0</v>
      </c>
      <c r="GL114" s="145" cm="1">
        <f t="array" ref="GL114">SUMPRODUCT(--($CR$7:$FW$7&gt;=GL$5),--($CR$7:$FW$7&lt;=GL$6),$CR114:$FW114)*GD114</f>
        <v>0</v>
      </c>
      <c r="GM114" s="145" cm="1">
        <f t="array" ref="GM114">SUMPRODUCT(--($CR$7:$FW$7&gt;=GM$5),--($CR$7:$FW$7&lt;=GM$6),$CR114:$FW114)*GE114</f>
        <v>0</v>
      </c>
      <c r="GN114" s="145" cm="1">
        <f t="array" ref="GN114">SUMPRODUCT(--($CR$7:$FW$7&gt;=GN$5),--($CR$7:$FW$7&lt;=GN$6),$CR114:$FW114)*GF114</f>
        <v>0</v>
      </c>
      <c r="GO114" s="145">
        <f t="shared" si="23"/>
        <v>100093.90759654349</v>
      </c>
      <c r="GP114" s="87"/>
      <c r="GQ114" s="89"/>
      <c r="GR114" s="145" cm="1">
        <f t="array" ref="GR114">SUMPRODUCT(--($CR$7:$FW$7&gt;=GR$5),--($CR$7:$FW$7&lt;=GR$6),$CR114:$FW114)</f>
        <v>0</v>
      </c>
      <c r="GS114" s="89"/>
      <c r="GT114" s="214" cm="1">
        <f t="array" ref="GT114">--AND(MIN(IF($K114:$CP114&lt;&gt;0,$K$7:$CP$7))&gt;=GT$5,MIN(IF($K114:$CP114&lt;&gt;0,$K$7:$CP$7))&lt;=GT$6)</f>
        <v>0</v>
      </c>
      <c r="GU114" s="214" cm="1">
        <f t="array" ref="GU114">--AND(MIN(IF($K114:$CP114&lt;&gt;0,$K$7:$CP$7))&gt;=GU$5,MIN(IF($K114:$CP114&lt;&gt;0,$K$7:$CP$7))&lt;=GU$6)</f>
        <v>1</v>
      </c>
      <c r="GV114" s="214" cm="1">
        <f t="array" ref="GV114">--AND(MIN(IF($K114:$CP114&lt;&gt;0,$K$7:$CP$7))&gt;=GV$5,MIN(IF($K114:$CP114&lt;&gt;0,$K$7:$CP$7))&lt;=GV$6)</f>
        <v>0</v>
      </c>
      <c r="GW114" s="214" cm="1">
        <f t="array" ref="GW114">--AND(MIN(IF($K114:$CP114&lt;&gt;0,$K$7:$CP$7))&gt;=GW$5,MIN(IF($K114:$CP114&lt;&gt;0,$K$7:$CP$7))&lt;=GW$6)</f>
        <v>0</v>
      </c>
      <c r="GX114" s="214" cm="1">
        <f t="array" ref="GX114">--AND(MIN(IF($K114:$CP114&lt;&gt;0,$K$7:$CP$7))&gt;=GX$5,MIN(IF($K114:$CP114&lt;&gt;0,$K$7:$CP$7))&lt;=GX$6)</f>
        <v>0</v>
      </c>
      <c r="GY114" s="214" cm="1">
        <f t="array" ref="GY114">--AND(MIN(IF($K114:$CP114&lt;&gt;0,$K$7:$CP$7))&gt;=GY$5,MIN(IF($K114:$CP114&lt;&gt;0,$K$7:$CP$7))&lt;=GY$6)</f>
        <v>0</v>
      </c>
      <c r="GZ114" s="214" cm="1">
        <f t="array" ref="GZ114">--AND(MIN(IF($K114:$CP114&lt;&gt;0,$K$7:$CP$7))&gt;=GZ$5,MIN(IF($K114:$CP114&lt;&gt;0,$K$7:$CP$7))&lt;=GZ$6)</f>
        <v>0</v>
      </c>
      <c r="HA114" s="214">
        <f t="shared" si="24"/>
        <v>1</v>
      </c>
      <c r="HC114" s="214" cm="1">
        <f t="array" ref="HC114">--AND(MIN(IF($K114:$CP114&lt;&gt;0,$K$7:$CP$7))&gt;=HC$5,MIN(IF($K114:$CP114&lt;&gt;0,$K$7:$CP$7))&lt;=HC$6)</f>
        <v>0</v>
      </c>
      <c r="HE114" s="147" t="str">
        <f t="shared" si="43"/>
        <v>No</v>
      </c>
      <c r="HF114" s="147" t="str">
        <f t="shared" si="44"/>
        <v>No</v>
      </c>
      <c r="HG114" s="147">
        <f>IF($HF114="Yes",0,$H114*avg_hrs*12*'Key assumptions'!$D$87)</f>
        <v>418061.5290413404</v>
      </c>
      <c r="HH114" s="147">
        <f>IF(HE114="Yes",'Key assumptions'!$D$84*HG114,0)</f>
        <v>0</v>
      </c>
      <c r="HI114" s="144">
        <f>IFERROR(AVERAGEIFS($K114:$CP114,$K$7:$CP$7,"&gt;="&amp;'Key assumptions'!$D$24,$K$7:$CP$7,"&lt;="&amp;'Key assumptions'!$D$25),0)</f>
        <v>7.3963317384369995E-2</v>
      </c>
      <c r="HJ114" s="148">
        <f t="shared" si="45"/>
        <v>0</v>
      </c>
      <c r="HK114" s="148">
        <f t="shared" si="26"/>
        <v>0</v>
      </c>
      <c r="HL114" s="148">
        <f t="shared" si="27"/>
        <v>0</v>
      </c>
      <c r="HM114" s="148">
        <f t="shared" si="28"/>
        <v>0</v>
      </c>
      <c r="HN114" s="148">
        <f t="shared" si="29"/>
        <v>0</v>
      </c>
      <c r="HO114" s="148">
        <f t="shared" si="30"/>
        <v>0</v>
      </c>
      <c r="HP114" s="148">
        <f t="shared" si="31"/>
        <v>0</v>
      </c>
      <c r="HQ114" s="148">
        <f t="shared" si="32"/>
        <v>0</v>
      </c>
      <c r="HR114" s="147">
        <f t="shared" si="33"/>
        <v>0</v>
      </c>
      <c r="HU114" s="147">
        <f>$HJ114*HC114/(1+'Key assumptions'!G136)^0.75</f>
        <v>0</v>
      </c>
      <c r="HW114" s="216">
        <f t="shared" si="34"/>
        <v>0</v>
      </c>
      <c r="HX114" s="216">
        <f t="shared" si="35"/>
        <v>7.3963317384369995E-2</v>
      </c>
      <c r="HY114" s="216">
        <f t="shared" si="36"/>
        <v>0</v>
      </c>
      <c r="HZ114" s="216">
        <f t="shared" si="37"/>
        <v>0</v>
      </c>
      <c r="IA114" s="216">
        <f t="shared" si="38"/>
        <v>0</v>
      </c>
      <c r="IB114" s="216">
        <f t="shared" si="39"/>
        <v>0</v>
      </c>
      <c r="IC114" s="216">
        <f t="shared" si="40"/>
        <v>0</v>
      </c>
      <c r="ID114" s="216">
        <f t="shared" si="41"/>
        <v>7.3963317384369995E-2</v>
      </c>
      <c r="IF114" s="216">
        <f t="shared" si="42"/>
        <v>0</v>
      </c>
    </row>
    <row r="115" spans="2:240" x14ac:dyDescent="0.2">
      <c r="B115" s="141" t="str">
        <v>Project Delivery Management - Commissioning</v>
      </c>
      <c r="C115" s="141" t="str">
        <v>Telecommunication Technician (Construction)</v>
      </c>
      <c r="D115" s="141" t="str">
        <v>Internal Labour</v>
      </c>
      <c r="E115" s="141" t="str">
        <v>$ Nominal</v>
      </c>
      <c r="F115" s="141" t="str">
        <v>Existing</v>
      </c>
      <c r="G115" s="141" t="str">
        <v>Normal time</v>
      </c>
      <c r="H115" s="142">
        <v>188.58</v>
      </c>
      <c r="I115" s="126">
        <v>85803.900000000009</v>
      </c>
      <c r="J115" s="143">
        <v>0</v>
      </c>
      <c r="K115" s="144">
        <v>0</v>
      </c>
      <c r="L115" s="144">
        <v>0</v>
      </c>
      <c r="M115" s="144">
        <v>0</v>
      </c>
      <c r="N115" s="144">
        <v>0</v>
      </c>
      <c r="O115" s="144">
        <v>0</v>
      </c>
      <c r="P115" s="144">
        <v>0</v>
      </c>
      <c r="Q115" s="144">
        <v>0</v>
      </c>
      <c r="R115" s="144">
        <v>0</v>
      </c>
      <c r="S115" s="144">
        <v>0</v>
      </c>
      <c r="T115" s="144">
        <v>0</v>
      </c>
      <c r="U115" s="144">
        <v>0</v>
      </c>
      <c r="V115" s="144">
        <v>0</v>
      </c>
      <c r="W115" s="144">
        <v>0</v>
      </c>
      <c r="X115" s="144">
        <v>0</v>
      </c>
      <c r="Y115" s="144">
        <v>0</v>
      </c>
      <c r="Z115" s="144">
        <v>0</v>
      </c>
      <c r="AA115" s="144">
        <v>0</v>
      </c>
      <c r="AB115" s="144">
        <v>0</v>
      </c>
      <c r="AC115" s="144">
        <v>0</v>
      </c>
      <c r="AD115" s="144">
        <v>1.05</v>
      </c>
      <c r="AE115" s="144">
        <v>1.1000000000000001</v>
      </c>
      <c r="AF115" s="144">
        <v>1.1000000000000001</v>
      </c>
      <c r="AG115" s="144">
        <v>0</v>
      </c>
      <c r="AH115" s="144">
        <v>0</v>
      </c>
      <c r="AI115" s="144">
        <v>0</v>
      </c>
      <c r="AJ115" s="144">
        <v>0</v>
      </c>
      <c r="AK115" s="144">
        <v>0</v>
      </c>
      <c r="AL115" s="144">
        <v>0</v>
      </c>
      <c r="AM115" s="144">
        <v>0</v>
      </c>
      <c r="AN115" s="144">
        <v>0</v>
      </c>
      <c r="AO115" s="144">
        <v>0</v>
      </c>
      <c r="AP115" s="144">
        <v>0</v>
      </c>
      <c r="AQ115" s="144">
        <v>0</v>
      </c>
      <c r="AR115" s="144">
        <v>0</v>
      </c>
      <c r="AS115" s="144">
        <v>0</v>
      </c>
      <c r="AT115" s="144">
        <v>0</v>
      </c>
      <c r="AU115" s="144">
        <v>0</v>
      </c>
      <c r="AV115" s="144">
        <v>0</v>
      </c>
      <c r="AW115" s="144">
        <v>0</v>
      </c>
      <c r="AX115" s="144">
        <v>0</v>
      </c>
      <c r="AY115" s="144">
        <v>0</v>
      </c>
      <c r="AZ115" s="144">
        <v>0</v>
      </c>
      <c r="BA115" s="144">
        <v>0</v>
      </c>
      <c r="BB115" s="144">
        <v>0</v>
      </c>
      <c r="BC115" s="144">
        <v>0</v>
      </c>
      <c r="BD115" s="144">
        <v>0</v>
      </c>
      <c r="BE115" s="144">
        <v>0</v>
      </c>
      <c r="BF115" s="144">
        <v>0</v>
      </c>
      <c r="BG115" s="144">
        <v>0</v>
      </c>
      <c r="BH115" s="144">
        <v>0</v>
      </c>
      <c r="BI115" s="144">
        <v>0</v>
      </c>
      <c r="BJ115" s="144">
        <v>0</v>
      </c>
      <c r="BK115" s="144">
        <v>0</v>
      </c>
      <c r="BL115" s="144">
        <v>0</v>
      </c>
      <c r="BM115" s="144">
        <v>0</v>
      </c>
      <c r="BN115" s="144">
        <v>0</v>
      </c>
      <c r="BO115" s="144">
        <v>0</v>
      </c>
      <c r="BP115" s="144">
        <v>0</v>
      </c>
      <c r="BQ115" s="144">
        <v>0</v>
      </c>
      <c r="BR115" s="144">
        <v>0</v>
      </c>
      <c r="BS115" s="144">
        <v>0</v>
      </c>
      <c r="BT115" s="144">
        <v>0</v>
      </c>
      <c r="BU115" s="144">
        <v>0</v>
      </c>
      <c r="BV115" s="144">
        <v>0</v>
      </c>
      <c r="BW115" s="144">
        <v>0</v>
      </c>
      <c r="BX115" s="144">
        <v>0</v>
      </c>
      <c r="BY115" s="144">
        <v>0</v>
      </c>
      <c r="BZ115" s="144">
        <v>0</v>
      </c>
      <c r="CA115" s="144">
        <v>0</v>
      </c>
      <c r="CB115" s="144">
        <v>0</v>
      </c>
      <c r="CC115" s="144">
        <v>0</v>
      </c>
      <c r="CD115" s="144">
        <v>0</v>
      </c>
      <c r="CE115" s="144">
        <v>0</v>
      </c>
      <c r="CF115" s="144">
        <v>0</v>
      </c>
      <c r="CG115" s="144">
        <v>0</v>
      </c>
      <c r="CH115" s="144">
        <v>0</v>
      </c>
      <c r="CI115" s="144">
        <v>0</v>
      </c>
      <c r="CJ115" s="144">
        <v>0</v>
      </c>
      <c r="CK115" s="144">
        <v>0</v>
      </c>
      <c r="CL115" s="144">
        <v>0</v>
      </c>
      <c r="CM115" s="144">
        <v>0</v>
      </c>
      <c r="CN115" s="144">
        <v>0</v>
      </c>
      <c r="CO115" s="144">
        <v>0</v>
      </c>
      <c r="CP115" s="144">
        <v>0</v>
      </c>
      <c r="CQ115" s="143">
        <v>0</v>
      </c>
      <c r="CR115" s="145">
        <v>0</v>
      </c>
      <c r="CS115" s="145">
        <v>0</v>
      </c>
      <c r="CT115" s="145">
        <v>0</v>
      </c>
      <c r="CU115" s="145">
        <v>0</v>
      </c>
      <c r="CV115" s="145">
        <v>0</v>
      </c>
      <c r="CW115" s="145">
        <v>0</v>
      </c>
      <c r="CX115" s="145">
        <v>0</v>
      </c>
      <c r="CY115" s="145">
        <v>0</v>
      </c>
      <c r="CZ115" s="145">
        <v>0</v>
      </c>
      <c r="DA115" s="145">
        <v>0</v>
      </c>
      <c r="DB115" s="145">
        <v>0</v>
      </c>
      <c r="DC115" s="145">
        <v>0</v>
      </c>
      <c r="DD115" s="145">
        <v>0</v>
      </c>
      <c r="DE115" s="145">
        <v>0</v>
      </c>
      <c r="DF115" s="145">
        <v>0</v>
      </c>
      <c r="DG115" s="145">
        <v>0</v>
      </c>
      <c r="DH115" s="145">
        <v>0</v>
      </c>
      <c r="DI115" s="145">
        <v>0</v>
      </c>
      <c r="DJ115" s="145">
        <v>0</v>
      </c>
      <c r="DK115" s="145">
        <v>27721.260000000002</v>
      </c>
      <c r="DL115" s="145">
        <v>29041.320000000003</v>
      </c>
      <c r="DM115" s="145">
        <v>29041.320000000003</v>
      </c>
      <c r="DN115" s="145">
        <v>0</v>
      </c>
      <c r="DO115" s="145">
        <v>0</v>
      </c>
      <c r="DP115" s="145">
        <v>0</v>
      </c>
      <c r="DQ115" s="145">
        <v>0</v>
      </c>
      <c r="DR115" s="145">
        <v>0</v>
      </c>
      <c r="DS115" s="145">
        <v>0</v>
      </c>
      <c r="DT115" s="145">
        <v>0</v>
      </c>
      <c r="DU115" s="145">
        <v>0</v>
      </c>
      <c r="DV115" s="145">
        <v>0</v>
      </c>
      <c r="DW115" s="145">
        <v>0</v>
      </c>
      <c r="DX115" s="145">
        <v>0</v>
      </c>
      <c r="DY115" s="145">
        <v>0</v>
      </c>
      <c r="DZ115" s="145">
        <v>0</v>
      </c>
      <c r="EA115" s="145">
        <v>0</v>
      </c>
      <c r="EB115" s="145">
        <v>0</v>
      </c>
      <c r="EC115" s="145">
        <v>0</v>
      </c>
      <c r="ED115" s="145">
        <v>0</v>
      </c>
      <c r="EE115" s="145">
        <v>0</v>
      </c>
      <c r="EF115" s="145">
        <v>0</v>
      </c>
      <c r="EG115" s="145">
        <v>0</v>
      </c>
      <c r="EH115" s="145">
        <v>0</v>
      </c>
      <c r="EI115" s="145">
        <v>0</v>
      </c>
      <c r="EJ115" s="145">
        <v>0</v>
      </c>
      <c r="EK115" s="145">
        <v>0</v>
      </c>
      <c r="EL115" s="145">
        <v>0</v>
      </c>
      <c r="EM115" s="145">
        <v>0</v>
      </c>
      <c r="EN115" s="145">
        <v>0</v>
      </c>
      <c r="EO115" s="145">
        <v>0</v>
      </c>
      <c r="EP115" s="145">
        <v>0</v>
      </c>
      <c r="EQ115" s="145">
        <v>0</v>
      </c>
      <c r="ER115" s="145">
        <v>0</v>
      </c>
      <c r="ES115" s="145">
        <v>0</v>
      </c>
      <c r="ET115" s="145">
        <v>0</v>
      </c>
      <c r="EU115" s="145">
        <v>0</v>
      </c>
      <c r="EV115" s="145">
        <v>0</v>
      </c>
      <c r="EW115" s="145">
        <v>0</v>
      </c>
      <c r="EX115" s="145">
        <v>0</v>
      </c>
      <c r="EY115" s="145">
        <v>0</v>
      </c>
      <c r="EZ115" s="145">
        <v>0</v>
      </c>
      <c r="FA115" s="145">
        <v>0</v>
      </c>
      <c r="FB115" s="145">
        <v>0</v>
      </c>
      <c r="FC115" s="145">
        <v>0</v>
      </c>
      <c r="FD115" s="145">
        <v>0</v>
      </c>
      <c r="FE115" s="145">
        <v>0</v>
      </c>
      <c r="FF115" s="145">
        <v>0</v>
      </c>
      <c r="FG115" s="145">
        <v>0</v>
      </c>
      <c r="FH115" s="145">
        <v>0</v>
      </c>
      <c r="FI115" s="145">
        <v>0</v>
      </c>
      <c r="FJ115" s="145">
        <v>0</v>
      </c>
      <c r="FK115" s="145">
        <v>0</v>
      </c>
      <c r="FL115" s="145">
        <v>0</v>
      </c>
      <c r="FM115" s="145">
        <v>0</v>
      </c>
      <c r="FN115" s="145">
        <v>0</v>
      </c>
      <c r="FO115" s="145">
        <v>0</v>
      </c>
      <c r="FP115" s="145">
        <v>0</v>
      </c>
      <c r="FQ115" s="145">
        <v>0</v>
      </c>
      <c r="FR115" s="145">
        <v>0</v>
      </c>
      <c r="FS115" s="145">
        <v>0</v>
      </c>
      <c r="FT115" s="145">
        <v>0</v>
      </c>
      <c r="FU115" s="145">
        <v>0</v>
      </c>
      <c r="FV115" s="145">
        <v>0</v>
      </c>
      <c r="FW115" s="145">
        <v>0</v>
      </c>
      <c r="FX115" s="143"/>
      <c r="FY115" s="146" t="str">
        <f>_xlfn.XLOOKUP($E115,'Key assumptions'!$B$112:$B$120,'Key assumptions'!$C$112:$C$120,0)</f>
        <v>Nominal</v>
      </c>
      <c r="FZ115" s="146" cm="1">
        <f t="array" ref="FZ115">IF($FY115=0,0,_xlfn.IFS($FY115='Key assumptions'!$C$120,_xlfn.XLOOKUP(LEFT(FZ$7,6),Inflation_Year,Inflation_NominaltoReal),TRUE,_xlfn.XLOOKUP($FY115,Inflation_Year,NominaltoReal)))</f>
        <v>1.0197075870962191</v>
      </c>
      <c r="GA115" s="146" cm="1">
        <f t="array" ref="GA115">IF($FY115=0,0,_xlfn.IFS($FY115='Key assumptions'!$C$120,_xlfn.XLOOKUP(LEFT(GA$7,6),Inflation_Year,Inflation_NominaltoReal),TRUE,_xlfn.XLOOKUP($FY115,Inflation_Year,NominaltoReal)))</f>
        <v>0.98700804022984445</v>
      </c>
      <c r="GB115" s="146" cm="1">
        <f t="array" ref="GB115">IF($FY115=0,0,_xlfn.IFS($FY115='Key assumptions'!$C$120,_xlfn.XLOOKUP(LEFT(GB$7,6),Inflation_Year,Inflation_NominaltoReal),TRUE,_xlfn.XLOOKUP($FY115,Inflation_Year,NominaltoReal)))</f>
        <v>0.96152830081941731</v>
      </c>
      <c r="GC115" s="146" cm="1">
        <f t="array" ref="GC115">IF($FY115=0,0,_xlfn.IFS($FY115='Key assumptions'!$C$120,_xlfn.XLOOKUP(LEFT(GC$7,6),Inflation_Year,Inflation_NominaltoReal),TRUE,_xlfn.XLOOKUP($FY115,Inflation_Year,NominaltoReal)))</f>
        <v>0.93670632415656829</v>
      </c>
      <c r="GD115" s="146" cm="1">
        <f t="array" ref="GD115">IF($FY115=0,0,_xlfn.IFS($FY115='Key assumptions'!$C$120,_xlfn.XLOOKUP(LEFT(GD$7,6),Inflation_Year,Inflation_NominaltoReal),TRUE,_xlfn.XLOOKUP($FY115,Inflation_Year,NominaltoReal)))</f>
        <v>0.91252513001143176</v>
      </c>
      <c r="GE115" s="146" cm="1">
        <f t="array" ref="GE115">IF($FY115=0,0,_xlfn.IFS($FY115='Key assumptions'!$C$120,_xlfn.XLOOKUP(LEFT(GE$7,6),Inflation_Year,Inflation_NominaltoReal),TRUE,_xlfn.XLOOKUP($FY115,Inflation_Year,NominaltoReal)))</f>
        <v>0.88896817650095872</v>
      </c>
      <c r="GF115" s="146" cm="1">
        <f t="array" ref="GF115">IF($FY115=0,0,_xlfn.IFS($FY115='Key assumptions'!$C$120,_xlfn.XLOOKUP(LEFT(GF$7,6),Inflation_Year,Inflation_NominaltoReal),TRUE,_xlfn.XLOOKUP($FY115,Inflation_Year,NominaltoReal)))</f>
        <v>0.86601934877293718</v>
      </c>
      <c r="GG115" s="143"/>
      <c r="GH115" s="145" cm="1">
        <f t="array" ref="GH115">SUMPRODUCT(--($CR$7:$FW$7&gt;=GH$5),--($CR$7:$FW$7&lt;=GH$6),$CR115:$FW115)*FZ115</f>
        <v>57881.233489156104</v>
      </c>
      <c r="GI115" s="145" cm="1">
        <f t="array" ref="GI115">SUMPRODUCT(--($CR$7:$FW$7&gt;=GI$5),--($CR$7:$FW$7&lt;=GI$6),$CR115:$FW115)*GA115</f>
        <v>28664.016338887788</v>
      </c>
      <c r="GJ115" s="145" cm="1">
        <f t="array" ref="GJ115">SUMPRODUCT(--($CR$7:$FW$7&gt;=GJ$5),--($CR$7:$FW$7&lt;=GJ$6),$CR115:$FW115)*GB115</f>
        <v>0</v>
      </c>
      <c r="GK115" s="145" cm="1">
        <f t="array" ref="GK115">SUMPRODUCT(--($CR$7:$FW$7&gt;=GK$5),--($CR$7:$FW$7&lt;=GK$6),$CR115:$FW115)*GC115</f>
        <v>0</v>
      </c>
      <c r="GL115" s="145" cm="1">
        <f t="array" ref="GL115">SUMPRODUCT(--($CR$7:$FW$7&gt;=GL$5),--($CR$7:$FW$7&lt;=GL$6),$CR115:$FW115)*GD115</f>
        <v>0</v>
      </c>
      <c r="GM115" s="145" cm="1">
        <f t="array" ref="GM115">SUMPRODUCT(--($CR$7:$FW$7&gt;=GM$5),--($CR$7:$FW$7&lt;=GM$6),$CR115:$FW115)*GE115</f>
        <v>0</v>
      </c>
      <c r="GN115" s="145" cm="1">
        <f t="array" ref="GN115">SUMPRODUCT(--($CR$7:$FW$7&gt;=GN$5),--($CR$7:$FW$7&lt;=GN$6),$CR115:$FW115)*GF115</f>
        <v>0</v>
      </c>
      <c r="GO115" s="145">
        <f t="shared" si="23"/>
        <v>86545.249828043889</v>
      </c>
      <c r="GP115" s="87"/>
      <c r="GQ115" s="89"/>
      <c r="GR115" s="145" cm="1">
        <f t="array" ref="GR115">SUMPRODUCT(--($CR$7:$FW$7&gt;=GR$5),--($CR$7:$FW$7&lt;=GR$6),$CR115:$FW115)</f>
        <v>0</v>
      </c>
      <c r="GS115" s="89"/>
      <c r="GT115" s="214" cm="1">
        <f t="array" ref="GT115">--AND(MIN(IF($K115:$CP115&lt;&gt;0,$K$7:$CP$7))&gt;=GT$5,MIN(IF($K115:$CP115&lt;&gt;0,$K$7:$CP$7))&lt;=GT$6)</f>
        <v>1</v>
      </c>
      <c r="GU115" s="214" cm="1">
        <f t="array" ref="GU115">--AND(MIN(IF($K115:$CP115&lt;&gt;0,$K$7:$CP$7))&gt;=GU$5,MIN(IF($K115:$CP115&lt;&gt;0,$K$7:$CP$7))&lt;=GU$6)</f>
        <v>0</v>
      </c>
      <c r="GV115" s="214" cm="1">
        <f t="array" ref="GV115">--AND(MIN(IF($K115:$CP115&lt;&gt;0,$K$7:$CP$7))&gt;=GV$5,MIN(IF($K115:$CP115&lt;&gt;0,$K$7:$CP$7))&lt;=GV$6)</f>
        <v>0</v>
      </c>
      <c r="GW115" s="214" cm="1">
        <f t="array" ref="GW115">--AND(MIN(IF($K115:$CP115&lt;&gt;0,$K$7:$CP$7))&gt;=GW$5,MIN(IF($K115:$CP115&lt;&gt;0,$K$7:$CP$7))&lt;=GW$6)</f>
        <v>0</v>
      </c>
      <c r="GX115" s="214" cm="1">
        <f t="array" ref="GX115">--AND(MIN(IF($K115:$CP115&lt;&gt;0,$K$7:$CP$7))&gt;=GX$5,MIN(IF($K115:$CP115&lt;&gt;0,$K$7:$CP$7))&lt;=GX$6)</f>
        <v>0</v>
      </c>
      <c r="GY115" s="214" cm="1">
        <f t="array" ref="GY115">--AND(MIN(IF($K115:$CP115&lt;&gt;0,$K$7:$CP$7))&gt;=GY$5,MIN(IF($K115:$CP115&lt;&gt;0,$K$7:$CP$7))&lt;=GY$6)</f>
        <v>0</v>
      </c>
      <c r="GZ115" s="214" cm="1">
        <f t="array" ref="GZ115">--AND(MIN(IF($K115:$CP115&lt;&gt;0,$K$7:$CP$7))&gt;=GZ$5,MIN(IF($K115:$CP115&lt;&gt;0,$K$7:$CP$7))&lt;=GZ$6)</f>
        <v>0</v>
      </c>
      <c r="HA115" s="214">
        <f t="shared" si="24"/>
        <v>1</v>
      </c>
      <c r="HC115" s="214" cm="1">
        <f t="array" ref="HC115">--AND(MIN(IF($K115:$CP115&lt;&gt;0,$K$7:$CP$7))&gt;=HC$5,MIN(IF($K115:$CP115&lt;&gt;0,$K$7:$CP$7))&lt;=HC$6)</f>
        <v>0</v>
      </c>
      <c r="HE115" s="147" t="str">
        <f t="shared" si="43"/>
        <v>No</v>
      </c>
      <c r="HF115" s="147" t="str">
        <f t="shared" si="44"/>
        <v>No</v>
      </c>
      <c r="HG115" s="147">
        <f>IF($HF115="Yes",0,$H115*avg_hrs*12*'Key assumptions'!$D$87)</f>
        <v>337231.76981185726</v>
      </c>
      <c r="HH115" s="147">
        <f>IF(HE115="Yes",'Key assumptions'!$D$84*HG115,0)</f>
        <v>0</v>
      </c>
      <c r="HI115" s="144">
        <f>IFERROR(AVERAGEIFS($K115:$CP115,$K$7:$CP$7,"&gt;="&amp;'Key assumptions'!$D$24,$K$7:$CP$7,"&lt;="&amp;'Key assumptions'!$D$25),0)</f>
        <v>7.3863636363636367E-2</v>
      </c>
      <c r="HJ115" s="148">
        <f t="shared" si="45"/>
        <v>0</v>
      </c>
      <c r="HK115" s="148">
        <f t="shared" si="26"/>
        <v>0</v>
      </c>
      <c r="HL115" s="148">
        <f t="shared" si="27"/>
        <v>0</v>
      </c>
      <c r="HM115" s="148">
        <f t="shared" si="28"/>
        <v>0</v>
      </c>
      <c r="HN115" s="148">
        <f t="shared" si="29"/>
        <v>0</v>
      </c>
      <c r="HO115" s="148">
        <f t="shared" si="30"/>
        <v>0</v>
      </c>
      <c r="HP115" s="148">
        <f t="shared" si="31"/>
        <v>0</v>
      </c>
      <c r="HQ115" s="148">
        <f t="shared" si="32"/>
        <v>0</v>
      </c>
      <c r="HR115" s="147">
        <f t="shared" si="33"/>
        <v>0</v>
      </c>
      <c r="HU115" s="147">
        <f>$HJ115*HC115/(1+'Key assumptions'!G137)^0.75</f>
        <v>0</v>
      </c>
      <c r="HW115" s="216">
        <f t="shared" si="34"/>
        <v>7.3863636363636367E-2</v>
      </c>
      <c r="HX115" s="216">
        <f t="shared" si="35"/>
        <v>0</v>
      </c>
      <c r="HY115" s="216">
        <f t="shared" si="36"/>
        <v>0</v>
      </c>
      <c r="HZ115" s="216">
        <f t="shared" si="37"/>
        <v>0</v>
      </c>
      <c r="IA115" s="216">
        <f t="shared" si="38"/>
        <v>0</v>
      </c>
      <c r="IB115" s="216">
        <f t="shared" si="39"/>
        <v>0</v>
      </c>
      <c r="IC115" s="216">
        <f t="shared" si="40"/>
        <v>0</v>
      </c>
      <c r="ID115" s="216">
        <f t="shared" si="41"/>
        <v>7.3863636363636367E-2</v>
      </c>
      <c r="IF115" s="216">
        <f t="shared" si="42"/>
        <v>0</v>
      </c>
    </row>
    <row r="116" spans="2:240" x14ac:dyDescent="0.2">
      <c r="B116" s="141" t="str">
        <v>Project Delivery Management - Commissioning</v>
      </c>
      <c r="C116" s="141" t="str">
        <v>Telecommunication Technician (Construction)</v>
      </c>
      <c r="D116" s="141" t="str">
        <v>Internal Labour</v>
      </c>
      <c r="E116" s="141" t="str">
        <v>$ Nominal</v>
      </c>
      <c r="F116" s="141">
        <v>0</v>
      </c>
      <c r="G116" s="141" t="str">
        <v>Overtime</v>
      </c>
      <c r="H116" s="142">
        <v>188.58</v>
      </c>
      <c r="I116" s="126">
        <v>45258</v>
      </c>
      <c r="J116" s="143">
        <v>0</v>
      </c>
      <c r="K116" s="144">
        <v>0</v>
      </c>
      <c r="L116" s="144">
        <v>0</v>
      </c>
      <c r="M116" s="144">
        <v>0</v>
      </c>
      <c r="N116" s="144">
        <v>0</v>
      </c>
      <c r="O116" s="144">
        <v>0</v>
      </c>
      <c r="P116" s="144">
        <v>0</v>
      </c>
      <c r="Q116" s="144">
        <v>0</v>
      </c>
      <c r="R116" s="144">
        <v>0</v>
      </c>
      <c r="S116" s="144">
        <v>0</v>
      </c>
      <c r="T116" s="144">
        <v>0</v>
      </c>
      <c r="U116" s="144">
        <v>0</v>
      </c>
      <c r="V116" s="144">
        <v>0</v>
      </c>
      <c r="W116" s="144">
        <v>0</v>
      </c>
      <c r="X116" s="144">
        <v>0</v>
      </c>
      <c r="Y116" s="144">
        <v>0</v>
      </c>
      <c r="Z116" s="144">
        <v>0</v>
      </c>
      <c r="AA116" s="144">
        <v>0</v>
      </c>
      <c r="AB116" s="144">
        <v>0</v>
      </c>
      <c r="AC116" s="144">
        <v>0</v>
      </c>
      <c r="AD116" s="144">
        <v>0.2857142857142857</v>
      </c>
      <c r="AE116" s="144">
        <v>0.2857142857142857</v>
      </c>
      <c r="AF116" s="144">
        <v>0.2857142857142857</v>
      </c>
      <c r="AG116" s="144">
        <v>0</v>
      </c>
      <c r="AH116" s="144">
        <v>0</v>
      </c>
      <c r="AI116" s="144">
        <v>0</v>
      </c>
      <c r="AJ116" s="144">
        <v>0</v>
      </c>
      <c r="AK116" s="144">
        <v>0</v>
      </c>
      <c r="AL116" s="144">
        <v>0</v>
      </c>
      <c r="AM116" s="144">
        <v>0</v>
      </c>
      <c r="AN116" s="144">
        <v>0</v>
      </c>
      <c r="AO116" s="144">
        <v>0</v>
      </c>
      <c r="AP116" s="144">
        <v>0</v>
      </c>
      <c r="AQ116" s="144">
        <v>0</v>
      </c>
      <c r="AR116" s="144">
        <v>0</v>
      </c>
      <c r="AS116" s="144">
        <v>0</v>
      </c>
      <c r="AT116" s="144">
        <v>0</v>
      </c>
      <c r="AU116" s="144">
        <v>0</v>
      </c>
      <c r="AV116" s="144">
        <v>0</v>
      </c>
      <c r="AW116" s="144">
        <v>0</v>
      </c>
      <c r="AX116" s="144">
        <v>0</v>
      </c>
      <c r="AY116" s="144">
        <v>0</v>
      </c>
      <c r="AZ116" s="144">
        <v>0</v>
      </c>
      <c r="BA116" s="144">
        <v>0</v>
      </c>
      <c r="BB116" s="144">
        <v>0</v>
      </c>
      <c r="BC116" s="144">
        <v>0</v>
      </c>
      <c r="BD116" s="144">
        <v>0</v>
      </c>
      <c r="BE116" s="144">
        <v>0</v>
      </c>
      <c r="BF116" s="144">
        <v>0</v>
      </c>
      <c r="BG116" s="144">
        <v>0</v>
      </c>
      <c r="BH116" s="144">
        <v>0</v>
      </c>
      <c r="BI116" s="144">
        <v>0</v>
      </c>
      <c r="BJ116" s="144">
        <v>0</v>
      </c>
      <c r="BK116" s="144">
        <v>0</v>
      </c>
      <c r="BL116" s="144">
        <v>0</v>
      </c>
      <c r="BM116" s="144">
        <v>0</v>
      </c>
      <c r="BN116" s="144">
        <v>0</v>
      </c>
      <c r="BO116" s="144">
        <v>0</v>
      </c>
      <c r="BP116" s="144">
        <v>0</v>
      </c>
      <c r="BQ116" s="144">
        <v>0</v>
      </c>
      <c r="BR116" s="144">
        <v>0</v>
      </c>
      <c r="BS116" s="144">
        <v>0</v>
      </c>
      <c r="BT116" s="144">
        <v>0</v>
      </c>
      <c r="BU116" s="144">
        <v>0</v>
      </c>
      <c r="BV116" s="144">
        <v>0</v>
      </c>
      <c r="BW116" s="144">
        <v>0</v>
      </c>
      <c r="BX116" s="144">
        <v>0</v>
      </c>
      <c r="BY116" s="144">
        <v>0</v>
      </c>
      <c r="BZ116" s="144">
        <v>0</v>
      </c>
      <c r="CA116" s="144">
        <v>0</v>
      </c>
      <c r="CB116" s="144">
        <v>0</v>
      </c>
      <c r="CC116" s="144">
        <v>0</v>
      </c>
      <c r="CD116" s="144">
        <v>0</v>
      </c>
      <c r="CE116" s="144">
        <v>0</v>
      </c>
      <c r="CF116" s="144">
        <v>0</v>
      </c>
      <c r="CG116" s="144">
        <v>0</v>
      </c>
      <c r="CH116" s="144">
        <v>0</v>
      </c>
      <c r="CI116" s="144">
        <v>0</v>
      </c>
      <c r="CJ116" s="144">
        <v>0</v>
      </c>
      <c r="CK116" s="144">
        <v>0</v>
      </c>
      <c r="CL116" s="144">
        <v>0</v>
      </c>
      <c r="CM116" s="144">
        <v>0</v>
      </c>
      <c r="CN116" s="144">
        <v>0</v>
      </c>
      <c r="CO116" s="144">
        <v>0</v>
      </c>
      <c r="CP116" s="144">
        <v>0</v>
      </c>
      <c r="CQ116" s="143">
        <v>0</v>
      </c>
      <c r="CR116" s="145">
        <v>0</v>
      </c>
      <c r="CS116" s="145">
        <v>0</v>
      </c>
      <c r="CT116" s="145">
        <v>0</v>
      </c>
      <c r="CU116" s="145">
        <v>0</v>
      </c>
      <c r="CV116" s="145">
        <v>0</v>
      </c>
      <c r="CW116" s="145">
        <v>0</v>
      </c>
      <c r="CX116" s="145">
        <v>0</v>
      </c>
      <c r="CY116" s="145">
        <v>0</v>
      </c>
      <c r="CZ116" s="145">
        <v>0</v>
      </c>
      <c r="DA116" s="145">
        <v>0</v>
      </c>
      <c r="DB116" s="145">
        <v>0</v>
      </c>
      <c r="DC116" s="145">
        <v>0</v>
      </c>
      <c r="DD116" s="145">
        <v>0</v>
      </c>
      <c r="DE116" s="145">
        <v>0</v>
      </c>
      <c r="DF116" s="145">
        <v>0</v>
      </c>
      <c r="DG116" s="145">
        <v>0</v>
      </c>
      <c r="DH116" s="145">
        <v>0</v>
      </c>
      <c r="DI116" s="145">
        <v>0</v>
      </c>
      <c r="DJ116" s="145">
        <v>0</v>
      </c>
      <c r="DK116" s="145">
        <v>15086</v>
      </c>
      <c r="DL116" s="145">
        <v>15086</v>
      </c>
      <c r="DM116" s="145">
        <v>15086</v>
      </c>
      <c r="DN116" s="145">
        <v>0</v>
      </c>
      <c r="DO116" s="145">
        <v>0</v>
      </c>
      <c r="DP116" s="145">
        <v>0</v>
      </c>
      <c r="DQ116" s="145">
        <v>0</v>
      </c>
      <c r="DR116" s="145">
        <v>0</v>
      </c>
      <c r="DS116" s="145">
        <v>0</v>
      </c>
      <c r="DT116" s="145">
        <v>0</v>
      </c>
      <c r="DU116" s="145">
        <v>0</v>
      </c>
      <c r="DV116" s="145">
        <v>0</v>
      </c>
      <c r="DW116" s="145">
        <v>0</v>
      </c>
      <c r="DX116" s="145">
        <v>0</v>
      </c>
      <c r="DY116" s="145">
        <v>0</v>
      </c>
      <c r="DZ116" s="145">
        <v>0</v>
      </c>
      <c r="EA116" s="145">
        <v>0</v>
      </c>
      <c r="EB116" s="145">
        <v>0</v>
      </c>
      <c r="EC116" s="145">
        <v>0</v>
      </c>
      <c r="ED116" s="145">
        <v>0</v>
      </c>
      <c r="EE116" s="145">
        <v>0</v>
      </c>
      <c r="EF116" s="145">
        <v>0</v>
      </c>
      <c r="EG116" s="145">
        <v>0</v>
      </c>
      <c r="EH116" s="145">
        <v>0</v>
      </c>
      <c r="EI116" s="145">
        <v>0</v>
      </c>
      <c r="EJ116" s="145">
        <v>0</v>
      </c>
      <c r="EK116" s="145">
        <v>0</v>
      </c>
      <c r="EL116" s="145">
        <v>0</v>
      </c>
      <c r="EM116" s="145">
        <v>0</v>
      </c>
      <c r="EN116" s="145">
        <v>0</v>
      </c>
      <c r="EO116" s="145">
        <v>0</v>
      </c>
      <c r="EP116" s="145">
        <v>0</v>
      </c>
      <c r="EQ116" s="145">
        <v>0</v>
      </c>
      <c r="ER116" s="145">
        <v>0</v>
      </c>
      <c r="ES116" s="145">
        <v>0</v>
      </c>
      <c r="ET116" s="145">
        <v>0</v>
      </c>
      <c r="EU116" s="145">
        <v>0</v>
      </c>
      <c r="EV116" s="145">
        <v>0</v>
      </c>
      <c r="EW116" s="145">
        <v>0</v>
      </c>
      <c r="EX116" s="145">
        <v>0</v>
      </c>
      <c r="EY116" s="145">
        <v>0</v>
      </c>
      <c r="EZ116" s="145">
        <v>0</v>
      </c>
      <c r="FA116" s="145">
        <v>0</v>
      </c>
      <c r="FB116" s="145">
        <v>0</v>
      </c>
      <c r="FC116" s="145">
        <v>0</v>
      </c>
      <c r="FD116" s="145">
        <v>0</v>
      </c>
      <c r="FE116" s="145">
        <v>0</v>
      </c>
      <c r="FF116" s="145">
        <v>0</v>
      </c>
      <c r="FG116" s="145">
        <v>0</v>
      </c>
      <c r="FH116" s="145">
        <v>0</v>
      </c>
      <c r="FI116" s="145">
        <v>0</v>
      </c>
      <c r="FJ116" s="145">
        <v>0</v>
      </c>
      <c r="FK116" s="145">
        <v>0</v>
      </c>
      <c r="FL116" s="145">
        <v>0</v>
      </c>
      <c r="FM116" s="145">
        <v>0</v>
      </c>
      <c r="FN116" s="145">
        <v>0</v>
      </c>
      <c r="FO116" s="145">
        <v>0</v>
      </c>
      <c r="FP116" s="145">
        <v>0</v>
      </c>
      <c r="FQ116" s="145">
        <v>0</v>
      </c>
      <c r="FR116" s="145">
        <v>0</v>
      </c>
      <c r="FS116" s="145">
        <v>0</v>
      </c>
      <c r="FT116" s="145">
        <v>0</v>
      </c>
      <c r="FU116" s="145">
        <v>0</v>
      </c>
      <c r="FV116" s="145">
        <v>0</v>
      </c>
      <c r="FW116" s="145">
        <v>0</v>
      </c>
      <c r="FX116" s="143"/>
      <c r="FY116" s="146" t="str">
        <f>_xlfn.XLOOKUP($E116,'Key assumptions'!$B$112:$B$120,'Key assumptions'!$C$112:$C$120,0)</f>
        <v>Nominal</v>
      </c>
      <c r="FZ116" s="146" cm="1">
        <f t="array" ref="FZ116">IF($FY116=0,0,_xlfn.IFS($FY116='Key assumptions'!$C$120,_xlfn.XLOOKUP(LEFT(FZ$7,6),Inflation_Year,Inflation_NominaltoReal),TRUE,_xlfn.XLOOKUP($FY116,Inflation_Year,NominaltoReal)))</f>
        <v>1.0197075870962191</v>
      </c>
      <c r="GA116" s="146" cm="1">
        <f t="array" ref="GA116">IF($FY116=0,0,_xlfn.IFS($FY116='Key assumptions'!$C$120,_xlfn.XLOOKUP(LEFT(GA$7,6),Inflation_Year,Inflation_NominaltoReal),TRUE,_xlfn.XLOOKUP($FY116,Inflation_Year,NominaltoReal)))</f>
        <v>0.98700804022984445</v>
      </c>
      <c r="GB116" s="146" cm="1">
        <f t="array" ref="GB116">IF($FY116=0,0,_xlfn.IFS($FY116='Key assumptions'!$C$120,_xlfn.XLOOKUP(LEFT(GB$7,6),Inflation_Year,Inflation_NominaltoReal),TRUE,_xlfn.XLOOKUP($FY116,Inflation_Year,NominaltoReal)))</f>
        <v>0.96152830081941731</v>
      </c>
      <c r="GC116" s="146" cm="1">
        <f t="array" ref="GC116">IF($FY116=0,0,_xlfn.IFS($FY116='Key assumptions'!$C$120,_xlfn.XLOOKUP(LEFT(GC$7,6),Inflation_Year,Inflation_NominaltoReal),TRUE,_xlfn.XLOOKUP($FY116,Inflation_Year,NominaltoReal)))</f>
        <v>0.93670632415656829</v>
      </c>
      <c r="GD116" s="146" cm="1">
        <f t="array" ref="GD116">IF($FY116=0,0,_xlfn.IFS($FY116='Key assumptions'!$C$120,_xlfn.XLOOKUP(LEFT(GD$7,6),Inflation_Year,Inflation_NominaltoReal),TRUE,_xlfn.XLOOKUP($FY116,Inflation_Year,NominaltoReal)))</f>
        <v>0.91252513001143176</v>
      </c>
      <c r="GE116" s="146" cm="1">
        <f t="array" ref="GE116">IF($FY116=0,0,_xlfn.IFS($FY116='Key assumptions'!$C$120,_xlfn.XLOOKUP(LEFT(GE$7,6),Inflation_Year,Inflation_NominaltoReal),TRUE,_xlfn.XLOOKUP($FY116,Inflation_Year,NominaltoReal)))</f>
        <v>0.88896817650095872</v>
      </c>
      <c r="GF116" s="146" cm="1">
        <f t="array" ref="GF116">IF($FY116=0,0,_xlfn.IFS($FY116='Key assumptions'!$C$120,_xlfn.XLOOKUP(LEFT(GF$7,6),Inflation_Year,Inflation_NominaltoReal),TRUE,_xlfn.XLOOKUP($FY116,Inflation_Year,NominaltoReal)))</f>
        <v>0.86601934877293718</v>
      </c>
      <c r="GG116" s="143"/>
      <c r="GH116" s="145" cm="1">
        <f t="array" ref="GH116">SUMPRODUCT(--($CR$7:$FW$7&gt;=GH$5),--($CR$7:$FW$7&lt;=GH$6),$CR116:$FW116)*FZ116</f>
        <v>30766.617317867123</v>
      </c>
      <c r="GI116" s="145" cm="1">
        <f t="array" ref="GI116">SUMPRODUCT(--($CR$7:$FW$7&gt;=GI$5),--($CR$7:$FW$7&lt;=GI$6),$CR116:$FW116)*GA116</f>
        <v>14890.003294907434</v>
      </c>
      <c r="GJ116" s="145" cm="1">
        <f t="array" ref="GJ116">SUMPRODUCT(--($CR$7:$FW$7&gt;=GJ$5),--($CR$7:$FW$7&lt;=GJ$6),$CR116:$FW116)*GB116</f>
        <v>0</v>
      </c>
      <c r="GK116" s="145" cm="1">
        <f t="array" ref="GK116">SUMPRODUCT(--($CR$7:$FW$7&gt;=GK$5),--($CR$7:$FW$7&lt;=GK$6),$CR116:$FW116)*GC116</f>
        <v>0</v>
      </c>
      <c r="GL116" s="145" cm="1">
        <f t="array" ref="GL116">SUMPRODUCT(--($CR$7:$FW$7&gt;=GL$5),--($CR$7:$FW$7&lt;=GL$6),$CR116:$FW116)*GD116</f>
        <v>0</v>
      </c>
      <c r="GM116" s="145" cm="1">
        <f t="array" ref="GM116">SUMPRODUCT(--($CR$7:$FW$7&gt;=GM$5),--($CR$7:$FW$7&lt;=GM$6),$CR116:$FW116)*GE116</f>
        <v>0</v>
      </c>
      <c r="GN116" s="145" cm="1">
        <f t="array" ref="GN116">SUMPRODUCT(--($CR$7:$FW$7&gt;=GN$5),--($CR$7:$FW$7&lt;=GN$6),$CR116:$FW116)*GF116</f>
        <v>0</v>
      </c>
      <c r="GO116" s="145">
        <f t="shared" si="23"/>
        <v>45656.620612774554</v>
      </c>
      <c r="GP116" s="87"/>
      <c r="GQ116" s="89"/>
      <c r="GR116" s="145" cm="1">
        <f t="array" ref="GR116">SUMPRODUCT(--($CR$7:$FW$7&gt;=GR$5),--($CR$7:$FW$7&lt;=GR$6),$CR116:$FW116)</f>
        <v>0</v>
      </c>
      <c r="GS116" s="89"/>
      <c r="GT116" s="214" cm="1">
        <f t="array" ref="GT116">--AND(MIN(IF($K116:$CP116&lt;&gt;0,$K$7:$CP$7))&gt;=GT$5,MIN(IF($K116:$CP116&lt;&gt;0,$K$7:$CP$7))&lt;=GT$6)</f>
        <v>1</v>
      </c>
      <c r="GU116" s="214" cm="1">
        <f t="array" ref="GU116">--AND(MIN(IF($K116:$CP116&lt;&gt;0,$K$7:$CP$7))&gt;=GU$5,MIN(IF($K116:$CP116&lt;&gt;0,$K$7:$CP$7))&lt;=GU$6)</f>
        <v>0</v>
      </c>
      <c r="GV116" s="214" cm="1">
        <f t="array" ref="GV116">--AND(MIN(IF($K116:$CP116&lt;&gt;0,$K$7:$CP$7))&gt;=GV$5,MIN(IF($K116:$CP116&lt;&gt;0,$K$7:$CP$7))&lt;=GV$6)</f>
        <v>0</v>
      </c>
      <c r="GW116" s="214" cm="1">
        <f t="array" ref="GW116">--AND(MIN(IF($K116:$CP116&lt;&gt;0,$K$7:$CP$7))&gt;=GW$5,MIN(IF($K116:$CP116&lt;&gt;0,$K$7:$CP$7))&lt;=GW$6)</f>
        <v>0</v>
      </c>
      <c r="GX116" s="214" cm="1">
        <f t="array" ref="GX116">--AND(MIN(IF($K116:$CP116&lt;&gt;0,$K$7:$CP$7))&gt;=GX$5,MIN(IF($K116:$CP116&lt;&gt;0,$K$7:$CP$7))&lt;=GX$6)</f>
        <v>0</v>
      </c>
      <c r="GY116" s="214" cm="1">
        <f t="array" ref="GY116">--AND(MIN(IF($K116:$CP116&lt;&gt;0,$K$7:$CP$7))&gt;=GY$5,MIN(IF($K116:$CP116&lt;&gt;0,$K$7:$CP$7))&lt;=GY$6)</f>
        <v>0</v>
      </c>
      <c r="GZ116" s="214" cm="1">
        <f t="array" ref="GZ116">--AND(MIN(IF($K116:$CP116&lt;&gt;0,$K$7:$CP$7))&gt;=GZ$5,MIN(IF($K116:$CP116&lt;&gt;0,$K$7:$CP$7))&lt;=GZ$6)</f>
        <v>0</v>
      </c>
      <c r="HA116" s="214">
        <f t="shared" si="24"/>
        <v>1</v>
      </c>
      <c r="HC116" s="214" cm="1">
        <f t="array" ref="HC116">--AND(MIN(IF($K116:$CP116&lt;&gt;0,$K$7:$CP$7))&gt;=HC$5,MIN(IF($K116:$CP116&lt;&gt;0,$K$7:$CP$7))&lt;=HC$6)</f>
        <v>0</v>
      </c>
      <c r="HE116" s="147" t="str">
        <f t="shared" si="43"/>
        <v>No</v>
      </c>
      <c r="HF116" s="147" t="str">
        <f t="shared" si="44"/>
        <v>Yes</v>
      </c>
      <c r="HG116" s="147">
        <f>IF($HF116="Yes",0,$H116*avg_hrs*12*'Key assumptions'!$D$87)</f>
        <v>0</v>
      </c>
      <c r="HH116" s="147">
        <f>IF(HE116="Yes",'Key assumptions'!$D$84*HG116,0)</f>
        <v>0</v>
      </c>
      <c r="HI116" s="144">
        <f>IFERROR(AVERAGEIFS($K116:$CP116,$K$7:$CP$7,"&gt;="&amp;'Key assumptions'!$D$24,$K$7:$CP$7,"&lt;="&amp;'Key assumptions'!$D$25),0)</f>
        <v>1.948051948051948E-2</v>
      </c>
      <c r="HJ116" s="148">
        <f t="shared" si="45"/>
        <v>0</v>
      </c>
      <c r="HK116" s="148">
        <f t="shared" si="26"/>
        <v>0</v>
      </c>
      <c r="HL116" s="148">
        <f t="shared" si="27"/>
        <v>0</v>
      </c>
      <c r="HM116" s="148">
        <f t="shared" si="28"/>
        <v>0</v>
      </c>
      <c r="HN116" s="148">
        <f t="shared" si="29"/>
        <v>0</v>
      </c>
      <c r="HO116" s="148">
        <f t="shared" si="30"/>
        <v>0</v>
      </c>
      <c r="HP116" s="148">
        <f t="shared" si="31"/>
        <v>0</v>
      </c>
      <c r="HQ116" s="148">
        <f t="shared" si="32"/>
        <v>0</v>
      </c>
      <c r="HR116" s="147">
        <f t="shared" si="33"/>
        <v>0</v>
      </c>
      <c r="HU116" s="147">
        <f>$HJ116*HC116/(1+'Key assumptions'!G138)^0.75</f>
        <v>0</v>
      </c>
      <c r="HW116" s="216">
        <f t="shared" si="34"/>
        <v>1.948051948051948E-2</v>
      </c>
      <c r="HX116" s="216">
        <f t="shared" si="35"/>
        <v>0</v>
      </c>
      <c r="HY116" s="216">
        <f t="shared" si="36"/>
        <v>0</v>
      </c>
      <c r="HZ116" s="216">
        <f t="shared" si="37"/>
        <v>0</v>
      </c>
      <c r="IA116" s="216">
        <f t="shared" si="38"/>
        <v>0</v>
      </c>
      <c r="IB116" s="216">
        <f t="shared" si="39"/>
        <v>0</v>
      </c>
      <c r="IC116" s="216">
        <f t="shared" si="40"/>
        <v>0</v>
      </c>
      <c r="ID116" s="216">
        <f t="shared" si="41"/>
        <v>1.948051948051948E-2</v>
      </c>
      <c r="IF116" s="216">
        <f t="shared" si="42"/>
        <v>0</v>
      </c>
    </row>
    <row r="117" spans="2:240" x14ac:dyDescent="0.2">
      <c r="B117" s="141" t="str">
        <v>Project Delivery Management - Commissioning</v>
      </c>
      <c r="C117" s="141" t="str">
        <v>Project Engineer - Senior CO (Network Projects)</v>
      </c>
      <c r="D117" s="141" t="str">
        <v>Internal Labour</v>
      </c>
      <c r="E117" s="141" t="str">
        <v>$ Nominal</v>
      </c>
      <c r="F117" s="141" t="str">
        <v>Existing</v>
      </c>
      <c r="G117" s="141" t="str">
        <v>Normal time</v>
      </c>
      <c r="H117" s="142">
        <v>254.01</v>
      </c>
      <c r="I117" s="126">
        <v>188319.59999999992</v>
      </c>
      <c r="J117" s="143">
        <v>0</v>
      </c>
      <c r="K117" s="144">
        <v>0</v>
      </c>
      <c r="L117" s="144">
        <v>0</v>
      </c>
      <c r="M117" s="144">
        <v>0</v>
      </c>
      <c r="N117" s="144">
        <v>0</v>
      </c>
      <c r="O117" s="144">
        <v>0</v>
      </c>
      <c r="P117" s="144">
        <v>0</v>
      </c>
      <c r="Q117" s="144">
        <v>0</v>
      </c>
      <c r="R117" s="144">
        <v>0</v>
      </c>
      <c r="S117" s="144">
        <v>0</v>
      </c>
      <c r="T117" s="144">
        <v>0</v>
      </c>
      <c r="U117" s="144">
        <v>0</v>
      </c>
      <c r="V117" s="144">
        <v>0</v>
      </c>
      <c r="W117" s="144">
        <v>0</v>
      </c>
      <c r="X117" s="144">
        <v>0</v>
      </c>
      <c r="Y117" s="144">
        <v>0.2</v>
      </c>
      <c r="Z117" s="144">
        <v>0.2</v>
      </c>
      <c r="AA117" s="144">
        <v>0.18421052631578946</v>
      </c>
      <c r="AB117" s="144">
        <v>0.18421052631578946</v>
      </c>
      <c r="AC117" s="144">
        <v>0.2</v>
      </c>
      <c r="AD117" s="144">
        <v>0.2</v>
      </c>
      <c r="AE117" s="144">
        <v>0.2</v>
      </c>
      <c r="AF117" s="144">
        <v>0.2</v>
      </c>
      <c r="AG117" s="144">
        <v>0.2</v>
      </c>
      <c r="AH117" s="144">
        <v>0.2</v>
      </c>
      <c r="AI117" s="144">
        <v>0.2</v>
      </c>
      <c r="AJ117" s="144">
        <v>0.2</v>
      </c>
      <c r="AK117" s="144">
        <v>0.2</v>
      </c>
      <c r="AL117" s="144">
        <v>0.2</v>
      </c>
      <c r="AM117" s="144">
        <v>0.18421052631578946</v>
      </c>
      <c r="AN117" s="144">
        <v>0.18421052631578946</v>
      </c>
      <c r="AO117" s="144">
        <v>0.2</v>
      </c>
      <c r="AP117" s="144">
        <v>0.2</v>
      </c>
      <c r="AQ117" s="144">
        <v>0.2</v>
      </c>
      <c r="AR117" s="144">
        <v>0.2</v>
      </c>
      <c r="AS117" s="144">
        <v>0.2</v>
      </c>
      <c r="AT117" s="144">
        <v>0.2</v>
      </c>
      <c r="AU117" s="144">
        <v>0.2</v>
      </c>
      <c r="AV117" s="144">
        <v>0.2</v>
      </c>
      <c r="AW117" s="144">
        <v>0.2</v>
      </c>
      <c r="AX117" s="144">
        <v>0.2</v>
      </c>
      <c r="AY117" s="144">
        <v>0.18421052631578946</v>
      </c>
      <c r="AZ117" s="144">
        <v>0.18421052631578946</v>
      </c>
      <c r="BA117" s="144">
        <v>0</v>
      </c>
      <c r="BB117" s="144">
        <v>0</v>
      </c>
      <c r="BC117" s="144">
        <v>0</v>
      </c>
      <c r="BD117" s="144">
        <v>0</v>
      </c>
      <c r="BE117" s="144">
        <v>0</v>
      </c>
      <c r="BF117" s="144">
        <v>0</v>
      </c>
      <c r="BG117" s="144">
        <v>0</v>
      </c>
      <c r="BH117" s="144">
        <v>0</v>
      </c>
      <c r="BI117" s="144">
        <v>0</v>
      </c>
      <c r="BJ117" s="144">
        <v>0</v>
      </c>
      <c r="BK117" s="144">
        <v>0</v>
      </c>
      <c r="BL117" s="144">
        <v>0</v>
      </c>
      <c r="BM117" s="144">
        <v>0</v>
      </c>
      <c r="BN117" s="144">
        <v>0</v>
      </c>
      <c r="BO117" s="144">
        <v>0</v>
      </c>
      <c r="BP117" s="144">
        <v>0</v>
      </c>
      <c r="BQ117" s="144">
        <v>0</v>
      </c>
      <c r="BR117" s="144">
        <v>0</v>
      </c>
      <c r="BS117" s="144">
        <v>0</v>
      </c>
      <c r="BT117" s="144">
        <v>0</v>
      </c>
      <c r="BU117" s="144">
        <v>0</v>
      </c>
      <c r="BV117" s="144">
        <v>0</v>
      </c>
      <c r="BW117" s="144">
        <v>0</v>
      </c>
      <c r="BX117" s="144">
        <v>0</v>
      </c>
      <c r="BY117" s="144">
        <v>0</v>
      </c>
      <c r="BZ117" s="144">
        <v>0</v>
      </c>
      <c r="CA117" s="144">
        <v>0</v>
      </c>
      <c r="CB117" s="144">
        <v>0</v>
      </c>
      <c r="CC117" s="144">
        <v>0</v>
      </c>
      <c r="CD117" s="144">
        <v>0</v>
      </c>
      <c r="CE117" s="144">
        <v>0</v>
      </c>
      <c r="CF117" s="144">
        <v>0</v>
      </c>
      <c r="CG117" s="144">
        <v>0</v>
      </c>
      <c r="CH117" s="144">
        <v>0</v>
      </c>
      <c r="CI117" s="144">
        <v>0</v>
      </c>
      <c r="CJ117" s="144">
        <v>0</v>
      </c>
      <c r="CK117" s="144">
        <v>0</v>
      </c>
      <c r="CL117" s="144">
        <v>0</v>
      </c>
      <c r="CM117" s="144">
        <v>0</v>
      </c>
      <c r="CN117" s="144">
        <v>0</v>
      </c>
      <c r="CO117" s="144">
        <v>0</v>
      </c>
      <c r="CP117" s="144">
        <v>0</v>
      </c>
      <c r="CQ117" s="143">
        <v>0</v>
      </c>
      <c r="CR117" s="145">
        <v>0</v>
      </c>
      <c r="CS117" s="145">
        <v>0</v>
      </c>
      <c r="CT117" s="145">
        <v>0</v>
      </c>
      <c r="CU117" s="145">
        <v>0</v>
      </c>
      <c r="CV117" s="145">
        <v>0</v>
      </c>
      <c r="CW117" s="145">
        <v>0</v>
      </c>
      <c r="CX117" s="145">
        <v>0</v>
      </c>
      <c r="CY117" s="145">
        <v>0</v>
      </c>
      <c r="CZ117" s="145">
        <v>0</v>
      </c>
      <c r="DA117" s="145">
        <v>0</v>
      </c>
      <c r="DB117" s="145">
        <v>0</v>
      </c>
      <c r="DC117" s="145">
        <v>0</v>
      </c>
      <c r="DD117" s="145">
        <v>0</v>
      </c>
      <c r="DE117" s="145">
        <v>0</v>
      </c>
      <c r="DF117" s="145">
        <v>6905.6399999999994</v>
      </c>
      <c r="DG117" s="145">
        <v>5179.2299999999996</v>
      </c>
      <c r="DH117" s="145">
        <v>6905.6399999999994</v>
      </c>
      <c r="DI117" s="145">
        <v>6905.6399999999994</v>
      </c>
      <c r="DJ117" s="145">
        <v>7112.28</v>
      </c>
      <c r="DK117" s="145">
        <v>7112.28</v>
      </c>
      <c r="DL117" s="145">
        <v>7112.28</v>
      </c>
      <c r="DM117" s="145">
        <v>7112.28</v>
      </c>
      <c r="DN117" s="145">
        <v>7112.28</v>
      </c>
      <c r="DO117" s="145">
        <v>5334.21</v>
      </c>
      <c r="DP117" s="145">
        <v>5334.21</v>
      </c>
      <c r="DQ117" s="145">
        <v>7112.28</v>
      </c>
      <c r="DR117" s="145">
        <v>7112.28</v>
      </c>
      <c r="DS117" s="145">
        <v>5334.21</v>
      </c>
      <c r="DT117" s="145">
        <v>7112.28</v>
      </c>
      <c r="DU117" s="145">
        <v>7112.28</v>
      </c>
      <c r="DV117" s="145">
        <v>7325.3600000000006</v>
      </c>
      <c r="DW117" s="145">
        <v>7325.3600000000006</v>
      </c>
      <c r="DX117" s="145">
        <v>7325.3600000000006</v>
      </c>
      <c r="DY117" s="145">
        <v>7325.3600000000006</v>
      </c>
      <c r="DZ117" s="145">
        <v>7325.3600000000006</v>
      </c>
      <c r="EA117" s="145">
        <v>5494.02</v>
      </c>
      <c r="EB117" s="145">
        <v>5494.02</v>
      </c>
      <c r="EC117" s="145">
        <v>7325.3600000000006</v>
      </c>
      <c r="ED117" s="145">
        <v>7325.3600000000006</v>
      </c>
      <c r="EE117" s="145">
        <v>5494.02</v>
      </c>
      <c r="EF117" s="145">
        <v>7325.3600000000006</v>
      </c>
      <c r="EG117" s="145">
        <v>7325.3600000000006</v>
      </c>
      <c r="EH117" s="145">
        <v>0</v>
      </c>
      <c r="EI117" s="145">
        <v>0</v>
      </c>
      <c r="EJ117" s="145">
        <v>0</v>
      </c>
      <c r="EK117" s="145">
        <v>0</v>
      </c>
      <c r="EL117" s="145">
        <v>0</v>
      </c>
      <c r="EM117" s="145">
        <v>0</v>
      </c>
      <c r="EN117" s="145">
        <v>0</v>
      </c>
      <c r="EO117" s="145">
        <v>0</v>
      </c>
      <c r="EP117" s="145">
        <v>0</v>
      </c>
      <c r="EQ117" s="145">
        <v>0</v>
      </c>
      <c r="ER117" s="145">
        <v>0</v>
      </c>
      <c r="ES117" s="145">
        <v>0</v>
      </c>
      <c r="ET117" s="145">
        <v>0</v>
      </c>
      <c r="EU117" s="145">
        <v>0</v>
      </c>
      <c r="EV117" s="145">
        <v>0</v>
      </c>
      <c r="EW117" s="145">
        <v>0</v>
      </c>
      <c r="EX117" s="145">
        <v>0</v>
      </c>
      <c r="EY117" s="145">
        <v>0</v>
      </c>
      <c r="EZ117" s="145">
        <v>0</v>
      </c>
      <c r="FA117" s="145">
        <v>0</v>
      </c>
      <c r="FB117" s="145">
        <v>0</v>
      </c>
      <c r="FC117" s="145">
        <v>0</v>
      </c>
      <c r="FD117" s="145">
        <v>0</v>
      </c>
      <c r="FE117" s="145">
        <v>0</v>
      </c>
      <c r="FF117" s="145">
        <v>0</v>
      </c>
      <c r="FG117" s="145">
        <v>0</v>
      </c>
      <c r="FH117" s="145">
        <v>0</v>
      </c>
      <c r="FI117" s="145">
        <v>0</v>
      </c>
      <c r="FJ117" s="145">
        <v>0</v>
      </c>
      <c r="FK117" s="145">
        <v>0</v>
      </c>
      <c r="FL117" s="145">
        <v>0</v>
      </c>
      <c r="FM117" s="145">
        <v>0</v>
      </c>
      <c r="FN117" s="145">
        <v>0</v>
      </c>
      <c r="FO117" s="145">
        <v>0</v>
      </c>
      <c r="FP117" s="145">
        <v>0</v>
      </c>
      <c r="FQ117" s="145">
        <v>0</v>
      </c>
      <c r="FR117" s="145">
        <v>0</v>
      </c>
      <c r="FS117" s="145">
        <v>0</v>
      </c>
      <c r="FT117" s="145">
        <v>0</v>
      </c>
      <c r="FU117" s="145">
        <v>0</v>
      </c>
      <c r="FV117" s="145">
        <v>0</v>
      </c>
      <c r="FW117" s="145">
        <v>0</v>
      </c>
      <c r="FX117" s="143"/>
      <c r="FY117" s="146" t="str">
        <f>_xlfn.XLOOKUP($E117,'Key assumptions'!$B$112:$B$120,'Key assumptions'!$C$112:$C$120,0)</f>
        <v>Nominal</v>
      </c>
      <c r="FZ117" s="146" cm="1">
        <f t="array" ref="FZ117">IF($FY117=0,0,_xlfn.IFS($FY117='Key assumptions'!$C$120,_xlfn.XLOOKUP(LEFT(FZ$7,6),Inflation_Year,Inflation_NominaltoReal),TRUE,_xlfn.XLOOKUP($FY117,Inflation_Year,NominaltoReal)))</f>
        <v>1.0197075870962191</v>
      </c>
      <c r="GA117" s="146" cm="1">
        <f t="array" ref="GA117">IF($FY117=0,0,_xlfn.IFS($FY117='Key assumptions'!$C$120,_xlfn.XLOOKUP(LEFT(GA$7,6),Inflation_Year,Inflation_NominaltoReal),TRUE,_xlfn.XLOOKUP($FY117,Inflation_Year,NominaltoReal)))</f>
        <v>0.98700804022984445</v>
      </c>
      <c r="GB117" s="146" cm="1">
        <f t="array" ref="GB117">IF($FY117=0,0,_xlfn.IFS($FY117='Key assumptions'!$C$120,_xlfn.XLOOKUP(LEFT(GB$7,6),Inflation_Year,Inflation_NominaltoReal),TRUE,_xlfn.XLOOKUP($FY117,Inflation_Year,NominaltoReal)))</f>
        <v>0.96152830081941731</v>
      </c>
      <c r="GC117" s="146" cm="1">
        <f t="array" ref="GC117">IF($FY117=0,0,_xlfn.IFS($FY117='Key assumptions'!$C$120,_xlfn.XLOOKUP(LEFT(GC$7,6),Inflation_Year,Inflation_NominaltoReal),TRUE,_xlfn.XLOOKUP($FY117,Inflation_Year,NominaltoReal)))</f>
        <v>0.93670632415656829</v>
      </c>
      <c r="GD117" s="146" cm="1">
        <f t="array" ref="GD117">IF($FY117=0,0,_xlfn.IFS($FY117='Key assumptions'!$C$120,_xlfn.XLOOKUP(LEFT(GD$7,6),Inflation_Year,Inflation_NominaltoReal),TRUE,_xlfn.XLOOKUP($FY117,Inflation_Year,NominaltoReal)))</f>
        <v>0.91252513001143176</v>
      </c>
      <c r="GE117" s="146" cm="1">
        <f t="array" ref="GE117">IF($FY117=0,0,_xlfn.IFS($FY117='Key assumptions'!$C$120,_xlfn.XLOOKUP(LEFT(GE$7,6),Inflation_Year,Inflation_NominaltoReal),TRUE,_xlfn.XLOOKUP($FY117,Inflation_Year,NominaltoReal)))</f>
        <v>0.88896817650095872</v>
      </c>
      <c r="GF117" s="146" cm="1">
        <f t="array" ref="GF117">IF($FY117=0,0,_xlfn.IFS($FY117='Key assumptions'!$C$120,_xlfn.XLOOKUP(LEFT(GF$7,6),Inflation_Year,Inflation_NominaltoReal),TRUE,_xlfn.XLOOKUP($FY117,Inflation_Year,NominaltoReal)))</f>
        <v>0.86601934877293718</v>
      </c>
      <c r="GG117" s="143"/>
      <c r="GH117" s="145" cm="1">
        <f t="array" ref="GH117">SUMPRODUCT(--($CR$7:$FW$7&gt;=GH$5),--($CR$7:$FW$7&lt;=GH$6),$CR117:$FW117)*FZ117</f>
        <v>48163.838264239843</v>
      </c>
      <c r="GI117" s="145" cm="1">
        <f t="array" ref="GI117">SUMPRODUCT(--($CR$7:$FW$7&gt;=GI$5),--($CR$7:$FW$7&lt;=GI$6),$CR117:$FW117)*GA117</f>
        <v>79604.557393753101</v>
      </c>
      <c r="GJ117" s="145" cm="1">
        <f t="array" ref="GJ117">SUMPRODUCT(--($CR$7:$FW$7&gt;=GJ$5),--($CR$7:$FW$7&lt;=GJ$6),$CR117:$FW117)*GB117</f>
        <v>58109.212867946844</v>
      </c>
      <c r="GK117" s="145" cm="1">
        <f t="array" ref="GK117">SUMPRODUCT(--($CR$7:$FW$7&gt;=GK$5),--($CR$7:$FW$7&lt;=GK$6),$CR117:$FW117)*GC117</f>
        <v>0</v>
      </c>
      <c r="GL117" s="145" cm="1">
        <f t="array" ref="GL117">SUMPRODUCT(--($CR$7:$FW$7&gt;=GL$5),--($CR$7:$FW$7&lt;=GL$6),$CR117:$FW117)*GD117</f>
        <v>0</v>
      </c>
      <c r="GM117" s="145" cm="1">
        <f t="array" ref="GM117">SUMPRODUCT(--($CR$7:$FW$7&gt;=GM$5),--($CR$7:$FW$7&lt;=GM$6),$CR117:$FW117)*GE117</f>
        <v>0</v>
      </c>
      <c r="GN117" s="145" cm="1">
        <f t="array" ref="GN117">SUMPRODUCT(--($CR$7:$FW$7&gt;=GN$5),--($CR$7:$FW$7&lt;=GN$6),$CR117:$FW117)*GF117</f>
        <v>0</v>
      </c>
      <c r="GO117" s="145">
        <f t="shared" si="23"/>
        <v>185877.60852593981</v>
      </c>
      <c r="GP117" s="87"/>
      <c r="GQ117" s="89"/>
      <c r="GR117" s="145" cm="1">
        <f t="array" ref="GR117">SUMPRODUCT(--($CR$7:$FW$7&gt;=GR$5),--($CR$7:$FW$7&lt;=GR$6),$CR117:$FW117)</f>
        <v>25896.149999999998</v>
      </c>
      <c r="GS117" s="89"/>
      <c r="GT117" s="214" cm="1">
        <f t="array" ref="GT117">--AND(MIN(IF($K117:$CP117&lt;&gt;0,$K$7:$CP$7))&gt;=GT$5,MIN(IF($K117:$CP117&lt;&gt;0,$K$7:$CP$7))&lt;=GT$6)</f>
        <v>1</v>
      </c>
      <c r="GU117" s="214" cm="1">
        <f t="array" ref="GU117">--AND(MIN(IF($K117:$CP117&lt;&gt;0,$K$7:$CP$7))&gt;=GU$5,MIN(IF($K117:$CP117&lt;&gt;0,$K$7:$CP$7))&lt;=GU$6)</f>
        <v>0</v>
      </c>
      <c r="GV117" s="214" cm="1">
        <f t="array" ref="GV117">--AND(MIN(IF($K117:$CP117&lt;&gt;0,$K$7:$CP$7))&gt;=GV$5,MIN(IF($K117:$CP117&lt;&gt;0,$K$7:$CP$7))&lt;=GV$6)</f>
        <v>0</v>
      </c>
      <c r="GW117" s="214" cm="1">
        <f t="array" ref="GW117">--AND(MIN(IF($K117:$CP117&lt;&gt;0,$K$7:$CP$7))&gt;=GW$5,MIN(IF($K117:$CP117&lt;&gt;0,$K$7:$CP$7))&lt;=GW$6)</f>
        <v>0</v>
      </c>
      <c r="GX117" s="214" cm="1">
        <f t="array" ref="GX117">--AND(MIN(IF($K117:$CP117&lt;&gt;0,$K$7:$CP$7))&gt;=GX$5,MIN(IF($K117:$CP117&lt;&gt;0,$K$7:$CP$7))&lt;=GX$6)</f>
        <v>0</v>
      </c>
      <c r="GY117" s="214" cm="1">
        <f t="array" ref="GY117">--AND(MIN(IF($K117:$CP117&lt;&gt;0,$K$7:$CP$7))&gt;=GY$5,MIN(IF($K117:$CP117&lt;&gt;0,$K$7:$CP$7))&lt;=GY$6)</f>
        <v>0</v>
      </c>
      <c r="GZ117" s="214" cm="1">
        <f t="array" ref="GZ117">--AND(MIN(IF($K117:$CP117&lt;&gt;0,$K$7:$CP$7))&gt;=GZ$5,MIN(IF($K117:$CP117&lt;&gt;0,$K$7:$CP$7))&lt;=GZ$6)</f>
        <v>0</v>
      </c>
      <c r="HA117" s="214">
        <f t="shared" si="24"/>
        <v>1</v>
      </c>
      <c r="HC117" s="214" cm="1">
        <f t="array" ref="HC117">--AND(MIN(IF($K117:$CP117&lt;&gt;0,$K$7:$CP$7))&gt;=HC$5,MIN(IF($K117:$CP117&lt;&gt;0,$K$7:$CP$7))&lt;=HC$6)</f>
        <v>1</v>
      </c>
      <c r="HE117" s="147" t="str">
        <f t="shared" si="43"/>
        <v>No</v>
      </c>
      <c r="HF117" s="147" t="str">
        <f t="shared" si="44"/>
        <v>No</v>
      </c>
      <c r="HG117" s="147">
        <f>IF($HF117="Yes",0,$H117*avg_hrs*12*'Key assumptions'!$D$87)</f>
        <v>454238.21110356261</v>
      </c>
      <c r="HH117" s="147">
        <f>IF(HE117="Yes",'Key assumptions'!$D$84*HG117,0)</f>
        <v>0</v>
      </c>
      <c r="HI117" s="144">
        <f>IFERROR(AVERAGEIFS($K117:$CP117,$K$7:$CP$7,"&gt;="&amp;'Key assumptions'!$D$24,$K$7:$CP$7,"&lt;="&amp;'Key assumptions'!$D$25),0)</f>
        <v>0.12511961722488041</v>
      </c>
      <c r="HJ117" s="148">
        <f t="shared" si="45"/>
        <v>0</v>
      </c>
      <c r="HK117" s="148">
        <f t="shared" si="26"/>
        <v>0</v>
      </c>
      <c r="HL117" s="148">
        <f t="shared" si="27"/>
        <v>0</v>
      </c>
      <c r="HM117" s="148">
        <f t="shared" si="28"/>
        <v>0</v>
      </c>
      <c r="HN117" s="148">
        <f t="shared" si="29"/>
        <v>0</v>
      </c>
      <c r="HO117" s="148">
        <f t="shared" si="30"/>
        <v>0</v>
      </c>
      <c r="HP117" s="148">
        <f t="shared" si="31"/>
        <v>0</v>
      </c>
      <c r="HQ117" s="148">
        <f t="shared" si="32"/>
        <v>0</v>
      </c>
      <c r="HR117" s="147">
        <f t="shared" si="33"/>
        <v>0</v>
      </c>
      <c r="HU117" s="147">
        <f>$HJ117*HC117/(1+'Key assumptions'!G139)^0.75</f>
        <v>0</v>
      </c>
      <c r="HW117" s="216">
        <f t="shared" si="34"/>
        <v>0.12511961722488041</v>
      </c>
      <c r="HX117" s="216">
        <f t="shared" si="35"/>
        <v>0</v>
      </c>
      <c r="HY117" s="216">
        <f t="shared" si="36"/>
        <v>0</v>
      </c>
      <c r="HZ117" s="216">
        <f t="shared" si="37"/>
        <v>0</v>
      </c>
      <c r="IA117" s="216">
        <f t="shared" si="38"/>
        <v>0</v>
      </c>
      <c r="IB117" s="216">
        <f t="shared" si="39"/>
        <v>0</v>
      </c>
      <c r="IC117" s="216">
        <f t="shared" si="40"/>
        <v>0</v>
      </c>
      <c r="ID117" s="216">
        <f t="shared" si="41"/>
        <v>0.12511961722488041</v>
      </c>
      <c r="IF117" s="216">
        <f t="shared" si="42"/>
        <v>0.12511961722488041</v>
      </c>
    </row>
    <row r="118" spans="2:240" x14ac:dyDescent="0.2">
      <c r="B118" s="141" t="str">
        <v>Project Delivery Management - Commissioning</v>
      </c>
      <c r="C118" s="141" t="str">
        <v>Project Engineer - Senior CO (Network Projects)</v>
      </c>
      <c r="D118" s="141" t="str">
        <v>Internal Labour</v>
      </c>
      <c r="E118" s="141" t="str">
        <v>$ Nominal</v>
      </c>
      <c r="F118" s="141" t="str">
        <v>Existing</v>
      </c>
      <c r="G118" s="141" t="str">
        <v>Normal time</v>
      </c>
      <c r="H118" s="142">
        <v>254.01</v>
      </c>
      <c r="I118" s="126">
        <v>89522.580000000016</v>
      </c>
      <c r="J118" s="143">
        <v>0</v>
      </c>
      <c r="K118" s="144">
        <v>0</v>
      </c>
      <c r="L118" s="144">
        <v>0</v>
      </c>
      <c r="M118" s="144">
        <v>0</v>
      </c>
      <c r="N118" s="144">
        <v>0</v>
      </c>
      <c r="O118" s="144">
        <v>0</v>
      </c>
      <c r="P118" s="144">
        <v>0</v>
      </c>
      <c r="Q118" s="144">
        <v>0</v>
      </c>
      <c r="R118" s="144">
        <v>0</v>
      </c>
      <c r="S118" s="144">
        <v>0</v>
      </c>
      <c r="T118" s="144">
        <v>0</v>
      </c>
      <c r="U118" s="144">
        <v>0</v>
      </c>
      <c r="V118" s="144">
        <v>0</v>
      </c>
      <c r="W118" s="144">
        <v>0</v>
      </c>
      <c r="X118" s="144">
        <v>0</v>
      </c>
      <c r="Y118" s="144">
        <v>0</v>
      </c>
      <c r="Z118" s="144">
        <v>0</v>
      </c>
      <c r="AA118" s="144">
        <v>0</v>
      </c>
      <c r="AB118" s="144">
        <v>0</v>
      </c>
      <c r="AC118" s="144">
        <v>0</v>
      </c>
      <c r="AD118" s="144">
        <v>0</v>
      </c>
      <c r="AE118" s="144">
        <v>0</v>
      </c>
      <c r="AF118" s="144">
        <v>0</v>
      </c>
      <c r="AG118" s="144">
        <v>0</v>
      </c>
      <c r="AH118" s="144">
        <v>0</v>
      </c>
      <c r="AI118" s="144">
        <v>0</v>
      </c>
      <c r="AJ118" s="144">
        <v>0</v>
      </c>
      <c r="AK118" s="144">
        <v>0</v>
      </c>
      <c r="AL118" s="144">
        <v>0</v>
      </c>
      <c r="AM118" s="144">
        <v>0</v>
      </c>
      <c r="AN118" s="144">
        <v>0.18421052631578946</v>
      </c>
      <c r="AO118" s="144">
        <v>0.2</v>
      </c>
      <c r="AP118" s="144">
        <v>0.2</v>
      </c>
      <c r="AQ118" s="144">
        <v>0.2</v>
      </c>
      <c r="AR118" s="144">
        <v>0.2</v>
      </c>
      <c r="AS118" s="144">
        <v>0.2</v>
      </c>
      <c r="AT118" s="144">
        <v>0.2</v>
      </c>
      <c r="AU118" s="144">
        <v>0.2</v>
      </c>
      <c r="AV118" s="144">
        <v>0.2</v>
      </c>
      <c r="AW118" s="144">
        <v>0.2</v>
      </c>
      <c r="AX118" s="144">
        <v>0.2</v>
      </c>
      <c r="AY118" s="144">
        <v>0.18421052631578946</v>
      </c>
      <c r="AZ118" s="144">
        <v>0.18421052631578946</v>
      </c>
      <c r="BA118" s="144">
        <v>0</v>
      </c>
      <c r="BB118" s="144">
        <v>0</v>
      </c>
      <c r="BC118" s="144">
        <v>0</v>
      </c>
      <c r="BD118" s="144">
        <v>0</v>
      </c>
      <c r="BE118" s="144">
        <v>0</v>
      </c>
      <c r="BF118" s="144">
        <v>0</v>
      </c>
      <c r="BG118" s="144">
        <v>0</v>
      </c>
      <c r="BH118" s="144">
        <v>0</v>
      </c>
      <c r="BI118" s="144">
        <v>0</v>
      </c>
      <c r="BJ118" s="144">
        <v>0</v>
      </c>
      <c r="BK118" s="144">
        <v>0</v>
      </c>
      <c r="BL118" s="144">
        <v>0</v>
      </c>
      <c r="BM118" s="144">
        <v>0</v>
      </c>
      <c r="BN118" s="144">
        <v>0</v>
      </c>
      <c r="BO118" s="144">
        <v>0</v>
      </c>
      <c r="BP118" s="144">
        <v>0</v>
      </c>
      <c r="BQ118" s="144">
        <v>0</v>
      </c>
      <c r="BR118" s="144">
        <v>0</v>
      </c>
      <c r="BS118" s="144">
        <v>0</v>
      </c>
      <c r="BT118" s="144">
        <v>0</v>
      </c>
      <c r="BU118" s="144">
        <v>0</v>
      </c>
      <c r="BV118" s="144">
        <v>0</v>
      </c>
      <c r="BW118" s="144">
        <v>0</v>
      </c>
      <c r="BX118" s="144">
        <v>0</v>
      </c>
      <c r="BY118" s="144">
        <v>0</v>
      </c>
      <c r="BZ118" s="144">
        <v>0</v>
      </c>
      <c r="CA118" s="144">
        <v>0</v>
      </c>
      <c r="CB118" s="144">
        <v>0</v>
      </c>
      <c r="CC118" s="144">
        <v>0</v>
      </c>
      <c r="CD118" s="144">
        <v>0</v>
      </c>
      <c r="CE118" s="144">
        <v>0</v>
      </c>
      <c r="CF118" s="144">
        <v>0</v>
      </c>
      <c r="CG118" s="144">
        <v>0</v>
      </c>
      <c r="CH118" s="144">
        <v>0</v>
      </c>
      <c r="CI118" s="144">
        <v>0</v>
      </c>
      <c r="CJ118" s="144">
        <v>0</v>
      </c>
      <c r="CK118" s="144">
        <v>0</v>
      </c>
      <c r="CL118" s="144">
        <v>0</v>
      </c>
      <c r="CM118" s="144">
        <v>0</v>
      </c>
      <c r="CN118" s="144">
        <v>0</v>
      </c>
      <c r="CO118" s="144">
        <v>0</v>
      </c>
      <c r="CP118" s="144">
        <v>0</v>
      </c>
      <c r="CQ118" s="143">
        <v>0</v>
      </c>
      <c r="CR118" s="145">
        <v>0</v>
      </c>
      <c r="CS118" s="145">
        <v>0</v>
      </c>
      <c r="CT118" s="145">
        <v>0</v>
      </c>
      <c r="CU118" s="145">
        <v>0</v>
      </c>
      <c r="CV118" s="145">
        <v>0</v>
      </c>
      <c r="CW118" s="145">
        <v>0</v>
      </c>
      <c r="CX118" s="145">
        <v>0</v>
      </c>
      <c r="CY118" s="145">
        <v>0</v>
      </c>
      <c r="CZ118" s="145">
        <v>0</v>
      </c>
      <c r="DA118" s="145">
        <v>0</v>
      </c>
      <c r="DB118" s="145">
        <v>0</v>
      </c>
      <c r="DC118" s="145">
        <v>0</v>
      </c>
      <c r="DD118" s="145">
        <v>0</v>
      </c>
      <c r="DE118" s="145">
        <v>0</v>
      </c>
      <c r="DF118" s="145">
        <v>0</v>
      </c>
      <c r="DG118" s="145">
        <v>0</v>
      </c>
      <c r="DH118" s="145">
        <v>0</v>
      </c>
      <c r="DI118" s="145">
        <v>0</v>
      </c>
      <c r="DJ118" s="145">
        <v>0</v>
      </c>
      <c r="DK118" s="145">
        <v>0</v>
      </c>
      <c r="DL118" s="145">
        <v>0</v>
      </c>
      <c r="DM118" s="145">
        <v>0</v>
      </c>
      <c r="DN118" s="145">
        <v>0</v>
      </c>
      <c r="DO118" s="145">
        <v>0</v>
      </c>
      <c r="DP118" s="145">
        <v>0</v>
      </c>
      <c r="DQ118" s="145">
        <v>0</v>
      </c>
      <c r="DR118" s="145">
        <v>0</v>
      </c>
      <c r="DS118" s="145">
        <v>0</v>
      </c>
      <c r="DT118" s="145">
        <v>0</v>
      </c>
      <c r="DU118" s="145">
        <v>7112.28</v>
      </c>
      <c r="DV118" s="145">
        <v>7325.3600000000006</v>
      </c>
      <c r="DW118" s="145">
        <v>7325.3600000000006</v>
      </c>
      <c r="DX118" s="145">
        <v>7325.3600000000006</v>
      </c>
      <c r="DY118" s="145">
        <v>7325.3600000000006</v>
      </c>
      <c r="DZ118" s="145">
        <v>7325.3600000000006</v>
      </c>
      <c r="EA118" s="145">
        <v>5494.02</v>
      </c>
      <c r="EB118" s="145">
        <v>5494.02</v>
      </c>
      <c r="EC118" s="145">
        <v>7325.3600000000006</v>
      </c>
      <c r="ED118" s="145">
        <v>7325.3600000000006</v>
      </c>
      <c r="EE118" s="145">
        <v>5494.02</v>
      </c>
      <c r="EF118" s="145">
        <v>7325.3600000000006</v>
      </c>
      <c r="EG118" s="145">
        <v>7325.3600000000006</v>
      </c>
      <c r="EH118" s="145">
        <v>0</v>
      </c>
      <c r="EI118" s="145">
        <v>0</v>
      </c>
      <c r="EJ118" s="145">
        <v>0</v>
      </c>
      <c r="EK118" s="145">
        <v>0</v>
      </c>
      <c r="EL118" s="145">
        <v>0</v>
      </c>
      <c r="EM118" s="145">
        <v>0</v>
      </c>
      <c r="EN118" s="145">
        <v>0</v>
      </c>
      <c r="EO118" s="145">
        <v>0</v>
      </c>
      <c r="EP118" s="145">
        <v>0</v>
      </c>
      <c r="EQ118" s="145">
        <v>0</v>
      </c>
      <c r="ER118" s="145">
        <v>0</v>
      </c>
      <c r="ES118" s="145">
        <v>0</v>
      </c>
      <c r="ET118" s="145">
        <v>0</v>
      </c>
      <c r="EU118" s="145">
        <v>0</v>
      </c>
      <c r="EV118" s="145">
        <v>0</v>
      </c>
      <c r="EW118" s="145">
        <v>0</v>
      </c>
      <c r="EX118" s="145">
        <v>0</v>
      </c>
      <c r="EY118" s="145">
        <v>0</v>
      </c>
      <c r="EZ118" s="145">
        <v>0</v>
      </c>
      <c r="FA118" s="145">
        <v>0</v>
      </c>
      <c r="FB118" s="145">
        <v>0</v>
      </c>
      <c r="FC118" s="145">
        <v>0</v>
      </c>
      <c r="FD118" s="145">
        <v>0</v>
      </c>
      <c r="FE118" s="145">
        <v>0</v>
      </c>
      <c r="FF118" s="145">
        <v>0</v>
      </c>
      <c r="FG118" s="145">
        <v>0</v>
      </c>
      <c r="FH118" s="145">
        <v>0</v>
      </c>
      <c r="FI118" s="145">
        <v>0</v>
      </c>
      <c r="FJ118" s="145">
        <v>0</v>
      </c>
      <c r="FK118" s="145">
        <v>0</v>
      </c>
      <c r="FL118" s="145">
        <v>0</v>
      </c>
      <c r="FM118" s="145">
        <v>0</v>
      </c>
      <c r="FN118" s="145">
        <v>0</v>
      </c>
      <c r="FO118" s="145">
        <v>0</v>
      </c>
      <c r="FP118" s="145">
        <v>0</v>
      </c>
      <c r="FQ118" s="145">
        <v>0</v>
      </c>
      <c r="FR118" s="145">
        <v>0</v>
      </c>
      <c r="FS118" s="145">
        <v>0</v>
      </c>
      <c r="FT118" s="145">
        <v>0</v>
      </c>
      <c r="FU118" s="145">
        <v>0</v>
      </c>
      <c r="FV118" s="145">
        <v>0</v>
      </c>
      <c r="FW118" s="145">
        <v>0</v>
      </c>
      <c r="FX118" s="143"/>
      <c r="FY118" s="146" t="str">
        <f>_xlfn.XLOOKUP($E118,'Key assumptions'!$B$112:$B$120,'Key assumptions'!$C$112:$C$120,0)</f>
        <v>Nominal</v>
      </c>
      <c r="FZ118" s="146" cm="1">
        <f t="array" ref="FZ118">IF($FY118=0,0,_xlfn.IFS($FY118='Key assumptions'!$C$120,_xlfn.XLOOKUP(LEFT(FZ$7,6),Inflation_Year,Inflation_NominaltoReal),TRUE,_xlfn.XLOOKUP($FY118,Inflation_Year,NominaltoReal)))</f>
        <v>1.0197075870962191</v>
      </c>
      <c r="GA118" s="146" cm="1">
        <f t="array" ref="GA118">IF($FY118=0,0,_xlfn.IFS($FY118='Key assumptions'!$C$120,_xlfn.XLOOKUP(LEFT(GA$7,6),Inflation_Year,Inflation_NominaltoReal),TRUE,_xlfn.XLOOKUP($FY118,Inflation_Year,NominaltoReal)))</f>
        <v>0.98700804022984445</v>
      </c>
      <c r="GB118" s="146" cm="1">
        <f t="array" ref="GB118">IF($FY118=0,0,_xlfn.IFS($FY118='Key assumptions'!$C$120,_xlfn.XLOOKUP(LEFT(GB$7,6),Inflation_Year,Inflation_NominaltoReal),TRUE,_xlfn.XLOOKUP($FY118,Inflation_Year,NominaltoReal)))</f>
        <v>0.96152830081941731</v>
      </c>
      <c r="GC118" s="146" cm="1">
        <f t="array" ref="GC118">IF($FY118=0,0,_xlfn.IFS($FY118='Key assumptions'!$C$120,_xlfn.XLOOKUP(LEFT(GC$7,6),Inflation_Year,Inflation_NominaltoReal),TRUE,_xlfn.XLOOKUP($FY118,Inflation_Year,NominaltoReal)))</f>
        <v>0.93670632415656829</v>
      </c>
      <c r="GD118" s="146" cm="1">
        <f t="array" ref="GD118">IF($FY118=0,0,_xlfn.IFS($FY118='Key assumptions'!$C$120,_xlfn.XLOOKUP(LEFT(GD$7,6),Inflation_Year,Inflation_NominaltoReal),TRUE,_xlfn.XLOOKUP($FY118,Inflation_Year,NominaltoReal)))</f>
        <v>0.91252513001143176</v>
      </c>
      <c r="GE118" s="146" cm="1">
        <f t="array" ref="GE118">IF($FY118=0,0,_xlfn.IFS($FY118='Key assumptions'!$C$120,_xlfn.XLOOKUP(LEFT(GE$7,6),Inflation_Year,Inflation_NominaltoReal),TRUE,_xlfn.XLOOKUP($FY118,Inflation_Year,NominaltoReal)))</f>
        <v>0.88896817650095872</v>
      </c>
      <c r="GF118" s="146" cm="1">
        <f t="array" ref="GF118">IF($FY118=0,0,_xlfn.IFS($FY118='Key assumptions'!$C$120,_xlfn.XLOOKUP(LEFT(GF$7,6),Inflation_Year,Inflation_NominaltoReal),TRUE,_xlfn.XLOOKUP($FY118,Inflation_Year,NominaltoReal)))</f>
        <v>0.86601934877293718</v>
      </c>
      <c r="GG118" s="143"/>
      <c r="GH118" s="145" cm="1">
        <f t="array" ref="GH118">SUMPRODUCT(--($CR$7:$FW$7&gt;=GH$5),--($CR$7:$FW$7&lt;=GH$6),$CR118:$FW118)*FZ118</f>
        <v>0</v>
      </c>
      <c r="GI118" s="145" cm="1">
        <f t="array" ref="GI118">SUMPRODUCT(--($CR$7:$FW$7&gt;=GI$5),--($CR$7:$FW$7&lt;=GI$6),$CR118:$FW118)*GA118</f>
        <v>28710.445197100198</v>
      </c>
      <c r="GJ118" s="145" cm="1">
        <f t="array" ref="GJ118">SUMPRODUCT(--($CR$7:$FW$7&gt;=GJ$5),--($CR$7:$FW$7&lt;=GJ$6),$CR118:$FW118)*GB118</f>
        <v>58109.212867946844</v>
      </c>
      <c r="GK118" s="145" cm="1">
        <f t="array" ref="GK118">SUMPRODUCT(--($CR$7:$FW$7&gt;=GK$5),--($CR$7:$FW$7&lt;=GK$6),$CR118:$FW118)*GC118</f>
        <v>0</v>
      </c>
      <c r="GL118" s="145" cm="1">
        <f t="array" ref="GL118">SUMPRODUCT(--($CR$7:$FW$7&gt;=GL$5),--($CR$7:$FW$7&lt;=GL$6),$CR118:$FW118)*GD118</f>
        <v>0</v>
      </c>
      <c r="GM118" s="145" cm="1">
        <f t="array" ref="GM118">SUMPRODUCT(--($CR$7:$FW$7&gt;=GM$5),--($CR$7:$FW$7&lt;=GM$6),$CR118:$FW118)*GE118</f>
        <v>0</v>
      </c>
      <c r="GN118" s="145" cm="1">
        <f t="array" ref="GN118">SUMPRODUCT(--($CR$7:$FW$7&gt;=GN$5),--($CR$7:$FW$7&lt;=GN$6),$CR118:$FW118)*GF118</f>
        <v>0</v>
      </c>
      <c r="GO118" s="145">
        <f t="shared" si="23"/>
        <v>86819.658065047042</v>
      </c>
      <c r="GP118" s="87"/>
      <c r="GQ118" s="89"/>
      <c r="GR118" s="145" cm="1">
        <f t="array" ref="GR118">SUMPRODUCT(--($CR$7:$FW$7&gt;=GR$5),--($CR$7:$FW$7&lt;=GR$6),$CR118:$FW118)</f>
        <v>0</v>
      </c>
      <c r="GS118" s="89"/>
      <c r="GT118" s="214" cm="1">
        <f t="array" ref="GT118">--AND(MIN(IF($K118:$CP118&lt;&gt;0,$K$7:$CP$7))&gt;=GT$5,MIN(IF($K118:$CP118&lt;&gt;0,$K$7:$CP$7))&lt;=GT$6)</f>
        <v>0</v>
      </c>
      <c r="GU118" s="214" cm="1">
        <f t="array" ref="GU118">--AND(MIN(IF($K118:$CP118&lt;&gt;0,$K$7:$CP$7))&gt;=GU$5,MIN(IF($K118:$CP118&lt;&gt;0,$K$7:$CP$7))&lt;=GU$6)</f>
        <v>1</v>
      </c>
      <c r="GV118" s="214" cm="1">
        <f t="array" ref="GV118">--AND(MIN(IF($K118:$CP118&lt;&gt;0,$K$7:$CP$7))&gt;=GV$5,MIN(IF($K118:$CP118&lt;&gt;0,$K$7:$CP$7))&lt;=GV$6)</f>
        <v>0</v>
      </c>
      <c r="GW118" s="214" cm="1">
        <f t="array" ref="GW118">--AND(MIN(IF($K118:$CP118&lt;&gt;0,$K$7:$CP$7))&gt;=GW$5,MIN(IF($K118:$CP118&lt;&gt;0,$K$7:$CP$7))&lt;=GW$6)</f>
        <v>0</v>
      </c>
      <c r="GX118" s="214" cm="1">
        <f t="array" ref="GX118">--AND(MIN(IF($K118:$CP118&lt;&gt;0,$K$7:$CP$7))&gt;=GX$5,MIN(IF($K118:$CP118&lt;&gt;0,$K$7:$CP$7))&lt;=GX$6)</f>
        <v>0</v>
      </c>
      <c r="GY118" s="214" cm="1">
        <f t="array" ref="GY118">--AND(MIN(IF($K118:$CP118&lt;&gt;0,$K$7:$CP$7))&gt;=GY$5,MIN(IF($K118:$CP118&lt;&gt;0,$K$7:$CP$7))&lt;=GY$6)</f>
        <v>0</v>
      </c>
      <c r="GZ118" s="214" cm="1">
        <f t="array" ref="GZ118">--AND(MIN(IF($K118:$CP118&lt;&gt;0,$K$7:$CP$7))&gt;=GZ$5,MIN(IF($K118:$CP118&lt;&gt;0,$K$7:$CP$7))&lt;=GZ$6)</f>
        <v>0</v>
      </c>
      <c r="HA118" s="214">
        <f t="shared" si="24"/>
        <v>1</v>
      </c>
      <c r="HC118" s="214" cm="1">
        <f t="array" ref="HC118">--AND(MIN(IF($K118:$CP118&lt;&gt;0,$K$7:$CP$7))&gt;=HC$5,MIN(IF($K118:$CP118&lt;&gt;0,$K$7:$CP$7))&lt;=HC$6)</f>
        <v>0</v>
      </c>
      <c r="HE118" s="147" t="str">
        <f t="shared" si="43"/>
        <v>No</v>
      </c>
      <c r="HF118" s="147" t="str">
        <f t="shared" si="44"/>
        <v>No</v>
      </c>
      <c r="HG118" s="147">
        <f>IF($HF118="Yes",0,$H118*avg_hrs*12*'Key assumptions'!$D$87)</f>
        <v>454238.21110356261</v>
      </c>
      <c r="HH118" s="147">
        <f>IF(HE118="Yes",'Key assumptions'!$D$84*HG118,0)</f>
        <v>0</v>
      </c>
      <c r="HI118" s="144">
        <f>IFERROR(AVERAGEIFS($K118:$CP118,$K$7:$CP$7,"&gt;="&amp;'Key assumptions'!$D$24,$K$7:$CP$7,"&lt;="&amp;'Key assumptions'!$D$25),0)</f>
        <v>5.8014354066985636E-2</v>
      </c>
      <c r="HJ118" s="148">
        <f t="shared" si="45"/>
        <v>0</v>
      </c>
      <c r="HK118" s="148">
        <f t="shared" si="26"/>
        <v>0</v>
      </c>
      <c r="HL118" s="148">
        <f t="shared" si="27"/>
        <v>0</v>
      </c>
      <c r="HM118" s="148">
        <f t="shared" si="28"/>
        <v>0</v>
      </c>
      <c r="HN118" s="148">
        <f t="shared" si="29"/>
        <v>0</v>
      </c>
      <c r="HO118" s="148">
        <f t="shared" si="30"/>
        <v>0</v>
      </c>
      <c r="HP118" s="148">
        <f t="shared" si="31"/>
        <v>0</v>
      </c>
      <c r="HQ118" s="148">
        <f t="shared" si="32"/>
        <v>0</v>
      </c>
      <c r="HR118" s="147">
        <f t="shared" si="33"/>
        <v>0</v>
      </c>
      <c r="HU118" s="147">
        <f>$HJ118*HC118/(1+'Key assumptions'!G140)^0.75</f>
        <v>0</v>
      </c>
      <c r="HW118" s="216">
        <f t="shared" si="34"/>
        <v>0</v>
      </c>
      <c r="HX118" s="216">
        <f t="shared" si="35"/>
        <v>5.8014354066985636E-2</v>
      </c>
      <c r="HY118" s="216">
        <f t="shared" si="36"/>
        <v>0</v>
      </c>
      <c r="HZ118" s="216">
        <f t="shared" si="37"/>
        <v>0</v>
      </c>
      <c r="IA118" s="216">
        <f t="shared" si="38"/>
        <v>0</v>
      </c>
      <c r="IB118" s="216">
        <f t="shared" si="39"/>
        <v>0</v>
      </c>
      <c r="IC118" s="216">
        <f t="shared" si="40"/>
        <v>0</v>
      </c>
      <c r="ID118" s="216">
        <f t="shared" si="41"/>
        <v>5.8014354066985636E-2</v>
      </c>
      <c r="IF118" s="216">
        <f t="shared" si="42"/>
        <v>0</v>
      </c>
    </row>
    <row r="119" spans="2:240" x14ac:dyDescent="0.2">
      <c r="B119" s="141" t="str">
        <v>Project Delivery Management - Project Management</v>
      </c>
      <c r="C119" s="141" t="str">
        <v>Project Engineer - Senior CO (Network Projects)</v>
      </c>
      <c r="D119" s="141" t="str">
        <v>Internal Labour</v>
      </c>
      <c r="E119" s="141" t="str">
        <v>$ Nominal</v>
      </c>
      <c r="F119" s="141" t="str">
        <v>Existing</v>
      </c>
      <c r="G119" s="141" t="str">
        <v>Normal time</v>
      </c>
      <c r="H119" s="142">
        <v>254.01</v>
      </c>
      <c r="I119" s="126">
        <v>572895.66</v>
      </c>
      <c r="J119" s="143">
        <v>0</v>
      </c>
      <c r="K119" s="144">
        <v>0</v>
      </c>
      <c r="L119" s="144">
        <v>0</v>
      </c>
      <c r="M119" s="144">
        <v>0</v>
      </c>
      <c r="N119" s="144">
        <v>0</v>
      </c>
      <c r="O119" s="144">
        <v>0</v>
      </c>
      <c r="P119" s="144">
        <v>0</v>
      </c>
      <c r="Q119" s="144">
        <v>0</v>
      </c>
      <c r="R119" s="144">
        <v>0</v>
      </c>
      <c r="S119" s="144">
        <v>0</v>
      </c>
      <c r="T119" s="144">
        <v>0</v>
      </c>
      <c r="U119" s="144">
        <v>0</v>
      </c>
      <c r="V119" s="144">
        <v>0</v>
      </c>
      <c r="W119" s="144">
        <v>0</v>
      </c>
      <c r="X119" s="144">
        <v>0</v>
      </c>
      <c r="Y119" s="144">
        <v>0</v>
      </c>
      <c r="Z119" s="144">
        <v>0.5</v>
      </c>
      <c r="AA119" s="144">
        <v>0.46052631578947367</v>
      </c>
      <c r="AB119" s="144">
        <v>0.46052631578947367</v>
      </c>
      <c r="AC119" s="144">
        <v>0.5</v>
      </c>
      <c r="AD119" s="144">
        <v>0.5</v>
      </c>
      <c r="AE119" s="144">
        <v>0.5</v>
      </c>
      <c r="AF119" s="144">
        <v>0.5</v>
      </c>
      <c r="AG119" s="144">
        <v>0.5</v>
      </c>
      <c r="AH119" s="144">
        <v>0.5</v>
      </c>
      <c r="AI119" s="144">
        <v>0.5</v>
      </c>
      <c r="AJ119" s="144">
        <v>0.5</v>
      </c>
      <c r="AK119" s="144">
        <v>0.5</v>
      </c>
      <c r="AL119" s="144">
        <v>0.5</v>
      </c>
      <c r="AM119" s="144">
        <v>0.5</v>
      </c>
      <c r="AN119" s="144">
        <v>0.5</v>
      </c>
      <c r="AO119" s="144">
        <v>0.5</v>
      </c>
      <c r="AP119" s="144">
        <v>0.5</v>
      </c>
      <c r="AQ119" s="144">
        <v>0.5</v>
      </c>
      <c r="AR119" s="144">
        <v>0.5</v>
      </c>
      <c r="AS119" s="144">
        <v>0.5</v>
      </c>
      <c r="AT119" s="144">
        <v>0.5</v>
      </c>
      <c r="AU119" s="144">
        <v>0.5</v>
      </c>
      <c r="AV119" s="144">
        <v>0.5</v>
      </c>
      <c r="AW119" s="144">
        <v>0.5</v>
      </c>
      <c r="AX119" s="144">
        <v>0.5</v>
      </c>
      <c r="AY119" s="144">
        <v>0.5</v>
      </c>
      <c r="AZ119" s="144">
        <v>0.5</v>
      </c>
      <c r="BA119" s="144">
        <v>0.5</v>
      </c>
      <c r="BB119" s="144">
        <v>0.5</v>
      </c>
      <c r="BC119" s="144">
        <v>0.5</v>
      </c>
      <c r="BD119" s="144">
        <v>0.5</v>
      </c>
      <c r="BE119" s="144">
        <v>0.5</v>
      </c>
      <c r="BF119" s="144">
        <v>0.66666666666666663</v>
      </c>
      <c r="BG119" s="144">
        <v>0</v>
      </c>
      <c r="BH119" s="144">
        <v>0</v>
      </c>
      <c r="BI119" s="144">
        <v>0</v>
      </c>
      <c r="BJ119" s="144">
        <v>0</v>
      </c>
      <c r="BK119" s="144">
        <v>0</v>
      </c>
      <c r="BL119" s="144">
        <v>0</v>
      </c>
      <c r="BM119" s="144">
        <v>0</v>
      </c>
      <c r="BN119" s="144">
        <v>0</v>
      </c>
      <c r="BO119" s="144">
        <v>0</v>
      </c>
      <c r="BP119" s="144">
        <v>0</v>
      </c>
      <c r="BQ119" s="144">
        <v>0</v>
      </c>
      <c r="BR119" s="144">
        <v>0</v>
      </c>
      <c r="BS119" s="144">
        <v>0</v>
      </c>
      <c r="BT119" s="144">
        <v>0</v>
      </c>
      <c r="BU119" s="144">
        <v>0</v>
      </c>
      <c r="BV119" s="144">
        <v>0</v>
      </c>
      <c r="BW119" s="144">
        <v>0</v>
      </c>
      <c r="BX119" s="144">
        <v>0</v>
      </c>
      <c r="BY119" s="144">
        <v>0</v>
      </c>
      <c r="BZ119" s="144">
        <v>0</v>
      </c>
      <c r="CA119" s="144">
        <v>0</v>
      </c>
      <c r="CB119" s="144">
        <v>0</v>
      </c>
      <c r="CC119" s="144">
        <v>0</v>
      </c>
      <c r="CD119" s="144">
        <v>0</v>
      </c>
      <c r="CE119" s="144">
        <v>0</v>
      </c>
      <c r="CF119" s="144">
        <v>0</v>
      </c>
      <c r="CG119" s="144">
        <v>0</v>
      </c>
      <c r="CH119" s="144">
        <v>0</v>
      </c>
      <c r="CI119" s="144">
        <v>0</v>
      </c>
      <c r="CJ119" s="144">
        <v>0</v>
      </c>
      <c r="CK119" s="144">
        <v>0</v>
      </c>
      <c r="CL119" s="144">
        <v>0</v>
      </c>
      <c r="CM119" s="144">
        <v>0</v>
      </c>
      <c r="CN119" s="144">
        <v>0</v>
      </c>
      <c r="CO119" s="144">
        <v>0</v>
      </c>
      <c r="CP119" s="144">
        <v>0</v>
      </c>
      <c r="CQ119" s="143">
        <v>0</v>
      </c>
      <c r="CR119" s="145">
        <v>0</v>
      </c>
      <c r="CS119" s="145">
        <v>0</v>
      </c>
      <c r="CT119" s="145">
        <v>0</v>
      </c>
      <c r="CU119" s="145">
        <v>0</v>
      </c>
      <c r="CV119" s="145">
        <v>0</v>
      </c>
      <c r="CW119" s="145">
        <v>0</v>
      </c>
      <c r="CX119" s="145">
        <v>0</v>
      </c>
      <c r="CY119" s="145">
        <v>0</v>
      </c>
      <c r="CZ119" s="145">
        <v>0</v>
      </c>
      <c r="DA119" s="145">
        <v>0</v>
      </c>
      <c r="DB119" s="145">
        <v>0</v>
      </c>
      <c r="DC119" s="145">
        <v>0</v>
      </c>
      <c r="DD119" s="145">
        <v>0</v>
      </c>
      <c r="DE119" s="145">
        <v>0</v>
      </c>
      <c r="DF119" s="145">
        <v>0</v>
      </c>
      <c r="DG119" s="145">
        <v>12948.074999999999</v>
      </c>
      <c r="DH119" s="145">
        <v>17264.099999999999</v>
      </c>
      <c r="DI119" s="145">
        <v>17264.099999999999</v>
      </c>
      <c r="DJ119" s="145">
        <v>17780.7</v>
      </c>
      <c r="DK119" s="145">
        <v>17780.7</v>
      </c>
      <c r="DL119" s="145">
        <v>17780.7</v>
      </c>
      <c r="DM119" s="145">
        <v>17780.7</v>
      </c>
      <c r="DN119" s="145">
        <v>17780.7</v>
      </c>
      <c r="DO119" s="145">
        <v>13335.525</v>
      </c>
      <c r="DP119" s="145">
        <v>13335.525</v>
      </c>
      <c r="DQ119" s="145">
        <v>17780.7</v>
      </c>
      <c r="DR119" s="145">
        <v>17780.7</v>
      </c>
      <c r="DS119" s="145">
        <v>13335.525</v>
      </c>
      <c r="DT119" s="145">
        <v>19304.759999999998</v>
      </c>
      <c r="DU119" s="145">
        <v>19304.759999999998</v>
      </c>
      <c r="DV119" s="145">
        <v>18313.400000000001</v>
      </c>
      <c r="DW119" s="145">
        <v>18313.400000000001</v>
      </c>
      <c r="DX119" s="145">
        <v>18313.400000000001</v>
      </c>
      <c r="DY119" s="145">
        <v>18313.400000000001</v>
      </c>
      <c r="DZ119" s="145">
        <v>18313.400000000001</v>
      </c>
      <c r="EA119" s="145">
        <v>13735.050000000001</v>
      </c>
      <c r="EB119" s="145">
        <v>13735.050000000001</v>
      </c>
      <c r="EC119" s="145">
        <v>18313.400000000001</v>
      </c>
      <c r="ED119" s="145">
        <v>18313.400000000001</v>
      </c>
      <c r="EE119" s="145">
        <v>13735.050000000001</v>
      </c>
      <c r="EF119" s="145">
        <v>19883.12</v>
      </c>
      <c r="EG119" s="145">
        <v>19883.12</v>
      </c>
      <c r="EH119" s="145">
        <v>18862.199999999997</v>
      </c>
      <c r="EI119" s="145">
        <v>18862.199999999997</v>
      </c>
      <c r="EJ119" s="145">
        <v>18862.199999999997</v>
      </c>
      <c r="EK119" s="145">
        <v>18862.199999999997</v>
      </c>
      <c r="EL119" s="145">
        <v>18862.199999999997</v>
      </c>
      <c r="EM119" s="145">
        <v>18862.199999999997</v>
      </c>
      <c r="EN119" s="145">
        <v>0</v>
      </c>
      <c r="EO119" s="145">
        <v>0</v>
      </c>
      <c r="EP119" s="145">
        <v>0</v>
      </c>
      <c r="EQ119" s="145">
        <v>0</v>
      </c>
      <c r="ER119" s="145">
        <v>0</v>
      </c>
      <c r="ES119" s="145">
        <v>0</v>
      </c>
      <c r="ET119" s="145">
        <v>0</v>
      </c>
      <c r="EU119" s="145">
        <v>0</v>
      </c>
      <c r="EV119" s="145">
        <v>0</v>
      </c>
      <c r="EW119" s="145">
        <v>0</v>
      </c>
      <c r="EX119" s="145">
        <v>0</v>
      </c>
      <c r="EY119" s="145">
        <v>0</v>
      </c>
      <c r="EZ119" s="145">
        <v>0</v>
      </c>
      <c r="FA119" s="145">
        <v>0</v>
      </c>
      <c r="FB119" s="145">
        <v>0</v>
      </c>
      <c r="FC119" s="145">
        <v>0</v>
      </c>
      <c r="FD119" s="145">
        <v>0</v>
      </c>
      <c r="FE119" s="145">
        <v>0</v>
      </c>
      <c r="FF119" s="145">
        <v>0</v>
      </c>
      <c r="FG119" s="145">
        <v>0</v>
      </c>
      <c r="FH119" s="145">
        <v>0</v>
      </c>
      <c r="FI119" s="145">
        <v>0</v>
      </c>
      <c r="FJ119" s="145">
        <v>0</v>
      </c>
      <c r="FK119" s="145">
        <v>0</v>
      </c>
      <c r="FL119" s="145">
        <v>0</v>
      </c>
      <c r="FM119" s="145">
        <v>0</v>
      </c>
      <c r="FN119" s="145">
        <v>0</v>
      </c>
      <c r="FO119" s="145">
        <v>0</v>
      </c>
      <c r="FP119" s="145">
        <v>0</v>
      </c>
      <c r="FQ119" s="145">
        <v>0</v>
      </c>
      <c r="FR119" s="145">
        <v>0</v>
      </c>
      <c r="FS119" s="145">
        <v>0</v>
      </c>
      <c r="FT119" s="145">
        <v>0</v>
      </c>
      <c r="FU119" s="145">
        <v>0</v>
      </c>
      <c r="FV119" s="145">
        <v>0</v>
      </c>
      <c r="FW119" s="145">
        <v>0</v>
      </c>
      <c r="FX119" s="143"/>
      <c r="FY119" s="146" t="str">
        <f>_xlfn.XLOOKUP($E119,'Key assumptions'!$B$112:$B$120,'Key assumptions'!$C$112:$C$120,0)</f>
        <v>Nominal</v>
      </c>
      <c r="FZ119" s="146" cm="1">
        <f t="array" ref="FZ119">IF($FY119=0,0,_xlfn.IFS($FY119='Key assumptions'!$C$120,_xlfn.XLOOKUP(LEFT(FZ$7,6),Inflation_Year,Inflation_NominaltoReal),TRUE,_xlfn.XLOOKUP($FY119,Inflation_Year,NominaltoReal)))</f>
        <v>1.0197075870962191</v>
      </c>
      <c r="GA119" s="146" cm="1">
        <f t="array" ref="GA119">IF($FY119=0,0,_xlfn.IFS($FY119='Key assumptions'!$C$120,_xlfn.XLOOKUP(LEFT(GA$7,6),Inflation_Year,Inflation_NominaltoReal),TRUE,_xlfn.XLOOKUP($FY119,Inflation_Year,NominaltoReal)))</f>
        <v>0.98700804022984445</v>
      </c>
      <c r="GB119" s="146" cm="1">
        <f t="array" ref="GB119">IF($FY119=0,0,_xlfn.IFS($FY119='Key assumptions'!$C$120,_xlfn.XLOOKUP(LEFT(GB$7,6),Inflation_Year,Inflation_NominaltoReal),TRUE,_xlfn.XLOOKUP($FY119,Inflation_Year,NominaltoReal)))</f>
        <v>0.96152830081941731</v>
      </c>
      <c r="GC119" s="146" cm="1">
        <f t="array" ref="GC119">IF($FY119=0,0,_xlfn.IFS($FY119='Key assumptions'!$C$120,_xlfn.XLOOKUP(LEFT(GC$7,6),Inflation_Year,Inflation_NominaltoReal),TRUE,_xlfn.XLOOKUP($FY119,Inflation_Year,NominaltoReal)))</f>
        <v>0.93670632415656829</v>
      </c>
      <c r="GD119" s="146" cm="1">
        <f t="array" ref="GD119">IF($FY119=0,0,_xlfn.IFS($FY119='Key assumptions'!$C$120,_xlfn.XLOOKUP(LEFT(GD$7,6),Inflation_Year,Inflation_NominaltoReal),TRUE,_xlfn.XLOOKUP($FY119,Inflation_Year,NominaltoReal)))</f>
        <v>0.91252513001143176</v>
      </c>
      <c r="GE119" s="146" cm="1">
        <f t="array" ref="GE119">IF($FY119=0,0,_xlfn.IFS($FY119='Key assumptions'!$C$120,_xlfn.XLOOKUP(LEFT(GE$7,6),Inflation_Year,Inflation_NominaltoReal),TRUE,_xlfn.XLOOKUP($FY119,Inflation_Year,NominaltoReal)))</f>
        <v>0.88896817650095872</v>
      </c>
      <c r="GF119" s="146" cm="1">
        <f t="array" ref="GF119">IF($FY119=0,0,_xlfn.IFS($FY119='Key assumptions'!$C$120,_xlfn.XLOOKUP(LEFT(GF$7,6),Inflation_Year,Inflation_NominaltoReal),TRUE,_xlfn.XLOOKUP($FY119,Inflation_Year,NominaltoReal)))</f>
        <v>0.86601934877293718</v>
      </c>
      <c r="GG119" s="143"/>
      <c r="GH119" s="145" cm="1">
        <f t="array" ref="GH119">SUMPRODUCT(--($CR$7:$FW$7&gt;=GH$5),--($CR$7:$FW$7&lt;=GH$6),$CR119:$FW119)*FZ119</f>
        <v>102805.26190621176</v>
      </c>
      <c r="GI119" s="145" cm="1">
        <f t="array" ref="GI119">SUMPRODUCT(--($CR$7:$FW$7&gt;=GI$5),--($CR$7:$FW$7&lt;=GI$6),$CR119:$FW119)*GA119</f>
        <v>202019.91243196811</v>
      </c>
      <c r="GJ119" s="145" cm="1">
        <f t="array" ref="GJ119">SUMPRODUCT(--($CR$7:$FW$7&gt;=GJ$5),--($CR$7:$FW$7&lt;=GJ$6),$CR119:$FW119)*GB119</f>
        <v>202701.30992573968</v>
      </c>
      <c r="GK119" s="145" cm="1">
        <f t="array" ref="GK119">SUMPRODUCT(--($CR$7:$FW$7&gt;=GK$5),--($CR$7:$FW$7&lt;=GK$6),$CR119:$FW119)*GC119</f>
        <v>53005.026082518059</v>
      </c>
      <c r="GL119" s="145" cm="1">
        <f t="array" ref="GL119">SUMPRODUCT(--($CR$7:$FW$7&gt;=GL$5),--($CR$7:$FW$7&lt;=GL$6),$CR119:$FW119)*GD119</f>
        <v>0</v>
      </c>
      <c r="GM119" s="145" cm="1">
        <f t="array" ref="GM119">SUMPRODUCT(--($CR$7:$FW$7&gt;=GM$5),--($CR$7:$FW$7&lt;=GM$6),$CR119:$FW119)*GE119</f>
        <v>0</v>
      </c>
      <c r="GN119" s="145" cm="1">
        <f t="array" ref="GN119">SUMPRODUCT(--($CR$7:$FW$7&gt;=GN$5),--($CR$7:$FW$7&lt;=GN$6),$CR119:$FW119)*GF119</f>
        <v>0</v>
      </c>
      <c r="GO119" s="145">
        <f t="shared" si="23"/>
        <v>560531.51034643757</v>
      </c>
      <c r="GP119" s="87"/>
      <c r="GQ119" s="89"/>
      <c r="GR119" s="145" cm="1">
        <f t="array" ref="GR119">SUMPRODUCT(--($CR$7:$FW$7&gt;=GR$5),--($CR$7:$FW$7&lt;=GR$6),$CR119:$FW119)</f>
        <v>47476.274999999994</v>
      </c>
      <c r="GS119" s="89"/>
      <c r="GT119" s="214" cm="1">
        <f t="array" ref="GT119">--AND(MIN(IF($K119:$CP119&lt;&gt;0,$K$7:$CP$7))&gt;=GT$5,MIN(IF($K119:$CP119&lt;&gt;0,$K$7:$CP$7))&lt;=GT$6)</f>
        <v>1</v>
      </c>
      <c r="GU119" s="214" cm="1">
        <f t="array" ref="GU119">--AND(MIN(IF($K119:$CP119&lt;&gt;0,$K$7:$CP$7))&gt;=GU$5,MIN(IF($K119:$CP119&lt;&gt;0,$K$7:$CP$7))&lt;=GU$6)</f>
        <v>0</v>
      </c>
      <c r="GV119" s="214" cm="1">
        <f t="array" ref="GV119">--AND(MIN(IF($K119:$CP119&lt;&gt;0,$K$7:$CP$7))&gt;=GV$5,MIN(IF($K119:$CP119&lt;&gt;0,$K$7:$CP$7))&lt;=GV$6)</f>
        <v>0</v>
      </c>
      <c r="GW119" s="214" cm="1">
        <f t="array" ref="GW119">--AND(MIN(IF($K119:$CP119&lt;&gt;0,$K$7:$CP$7))&gt;=GW$5,MIN(IF($K119:$CP119&lt;&gt;0,$K$7:$CP$7))&lt;=GW$6)</f>
        <v>0</v>
      </c>
      <c r="GX119" s="214" cm="1">
        <f t="array" ref="GX119">--AND(MIN(IF($K119:$CP119&lt;&gt;0,$K$7:$CP$7))&gt;=GX$5,MIN(IF($K119:$CP119&lt;&gt;0,$K$7:$CP$7))&lt;=GX$6)</f>
        <v>0</v>
      </c>
      <c r="GY119" s="214" cm="1">
        <f t="array" ref="GY119">--AND(MIN(IF($K119:$CP119&lt;&gt;0,$K$7:$CP$7))&gt;=GY$5,MIN(IF($K119:$CP119&lt;&gt;0,$K$7:$CP$7))&lt;=GY$6)</f>
        <v>0</v>
      </c>
      <c r="GZ119" s="214" cm="1">
        <f t="array" ref="GZ119">--AND(MIN(IF($K119:$CP119&lt;&gt;0,$K$7:$CP$7))&gt;=GZ$5,MIN(IF($K119:$CP119&lt;&gt;0,$K$7:$CP$7))&lt;=GZ$6)</f>
        <v>0</v>
      </c>
      <c r="HA119" s="214">
        <f t="shared" si="24"/>
        <v>1</v>
      </c>
      <c r="HC119" s="214" cm="1">
        <f t="array" ref="HC119">--AND(MIN(IF($K119:$CP119&lt;&gt;0,$K$7:$CP$7))&gt;=HC$5,MIN(IF($K119:$CP119&lt;&gt;0,$K$7:$CP$7))&lt;=HC$6)</f>
        <v>1</v>
      </c>
      <c r="HE119" s="147" t="str">
        <f t="shared" si="43"/>
        <v>No</v>
      </c>
      <c r="HF119" s="147" t="str">
        <f t="shared" si="44"/>
        <v>No</v>
      </c>
      <c r="HG119" s="147">
        <f>IF($HF119="Yes",0,$H119*avg_hrs*12*'Key assumptions'!$D$87)</f>
        <v>454238.21110356261</v>
      </c>
      <c r="HH119" s="147">
        <f>IF(HE119="Yes",'Key assumptions'!$D$84*HG119,0)</f>
        <v>0</v>
      </c>
      <c r="HI119" s="144">
        <f>IFERROR(AVERAGEIFS($K119:$CP119,$K$7:$CP$7,"&gt;="&amp;'Key assumptions'!$D$24,$K$7:$CP$7,"&lt;="&amp;'Key assumptions'!$D$25),0)</f>
        <v>0.37699362041467305</v>
      </c>
      <c r="HJ119" s="148">
        <f t="shared" si="45"/>
        <v>0</v>
      </c>
      <c r="HK119" s="148">
        <f t="shared" si="26"/>
        <v>0</v>
      </c>
      <c r="HL119" s="148">
        <f t="shared" si="27"/>
        <v>0</v>
      </c>
      <c r="HM119" s="148">
        <f t="shared" si="28"/>
        <v>0</v>
      </c>
      <c r="HN119" s="148">
        <f t="shared" si="29"/>
        <v>0</v>
      </c>
      <c r="HO119" s="148">
        <f t="shared" si="30"/>
        <v>0</v>
      </c>
      <c r="HP119" s="148">
        <f t="shared" si="31"/>
        <v>0</v>
      </c>
      <c r="HQ119" s="148">
        <f t="shared" si="32"/>
        <v>0</v>
      </c>
      <c r="HR119" s="147">
        <f t="shared" si="33"/>
        <v>0</v>
      </c>
      <c r="HU119" s="147">
        <f>$HJ119*HC119/(1+'Key assumptions'!G141)^0.75</f>
        <v>0</v>
      </c>
      <c r="HW119" s="216">
        <f t="shared" si="34"/>
        <v>0.37699362041467305</v>
      </c>
      <c r="HX119" s="216">
        <f t="shared" si="35"/>
        <v>0</v>
      </c>
      <c r="HY119" s="216">
        <f t="shared" si="36"/>
        <v>0</v>
      </c>
      <c r="HZ119" s="216">
        <f t="shared" si="37"/>
        <v>0</v>
      </c>
      <c r="IA119" s="216">
        <f t="shared" si="38"/>
        <v>0</v>
      </c>
      <c r="IB119" s="216">
        <f t="shared" si="39"/>
        <v>0</v>
      </c>
      <c r="IC119" s="216">
        <f t="shared" si="40"/>
        <v>0</v>
      </c>
      <c r="ID119" s="216">
        <f t="shared" si="41"/>
        <v>0.37699362041467305</v>
      </c>
      <c r="IF119" s="216">
        <f t="shared" si="42"/>
        <v>0.37699362041467305</v>
      </c>
    </row>
    <row r="120" spans="2:240" x14ac:dyDescent="0.2">
      <c r="B120" s="141" t="str">
        <v>Project Delivery Management - Project Management</v>
      </c>
      <c r="C120" s="141" t="str">
        <v>Project Engineer (Network Projects)</v>
      </c>
      <c r="D120" s="141" t="str">
        <v>Internal Labour</v>
      </c>
      <c r="E120" s="141" t="str">
        <v>$ Nominal</v>
      </c>
      <c r="F120" s="141" t="str">
        <v>Existing</v>
      </c>
      <c r="G120" s="141" t="str">
        <v>Normal time</v>
      </c>
      <c r="H120" s="142">
        <v>202.73</v>
      </c>
      <c r="I120" s="126">
        <v>923651</v>
      </c>
      <c r="J120" s="143">
        <v>0</v>
      </c>
      <c r="K120" s="144">
        <v>0</v>
      </c>
      <c r="L120" s="144">
        <v>0</v>
      </c>
      <c r="M120" s="144">
        <v>0</v>
      </c>
      <c r="N120" s="144">
        <v>0</v>
      </c>
      <c r="O120" s="144">
        <v>0</v>
      </c>
      <c r="P120" s="144">
        <v>0</v>
      </c>
      <c r="Q120" s="144">
        <v>0</v>
      </c>
      <c r="R120" s="144">
        <v>0</v>
      </c>
      <c r="S120" s="144">
        <v>0</v>
      </c>
      <c r="T120" s="144">
        <v>0</v>
      </c>
      <c r="U120" s="144">
        <v>0</v>
      </c>
      <c r="V120" s="144">
        <v>0</v>
      </c>
      <c r="W120" s="144">
        <v>0</v>
      </c>
      <c r="X120" s="144">
        <v>0</v>
      </c>
      <c r="Y120" s="144">
        <v>0</v>
      </c>
      <c r="Z120" s="144">
        <v>1</v>
      </c>
      <c r="AA120" s="144">
        <v>0.92105263157894735</v>
      </c>
      <c r="AB120" s="144">
        <v>0.92105263157894735</v>
      </c>
      <c r="AC120" s="144">
        <v>1</v>
      </c>
      <c r="AD120" s="144">
        <v>1</v>
      </c>
      <c r="AE120" s="144">
        <v>1</v>
      </c>
      <c r="AF120" s="144">
        <v>1</v>
      </c>
      <c r="AG120" s="144">
        <v>1</v>
      </c>
      <c r="AH120" s="144">
        <v>1</v>
      </c>
      <c r="AI120" s="144">
        <v>1</v>
      </c>
      <c r="AJ120" s="144">
        <v>1</v>
      </c>
      <c r="AK120" s="144">
        <v>1</v>
      </c>
      <c r="AL120" s="144">
        <v>1</v>
      </c>
      <c r="AM120" s="144">
        <v>1</v>
      </c>
      <c r="AN120" s="144">
        <v>1</v>
      </c>
      <c r="AO120" s="144">
        <v>1</v>
      </c>
      <c r="AP120" s="144">
        <v>1</v>
      </c>
      <c r="AQ120" s="144">
        <v>1</v>
      </c>
      <c r="AR120" s="144">
        <v>1</v>
      </c>
      <c r="AS120" s="144">
        <v>1</v>
      </c>
      <c r="AT120" s="144">
        <v>1</v>
      </c>
      <c r="AU120" s="144">
        <v>1</v>
      </c>
      <c r="AV120" s="144">
        <v>1</v>
      </c>
      <c r="AW120" s="144">
        <v>1</v>
      </c>
      <c r="AX120" s="144">
        <v>1</v>
      </c>
      <c r="AY120" s="144">
        <v>1</v>
      </c>
      <c r="AZ120" s="144">
        <v>1</v>
      </c>
      <c r="BA120" s="144">
        <v>1</v>
      </c>
      <c r="BB120" s="144">
        <v>1</v>
      </c>
      <c r="BC120" s="144">
        <v>1</v>
      </c>
      <c r="BD120" s="144">
        <v>1</v>
      </c>
      <c r="BE120" s="144">
        <v>1</v>
      </c>
      <c r="BF120" s="144">
        <v>1.3333333333333333</v>
      </c>
      <c r="BG120" s="144">
        <v>0</v>
      </c>
      <c r="BH120" s="144">
        <v>0</v>
      </c>
      <c r="BI120" s="144">
        <v>0</v>
      </c>
      <c r="BJ120" s="144">
        <v>0</v>
      </c>
      <c r="BK120" s="144">
        <v>0</v>
      </c>
      <c r="BL120" s="144">
        <v>0</v>
      </c>
      <c r="BM120" s="144">
        <v>0</v>
      </c>
      <c r="BN120" s="144">
        <v>0</v>
      </c>
      <c r="BO120" s="144">
        <v>0</v>
      </c>
      <c r="BP120" s="144">
        <v>0</v>
      </c>
      <c r="BQ120" s="144">
        <v>0</v>
      </c>
      <c r="BR120" s="144">
        <v>0</v>
      </c>
      <c r="BS120" s="144">
        <v>0</v>
      </c>
      <c r="BT120" s="144">
        <v>0</v>
      </c>
      <c r="BU120" s="144">
        <v>0</v>
      </c>
      <c r="BV120" s="144">
        <v>0</v>
      </c>
      <c r="BW120" s="144">
        <v>0</v>
      </c>
      <c r="BX120" s="144">
        <v>0</v>
      </c>
      <c r="BY120" s="144">
        <v>0</v>
      </c>
      <c r="BZ120" s="144">
        <v>0</v>
      </c>
      <c r="CA120" s="144">
        <v>0</v>
      </c>
      <c r="CB120" s="144">
        <v>0</v>
      </c>
      <c r="CC120" s="144">
        <v>0</v>
      </c>
      <c r="CD120" s="144">
        <v>0</v>
      </c>
      <c r="CE120" s="144">
        <v>0</v>
      </c>
      <c r="CF120" s="144">
        <v>0</v>
      </c>
      <c r="CG120" s="144">
        <v>0</v>
      </c>
      <c r="CH120" s="144">
        <v>0</v>
      </c>
      <c r="CI120" s="144">
        <v>0</v>
      </c>
      <c r="CJ120" s="144">
        <v>0</v>
      </c>
      <c r="CK120" s="144">
        <v>0</v>
      </c>
      <c r="CL120" s="144">
        <v>0</v>
      </c>
      <c r="CM120" s="144">
        <v>0</v>
      </c>
      <c r="CN120" s="144">
        <v>0</v>
      </c>
      <c r="CO120" s="144">
        <v>0</v>
      </c>
      <c r="CP120" s="144">
        <v>0</v>
      </c>
      <c r="CQ120" s="143">
        <v>0</v>
      </c>
      <c r="CR120" s="145">
        <v>0</v>
      </c>
      <c r="CS120" s="145">
        <v>0</v>
      </c>
      <c r="CT120" s="145">
        <v>0</v>
      </c>
      <c r="CU120" s="145">
        <v>0</v>
      </c>
      <c r="CV120" s="145">
        <v>0</v>
      </c>
      <c r="CW120" s="145">
        <v>0</v>
      </c>
      <c r="CX120" s="145">
        <v>0</v>
      </c>
      <c r="CY120" s="145">
        <v>0</v>
      </c>
      <c r="CZ120" s="145">
        <v>0</v>
      </c>
      <c r="DA120" s="145">
        <v>0</v>
      </c>
      <c r="DB120" s="145">
        <v>0</v>
      </c>
      <c r="DC120" s="145">
        <v>0</v>
      </c>
      <c r="DD120" s="145">
        <v>0</v>
      </c>
      <c r="DE120" s="145">
        <v>0</v>
      </c>
      <c r="DF120" s="145">
        <v>0</v>
      </c>
      <c r="DG120" s="145">
        <v>21286.649999999998</v>
      </c>
      <c r="DH120" s="145">
        <v>28382.199999999997</v>
      </c>
      <c r="DI120" s="145">
        <v>28382.199999999997</v>
      </c>
      <c r="DJ120" s="145">
        <v>28382.199999999997</v>
      </c>
      <c r="DK120" s="145">
        <v>28382.199999999997</v>
      </c>
      <c r="DL120" s="145">
        <v>28382.199999999997</v>
      </c>
      <c r="DM120" s="145">
        <v>28382.199999999997</v>
      </c>
      <c r="DN120" s="145">
        <v>28382.199999999997</v>
      </c>
      <c r="DO120" s="145">
        <v>21286.649999999998</v>
      </c>
      <c r="DP120" s="145">
        <v>21286.649999999998</v>
      </c>
      <c r="DQ120" s="145">
        <v>28382.199999999997</v>
      </c>
      <c r="DR120" s="145">
        <v>29244.6</v>
      </c>
      <c r="DS120" s="145">
        <v>21933.449999999997</v>
      </c>
      <c r="DT120" s="145">
        <v>31751.279999999999</v>
      </c>
      <c r="DU120" s="145">
        <v>31751.279999999999</v>
      </c>
      <c r="DV120" s="145">
        <v>29244.6</v>
      </c>
      <c r="DW120" s="145">
        <v>29244.6</v>
      </c>
      <c r="DX120" s="145">
        <v>29244.6</v>
      </c>
      <c r="DY120" s="145">
        <v>29244.6</v>
      </c>
      <c r="DZ120" s="145">
        <v>29244.6</v>
      </c>
      <c r="EA120" s="145">
        <v>21933.449999999997</v>
      </c>
      <c r="EB120" s="145">
        <v>21933.449999999997</v>
      </c>
      <c r="EC120" s="145">
        <v>29244.6</v>
      </c>
      <c r="ED120" s="145">
        <v>30108.400000000001</v>
      </c>
      <c r="EE120" s="145">
        <v>22581.3</v>
      </c>
      <c r="EF120" s="145">
        <v>32689.119999999999</v>
      </c>
      <c r="EG120" s="145">
        <v>32689.119999999999</v>
      </c>
      <c r="EH120" s="145">
        <v>30108.400000000001</v>
      </c>
      <c r="EI120" s="145">
        <v>30108.400000000001</v>
      </c>
      <c r="EJ120" s="145">
        <v>30108.400000000001</v>
      </c>
      <c r="EK120" s="145">
        <v>30108.400000000001</v>
      </c>
      <c r="EL120" s="145">
        <v>30108.400000000001</v>
      </c>
      <c r="EM120" s="145">
        <v>30108.400000000001</v>
      </c>
      <c r="EN120" s="145">
        <v>0</v>
      </c>
      <c r="EO120" s="145">
        <v>0</v>
      </c>
      <c r="EP120" s="145">
        <v>0</v>
      </c>
      <c r="EQ120" s="145">
        <v>0</v>
      </c>
      <c r="ER120" s="145">
        <v>0</v>
      </c>
      <c r="ES120" s="145">
        <v>0</v>
      </c>
      <c r="ET120" s="145">
        <v>0</v>
      </c>
      <c r="EU120" s="145">
        <v>0</v>
      </c>
      <c r="EV120" s="145">
        <v>0</v>
      </c>
      <c r="EW120" s="145">
        <v>0</v>
      </c>
      <c r="EX120" s="145">
        <v>0</v>
      </c>
      <c r="EY120" s="145">
        <v>0</v>
      </c>
      <c r="EZ120" s="145">
        <v>0</v>
      </c>
      <c r="FA120" s="145">
        <v>0</v>
      </c>
      <c r="FB120" s="145">
        <v>0</v>
      </c>
      <c r="FC120" s="145">
        <v>0</v>
      </c>
      <c r="FD120" s="145">
        <v>0</v>
      </c>
      <c r="FE120" s="145">
        <v>0</v>
      </c>
      <c r="FF120" s="145">
        <v>0</v>
      </c>
      <c r="FG120" s="145">
        <v>0</v>
      </c>
      <c r="FH120" s="145">
        <v>0</v>
      </c>
      <c r="FI120" s="145">
        <v>0</v>
      </c>
      <c r="FJ120" s="145">
        <v>0</v>
      </c>
      <c r="FK120" s="145">
        <v>0</v>
      </c>
      <c r="FL120" s="145">
        <v>0</v>
      </c>
      <c r="FM120" s="145">
        <v>0</v>
      </c>
      <c r="FN120" s="145">
        <v>0</v>
      </c>
      <c r="FO120" s="145">
        <v>0</v>
      </c>
      <c r="FP120" s="145">
        <v>0</v>
      </c>
      <c r="FQ120" s="145">
        <v>0</v>
      </c>
      <c r="FR120" s="145">
        <v>0</v>
      </c>
      <c r="FS120" s="145">
        <v>0</v>
      </c>
      <c r="FT120" s="145">
        <v>0</v>
      </c>
      <c r="FU120" s="145">
        <v>0</v>
      </c>
      <c r="FV120" s="145">
        <v>0</v>
      </c>
      <c r="FW120" s="145">
        <v>0</v>
      </c>
      <c r="FX120" s="143"/>
      <c r="FY120" s="146" t="str">
        <f>_xlfn.XLOOKUP($E120,'Key assumptions'!$B$112:$B$120,'Key assumptions'!$C$112:$C$120,0)</f>
        <v>Nominal</v>
      </c>
      <c r="FZ120" s="146" cm="1">
        <f t="array" ref="FZ120">IF($FY120=0,0,_xlfn.IFS($FY120='Key assumptions'!$C$120,_xlfn.XLOOKUP(LEFT(FZ$7,6),Inflation_Year,Inflation_NominaltoReal),TRUE,_xlfn.XLOOKUP($FY120,Inflation_Year,NominaltoReal)))</f>
        <v>1.0197075870962191</v>
      </c>
      <c r="GA120" s="146" cm="1">
        <f t="array" ref="GA120">IF($FY120=0,0,_xlfn.IFS($FY120='Key assumptions'!$C$120,_xlfn.XLOOKUP(LEFT(GA$7,6),Inflation_Year,Inflation_NominaltoReal),TRUE,_xlfn.XLOOKUP($FY120,Inflation_Year,NominaltoReal)))</f>
        <v>0.98700804022984445</v>
      </c>
      <c r="GB120" s="146" cm="1">
        <f t="array" ref="GB120">IF($FY120=0,0,_xlfn.IFS($FY120='Key assumptions'!$C$120,_xlfn.XLOOKUP(LEFT(GB$7,6),Inflation_Year,Inflation_NominaltoReal),TRUE,_xlfn.XLOOKUP($FY120,Inflation_Year,NominaltoReal)))</f>
        <v>0.96152830081941731</v>
      </c>
      <c r="GC120" s="146" cm="1">
        <f t="array" ref="GC120">IF($FY120=0,0,_xlfn.IFS($FY120='Key assumptions'!$C$120,_xlfn.XLOOKUP(LEFT(GC$7,6),Inflation_Year,Inflation_NominaltoReal),TRUE,_xlfn.XLOOKUP($FY120,Inflation_Year,NominaltoReal)))</f>
        <v>0.93670632415656829</v>
      </c>
      <c r="GD120" s="146" cm="1">
        <f t="array" ref="GD120">IF($FY120=0,0,_xlfn.IFS($FY120='Key assumptions'!$C$120,_xlfn.XLOOKUP(LEFT(GD$7,6),Inflation_Year,Inflation_NominaltoReal),TRUE,_xlfn.XLOOKUP($FY120,Inflation_Year,NominaltoReal)))</f>
        <v>0.91252513001143176</v>
      </c>
      <c r="GE120" s="146" cm="1">
        <f t="array" ref="GE120">IF($FY120=0,0,_xlfn.IFS($FY120='Key assumptions'!$C$120,_xlfn.XLOOKUP(LEFT(GE$7,6),Inflation_Year,Inflation_NominaltoReal),TRUE,_xlfn.XLOOKUP($FY120,Inflation_Year,NominaltoReal)))</f>
        <v>0.88896817650095872</v>
      </c>
      <c r="GF120" s="146" cm="1">
        <f t="array" ref="GF120">IF($FY120=0,0,_xlfn.IFS($FY120='Key assumptions'!$C$120,_xlfn.XLOOKUP(LEFT(GF$7,6),Inflation_Year,Inflation_NominaltoReal),TRUE,_xlfn.XLOOKUP($FY120,Inflation_Year,NominaltoReal)))</f>
        <v>0.86601934877293718</v>
      </c>
      <c r="GG120" s="143"/>
      <c r="GH120" s="145" cm="1">
        <f t="array" ref="GH120">SUMPRODUCT(--($CR$7:$FW$7&gt;=GH$5),--($CR$7:$FW$7&lt;=GH$6),$CR120:$FW120)*FZ120</f>
        <v>166413.88190127324</v>
      </c>
      <c r="GI120" s="145" cm="1">
        <f t="array" ref="GI120">SUMPRODUCT(--($CR$7:$FW$7&gt;=GI$5),--($CR$7:$FW$7&lt;=GI$6),$CR120:$FW120)*GA120</f>
        <v>325845.21832573181</v>
      </c>
      <c r="GJ120" s="145" cm="1">
        <f t="array" ref="GJ120">SUMPRODUCT(--($CR$7:$FW$7&gt;=GJ$5),--($CR$7:$FW$7&lt;=GJ$6),$CR120:$FW120)*GB120</f>
        <v>326913.69926426886</v>
      </c>
      <c r="GK120" s="145" cm="1">
        <f t="array" ref="GK120">SUMPRODUCT(--($CR$7:$FW$7&gt;=GK$5),--($CR$7:$FW$7&lt;=GK$6),$CR120:$FW120)*GC120</f>
        <v>84608.18607070687</v>
      </c>
      <c r="GL120" s="145" cm="1">
        <f t="array" ref="GL120">SUMPRODUCT(--($CR$7:$FW$7&gt;=GL$5),--($CR$7:$FW$7&lt;=GL$6),$CR120:$FW120)*GD120</f>
        <v>0</v>
      </c>
      <c r="GM120" s="145" cm="1">
        <f t="array" ref="GM120">SUMPRODUCT(--($CR$7:$FW$7&gt;=GM$5),--($CR$7:$FW$7&lt;=GM$6),$CR120:$FW120)*GE120</f>
        <v>0</v>
      </c>
      <c r="GN120" s="145" cm="1">
        <f t="array" ref="GN120">SUMPRODUCT(--($CR$7:$FW$7&gt;=GN$5),--($CR$7:$FW$7&lt;=GN$6),$CR120:$FW120)*GF120</f>
        <v>0</v>
      </c>
      <c r="GO120" s="145">
        <f t="shared" si="23"/>
        <v>903780.98556198087</v>
      </c>
      <c r="GP120" s="87"/>
      <c r="GQ120" s="89"/>
      <c r="GR120" s="145" cm="1">
        <f t="array" ref="GR120">SUMPRODUCT(--($CR$7:$FW$7&gt;=GR$5),--($CR$7:$FW$7&lt;=GR$6),$CR120:$FW120)</f>
        <v>78051.049999999988</v>
      </c>
      <c r="GS120" s="89"/>
      <c r="GT120" s="214" cm="1">
        <f t="array" ref="GT120">--AND(MIN(IF($K120:$CP120&lt;&gt;0,$K$7:$CP$7))&gt;=GT$5,MIN(IF($K120:$CP120&lt;&gt;0,$K$7:$CP$7))&lt;=GT$6)</f>
        <v>1</v>
      </c>
      <c r="GU120" s="214" cm="1">
        <f t="array" ref="GU120">--AND(MIN(IF($K120:$CP120&lt;&gt;0,$K$7:$CP$7))&gt;=GU$5,MIN(IF($K120:$CP120&lt;&gt;0,$K$7:$CP$7))&lt;=GU$6)</f>
        <v>0</v>
      </c>
      <c r="GV120" s="214" cm="1">
        <f t="array" ref="GV120">--AND(MIN(IF($K120:$CP120&lt;&gt;0,$K$7:$CP$7))&gt;=GV$5,MIN(IF($K120:$CP120&lt;&gt;0,$K$7:$CP$7))&lt;=GV$6)</f>
        <v>0</v>
      </c>
      <c r="GW120" s="214" cm="1">
        <f t="array" ref="GW120">--AND(MIN(IF($K120:$CP120&lt;&gt;0,$K$7:$CP$7))&gt;=GW$5,MIN(IF($K120:$CP120&lt;&gt;0,$K$7:$CP$7))&lt;=GW$6)</f>
        <v>0</v>
      </c>
      <c r="GX120" s="214" cm="1">
        <f t="array" ref="GX120">--AND(MIN(IF($K120:$CP120&lt;&gt;0,$K$7:$CP$7))&gt;=GX$5,MIN(IF($K120:$CP120&lt;&gt;0,$K$7:$CP$7))&lt;=GX$6)</f>
        <v>0</v>
      </c>
      <c r="GY120" s="214" cm="1">
        <f t="array" ref="GY120">--AND(MIN(IF($K120:$CP120&lt;&gt;0,$K$7:$CP$7))&gt;=GY$5,MIN(IF($K120:$CP120&lt;&gt;0,$K$7:$CP$7))&lt;=GY$6)</f>
        <v>0</v>
      </c>
      <c r="GZ120" s="214" cm="1">
        <f t="array" ref="GZ120">--AND(MIN(IF($K120:$CP120&lt;&gt;0,$K$7:$CP$7))&gt;=GZ$5,MIN(IF($K120:$CP120&lt;&gt;0,$K$7:$CP$7))&lt;=GZ$6)</f>
        <v>0</v>
      </c>
      <c r="HA120" s="214">
        <f t="shared" si="24"/>
        <v>1</v>
      </c>
      <c r="HC120" s="214" cm="1">
        <f t="array" ref="HC120">--AND(MIN(IF($K120:$CP120&lt;&gt;0,$K$7:$CP$7))&gt;=HC$5,MIN(IF($K120:$CP120&lt;&gt;0,$K$7:$CP$7))&lt;=HC$6)</f>
        <v>1</v>
      </c>
      <c r="HE120" s="147" t="str">
        <f t="shared" si="43"/>
        <v>No</v>
      </c>
      <c r="HF120" s="147" t="str">
        <f t="shared" si="44"/>
        <v>No</v>
      </c>
      <c r="HG120" s="147">
        <f>IF($HF120="Yes",0,$H120*avg_hrs*12*'Key assumptions'!$D$87)</f>
        <v>362535.77629630821</v>
      </c>
      <c r="HH120" s="147">
        <f>IF(HE120="Yes",'Key assumptions'!$D$84*HG120,0)</f>
        <v>0</v>
      </c>
      <c r="HI120" s="144">
        <f>IFERROR(AVERAGEIFS($K120:$CP120,$K$7:$CP$7,"&gt;="&amp;'Key assumptions'!$D$24,$K$7:$CP$7,"&lt;="&amp;'Key assumptions'!$D$25),0)</f>
        <v>0.75398724082934609</v>
      </c>
      <c r="HJ120" s="148">
        <f t="shared" si="45"/>
        <v>0</v>
      </c>
      <c r="HK120" s="148">
        <f t="shared" si="26"/>
        <v>0</v>
      </c>
      <c r="HL120" s="148">
        <f t="shared" si="27"/>
        <v>0</v>
      </c>
      <c r="HM120" s="148">
        <f t="shared" si="28"/>
        <v>0</v>
      </c>
      <c r="HN120" s="148">
        <f t="shared" si="29"/>
        <v>0</v>
      </c>
      <c r="HO120" s="148">
        <f t="shared" si="30"/>
        <v>0</v>
      </c>
      <c r="HP120" s="148">
        <f t="shared" si="31"/>
        <v>0</v>
      </c>
      <c r="HQ120" s="148">
        <f t="shared" si="32"/>
        <v>0</v>
      </c>
      <c r="HR120" s="147">
        <f t="shared" si="33"/>
        <v>0</v>
      </c>
      <c r="HU120" s="147">
        <f>$HJ120*HC120/(1+'Key assumptions'!G142)^0.75</f>
        <v>0</v>
      </c>
      <c r="HW120" s="216">
        <f t="shared" si="34"/>
        <v>0.75398724082934609</v>
      </c>
      <c r="HX120" s="216">
        <f t="shared" si="35"/>
        <v>0</v>
      </c>
      <c r="HY120" s="216">
        <f t="shared" si="36"/>
        <v>0</v>
      </c>
      <c r="HZ120" s="216">
        <f t="shared" si="37"/>
        <v>0</v>
      </c>
      <c r="IA120" s="216">
        <f t="shared" si="38"/>
        <v>0</v>
      </c>
      <c r="IB120" s="216">
        <f t="shared" si="39"/>
        <v>0</v>
      </c>
      <c r="IC120" s="216">
        <f t="shared" si="40"/>
        <v>0</v>
      </c>
      <c r="ID120" s="216">
        <f t="shared" si="41"/>
        <v>0.75398724082934609</v>
      </c>
      <c r="IF120" s="216">
        <f t="shared" si="42"/>
        <v>0.75398724082934609</v>
      </c>
    </row>
    <row r="121" spans="2:240" x14ac:dyDescent="0.2">
      <c r="B121" s="141" t="str">
        <v>Project Delivery Management - Commercial Management</v>
      </c>
      <c r="C121" s="141" t="str">
        <v>Contract Manager - Senior (Commercial)</v>
      </c>
      <c r="D121" s="141" t="str">
        <v>Internal Labour</v>
      </c>
      <c r="E121" s="141" t="str">
        <v>$ Nominal</v>
      </c>
      <c r="F121" s="141" t="str">
        <v>Existing</v>
      </c>
      <c r="G121" s="141" t="str">
        <v>Normal time</v>
      </c>
      <c r="H121" s="142">
        <v>333.23</v>
      </c>
      <c r="I121" s="126">
        <v>751708.65000000014</v>
      </c>
      <c r="J121" s="143">
        <v>0</v>
      </c>
      <c r="K121" s="144">
        <v>0</v>
      </c>
      <c r="L121" s="144">
        <v>0</v>
      </c>
      <c r="M121" s="144">
        <v>0</v>
      </c>
      <c r="N121" s="144">
        <v>0</v>
      </c>
      <c r="O121" s="144">
        <v>0</v>
      </c>
      <c r="P121" s="144">
        <v>0</v>
      </c>
      <c r="Q121" s="144">
        <v>0</v>
      </c>
      <c r="R121" s="144">
        <v>0</v>
      </c>
      <c r="S121" s="144">
        <v>0</v>
      </c>
      <c r="T121" s="144">
        <v>0</v>
      </c>
      <c r="U121" s="144">
        <v>0</v>
      </c>
      <c r="V121" s="144">
        <v>0</v>
      </c>
      <c r="W121" s="144">
        <v>0</v>
      </c>
      <c r="X121" s="144">
        <v>0</v>
      </c>
      <c r="Y121" s="144">
        <v>0</v>
      </c>
      <c r="Z121" s="144">
        <v>0.5</v>
      </c>
      <c r="AA121" s="144">
        <v>0.46052631578947367</v>
      </c>
      <c r="AB121" s="144">
        <v>0.46052631578947367</v>
      </c>
      <c r="AC121" s="144">
        <v>0.5</v>
      </c>
      <c r="AD121" s="144">
        <v>0.5</v>
      </c>
      <c r="AE121" s="144">
        <v>0.5</v>
      </c>
      <c r="AF121" s="144">
        <v>0.5</v>
      </c>
      <c r="AG121" s="144">
        <v>0.5</v>
      </c>
      <c r="AH121" s="144">
        <v>0.5</v>
      </c>
      <c r="AI121" s="144">
        <v>0.5</v>
      </c>
      <c r="AJ121" s="144">
        <v>0.5</v>
      </c>
      <c r="AK121" s="144">
        <v>0.5</v>
      </c>
      <c r="AL121" s="144">
        <v>0.5</v>
      </c>
      <c r="AM121" s="144">
        <v>0.5</v>
      </c>
      <c r="AN121" s="144">
        <v>0.5</v>
      </c>
      <c r="AO121" s="144">
        <v>0.5</v>
      </c>
      <c r="AP121" s="144">
        <v>0.5</v>
      </c>
      <c r="AQ121" s="144">
        <v>0.5</v>
      </c>
      <c r="AR121" s="144">
        <v>0.5</v>
      </c>
      <c r="AS121" s="144">
        <v>0.5</v>
      </c>
      <c r="AT121" s="144">
        <v>0.5</v>
      </c>
      <c r="AU121" s="144">
        <v>0.5</v>
      </c>
      <c r="AV121" s="144">
        <v>0.5</v>
      </c>
      <c r="AW121" s="144">
        <v>0.5</v>
      </c>
      <c r="AX121" s="144">
        <v>0.5</v>
      </c>
      <c r="AY121" s="144">
        <v>0.5</v>
      </c>
      <c r="AZ121" s="144">
        <v>0.5</v>
      </c>
      <c r="BA121" s="144">
        <v>0.5</v>
      </c>
      <c r="BB121" s="144">
        <v>0.5</v>
      </c>
      <c r="BC121" s="144">
        <v>0.5</v>
      </c>
      <c r="BD121" s="144">
        <v>0.5</v>
      </c>
      <c r="BE121" s="144">
        <v>0.5</v>
      </c>
      <c r="BF121" s="144">
        <v>0.66666666666666663</v>
      </c>
      <c r="BG121" s="144">
        <v>0</v>
      </c>
      <c r="BH121" s="144">
        <v>0</v>
      </c>
      <c r="BI121" s="144">
        <v>0</v>
      </c>
      <c r="BJ121" s="144">
        <v>0</v>
      </c>
      <c r="BK121" s="144">
        <v>0</v>
      </c>
      <c r="BL121" s="144">
        <v>0</v>
      </c>
      <c r="BM121" s="144">
        <v>0</v>
      </c>
      <c r="BN121" s="144">
        <v>0</v>
      </c>
      <c r="BO121" s="144">
        <v>0</v>
      </c>
      <c r="BP121" s="144">
        <v>0</v>
      </c>
      <c r="BQ121" s="144">
        <v>0</v>
      </c>
      <c r="BR121" s="144">
        <v>0</v>
      </c>
      <c r="BS121" s="144">
        <v>0</v>
      </c>
      <c r="BT121" s="144">
        <v>0</v>
      </c>
      <c r="BU121" s="144">
        <v>0</v>
      </c>
      <c r="BV121" s="144">
        <v>0</v>
      </c>
      <c r="BW121" s="144">
        <v>0</v>
      </c>
      <c r="BX121" s="144">
        <v>0</v>
      </c>
      <c r="BY121" s="144">
        <v>0</v>
      </c>
      <c r="BZ121" s="144">
        <v>0</v>
      </c>
      <c r="CA121" s="144">
        <v>0</v>
      </c>
      <c r="CB121" s="144">
        <v>0</v>
      </c>
      <c r="CC121" s="144">
        <v>0</v>
      </c>
      <c r="CD121" s="144">
        <v>0</v>
      </c>
      <c r="CE121" s="144">
        <v>0</v>
      </c>
      <c r="CF121" s="144">
        <v>0</v>
      </c>
      <c r="CG121" s="144">
        <v>0</v>
      </c>
      <c r="CH121" s="144">
        <v>0</v>
      </c>
      <c r="CI121" s="144">
        <v>0</v>
      </c>
      <c r="CJ121" s="144">
        <v>0</v>
      </c>
      <c r="CK121" s="144">
        <v>0</v>
      </c>
      <c r="CL121" s="144">
        <v>0</v>
      </c>
      <c r="CM121" s="144">
        <v>0</v>
      </c>
      <c r="CN121" s="144">
        <v>0</v>
      </c>
      <c r="CO121" s="144">
        <v>0</v>
      </c>
      <c r="CP121" s="144">
        <v>0</v>
      </c>
      <c r="CQ121" s="143">
        <v>0</v>
      </c>
      <c r="CR121" s="145">
        <v>0</v>
      </c>
      <c r="CS121" s="145">
        <v>0</v>
      </c>
      <c r="CT121" s="145">
        <v>0</v>
      </c>
      <c r="CU121" s="145">
        <v>0</v>
      </c>
      <c r="CV121" s="145">
        <v>0</v>
      </c>
      <c r="CW121" s="145">
        <v>0</v>
      </c>
      <c r="CX121" s="145">
        <v>0</v>
      </c>
      <c r="CY121" s="145">
        <v>0</v>
      </c>
      <c r="CZ121" s="145">
        <v>0</v>
      </c>
      <c r="DA121" s="145">
        <v>0</v>
      </c>
      <c r="DB121" s="145">
        <v>0</v>
      </c>
      <c r="DC121" s="145">
        <v>0</v>
      </c>
      <c r="DD121" s="145">
        <v>0</v>
      </c>
      <c r="DE121" s="145">
        <v>0</v>
      </c>
      <c r="DF121" s="145">
        <v>0</v>
      </c>
      <c r="DG121" s="145">
        <v>16989.525000000001</v>
      </c>
      <c r="DH121" s="145">
        <v>22652.7</v>
      </c>
      <c r="DI121" s="145">
        <v>22652.7</v>
      </c>
      <c r="DJ121" s="145">
        <v>23326.799999999999</v>
      </c>
      <c r="DK121" s="145">
        <v>23326.799999999999</v>
      </c>
      <c r="DL121" s="145">
        <v>23326.799999999999</v>
      </c>
      <c r="DM121" s="145">
        <v>23326.799999999999</v>
      </c>
      <c r="DN121" s="145">
        <v>23326.799999999999</v>
      </c>
      <c r="DO121" s="145">
        <v>17495.100000000002</v>
      </c>
      <c r="DP121" s="145">
        <v>17495.100000000002</v>
      </c>
      <c r="DQ121" s="145">
        <v>23326.799999999999</v>
      </c>
      <c r="DR121" s="145">
        <v>23326.799999999999</v>
      </c>
      <c r="DS121" s="145">
        <v>17495.100000000002</v>
      </c>
      <c r="DT121" s="145">
        <v>25326.240000000002</v>
      </c>
      <c r="DU121" s="145">
        <v>25326.240000000002</v>
      </c>
      <c r="DV121" s="145">
        <v>24031.7</v>
      </c>
      <c r="DW121" s="145">
        <v>24031.7</v>
      </c>
      <c r="DX121" s="145">
        <v>24031.7</v>
      </c>
      <c r="DY121" s="145">
        <v>24031.7</v>
      </c>
      <c r="DZ121" s="145">
        <v>24031.7</v>
      </c>
      <c r="EA121" s="145">
        <v>18023.775000000001</v>
      </c>
      <c r="EB121" s="145">
        <v>18023.775000000001</v>
      </c>
      <c r="EC121" s="145">
        <v>24031.7</v>
      </c>
      <c r="ED121" s="145">
        <v>24031.7</v>
      </c>
      <c r="EE121" s="145">
        <v>18023.775000000001</v>
      </c>
      <c r="EF121" s="145">
        <v>26091.56</v>
      </c>
      <c r="EG121" s="145">
        <v>26091.56</v>
      </c>
      <c r="EH121" s="145">
        <v>24752</v>
      </c>
      <c r="EI121" s="145">
        <v>24752</v>
      </c>
      <c r="EJ121" s="145">
        <v>24752</v>
      </c>
      <c r="EK121" s="145">
        <v>24752</v>
      </c>
      <c r="EL121" s="145">
        <v>24752</v>
      </c>
      <c r="EM121" s="145">
        <v>24752</v>
      </c>
      <c r="EN121" s="145">
        <v>0</v>
      </c>
      <c r="EO121" s="145">
        <v>0</v>
      </c>
      <c r="EP121" s="145">
        <v>0</v>
      </c>
      <c r="EQ121" s="145">
        <v>0</v>
      </c>
      <c r="ER121" s="145">
        <v>0</v>
      </c>
      <c r="ES121" s="145">
        <v>0</v>
      </c>
      <c r="ET121" s="145">
        <v>0</v>
      </c>
      <c r="EU121" s="145">
        <v>0</v>
      </c>
      <c r="EV121" s="145">
        <v>0</v>
      </c>
      <c r="EW121" s="145">
        <v>0</v>
      </c>
      <c r="EX121" s="145">
        <v>0</v>
      </c>
      <c r="EY121" s="145">
        <v>0</v>
      </c>
      <c r="EZ121" s="145">
        <v>0</v>
      </c>
      <c r="FA121" s="145">
        <v>0</v>
      </c>
      <c r="FB121" s="145">
        <v>0</v>
      </c>
      <c r="FC121" s="145">
        <v>0</v>
      </c>
      <c r="FD121" s="145">
        <v>0</v>
      </c>
      <c r="FE121" s="145">
        <v>0</v>
      </c>
      <c r="FF121" s="145">
        <v>0</v>
      </c>
      <c r="FG121" s="145">
        <v>0</v>
      </c>
      <c r="FH121" s="145">
        <v>0</v>
      </c>
      <c r="FI121" s="145">
        <v>0</v>
      </c>
      <c r="FJ121" s="145">
        <v>0</v>
      </c>
      <c r="FK121" s="145">
        <v>0</v>
      </c>
      <c r="FL121" s="145">
        <v>0</v>
      </c>
      <c r="FM121" s="145">
        <v>0</v>
      </c>
      <c r="FN121" s="145">
        <v>0</v>
      </c>
      <c r="FO121" s="145">
        <v>0</v>
      </c>
      <c r="FP121" s="145">
        <v>0</v>
      </c>
      <c r="FQ121" s="145">
        <v>0</v>
      </c>
      <c r="FR121" s="145">
        <v>0</v>
      </c>
      <c r="FS121" s="145">
        <v>0</v>
      </c>
      <c r="FT121" s="145">
        <v>0</v>
      </c>
      <c r="FU121" s="145">
        <v>0</v>
      </c>
      <c r="FV121" s="145">
        <v>0</v>
      </c>
      <c r="FW121" s="145">
        <v>0</v>
      </c>
      <c r="FX121" s="143"/>
      <c r="FY121" s="146" t="str">
        <f>_xlfn.XLOOKUP($E121,'Key assumptions'!$B$112:$B$120,'Key assumptions'!$C$112:$C$120,0)</f>
        <v>Nominal</v>
      </c>
      <c r="FZ121" s="146" cm="1">
        <f t="array" ref="FZ121">IF($FY121=0,0,_xlfn.IFS($FY121='Key assumptions'!$C$120,_xlfn.XLOOKUP(LEFT(FZ$7,6),Inflation_Year,Inflation_NominaltoReal),TRUE,_xlfn.XLOOKUP($FY121,Inflation_Year,NominaltoReal)))</f>
        <v>1.0197075870962191</v>
      </c>
      <c r="GA121" s="146" cm="1">
        <f t="array" ref="GA121">IF($FY121=0,0,_xlfn.IFS($FY121='Key assumptions'!$C$120,_xlfn.XLOOKUP(LEFT(GA$7,6),Inflation_Year,Inflation_NominaltoReal),TRUE,_xlfn.XLOOKUP($FY121,Inflation_Year,NominaltoReal)))</f>
        <v>0.98700804022984445</v>
      </c>
      <c r="GB121" s="146" cm="1">
        <f t="array" ref="GB121">IF($FY121=0,0,_xlfn.IFS($FY121='Key assumptions'!$C$120,_xlfn.XLOOKUP(LEFT(GB$7,6),Inflation_Year,Inflation_NominaltoReal),TRUE,_xlfn.XLOOKUP($FY121,Inflation_Year,NominaltoReal)))</f>
        <v>0.96152830081941731</v>
      </c>
      <c r="GC121" s="146" cm="1">
        <f t="array" ref="GC121">IF($FY121=0,0,_xlfn.IFS($FY121='Key assumptions'!$C$120,_xlfn.XLOOKUP(LEFT(GC$7,6),Inflation_Year,Inflation_NominaltoReal),TRUE,_xlfn.XLOOKUP($FY121,Inflation_Year,NominaltoReal)))</f>
        <v>0.93670632415656829</v>
      </c>
      <c r="GD121" s="146" cm="1">
        <f t="array" ref="GD121">IF($FY121=0,0,_xlfn.IFS($FY121='Key assumptions'!$C$120,_xlfn.XLOOKUP(LEFT(GD$7,6),Inflation_Year,Inflation_NominaltoReal),TRUE,_xlfn.XLOOKUP($FY121,Inflation_Year,NominaltoReal)))</f>
        <v>0.91252513001143176</v>
      </c>
      <c r="GE121" s="146" cm="1">
        <f t="array" ref="GE121">IF($FY121=0,0,_xlfn.IFS($FY121='Key assumptions'!$C$120,_xlfn.XLOOKUP(LEFT(GE$7,6),Inflation_Year,Inflation_NominaltoReal),TRUE,_xlfn.XLOOKUP($FY121,Inflation_Year,NominaltoReal)))</f>
        <v>0.88896817650095872</v>
      </c>
      <c r="GF121" s="146" cm="1">
        <f t="array" ref="GF121">IF($FY121=0,0,_xlfn.IFS($FY121='Key assumptions'!$C$120,_xlfn.XLOOKUP(LEFT(GF$7,6),Inflation_Year,Inflation_NominaltoReal),TRUE,_xlfn.XLOOKUP($FY121,Inflation_Year,NominaltoReal)))</f>
        <v>0.86601934877293718</v>
      </c>
      <c r="GG121" s="143"/>
      <c r="GH121" s="145" cm="1">
        <f t="array" ref="GH121">SUMPRODUCT(--($CR$7:$FW$7&gt;=GH$5),--($CR$7:$FW$7&lt;=GH$6),$CR121:$FW121)*FZ121</f>
        <v>134882.15248811821</v>
      </c>
      <c r="GI121" s="145" cm="1">
        <f t="array" ref="GI121">SUMPRODUCT(--($CR$7:$FW$7&gt;=GI$5),--($CR$7:$FW$7&lt;=GI$6),$CR121:$FW121)*GA121</f>
        <v>265051.21808396565</v>
      </c>
      <c r="GJ121" s="145" cm="1">
        <f t="array" ref="GJ121">SUMPRODUCT(--($CR$7:$FW$7&gt;=GJ$5),--($CR$7:$FW$7&lt;=GJ$6),$CR121:$FW121)*GB121</f>
        <v>265994.54012821487</v>
      </c>
      <c r="GK121" s="145" cm="1">
        <f t="array" ref="GK121">SUMPRODUCT(--($CR$7:$FW$7&gt;=GK$5),--($CR$7:$FW$7&lt;=GK$6),$CR121:$FW121)*GC121</f>
        <v>69556.064806570139</v>
      </c>
      <c r="GL121" s="145" cm="1">
        <f t="array" ref="GL121">SUMPRODUCT(--($CR$7:$FW$7&gt;=GL$5),--($CR$7:$FW$7&lt;=GL$6),$CR121:$FW121)*GD121</f>
        <v>0</v>
      </c>
      <c r="GM121" s="145" cm="1">
        <f t="array" ref="GM121">SUMPRODUCT(--($CR$7:$FW$7&gt;=GM$5),--($CR$7:$FW$7&lt;=GM$6),$CR121:$FW121)*GE121</f>
        <v>0</v>
      </c>
      <c r="GN121" s="145" cm="1">
        <f t="array" ref="GN121">SUMPRODUCT(--($CR$7:$FW$7&gt;=GN$5),--($CR$7:$FW$7&lt;=GN$6),$CR121:$FW121)*GF121</f>
        <v>0</v>
      </c>
      <c r="GO121" s="145">
        <f t="shared" si="23"/>
        <v>735483.97550686891</v>
      </c>
      <c r="GP121" s="87"/>
      <c r="GQ121" s="89"/>
      <c r="GR121" s="145" cm="1">
        <f t="array" ref="GR121">SUMPRODUCT(--($CR$7:$FW$7&gt;=GR$5),--($CR$7:$FW$7&lt;=GR$6),$CR121:$FW121)</f>
        <v>62294.925000000003</v>
      </c>
      <c r="GS121" s="89"/>
      <c r="GT121" s="214" cm="1">
        <f t="array" ref="GT121">--AND(MIN(IF($K121:$CP121&lt;&gt;0,$K$7:$CP$7))&gt;=GT$5,MIN(IF($K121:$CP121&lt;&gt;0,$K$7:$CP$7))&lt;=GT$6)</f>
        <v>1</v>
      </c>
      <c r="GU121" s="214" cm="1">
        <f t="array" ref="GU121">--AND(MIN(IF($K121:$CP121&lt;&gt;0,$K$7:$CP$7))&gt;=GU$5,MIN(IF($K121:$CP121&lt;&gt;0,$K$7:$CP$7))&lt;=GU$6)</f>
        <v>0</v>
      </c>
      <c r="GV121" s="214" cm="1">
        <f t="array" ref="GV121">--AND(MIN(IF($K121:$CP121&lt;&gt;0,$K$7:$CP$7))&gt;=GV$5,MIN(IF($K121:$CP121&lt;&gt;0,$K$7:$CP$7))&lt;=GV$6)</f>
        <v>0</v>
      </c>
      <c r="GW121" s="214" cm="1">
        <f t="array" ref="GW121">--AND(MIN(IF($K121:$CP121&lt;&gt;0,$K$7:$CP$7))&gt;=GW$5,MIN(IF($K121:$CP121&lt;&gt;0,$K$7:$CP$7))&lt;=GW$6)</f>
        <v>0</v>
      </c>
      <c r="GX121" s="214" cm="1">
        <f t="array" ref="GX121">--AND(MIN(IF($K121:$CP121&lt;&gt;0,$K$7:$CP$7))&gt;=GX$5,MIN(IF($K121:$CP121&lt;&gt;0,$K$7:$CP$7))&lt;=GX$6)</f>
        <v>0</v>
      </c>
      <c r="GY121" s="214" cm="1">
        <f t="array" ref="GY121">--AND(MIN(IF($K121:$CP121&lt;&gt;0,$K$7:$CP$7))&gt;=GY$5,MIN(IF($K121:$CP121&lt;&gt;0,$K$7:$CP$7))&lt;=GY$6)</f>
        <v>0</v>
      </c>
      <c r="GZ121" s="214" cm="1">
        <f t="array" ref="GZ121">--AND(MIN(IF($K121:$CP121&lt;&gt;0,$K$7:$CP$7))&gt;=GZ$5,MIN(IF($K121:$CP121&lt;&gt;0,$K$7:$CP$7))&lt;=GZ$6)</f>
        <v>0</v>
      </c>
      <c r="HA121" s="214">
        <f t="shared" si="24"/>
        <v>1</v>
      </c>
      <c r="HC121" s="214" cm="1">
        <f t="array" ref="HC121">--AND(MIN(IF($K121:$CP121&lt;&gt;0,$K$7:$CP$7))&gt;=HC$5,MIN(IF($K121:$CP121&lt;&gt;0,$K$7:$CP$7))&lt;=HC$6)</f>
        <v>1</v>
      </c>
      <c r="HE121" s="147" t="str">
        <f t="shared" si="43"/>
        <v>No</v>
      </c>
      <c r="HF121" s="147" t="str">
        <f t="shared" si="44"/>
        <v>No</v>
      </c>
      <c r="HG121" s="147">
        <f>IF($HF121="Yes",0,$H121*avg_hrs*12*'Key assumptions'!$D$87)</f>
        <v>595904.88203629851</v>
      </c>
      <c r="HH121" s="147">
        <f>IF(HE121="Yes",'Key assumptions'!$D$84*HG121,0)</f>
        <v>0</v>
      </c>
      <c r="HI121" s="144">
        <f>IFERROR(AVERAGEIFS($K121:$CP121,$K$7:$CP$7,"&gt;="&amp;'Key assumptions'!$D$24,$K$7:$CP$7,"&lt;="&amp;'Key assumptions'!$D$25),0)</f>
        <v>0.37699362041467305</v>
      </c>
      <c r="HJ121" s="148">
        <f t="shared" si="45"/>
        <v>0</v>
      </c>
      <c r="HK121" s="148">
        <f t="shared" si="26"/>
        <v>0</v>
      </c>
      <c r="HL121" s="148">
        <f t="shared" si="27"/>
        <v>0</v>
      </c>
      <c r="HM121" s="148">
        <f t="shared" si="28"/>
        <v>0</v>
      </c>
      <c r="HN121" s="148">
        <f t="shared" si="29"/>
        <v>0</v>
      </c>
      <c r="HO121" s="148">
        <f t="shared" si="30"/>
        <v>0</v>
      </c>
      <c r="HP121" s="148">
        <f t="shared" si="31"/>
        <v>0</v>
      </c>
      <c r="HQ121" s="148">
        <f t="shared" si="32"/>
        <v>0</v>
      </c>
      <c r="HR121" s="147">
        <f t="shared" si="33"/>
        <v>0</v>
      </c>
      <c r="HU121" s="147">
        <f>$HJ121*HC121/(1+'Key assumptions'!G143)^0.75</f>
        <v>0</v>
      </c>
      <c r="HW121" s="216">
        <f t="shared" si="34"/>
        <v>0.37699362041467305</v>
      </c>
      <c r="HX121" s="216">
        <f t="shared" si="35"/>
        <v>0</v>
      </c>
      <c r="HY121" s="216">
        <f t="shared" si="36"/>
        <v>0</v>
      </c>
      <c r="HZ121" s="216">
        <f t="shared" si="37"/>
        <v>0</v>
      </c>
      <c r="IA121" s="216">
        <f t="shared" si="38"/>
        <v>0</v>
      </c>
      <c r="IB121" s="216">
        <f t="shared" si="39"/>
        <v>0</v>
      </c>
      <c r="IC121" s="216">
        <f t="shared" si="40"/>
        <v>0</v>
      </c>
      <c r="ID121" s="216">
        <f t="shared" si="41"/>
        <v>0.37699362041467305</v>
      </c>
      <c r="IF121" s="216">
        <f t="shared" si="42"/>
        <v>0.37699362041467305</v>
      </c>
    </row>
    <row r="122" spans="2:240" x14ac:dyDescent="0.2">
      <c r="B122" s="141" t="str">
        <v>Project Delivery Management - Commercial Management</v>
      </c>
      <c r="C122" s="141" t="str">
        <v>Contract Administrator (Commercial)</v>
      </c>
      <c r="D122" s="141" t="str">
        <v>Internal Labour</v>
      </c>
      <c r="E122" s="141" t="str">
        <v>$ Nominal</v>
      </c>
      <c r="F122" s="141" t="str">
        <v>Existing</v>
      </c>
      <c r="G122" s="141" t="str">
        <v>Normal time</v>
      </c>
      <c r="H122" s="142">
        <v>202.73</v>
      </c>
      <c r="I122" s="126">
        <v>461825.5</v>
      </c>
      <c r="J122" s="143">
        <v>0</v>
      </c>
      <c r="K122" s="144">
        <v>0</v>
      </c>
      <c r="L122" s="144">
        <v>0</v>
      </c>
      <c r="M122" s="144">
        <v>0</v>
      </c>
      <c r="N122" s="144">
        <v>0</v>
      </c>
      <c r="O122" s="144">
        <v>0</v>
      </c>
      <c r="P122" s="144">
        <v>0</v>
      </c>
      <c r="Q122" s="144">
        <v>0</v>
      </c>
      <c r="R122" s="144">
        <v>0</v>
      </c>
      <c r="S122" s="144">
        <v>0</v>
      </c>
      <c r="T122" s="144">
        <v>0</v>
      </c>
      <c r="U122" s="144">
        <v>0</v>
      </c>
      <c r="V122" s="144">
        <v>0</v>
      </c>
      <c r="W122" s="144">
        <v>0</v>
      </c>
      <c r="X122" s="144">
        <v>0</v>
      </c>
      <c r="Y122" s="144">
        <v>0</v>
      </c>
      <c r="Z122" s="144">
        <v>0.5</v>
      </c>
      <c r="AA122" s="144">
        <v>0.46052631578947367</v>
      </c>
      <c r="AB122" s="144">
        <v>0.46052631578947367</v>
      </c>
      <c r="AC122" s="144">
        <v>0.5</v>
      </c>
      <c r="AD122" s="144">
        <v>0.5</v>
      </c>
      <c r="AE122" s="144">
        <v>0.5</v>
      </c>
      <c r="AF122" s="144">
        <v>0.5</v>
      </c>
      <c r="AG122" s="144">
        <v>0.5</v>
      </c>
      <c r="AH122" s="144">
        <v>0.5</v>
      </c>
      <c r="AI122" s="144">
        <v>0.5</v>
      </c>
      <c r="AJ122" s="144">
        <v>0.5</v>
      </c>
      <c r="AK122" s="144">
        <v>0.5</v>
      </c>
      <c r="AL122" s="144">
        <v>0.5</v>
      </c>
      <c r="AM122" s="144">
        <v>0.5</v>
      </c>
      <c r="AN122" s="144">
        <v>0.5</v>
      </c>
      <c r="AO122" s="144">
        <v>0.5</v>
      </c>
      <c r="AP122" s="144">
        <v>0.5</v>
      </c>
      <c r="AQ122" s="144">
        <v>0.5</v>
      </c>
      <c r="AR122" s="144">
        <v>0.5</v>
      </c>
      <c r="AS122" s="144">
        <v>0.5</v>
      </c>
      <c r="AT122" s="144">
        <v>0.5</v>
      </c>
      <c r="AU122" s="144">
        <v>0.5</v>
      </c>
      <c r="AV122" s="144">
        <v>0.5</v>
      </c>
      <c r="AW122" s="144">
        <v>0.5</v>
      </c>
      <c r="AX122" s="144">
        <v>0.5</v>
      </c>
      <c r="AY122" s="144">
        <v>0.5</v>
      </c>
      <c r="AZ122" s="144">
        <v>0.5</v>
      </c>
      <c r="BA122" s="144">
        <v>0.5</v>
      </c>
      <c r="BB122" s="144">
        <v>0.5</v>
      </c>
      <c r="BC122" s="144">
        <v>0.5</v>
      </c>
      <c r="BD122" s="144">
        <v>0.5</v>
      </c>
      <c r="BE122" s="144">
        <v>0.5</v>
      </c>
      <c r="BF122" s="144">
        <v>0.66666666666666663</v>
      </c>
      <c r="BG122" s="144">
        <v>0</v>
      </c>
      <c r="BH122" s="144">
        <v>0</v>
      </c>
      <c r="BI122" s="144">
        <v>0</v>
      </c>
      <c r="BJ122" s="144">
        <v>0</v>
      </c>
      <c r="BK122" s="144">
        <v>0</v>
      </c>
      <c r="BL122" s="144">
        <v>0</v>
      </c>
      <c r="BM122" s="144">
        <v>0</v>
      </c>
      <c r="BN122" s="144">
        <v>0</v>
      </c>
      <c r="BO122" s="144">
        <v>0</v>
      </c>
      <c r="BP122" s="144">
        <v>0</v>
      </c>
      <c r="BQ122" s="144">
        <v>0</v>
      </c>
      <c r="BR122" s="144">
        <v>0</v>
      </c>
      <c r="BS122" s="144">
        <v>0</v>
      </c>
      <c r="BT122" s="144">
        <v>0</v>
      </c>
      <c r="BU122" s="144">
        <v>0</v>
      </c>
      <c r="BV122" s="144">
        <v>0</v>
      </c>
      <c r="BW122" s="144">
        <v>0</v>
      </c>
      <c r="BX122" s="144">
        <v>0</v>
      </c>
      <c r="BY122" s="144">
        <v>0</v>
      </c>
      <c r="BZ122" s="144">
        <v>0</v>
      </c>
      <c r="CA122" s="144">
        <v>0</v>
      </c>
      <c r="CB122" s="144">
        <v>0</v>
      </c>
      <c r="CC122" s="144">
        <v>0</v>
      </c>
      <c r="CD122" s="144">
        <v>0</v>
      </c>
      <c r="CE122" s="144">
        <v>0</v>
      </c>
      <c r="CF122" s="144">
        <v>0</v>
      </c>
      <c r="CG122" s="144">
        <v>0</v>
      </c>
      <c r="CH122" s="144">
        <v>0</v>
      </c>
      <c r="CI122" s="144">
        <v>0</v>
      </c>
      <c r="CJ122" s="144">
        <v>0</v>
      </c>
      <c r="CK122" s="144">
        <v>0</v>
      </c>
      <c r="CL122" s="144">
        <v>0</v>
      </c>
      <c r="CM122" s="144">
        <v>0</v>
      </c>
      <c r="CN122" s="144">
        <v>0</v>
      </c>
      <c r="CO122" s="144">
        <v>0</v>
      </c>
      <c r="CP122" s="144">
        <v>0</v>
      </c>
      <c r="CQ122" s="143">
        <v>0</v>
      </c>
      <c r="CR122" s="145">
        <v>0</v>
      </c>
      <c r="CS122" s="145">
        <v>0</v>
      </c>
      <c r="CT122" s="145">
        <v>0</v>
      </c>
      <c r="CU122" s="145">
        <v>0</v>
      </c>
      <c r="CV122" s="145">
        <v>0</v>
      </c>
      <c r="CW122" s="145">
        <v>0</v>
      </c>
      <c r="CX122" s="145">
        <v>0</v>
      </c>
      <c r="CY122" s="145">
        <v>0</v>
      </c>
      <c r="CZ122" s="145">
        <v>0</v>
      </c>
      <c r="DA122" s="145">
        <v>0</v>
      </c>
      <c r="DB122" s="145">
        <v>0</v>
      </c>
      <c r="DC122" s="145">
        <v>0</v>
      </c>
      <c r="DD122" s="145">
        <v>0</v>
      </c>
      <c r="DE122" s="145">
        <v>0</v>
      </c>
      <c r="DF122" s="145">
        <v>0</v>
      </c>
      <c r="DG122" s="145">
        <v>10643.324999999999</v>
      </c>
      <c r="DH122" s="145">
        <v>14191.099999999999</v>
      </c>
      <c r="DI122" s="145">
        <v>14191.099999999999</v>
      </c>
      <c r="DJ122" s="145">
        <v>14191.099999999999</v>
      </c>
      <c r="DK122" s="145">
        <v>14191.099999999999</v>
      </c>
      <c r="DL122" s="145">
        <v>14191.099999999999</v>
      </c>
      <c r="DM122" s="145">
        <v>14191.099999999999</v>
      </c>
      <c r="DN122" s="145">
        <v>14191.099999999999</v>
      </c>
      <c r="DO122" s="145">
        <v>10643.324999999999</v>
      </c>
      <c r="DP122" s="145">
        <v>10643.324999999999</v>
      </c>
      <c r="DQ122" s="145">
        <v>14191.099999999999</v>
      </c>
      <c r="DR122" s="145">
        <v>14622.3</v>
      </c>
      <c r="DS122" s="145">
        <v>10966.724999999999</v>
      </c>
      <c r="DT122" s="145">
        <v>15875.64</v>
      </c>
      <c r="DU122" s="145">
        <v>15875.64</v>
      </c>
      <c r="DV122" s="145">
        <v>14622.3</v>
      </c>
      <c r="DW122" s="145">
        <v>14622.3</v>
      </c>
      <c r="DX122" s="145">
        <v>14622.3</v>
      </c>
      <c r="DY122" s="145">
        <v>14622.3</v>
      </c>
      <c r="DZ122" s="145">
        <v>14622.3</v>
      </c>
      <c r="EA122" s="145">
        <v>10966.724999999999</v>
      </c>
      <c r="EB122" s="145">
        <v>10966.724999999999</v>
      </c>
      <c r="EC122" s="145">
        <v>14622.3</v>
      </c>
      <c r="ED122" s="145">
        <v>15054.2</v>
      </c>
      <c r="EE122" s="145">
        <v>11290.65</v>
      </c>
      <c r="EF122" s="145">
        <v>16344.56</v>
      </c>
      <c r="EG122" s="145">
        <v>16344.56</v>
      </c>
      <c r="EH122" s="145">
        <v>15054.2</v>
      </c>
      <c r="EI122" s="145">
        <v>15054.2</v>
      </c>
      <c r="EJ122" s="145">
        <v>15054.2</v>
      </c>
      <c r="EK122" s="145">
        <v>15054.2</v>
      </c>
      <c r="EL122" s="145">
        <v>15054.2</v>
      </c>
      <c r="EM122" s="145">
        <v>15054.2</v>
      </c>
      <c r="EN122" s="145">
        <v>0</v>
      </c>
      <c r="EO122" s="145">
        <v>0</v>
      </c>
      <c r="EP122" s="145">
        <v>0</v>
      </c>
      <c r="EQ122" s="145">
        <v>0</v>
      </c>
      <c r="ER122" s="145">
        <v>0</v>
      </c>
      <c r="ES122" s="145">
        <v>0</v>
      </c>
      <c r="ET122" s="145">
        <v>0</v>
      </c>
      <c r="EU122" s="145">
        <v>0</v>
      </c>
      <c r="EV122" s="145">
        <v>0</v>
      </c>
      <c r="EW122" s="145">
        <v>0</v>
      </c>
      <c r="EX122" s="145">
        <v>0</v>
      </c>
      <c r="EY122" s="145">
        <v>0</v>
      </c>
      <c r="EZ122" s="145">
        <v>0</v>
      </c>
      <c r="FA122" s="145">
        <v>0</v>
      </c>
      <c r="FB122" s="145">
        <v>0</v>
      </c>
      <c r="FC122" s="145">
        <v>0</v>
      </c>
      <c r="FD122" s="145">
        <v>0</v>
      </c>
      <c r="FE122" s="145">
        <v>0</v>
      </c>
      <c r="FF122" s="145">
        <v>0</v>
      </c>
      <c r="FG122" s="145">
        <v>0</v>
      </c>
      <c r="FH122" s="145">
        <v>0</v>
      </c>
      <c r="FI122" s="145">
        <v>0</v>
      </c>
      <c r="FJ122" s="145">
        <v>0</v>
      </c>
      <c r="FK122" s="145">
        <v>0</v>
      </c>
      <c r="FL122" s="145">
        <v>0</v>
      </c>
      <c r="FM122" s="145">
        <v>0</v>
      </c>
      <c r="FN122" s="145">
        <v>0</v>
      </c>
      <c r="FO122" s="145">
        <v>0</v>
      </c>
      <c r="FP122" s="145">
        <v>0</v>
      </c>
      <c r="FQ122" s="145">
        <v>0</v>
      </c>
      <c r="FR122" s="145">
        <v>0</v>
      </c>
      <c r="FS122" s="145">
        <v>0</v>
      </c>
      <c r="FT122" s="145">
        <v>0</v>
      </c>
      <c r="FU122" s="145">
        <v>0</v>
      </c>
      <c r="FV122" s="145">
        <v>0</v>
      </c>
      <c r="FW122" s="145">
        <v>0</v>
      </c>
      <c r="FX122" s="143"/>
      <c r="FY122" s="146" t="str">
        <f>_xlfn.XLOOKUP($E122,'Key assumptions'!$B$112:$B$120,'Key assumptions'!$C$112:$C$120,0)</f>
        <v>Nominal</v>
      </c>
      <c r="FZ122" s="146" cm="1">
        <f t="array" ref="FZ122">IF($FY122=0,0,_xlfn.IFS($FY122='Key assumptions'!$C$120,_xlfn.XLOOKUP(LEFT(FZ$7,6),Inflation_Year,Inflation_NominaltoReal),TRUE,_xlfn.XLOOKUP($FY122,Inflation_Year,NominaltoReal)))</f>
        <v>1.0197075870962191</v>
      </c>
      <c r="GA122" s="146" cm="1">
        <f t="array" ref="GA122">IF($FY122=0,0,_xlfn.IFS($FY122='Key assumptions'!$C$120,_xlfn.XLOOKUP(LEFT(GA$7,6),Inflation_Year,Inflation_NominaltoReal),TRUE,_xlfn.XLOOKUP($FY122,Inflation_Year,NominaltoReal)))</f>
        <v>0.98700804022984445</v>
      </c>
      <c r="GB122" s="146" cm="1">
        <f t="array" ref="GB122">IF($FY122=0,0,_xlfn.IFS($FY122='Key assumptions'!$C$120,_xlfn.XLOOKUP(LEFT(GB$7,6),Inflation_Year,Inflation_NominaltoReal),TRUE,_xlfn.XLOOKUP($FY122,Inflation_Year,NominaltoReal)))</f>
        <v>0.96152830081941731</v>
      </c>
      <c r="GC122" s="146" cm="1">
        <f t="array" ref="GC122">IF($FY122=0,0,_xlfn.IFS($FY122='Key assumptions'!$C$120,_xlfn.XLOOKUP(LEFT(GC$7,6),Inflation_Year,Inflation_NominaltoReal),TRUE,_xlfn.XLOOKUP($FY122,Inflation_Year,NominaltoReal)))</f>
        <v>0.93670632415656829</v>
      </c>
      <c r="GD122" s="146" cm="1">
        <f t="array" ref="GD122">IF($FY122=0,0,_xlfn.IFS($FY122='Key assumptions'!$C$120,_xlfn.XLOOKUP(LEFT(GD$7,6),Inflation_Year,Inflation_NominaltoReal),TRUE,_xlfn.XLOOKUP($FY122,Inflation_Year,NominaltoReal)))</f>
        <v>0.91252513001143176</v>
      </c>
      <c r="GE122" s="146" cm="1">
        <f t="array" ref="GE122">IF($FY122=0,0,_xlfn.IFS($FY122='Key assumptions'!$C$120,_xlfn.XLOOKUP(LEFT(GE$7,6),Inflation_Year,Inflation_NominaltoReal),TRUE,_xlfn.XLOOKUP($FY122,Inflation_Year,NominaltoReal)))</f>
        <v>0.88896817650095872</v>
      </c>
      <c r="GF122" s="146" cm="1">
        <f t="array" ref="GF122">IF($FY122=0,0,_xlfn.IFS($FY122='Key assumptions'!$C$120,_xlfn.XLOOKUP(LEFT(GF$7,6),Inflation_Year,Inflation_NominaltoReal),TRUE,_xlfn.XLOOKUP($FY122,Inflation_Year,NominaltoReal)))</f>
        <v>0.86601934877293718</v>
      </c>
      <c r="GG122" s="143"/>
      <c r="GH122" s="145" cm="1">
        <f t="array" ref="GH122">SUMPRODUCT(--($CR$7:$FW$7&gt;=GH$5),--($CR$7:$FW$7&lt;=GH$6),$CR122:$FW122)*FZ122</f>
        <v>83206.940950636621</v>
      </c>
      <c r="GI122" s="145" cm="1">
        <f t="array" ref="GI122">SUMPRODUCT(--($CR$7:$FW$7&gt;=GI$5),--($CR$7:$FW$7&lt;=GI$6),$CR122:$FW122)*GA122</f>
        <v>162922.60916286591</v>
      </c>
      <c r="GJ122" s="145" cm="1">
        <f t="array" ref="GJ122">SUMPRODUCT(--($CR$7:$FW$7&gt;=GJ$5),--($CR$7:$FW$7&lt;=GJ$6),$CR122:$FW122)*GB122</f>
        <v>163456.84963213443</v>
      </c>
      <c r="GK122" s="145" cm="1">
        <f t="array" ref="GK122">SUMPRODUCT(--($CR$7:$FW$7&gt;=GK$5),--($CR$7:$FW$7&lt;=GK$6),$CR122:$FW122)*GC122</f>
        <v>42304.093035353435</v>
      </c>
      <c r="GL122" s="145" cm="1">
        <f t="array" ref="GL122">SUMPRODUCT(--($CR$7:$FW$7&gt;=GL$5),--($CR$7:$FW$7&lt;=GL$6),$CR122:$FW122)*GD122</f>
        <v>0</v>
      </c>
      <c r="GM122" s="145" cm="1">
        <f t="array" ref="GM122">SUMPRODUCT(--($CR$7:$FW$7&gt;=GM$5),--($CR$7:$FW$7&lt;=GM$6),$CR122:$FW122)*GE122</f>
        <v>0</v>
      </c>
      <c r="GN122" s="145" cm="1">
        <f t="array" ref="GN122">SUMPRODUCT(--($CR$7:$FW$7&gt;=GN$5),--($CR$7:$FW$7&lt;=GN$6),$CR122:$FW122)*GF122</f>
        <v>0</v>
      </c>
      <c r="GO122" s="145">
        <f t="shared" si="23"/>
        <v>451890.49278099043</v>
      </c>
      <c r="GP122" s="87"/>
      <c r="GQ122" s="89"/>
      <c r="GR122" s="145" cm="1">
        <f t="array" ref="GR122">SUMPRODUCT(--($CR$7:$FW$7&gt;=GR$5),--($CR$7:$FW$7&lt;=GR$6),$CR122:$FW122)</f>
        <v>39025.524999999994</v>
      </c>
      <c r="GS122" s="89"/>
      <c r="GT122" s="214" cm="1">
        <f t="array" ref="GT122">--AND(MIN(IF($K122:$CP122&lt;&gt;0,$K$7:$CP$7))&gt;=GT$5,MIN(IF($K122:$CP122&lt;&gt;0,$K$7:$CP$7))&lt;=GT$6)</f>
        <v>1</v>
      </c>
      <c r="GU122" s="214" cm="1">
        <f t="array" ref="GU122">--AND(MIN(IF($K122:$CP122&lt;&gt;0,$K$7:$CP$7))&gt;=GU$5,MIN(IF($K122:$CP122&lt;&gt;0,$K$7:$CP$7))&lt;=GU$6)</f>
        <v>0</v>
      </c>
      <c r="GV122" s="214" cm="1">
        <f t="array" ref="GV122">--AND(MIN(IF($K122:$CP122&lt;&gt;0,$K$7:$CP$7))&gt;=GV$5,MIN(IF($K122:$CP122&lt;&gt;0,$K$7:$CP$7))&lt;=GV$6)</f>
        <v>0</v>
      </c>
      <c r="GW122" s="214" cm="1">
        <f t="array" ref="GW122">--AND(MIN(IF($K122:$CP122&lt;&gt;0,$K$7:$CP$7))&gt;=GW$5,MIN(IF($K122:$CP122&lt;&gt;0,$K$7:$CP$7))&lt;=GW$6)</f>
        <v>0</v>
      </c>
      <c r="GX122" s="214" cm="1">
        <f t="array" ref="GX122">--AND(MIN(IF($K122:$CP122&lt;&gt;0,$K$7:$CP$7))&gt;=GX$5,MIN(IF($K122:$CP122&lt;&gt;0,$K$7:$CP$7))&lt;=GX$6)</f>
        <v>0</v>
      </c>
      <c r="GY122" s="214" cm="1">
        <f t="array" ref="GY122">--AND(MIN(IF($K122:$CP122&lt;&gt;0,$K$7:$CP$7))&gt;=GY$5,MIN(IF($K122:$CP122&lt;&gt;0,$K$7:$CP$7))&lt;=GY$6)</f>
        <v>0</v>
      </c>
      <c r="GZ122" s="214" cm="1">
        <f t="array" ref="GZ122">--AND(MIN(IF($K122:$CP122&lt;&gt;0,$K$7:$CP$7))&gt;=GZ$5,MIN(IF($K122:$CP122&lt;&gt;0,$K$7:$CP$7))&lt;=GZ$6)</f>
        <v>0</v>
      </c>
      <c r="HA122" s="214">
        <f t="shared" si="24"/>
        <v>1</v>
      </c>
      <c r="HC122" s="214" cm="1">
        <f t="array" ref="HC122">--AND(MIN(IF($K122:$CP122&lt;&gt;0,$K$7:$CP$7))&gt;=HC$5,MIN(IF($K122:$CP122&lt;&gt;0,$K$7:$CP$7))&lt;=HC$6)</f>
        <v>1</v>
      </c>
      <c r="HE122" s="147" t="str">
        <f t="shared" si="43"/>
        <v>No</v>
      </c>
      <c r="HF122" s="147" t="str">
        <f t="shared" si="44"/>
        <v>No</v>
      </c>
      <c r="HG122" s="147">
        <f>IF($HF122="Yes",0,$H122*avg_hrs*12*'Key assumptions'!$D$87)</f>
        <v>362535.77629630821</v>
      </c>
      <c r="HH122" s="147">
        <f>IF(HE122="Yes",'Key assumptions'!$D$84*HG122,0)</f>
        <v>0</v>
      </c>
      <c r="HI122" s="144">
        <f>IFERROR(AVERAGEIFS($K122:$CP122,$K$7:$CP$7,"&gt;="&amp;'Key assumptions'!$D$24,$K$7:$CP$7,"&lt;="&amp;'Key assumptions'!$D$25),0)</f>
        <v>0.37699362041467305</v>
      </c>
      <c r="HJ122" s="148">
        <f t="shared" si="45"/>
        <v>0</v>
      </c>
      <c r="HK122" s="148">
        <f t="shared" si="26"/>
        <v>0</v>
      </c>
      <c r="HL122" s="148">
        <f t="shared" si="27"/>
        <v>0</v>
      </c>
      <c r="HM122" s="148">
        <f t="shared" si="28"/>
        <v>0</v>
      </c>
      <c r="HN122" s="148">
        <f t="shared" si="29"/>
        <v>0</v>
      </c>
      <c r="HO122" s="148">
        <f t="shared" si="30"/>
        <v>0</v>
      </c>
      <c r="HP122" s="148">
        <f t="shared" si="31"/>
        <v>0</v>
      </c>
      <c r="HQ122" s="148">
        <f t="shared" si="32"/>
        <v>0</v>
      </c>
      <c r="HR122" s="147">
        <f t="shared" si="33"/>
        <v>0</v>
      </c>
      <c r="HU122" s="147">
        <f>$HJ122*HC122/(1+'Key assumptions'!G144)^0.75</f>
        <v>0</v>
      </c>
      <c r="HW122" s="216">
        <f t="shared" si="34"/>
        <v>0.37699362041467305</v>
      </c>
      <c r="HX122" s="216">
        <f t="shared" si="35"/>
        <v>0</v>
      </c>
      <c r="HY122" s="216">
        <f t="shared" si="36"/>
        <v>0</v>
      </c>
      <c r="HZ122" s="216">
        <f t="shared" si="37"/>
        <v>0</v>
      </c>
      <c r="IA122" s="216">
        <f t="shared" si="38"/>
        <v>0</v>
      </c>
      <c r="IB122" s="216">
        <f t="shared" si="39"/>
        <v>0</v>
      </c>
      <c r="IC122" s="216">
        <f t="shared" si="40"/>
        <v>0</v>
      </c>
      <c r="ID122" s="216">
        <f t="shared" si="41"/>
        <v>0.37699362041467305</v>
      </c>
      <c r="IF122" s="216">
        <f t="shared" si="42"/>
        <v>0.37699362041467305</v>
      </c>
    </row>
    <row r="123" spans="2:240" x14ac:dyDescent="0.2">
      <c r="B123" s="141" t="str">
        <v>Project Delivery Management - Construction Management</v>
      </c>
      <c r="C123" s="141" t="str">
        <v>Construction Manager EA (Construction)</v>
      </c>
      <c r="D123" s="141" t="str">
        <v>Internal Labour</v>
      </c>
      <c r="E123" s="141" t="str">
        <v>$ Nominal</v>
      </c>
      <c r="F123" s="141" t="str">
        <v>Existing</v>
      </c>
      <c r="G123" s="141" t="str">
        <v>Normal time</v>
      </c>
      <c r="H123" s="142">
        <v>245.65</v>
      </c>
      <c r="I123" s="126">
        <v>537097.08000000007</v>
      </c>
      <c r="J123" s="143">
        <v>0</v>
      </c>
      <c r="K123" s="144">
        <v>0</v>
      </c>
      <c r="L123" s="144">
        <v>0</v>
      </c>
      <c r="M123" s="144">
        <v>0</v>
      </c>
      <c r="N123" s="144">
        <v>0</v>
      </c>
      <c r="O123" s="144">
        <v>0</v>
      </c>
      <c r="P123" s="144">
        <v>0</v>
      </c>
      <c r="Q123" s="144">
        <v>0</v>
      </c>
      <c r="R123" s="144">
        <v>0</v>
      </c>
      <c r="S123" s="144">
        <v>0</v>
      </c>
      <c r="T123" s="144">
        <v>0</v>
      </c>
      <c r="U123" s="144">
        <v>0</v>
      </c>
      <c r="V123" s="144">
        <v>0</v>
      </c>
      <c r="W123" s="144">
        <v>0</v>
      </c>
      <c r="X123" s="144">
        <v>0</v>
      </c>
      <c r="Y123" s="144">
        <v>0.5</v>
      </c>
      <c r="Z123" s="144">
        <v>0.5</v>
      </c>
      <c r="AA123" s="144">
        <v>0.46052631578947367</v>
      </c>
      <c r="AB123" s="144">
        <v>0.46052631578947367</v>
      </c>
      <c r="AC123" s="144">
        <v>0.5</v>
      </c>
      <c r="AD123" s="144">
        <v>0.5</v>
      </c>
      <c r="AE123" s="144">
        <v>0.5</v>
      </c>
      <c r="AF123" s="144">
        <v>0.5</v>
      </c>
      <c r="AG123" s="144">
        <v>0.5</v>
      </c>
      <c r="AH123" s="144">
        <v>0.5</v>
      </c>
      <c r="AI123" s="144">
        <v>0.5</v>
      </c>
      <c r="AJ123" s="144">
        <v>0.5</v>
      </c>
      <c r="AK123" s="144">
        <v>0.5</v>
      </c>
      <c r="AL123" s="144">
        <v>0.5</v>
      </c>
      <c r="AM123" s="144">
        <v>0.46052631578947367</v>
      </c>
      <c r="AN123" s="144">
        <v>0.46052631578947367</v>
      </c>
      <c r="AO123" s="144">
        <v>0.5</v>
      </c>
      <c r="AP123" s="144">
        <v>0.5</v>
      </c>
      <c r="AQ123" s="144">
        <v>0.5</v>
      </c>
      <c r="AR123" s="144">
        <v>0.5</v>
      </c>
      <c r="AS123" s="144">
        <v>0.5</v>
      </c>
      <c r="AT123" s="144">
        <v>0.5</v>
      </c>
      <c r="AU123" s="144">
        <v>0.5</v>
      </c>
      <c r="AV123" s="144">
        <v>0.5</v>
      </c>
      <c r="AW123" s="144">
        <v>0.5</v>
      </c>
      <c r="AX123" s="144">
        <v>0.5</v>
      </c>
      <c r="AY123" s="144">
        <v>0.5</v>
      </c>
      <c r="AZ123" s="144">
        <v>0.5</v>
      </c>
      <c r="BA123" s="144">
        <v>0.5</v>
      </c>
      <c r="BB123" s="144">
        <v>0.5</v>
      </c>
      <c r="BC123" s="144">
        <v>0.5</v>
      </c>
      <c r="BD123" s="144">
        <v>0.5</v>
      </c>
      <c r="BE123" s="144">
        <v>0</v>
      </c>
      <c r="BF123" s="144">
        <v>0</v>
      </c>
      <c r="BG123" s="144">
        <v>0</v>
      </c>
      <c r="BH123" s="144">
        <v>0</v>
      </c>
      <c r="BI123" s="144">
        <v>0</v>
      </c>
      <c r="BJ123" s="144">
        <v>0</v>
      </c>
      <c r="BK123" s="144">
        <v>0</v>
      </c>
      <c r="BL123" s="144">
        <v>0</v>
      </c>
      <c r="BM123" s="144">
        <v>0</v>
      </c>
      <c r="BN123" s="144">
        <v>0</v>
      </c>
      <c r="BO123" s="144">
        <v>0</v>
      </c>
      <c r="BP123" s="144">
        <v>0</v>
      </c>
      <c r="BQ123" s="144">
        <v>0</v>
      </c>
      <c r="BR123" s="144">
        <v>0</v>
      </c>
      <c r="BS123" s="144">
        <v>0</v>
      </c>
      <c r="BT123" s="144">
        <v>0</v>
      </c>
      <c r="BU123" s="144">
        <v>0</v>
      </c>
      <c r="BV123" s="144">
        <v>0</v>
      </c>
      <c r="BW123" s="144">
        <v>0</v>
      </c>
      <c r="BX123" s="144">
        <v>0</v>
      </c>
      <c r="BY123" s="144">
        <v>0</v>
      </c>
      <c r="BZ123" s="144">
        <v>0</v>
      </c>
      <c r="CA123" s="144">
        <v>0</v>
      </c>
      <c r="CB123" s="144">
        <v>0</v>
      </c>
      <c r="CC123" s="144">
        <v>0</v>
      </c>
      <c r="CD123" s="144">
        <v>0</v>
      </c>
      <c r="CE123" s="144">
        <v>0</v>
      </c>
      <c r="CF123" s="144">
        <v>0</v>
      </c>
      <c r="CG123" s="144">
        <v>0</v>
      </c>
      <c r="CH123" s="144">
        <v>0</v>
      </c>
      <c r="CI123" s="144">
        <v>0</v>
      </c>
      <c r="CJ123" s="144">
        <v>0</v>
      </c>
      <c r="CK123" s="144">
        <v>0</v>
      </c>
      <c r="CL123" s="144">
        <v>0</v>
      </c>
      <c r="CM123" s="144">
        <v>0</v>
      </c>
      <c r="CN123" s="144">
        <v>0</v>
      </c>
      <c r="CO123" s="144">
        <v>0</v>
      </c>
      <c r="CP123" s="144">
        <v>0</v>
      </c>
      <c r="CQ123" s="143">
        <v>0</v>
      </c>
      <c r="CR123" s="145">
        <v>0</v>
      </c>
      <c r="CS123" s="145">
        <v>0</v>
      </c>
      <c r="CT123" s="145">
        <v>0</v>
      </c>
      <c r="CU123" s="145">
        <v>0</v>
      </c>
      <c r="CV123" s="145">
        <v>0</v>
      </c>
      <c r="CW123" s="145">
        <v>0</v>
      </c>
      <c r="CX123" s="145">
        <v>0</v>
      </c>
      <c r="CY123" s="145">
        <v>0</v>
      </c>
      <c r="CZ123" s="145">
        <v>0</v>
      </c>
      <c r="DA123" s="145">
        <v>0</v>
      </c>
      <c r="DB123" s="145">
        <v>0</v>
      </c>
      <c r="DC123" s="145">
        <v>0</v>
      </c>
      <c r="DD123" s="145">
        <v>0</v>
      </c>
      <c r="DE123" s="145">
        <v>0</v>
      </c>
      <c r="DF123" s="145">
        <v>17195.5</v>
      </c>
      <c r="DG123" s="145">
        <v>12896.625</v>
      </c>
      <c r="DH123" s="145">
        <v>17195.5</v>
      </c>
      <c r="DI123" s="145">
        <v>17195.5</v>
      </c>
      <c r="DJ123" s="145">
        <v>17195.5</v>
      </c>
      <c r="DK123" s="145">
        <v>17195.5</v>
      </c>
      <c r="DL123" s="145">
        <v>17195.5</v>
      </c>
      <c r="DM123" s="145">
        <v>17195.5</v>
      </c>
      <c r="DN123" s="145">
        <v>17195.5</v>
      </c>
      <c r="DO123" s="145">
        <v>12896.625</v>
      </c>
      <c r="DP123" s="145">
        <v>12896.625</v>
      </c>
      <c r="DQ123" s="145">
        <v>17195.5</v>
      </c>
      <c r="DR123" s="145">
        <v>17707.2</v>
      </c>
      <c r="DS123" s="145">
        <v>13280.4</v>
      </c>
      <c r="DT123" s="145">
        <v>17707.2</v>
      </c>
      <c r="DU123" s="145">
        <v>17707.2</v>
      </c>
      <c r="DV123" s="145">
        <v>17707.2</v>
      </c>
      <c r="DW123" s="145">
        <v>17707.2</v>
      </c>
      <c r="DX123" s="145">
        <v>17707.2</v>
      </c>
      <c r="DY123" s="145">
        <v>17707.2</v>
      </c>
      <c r="DZ123" s="145">
        <v>17707.2</v>
      </c>
      <c r="EA123" s="145">
        <v>13280.4</v>
      </c>
      <c r="EB123" s="145">
        <v>13280.4</v>
      </c>
      <c r="EC123" s="145">
        <v>17707.2</v>
      </c>
      <c r="ED123" s="145">
        <v>18234.3</v>
      </c>
      <c r="EE123" s="145">
        <v>13675.725</v>
      </c>
      <c r="EF123" s="145">
        <v>19797.240000000002</v>
      </c>
      <c r="EG123" s="145">
        <v>19797.240000000002</v>
      </c>
      <c r="EH123" s="145">
        <v>18234.3</v>
      </c>
      <c r="EI123" s="145">
        <v>18234.3</v>
      </c>
      <c r="EJ123" s="145">
        <v>18234.3</v>
      </c>
      <c r="EK123" s="145">
        <v>18234.3</v>
      </c>
      <c r="EL123" s="145">
        <v>0</v>
      </c>
      <c r="EM123" s="145">
        <v>0</v>
      </c>
      <c r="EN123" s="145">
        <v>0</v>
      </c>
      <c r="EO123" s="145">
        <v>0</v>
      </c>
      <c r="EP123" s="145">
        <v>0</v>
      </c>
      <c r="EQ123" s="145">
        <v>0</v>
      </c>
      <c r="ER123" s="145">
        <v>0</v>
      </c>
      <c r="ES123" s="145">
        <v>0</v>
      </c>
      <c r="ET123" s="145">
        <v>0</v>
      </c>
      <c r="EU123" s="145">
        <v>0</v>
      </c>
      <c r="EV123" s="145">
        <v>0</v>
      </c>
      <c r="EW123" s="145">
        <v>0</v>
      </c>
      <c r="EX123" s="145">
        <v>0</v>
      </c>
      <c r="EY123" s="145">
        <v>0</v>
      </c>
      <c r="EZ123" s="145">
        <v>0</v>
      </c>
      <c r="FA123" s="145">
        <v>0</v>
      </c>
      <c r="FB123" s="145">
        <v>0</v>
      </c>
      <c r="FC123" s="145">
        <v>0</v>
      </c>
      <c r="FD123" s="145">
        <v>0</v>
      </c>
      <c r="FE123" s="145">
        <v>0</v>
      </c>
      <c r="FF123" s="145">
        <v>0</v>
      </c>
      <c r="FG123" s="145">
        <v>0</v>
      </c>
      <c r="FH123" s="145">
        <v>0</v>
      </c>
      <c r="FI123" s="145">
        <v>0</v>
      </c>
      <c r="FJ123" s="145">
        <v>0</v>
      </c>
      <c r="FK123" s="145">
        <v>0</v>
      </c>
      <c r="FL123" s="145">
        <v>0</v>
      </c>
      <c r="FM123" s="145">
        <v>0</v>
      </c>
      <c r="FN123" s="145">
        <v>0</v>
      </c>
      <c r="FO123" s="145">
        <v>0</v>
      </c>
      <c r="FP123" s="145">
        <v>0</v>
      </c>
      <c r="FQ123" s="145">
        <v>0</v>
      </c>
      <c r="FR123" s="145">
        <v>0</v>
      </c>
      <c r="FS123" s="145">
        <v>0</v>
      </c>
      <c r="FT123" s="145">
        <v>0</v>
      </c>
      <c r="FU123" s="145">
        <v>0</v>
      </c>
      <c r="FV123" s="145">
        <v>0</v>
      </c>
      <c r="FW123" s="145">
        <v>0</v>
      </c>
      <c r="FX123" s="143"/>
      <c r="FY123" s="146" t="str">
        <f>_xlfn.XLOOKUP($E123,'Key assumptions'!$B$112:$B$120,'Key assumptions'!$C$112:$C$120,0)</f>
        <v>Nominal</v>
      </c>
      <c r="FZ123" s="146" cm="1">
        <f t="array" ref="FZ123">IF($FY123=0,0,_xlfn.IFS($FY123='Key assumptions'!$C$120,_xlfn.XLOOKUP(LEFT(FZ$7,6),Inflation_Year,Inflation_NominaltoReal),TRUE,_xlfn.XLOOKUP($FY123,Inflation_Year,NominaltoReal)))</f>
        <v>1.0197075870962191</v>
      </c>
      <c r="GA123" s="146" cm="1">
        <f t="array" ref="GA123">IF($FY123=0,0,_xlfn.IFS($FY123='Key assumptions'!$C$120,_xlfn.XLOOKUP(LEFT(GA$7,6),Inflation_Year,Inflation_NominaltoReal),TRUE,_xlfn.XLOOKUP($FY123,Inflation_Year,NominaltoReal)))</f>
        <v>0.98700804022984445</v>
      </c>
      <c r="GB123" s="146" cm="1">
        <f t="array" ref="GB123">IF($FY123=0,0,_xlfn.IFS($FY123='Key assumptions'!$C$120,_xlfn.XLOOKUP(LEFT(GB$7,6),Inflation_Year,Inflation_NominaltoReal),TRUE,_xlfn.XLOOKUP($FY123,Inflation_Year,NominaltoReal)))</f>
        <v>0.96152830081941731</v>
      </c>
      <c r="GC123" s="146" cm="1">
        <f t="array" ref="GC123">IF($FY123=0,0,_xlfn.IFS($FY123='Key assumptions'!$C$120,_xlfn.XLOOKUP(LEFT(GC$7,6),Inflation_Year,Inflation_NominaltoReal),TRUE,_xlfn.XLOOKUP($FY123,Inflation_Year,NominaltoReal)))</f>
        <v>0.93670632415656829</v>
      </c>
      <c r="GD123" s="146" cm="1">
        <f t="array" ref="GD123">IF($FY123=0,0,_xlfn.IFS($FY123='Key assumptions'!$C$120,_xlfn.XLOOKUP(LEFT(GD$7,6),Inflation_Year,Inflation_NominaltoReal),TRUE,_xlfn.XLOOKUP($FY123,Inflation_Year,NominaltoReal)))</f>
        <v>0.91252513001143176</v>
      </c>
      <c r="GE123" s="146" cm="1">
        <f t="array" ref="GE123">IF($FY123=0,0,_xlfn.IFS($FY123='Key assumptions'!$C$120,_xlfn.XLOOKUP(LEFT(GE$7,6),Inflation_Year,Inflation_NominaltoReal),TRUE,_xlfn.XLOOKUP($FY123,Inflation_Year,NominaltoReal)))</f>
        <v>0.88896817650095872</v>
      </c>
      <c r="GF123" s="146" cm="1">
        <f t="array" ref="GF123">IF($FY123=0,0,_xlfn.IFS($FY123='Key assumptions'!$C$120,_xlfn.XLOOKUP(LEFT(GF$7,6),Inflation_Year,Inflation_NominaltoReal),TRUE,_xlfn.XLOOKUP($FY123,Inflation_Year,NominaltoReal)))</f>
        <v>0.86601934877293718</v>
      </c>
      <c r="GG123" s="143"/>
      <c r="GH123" s="145" cm="1">
        <f t="array" ref="GH123">SUMPRODUCT(--($CR$7:$FW$7&gt;=GH$5),--($CR$7:$FW$7&lt;=GH$6),$CR123:$FW123)*FZ123</f>
        <v>118357.07724391299</v>
      </c>
      <c r="GI123" s="145" cm="1">
        <f t="array" ref="GI123">SUMPRODUCT(--($CR$7:$FW$7&gt;=GI$5),--($CR$7:$FW$7&lt;=GI$6),$CR123:$FW123)*GA123</f>
        <v>194345.18959819118</v>
      </c>
      <c r="GJ123" s="145" cm="1">
        <f t="array" ref="GJ123">SUMPRODUCT(--($CR$7:$FW$7&gt;=GJ$5),--($CR$7:$FW$7&lt;=GJ$6),$CR123:$FW123)*GB123</f>
        <v>197968.87435769112</v>
      </c>
      <c r="GK123" s="145" cm="1">
        <f t="array" ref="GK123">SUMPRODUCT(--($CR$7:$FW$7&gt;=GK$5),--($CR$7:$FW$7&lt;=GK$6),$CR123:$FW123)*GC123</f>
        <v>17080.184126568114</v>
      </c>
      <c r="GL123" s="145" cm="1">
        <f t="array" ref="GL123">SUMPRODUCT(--($CR$7:$FW$7&gt;=GL$5),--($CR$7:$FW$7&lt;=GL$6),$CR123:$FW123)*GD123</f>
        <v>0</v>
      </c>
      <c r="GM123" s="145" cm="1">
        <f t="array" ref="GM123">SUMPRODUCT(--($CR$7:$FW$7&gt;=GM$5),--($CR$7:$FW$7&lt;=GM$6),$CR123:$FW123)*GE123</f>
        <v>0</v>
      </c>
      <c r="GN123" s="145" cm="1">
        <f t="array" ref="GN123">SUMPRODUCT(--($CR$7:$FW$7&gt;=GN$5),--($CR$7:$FW$7&lt;=GN$6),$CR123:$FW123)*GF123</f>
        <v>0</v>
      </c>
      <c r="GO123" s="145">
        <f t="shared" si="23"/>
        <v>527751.32532636344</v>
      </c>
      <c r="GP123" s="87"/>
      <c r="GQ123" s="89"/>
      <c r="GR123" s="145" cm="1">
        <f t="array" ref="GR123">SUMPRODUCT(--($CR$7:$FW$7&gt;=GR$5),--($CR$7:$FW$7&lt;=GR$6),$CR123:$FW123)</f>
        <v>64483.125</v>
      </c>
      <c r="GS123" s="89"/>
      <c r="GT123" s="214" cm="1">
        <f t="array" ref="GT123">--AND(MIN(IF($K123:$CP123&lt;&gt;0,$K$7:$CP$7))&gt;=GT$5,MIN(IF($K123:$CP123&lt;&gt;0,$K$7:$CP$7))&lt;=GT$6)</f>
        <v>1</v>
      </c>
      <c r="GU123" s="214" cm="1">
        <f t="array" ref="GU123">--AND(MIN(IF($K123:$CP123&lt;&gt;0,$K$7:$CP$7))&gt;=GU$5,MIN(IF($K123:$CP123&lt;&gt;0,$K$7:$CP$7))&lt;=GU$6)</f>
        <v>0</v>
      </c>
      <c r="GV123" s="214" cm="1">
        <f t="array" ref="GV123">--AND(MIN(IF($K123:$CP123&lt;&gt;0,$K$7:$CP$7))&gt;=GV$5,MIN(IF($K123:$CP123&lt;&gt;0,$K$7:$CP$7))&lt;=GV$6)</f>
        <v>0</v>
      </c>
      <c r="GW123" s="214" cm="1">
        <f t="array" ref="GW123">--AND(MIN(IF($K123:$CP123&lt;&gt;0,$K$7:$CP$7))&gt;=GW$5,MIN(IF($K123:$CP123&lt;&gt;0,$K$7:$CP$7))&lt;=GW$6)</f>
        <v>0</v>
      </c>
      <c r="GX123" s="214" cm="1">
        <f t="array" ref="GX123">--AND(MIN(IF($K123:$CP123&lt;&gt;0,$K$7:$CP$7))&gt;=GX$5,MIN(IF($K123:$CP123&lt;&gt;0,$K$7:$CP$7))&lt;=GX$6)</f>
        <v>0</v>
      </c>
      <c r="GY123" s="214" cm="1">
        <f t="array" ref="GY123">--AND(MIN(IF($K123:$CP123&lt;&gt;0,$K$7:$CP$7))&gt;=GY$5,MIN(IF($K123:$CP123&lt;&gt;0,$K$7:$CP$7))&lt;=GY$6)</f>
        <v>0</v>
      </c>
      <c r="GZ123" s="214" cm="1">
        <f t="array" ref="GZ123">--AND(MIN(IF($K123:$CP123&lt;&gt;0,$K$7:$CP$7))&gt;=GZ$5,MIN(IF($K123:$CP123&lt;&gt;0,$K$7:$CP$7))&lt;=GZ$6)</f>
        <v>0</v>
      </c>
      <c r="HA123" s="214">
        <f t="shared" si="24"/>
        <v>1</v>
      </c>
      <c r="HC123" s="214" cm="1">
        <f t="array" ref="HC123">--AND(MIN(IF($K123:$CP123&lt;&gt;0,$K$7:$CP$7))&gt;=HC$5,MIN(IF($K123:$CP123&lt;&gt;0,$K$7:$CP$7))&lt;=HC$6)</f>
        <v>1</v>
      </c>
      <c r="HE123" s="147" t="str">
        <f t="shared" si="43"/>
        <v>No</v>
      </c>
      <c r="HF123" s="147" t="str">
        <f t="shared" si="44"/>
        <v>No</v>
      </c>
      <c r="HG123" s="147">
        <f>IF($HF123="Yes",0,$H123*avg_hrs*12*'Key assumptions'!$D$87)</f>
        <v>439288.28218412725</v>
      </c>
      <c r="HH123" s="147">
        <f>IF(HE123="Yes",'Key assumptions'!$D$84*HG123,0)</f>
        <v>0</v>
      </c>
      <c r="HI123" s="144">
        <f>IFERROR(AVERAGEIFS($K123:$CP123,$K$7:$CP$7,"&gt;="&amp;'Key assumptions'!$D$24,$K$7:$CP$7,"&lt;="&amp;'Key assumptions'!$D$25),0)</f>
        <v>0.36004784688995212</v>
      </c>
      <c r="HJ123" s="148">
        <f t="shared" si="45"/>
        <v>0</v>
      </c>
      <c r="HK123" s="148">
        <f t="shared" si="26"/>
        <v>0</v>
      </c>
      <c r="HL123" s="148">
        <f t="shared" si="27"/>
        <v>0</v>
      </c>
      <c r="HM123" s="148">
        <f t="shared" si="28"/>
        <v>0</v>
      </c>
      <c r="HN123" s="148">
        <f t="shared" si="29"/>
        <v>0</v>
      </c>
      <c r="HO123" s="148">
        <f t="shared" si="30"/>
        <v>0</v>
      </c>
      <c r="HP123" s="148">
        <f t="shared" si="31"/>
        <v>0</v>
      </c>
      <c r="HQ123" s="148">
        <f t="shared" si="32"/>
        <v>0</v>
      </c>
      <c r="HR123" s="147">
        <f t="shared" si="33"/>
        <v>0</v>
      </c>
      <c r="HU123" s="147">
        <f>$HJ123*HC123/(1+'Key assumptions'!G145)^0.75</f>
        <v>0</v>
      </c>
      <c r="HW123" s="216">
        <f t="shared" si="34"/>
        <v>0.36004784688995212</v>
      </c>
      <c r="HX123" s="216">
        <f t="shared" si="35"/>
        <v>0</v>
      </c>
      <c r="HY123" s="216">
        <f t="shared" si="36"/>
        <v>0</v>
      </c>
      <c r="HZ123" s="216">
        <f t="shared" si="37"/>
        <v>0</v>
      </c>
      <c r="IA123" s="216">
        <f t="shared" si="38"/>
        <v>0</v>
      </c>
      <c r="IB123" s="216">
        <f t="shared" si="39"/>
        <v>0</v>
      </c>
      <c r="IC123" s="216">
        <f t="shared" si="40"/>
        <v>0</v>
      </c>
      <c r="ID123" s="216">
        <f t="shared" si="41"/>
        <v>0.36004784688995212</v>
      </c>
      <c r="IF123" s="216">
        <f t="shared" si="42"/>
        <v>0.36004784688995212</v>
      </c>
    </row>
    <row r="124" spans="2:240" x14ac:dyDescent="0.2">
      <c r="B124" s="141" t="str">
        <v>Project Delivery Management - Construction Management</v>
      </c>
      <c r="C124" s="141" t="str">
        <v>Construction Manager EA (Construction)</v>
      </c>
      <c r="D124" s="141" t="str">
        <v>Internal Labour</v>
      </c>
      <c r="E124" s="141" t="str">
        <v>$ Nominal</v>
      </c>
      <c r="F124" s="141">
        <v>0</v>
      </c>
      <c r="G124" s="141" t="str">
        <v>Overtime</v>
      </c>
      <c r="H124" s="142">
        <v>245.65</v>
      </c>
      <c r="I124" s="126">
        <v>610248.29999999993</v>
      </c>
      <c r="J124" s="143">
        <v>0</v>
      </c>
      <c r="K124" s="144">
        <v>0</v>
      </c>
      <c r="L124" s="144">
        <v>0</v>
      </c>
      <c r="M124" s="144">
        <v>0</v>
      </c>
      <c r="N124" s="144">
        <v>0</v>
      </c>
      <c r="O124" s="144">
        <v>0</v>
      </c>
      <c r="P124" s="144">
        <v>0</v>
      </c>
      <c r="Q124" s="144">
        <v>0</v>
      </c>
      <c r="R124" s="144">
        <v>0</v>
      </c>
      <c r="S124" s="144">
        <v>0</v>
      </c>
      <c r="T124" s="144">
        <v>0</v>
      </c>
      <c r="U124" s="144">
        <v>0</v>
      </c>
      <c r="V124" s="144">
        <v>0</v>
      </c>
      <c r="W124" s="144">
        <v>0</v>
      </c>
      <c r="X124" s="144">
        <v>0</v>
      </c>
      <c r="Y124" s="144">
        <v>0.2857142857142857</v>
      </c>
      <c r="Z124" s="144">
        <v>0.2857142857142857</v>
      </c>
      <c r="AA124" s="144">
        <v>0.26315789473684209</v>
      </c>
      <c r="AB124" s="144">
        <v>0.26315789473684209</v>
      </c>
      <c r="AC124" s="144">
        <v>0.2857142857142857</v>
      </c>
      <c r="AD124" s="144">
        <v>0.2857142857142857</v>
      </c>
      <c r="AE124" s="144">
        <v>0.2857142857142857</v>
      </c>
      <c r="AF124" s="144">
        <v>0.2857142857142857</v>
      </c>
      <c r="AG124" s="144">
        <v>0.2857142857142857</v>
      </c>
      <c r="AH124" s="144">
        <v>0.2857142857142857</v>
      </c>
      <c r="AI124" s="144">
        <v>0.2857142857142857</v>
      </c>
      <c r="AJ124" s="144">
        <v>0.2857142857142857</v>
      </c>
      <c r="AK124" s="144">
        <v>0.2857142857142857</v>
      </c>
      <c r="AL124" s="144">
        <v>0.2857142857142857</v>
      </c>
      <c r="AM124" s="144">
        <v>0.26315789473684209</v>
      </c>
      <c r="AN124" s="144">
        <v>0.26315789473684209</v>
      </c>
      <c r="AO124" s="144">
        <v>0.2857142857142857</v>
      </c>
      <c r="AP124" s="144">
        <v>0.2857142857142857</v>
      </c>
      <c r="AQ124" s="144">
        <v>0.2857142857142857</v>
      </c>
      <c r="AR124" s="144">
        <v>0.2857142857142857</v>
      </c>
      <c r="AS124" s="144">
        <v>0.2857142857142857</v>
      </c>
      <c r="AT124" s="144">
        <v>0.2857142857142857</v>
      </c>
      <c r="AU124" s="144">
        <v>0.2857142857142857</v>
      </c>
      <c r="AV124" s="144">
        <v>0.2857142857142857</v>
      </c>
      <c r="AW124" s="144">
        <v>0.2857142857142857</v>
      </c>
      <c r="AX124" s="144">
        <v>0.2857142857142857</v>
      </c>
      <c r="AY124" s="144">
        <v>0.26315789473684209</v>
      </c>
      <c r="AZ124" s="144">
        <v>0.26315789473684209</v>
      </c>
      <c r="BA124" s="144">
        <v>0.2857142857142857</v>
      </c>
      <c r="BB124" s="144">
        <v>0.2857142857142857</v>
      </c>
      <c r="BC124" s="144">
        <v>0.2857142857142857</v>
      </c>
      <c r="BD124" s="144">
        <v>0.2857142857142857</v>
      </c>
      <c r="BE124" s="144">
        <v>0</v>
      </c>
      <c r="BF124" s="144">
        <v>0</v>
      </c>
      <c r="BG124" s="144">
        <v>0</v>
      </c>
      <c r="BH124" s="144">
        <v>0</v>
      </c>
      <c r="BI124" s="144">
        <v>0</v>
      </c>
      <c r="BJ124" s="144">
        <v>0</v>
      </c>
      <c r="BK124" s="144">
        <v>0</v>
      </c>
      <c r="BL124" s="144">
        <v>0</v>
      </c>
      <c r="BM124" s="144">
        <v>0</v>
      </c>
      <c r="BN124" s="144">
        <v>0</v>
      </c>
      <c r="BO124" s="144">
        <v>0</v>
      </c>
      <c r="BP124" s="144">
        <v>0</v>
      </c>
      <c r="BQ124" s="144">
        <v>0</v>
      </c>
      <c r="BR124" s="144">
        <v>0</v>
      </c>
      <c r="BS124" s="144">
        <v>0</v>
      </c>
      <c r="BT124" s="144">
        <v>0</v>
      </c>
      <c r="BU124" s="144">
        <v>0</v>
      </c>
      <c r="BV124" s="144">
        <v>0</v>
      </c>
      <c r="BW124" s="144">
        <v>0</v>
      </c>
      <c r="BX124" s="144">
        <v>0</v>
      </c>
      <c r="BY124" s="144">
        <v>0</v>
      </c>
      <c r="BZ124" s="144">
        <v>0</v>
      </c>
      <c r="CA124" s="144">
        <v>0</v>
      </c>
      <c r="CB124" s="144">
        <v>0</v>
      </c>
      <c r="CC124" s="144">
        <v>0</v>
      </c>
      <c r="CD124" s="144">
        <v>0</v>
      </c>
      <c r="CE124" s="144">
        <v>0</v>
      </c>
      <c r="CF124" s="144">
        <v>0</v>
      </c>
      <c r="CG124" s="144">
        <v>0</v>
      </c>
      <c r="CH124" s="144">
        <v>0</v>
      </c>
      <c r="CI124" s="144">
        <v>0</v>
      </c>
      <c r="CJ124" s="144">
        <v>0</v>
      </c>
      <c r="CK124" s="144">
        <v>0</v>
      </c>
      <c r="CL124" s="144">
        <v>0</v>
      </c>
      <c r="CM124" s="144">
        <v>0</v>
      </c>
      <c r="CN124" s="144">
        <v>0</v>
      </c>
      <c r="CO124" s="144">
        <v>0</v>
      </c>
      <c r="CP124" s="144">
        <v>0</v>
      </c>
      <c r="CQ124" s="143">
        <v>0</v>
      </c>
      <c r="CR124" s="145">
        <v>0</v>
      </c>
      <c r="CS124" s="145">
        <v>0</v>
      </c>
      <c r="CT124" s="145">
        <v>0</v>
      </c>
      <c r="CU124" s="145">
        <v>0</v>
      </c>
      <c r="CV124" s="145">
        <v>0</v>
      </c>
      <c r="CW124" s="145">
        <v>0</v>
      </c>
      <c r="CX124" s="145">
        <v>0</v>
      </c>
      <c r="CY124" s="145">
        <v>0</v>
      </c>
      <c r="CZ124" s="145">
        <v>0</v>
      </c>
      <c r="DA124" s="145">
        <v>0</v>
      </c>
      <c r="DB124" s="145">
        <v>0</v>
      </c>
      <c r="DC124" s="145">
        <v>0</v>
      </c>
      <c r="DD124" s="145">
        <v>0</v>
      </c>
      <c r="DE124" s="145">
        <v>0</v>
      </c>
      <c r="DF124" s="145">
        <v>19652</v>
      </c>
      <c r="DG124" s="145">
        <v>14739</v>
      </c>
      <c r="DH124" s="145">
        <v>19652</v>
      </c>
      <c r="DI124" s="145">
        <v>19652</v>
      </c>
      <c r="DJ124" s="145">
        <v>19652</v>
      </c>
      <c r="DK124" s="145">
        <v>19652</v>
      </c>
      <c r="DL124" s="145">
        <v>19652</v>
      </c>
      <c r="DM124" s="145">
        <v>19652</v>
      </c>
      <c r="DN124" s="145">
        <v>19652</v>
      </c>
      <c r="DO124" s="145">
        <v>14739</v>
      </c>
      <c r="DP124" s="145">
        <v>14739</v>
      </c>
      <c r="DQ124" s="145">
        <v>19652</v>
      </c>
      <c r="DR124" s="145">
        <v>20236.400000000001</v>
      </c>
      <c r="DS124" s="145">
        <v>15177.300000000001</v>
      </c>
      <c r="DT124" s="145">
        <v>20236.400000000001</v>
      </c>
      <c r="DU124" s="145">
        <v>20236.400000000001</v>
      </c>
      <c r="DV124" s="145">
        <v>20236.400000000001</v>
      </c>
      <c r="DW124" s="145">
        <v>20236.400000000001</v>
      </c>
      <c r="DX124" s="145">
        <v>20236.400000000001</v>
      </c>
      <c r="DY124" s="145">
        <v>20236.400000000001</v>
      </c>
      <c r="DZ124" s="145">
        <v>20236.400000000001</v>
      </c>
      <c r="EA124" s="145">
        <v>15177.300000000001</v>
      </c>
      <c r="EB124" s="145">
        <v>15177.300000000001</v>
      </c>
      <c r="EC124" s="145">
        <v>20236.400000000001</v>
      </c>
      <c r="ED124" s="145">
        <v>20839.2</v>
      </c>
      <c r="EE124" s="145">
        <v>15629.400000000001</v>
      </c>
      <c r="EF124" s="145">
        <v>20839.2</v>
      </c>
      <c r="EG124" s="145">
        <v>20839.2</v>
      </c>
      <c r="EH124" s="145">
        <v>20839.2</v>
      </c>
      <c r="EI124" s="145">
        <v>20839.2</v>
      </c>
      <c r="EJ124" s="145">
        <v>20839.2</v>
      </c>
      <c r="EK124" s="145">
        <v>20839.2</v>
      </c>
      <c r="EL124" s="145">
        <v>0</v>
      </c>
      <c r="EM124" s="145">
        <v>0</v>
      </c>
      <c r="EN124" s="145">
        <v>0</v>
      </c>
      <c r="EO124" s="145">
        <v>0</v>
      </c>
      <c r="EP124" s="145">
        <v>0</v>
      </c>
      <c r="EQ124" s="145">
        <v>0</v>
      </c>
      <c r="ER124" s="145">
        <v>0</v>
      </c>
      <c r="ES124" s="145">
        <v>0</v>
      </c>
      <c r="ET124" s="145">
        <v>0</v>
      </c>
      <c r="EU124" s="145">
        <v>0</v>
      </c>
      <c r="EV124" s="145">
        <v>0</v>
      </c>
      <c r="EW124" s="145">
        <v>0</v>
      </c>
      <c r="EX124" s="145">
        <v>0</v>
      </c>
      <c r="EY124" s="145">
        <v>0</v>
      </c>
      <c r="EZ124" s="145">
        <v>0</v>
      </c>
      <c r="FA124" s="145">
        <v>0</v>
      </c>
      <c r="FB124" s="145">
        <v>0</v>
      </c>
      <c r="FC124" s="145">
        <v>0</v>
      </c>
      <c r="FD124" s="145">
        <v>0</v>
      </c>
      <c r="FE124" s="145">
        <v>0</v>
      </c>
      <c r="FF124" s="145">
        <v>0</v>
      </c>
      <c r="FG124" s="145">
        <v>0</v>
      </c>
      <c r="FH124" s="145">
        <v>0</v>
      </c>
      <c r="FI124" s="145">
        <v>0</v>
      </c>
      <c r="FJ124" s="145">
        <v>0</v>
      </c>
      <c r="FK124" s="145">
        <v>0</v>
      </c>
      <c r="FL124" s="145">
        <v>0</v>
      </c>
      <c r="FM124" s="145">
        <v>0</v>
      </c>
      <c r="FN124" s="145">
        <v>0</v>
      </c>
      <c r="FO124" s="145">
        <v>0</v>
      </c>
      <c r="FP124" s="145">
        <v>0</v>
      </c>
      <c r="FQ124" s="145">
        <v>0</v>
      </c>
      <c r="FR124" s="145">
        <v>0</v>
      </c>
      <c r="FS124" s="145">
        <v>0</v>
      </c>
      <c r="FT124" s="145">
        <v>0</v>
      </c>
      <c r="FU124" s="145">
        <v>0</v>
      </c>
      <c r="FV124" s="145">
        <v>0</v>
      </c>
      <c r="FW124" s="145">
        <v>0</v>
      </c>
      <c r="FX124" s="143"/>
      <c r="FY124" s="146" t="str">
        <f>_xlfn.XLOOKUP($E124,'Key assumptions'!$B$112:$B$120,'Key assumptions'!$C$112:$C$120,0)</f>
        <v>Nominal</v>
      </c>
      <c r="FZ124" s="146" cm="1">
        <f t="array" ref="FZ124">IF($FY124=0,0,_xlfn.IFS($FY124='Key assumptions'!$C$120,_xlfn.XLOOKUP(LEFT(FZ$7,6),Inflation_Year,Inflation_NominaltoReal),TRUE,_xlfn.XLOOKUP($FY124,Inflation_Year,NominaltoReal)))</f>
        <v>1.0197075870962191</v>
      </c>
      <c r="GA124" s="146" cm="1">
        <f t="array" ref="GA124">IF($FY124=0,0,_xlfn.IFS($FY124='Key assumptions'!$C$120,_xlfn.XLOOKUP(LEFT(GA$7,6),Inflation_Year,Inflation_NominaltoReal),TRUE,_xlfn.XLOOKUP($FY124,Inflation_Year,NominaltoReal)))</f>
        <v>0.98700804022984445</v>
      </c>
      <c r="GB124" s="146" cm="1">
        <f t="array" ref="GB124">IF($FY124=0,0,_xlfn.IFS($FY124='Key assumptions'!$C$120,_xlfn.XLOOKUP(LEFT(GB$7,6),Inflation_Year,Inflation_NominaltoReal),TRUE,_xlfn.XLOOKUP($FY124,Inflation_Year,NominaltoReal)))</f>
        <v>0.96152830081941731</v>
      </c>
      <c r="GC124" s="146" cm="1">
        <f t="array" ref="GC124">IF($FY124=0,0,_xlfn.IFS($FY124='Key assumptions'!$C$120,_xlfn.XLOOKUP(LEFT(GC$7,6),Inflation_Year,Inflation_NominaltoReal),TRUE,_xlfn.XLOOKUP($FY124,Inflation_Year,NominaltoReal)))</f>
        <v>0.93670632415656829</v>
      </c>
      <c r="GD124" s="146" cm="1">
        <f t="array" ref="GD124">IF($FY124=0,0,_xlfn.IFS($FY124='Key assumptions'!$C$120,_xlfn.XLOOKUP(LEFT(GD$7,6),Inflation_Year,Inflation_NominaltoReal),TRUE,_xlfn.XLOOKUP($FY124,Inflation_Year,NominaltoReal)))</f>
        <v>0.91252513001143176</v>
      </c>
      <c r="GE124" s="146" cm="1">
        <f t="array" ref="GE124">IF($FY124=0,0,_xlfn.IFS($FY124='Key assumptions'!$C$120,_xlfn.XLOOKUP(LEFT(GE$7,6),Inflation_Year,Inflation_NominaltoReal),TRUE,_xlfn.XLOOKUP($FY124,Inflation_Year,NominaltoReal)))</f>
        <v>0.88896817650095872</v>
      </c>
      <c r="GF124" s="146" cm="1">
        <f t="array" ref="GF124">IF($FY124=0,0,_xlfn.IFS($FY124='Key assumptions'!$C$120,_xlfn.XLOOKUP(LEFT(GF$7,6),Inflation_Year,Inflation_NominaltoReal),TRUE,_xlfn.XLOOKUP($FY124,Inflation_Year,NominaltoReal)))</f>
        <v>0.86601934877293718</v>
      </c>
      <c r="GG124" s="143"/>
      <c r="GH124" s="145" cm="1">
        <f t="array" ref="GH124">SUMPRODUCT(--($CR$7:$FW$7&gt;=GH$5),--($CR$7:$FW$7&lt;=GH$6),$CR124:$FW124)*FZ124</f>
        <v>135265.23113590057</v>
      </c>
      <c r="GI124" s="145" cm="1">
        <f t="array" ref="GI124">SUMPRODUCT(--($CR$7:$FW$7&gt;=GI$5),--($CR$7:$FW$7&lt;=GI$6),$CR124:$FW124)*GA124</f>
        <v>222106.12319050982</v>
      </c>
      <c r="GJ124" s="145" cm="1">
        <f t="array" ref="GJ124">SUMPRODUCT(--($CR$7:$FW$7&gt;=GJ$5),--($CR$7:$FW$7&lt;=GJ$6),$CR124:$FW124)*GB124</f>
        <v>222813.41470360235</v>
      </c>
      <c r="GK124" s="145" cm="1">
        <f t="array" ref="GK124">SUMPRODUCT(--($CR$7:$FW$7&gt;=GK$5),--($CR$7:$FW$7&lt;=GK$6),$CR124:$FW124)*GC124</f>
        <v>19520.210430363557</v>
      </c>
      <c r="GL124" s="145" cm="1">
        <f t="array" ref="GL124">SUMPRODUCT(--($CR$7:$FW$7&gt;=GL$5),--($CR$7:$FW$7&lt;=GL$6),$CR124:$FW124)*GD124</f>
        <v>0</v>
      </c>
      <c r="GM124" s="145" cm="1">
        <f t="array" ref="GM124">SUMPRODUCT(--($CR$7:$FW$7&gt;=GM$5),--($CR$7:$FW$7&lt;=GM$6),$CR124:$FW124)*GE124</f>
        <v>0</v>
      </c>
      <c r="GN124" s="145" cm="1">
        <f t="array" ref="GN124">SUMPRODUCT(--($CR$7:$FW$7&gt;=GN$5),--($CR$7:$FW$7&lt;=GN$6),$CR124:$FW124)*GF124</f>
        <v>0</v>
      </c>
      <c r="GO124" s="145">
        <f t="shared" si="23"/>
        <v>599704.97946037631</v>
      </c>
      <c r="GP124" s="87"/>
      <c r="GQ124" s="89"/>
      <c r="GR124" s="145" cm="1">
        <f t="array" ref="GR124">SUMPRODUCT(--($CR$7:$FW$7&gt;=GR$5),--($CR$7:$FW$7&lt;=GR$6),$CR124:$FW124)</f>
        <v>73695</v>
      </c>
      <c r="GS124" s="89"/>
      <c r="GT124" s="214" cm="1">
        <f t="array" ref="GT124">--AND(MIN(IF($K124:$CP124&lt;&gt;0,$K$7:$CP$7))&gt;=GT$5,MIN(IF($K124:$CP124&lt;&gt;0,$K$7:$CP$7))&lt;=GT$6)</f>
        <v>1</v>
      </c>
      <c r="GU124" s="214" cm="1">
        <f t="array" ref="GU124">--AND(MIN(IF($K124:$CP124&lt;&gt;0,$K$7:$CP$7))&gt;=GU$5,MIN(IF($K124:$CP124&lt;&gt;0,$K$7:$CP$7))&lt;=GU$6)</f>
        <v>0</v>
      </c>
      <c r="GV124" s="214" cm="1">
        <f t="array" ref="GV124">--AND(MIN(IF($K124:$CP124&lt;&gt;0,$K$7:$CP$7))&gt;=GV$5,MIN(IF($K124:$CP124&lt;&gt;0,$K$7:$CP$7))&lt;=GV$6)</f>
        <v>0</v>
      </c>
      <c r="GW124" s="214" cm="1">
        <f t="array" ref="GW124">--AND(MIN(IF($K124:$CP124&lt;&gt;0,$K$7:$CP$7))&gt;=GW$5,MIN(IF($K124:$CP124&lt;&gt;0,$K$7:$CP$7))&lt;=GW$6)</f>
        <v>0</v>
      </c>
      <c r="GX124" s="214" cm="1">
        <f t="array" ref="GX124">--AND(MIN(IF($K124:$CP124&lt;&gt;0,$K$7:$CP$7))&gt;=GX$5,MIN(IF($K124:$CP124&lt;&gt;0,$K$7:$CP$7))&lt;=GX$6)</f>
        <v>0</v>
      </c>
      <c r="GY124" s="214" cm="1">
        <f t="array" ref="GY124">--AND(MIN(IF($K124:$CP124&lt;&gt;0,$K$7:$CP$7))&gt;=GY$5,MIN(IF($K124:$CP124&lt;&gt;0,$K$7:$CP$7))&lt;=GY$6)</f>
        <v>0</v>
      </c>
      <c r="GZ124" s="214" cm="1">
        <f t="array" ref="GZ124">--AND(MIN(IF($K124:$CP124&lt;&gt;0,$K$7:$CP$7))&gt;=GZ$5,MIN(IF($K124:$CP124&lt;&gt;0,$K$7:$CP$7))&lt;=GZ$6)</f>
        <v>0</v>
      </c>
      <c r="HA124" s="214">
        <f t="shared" si="24"/>
        <v>1</v>
      </c>
      <c r="HC124" s="214" cm="1">
        <f t="array" ref="HC124">--AND(MIN(IF($K124:$CP124&lt;&gt;0,$K$7:$CP$7))&gt;=HC$5,MIN(IF($K124:$CP124&lt;&gt;0,$K$7:$CP$7))&lt;=HC$6)</f>
        <v>1</v>
      </c>
      <c r="HE124" s="147" t="str">
        <f t="shared" si="43"/>
        <v>No</v>
      </c>
      <c r="HF124" s="147" t="str">
        <f t="shared" si="44"/>
        <v>Yes</v>
      </c>
      <c r="HG124" s="147">
        <f>IF($HF124="Yes",0,$H124*avg_hrs*12*'Key assumptions'!$D$87)</f>
        <v>0</v>
      </c>
      <c r="HH124" s="147">
        <f>IF(HE124="Yes",'Key assumptions'!$D$84*HG124,0)</f>
        <v>0</v>
      </c>
      <c r="HI124" s="144">
        <f>IFERROR(AVERAGEIFS($K124:$CP124,$K$7:$CP$7,"&gt;="&amp;'Key assumptions'!$D$24,$K$7:$CP$7,"&lt;="&amp;'Key assumptions'!$D$25),0)</f>
        <v>0.20471633629528369</v>
      </c>
      <c r="HJ124" s="148">
        <f t="shared" si="45"/>
        <v>0</v>
      </c>
      <c r="HK124" s="148">
        <f t="shared" si="26"/>
        <v>0</v>
      </c>
      <c r="HL124" s="148">
        <f t="shared" si="27"/>
        <v>0</v>
      </c>
      <c r="HM124" s="148">
        <f t="shared" si="28"/>
        <v>0</v>
      </c>
      <c r="HN124" s="148">
        <f t="shared" si="29"/>
        <v>0</v>
      </c>
      <c r="HO124" s="148">
        <f t="shared" si="30"/>
        <v>0</v>
      </c>
      <c r="HP124" s="148">
        <f t="shared" si="31"/>
        <v>0</v>
      </c>
      <c r="HQ124" s="148">
        <f t="shared" si="32"/>
        <v>0</v>
      </c>
      <c r="HR124" s="147">
        <f t="shared" si="33"/>
        <v>0</v>
      </c>
      <c r="HU124" s="147">
        <f>$HJ124*HC124/(1+'Key assumptions'!G146)^0.75</f>
        <v>0</v>
      </c>
      <c r="HW124" s="216">
        <f t="shared" si="34"/>
        <v>0.20471633629528369</v>
      </c>
      <c r="HX124" s="216">
        <f t="shared" si="35"/>
        <v>0</v>
      </c>
      <c r="HY124" s="216">
        <f t="shared" si="36"/>
        <v>0</v>
      </c>
      <c r="HZ124" s="216">
        <f t="shared" si="37"/>
        <v>0</v>
      </c>
      <c r="IA124" s="216">
        <f t="shared" si="38"/>
        <v>0</v>
      </c>
      <c r="IB124" s="216">
        <f t="shared" si="39"/>
        <v>0</v>
      </c>
      <c r="IC124" s="216">
        <f t="shared" si="40"/>
        <v>0</v>
      </c>
      <c r="ID124" s="216">
        <f t="shared" si="41"/>
        <v>0.20471633629528369</v>
      </c>
      <c r="IF124" s="216">
        <f t="shared" si="42"/>
        <v>0.20471633629528369</v>
      </c>
    </row>
    <row r="125" spans="2:240" x14ac:dyDescent="0.2">
      <c r="B125" s="141" t="str">
        <v>Project Delivery Management - Construction Management</v>
      </c>
      <c r="C125" s="141" t="str">
        <v>Substation Site Manager - Senior (Construction)</v>
      </c>
      <c r="D125" s="141" t="str">
        <v>Internal Labour</v>
      </c>
      <c r="E125" s="141" t="str">
        <v>$ Nominal</v>
      </c>
      <c r="F125" s="141" t="str">
        <v>Existing</v>
      </c>
      <c r="G125" s="141" t="str">
        <v>Normal time</v>
      </c>
      <c r="H125" s="142">
        <v>214.83</v>
      </c>
      <c r="I125" s="126">
        <v>924559.24999999965</v>
      </c>
      <c r="J125" s="143">
        <v>0</v>
      </c>
      <c r="K125" s="144">
        <v>0</v>
      </c>
      <c r="L125" s="144">
        <v>0</v>
      </c>
      <c r="M125" s="144">
        <v>0</v>
      </c>
      <c r="N125" s="144">
        <v>0</v>
      </c>
      <c r="O125" s="144">
        <v>0</v>
      </c>
      <c r="P125" s="144">
        <v>0</v>
      </c>
      <c r="Q125" s="144">
        <v>0</v>
      </c>
      <c r="R125" s="144">
        <v>0</v>
      </c>
      <c r="S125" s="144">
        <v>0</v>
      </c>
      <c r="T125" s="144">
        <v>0</v>
      </c>
      <c r="U125" s="144">
        <v>0</v>
      </c>
      <c r="V125" s="144">
        <v>0</v>
      </c>
      <c r="W125" s="144">
        <v>0</v>
      </c>
      <c r="X125" s="144">
        <v>0</v>
      </c>
      <c r="Y125" s="144">
        <v>0</v>
      </c>
      <c r="Z125" s="144">
        <v>0</v>
      </c>
      <c r="AA125" s="144">
        <v>0</v>
      </c>
      <c r="AB125" s="144">
        <v>0</v>
      </c>
      <c r="AC125" s="144">
        <v>1</v>
      </c>
      <c r="AD125" s="144">
        <v>0.75</v>
      </c>
      <c r="AE125" s="144">
        <v>0.9</v>
      </c>
      <c r="AF125" s="144">
        <v>0.9</v>
      </c>
      <c r="AG125" s="144">
        <v>0.85</v>
      </c>
      <c r="AH125" s="144">
        <v>0.8</v>
      </c>
      <c r="AI125" s="144">
        <v>1.5333333333333334</v>
      </c>
      <c r="AJ125" s="144">
        <v>0.8</v>
      </c>
      <c r="AK125" s="144">
        <v>0.8</v>
      </c>
      <c r="AL125" s="144">
        <v>1.2666666666666666</v>
      </c>
      <c r="AM125" s="144">
        <v>0.82894736842105265</v>
      </c>
      <c r="AN125" s="144">
        <v>0.78289473684210531</v>
      </c>
      <c r="AO125" s="144">
        <v>0.9</v>
      </c>
      <c r="AP125" s="144">
        <v>0.85</v>
      </c>
      <c r="AQ125" s="144">
        <v>0.9</v>
      </c>
      <c r="AR125" s="144">
        <v>0.9</v>
      </c>
      <c r="AS125" s="144">
        <v>0.85</v>
      </c>
      <c r="AT125" s="144">
        <v>1.0666666666666667</v>
      </c>
      <c r="AU125" s="144">
        <v>1.2666666666666666</v>
      </c>
      <c r="AV125" s="144">
        <v>0.8</v>
      </c>
      <c r="AW125" s="144">
        <v>0.95</v>
      </c>
      <c r="AX125" s="144">
        <v>1.0666666666666667</v>
      </c>
      <c r="AY125" s="144">
        <v>0.875</v>
      </c>
      <c r="AZ125" s="144">
        <v>0.875</v>
      </c>
      <c r="BA125" s="144">
        <v>0.8</v>
      </c>
      <c r="BB125" s="144">
        <v>0.9</v>
      </c>
      <c r="BC125" s="144">
        <v>0.85</v>
      </c>
      <c r="BD125" s="144">
        <v>0.85</v>
      </c>
      <c r="BE125" s="144">
        <v>5.2357142857142858</v>
      </c>
      <c r="BF125" s="144">
        <v>0</v>
      </c>
      <c r="BG125" s="144">
        <v>0</v>
      </c>
      <c r="BH125" s="144">
        <v>0</v>
      </c>
      <c r="BI125" s="144">
        <v>0</v>
      </c>
      <c r="BJ125" s="144">
        <v>0</v>
      </c>
      <c r="BK125" s="144">
        <v>0</v>
      </c>
      <c r="BL125" s="144">
        <v>0</v>
      </c>
      <c r="BM125" s="144">
        <v>0</v>
      </c>
      <c r="BN125" s="144">
        <v>0</v>
      </c>
      <c r="BO125" s="144">
        <v>0</v>
      </c>
      <c r="BP125" s="144">
        <v>0</v>
      </c>
      <c r="BQ125" s="144">
        <v>0</v>
      </c>
      <c r="BR125" s="144">
        <v>0</v>
      </c>
      <c r="BS125" s="144">
        <v>0</v>
      </c>
      <c r="BT125" s="144">
        <v>0</v>
      </c>
      <c r="BU125" s="144">
        <v>0</v>
      </c>
      <c r="BV125" s="144">
        <v>0</v>
      </c>
      <c r="BW125" s="144">
        <v>0</v>
      </c>
      <c r="BX125" s="144">
        <v>0</v>
      </c>
      <c r="BY125" s="144">
        <v>0</v>
      </c>
      <c r="BZ125" s="144">
        <v>0</v>
      </c>
      <c r="CA125" s="144">
        <v>0</v>
      </c>
      <c r="CB125" s="144">
        <v>0</v>
      </c>
      <c r="CC125" s="144">
        <v>0</v>
      </c>
      <c r="CD125" s="144">
        <v>0</v>
      </c>
      <c r="CE125" s="144">
        <v>0</v>
      </c>
      <c r="CF125" s="144">
        <v>0</v>
      </c>
      <c r="CG125" s="144">
        <v>0</v>
      </c>
      <c r="CH125" s="144">
        <v>0</v>
      </c>
      <c r="CI125" s="144">
        <v>0</v>
      </c>
      <c r="CJ125" s="144">
        <v>0</v>
      </c>
      <c r="CK125" s="144">
        <v>0</v>
      </c>
      <c r="CL125" s="144">
        <v>0</v>
      </c>
      <c r="CM125" s="144">
        <v>0</v>
      </c>
      <c r="CN125" s="144">
        <v>0</v>
      </c>
      <c r="CO125" s="144">
        <v>0</v>
      </c>
      <c r="CP125" s="144">
        <v>0</v>
      </c>
      <c r="CQ125" s="143">
        <v>0</v>
      </c>
      <c r="CR125" s="145">
        <v>0</v>
      </c>
      <c r="CS125" s="145">
        <v>0</v>
      </c>
      <c r="CT125" s="145">
        <v>0</v>
      </c>
      <c r="CU125" s="145">
        <v>0</v>
      </c>
      <c r="CV125" s="145">
        <v>0</v>
      </c>
      <c r="CW125" s="145">
        <v>0</v>
      </c>
      <c r="CX125" s="145">
        <v>0</v>
      </c>
      <c r="CY125" s="145">
        <v>0</v>
      </c>
      <c r="CZ125" s="145">
        <v>0</v>
      </c>
      <c r="DA125" s="145">
        <v>0</v>
      </c>
      <c r="DB125" s="145">
        <v>0</v>
      </c>
      <c r="DC125" s="145">
        <v>0</v>
      </c>
      <c r="DD125" s="145">
        <v>0</v>
      </c>
      <c r="DE125" s="145">
        <v>0</v>
      </c>
      <c r="DF125" s="145">
        <v>0</v>
      </c>
      <c r="DG125" s="145">
        <v>0</v>
      </c>
      <c r="DH125" s="145">
        <v>0</v>
      </c>
      <c r="DI125" s="145">
        <v>0</v>
      </c>
      <c r="DJ125" s="145">
        <v>30076.2</v>
      </c>
      <c r="DK125" s="145">
        <v>22557.15</v>
      </c>
      <c r="DL125" s="145">
        <v>27068.58</v>
      </c>
      <c r="DM125" s="145">
        <v>27068.58</v>
      </c>
      <c r="DN125" s="145">
        <v>25564.77</v>
      </c>
      <c r="DO125" s="145">
        <v>18045.72</v>
      </c>
      <c r="DP125" s="145">
        <v>34587.630000000005</v>
      </c>
      <c r="DQ125" s="145">
        <v>24060.960000000003</v>
      </c>
      <c r="DR125" s="145">
        <v>24776.639999999999</v>
      </c>
      <c r="DS125" s="145">
        <v>29422.26</v>
      </c>
      <c r="DT125" s="145">
        <v>27873.72</v>
      </c>
      <c r="DU125" s="145">
        <v>26325.18</v>
      </c>
      <c r="DV125" s="145">
        <v>27873.72</v>
      </c>
      <c r="DW125" s="145">
        <v>26325.18</v>
      </c>
      <c r="DX125" s="145">
        <v>27873.72</v>
      </c>
      <c r="DY125" s="145">
        <v>27873.72</v>
      </c>
      <c r="DZ125" s="145">
        <v>26325.18</v>
      </c>
      <c r="EA125" s="145">
        <v>24776.639999999999</v>
      </c>
      <c r="EB125" s="145">
        <v>29422.26</v>
      </c>
      <c r="EC125" s="145">
        <v>24776.639999999999</v>
      </c>
      <c r="ED125" s="145">
        <v>30302.720000000001</v>
      </c>
      <c r="EE125" s="145">
        <v>25518.080000000002</v>
      </c>
      <c r="EF125" s="145">
        <v>30302.720000000001</v>
      </c>
      <c r="EG125" s="145">
        <v>30302.720000000001</v>
      </c>
      <c r="EH125" s="145">
        <v>25518.080000000002</v>
      </c>
      <c r="EI125" s="145">
        <v>28707.84</v>
      </c>
      <c r="EJ125" s="145">
        <v>27112.959999999999</v>
      </c>
      <c r="EK125" s="145">
        <v>27112.959999999999</v>
      </c>
      <c r="EL125" s="145">
        <v>167006.72</v>
      </c>
      <c r="EM125" s="145">
        <v>0</v>
      </c>
      <c r="EN125" s="145">
        <v>0</v>
      </c>
      <c r="EO125" s="145">
        <v>0</v>
      </c>
      <c r="EP125" s="145">
        <v>0</v>
      </c>
      <c r="EQ125" s="145">
        <v>0</v>
      </c>
      <c r="ER125" s="145">
        <v>0</v>
      </c>
      <c r="ES125" s="145">
        <v>0</v>
      </c>
      <c r="ET125" s="145">
        <v>0</v>
      </c>
      <c r="EU125" s="145">
        <v>0</v>
      </c>
      <c r="EV125" s="145">
        <v>0</v>
      </c>
      <c r="EW125" s="145">
        <v>0</v>
      </c>
      <c r="EX125" s="145">
        <v>0</v>
      </c>
      <c r="EY125" s="145">
        <v>0</v>
      </c>
      <c r="EZ125" s="145">
        <v>0</v>
      </c>
      <c r="FA125" s="145">
        <v>0</v>
      </c>
      <c r="FB125" s="145">
        <v>0</v>
      </c>
      <c r="FC125" s="145">
        <v>0</v>
      </c>
      <c r="FD125" s="145">
        <v>0</v>
      </c>
      <c r="FE125" s="145">
        <v>0</v>
      </c>
      <c r="FF125" s="145">
        <v>0</v>
      </c>
      <c r="FG125" s="145">
        <v>0</v>
      </c>
      <c r="FH125" s="145">
        <v>0</v>
      </c>
      <c r="FI125" s="145">
        <v>0</v>
      </c>
      <c r="FJ125" s="145">
        <v>0</v>
      </c>
      <c r="FK125" s="145">
        <v>0</v>
      </c>
      <c r="FL125" s="145">
        <v>0</v>
      </c>
      <c r="FM125" s="145">
        <v>0</v>
      </c>
      <c r="FN125" s="145">
        <v>0</v>
      </c>
      <c r="FO125" s="145">
        <v>0</v>
      </c>
      <c r="FP125" s="145">
        <v>0</v>
      </c>
      <c r="FQ125" s="145">
        <v>0</v>
      </c>
      <c r="FR125" s="145">
        <v>0</v>
      </c>
      <c r="FS125" s="145">
        <v>0</v>
      </c>
      <c r="FT125" s="145">
        <v>0</v>
      </c>
      <c r="FU125" s="145">
        <v>0</v>
      </c>
      <c r="FV125" s="145">
        <v>0</v>
      </c>
      <c r="FW125" s="145">
        <v>0</v>
      </c>
      <c r="FX125" s="143"/>
      <c r="FY125" s="146" t="str">
        <f>_xlfn.XLOOKUP($E125,'Key assumptions'!$B$112:$B$120,'Key assumptions'!$C$112:$C$120,0)</f>
        <v>Nominal</v>
      </c>
      <c r="FZ125" s="146" cm="1">
        <f t="array" ref="FZ125">IF($FY125=0,0,_xlfn.IFS($FY125='Key assumptions'!$C$120,_xlfn.XLOOKUP(LEFT(FZ$7,6),Inflation_Year,Inflation_NominaltoReal),TRUE,_xlfn.XLOOKUP($FY125,Inflation_Year,NominaltoReal)))</f>
        <v>1.0197075870962191</v>
      </c>
      <c r="GA125" s="146" cm="1">
        <f t="array" ref="GA125">IF($FY125=0,0,_xlfn.IFS($FY125='Key assumptions'!$C$120,_xlfn.XLOOKUP(LEFT(GA$7,6),Inflation_Year,Inflation_NominaltoReal),TRUE,_xlfn.XLOOKUP($FY125,Inflation_Year,NominaltoReal)))</f>
        <v>0.98700804022984445</v>
      </c>
      <c r="GB125" s="146" cm="1">
        <f t="array" ref="GB125">IF($FY125=0,0,_xlfn.IFS($FY125='Key assumptions'!$C$120,_xlfn.XLOOKUP(LEFT(GB$7,6),Inflation_Year,Inflation_NominaltoReal),TRUE,_xlfn.XLOOKUP($FY125,Inflation_Year,NominaltoReal)))</f>
        <v>0.96152830081941731</v>
      </c>
      <c r="GC125" s="146" cm="1">
        <f t="array" ref="GC125">IF($FY125=0,0,_xlfn.IFS($FY125='Key assumptions'!$C$120,_xlfn.XLOOKUP(LEFT(GC$7,6),Inflation_Year,Inflation_NominaltoReal),TRUE,_xlfn.XLOOKUP($FY125,Inflation_Year,NominaltoReal)))</f>
        <v>0.93670632415656829</v>
      </c>
      <c r="GD125" s="146" cm="1">
        <f t="array" ref="GD125">IF($FY125=0,0,_xlfn.IFS($FY125='Key assumptions'!$C$120,_xlfn.XLOOKUP(LEFT(GD$7,6),Inflation_Year,Inflation_NominaltoReal),TRUE,_xlfn.XLOOKUP($FY125,Inflation_Year,NominaltoReal)))</f>
        <v>0.91252513001143176</v>
      </c>
      <c r="GE125" s="146" cm="1">
        <f t="array" ref="GE125">IF($FY125=0,0,_xlfn.IFS($FY125='Key assumptions'!$C$120,_xlfn.XLOOKUP(LEFT(GE$7,6),Inflation_Year,Inflation_NominaltoReal),TRUE,_xlfn.XLOOKUP($FY125,Inflation_Year,NominaltoReal)))</f>
        <v>0.88896817650095872</v>
      </c>
      <c r="GF125" s="146" cm="1">
        <f t="array" ref="GF125">IF($FY125=0,0,_xlfn.IFS($FY125='Key assumptions'!$C$120,_xlfn.XLOOKUP(LEFT(GF$7,6),Inflation_Year,Inflation_NominaltoReal),TRUE,_xlfn.XLOOKUP($FY125,Inflation_Year,NominaltoReal)))</f>
        <v>0.86601934877293718</v>
      </c>
      <c r="GG125" s="143"/>
      <c r="GH125" s="145" cm="1">
        <f t="array" ref="GH125">SUMPRODUCT(--($CR$7:$FW$7&gt;=GH$5),--($CR$7:$FW$7&lt;=GH$6),$CR125:$FW125)*FZ125</f>
        <v>81272.662727211762</v>
      </c>
      <c r="GI125" s="145" cm="1">
        <f t="array" ref="GI125">SUMPRODUCT(--($CR$7:$FW$7&gt;=GI$5),--($CR$7:$FW$7&lt;=GI$6),$CR125:$FW125)*GA125</f>
        <v>315643.2762100671</v>
      </c>
      <c r="GJ125" s="145" cm="1">
        <f t="array" ref="GJ125">SUMPRODUCT(--($CR$7:$FW$7&gt;=GJ$5),--($CR$7:$FW$7&lt;=GJ$6),$CR125:$FW125)*GB125</f>
        <v>318207.75280072563</v>
      </c>
      <c r="GK125" s="145" cm="1">
        <f t="array" ref="GK125">SUMPRODUCT(--($CR$7:$FW$7&gt;=GK$5),--($CR$7:$FW$7&lt;=GK$6),$CR125:$FW125)*GC125</f>
        <v>181833.1318992493</v>
      </c>
      <c r="GL125" s="145" cm="1">
        <f t="array" ref="GL125">SUMPRODUCT(--($CR$7:$FW$7&gt;=GL$5),--($CR$7:$FW$7&lt;=GL$6),$CR125:$FW125)*GD125</f>
        <v>0</v>
      </c>
      <c r="GM125" s="145" cm="1">
        <f t="array" ref="GM125">SUMPRODUCT(--($CR$7:$FW$7&gt;=GM$5),--($CR$7:$FW$7&lt;=GM$6),$CR125:$FW125)*GE125</f>
        <v>0</v>
      </c>
      <c r="GN125" s="145" cm="1">
        <f t="array" ref="GN125">SUMPRODUCT(--($CR$7:$FW$7&gt;=GN$5),--($CR$7:$FW$7&lt;=GN$6),$CR125:$FW125)*GF125</f>
        <v>0</v>
      </c>
      <c r="GO125" s="145">
        <f t="shared" si="23"/>
        <v>896956.82363725384</v>
      </c>
      <c r="GP125" s="87"/>
      <c r="GQ125" s="89"/>
      <c r="GR125" s="145" cm="1">
        <f t="array" ref="GR125">SUMPRODUCT(--($CR$7:$FW$7&gt;=GR$5),--($CR$7:$FW$7&lt;=GR$6),$CR125:$FW125)</f>
        <v>0</v>
      </c>
      <c r="GS125" s="89"/>
      <c r="GT125" s="214" cm="1">
        <f t="array" ref="GT125">--AND(MIN(IF($K125:$CP125&lt;&gt;0,$K$7:$CP$7))&gt;=GT$5,MIN(IF($K125:$CP125&lt;&gt;0,$K$7:$CP$7))&lt;=GT$6)</f>
        <v>1</v>
      </c>
      <c r="GU125" s="214" cm="1">
        <f t="array" ref="GU125">--AND(MIN(IF($K125:$CP125&lt;&gt;0,$K$7:$CP$7))&gt;=GU$5,MIN(IF($K125:$CP125&lt;&gt;0,$K$7:$CP$7))&lt;=GU$6)</f>
        <v>0</v>
      </c>
      <c r="GV125" s="214" cm="1">
        <f t="array" ref="GV125">--AND(MIN(IF($K125:$CP125&lt;&gt;0,$K$7:$CP$7))&gt;=GV$5,MIN(IF($K125:$CP125&lt;&gt;0,$K$7:$CP$7))&lt;=GV$6)</f>
        <v>0</v>
      </c>
      <c r="GW125" s="214" cm="1">
        <f t="array" ref="GW125">--AND(MIN(IF($K125:$CP125&lt;&gt;0,$K$7:$CP$7))&gt;=GW$5,MIN(IF($K125:$CP125&lt;&gt;0,$K$7:$CP$7))&lt;=GW$6)</f>
        <v>0</v>
      </c>
      <c r="GX125" s="214" cm="1">
        <f t="array" ref="GX125">--AND(MIN(IF($K125:$CP125&lt;&gt;0,$K$7:$CP$7))&gt;=GX$5,MIN(IF($K125:$CP125&lt;&gt;0,$K$7:$CP$7))&lt;=GX$6)</f>
        <v>0</v>
      </c>
      <c r="GY125" s="214" cm="1">
        <f t="array" ref="GY125">--AND(MIN(IF($K125:$CP125&lt;&gt;0,$K$7:$CP$7))&gt;=GY$5,MIN(IF($K125:$CP125&lt;&gt;0,$K$7:$CP$7))&lt;=GY$6)</f>
        <v>0</v>
      </c>
      <c r="GZ125" s="214" cm="1">
        <f t="array" ref="GZ125">--AND(MIN(IF($K125:$CP125&lt;&gt;0,$K$7:$CP$7))&gt;=GZ$5,MIN(IF($K125:$CP125&lt;&gt;0,$K$7:$CP$7))&lt;=GZ$6)</f>
        <v>0</v>
      </c>
      <c r="HA125" s="214">
        <f t="shared" si="24"/>
        <v>1</v>
      </c>
      <c r="HC125" s="214" cm="1">
        <f t="array" ref="HC125">--AND(MIN(IF($K125:$CP125&lt;&gt;0,$K$7:$CP$7))&gt;=HC$5,MIN(IF($K125:$CP125&lt;&gt;0,$K$7:$CP$7))&lt;=HC$6)</f>
        <v>0</v>
      </c>
      <c r="HE125" s="147" t="str">
        <f t="shared" si="43"/>
        <v>No</v>
      </c>
      <c r="HF125" s="147" t="str">
        <f t="shared" si="44"/>
        <v>No</v>
      </c>
      <c r="HG125" s="147">
        <f>IF($HF125="Yes",0,$H125*avg_hrs*12*'Key assumptions'!$D$87)</f>
        <v>384173.83131128055</v>
      </c>
      <c r="HH125" s="147">
        <f>IF(HE125="Yes",'Key assumptions'!$D$84*HG125,0)</f>
        <v>0</v>
      </c>
      <c r="HI125" s="144">
        <f>IFERROR(AVERAGEIFS($K125:$CP125,$K$7:$CP$7,"&gt;="&amp;'Key assumptions'!$D$24,$K$7:$CP$7,"&lt;="&amp;'Key assumptions'!$D$25),0)</f>
        <v>0.707899008885851</v>
      </c>
      <c r="HJ125" s="148">
        <f t="shared" si="45"/>
        <v>0</v>
      </c>
      <c r="HK125" s="148">
        <f t="shared" si="26"/>
        <v>0</v>
      </c>
      <c r="HL125" s="148">
        <f t="shared" si="27"/>
        <v>0</v>
      </c>
      <c r="HM125" s="148">
        <f t="shared" si="28"/>
        <v>0</v>
      </c>
      <c r="HN125" s="148">
        <f t="shared" si="29"/>
        <v>0</v>
      </c>
      <c r="HO125" s="148">
        <f t="shared" si="30"/>
        <v>0</v>
      </c>
      <c r="HP125" s="148">
        <f t="shared" si="31"/>
        <v>0</v>
      </c>
      <c r="HQ125" s="148">
        <f t="shared" si="32"/>
        <v>0</v>
      </c>
      <c r="HR125" s="147">
        <f t="shared" si="33"/>
        <v>0</v>
      </c>
      <c r="HU125" s="147">
        <f>$HJ125*HC125/(1+'Key assumptions'!G147)^0.75</f>
        <v>0</v>
      </c>
      <c r="HW125" s="216">
        <f t="shared" si="34"/>
        <v>0.707899008885851</v>
      </c>
      <c r="HX125" s="216">
        <f t="shared" si="35"/>
        <v>0</v>
      </c>
      <c r="HY125" s="216">
        <f t="shared" si="36"/>
        <v>0</v>
      </c>
      <c r="HZ125" s="216">
        <f t="shared" si="37"/>
        <v>0</v>
      </c>
      <c r="IA125" s="216">
        <f t="shared" si="38"/>
        <v>0</v>
      </c>
      <c r="IB125" s="216">
        <f t="shared" si="39"/>
        <v>0</v>
      </c>
      <c r="IC125" s="216">
        <f t="shared" si="40"/>
        <v>0</v>
      </c>
      <c r="ID125" s="216">
        <f t="shared" si="41"/>
        <v>0.707899008885851</v>
      </c>
      <c r="IF125" s="216">
        <f t="shared" si="42"/>
        <v>0</v>
      </c>
    </row>
    <row r="126" spans="2:240" x14ac:dyDescent="0.2">
      <c r="B126" s="141" t="str">
        <v>Project Delivery Management - Construction Management</v>
      </c>
      <c r="C126" s="141" t="str">
        <v>Substation Site Manager - Senior (Construction)</v>
      </c>
      <c r="D126" s="141" t="str">
        <v>Internal Labour</v>
      </c>
      <c r="E126" s="141" t="str">
        <v>$ Nominal</v>
      </c>
      <c r="F126" s="141">
        <v>0</v>
      </c>
      <c r="G126" s="141" t="str">
        <v>Overtime</v>
      </c>
      <c r="H126" s="142">
        <v>214.83</v>
      </c>
      <c r="I126" s="126">
        <v>1251186.1200000001</v>
      </c>
      <c r="J126" s="143">
        <v>0</v>
      </c>
      <c r="K126" s="144">
        <v>0</v>
      </c>
      <c r="L126" s="144">
        <v>0</v>
      </c>
      <c r="M126" s="144">
        <v>0</v>
      </c>
      <c r="N126" s="144">
        <v>0</v>
      </c>
      <c r="O126" s="144">
        <v>0</v>
      </c>
      <c r="P126" s="144">
        <v>0</v>
      </c>
      <c r="Q126" s="144">
        <v>0</v>
      </c>
      <c r="R126" s="144">
        <v>0</v>
      </c>
      <c r="S126" s="144">
        <v>0</v>
      </c>
      <c r="T126" s="144">
        <v>0</v>
      </c>
      <c r="U126" s="144">
        <v>0</v>
      </c>
      <c r="V126" s="144">
        <v>0</v>
      </c>
      <c r="W126" s="144">
        <v>0</v>
      </c>
      <c r="X126" s="144">
        <v>0</v>
      </c>
      <c r="Y126" s="144">
        <v>0</v>
      </c>
      <c r="Z126" s="144">
        <v>0</v>
      </c>
      <c r="AA126" s="144">
        <v>0</v>
      </c>
      <c r="AB126" s="144">
        <v>0</v>
      </c>
      <c r="AC126" s="144">
        <v>0</v>
      </c>
      <c r="AD126" s="144">
        <v>0.66428571428571426</v>
      </c>
      <c r="AE126" s="144">
        <v>0.72857142857142854</v>
      </c>
      <c r="AF126" s="144">
        <v>0.72857142857142854</v>
      </c>
      <c r="AG126" s="144">
        <v>0.70714285714285718</v>
      </c>
      <c r="AH126" s="144">
        <v>0.8</v>
      </c>
      <c r="AI126" s="144">
        <v>1.3428571428571427</v>
      </c>
      <c r="AJ126" s="144">
        <v>0.68571428571428572</v>
      </c>
      <c r="AK126" s="144">
        <v>0.68571428571428572</v>
      </c>
      <c r="AL126" s="144">
        <v>1</v>
      </c>
      <c r="AM126" s="144">
        <v>0.75</v>
      </c>
      <c r="AN126" s="144">
        <v>0.73026315789473684</v>
      </c>
      <c r="AO126" s="144">
        <v>0.72857142857142854</v>
      </c>
      <c r="AP126" s="144">
        <v>0.70714285714285718</v>
      </c>
      <c r="AQ126" s="144">
        <v>0.72857142857142854</v>
      </c>
      <c r="AR126" s="144">
        <v>0.72857142857142854</v>
      </c>
      <c r="AS126" s="144">
        <v>0.87857142857142856</v>
      </c>
      <c r="AT126" s="144">
        <v>0.68571428571428572</v>
      </c>
      <c r="AU126" s="144">
        <v>1.2285714285714286</v>
      </c>
      <c r="AV126" s="144">
        <v>0.68571428571428572</v>
      </c>
      <c r="AW126" s="144">
        <v>0.75</v>
      </c>
      <c r="AX126" s="144">
        <v>0.91428571428571426</v>
      </c>
      <c r="AY126" s="144">
        <v>0.84868421052631582</v>
      </c>
      <c r="AZ126" s="144">
        <v>0.84868421052631582</v>
      </c>
      <c r="BA126" s="144">
        <v>0.68571428571428572</v>
      </c>
      <c r="BB126" s="144">
        <v>0.72857142857142854</v>
      </c>
      <c r="BC126" s="144">
        <v>0.70714285714285718</v>
      </c>
      <c r="BD126" s="144">
        <v>0.70714285714285718</v>
      </c>
      <c r="BE126" s="144">
        <v>0</v>
      </c>
      <c r="BF126" s="144">
        <v>0</v>
      </c>
      <c r="BG126" s="144">
        <v>0</v>
      </c>
      <c r="BH126" s="144">
        <v>0</v>
      </c>
      <c r="BI126" s="144">
        <v>0</v>
      </c>
      <c r="BJ126" s="144">
        <v>0</v>
      </c>
      <c r="BK126" s="144">
        <v>0</v>
      </c>
      <c r="BL126" s="144">
        <v>0</v>
      </c>
      <c r="BM126" s="144">
        <v>0</v>
      </c>
      <c r="BN126" s="144">
        <v>0</v>
      </c>
      <c r="BO126" s="144">
        <v>0</v>
      </c>
      <c r="BP126" s="144">
        <v>0</v>
      </c>
      <c r="BQ126" s="144">
        <v>0</v>
      </c>
      <c r="BR126" s="144">
        <v>0</v>
      </c>
      <c r="BS126" s="144">
        <v>0</v>
      </c>
      <c r="BT126" s="144">
        <v>0</v>
      </c>
      <c r="BU126" s="144">
        <v>0</v>
      </c>
      <c r="BV126" s="144">
        <v>0</v>
      </c>
      <c r="BW126" s="144">
        <v>0</v>
      </c>
      <c r="BX126" s="144">
        <v>0</v>
      </c>
      <c r="BY126" s="144">
        <v>0</v>
      </c>
      <c r="BZ126" s="144">
        <v>0</v>
      </c>
      <c r="CA126" s="144">
        <v>0</v>
      </c>
      <c r="CB126" s="144">
        <v>0</v>
      </c>
      <c r="CC126" s="144">
        <v>0</v>
      </c>
      <c r="CD126" s="144">
        <v>0</v>
      </c>
      <c r="CE126" s="144">
        <v>0</v>
      </c>
      <c r="CF126" s="144">
        <v>0</v>
      </c>
      <c r="CG126" s="144">
        <v>0</v>
      </c>
      <c r="CH126" s="144">
        <v>0</v>
      </c>
      <c r="CI126" s="144">
        <v>0</v>
      </c>
      <c r="CJ126" s="144">
        <v>0</v>
      </c>
      <c r="CK126" s="144">
        <v>0</v>
      </c>
      <c r="CL126" s="144">
        <v>0</v>
      </c>
      <c r="CM126" s="144">
        <v>0</v>
      </c>
      <c r="CN126" s="144">
        <v>0</v>
      </c>
      <c r="CO126" s="144">
        <v>0</v>
      </c>
      <c r="CP126" s="144">
        <v>0</v>
      </c>
      <c r="CQ126" s="143">
        <v>0</v>
      </c>
      <c r="CR126" s="145">
        <v>0</v>
      </c>
      <c r="CS126" s="145">
        <v>0</v>
      </c>
      <c r="CT126" s="145">
        <v>0</v>
      </c>
      <c r="CU126" s="145">
        <v>0</v>
      </c>
      <c r="CV126" s="145">
        <v>0</v>
      </c>
      <c r="CW126" s="145">
        <v>0</v>
      </c>
      <c r="CX126" s="145">
        <v>0</v>
      </c>
      <c r="CY126" s="145">
        <v>0</v>
      </c>
      <c r="CZ126" s="145">
        <v>0</v>
      </c>
      <c r="DA126" s="145">
        <v>0</v>
      </c>
      <c r="DB126" s="145">
        <v>0</v>
      </c>
      <c r="DC126" s="145">
        <v>0</v>
      </c>
      <c r="DD126" s="145">
        <v>0</v>
      </c>
      <c r="DE126" s="145">
        <v>0</v>
      </c>
      <c r="DF126" s="145">
        <v>0</v>
      </c>
      <c r="DG126" s="145">
        <v>0</v>
      </c>
      <c r="DH126" s="145">
        <v>0</v>
      </c>
      <c r="DI126" s="145">
        <v>0</v>
      </c>
      <c r="DJ126" s="145">
        <v>0</v>
      </c>
      <c r="DK126" s="145">
        <v>39958.380000000005</v>
      </c>
      <c r="DL126" s="145">
        <v>43825.32</v>
      </c>
      <c r="DM126" s="145">
        <v>43825.32</v>
      </c>
      <c r="DN126" s="145">
        <v>42536.340000000004</v>
      </c>
      <c r="DO126" s="145">
        <v>36091.440000000002</v>
      </c>
      <c r="DP126" s="145">
        <v>60582.060000000005</v>
      </c>
      <c r="DQ126" s="145">
        <v>41247.360000000001</v>
      </c>
      <c r="DR126" s="145">
        <v>42475.199999999997</v>
      </c>
      <c r="DS126" s="145">
        <v>46457.25</v>
      </c>
      <c r="DT126" s="145">
        <v>50439.299999999996</v>
      </c>
      <c r="DU126" s="145">
        <v>49111.95</v>
      </c>
      <c r="DV126" s="145">
        <v>45129.9</v>
      </c>
      <c r="DW126" s="145">
        <v>43802.549999999996</v>
      </c>
      <c r="DX126" s="145">
        <v>45129.9</v>
      </c>
      <c r="DY126" s="145">
        <v>45129.9</v>
      </c>
      <c r="DZ126" s="145">
        <v>54421.35</v>
      </c>
      <c r="EA126" s="145">
        <v>31856.399999999998</v>
      </c>
      <c r="EB126" s="145">
        <v>57076.049999999996</v>
      </c>
      <c r="EC126" s="145">
        <v>42475.199999999997</v>
      </c>
      <c r="ED126" s="145">
        <v>47847.45</v>
      </c>
      <c r="EE126" s="145">
        <v>43746.239999999998</v>
      </c>
      <c r="EF126" s="145">
        <v>58784.01</v>
      </c>
      <c r="EG126" s="145">
        <v>58784.01</v>
      </c>
      <c r="EH126" s="145">
        <v>43746.239999999998</v>
      </c>
      <c r="EI126" s="145">
        <v>46480.38</v>
      </c>
      <c r="EJ126" s="145">
        <v>45113.31</v>
      </c>
      <c r="EK126" s="145">
        <v>45113.31</v>
      </c>
      <c r="EL126" s="145">
        <v>0</v>
      </c>
      <c r="EM126" s="145">
        <v>0</v>
      </c>
      <c r="EN126" s="145">
        <v>0</v>
      </c>
      <c r="EO126" s="145">
        <v>0</v>
      </c>
      <c r="EP126" s="145">
        <v>0</v>
      </c>
      <c r="EQ126" s="145">
        <v>0</v>
      </c>
      <c r="ER126" s="145">
        <v>0</v>
      </c>
      <c r="ES126" s="145">
        <v>0</v>
      </c>
      <c r="ET126" s="145">
        <v>0</v>
      </c>
      <c r="EU126" s="145">
        <v>0</v>
      </c>
      <c r="EV126" s="145">
        <v>0</v>
      </c>
      <c r="EW126" s="145">
        <v>0</v>
      </c>
      <c r="EX126" s="145">
        <v>0</v>
      </c>
      <c r="EY126" s="145">
        <v>0</v>
      </c>
      <c r="EZ126" s="145">
        <v>0</v>
      </c>
      <c r="FA126" s="145">
        <v>0</v>
      </c>
      <c r="FB126" s="145">
        <v>0</v>
      </c>
      <c r="FC126" s="145">
        <v>0</v>
      </c>
      <c r="FD126" s="145">
        <v>0</v>
      </c>
      <c r="FE126" s="145">
        <v>0</v>
      </c>
      <c r="FF126" s="145">
        <v>0</v>
      </c>
      <c r="FG126" s="145">
        <v>0</v>
      </c>
      <c r="FH126" s="145">
        <v>0</v>
      </c>
      <c r="FI126" s="145">
        <v>0</v>
      </c>
      <c r="FJ126" s="145">
        <v>0</v>
      </c>
      <c r="FK126" s="145">
        <v>0</v>
      </c>
      <c r="FL126" s="145">
        <v>0</v>
      </c>
      <c r="FM126" s="145">
        <v>0</v>
      </c>
      <c r="FN126" s="145">
        <v>0</v>
      </c>
      <c r="FO126" s="145">
        <v>0</v>
      </c>
      <c r="FP126" s="145">
        <v>0</v>
      </c>
      <c r="FQ126" s="145">
        <v>0</v>
      </c>
      <c r="FR126" s="145">
        <v>0</v>
      </c>
      <c r="FS126" s="145">
        <v>0</v>
      </c>
      <c r="FT126" s="145">
        <v>0</v>
      </c>
      <c r="FU126" s="145">
        <v>0</v>
      </c>
      <c r="FV126" s="145">
        <v>0</v>
      </c>
      <c r="FW126" s="145">
        <v>0</v>
      </c>
      <c r="FX126" s="143"/>
      <c r="FY126" s="146" t="str">
        <f>_xlfn.XLOOKUP($E126,'Key assumptions'!$B$112:$B$120,'Key assumptions'!$C$112:$C$120,0)</f>
        <v>Nominal</v>
      </c>
      <c r="FZ126" s="146" cm="1">
        <f t="array" ref="FZ126">IF($FY126=0,0,_xlfn.IFS($FY126='Key assumptions'!$C$120,_xlfn.XLOOKUP(LEFT(FZ$7,6),Inflation_Year,Inflation_NominaltoReal),TRUE,_xlfn.XLOOKUP($FY126,Inflation_Year,NominaltoReal)))</f>
        <v>1.0197075870962191</v>
      </c>
      <c r="GA126" s="146" cm="1">
        <f t="array" ref="GA126">IF($FY126=0,0,_xlfn.IFS($FY126='Key assumptions'!$C$120,_xlfn.XLOOKUP(LEFT(GA$7,6),Inflation_Year,Inflation_NominaltoReal),TRUE,_xlfn.XLOOKUP($FY126,Inflation_Year,NominaltoReal)))</f>
        <v>0.98700804022984445</v>
      </c>
      <c r="GB126" s="146" cm="1">
        <f t="array" ref="GB126">IF($FY126=0,0,_xlfn.IFS($FY126='Key assumptions'!$C$120,_xlfn.XLOOKUP(LEFT(GB$7,6),Inflation_Year,Inflation_NominaltoReal),TRUE,_xlfn.XLOOKUP($FY126,Inflation_Year,NominaltoReal)))</f>
        <v>0.96152830081941731</v>
      </c>
      <c r="GC126" s="146" cm="1">
        <f t="array" ref="GC126">IF($FY126=0,0,_xlfn.IFS($FY126='Key assumptions'!$C$120,_xlfn.XLOOKUP(LEFT(GC$7,6),Inflation_Year,Inflation_NominaltoReal),TRUE,_xlfn.XLOOKUP($FY126,Inflation_Year,NominaltoReal)))</f>
        <v>0.93670632415656829</v>
      </c>
      <c r="GD126" s="146" cm="1">
        <f t="array" ref="GD126">IF($FY126=0,0,_xlfn.IFS($FY126='Key assumptions'!$C$120,_xlfn.XLOOKUP(LEFT(GD$7,6),Inflation_Year,Inflation_NominaltoReal),TRUE,_xlfn.XLOOKUP($FY126,Inflation_Year,NominaltoReal)))</f>
        <v>0.91252513001143176</v>
      </c>
      <c r="GE126" s="146" cm="1">
        <f t="array" ref="GE126">IF($FY126=0,0,_xlfn.IFS($FY126='Key assumptions'!$C$120,_xlfn.XLOOKUP(LEFT(GE$7,6),Inflation_Year,Inflation_NominaltoReal),TRUE,_xlfn.XLOOKUP($FY126,Inflation_Year,NominaltoReal)))</f>
        <v>0.88896817650095872</v>
      </c>
      <c r="GF126" s="146" cm="1">
        <f t="array" ref="GF126">IF($FY126=0,0,_xlfn.IFS($FY126='Key assumptions'!$C$120,_xlfn.XLOOKUP(LEFT(GF$7,6),Inflation_Year,Inflation_NominaltoReal),TRUE,_xlfn.XLOOKUP($FY126,Inflation_Year,NominaltoReal)))</f>
        <v>0.86601934877293718</v>
      </c>
      <c r="GG126" s="143"/>
      <c r="GH126" s="145" cm="1">
        <f t="array" ref="GH126">SUMPRODUCT(--($CR$7:$FW$7&gt;=GH$5),--($CR$7:$FW$7&lt;=GH$6),$CR126:$FW126)*FZ126</f>
        <v>85434.874564993501</v>
      </c>
      <c r="GI126" s="145" cm="1">
        <f t="array" ref="GI126">SUMPRODUCT(--($CR$7:$FW$7&gt;=GI$5),--($CR$7:$FW$7&lt;=GI$6),$CR126:$FW126)*GA126</f>
        <v>539724.19521738833</v>
      </c>
      <c r="GJ126" s="145" cm="1">
        <f t="array" ref="GJ126">SUMPRODUCT(--($CR$7:$FW$7&gt;=GJ$5),--($CR$7:$FW$7&lt;=GJ$6),$CR126:$FW126)*GB126</f>
        <v>553321.59521482431</v>
      </c>
      <c r="GK126" s="145" cm="1">
        <f t="array" ref="GK126">SUMPRODUCT(--($CR$7:$FW$7&gt;=GK$5),--($CR$7:$FW$7&lt;=GK$6),$CR126:$FW126)*GC126</f>
        <v>42257.922780635752</v>
      </c>
      <c r="GL126" s="145" cm="1">
        <f t="array" ref="GL126">SUMPRODUCT(--($CR$7:$FW$7&gt;=GL$5),--($CR$7:$FW$7&lt;=GL$6),$CR126:$FW126)*GD126</f>
        <v>0</v>
      </c>
      <c r="GM126" s="145" cm="1">
        <f t="array" ref="GM126">SUMPRODUCT(--($CR$7:$FW$7&gt;=GM$5),--($CR$7:$FW$7&lt;=GM$6),$CR126:$FW126)*GE126</f>
        <v>0</v>
      </c>
      <c r="GN126" s="145" cm="1">
        <f t="array" ref="GN126">SUMPRODUCT(--($CR$7:$FW$7&gt;=GN$5),--($CR$7:$FW$7&lt;=GN$6),$CR126:$FW126)*GF126</f>
        <v>0</v>
      </c>
      <c r="GO126" s="145">
        <f t="shared" si="23"/>
        <v>1220738.5877778418</v>
      </c>
      <c r="GP126" s="87"/>
      <c r="GQ126" s="89"/>
      <c r="GR126" s="145" cm="1">
        <f t="array" ref="GR126">SUMPRODUCT(--($CR$7:$FW$7&gt;=GR$5),--($CR$7:$FW$7&lt;=GR$6),$CR126:$FW126)</f>
        <v>0</v>
      </c>
      <c r="GS126" s="89"/>
      <c r="GT126" s="214" cm="1">
        <f t="array" ref="GT126">--AND(MIN(IF($K126:$CP126&lt;&gt;0,$K$7:$CP$7))&gt;=GT$5,MIN(IF($K126:$CP126&lt;&gt;0,$K$7:$CP$7))&lt;=GT$6)</f>
        <v>1</v>
      </c>
      <c r="GU126" s="214" cm="1">
        <f t="array" ref="GU126">--AND(MIN(IF($K126:$CP126&lt;&gt;0,$K$7:$CP$7))&gt;=GU$5,MIN(IF($K126:$CP126&lt;&gt;0,$K$7:$CP$7))&lt;=GU$6)</f>
        <v>0</v>
      </c>
      <c r="GV126" s="214" cm="1">
        <f t="array" ref="GV126">--AND(MIN(IF($K126:$CP126&lt;&gt;0,$K$7:$CP$7))&gt;=GV$5,MIN(IF($K126:$CP126&lt;&gt;0,$K$7:$CP$7))&lt;=GV$6)</f>
        <v>0</v>
      </c>
      <c r="GW126" s="214" cm="1">
        <f t="array" ref="GW126">--AND(MIN(IF($K126:$CP126&lt;&gt;0,$K$7:$CP$7))&gt;=GW$5,MIN(IF($K126:$CP126&lt;&gt;0,$K$7:$CP$7))&lt;=GW$6)</f>
        <v>0</v>
      </c>
      <c r="GX126" s="214" cm="1">
        <f t="array" ref="GX126">--AND(MIN(IF($K126:$CP126&lt;&gt;0,$K$7:$CP$7))&gt;=GX$5,MIN(IF($K126:$CP126&lt;&gt;0,$K$7:$CP$7))&lt;=GX$6)</f>
        <v>0</v>
      </c>
      <c r="GY126" s="214" cm="1">
        <f t="array" ref="GY126">--AND(MIN(IF($K126:$CP126&lt;&gt;0,$K$7:$CP$7))&gt;=GY$5,MIN(IF($K126:$CP126&lt;&gt;0,$K$7:$CP$7))&lt;=GY$6)</f>
        <v>0</v>
      </c>
      <c r="GZ126" s="214" cm="1">
        <f t="array" ref="GZ126">--AND(MIN(IF($K126:$CP126&lt;&gt;0,$K$7:$CP$7))&gt;=GZ$5,MIN(IF($K126:$CP126&lt;&gt;0,$K$7:$CP$7))&lt;=GZ$6)</f>
        <v>0</v>
      </c>
      <c r="HA126" s="214">
        <f t="shared" si="24"/>
        <v>1</v>
      </c>
      <c r="HC126" s="214" cm="1">
        <f t="array" ref="HC126">--AND(MIN(IF($K126:$CP126&lt;&gt;0,$K$7:$CP$7))&gt;=HC$5,MIN(IF($K126:$CP126&lt;&gt;0,$K$7:$CP$7))&lt;=HC$6)</f>
        <v>0</v>
      </c>
      <c r="HE126" s="147" t="str">
        <f t="shared" si="43"/>
        <v>No</v>
      </c>
      <c r="HF126" s="147" t="str">
        <f t="shared" si="44"/>
        <v>Yes</v>
      </c>
      <c r="HG126" s="147">
        <f>IF($HF126="Yes",0,$H126*avg_hrs*12*'Key assumptions'!$D$87)</f>
        <v>0</v>
      </c>
      <c r="HH126" s="147">
        <f>IF(HE126="Yes",'Key assumptions'!$D$84*HG126,0)</f>
        <v>0</v>
      </c>
      <c r="HI126" s="144">
        <f>IFERROR(AVERAGEIFS($K126:$CP126,$K$7:$CP$7,"&gt;="&amp;'Key assumptions'!$D$24,$K$7:$CP$7,"&lt;="&amp;'Key assumptions'!$D$25),0)</f>
        <v>0.48601760082023215</v>
      </c>
      <c r="HJ126" s="148">
        <f t="shared" si="45"/>
        <v>0</v>
      </c>
      <c r="HK126" s="148">
        <f t="shared" si="26"/>
        <v>0</v>
      </c>
      <c r="HL126" s="148">
        <f t="shared" si="27"/>
        <v>0</v>
      </c>
      <c r="HM126" s="148">
        <f t="shared" si="28"/>
        <v>0</v>
      </c>
      <c r="HN126" s="148">
        <f t="shared" si="29"/>
        <v>0</v>
      </c>
      <c r="HO126" s="148">
        <f t="shared" si="30"/>
        <v>0</v>
      </c>
      <c r="HP126" s="148">
        <f t="shared" si="31"/>
        <v>0</v>
      </c>
      <c r="HQ126" s="148">
        <f t="shared" si="32"/>
        <v>0</v>
      </c>
      <c r="HR126" s="147">
        <f t="shared" si="33"/>
        <v>0</v>
      </c>
      <c r="HU126" s="147">
        <f>$HJ126*HC126/(1+'Key assumptions'!G148)^0.75</f>
        <v>0</v>
      </c>
      <c r="HW126" s="216">
        <f t="shared" si="34"/>
        <v>0.48601760082023215</v>
      </c>
      <c r="HX126" s="216">
        <f t="shared" si="35"/>
        <v>0</v>
      </c>
      <c r="HY126" s="216">
        <f t="shared" si="36"/>
        <v>0</v>
      </c>
      <c r="HZ126" s="216">
        <f t="shared" si="37"/>
        <v>0</v>
      </c>
      <c r="IA126" s="216">
        <f t="shared" si="38"/>
        <v>0</v>
      </c>
      <c r="IB126" s="216">
        <f t="shared" si="39"/>
        <v>0</v>
      </c>
      <c r="IC126" s="216">
        <f t="shared" si="40"/>
        <v>0</v>
      </c>
      <c r="ID126" s="216">
        <f t="shared" si="41"/>
        <v>0.48601760082023215</v>
      </c>
      <c r="IF126" s="216">
        <f t="shared" si="42"/>
        <v>0</v>
      </c>
    </row>
    <row r="127" spans="2:240" x14ac:dyDescent="0.2">
      <c r="B127" s="141" t="str">
        <v>Project Delivery Management - Construction Management</v>
      </c>
      <c r="C127" s="141" t="str">
        <v>Safety Officer (Safety and Environmental Delivery)</v>
      </c>
      <c r="D127" s="141" t="str">
        <v>Internal Labour</v>
      </c>
      <c r="E127" s="141" t="str">
        <v>$ Nominal</v>
      </c>
      <c r="F127" s="141" t="str">
        <v>Existing</v>
      </c>
      <c r="G127" s="141" t="str">
        <v>Normal time</v>
      </c>
      <c r="H127" s="142">
        <v>205.24</v>
      </c>
      <c r="I127" s="126">
        <v>160613.05400000006</v>
      </c>
      <c r="J127" s="143">
        <v>0</v>
      </c>
      <c r="K127" s="144">
        <v>0</v>
      </c>
      <c r="L127" s="144">
        <v>0</v>
      </c>
      <c r="M127" s="144">
        <v>0</v>
      </c>
      <c r="N127" s="144">
        <v>0</v>
      </c>
      <c r="O127" s="144">
        <v>0</v>
      </c>
      <c r="P127" s="144">
        <v>0</v>
      </c>
      <c r="Q127" s="144">
        <v>0</v>
      </c>
      <c r="R127" s="144">
        <v>0</v>
      </c>
      <c r="S127" s="144">
        <v>0</v>
      </c>
      <c r="T127" s="144">
        <v>0</v>
      </c>
      <c r="U127" s="144">
        <v>0</v>
      </c>
      <c r="V127" s="144">
        <v>0</v>
      </c>
      <c r="W127" s="144">
        <v>0</v>
      </c>
      <c r="X127" s="144">
        <v>0</v>
      </c>
      <c r="Y127" s="144">
        <v>0.1</v>
      </c>
      <c r="Z127" s="144">
        <v>0.13333333333333333</v>
      </c>
      <c r="AA127" s="144">
        <v>0.15657894736842107</v>
      </c>
      <c r="AB127" s="144">
        <v>0.16578947368421051</v>
      </c>
      <c r="AC127" s="144">
        <v>0.19</v>
      </c>
      <c r="AD127" s="144">
        <v>0.15</v>
      </c>
      <c r="AE127" s="144">
        <v>0.18</v>
      </c>
      <c r="AF127" s="144">
        <v>0.18</v>
      </c>
      <c r="AG127" s="144">
        <v>0.17</v>
      </c>
      <c r="AH127" s="144">
        <v>0.16</v>
      </c>
      <c r="AI127" s="144">
        <v>0.3066666666666667</v>
      </c>
      <c r="AJ127" s="144">
        <v>0.16</v>
      </c>
      <c r="AK127" s="144">
        <v>0.16</v>
      </c>
      <c r="AL127" s="144">
        <v>0.25333333333333335</v>
      </c>
      <c r="AM127" s="144">
        <v>0.16578947368421051</v>
      </c>
      <c r="AN127" s="144">
        <v>0.15657894736842107</v>
      </c>
      <c r="AO127" s="144">
        <v>0.18</v>
      </c>
      <c r="AP127" s="144">
        <v>0.17</v>
      </c>
      <c r="AQ127" s="144">
        <v>0.18</v>
      </c>
      <c r="AR127" s="144">
        <v>0.18</v>
      </c>
      <c r="AS127" s="144">
        <v>0.17</v>
      </c>
      <c r="AT127" s="144">
        <v>0.21333333333333332</v>
      </c>
      <c r="AU127" s="144">
        <v>0.25333333333333335</v>
      </c>
      <c r="AV127" s="144">
        <v>0.16</v>
      </c>
      <c r="AW127" s="144">
        <v>0.19</v>
      </c>
      <c r="AX127" s="144">
        <v>0.21333333333333332</v>
      </c>
      <c r="AY127" s="144">
        <v>0.17500000000000002</v>
      </c>
      <c r="AZ127" s="144">
        <v>0.17500000000000002</v>
      </c>
      <c r="BA127" s="144">
        <v>0.16</v>
      </c>
      <c r="BB127" s="144">
        <v>0.18</v>
      </c>
      <c r="BC127" s="144">
        <v>0.17</v>
      </c>
      <c r="BD127" s="144">
        <v>0.18</v>
      </c>
      <c r="BE127" s="144">
        <v>0</v>
      </c>
      <c r="BF127" s="144">
        <v>0</v>
      </c>
      <c r="BG127" s="144">
        <v>0</v>
      </c>
      <c r="BH127" s="144">
        <v>0</v>
      </c>
      <c r="BI127" s="144">
        <v>0</v>
      </c>
      <c r="BJ127" s="144">
        <v>0</v>
      </c>
      <c r="BK127" s="144">
        <v>0</v>
      </c>
      <c r="BL127" s="144">
        <v>0</v>
      </c>
      <c r="BM127" s="144">
        <v>0</v>
      </c>
      <c r="BN127" s="144">
        <v>0</v>
      </c>
      <c r="BO127" s="144">
        <v>0</v>
      </c>
      <c r="BP127" s="144">
        <v>0</v>
      </c>
      <c r="BQ127" s="144">
        <v>0</v>
      </c>
      <c r="BR127" s="144">
        <v>0</v>
      </c>
      <c r="BS127" s="144">
        <v>0</v>
      </c>
      <c r="BT127" s="144">
        <v>0</v>
      </c>
      <c r="BU127" s="144">
        <v>0</v>
      </c>
      <c r="BV127" s="144">
        <v>0</v>
      </c>
      <c r="BW127" s="144">
        <v>0</v>
      </c>
      <c r="BX127" s="144">
        <v>0</v>
      </c>
      <c r="BY127" s="144">
        <v>0</v>
      </c>
      <c r="BZ127" s="144">
        <v>0</v>
      </c>
      <c r="CA127" s="144">
        <v>0</v>
      </c>
      <c r="CB127" s="144">
        <v>0</v>
      </c>
      <c r="CC127" s="144">
        <v>0</v>
      </c>
      <c r="CD127" s="144">
        <v>0</v>
      </c>
      <c r="CE127" s="144">
        <v>0</v>
      </c>
      <c r="CF127" s="144">
        <v>0</v>
      </c>
      <c r="CG127" s="144">
        <v>0</v>
      </c>
      <c r="CH127" s="144">
        <v>0</v>
      </c>
      <c r="CI127" s="144">
        <v>0</v>
      </c>
      <c r="CJ127" s="144">
        <v>0</v>
      </c>
      <c r="CK127" s="144">
        <v>0</v>
      </c>
      <c r="CL127" s="144">
        <v>0</v>
      </c>
      <c r="CM127" s="144">
        <v>0</v>
      </c>
      <c r="CN127" s="144">
        <v>0</v>
      </c>
      <c r="CO127" s="144">
        <v>0</v>
      </c>
      <c r="CP127" s="144">
        <v>0</v>
      </c>
      <c r="CQ127" s="143">
        <v>0</v>
      </c>
      <c r="CR127" s="145">
        <v>0</v>
      </c>
      <c r="CS127" s="145">
        <v>0</v>
      </c>
      <c r="CT127" s="145">
        <v>0</v>
      </c>
      <c r="CU127" s="145">
        <v>0</v>
      </c>
      <c r="CV127" s="145">
        <v>0</v>
      </c>
      <c r="CW127" s="145">
        <v>0</v>
      </c>
      <c r="CX127" s="145">
        <v>0</v>
      </c>
      <c r="CY127" s="145">
        <v>0</v>
      </c>
      <c r="CZ127" s="145">
        <v>0</v>
      </c>
      <c r="DA127" s="145">
        <v>0</v>
      </c>
      <c r="DB127" s="145">
        <v>0</v>
      </c>
      <c r="DC127" s="145">
        <v>0</v>
      </c>
      <c r="DD127" s="145">
        <v>0</v>
      </c>
      <c r="DE127" s="145">
        <v>0</v>
      </c>
      <c r="DF127" s="145">
        <v>2873.36</v>
      </c>
      <c r="DG127" s="145">
        <v>2873.36</v>
      </c>
      <c r="DH127" s="145">
        <v>4884.7120000000004</v>
      </c>
      <c r="DI127" s="145">
        <v>5172.0479999999998</v>
      </c>
      <c r="DJ127" s="145">
        <v>5459.3840000000009</v>
      </c>
      <c r="DK127" s="145">
        <v>4310.04</v>
      </c>
      <c r="DL127" s="145">
        <v>5172.0479999999998</v>
      </c>
      <c r="DM127" s="145">
        <v>5172.0479999999998</v>
      </c>
      <c r="DN127" s="145">
        <v>4884.7120000000004</v>
      </c>
      <c r="DO127" s="145">
        <v>3448.0320000000002</v>
      </c>
      <c r="DP127" s="145">
        <v>6608.728000000001</v>
      </c>
      <c r="DQ127" s="145">
        <v>4597.3760000000002</v>
      </c>
      <c r="DR127" s="145">
        <v>4735.5839999999998</v>
      </c>
      <c r="DS127" s="145">
        <v>5623.5060000000003</v>
      </c>
      <c r="DT127" s="145">
        <v>5327.5320000000002</v>
      </c>
      <c r="DU127" s="145">
        <v>5031.558</v>
      </c>
      <c r="DV127" s="145">
        <v>5327.5320000000002</v>
      </c>
      <c r="DW127" s="145">
        <v>5031.558</v>
      </c>
      <c r="DX127" s="145">
        <v>5327.5320000000002</v>
      </c>
      <c r="DY127" s="145">
        <v>5327.5320000000002</v>
      </c>
      <c r="DZ127" s="145">
        <v>5031.558</v>
      </c>
      <c r="EA127" s="145">
        <v>4735.5839999999998</v>
      </c>
      <c r="EB127" s="145">
        <v>5623.5060000000003</v>
      </c>
      <c r="EC127" s="145">
        <v>4735.5839999999998</v>
      </c>
      <c r="ED127" s="145">
        <v>5793.4800000000005</v>
      </c>
      <c r="EE127" s="145">
        <v>4878.72</v>
      </c>
      <c r="EF127" s="145">
        <v>5793.4800000000005</v>
      </c>
      <c r="EG127" s="145">
        <v>5793.4800000000005</v>
      </c>
      <c r="EH127" s="145">
        <v>4878.72</v>
      </c>
      <c r="EI127" s="145">
        <v>5488.56</v>
      </c>
      <c r="EJ127" s="145">
        <v>5183.6400000000003</v>
      </c>
      <c r="EK127" s="145">
        <v>5488.56</v>
      </c>
      <c r="EL127" s="145">
        <v>0</v>
      </c>
      <c r="EM127" s="145">
        <v>0</v>
      </c>
      <c r="EN127" s="145">
        <v>0</v>
      </c>
      <c r="EO127" s="145">
        <v>0</v>
      </c>
      <c r="EP127" s="145">
        <v>0</v>
      </c>
      <c r="EQ127" s="145">
        <v>0</v>
      </c>
      <c r="ER127" s="145">
        <v>0</v>
      </c>
      <c r="ES127" s="145">
        <v>0</v>
      </c>
      <c r="ET127" s="145">
        <v>0</v>
      </c>
      <c r="EU127" s="145">
        <v>0</v>
      </c>
      <c r="EV127" s="145">
        <v>0</v>
      </c>
      <c r="EW127" s="145">
        <v>0</v>
      </c>
      <c r="EX127" s="145">
        <v>0</v>
      </c>
      <c r="EY127" s="145">
        <v>0</v>
      </c>
      <c r="EZ127" s="145">
        <v>0</v>
      </c>
      <c r="FA127" s="145">
        <v>0</v>
      </c>
      <c r="FB127" s="145">
        <v>0</v>
      </c>
      <c r="FC127" s="145">
        <v>0</v>
      </c>
      <c r="FD127" s="145">
        <v>0</v>
      </c>
      <c r="FE127" s="145">
        <v>0</v>
      </c>
      <c r="FF127" s="145">
        <v>0</v>
      </c>
      <c r="FG127" s="145">
        <v>0</v>
      </c>
      <c r="FH127" s="145">
        <v>0</v>
      </c>
      <c r="FI127" s="145">
        <v>0</v>
      </c>
      <c r="FJ127" s="145">
        <v>0</v>
      </c>
      <c r="FK127" s="145">
        <v>0</v>
      </c>
      <c r="FL127" s="145">
        <v>0</v>
      </c>
      <c r="FM127" s="145">
        <v>0</v>
      </c>
      <c r="FN127" s="145">
        <v>0</v>
      </c>
      <c r="FO127" s="145">
        <v>0</v>
      </c>
      <c r="FP127" s="145">
        <v>0</v>
      </c>
      <c r="FQ127" s="145">
        <v>0</v>
      </c>
      <c r="FR127" s="145">
        <v>0</v>
      </c>
      <c r="FS127" s="145">
        <v>0</v>
      </c>
      <c r="FT127" s="145">
        <v>0</v>
      </c>
      <c r="FU127" s="145">
        <v>0</v>
      </c>
      <c r="FV127" s="145">
        <v>0</v>
      </c>
      <c r="FW127" s="145">
        <v>0</v>
      </c>
      <c r="FX127" s="143"/>
      <c r="FY127" s="146" t="str">
        <f>_xlfn.XLOOKUP($E127,'Key assumptions'!$B$112:$B$120,'Key assumptions'!$C$112:$C$120,0)</f>
        <v>Nominal</v>
      </c>
      <c r="FZ127" s="146" cm="1">
        <f t="array" ref="FZ127">IF($FY127=0,0,_xlfn.IFS($FY127='Key assumptions'!$C$120,_xlfn.XLOOKUP(LEFT(FZ$7,6),Inflation_Year,Inflation_NominaltoReal),TRUE,_xlfn.XLOOKUP($FY127,Inflation_Year,NominaltoReal)))</f>
        <v>1.0197075870962191</v>
      </c>
      <c r="GA127" s="146" cm="1">
        <f t="array" ref="GA127">IF($FY127=0,0,_xlfn.IFS($FY127='Key assumptions'!$C$120,_xlfn.XLOOKUP(LEFT(GA$7,6),Inflation_Year,Inflation_NominaltoReal),TRUE,_xlfn.XLOOKUP($FY127,Inflation_Year,NominaltoReal)))</f>
        <v>0.98700804022984445</v>
      </c>
      <c r="GB127" s="146" cm="1">
        <f t="array" ref="GB127">IF($FY127=0,0,_xlfn.IFS($FY127='Key assumptions'!$C$120,_xlfn.XLOOKUP(LEFT(GB$7,6),Inflation_Year,Inflation_NominaltoReal),TRUE,_xlfn.XLOOKUP($FY127,Inflation_Year,NominaltoReal)))</f>
        <v>0.96152830081941731</v>
      </c>
      <c r="GC127" s="146" cm="1">
        <f t="array" ref="GC127">IF($FY127=0,0,_xlfn.IFS($FY127='Key assumptions'!$C$120,_xlfn.XLOOKUP(LEFT(GC$7,6),Inflation_Year,Inflation_NominaltoReal),TRUE,_xlfn.XLOOKUP($FY127,Inflation_Year,NominaltoReal)))</f>
        <v>0.93670632415656829</v>
      </c>
      <c r="GD127" s="146" cm="1">
        <f t="array" ref="GD127">IF($FY127=0,0,_xlfn.IFS($FY127='Key assumptions'!$C$120,_xlfn.XLOOKUP(LEFT(GD$7,6),Inflation_Year,Inflation_NominaltoReal),TRUE,_xlfn.XLOOKUP($FY127,Inflation_Year,NominaltoReal)))</f>
        <v>0.91252513001143176</v>
      </c>
      <c r="GE127" s="146" cm="1">
        <f t="array" ref="GE127">IF($FY127=0,0,_xlfn.IFS($FY127='Key assumptions'!$C$120,_xlfn.XLOOKUP(LEFT(GE$7,6),Inflation_Year,Inflation_NominaltoReal),TRUE,_xlfn.XLOOKUP($FY127,Inflation_Year,NominaltoReal)))</f>
        <v>0.88896817650095872</v>
      </c>
      <c r="GF127" s="146" cm="1">
        <f t="array" ref="GF127">IF($FY127=0,0,_xlfn.IFS($FY127='Key assumptions'!$C$120,_xlfn.XLOOKUP(LEFT(GF$7,6),Inflation_Year,Inflation_NominaltoReal),TRUE,_xlfn.XLOOKUP($FY127,Inflation_Year,NominaltoReal)))</f>
        <v>0.86601934877293718</v>
      </c>
      <c r="GG127" s="143"/>
      <c r="GH127" s="145" cm="1">
        <f t="array" ref="GH127">SUMPRODUCT(--($CR$7:$FW$7&gt;=GH$5),--($CR$7:$FW$7&lt;=GH$6),$CR127:$FW127)*FZ127</f>
        <v>31350.860819309077</v>
      </c>
      <c r="GI127" s="145" cm="1">
        <f t="array" ref="GI127">SUMPRODUCT(--($CR$7:$FW$7&gt;=GI$5),--($CR$7:$FW$7&lt;=GI$6),$CR127:$FW127)*GA127</f>
        <v>60321.685310259018</v>
      </c>
      <c r="GJ127" s="145" cm="1">
        <f t="array" ref="GJ127">SUMPRODUCT(--($CR$7:$FW$7&gt;=GJ$5),--($CR$7:$FW$7&lt;=GJ$6),$CR127:$FW127)*GB127</f>
        <v>60829.976424624692</v>
      </c>
      <c r="GK127" s="145" cm="1">
        <f t="array" ref="GK127">SUMPRODUCT(--($CR$7:$FW$7&gt;=GK$5),--($CR$7:$FW$7&lt;=GK$6),$CR127:$FW127)*GC127</f>
        <v>5141.1688625127745</v>
      </c>
      <c r="GL127" s="145" cm="1">
        <f t="array" ref="GL127">SUMPRODUCT(--($CR$7:$FW$7&gt;=GL$5),--($CR$7:$FW$7&lt;=GL$6),$CR127:$FW127)*GD127</f>
        <v>0</v>
      </c>
      <c r="GM127" s="145" cm="1">
        <f t="array" ref="GM127">SUMPRODUCT(--($CR$7:$FW$7&gt;=GM$5),--($CR$7:$FW$7&lt;=GM$6),$CR127:$FW127)*GE127</f>
        <v>0</v>
      </c>
      <c r="GN127" s="145" cm="1">
        <f t="array" ref="GN127">SUMPRODUCT(--($CR$7:$FW$7&gt;=GN$5),--($CR$7:$FW$7&lt;=GN$6),$CR127:$FW127)*GF127</f>
        <v>0</v>
      </c>
      <c r="GO127" s="145">
        <f t="shared" si="23"/>
        <v>157643.69141670558</v>
      </c>
      <c r="GP127" s="87"/>
      <c r="GQ127" s="89"/>
      <c r="GR127" s="145" cm="1">
        <f t="array" ref="GR127">SUMPRODUCT(--($CR$7:$FW$7&gt;=GR$5),--($CR$7:$FW$7&lt;=GR$6),$CR127:$FW127)</f>
        <v>15803.48</v>
      </c>
      <c r="GS127" s="89"/>
      <c r="GT127" s="214" cm="1">
        <f t="array" ref="GT127">--AND(MIN(IF($K127:$CP127&lt;&gt;0,$K$7:$CP$7))&gt;=GT$5,MIN(IF($K127:$CP127&lt;&gt;0,$K$7:$CP$7))&lt;=GT$6)</f>
        <v>1</v>
      </c>
      <c r="GU127" s="214" cm="1">
        <f t="array" ref="GU127">--AND(MIN(IF($K127:$CP127&lt;&gt;0,$K$7:$CP$7))&gt;=GU$5,MIN(IF($K127:$CP127&lt;&gt;0,$K$7:$CP$7))&lt;=GU$6)</f>
        <v>0</v>
      </c>
      <c r="GV127" s="214" cm="1">
        <f t="array" ref="GV127">--AND(MIN(IF($K127:$CP127&lt;&gt;0,$K$7:$CP$7))&gt;=GV$5,MIN(IF($K127:$CP127&lt;&gt;0,$K$7:$CP$7))&lt;=GV$6)</f>
        <v>0</v>
      </c>
      <c r="GW127" s="214" cm="1">
        <f t="array" ref="GW127">--AND(MIN(IF($K127:$CP127&lt;&gt;0,$K$7:$CP$7))&gt;=GW$5,MIN(IF($K127:$CP127&lt;&gt;0,$K$7:$CP$7))&lt;=GW$6)</f>
        <v>0</v>
      </c>
      <c r="GX127" s="214" cm="1">
        <f t="array" ref="GX127">--AND(MIN(IF($K127:$CP127&lt;&gt;0,$K$7:$CP$7))&gt;=GX$5,MIN(IF($K127:$CP127&lt;&gt;0,$K$7:$CP$7))&lt;=GX$6)</f>
        <v>0</v>
      </c>
      <c r="GY127" s="214" cm="1">
        <f t="array" ref="GY127">--AND(MIN(IF($K127:$CP127&lt;&gt;0,$K$7:$CP$7))&gt;=GY$5,MIN(IF($K127:$CP127&lt;&gt;0,$K$7:$CP$7))&lt;=GY$6)</f>
        <v>0</v>
      </c>
      <c r="GZ127" s="214" cm="1">
        <f t="array" ref="GZ127">--AND(MIN(IF($K127:$CP127&lt;&gt;0,$K$7:$CP$7))&gt;=GZ$5,MIN(IF($K127:$CP127&lt;&gt;0,$K$7:$CP$7))&lt;=GZ$6)</f>
        <v>0</v>
      </c>
      <c r="HA127" s="214">
        <f t="shared" si="24"/>
        <v>1</v>
      </c>
      <c r="HC127" s="214" cm="1">
        <f t="array" ref="HC127">--AND(MIN(IF($K127:$CP127&lt;&gt;0,$K$7:$CP$7))&gt;=HC$5,MIN(IF($K127:$CP127&lt;&gt;0,$K$7:$CP$7))&lt;=HC$6)</f>
        <v>1</v>
      </c>
      <c r="HE127" s="147" t="str">
        <f t="shared" si="43"/>
        <v>No</v>
      </c>
      <c r="HF127" s="147" t="str">
        <f t="shared" si="44"/>
        <v>No</v>
      </c>
      <c r="HG127" s="147">
        <f>IF($HF127="Yes",0,$H127*avg_hrs*12*'Key assumptions'!$D$87)</f>
        <v>367024.33151015785</v>
      </c>
      <c r="HH127" s="147">
        <f>IF(HE127="Yes",'Key assumptions'!$D$84*HG127,0)</f>
        <v>0</v>
      </c>
      <c r="HI127" s="144">
        <f>IFERROR(AVERAGEIFS($K127:$CP127,$K$7:$CP$7,"&gt;="&amp;'Key assumptions'!$D$24,$K$7:$CP$7,"&lt;="&amp;'Key assumptions'!$D$25),0)</f>
        <v>0.13041068580542264</v>
      </c>
      <c r="HJ127" s="148">
        <f t="shared" si="45"/>
        <v>0</v>
      </c>
      <c r="HK127" s="148">
        <f t="shared" si="26"/>
        <v>0</v>
      </c>
      <c r="HL127" s="148">
        <f t="shared" si="27"/>
        <v>0</v>
      </c>
      <c r="HM127" s="148">
        <f t="shared" si="28"/>
        <v>0</v>
      </c>
      <c r="HN127" s="148">
        <f t="shared" si="29"/>
        <v>0</v>
      </c>
      <c r="HO127" s="148">
        <f t="shared" si="30"/>
        <v>0</v>
      </c>
      <c r="HP127" s="148">
        <f t="shared" si="31"/>
        <v>0</v>
      </c>
      <c r="HQ127" s="148">
        <f t="shared" si="32"/>
        <v>0</v>
      </c>
      <c r="HR127" s="147">
        <f t="shared" si="33"/>
        <v>0</v>
      </c>
      <c r="HU127" s="147">
        <f>$HJ127*HC127/(1+'Key assumptions'!G149)^0.75</f>
        <v>0</v>
      </c>
      <c r="HW127" s="216">
        <f t="shared" si="34"/>
        <v>0.13041068580542264</v>
      </c>
      <c r="HX127" s="216">
        <f t="shared" si="35"/>
        <v>0</v>
      </c>
      <c r="HY127" s="216">
        <f t="shared" si="36"/>
        <v>0</v>
      </c>
      <c r="HZ127" s="216">
        <f t="shared" si="37"/>
        <v>0</v>
      </c>
      <c r="IA127" s="216">
        <f t="shared" si="38"/>
        <v>0</v>
      </c>
      <c r="IB127" s="216">
        <f t="shared" si="39"/>
        <v>0</v>
      </c>
      <c r="IC127" s="216">
        <f t="shared" si="40"/>
        <v>0</v>
      </c>
      <c r="ID127" s="216">
        <f t="shared" si="41"/>
        <v>0.13041068580542264</v>
      </c>
      <c r="IF127" s="216">
        <f t="shared" si="42"/>
        <v>0.13041068580542264</v>
      </c>
    </row>
    <row r="128" spans="2:240" x14ac:dyDescent="0.2">
      <c r="B128" s="141" t="str">
        <v>Project Delivery Management - Construction Management</v>
      </c>
      <c r="C128" s="141" t="str">
        <v>Safety Officer (Safety and Environmental Delivery)</v>
      </c>
      <c r="D128" s="141" t="str">
        <v>Internal Labour</v>
      </c>
      <c r="E128" s="141" t="str">
        <v>$ Nominal</v>
      </c>
      <c r="F128" s="141">
        <v>0</v>
      </c>
      <c r="G128" s="141" t="str">
        <v>Overtime</v>
      </c>
      <c r="H128" s="142">
        <v>205.24</v>
      </c>
      <c r="I128" s="126">
        <v>266490.53399999999</v>
      </c>
      <c r="J128" s="143">
        <v>0</v>
      </c>
      <c r="K128" s="144">
        <v>0</v>
      </c>
      <c r="L128" s="144">
        <v>0</v>
      </c>
      <c r="M128" s="144">
        <v>0</v>
      </c>
      <c r="N128" s="144">
        <v>0</v>
      </c>
      <c r="O128" s="144">
        <v>0</v>
      </c>
      <c r="P128" s="144">
        <v>0</v>
      </c>
      <c r="Q128" s="144">
        <v>0</v>
      </c>
      <c r="R128" s="144">
        <v>0</v>
      </c>
      <c r="S128" s="144">
        <v>0</v>
      </c>
      <c r="T128" s="144">
        <v>0</v>
      </c>
      <c r="U128" s="144">
        <v>0</v>
      </c>
      <c r="V128" s="144">
        <v>0</v>
      </c>
      <c r="W128" s="144">
        <v>0</v>
      </c>
      <c r="X128" s="144">
        <v>0</v>
      </c>
      <c r="Y128" s="144">
        <v>0</v>
      </c>
      <c r="Z128" s="144">
        <v>0</v>
      </c>
      <c r="AA128" s="144">
        <v>0.13026315789473686</v>
      </c>
      <c r="AB128" s="144">
        <v>0.13421052631578947</v>
      </c>
      <c r="AC128" s="144">
        <v>0.1842857142857143</v>
      </c>
      <c r="AD128" s="144">
        <v>0.13285714285714287</v>
      </c>
      <c r="AE128" s="144">
        <v>0.14571428571428571</v>
      </c>
      <c r="AF128" s="144">
        <v>0.14571428571428571</v>
      </c>
      <c r="AG128" s="144">
        <v>0.14142857142857143</v>
      </c>
      <c r="AH128" s="144">
        <v>0.16</v>
      </c>
      <c r="AI128" s="144">
        <v>0.26857142857142857</v>
      </c>
      <c r="AJ128" s="144">
        <v>0.13714285714285715</v>
      </c>
      <c r="AK128" s="144">
        <v>0.13714285714285715</v>
      </c>
      <c r="AL128" s="144">
        <v>0.2</v>
      </c>
      <c r="AM128" s="144">
        <v>0.15</v>
      </c>
      <c r="AN128" s="144">
        <v>0.14605263157894735</v>
      </c>
      <c r="AO128" s="144">
        <v>0.14571428571428571</v>
      </c>
      <c r="AP128" s="144">
        <v>0.14142857142857143</v>
      </c>
      <c r="AQ128" s="144">
        <v>0.14571428571428571</v>
      </c>
      <c r="AR128" s="144">
        <v>0.14571428571428571</v>
      </c>
      <c r="AS128" s="144">
        <v>0.17571428571428571</v>
      </c>
      <c r="AT128" s="144">
        <v>0.13714285714285715</v>
      </c>
      <c r="AU128" s="144">
        <v>0.24571428571428572</v>
      </c>
      <c r="AV128" s="144">
        <v>0.13714285714285715</v>
      </c>
      <c r="AW128" s="144">
        <v>0.15</v>
      </c>
      <c r="AX128" s="144">
        <v>0.18285714285714286</v>
      </c>
      <c r="AY128" s="144">
        <v>0.16973684210526316</v>
      </c>
      <c r="AZ128" s="144">
        <v>0.16973684210526316</v>
      </c>
      <c r="BA128" s="144">
        <v>0.13714285714285715</v>
      </c>
      <c r="BB128" s="144">
        <v>0.14571428571428571</v>
      </c>
      <c r="BC128" s="144">
        <v>0.14142857142857143</v>
      </c>
      <c r="BD128" s="144">
        <v>0.14571428571428571</v>
      </c>
      <c r="BE128" s="144">
        <v>0</v>
      </c>
      <c r="BF128" s="144">
        <v>0</v>
      </c>
      <c r="BG128" s="144">
        <v>0</v>
      </c>
      <c r="BH128" s="144">
        <v>0</v>
      </c>
      <c r="BI128" s="144">
        <v>0</v>
      </c>
      <c r="BJ128" s="144">
        <v>0</v>
      </c>
      <c r="BK128" s="144">
        <v>0</v>
      </c>
      <c r="BL128" s="144">
        <v>0</v>
      </c>
      <c r="BM128" s="144">
        <v>0</v>
      </c>
      <c r="BN128" s="144">
        <v>0</v>
      </c>
      <c r="BO128" s="144">
        <v>0</v>
      </c>
      <c r="BP128" s="144">
        <v>0</v>
      </c>
      <c r="BQ128" s="144">
        <v>0</v>
      </c>
      <c r="BR128" s="144">
        <v>0</v>
      </c>
      <c r="BS128" s="144">
        <v>0</v>
      </c>
      <c r="BT128" s="144">
        <v>0</v>
      </c>
      <c r="BU128" s="144">
        <v>0</v>
      </c>
      <c r="BV128" s="144">
        <v>0</v>
      </c>
      <c r="BW128" s="144">
        <v>0</v>
      </c>
      <c r="BX128" s="144">
        <v>0</v>
      </c>
      <c r="BY128" s="144">
        <v>0</v>
      </c>
      <c r="BZ128" s="144">
        <v>0</v>
      </c>
      <c r="CA128" s="144">
        <v>0</v>
      </c>
      <c r="CB128" s="144">
        <v>0</v>
      </c>
      <c r="CC128" s="144">
        <v>0</v>
      </c>
      <c r="CD128" s="144">
        <v>0</v>
      </c>
      <c r="CE128" s="144">
        <v>0</v>
      </c>
      <c r="CF128" s="144">
        <v>0</v>
      </c>
      <c r="CG128" s="144">
        <v>0</v>
      </c>
      <c r="CH128" s="144">
        <v>0</v>
      </c>
      <c r="CI128" s="144">
        <v>0</v>
      </c>
      <c r="CJ128" s="144">
        <v>0</v>
      </c>
      <c r="CK128" s="144">
        <v>0</v>
      </c>
      <c r="CL128" s="144">
        <v>0</v>
      </c>
      <c r="CM128" s="144">
        <v>0</v>
      </c>
      <c r="CN128" s="144">
        <v>0</v>
      </c>
      <c r="CO128" s="144">
        <v>0</v>
      </c>
      <c r="CP128" s="144">
        <v>0</v>
      </c>
      <c r="CQ128" s="143">
        <v>0</v>
      </c>
      <c r="CR128" s="145">
        <v>0</v>
      </c>
      <c r="CS128" s="145">
        <v>0</v>
      </c>
      <c r="CT128" s="145">
        <v>0</v>
      </c>
      <c r="CU128" s="145">
        <v>0</v>
      </c>
      <c r="CV128" s="145">
        <v>0</v>
      </c>
      <c r="CW128" s="145">
        <v>0</v>
      </c>
      <c r="CX128" s="145">
        <v>0</v>
      </c>
      <c r="CY128" s="145">
        <v>0</v>
      </c>
      <c r="CZ128" s="145">
        <v>0</v>
      </c>
      <c r="DA128" s="145">
        <v>0</v>
      </c>
      <c r="DB128" s="145">
        <v>0</v>
      </c>
      <c r="DC128" s="145">
        <v>0</v>
      </c>
      <c r="DD128" s="145">
        <v>0</v>
      </c>
      <c r="DE128" s="145">
        <v>0</v>
      </c>
      <c r="DF128" s="145">
        <v>0</v>
      </c>
      <c r="DG128" s="145">
        <v>0</v>
      </c>
      <c r="DH128" s="145">
        <v>8127.5040000000008</v>
      </c>
      <c r="DI128" s="145">
        <v>8373.7919999999995</v>
      </c>
      <c r="DJ128" s="145">
        <v>10590.384</v>
      </c>
      <c r="DK128" s="145">
        <v>7634.9280000000008</v>
      </c>
      <c r="DL128" s="145">
        <v>8373.7919999999995</v>
      </c>
      <c r="DM128" s="145">
        <v>8373.7919999999995</v>
      </c>
      <c r="DN128" s="145">
        <v>8127.5040000000008</v>
      </c>
      <c r="DO128" s="145">
        <v>6896.0640000000003</v>
      </c>
      <c r="DP128" s="145">
        <v>11575.536</v>
      </c>
      <c r="DQ128" s="145">
        <v>7881.2160000000003</v>
      </c>
      <c r="DR128" s="145">
        <v>8117.9519999999993</v>
      </c>
      <c r="DS128" s="145">
        <v>8879.01</v>
      </c>
      <c r="DT128" s="145">
        <v>9640.0680000000011</v>
      </c>
      <c r="DU128" s="145">
        <v>9386.3819999999996</v>
      </c>
      <c r="DV128" s="145">
        <v>8625.3239999999987</v>
      </c>
      <c r="DW128" s="145">
        <v>8371.6380000000008</v>
      </c>
      <c r="DX128" s="145">
        <v>8625.3239999999987</v>
      </c>
      <c r="DY128" s="145">
        <v>8625.3239999999987</v>
      </c>
      <c r="DZ128" s="145">
        <v>10401.126</v>
      </c>
      <c r="EA128" s="145">
        <v>6088.4639999999999</v>
      </c>
      <c r="EB128" s="145">
        <v>10908.498</v>
      </c>
      <c r="EC128" s="145">
        <v>8117.9519999999993</v>
      </c>
      <c r="ED128" s="145">
        <v>9147.6</v>
      </c>
      <c r="EE128" s="145">
        <v>8363.52</v>
      </c>
      <c r="EF128" s="145">
        <v>11238.480000000001</v>
      </c>
      <c r="EG128" s="145">
        <v>11238.480000000001</v>
      </c>
      <c r="EH128" s="145">
        <v>8363.52</v>
      </c>
      <c r="EI128" s="145">
        <v>8886.24</v>
      </c>
      <c r="EJ128" s="145">
        <v>8624.880000000001</v>
      </c>
      <c r="EK128" s="145">
        <v>8886.24</v>
      </c>
      <c r="EL128" s="145">
        <v>0</v>
      </c>
      <c r="EM128" s="145">
        <v>0</v>
      </c>
      <c r="EN128" s="145">
        <v>0</v>
      </c>
      <c r="EO128" s="145">
        <v>0</v>
      </c>
      <c r="EP128" s="145">
        <v>0</v>
      </c>
      <c r="EQ128" s="145">
        <v>0</v>
      </c>
      <c r="ER128" s="145">
        <v>0</v>
      </c>
      <c r="ES128" s="145">
        <v>0</v>
      </c>
      <c r="ET128" s="145">
        <v>0</v>
      </c>
      <c r="EU128" s="145">
        <v>0</v>
      </c>
      <c r="EV128" s="145">
        <v>0</v>
      </c>
      <c r="EW128" s="145">
        <v>0</v>
      </c>
      <c r="EX128" s="145">
        <v>0</v>
      </c>
      <c r="EY128" s="145">
        <v>0</v>
      </c>
      <c r="EZ128" s="145">
        <v>0</v>
      </c>
      <c r="FA128" s="145">
        <v>0</v>
      </c>
      <c r="FB128" s="145">
        <v>0</v>
      </c>
      <c r="FC128" s="145">
        <v>0</v>
      </c>
      <c r="FD128" s="145">
        <v>0</v>
      </c>
      <c r="FE128" s="145">
        <v>0</v>
      </c>
      <c r="FF128" s="145">
        <v>0</v>
      </c>
      <c r="FG128" s="145">
        <v>0</v>
      </c>
      <c r="FH128" s="145">
        <v>0</v>
      </c>
      <c r="FI128" s="145">
        <v>0</v>
      </c>
      <c r="FJ128" s="145">
        <v>0</v>
      </c>
      <c r="FK128" s="145">
        <v>0</v>
      </c>
      <c r="FL128" s="145">
        <v>0</v>
      </c>
      <c r="FM128" s="145">
        <v>0</v>
      </c>
      <c r="FN128" s="145">
        <v>0</v>
      </c>
      <c r="FO128" s="145">
        <v>0</v>
      </c>
      <c r="FP128" s="145">
        <v>0</v>
      </c>
      <c r="FQ128" s="145">
        <v>0</v>
      </c>
      <c r="FR128" s="145">
        <v>0</v>
      </c>
      <c r="FS128" s="145">
        <v>0</v>
      </c>
      <c r="FT128" s="145">
        <v>0</v>
      </c>
      <c r="FU128" s="145">
        <v>0</v>
      </c>
      <c r="FV128" s="145">
        <v>0</v>
      </c>
      <c r="FW128" s="145">
        <v>0</v>
      </c>
      <c r="FX128" s="143"/>
      <c r="FY128" s="146" t="str">
        <f>_xlfn.XLOOKUP($E128,'Key assumptions'!$B$112:$B$120,'Key assumptions'!$C$112:$C$120,0)</f>
        <v>Nominal</v>
      </c>
      <c r="FZ128" s="146" cm="1">
        <f t="array" ref="FZ128">IF($FY128=0,0,_xlfn.IFS($FY128='Key assumptions'!$C$120,_xlfn.XLOOKUP(LEFT(FZ$7,6),Inflation_Year,Inflation_NominaltoReal),TRUE,_xlfn.XLOOKUP($FY128,Inflation_Year,NominaltoReal)))</f>
        <v>1.0197075870962191</v>
      </c>
      <c r="GA128" s="146" cm="1">
        <f t="array" ref="GA128">IF($FY128=0,0,_xlfn.IFS($FY128='Key assumptions'!$C$120,_xlfn.XLOOKUP(LEFT(GA$7,6),Inflation_Year,Inflation_NominaltoReal),TRUE,_xlfn.XLOOKUP($FY128,Inflation_Year,NominaltoReal)))</f>
        <v>0.98700804022984445</v>
      </c>
      <c r="GB128" s="146" cm="1">
        <f t="array" ref="GB128">IF($FY128=0,0,_xlfn.IFS($FY128='Key assumptions'!$C$120,_xlfn.XLOOKUP(LEFT(GB$7,6),Inflation_Year,Inflation_NominaltoReal),TRUE,_xlfn.XLOOKUP($FY128,Inflation_Year,NominaltoReal)))</f>
        <v>0.96152830081941731</v>
      </c>
      <c r="GC128" s="146" cm="1">
        <f t="array" ref="GC128">IF($FY128=0,0,_xlfn.IFS($FY128='Key assumptions'!$C$120,_xlfn.XLOOKUP(LEFT(GC$7,6),Inflation_Year,Inflation_NominaltoReal),TRUE,_xlfn.XLOOKUP($FY128,Inflation_Year,NominaltoReal)))</f>
        <v>0.93670632415656829</v>
      </c>
      <c r="GD128" s="146" cm="1">
        <f t="array" ref="GD128">IF($FY128=0,0,_xlfn.IFS($FY128='Key assumptions'!$C$120,_xlfn.XLOOKUP(LEFT(GD$7,6),Inflation_Year,Inflation_NominaltoReal),TRUE,_xlfn.XLOOKUP($FY128,Inflation_Year,NominaltoReal)))</f>
        <v>0.91252513001143176</v>
      </c>
      <c r="GE128" s="146" cm="1">
        <f t="array" ref="GE128">IF($FY128=0,0,_xlfn.IFS($FY128='Key assumptions'!$C$120,_xlfn.XLOOKUP(LEFT(GE$7,6),Inflation_Year,Inflation_NominaltoReal),TRUE,_xlfn.XLOOKUP($FY128,Inflation_Year,NominaltoReal)))</f>
        <v>0.88896817650095872</v>
      </c>
      <c r="GF128" s="146" cm="1">
        <f t="array" ref="GF128">IF($FY128=0,0,_xlfn.IFS($FY128='Key assumptions'!$C$120,_xlfn.XLOOKUP(LEFT(GF$7,6),Inflation_Year,Inflation_NominaltoReal),TRUE,_xlfn.XLOOKUP($FY128,Inflation_Year,NominaltoReal)))</f>
        <v>0.86601934877293718</v>
      </c>
      <c r="GG128" s="143"/>
      <c r="GH128" s="145" cm="1">
        <f t="array" ref="GH128">SUMPRODUCT(--($CR$7:$FW$7&gt;=GH$5),--($CR$7:$FW$7&lt;=GH$6),$CR128:$FW128)*FZ128</f>
        <v>43949.804886881881</v>
      </c>
      <c r="GI128" s="145" cm="1">
        <f t="array" ref="GI128">SUMPRODUCT(--($CR$7:$FW$7&gt;=GI$5),--($CR$7:$FW$7&lt;=GI$6),$CR128:$FW128)*GA128</f>
        <v>103142.15267249109</v>
      </c>
      <c r="GJ128" s="145" cm="1">
        <f t="array" ref="GJ128">SUMPRODUCT(--($CR$7:$FW$7&gt;=GJ$5),--($CR$7:$FW$7&lt;=GJ$6),$CR128:$FW128)*GB128</f>
        <v>105772.03997171645</v>
      </c>
      <c r="GK128" s="145" cm="1">
        <f t="array" ref="GK128">SUMPRODUCT(--($CR$7:$FW$7&gt;=GK$5),--($CR$7:$FW$7&lt;=GK$6),$CR128:$FW128)*GC128</f>
        <v>8323.7972059730637</v>
      </c>
      <c r="GL128" s="145" cm="1">
        <f t="array" ref="GL128">SUMPRODUCT(--($CR$7:$FW$7&gt;=GL$5),--($CR$7:$FW$7&lt;=GL$6),$CR128:$FW128)*GD128</f>
        <v>0</v>
      </c>
      <c r="GM128" s="145" cm="1">
        <f t="array" ref="GM128">SUMPRODUCT(--($CR$7:$FW$7&gt;=GM$5),--($CR$7:$FW$7&lt;=GM$6),$CR128:$FW128)*GE128</f>
        <v>0</v>
      </c>
      <c r="GN128" s="145" cm="1">
        <f t="array" ref="GN128">SUMPRODUCT(--($CR$7:$FW$7&gt;=GN$5),--($CR$7:$FW$7&lt;=GN$6),$CR128:$FW128)*GF128</f>
        <v>0</v>
      </c>
      <c r="GO128" s="145">
        <f t="shared" si="23"/>
        <v>261187.79473706248</v>
      </c>
      <c r="GP128" s="87"/>
      <c r="GQ128" s="89"/>
      <c r="GR128" s="145" cm="1">
        <f t="array" ref="GR128">SUMPRODUCT(--($CR$7:$FW$7&gt;=GR$5),--($CR$7:$FW$7&lt;=GR$6),$CR128:$FW128)</f>
        <v>16501.296000000002</v>
      </c>
      <c r="GS128" s="89"/>
      <c r="GT128" s="214" cm="1">
        <f t="array" ref="GT128">--AND(MIN(IF($K128:$CP128&lt;&gt;0,$K$7:$CP$7))&gt;=GT$5,MIN(IF($K128:$CP128&lt;&gt;0,$K$7:$CP$7))&lt;=GT$6)</f>
        <v>1</v>
      </c>
      <c r="GU128" s="214" cm="1">
        <f t="array" ref="GU128">--AND(MIN(IF($K128:$CP128&lt;&gt;0,$K$7:$CP$7))&gt;=GU$5,MIN(IF($K128:$CP128&lt;&gt;0,$K$7:$CP$7))&lt;=GU$6)</f>
        <v>0</v>
      </c>
      <c r="GV128" s="214" cm="1">
        <f t="array" ref="GV128">--AND(MIN(IF($K128:$CP128&lt;&gt;0,$K$7:$CP$7))&gt;=GV$5,MIN(IF($K128:$CP128&lt;&gt;0,$K$7:$CP$7))&lt;=GV$6)</f>
        <v>0</v>
      </c>
      <c r="GW128" s="214" cm="1">
        <f t="array" ref="GW128">--AND(MIN(IF($K128:$CP128&lt;&gt;0,$K$7:$CP$7))&gt;=GW$5,MIN(IF($K128:$CP128&lt;&gt;0,$K$7:$CP$7))&lt;=GW$6)</f>
        <v>0</v>
      </c>
      <c r="GX128" s="214" cm="1">
        <f t="array" ref="GX128">--AND(MIN(IF($K128:$CP128&lt;&gt;0,$K$7:$CP$7))&gt;=GX$5,MIN(IF($K128:$CP128&lt;&gt;0,$K$7:$CP$7))&lt;=GX$6)</f>
        <v>0</v>
      </c>
      <c r="GY128" s="214" cm="1">
        <f t="array" ref="GY128">--AND(MIN(IF($K128:$CP128&lt;&gt;0,$K$7:$CP$7))&gt;=GY$5,MIN(IF($K128:$CP128&lt;&gt;0,$K$7:$CP$7))&lt;=GY$6)</f>
        <v>0</v>
      </c>
      <c r="GZ128" s="214" cm="1">
        <f t="array" ref="GZ128">--AND(MIN(IF($K128:$CP128&lt;&gt;0,$K$7:$CP$7))&gt;=GZ$5,MIN(IF($K128:$CP128&lt;&gt;0,$K$7:$CP$7))&lt;=GZ$6)</f>
        <v>0</v>
      </c>
      <c r="HA128" s="214">
        <f t="shared" si="24"/>
        <v>1</v>
      </c>
      <c r="HC128" s="214" cm="1">
        <f t="array" ref="HC128">--AND(MIN(IF($K128:$CP128&lt;&gt;0,$K$7:$CP$7))&gt;=HC$5,MIN(IF($K128:$CP128&lt;&gt;0,$K$7:$CP$7))&lt;=HC$6)</f>
        <v>1</v>
      </c>
      <c r="HE128" s="147" t="str">
        <f t="shared" si="43"/>
        <v>No</v>
      </c>
      <c r="HF128" s="147" t="str">
        <f t="shared" si="44"/>
        <v>Yes</v>
      </c>
      <c r="HG128" s="147">
        <f>IF($HF128="Yes",0,$H128*avg_hrs*12*'Key assumptions'!$D$87)</f>
        <v>0</v>
      </c>
      <c r="HH128" s="147">
        <f>IF(HE128="Yes",'Key assumptions'!$D$84*HG128,0)</f>
        <v>0</v>
      </c>
      <c r="HI128" s="144">
        <f>IFERROR(AVERAGEIFS($K128:$CP128,$K$7:$CP$7,"&gt;="&amp;'Key assumptions'!$D$24,$K$7:$CP$7,"&lt;="&amp;'Key assumptions'!$D$25),0)</f>
        <v>0.10750000000000001</v>
      </c>
      <c r="HJ128" s="148">
        <f t="shared" si="45"/>
        <v>0</v>
      </c>
      <c r="HK128" s="148">
        <f t="shared" si="26"/>
        <v>0</v>
      </c>
      <c r="HL128" s="148">
        <f t="shared" si="27"/>
        <v>0</v>
      </c>
      <c r="HM128" s="148">
        <f t="shared" si="28"/>
        <v>0</v>
      </c>
      <c r="HN128" s="148">
        <f t="shared" si="29"/>
        <v>0</v>
      </c>
      <c r="HO128" s="148">
        <f t="shared" si="30"/>
        <v>0</v>
      </c>
      <c r="HP128" s="148">
        <f t="shared" si="31"/>
        <v>0</v>
      </c>
      <c r="HQ128" s="148">
        <f t="shared" si="32"/>
        <v>0</v>
      </c>
      <c r="HR128" s="147">
        <f t="shared" si="33"/>
        <v>0</v>
      </c>
      <c r="HU128" s="147">
        <f>$HJ128*HC128/(1+'Key assumptions'!G150)^0.75</f>
        <v>0</v>
      </c>
      <c r="HW128" s="216">
        <f t="shared" si="34"/>
        <v>0.10750000000000001</v>
      </c>
      <c r="HX128" s="216">
        <f t="shared" si="35"/>
        <v>0</v>
      </c>
      <c r="HY128" s="216">
        <f t="shared" si="36"/>
        <v>0</v>
      </c>
      <c r="HZ128" s="216">
        <f t="shared" si="37"/>
        <v>0</v>
      </c>
      <c r="IA128" s="216">
        <f t="shared" si="38"/>
        <v>0</v>
      </c>
      <c r="IB128" s="216">
        <f t="shared" si="39"/>
        <v>0</v>
      </c>
      <c r="IC128" s="216">
        <f t="shared" si="40"/>
        <v>0</v>
      </c>
      <c r="ID128" s="216">
        <f t="shared" si="41"/>
        <v>0.10750000000000001</v>
      </c>
      <c r="IF128" s="216">
        <f t="shared" si="42"/>
        <v>0.10750000000000001</v>
      </c>
    </row>
    <row r="129" spans="2:240" x14ac:dyDescent="0.2">
      <c r="B129" s="141" t="str">
        <v>Project Delivery Management - Construction Management</v>
      </c>
      <c r="C129" s="141" t="str">
        <v>Safety Officer (Safety and Environmental Delivery)</v>
      </c>
      <c r="D129" s="141" t="str">
        <v>Internal Labour</v>
      </c>
      <c r="E129" s="141" t="str">
        <v>$ Nominal</v>
      </c>
      <c r="F129" s="141" t="str">
        <v>Existing</v>
      </c>
      <c r="G129" s="141" t="str">
        <v>Normal time</v>
      </c>
      <c r="H129" s="142">
        <v>205.24</v>
      </c>
      <c r="I129" s="126">
        <v>258110.5566666667</v>
      </c>
      <c r="J129" s="143">
        <v>0</v>
      </c>
      <c r="K129" s="144">
        <v>0</v>
      </c>
      <c r="L129" s="144">
        <v>0</v>
      </c>
      <c r="M129" s="144">
        <v>0</v>
      </c>
      <c r="N129" s="144">
        <v>0</v>
      </c>
      <c r="O129" s="144">
        <v>0</v>
      </c>
      <c r="P129" s="144">
        <v>0</v>
      </c>
      <c r="Q129" s="144">
        <v>0</v>
      </c>
      <c r="R129" s="144">
        <v>0</v>
      </c>
      <c r="S129" s="144">
        <v>0</v>
      </c>
      <c r="T129" s="144">
        <v>0</v>
      </c>
      <c r="U129" s="144">
        <v>0</v>
      </c>
      <c r="V129" s="144">
        <v>0</v>
      </c>
      <c r="W129" s="144">
        <v>0</v>
      </c>
      <c r="X129" s="144">
        <v>0</v>
      </c>
      <c r="Y129" s="144">
        <v>0</v>
      </c>
      <c r="Z129" s="144">
        <v>0</v>
      </c>
      <c r="AA129" s="144">
        <v>0.26096491228070173</v>
      </c>
      <c r="AB129" s="144">
        <v>0.27631578947368424</v>
      </c>
      <c r="AC129" s="144">
        <v>0.31666666666666671</v>
      </c>
      <c r="AD129" s="144">
        <v>0.25</v>
      </c>
      <c r="AE129" s="144">
        <v>0.3</v>
      </c>
      <c r="AF129" s="144">
        <v>0.3</v>
      </c>
      <c r="AG129" s="144">
        <v>0.28333333333333333</v>
      </c>
      <c r="AH129" s="144">
        <v>0.26666666666666666</v>
      </c>
      <c r="AI129" s="144">
        <v>0.51111111111111107</v>
      </c>
      <c r="AJ129" s="144">
        <v>0.26666666666666666</v>
      </c>
      <c r="AK129" s="144">
        <v>0.26666666666666666</v>
      </c>
      <c r="AL129" s="144">
        <v>0.42222222222222222</v>
      </c>
      <c r="AM129" s="144">
        <v>0.27631578947368424</v>
      </c>
      <c r="AN129" s="144">
        <v>0.26096491228070173</v>
      </c>
      <c r="AO129" s="144">
        <v>0.3</v>
      </c>
      <c r="AP129" s="144">
        <v>0.28333333333333333</v>
      </c>
      <c r="AQ129" s="144">
        <v>0.3</v>
      </c>
      <c r="AR129" s="144">
        <v>0.3</v>
      </c>
      <c r="AS129" s="144">
        <v>0.28333333333333333</v>
      </c>
      <c r="AT129" s="144">
        <v>0.35555555555555557</v>
      </c>
      <c r="AU129" s="144">
        <v>0.42222222222222222</v>
      </c>
      <c r="AV129" s="144">
        <v>0.26666666666666666</v>
      </c>
      <c r="AW129" s="144">
        <v>0.31666666666666671</v>
      </c>
      <c r="AX129" s="144">
        <v>0.35555555555555557</v>
      </c>
      <c r="AY129" s="144">
        <v>0.29166666666666669</v>
      </c>
      <c r="AZ129" s="144">
        <v>0.29166666666666669</v>
      </c>
      <c r="BA129" s="144">
        <v>0.26666666666666666</v>
      </c>
      <c r="BB129" s="144">
        <v>0.3</v>
      </c>
      <c r="BC129" s="144">
        <v>0.28333333333333333</v>
      </c>
      <c r="BD129" s="144">
        <v>0.3</v>
      </c>
      <c r="BE129" s="144">
        <v>0</v>
      </c>
      <c r="BF129" s="144">
        <v>0</v>
      </c>
      <c r="BG129" s="144">
        <v>0</v>
      </c>
      <c r="BH129" s="144">
        <v>0</v>
      </c>
      <c r="BI129" s="144">
        <v>0</v>
      </c>
      <c r="BJ129" s="144">
        <v>0</v>
      </c>
      <c r="BK129" s="144">
        <v>0</v>
      </c>
      <c r="BL129" s="144">
        <v>0</v>
      </c>
      <c r="BM129" s="144">
        <v>0</v>
      </c>
      <c r="BN129" s="144">
        <v>0</v>
      </c>
      <c r="BO129" s="144">
        <v>0</v>
      </c>
      <c r="BP129" s="144">
        <v>0</v>
      </c>
      <c r="BQ129" s="144">
        <v>0</v>
      </c>
      <c r="BR129" s="144">
        <v>0</v>
      </c>
      <c r="BS129" s="144">
        <v>0</v>
      </c>
      <c r="BT129" s="144">
        <v>0</v>
      </c>
      <c r="BU129" s="144">
        <v>0</v>
      </c>
      <c r="BV129" s="144">
        <v>0</v>
      </c>
      <c r="BW129" s="144">
        <v>0</v>
      </c>
      <c r="BX129" s="144">
        <v>0</v>
      </c>
      <c r="BY129" s="144">
        <v>0</v>
      </c>
      <c r="BZ129" s="144">
        <v>0</v>
      </c>
      <c r="CA129" s="144">
        <v>0</v>
      </c>
      <c r="CB129" s="144">
        <v>0</v>
      </c>
      <c r="CC129" s="144">
        <v>0</v>
      </c>
      <c r="CD129" s="144">
        <v>0</v>
      </c>
      <c r="CE129" s="144">
        <v>0</v>
      </c>
      <c r="CF129" s="144">
        <v>0</v>
      </c>
      <c r="CG129" s="144">
        <v>0</v>
      </c>
      <c r="CH129" s="144">
        <v>0</v>
      </c>
      <c r="CI129" s="144">
        <v>0</v>
      </c>
      <c r="CJ129" s="144">
        <v>0</v>
      </c>
      <c r="CK129" s="144">
        <v>0</v>
      </c>
      <c r="CL129" s="144">
        <v>0</v>
      </c>
      <c r="CM129" s="144">
        <v>0</v>
      </c>
      <c r="CN129" s="144">
        <v>0</v>
      </c>
      <c r="CO129" s="144">
        <v>0</v>
      </c>
      <c r="CP129" s="144">
        <v>0</v>
      </c>
      <c r="CQ129" s="143">
        <v>0</v>
      </c>
      <c r="CR129" s="145">
        <v>0</v>
      </c>
      <c r="CS129" s="145">
        <v>0</v>
      </c>
      <c r="CT129" s="145">
        <v>0</v>
      </c>
      <c r="CU129" s="145">
        <v>0</v>
      </c>
      <c r="CV129" s="145">
        <v>0</v>
      </c>
      <c r="CW129" s="145">
        <v>0</v>
      </c>
      <c r="CX129" s="145">
        <v>0</v>
      </c>
      <c r="CY129" s="145">
        <v>0</v>
      </c>
      <c r="CZ129" s="145">
        <v>0</v>
      </c>
      <c r="DA129" s="145">
        <v>0</v>
      </c>
      <c r="DB129" s="145">
        <v>0</v>
      </c>
      <c r="DC129" s="145">
        <v>0</v>
      </c>
      <c r="DD129" s="145">
        <v>0</v>
      </c>
      <c r="DE129" s="145">
        <v>0</v>
      </c>
      <c r="DF129" s="145">
        <v>0</v>
      </c>
      <c r="DG129" s="145">
        <v>0</v>
      </c>
      <c r="DH129" s="145">
        <v>8141.1866666666665</v>
      </c>
      <c r="DI129" s="145">
        <v>8620.08</v>
      </c>
      <c r="DJ129" s="145">
        <v>9098.9733333333334</v>
      </c>
      <c r="DK129" s="145">
        <v>7183.4000000000005</v>
      </c>
      <c r="DL129" s="145">
        <v>8620.08</v>
      </c>
      <c r="DM129" s="145">
        <v>8620.08</v>
      </c>
      <c r="DN129" s="145">
        <v>8141.1866666666665</v>
      </c>
      <c r="DO129" s="145">
        <v>5746.72</v>
      </c>
      <c r="DP129" s="145">
        <v>11014.546666666667</v>
      </c>
      <c r="DQ129" s="145">
        <v>7662.293333333334</v>
      </c>
      <c r="DR129" s="145">
        <v>7892.64</v>
      </c>
      <c r="DS129" s="145">
        <v>9372.51</v>
      </c>
      <c r="DT129" s="145">
        <v>8879.2199999999993</v>
      </c>
      <c r="DU129" s="145">
        <v>8385.9299999999985</v>
      </c>
      <c r="DV129" s="145">
        <v>8879.2199999999993</v>
      </c>
      <c r="DW129" s="145">
        <v>8385.9299999999985</v>
      </c>
      <c r="DX129" s="145">
        <v>8879.2199999999993</v>
      </c>
      <c r="DY129" s="145">
        <v>8879.2199999999993</v>
      </c>
      <c r="DZ129" s="145">
        <v>8385.9299999999985</v>
      </c>
      <c r="EA129" s="145">
        <v>7892.64</v>
      </c>
      <c r="EB129" s="145">
        <v>9372.51</v>
      </c>
      <c r="EC129" s="145">
        <v>7892.64</v>
      </c>
      <c r="ED129" s="145">
        <v>9655.8000000000011</v>
      </c>
      <c r="EE129" s="145">
        <v>8131.2000000000007</v>
      </c>
      <c r="EF129" s="145">
        <v>9655.8000000000011</v>
      </c>
      <c r="EG129" s="145">
        <v>9655.8000000000011</v>
      </c>
      <c r="EH129" s="145">
        <v>8131.2000000000007</v>
      </c>
      <c r="EI129" s="145">
        <v>9147.6</v>
      </c>
      <c r="EJ129" s="145">
        <v>8639.4</v>
      </c>
      <c r="EK129" s="145">
        <v>9147.6</v>
      </c>
      <c r="EL129" s="145">
        <v>0</v>
      </c>
      <c r="EM129" s="145">
        <v>0</v>
      </c>
      <c r="EN129" s="145">
        <v>0</v>
      </c>
      <c r="EO129" s="145">
        <v>0</v>
      </c>
      <c r="EP129" s="145">
        <v>0</v>
      </c>
      <c r="EQ129" s="145">
        <v>0</v>
      </c>
      <c r="ER129" s="145">
        <v>0</v>
      </c>
      <c r="ES129" s="145">
        <v>0</v>
      </c>
      <c r="ET129" s="145">
        <v>0</v>
      </c>
      <c r="EU129" s="145">
        <v>0</v>
      </c>
      <c r="EV129" s="145">
        <v>0</v>
      </c>
      <c r="EW129" s="145">
        <v>0</v>
      </c>
      <c r="EX129" s="145">
        <v>0</v>
      </c>
      <c r="EY129" s="145">
        <v>0</v>
      </c>
      <c r="EZ129" s="145">
        <v>0</v>
      </c>
      <c r="FA129" s="145">
        <v>0</v>
      </c>
      <c r="FB129" s="145">
        <v>0</v>
      </c>
      <c r="FC129" s="145">
        <v>0</v>
      </c>
      <c r="FD129" s="145">
        <v>0</v>
      </c>
      <c r="FE129" s="145">
        <v>0</v>
      </c>
      <c r="FF129" s="145">
        <v>0</v>
      </c>
      <c r="FG129" s="145">
        <v>0</v>
      </c>
      <c r="FH129" s="145">
        <v>0</v>
      </c>
      <c r="FI129" s="145">
        <v>0</v>
      </c>
      <c r="FJ129" s="145">
        <v>0</v>
      </c>
      <c r="FK129" s="145">
        <v>0</v>
      </c>
      <c r="FL129" s="145">
        <v>0</v>
      </c>
      <c r="FM129" s="145">
        <v>0</v>
      </c>
      <c r="FN129" s="145">
        <v>0</v>
      </c>
      <c r="FO129" s="145">
        <v>0</v>
      </c>
      <c r="FP129" s="145">
        <v>0</v>
      </c>
      <c r="FQ129" s="145">
        <v>0</v>
      </c>
      <c r="FR129" s="145">
        <v>0</v>
      </c>
      <c r="FS129" s="145">
        <v>0</v>
      </c>
      <c r="FT129" s="145">
        <v>0</v>
      </c>
      <c r="FU129" s="145">
        <v>0</v>
      </c>
      <c r="FV129" s="145">
        <v>0</v>
      </c>
      <c r="FW129" s="145">
        <v>0</v>
      </c>
      <c r="FX129" s="143"/>
      <c r="FY129" s="146" t="str">
        <f>_xlfn.XLOOKUP($E129,'Key assumptions'!$B$112:$B$120,'Key assumptions'!$C$112:$C$120,0)</f>
        <v>Nominal</v>
      </c>
      <c r="FZ129" s="146" cm="1">
        <f t="array" ref="FZ129">IF($FY129=0,0,_xlfn.IFS($FY129='Key assumptions'!$C$120,_xlfn.XLOOKUP(LEFT(FZ$7,6),Inflation_Year,Inflation_NominaltoReal),TRUE,_xlfn.XLOOKUP($FY129,Inflation_Year,NominaltoReal)))</f>
        <v>1.0197075870962191</v>
      </c>
      <c r="GA129" s="146" cm="1">
        <f t="array" ref="GA129">IF($FY129=0,0,_xlfn.IFS($FY129='Key assumptions'!$C$120,_xlfn.XLOOKUP(LEFT(GA$7,6),Inflation_Year,Inflation_NominaltoReal),TRUE,_xlfn.XLOOKUP($FY129,Inflation_Year,NominaltoReal)))</f>
        <v>0.98700804022984445</v>
      </c>
      <c r="GB129" s="146" cm="1">
        <f t="array" ref="GB129">IF($FY129=0,0,_xlfn.IFS($FY129='Key assumptions'!$C$120,_xlfn.XLOOKUP(LEFT(GB$7,6),Inflation_Year,Inflation_NominaltoReal),TRUE,_xlfn.XLOOKUP($FY129,Inflation_Year,NominaltoReal)))</f>
        <v>0.96152830081941731</v>
      </c>
      <c r="GC129" s="146" cm="1">
        <f t="array" ref="GC129">IF($FY129=0,0,_xlfn.IFS($FY129='Key assumptions'!$C$120,_xlfn.XLOOKUP(LEFT(GC$7,6),Inflation_Year,Inflation_NominaltoReal),TRUE,_xlfn.XLOOKUP($FY129,Inflation_Year,NominaltoReal)))</f>
        <v>0.93670632415656829</v>
      </c>
      <c r="GD129" s="146" cm="1">
        <f t="array" ref="GD129">IF($FY129=0,0,_xlfn.IFS($FY129='Key assumptions'!$C$120,_xlfn.XLOOKUP(LEFT(GD$7,6),Inflation_Year,Inflation_NominaltoReal),TRUE,_xlfn.XLOOKUP($FY129,Inflation_Year,NominaltoReal)))</f>
        <v>0.91252513001143176</v>
      </c>
      <c r="GE129" s="146" cm="1">
        <f t="array" ref="GE129">IF($FY129=0,0,_xlfn.IFS($FY129='Key assumptions'!$C$120,_xlfn.XLOOKUP(LEFT(GE$7,6),Inflation_Year,Inflation_NominaltoReal),TRUE,_xlfn.XLOOKUP($FY129,Inflation_Year,NominaltoReal)))</f>
        <v>0.88896817650095872</v>
      </c>
      <c r="GF129" s="146" cm="1">
        <f t="array" ref="GF129">IF($FY129=0,0,_xlfn.IFS($FY129='Key assumptions'!$C$120,_xlfn.XLOOKUP(LEFT(GF$7,6),Inflation_Year,Inflation_NominaltoReal),TRUE,_xlfn.XLOOKUP($FY129,Inflation_Year,NominaltoReal)))</f>
        <v>0.86601934877293718</v>
      </c>
      <c r="GG129" s="143"/>
      <c r="GH129" s="145" cm="1">
        <f t="array" ref="GH129">SUMPRODUCT(--($CR$7:$FW$7&gt;=GH$5),--($CR$7:$FW$7&lt;=GH$6),$CR129:$FW129)*FZ129</f>
        <v>42484.811390652489</v>
      </c>
      <c r="GI129" s="145" cm="1">
        <f t="array" ref="GI129">SUMPRODUCT(--($CR$7:$FW$7&gt;=GI$5),--($CR$7:$FW$7&lt;=GI$6),$CR129:$FW129)*GA129</f>
        <v>100536.14218376503</v>
      </c>
      <c r="GJ129" s="145" cm="1">
        <f t="array" ref="GJ129">SUMPRODUCT(--($CR$7:$FW$7&gt;=GJ$5),--($CR$7:$FW$7&lt;=GJ$6),$CR129:$FW129)*GB129</f>
        <v>101383.29404104115</v>
      </c>
      <c r="GK129" s="145" cm="1">
        <f t="array" ref="GK129">SUMPRODUCT(--($CR$7:$FW$7&gt;=GK$5),--($CR$7:$FW$7&lt;=GK$6),$CR129:$FW129)*GC129</f>
        <v>8568.614770854625</v>
      </c>
      <c r="GL129" s="145" cm="1">
        <f t="array" ref="GL129">SUMPRODUCT(--($CR$7:$FW$7&gt;=GL$5),--($CR$7:$FW$7&lt;=GL$6),$CR129:$FW129)*GD129</f>
        <v>0</v>
      </c>
      <c r="GM129" s="145" cm="1">
        <f t="array" ref="GM129">SUMPRODUCT(--($CR$7:$FW$7&gt;=GM$5),--($CR$7:$FW$7&lt;=GM$6),$CR129:$FW129)*GE129</f>
        <v>0</v>
      </c>
      <c r="GN129" s="145" cm="1">
        <f t="array" ref="GN129">SUMPRODUCT(--($CR$7:$FW$7&gt;=GN$5),--($CR$7:$FW$7&lt;=GN$6),$CR129:$FW129)*GF129</f>
        <v>0</v>
      </c>
      <c r="GO129" s="145">
        <f t="shared" si="23"/>
        <v>252972.8623863133</v>
      </c>
      <c r="GP129" s="87"/>
      <c r="GQ129" s="89"/>
      <c r="GR129" s="145" cm="1">
        <f t="array" ref="GR129">SUMPRODUCT(--($CR$7:$FW$7&gt;=GR$5),--($CR$7:$FW$7&lt;=GR$6),$CR129:$FW129)</f>
        <v>16761.266666666666</v>
      </c>
      <c r="GS129" s="89"/>
      <c r="GT129" s="214" cm="1">
        <f t="array" ref="GT129">--AND(MIN(IF($K129:$CP129&lt;&gt;0,$K$7:$CP$7))&gt;=GT$5,MIN(IF($K129:$CP129&lt;&gt;0,$K$7:$CP$7))&lt;=GT$6)</f>
        <v>1</v>
      </c>
      <c r="GU129" s="214" cm="1">
        <f t="array" ref="GU129">--AND(MIN(IF($K129:$CP129&lt;&gt;0,$K$7:$CP$7))&gt;=GU$5,MIN(IF($K129:$CP129&lt;&gt;0,$K$7:$CP$7))&lt;=GU$6)</f>
        <v>0</v>
      </c>
      <c r="GV129" s="214" cm="1">
        <f t="array" ref="GV129">--AND(MIN(IF($K129:$CP129&lt;&gt;0,$K$7:$CP$7))&gt;=GV$5,MIN(IF($K129:$CP129&lt;&gt;0,$K$7:$CP$7))&lt;=GV$6)</f>
        <v>0</v>
      </c>
      <c r="GW129" s="214" cm="1">
        <f t="array" ref="GW129">--AND(MIN(IF($K129:$CP129&lt;&gt;0,$K$7:$CP$7))&gt;=GW$5,MIN(IF($K129:$CP129&lt;&gt;0,$K$7:$CP$7))&lt;=GW$6)</f>
        <v>0</v>
      </c>
      <c r="GX129" s="214" cm="1">
        <f t="array" ref="GX129">--AND(MIN(IF($K129:$CP129&lt;&gt;0,$K$7:$CP$7))&gt;=GX$5,MIN(IF($K129:$CP129&lt;&gt;0,$K$7:$CP$7))&lt;=GX$6)</f>
        <v>0</v>
      </c>
      <c r="GY129" s="214" cm="1">
        <f t="array" ref="GY129">--AND(MIN(IF($K129:$CP129&lt;&gt;0,$K$7:$CP$7))&gt;=GY$5,MIN(IF($K129:$CP129&lt;&gt;0,$K$7:$CP$7))&lt;=GY$6)</f>
        <v>0</v>
      </c>
      <c r="GZ129" s="214" cm="1">
        <f t="array" ref="GZ129">--AND(MIN(IF($K129:$CP129&lt;&gt;0,$K$7:$CP$7))&gt;=GZ$5,MIN(IF($K129:$CP129&lt;&gt;0,$K$7:$CP$7))&lt;=GZ$6)</f>
        <v>0</v>
      </c>
      <c r="HA129" s="214">
        <f t="shared" si="24"/>
        <v>1</v>
      </c>
      <c r="HC129" s="214" cm="1">
        <f t="array" ref="HC129">--AND(MIN(IF($K129:$CP129&lt;&gt;0,$K$7:$CP$7))&gt;=HC$5,MIN(IF($K129:$CP129&lt;&gt;0,$K$7:$CP$7))&lt;=HC$6)</f>
        <v>1</v>
      </c>
      <c r="HE129" s="147" t="str">
        <f t="shared" si="43"/>
        <v>No</v>
      </c>
      <c r="HF129" s="147" t="str">
        <f t="shared" si="44"/>
        <v>No</v>
      </c>
      <c r="HG129" s="147">
        <f>IF($HF129="Yes",0,$H129*avg_hrs*12*'Key assumptions'!$D$87)</f>
        <v>367024.33151015785</v>
      </c>
      <c r="HH129" s="147">
        <f>IF(HE129="Yes",'Key assumptions'!$D$84*HG129,0)</f>
        <v>0</v>
      </c>
      <c r="HI129" s="144">
        <f>IFERROR(AVERAGEIFS($K129:$CP129,$K$7:$CP$7,"&gt;="&amp;'Key assumptions'!$D$24,$K$7:$CP$7,"&lt;="&amp;'Key assumptions'!$D$25),0)</f>
        <v>0.2085127591706539</v>
      </c>
      <c r="HJ129" s="148">
        <f t="shared" si="45"/>
        <v>0</v>
      </c>
      <c r="HK129" s="148">
        <f t="shared" si="26"/>
        <v>0</v>
      </c>
      <c r="HL129" s="148">
        <f t="shared" si="27"/>
        <v>0</v>
      </c>
      <c r="HM129" s="148">
        <f t="shared" si="28"/>
        <v>0</v>
      </c>
      <c r="HN129" s="148">
        <f t="shared" si="29"/>
        <v>0</v>
      </c>
      <c r="HO129" s="148">
        <f t="shared" si="30"/>
        <v>0</v>
      </c>
      <c r="HP129" s="148">
        <f t="shared" si="31"/>
        <v>0</v>
      </c>
      <c r="HQ129" s="148">
        <f t="shared" si="32"/>
        <v>0</v>
      </c>
      <c r="HR129" s="147">
        <f t="shared" si="33"/>
        <v>0</v>
      </c>
      <c r="HU129" s="147">
        <f>$HJ129*HC129/(1+'Key assumptions'!G151)^0.75</f>
        <v>0</v>
      </c>
      <c r="HW129" s="216">
        <f t="shared" si="34"/>
        <v>0.2085127591706539</v>
      </c>
      <c r="HX129" s="216">
        <f t="shared" si="35"/>
        <v>0</v>
      </c>
      <c r="HY129" s="216">
        <f t="shared" si="36"/>
        <v>0</v>
      </c>
      <c r="HZ129" s="216">
        <f t="shared" si="37"/>
        <v>0</v>
      </c>
      <c r="IA129" s="216">
        <f t="shared" si="38"/>
        <v>0</v>
      </c>
      <c r="IB129" s="216">
        <f t="shared" si="39"/>
        <v>0</v>
      </c>
      <c r="IC129" s="216">
        <f t="shared" si="40"/>
        <v>0</v>
      </c>
      <c r="ID129" s="216">
        <f t="shared" si="41"/>
        <v>0.2085127591706539</v>
      </c>
      <c r="IF129" s="216">
        <f t="shared" si="42"/>
        <v>0.2085127591706539</v>
      </c>
    </row>
    <row r="130" spans="2:240" x14ac:dyDescent="0.2">
      <c r="B130" s="141" t="str">
        <v>Project Delivery Management - Construction Management</v>
      </c>
      <c r="C130" s="141" t="str">
        <v>Safety Officer (Safety and Environmental Delivery)</v>
      </c>
      <c r="D130" s="141" t="str">
        <v>Internal Labour</v>
      </c>
      <c r="E130" s="141" t="str">
        <v>$ Nominal</v>
      </c>
      <c r="F130" s="141">
        <v>0</v>
      </c>
      <c r="G130" s="141" t="str">
        <v>Overtime</v>
      </c>
      <c r="H130" s="142">
        <v>205.24</v>
      </c>
      <c r="I130" s="126">
        <v>444150.89000000013</v>
      </c>
      <c r="J130" s="143">
        <v>0</v>
      </c>
      <c r="K130" s="144">
        <v>0</v>
      </c>
      <c r="L130" s="144">
        <v>0</v>
      </c>
      <c r="M130" s="144">
        <v>0</v>
      </c>
      <c r="N130" s="144">
        <v>0</v>
      </c>
      <c r="O130" s="144">
        <v>0</v>
      </c>
      <c r="P130" s="144">
        <v>0</v>
      </c>
      <c r="Q130" s="144">
        <v>0</v>
      </c>
      <c r="R130" s="144">
        <v>0</v>
      </c>
      <c r="S130" s="144">
        <v>0</v>
      </c>
      <c r="T130" s="144">
        <v>0</v>
      </c>
      <c r="U130" s="144">
        <v>0</v>
      </c>
      <c r="V130" s="144">
        <v>0</v>
      </c>
      <c r="W130" s="144">
        <v>0</v>
      </c>
      <c r="X130" s="144">
        <v>0</v>
      </c>
      <c r="Y130" s="144">
        <v>0</v>
      </c>
      <c r="Z130" s="144">
        <v>0</v>
      </c>
      <c r="AA130" s="144">
        <v>0.21710526315789475</v>
      </c>
      <c r="AB130" s="144">
        <v>0.22368421052631579</v>
      </c>
      <c r="AC130" s="144">
        <v>0.30714285714285716</v>
      </c>
      <c r="AD130" s="144">
        <v>0.22142857142857142</v>
      </c>
      <c r="AE130" s="144">
        <v>0.24285714285714285</v>
      </c>
      <c r="AF130" s="144">
        <v>0.24285714285714285</v>
      </c>
      <c r="AG130" s="144">
        <v>0.23571428571428571</v>
      </c>
      <c r="AH130" s="144">
        <v>0.26666666666666666</v>
      </c>
      <c r="AI130" s="144">
        <v>0.44761904761904764</v>
      </c>
      <c r="AJ130" s="144">
        <v>0.22857142857142856</v>
      </c>
      <c r="AK130" s="144">
        <v>0.22857142857142856</v>
      </c>
      <c r="AL130" s="144">
        <v>0.33333333333333331</v>
      </c>
      <c r="AM130" s="144">
        <v>0.25</v>
      </c>
      <c r="AN130" s="144">
        <v>0.24342105263157895</v>
      </c>
      <c r="AO130" s="144">
        <v>0.24285714285714285</v>
      </c>
      <c r="AP130" s="144">
        <v>0.23571428571428571</v>
      </c>
      <c r="AQ130" s="144">
        <v>0.24285714285714285</v>
      </c>
      <c r="AR130" s="144">
        <v>0.24285714285714285</v>
      </c>
      <c r="AS130" s="144">
        <v>0.29285714285714287</v>
      </c>
      <c r="AT130" s="144">
        <v>0.22857142857142856</v>
      </c>
      <c r="AU130" s="144">
        <v>0.40952380952380951</v>
      </c>
      <c r="AV130" s="144">
        <v>0.22857142857142856</v>
      </c>
      <c r="AW130" s="144">
        <v>0.25</v>
      </c>
      <c r="AX130" s="144">
        <v>0.30476190476190479</v>
      </c>
      <c r="AY130" s="144">
        <v>0.28289473684210525</v>
      </c>
      <c r="AZ130" s="144">
        <v>0.28289473684210525</v>
      </c>
      <c r="BA130" s="144">
        <v>0.22857142857142856</v>
      </c>
      <c r="BB130" s="144">
        <v>0.24285714285714285</v>
      </c>
      <c r="BC130" s="144">
        <v>0.23571428571428571</v>
      </c>
      <c r="BD130" s="144">
        <v>0.24285714285714285</v>
      </c>
      <c r="BE130" s="144">
        <v>0</v>
      </c>
      <c r="BF130" s="144">
        <v>0</v>
      </c>
      <c r="BG130" s="144">
        <v>0</v>
      </c>
      <c r="BH130" s="144">
        <v>0</v>
      </c>
      <c r="BI130" s="144">
        <v>0</v>
      </c>
      <c r="BJ130" s="144">
        <v>0</v>
      </c>
      <c r="BK130" s="144">
        <v>0</v>
      </c>
      <c r="BL130" s="144">
        <v>0</v>
      </c>
      <c r="BM130" s="144">
        <v>0</v>
      </c>
      <c r="BN130" s="144">
        <v>0</v>
      </c>
      <c r="BO130" s="144">
        <v>0</v>
      </c>
      <c r="BP130" s="144">
        <v>0</v>
      </c>
      <c r="BQ130" s="144">
        <v>0</v>
      </c>
      <c r="BR130" s="144">
        <v>0</v>
      </c>
      <c r="BS130" s="144">
        <v>0</v>
      </c>
      <c r="BT130" s="144">
        <v>0</v>
      </c>
      <c r="BU130" s="144">
        <v>0</v>
      </c>
      <c r="BV130" s="144">
        <v>0</v>
      </c>
      <c r="BW130" s="144">
        <v>0</v>
      </c>
      <c r="BX130" s="144">
        <v>0</v>
      </c>
      <c r="BY130" s="144">
        <v>0</v>
      </c>
      <c r="BZ130" s="144">
        <v>0</v>
      </c>
      <c r="CA130" s="144">
        <v>0</v>
      </c>
      <c r="CB130" s="144">
        <v>0</v>
      </c>
      <c r="CC130" s="144">
        <v>0</v>
      </c>
      <c r="CD130" s="144">
        <v>0</v>
      </c>
      <c r="CE130" s="144">
        <v>0</v>
      </c>
      <c r="CF130" s="144">
        <v>0</v>
      </c>
      <c r="CG130" s="144">
        <v>0</v>
      </c>
      <c r="CH130" s="144">
        <v>0</v>
      </c>
      <c r="CI130" s="144">
        <v>0</v>
      </c>
      <c r="CJ130" s="144">
        <v>0</v>
      </c>
      <c r="CK130" s="144">
        <v>0</v>
      </c>
      <c r="CL130" s="144">
        <v>0</v>
      </c>
      <c r="CM130" s="144">
        <v>0</v>
      </c>
      <c r="CN130" s="144">
        <v>0</v>
      </c>
      <c r="CO130" s="144">
        <v>0</v>
      </c>
      <c r="CP130" s="144">
        <v>0</v>
      </c>
      <c r="CQ130" s="143">
        <v>0</v>
      </c>
      <c r="CR130" s="145">
        <v>0</v>
      </c>
      <c r="CS130" s="145">
        <v>0</v>
      </c>
      <c r="CT130" s="145">
        <v>0</v>
      </c>
      <c r="CU130" s="145">
        <v>0</v>
      </c>
      <c r="CV130" s="145">
        <v>0</v>
      </c>
      <c r="CW130" s="145">
        <v>0</v>
      </c>
      <c r="CX130" s="145">
        <v>0</v>
      </c>
      <c r="CY130" s="145">
        <v>0</v>
      </c>
      <c r="CZ130" s="145">
        <v>0</v>
      </c>
      <c r="DA130" s="145">
        <v>0</v>
      </c>
      <c r="DB130" s="145">
        <v>0</v>
      </c>
      <c r="DC130" s="145">
        <v>0</v>
      </c>
      <c r="DD130" s="145">
        <v>0</v>
      </c>
      <c r="DE130" s="145">
        <v>0</v>
      </c>
      <c r="DF130" s="145">
        <v>0</v>
      </c>
      <c r="DG130" s="145">
        <v>0</v>
      </c>
      <c r="DH130" s="145">
        <v>13545.84</v>
      </c>
      <c r="DI130" s="145">
        <v>13956.32</v>
      </c>
      <c r="DJ130" s="145">
        <v>17650.64</v>
      </c>
      <c r="DK130" s="145">
        <v>12724.880000000001</v>
      </c>
      <c r="DL130" s="145">
        <v>13956.32</v>
      </c>
      <c r="DM130" s="145">
        <v>13956.32</v>
      </c>
      <c r="DN130" s="145">
        <v>13545.84</v>
      </c>
      <c r="DO130" s="145">
        <v>11493.44</v>
      </c>
      <c r="DP130" s="145">
        <v>19292.560000000001</v>
      </c>
      <c r="DQ130" s="145">
        <v>13135.36</v>
      </c>
      <c r="DR130" s="145">
        <v>13529.92</v>
      </c>
      <c r="DS130" s="145">
        <v>14798.35</v>
      </c>
      <c r="DT130" s="145">
        <v>16066.78</v>
      </c>
      <c r="DU130" s="145">
        <v>15643.97</v>
      </c>
      <c r="DV130" s="145">
        <v>14375.54</v>
      </c>
      <c r="DW130" s="145">
        <v>13952.73</v>
      </c>
      <c r="DX130" s="145">
        <v>14375.54</v>
      </c>
      <c r="DY130" s="145">
        <v>14375.54</v>
      </c>
      <c r="DZ130" s="145">
        <v>17335.21</v>
      </c>
      <c r="EA130" s="145">
        <v>10147.44</v>
      </c>
      <c r="EB130" s="145">
        <v>18180.830000000002</v>
      </c>
      <c r="EC130" s="145">
        <v>13529.92</v>
      </c>
      <c r="ED130" s="145">
        <v>15246</v>
      </c>
      <c r="EE130" s="145">
        <v>13939.2</v>
      </c>
      <c r="EF130" s="145">
        <v>18730.8</v>
      </c>
      <c r="EG130" s="145">
        <v>18730.8</v>
      </c>
      <c r="EH130" s="145">
        <v>13939.2</v>
      </c>
      <c r="EI130" s="145">
        <v>14810.400000000001</v>
      </c>
      <c r="EJ130" s="145">
        <v>14374.800000000001</v>
      </c>
      <c r="EK130" s="145">
        <v>14810.400000000001</v>
      </c>
      <c r="EL130" s="145">
        <v>0</v>
      </c>
      <c r="EM130" s="145">
        <v>0</v>
      </c>
      <c r="EN130" s="145">
        <v>0</v>
      </c>
      <c r="EO130" s="145">
        <v>0</v>
      </c>
      <c r="EP130" s="145">
        <v>0</v>
      </c>
      <c r="EQ130" s="145">
        <v>0</v>
      </c>
      <c r="ER130" s="145">
        <v>0</v>
      </c>
      <c r="ES130" s="145">
        <v>0</v>
      </c>
      <c r="ET130" s="145">
        <v>0</v>
      </c>
      <c r="EU130" s="145">
        <v>0</v>
      </c>
      <c r="EV130" s="145">
        <v>0</v>
      </c>
      <c r="EW130" s="145">
        <v>0</v>
      </c>
      <c r="EX130" s="145">
        <v>0</v>
      </c>
      <c r="EY130" s="145">
        <v>0</v>
      </c>
      <c r="EZ130" s="145">
        <v>0</v>
      </c>
      <c r="FA130" s="145">
        <v>0</v>
      </c>
      <c r="FB130" s="145">
        <v>0</v>
      </c>
      <c r="FC130" s="145">
        <v>0</v>
      </c>
      <c r="FD130" s="145">
        <v>0</v>
      </c>
      <c r="FE130" s="145">
        <v>0</v>
      </c>
      <c r="FF130" s="145">
        <v>0</v>
      </c>
      <c r="FG130" s="145">
        <v>0</v>
      </c>
      <c r="FH130" s="145">
        <v>0</v>
      </c>
      <c r="FI130" s="145">
        <v>0</v>
      </c>
      <c r="FJ130" s="145">
        <v>0</v>
      </c>
      <c r="FK130" s="145">
        <v>0</v>
      </c>
      <c r="FL130" s="145">
        <v>0</v>
      </c>
      <c r="FM130" s="145">
        <v>0</v>
      </c>
      <c r="FN130" s="145">
        <v>0</v>
      </c>
      <c r="FO130" s="145">
        <v>0</v>
      </c>
      <c r="FP130" s="145">
        <v>0</v>
      </c>
      <c r="FQ130" s="145">
        <v>0</v>
      </c>
      <c r="FR130" s="145">
        <v>0</v>
      </c>
      <c r="FS130" s="145">
        <v>0</v>
      </c>
      <c r="FT130" s="145">
        <v>0</v>
      </c>
      <c r="FU130" s="145">
        <v>0</v>
      </c>
      <c r="FV130" s="145">
        <v>0</v>
      </c>
      <c r="FW130" s="145">
        <v>0</v>
      </c>
      <c r="FX130" s="143"/>
      <c r="FY130" s="146" t="str">
        <f>_xlfn.XLOOKUP($E130,'Key assumptions'!$B$112:$B$120,'Key assumptions'!$C$112:$C$120,0)</f>
        <v>Nominal</v>
      </c>
      <c r="FZ130" s="146" cm="1">
        <f t="array" ref="FZ130">IF($FY130=0,0,_xlfn.IFS($FY130='Key assumptions'!$C$120,_xlfn.XLOOKUP(LEFT(FZ$7,6),Inflation_Year,Inflation_NominaltoReal),TRUE,_xlfn.XLOOKUP($FY130,Inflation_Year,NominaltoReal)))</f>
        <v>1.0197075870962191</v>
      </c>
      <c r="GA130" s="146" cm="1">
        <f t="array" ref="GA130">IF($FY130=0,0,_xlfn.IFS($FY130='Key assumptions'!$C$120,_xlfn.XLOOKUP(LEFT(GA$7,6),Inflation_Year,Inflation_NominaltoReal),TRUE,_xlfn.XLOOKUP($FY130,Inflation_Year,NominaltoReal)))</f>
        <v>0.98700804022984445</v>
      </c>
      <c r="GB130" s="146" cm="1">
        <f t="array" ref="GB130">IF($FY130=0,0,_xlfn.IFS($FY130='Key assumptions'!$C$120,_xlfn.XLOOKUP(LEFT(GB$7,6),Inflation_Year,Inflation_NominaltoReal),TRUE,_xlfn.XLOOKUP($FY130,Inflation_Year,NominaltoReal)))</f>
        <v>0.96152830081941731</v>
      </c>
      <c r="GC130" s="146" cm="1">
        <f t="array" ref="GC130">IF($FY130=0,0,_xlfn.IFS($FY130='Key assumptions'!$C$120,_xlfn.XLOOKUP(LEFT(GC$7,6),Inflation_Year,Inflation_NominaltoReal),TRUE,_xlfn.XLOOKUP($FY130,Inflation_Year,NominaltoReal)))</f>
        <v>0.93670632415656829</v>
      </c>
      <c r="GD130" s="146" cm="1">
        <f t="array" ref="GD130">IF($FY130=0,0,_xlfn.IFS($FY130='Key assumptions'!$C$120,_xlfn.XLOOKUP(LEFT(GD$7,6),Inflation_Year,Inflation_NominaltoReal),TRUE,_xlfn.XLOOKUP($FY130,Inflation_Year,NominaltoReal)))</f>
        <v>0.91252513001143176</v>
      </c>
      <c r="GE130" s="146" cm="1">
        <f t="array" ref="GE130">IF($FY130=0,0,_xlfn.IFS($FY130='Key assumptions'!$C$120,_xlfn.XLOOKUP(LEFT(GE$7,6),Inflation_Year,Inflation_NominaltoReal),TRUE,_xlfn.XLOOKUP($FY130,Inflation_Year,NominaltoReal)))</f>
        <v>0.88896817650095872</v>
      </c>
      <c r="GF130" s="146" cm="1">
        <f t="array" ref="GF130">IF($FY130=0,0,_xlfn.IFS($FY130='Key assumptions'!$C$120,_xlfn.XLOOKUP(LEFT(GF$7,6),Inflation_Year,Inflation_NominaltoReal),TRUE,_xlfn.XLOOKUP($FY130,Inflation_Year,NominaltoReal)))</f>
        <v>0.86601934877293718</v>
      </c>
      <c r="GG130" s="143"/>
      <c r="GH130" s="145" cm="1">
        <f t="array" ref="GH130">SUMPRODUCT(--($CR$7:$FW$7&gt;=GH$5),--($CR$7:$FW$7&lt;=GH$6),$CR130:$FW130)*FZ130</f>
        <v>73249.674811469798</v>
      </c>
      <c r="GI130" s="145" cm="1">
        <f t="array" ref="GI130">SUMPRODUCT(--($CR$7:$FW$7&gt;=GI$5),--($CR$7:$FW$7&lt;=GI$6),$CR130:$FW130)*GA130</f>
        <v>171903.58778748522</v>
      </c>
      <c r="GJ130" s="145" cm="1">
        <f t="array" ref="GJ130">SUMPRODUCT(--($CR$7:$FW$7&gt;=GJ$5),--($CR$7:$FW$7&lt;=GJ$6),$CR130:$FW130)*GB130</f>
        <v>176286.73328619407</v>
      </c>
      <c r="GK130" s="145" cm="1">
        <f t="array" ref="GK130">SUMPRODUCT(--($CR$7:$FW$7&gt;=GK$5),--($CR$7:$FW$7&lt;=GK$6),$CR130:$FW130)*GC130</f>
        <v>13872.995343288441</v>
      </c>
      <c r="GL130" s="145" cm="1">
        <f t="array" ref="GL130">SUMPRODUCT(--($CR$7:$FW$7&gt;=GL$5),--($CR$7:$FW$7&lt;=GL$6),$CR130:$FW130)*GD130</f>
        <v>0</v>
      </c>
      <c r="GM130" s="145" cm="1">
        <f t="array" ref="GM130">SUMPRODUCT(--($CR$7:$FW$7&gt;=GM$5),--($CR$7:$FW$7&lt;=GM$6),$CR130:$FW130)*GE130</f>
        <v>0</v>
      </c>
      <c r="GN130" s="145" cm="1">
        <f t="array" ref="GN130">SUMPRODUCT(--($CR$7:$FW$7&gt;=GN$5),--($CR$7:$FW$7&lt;=GN$6),$CR130:$FW130)*GF130</f>
        <v>0</v>
      </c>
      <c r="GO130" s="145">
        <f t="shared" si="23"/>
        <v>435312.99122843758</v>
      </c>
      <c r="GP130" s="87"/>
      <c r="GQ130" s="89"/>
      <c r="GR130" s="145" cm="1">
        <f t="array" ref="GR130">SUMPRODUCT(--($CR$7:$FW$7&gt;=GR$5),--($CR$7:$FW$7&lt;=GR$6),$CR130:$FW130)</f>
        <v>27502.16</v>
      </c>
      <c r="GS130" s="89"/>
      <c r="GT130" s="214" cm="1">
        <f t="array" ref="GT130">--AND(MIN(IF($K130:$CP130&lt;&gt;0,$K$7:$CP$7))&gt;=GT$5,MIN(IF($K130:$CP130&lt;&gt;0,$K$7:$CP$7))&lt;=GT$6)</f>
        <v>1</v>
      </c>
      <c r="GU130" s="214" cm="1">
        <f t="array" ref="GU130">--AND(MIN(IF($K130:$CP130&lt;&gt;0,$K$7:$CP$7))&gt;=GU$5,MIN(IF($K130:$CP130&lt;&gt;0,$K$7:$CP$7))&lt;=GU$6)</f>
        <v>0</v>
      </c>
      <c r="GV130" s="214" cm="1">
        <f t="array" ref="GV130">--AND(MIN(IF($K130:$CP130&lt;&gt;0,$K$7:$CP$7))&gt;=GV$5,MIN(IF($K130:$CP130&lt;&gt;0,$K$7:$CP$7))&lt;=GV$6)</f>
        <v>0</v>
      </c>
      <c r="GW130" s="214" cm="1">
        <f t="array" ref="GW130">--AND(MIN(IF($K130:$CP130&lt;&gt;0,$K$7:$CP$7))&gt;=GW$5,MIN(IF($K130:$CP130&lt;&gt;0,$K$7:$CP$7))&lt;=GW$6)</f>
        <v>0</v>
      </c>
      <c r="GX130" s="214" cm="1">
        <f t="array" ref="GX130">--AND(MIN(IF($K130:$CP130&lt;&gt;0,$K$7:$CP$7))&gt;=GX$5,MIN(IF($K130:$CP130&lt;&gt;0,$K$7:$CP$7))&lt;=GX$6)</f>
        <v>0</v>
      </c>
      <c r="GY130" s="214" cm="1">
        <f t="array" ref="GY130">--AND(MIN(IF($K130:$CP130&lt;&gt;0,$K$7:$CP$7))&gt;=GY$5,MIN(IF($K130:$CP130&lt;&gt;0,$K$7:$CP$7))&lt;=GY$6)</f>
        <v>0</v>
      </c>
      <c r="GZ130" s="214" cm="1">
        <f t="array" ref="GZ130">--AND(MIN(IF($K130:$CP130&lt;&gt;0,$K$7:$CP$7))&gt;=GZ$5,MIN(IF($K130:$CP130&lt;&gt;0,$K$7:$CP$7))&lt;=GZ$6)</f>
        <v>0</v>
      </c>
      <c r="HA130" s="214">
        <f t="shared" si="24"/>
        <v>1</v>
      </c>
      <c r="HC130" s="214" cm="1">
        <f t="array" ref="HC130">--AND(MIN(IF($K130:$CP130&lt;&gt;0,$K$7:$CP$7))&gt;=HC$5,MIN(IF($K130:$CP130&lt;&gt;0,$K$7:$CP$7))&lt;=HC$6)</f>
        <v>1</v>
      </c>
      <c r="HE130" s="147" t="str">
        <f t="shared" si="43"/>
        <v>No</v>
      </c>
      <c r="HF130" s="147" t="str">
        <f t="shared" si="44"/>
        <v>Yes</v>
      </c>
      <c r="HG130" s="147">
        <f>IF($HF130="Yes",0,$H130*avg_hrs*12*'Key assumptions'!$D$87)</f>
        <v>0</v>
      </c>
      <c r="HH130" s="147">
        <f>IF(HE130="Yes",'Key assumptions'!$D$84*HG130,0)</f>
        <v>0</v>
      </c>
      <c r="HI130" s="144">
        <f>IFERROR(AVERAGEIFS($K130:$CP130,$K$7:$CP$7,"&gt;="&amp;'Key assumptions'!$D$24,$K$7:$CP$7,"&lt;="&amp;'Key assumptions'!$D$25),0)</f>
        <v>0.17916666666666667</v>
      </c>
      <c r="HJ130" s="148">
        <f t="shared" si="45"/>
        <v>0</v>
      </c>
      <c r="HK130" s="148">
        <f t="shared" si="26"/>
        <v>0</v>
      </c>
      <c r="HL130" s="148">
        <f t="shared" si="27"/>
        <v>0</v>
      </c>
      <c r="HM130" s="148">
        <f t="shared" si="28"/>
        <v>0</v>
      </c>
      <c r="HN130" s="148">
        <f t="shared" si="29"/>
        <v>0</v>
      </c>
      <c r="HO130" s="148">
        <f t="shared" si="30"/>
        <v>0</v>
      </c>
      <c r="HP130" s="148">
        <f t="shared" si="31"/>
        <v>0</v>
      </c>
      <c r="HQ130" s="148">
        <f t="shared" si="32"/>
        <v>0</v>
      </c>
      <c r="HR130" s="147">
        <f t="shared" si="33"/>
        <v>0</v>
      </c>
      <c r="HU130" s="147">
        <f>$HJ130*HC130/(1+'Key assumptions'!G152)^0.75</f>
        <v>0</v>
      </c>
      <c r="HW130" s="216">
        <f t="shared" si="34"/>
        <v>0.17916666666666667</v>
      </c>
      <c r="HX130" s="216">
        <f t="shared" si="35"/>
        <v>0</v>
      </c>
      <c r="HY130" s="216">
        <f t="shared" si="36"/>
        <v>0</v>
      </c>
      <c r="HZ130" s="216">
        <f t="shared" si="37"/>
        <v>0</v>
      </c>
      <c r="IA130" s="216">
        <f t="shared" si="38"/>
        <v>0</v>
      </c>
      <c r="IB130" s="216">
        <f t="shared" si="39"/>
        <v>0</v>
      </c>
      <c r="IC130" s="216">
        <f t="shared" si="40"/>
        <v>0</v>
      </c>
      <c r="ID130" s="216">
        <f t="shared" si="41"/>
        <v>0.17916666666666667</v>
      </c>
      <c r="IF130" s="216">
        <f t="shared" si="42"/>
        <v>0.17916666666666667</v>
      </c>
    </row>
    <row r="131" spans="2:240" x14ac:dyDescent="0.2">
      <c r="B131" s="141" t="str">
        <v>Land and Environment</v>
      </c>
      <c r="C131" s="141" t="str">
        <v>Environment Officer (Safety and Environmental Delivery)</v>
      </c>
      <c r="D131" s="141" t="str">
        <v>Internal Labour</v>
      </c>
      <c r="E131" s="141" t="str">
        <v>$ Nominal</v>
      </c>
      <c r="F131" s="141" t="str">
        <v>New</v>
      </c>
      <c r="G131" s="141" t="str">
        <v>Normal time</v>
      </c>
      <c r="H131" s="142">
        <v>210.04</v>
      </c>
      <c r="I131" s="126">
        <v>164376.84200000003</v>
      </c>
      <c r="J131" s="143">
        <v>0</v>
      </c>
      <c r="K131" s="144">
        <v>0</v>
      </c>
      <c r="L131" s="144">
        <v>0</v>
      </c>
      <c r="M131" s="144">
        <v>0</v>
      </c>
      <c r="N131" s="144">
        <v>0</v>
      </c>
      <c r="O131" s="144">
        <v>0</v>
      </c>
      <c r="P131" s="144">
        <v>0</v>
      </c>
      <c r="Q131" s="144">
        <v>0</v>
      </c>
      <c r="R131" s="144">
        <v>0</v>
      </c>
      <c r="S131" s="144">
        <v>0</v>
      </c>
      <c r="T131" s="144">
        <v>0</v>
      </c>
      <c r="U131" s="144">
        <v>0</v>
      </c>
      <c r="V131" s="144">
        <v>0</v>
      </c>
      <c r="W131" s="144">
        <v>0</v>
      </c>
      <c r="X131" s="144">
        <v>0</v>
      </c>
      <c r="Y131" s="144">
        <v>0.1</v>
      </c>
      <c r="Z131" s="144">
        <v>0.13333333333333333</v>
      </c>
      <c r="AA131" s="144">
        <v>0.15657894736842107</v>
      </c>
      <c r="AB131" s="144">
        <v>0.16578947368421051</v>
      </c>
      <c r="AC131" s="144">
        <v>0.19</v>
      </c>
      <c r="AD131" s="144">
        <v>0.15</v>
      </c>
      <c r="AE131" s="144">
        <v>0.18</v>
      </c>
      <c r="AF131" s="144">
        <v>0.18</v>
      </c>
      <c r="AG131" s="144">
        <v>0.17</v>
      </c>
      <c r="AH131" s="144">
        <v>0.16</v>
      </c>
      <c r="AI131" s="144">
        <v>0.3066666666666667</v>
      </c>
      <c r="AJ131" s="144">
        <v>0.16</v>
      </c>
      <c r="AK131" s="144">
        <v>0.16</v>
      </c>
      <c r="AL131" s="144">
        <v>0.25333333333333335</v>
      </c>
      <c r="AM131" s="144">
        <v>0.16578947368421051</v>
      </c>
      <c r="AN131" s="144">
        <v>0.15657894736842107</v>
      </c>
      <c r="AO131" s="144">
        <v>0.18</v>
      </c>
      <c r="AP131" s="144">
        <v>0.17</v>
      </c>
      <c r="AQ131" s="144">
        <v>0.18</v>
      </c>
      <c r="AR131" s="144">
        <v>0.18</v>
      </c>
      <c r="AS131" s="144">
        <v>0.17</v>
      </c>
      <c r="AT131" s="144">
        <v>0.21333333333333332</v>
      </c>
      <c r="AU131" s="144">
        <v>0.25333333333333335</v>
      </c>
      <c r="AV131" s="144">
        <v>0.16</v>
      </c>
      <c r="AW131" s="144">
        <v>0.19</v>
      </c>
      <c r="AX131" s="144">
        <v>0.21333333333333332</v>
      </c>
      <c r="AY131" s="144">
        <v>0.17500000000000002</v>
      </c>
      <c r="AZ131" s="144">
        <v>0.17500000000000002</v>
      </c>
      <c r="BA131" s="144">
        <v>0.16</v>
      </c>
      <c r="BB131" s="144">
        <v>0.18</v>
      </c>
      <c r="BC131" s="144">
        <v>0.17</v>
      </c>
      <c r="BD131" s="144">
        <v>0.18</v>
      </c>
      <c r="BE131" s="144">
        <v>0</v>
      </c>
      <c r="BF131" s="144">
        <v>0</v>
      </c>
      <c r="BG131" s="144">
        <v>0</v>
      </c>
      <c r="BH131" s="144">
        <v>0</v>
      </c>
      <c r="BI131" s="144">
        <v>0</v>
      </c>
      <c r="BJ131" s="144">
        <v>0</v>
      </c>
      <c r="BK131" s="144">
        <v>0</v>
      </c>
      <c r="BL131" s="144">
        <v>0</v>
      </c>
      <c r="BM131" s="144">
        <v>0</v>
      </c>
      <c r="BN131" s="144">
        <v>0</v>
      </c>
      <c r="BO131" s="144">
        <v>0</v>
      </c>
      <c r="BP131" s="144">
        <v>0</v>
      </c>
      <c r="BQ131" s="144">
        <v>0</v>
      </c>
      <c r="BR131" s="144">
        <v>0</v>
      </c>
      <c r="BS131" s="144">
        <v>0</v>
      </c>
      <c r="BT131" s="144">
        <v>0</v>
      </c>
      <c r="BU131" s="144">
        <v>0</v>
      </c>
      <c r="BV131" s="144">
        <v>0</v>
      </c>
      <c r="BW131" s="144">
        <v>0</v>
      </c>
      <c r="BX131" s="144">
        <v>0</v>
      </c>
      <c r="BY131" s="144">
        <v>0</v>
      </c>
      <c r="BZ131" s="144">
        <v>0</v>
      </c>
      <c r="CA131" s="144">
        <v>0</v>
      </c>
      <c r="CB131" s="144">
        <v>0</v>
      </c>
      <c r="CC131" s="144">
        <v>0</v>
      </c>
      <c r="CD131" s="144">
        <v>0</v>
      </c>
      <c r="CE131" s="144">
        <v>0</v>
      </c>
      <c r="CF131" s="144">
        <v>0</v>
      </c>
      <c r="CG131" s="144">
        <v>0</v>
      </c>
      <c r="CH131" s="144">
        <v>0</v>
      </c>
      <c r="CI131" s="144">
        <v>0</v>
      </c>
      <c r="CJ131" s="144">
        <v>0</v>
      </c>
      <c r="CK131" s="144">
        <v>0</v>
      </c>
      <c r="CL131" s="144">
        <v>0</v>
      </c>
      <c r="CM131" s="144">
        <v>0</v>
      </c>
      <c r="CN131" s="144">
        <v>0</v>
      </c>
      <c r="CO131" s="144">
        <v>0</v>
      </c>
      <c r="CP131" s="144">
        <v>0</v>
      </c>
      <c r="CQ131" s="143">
        <v>0</v>
      </c>
      <c r="CR131" s="145">
        <v>0</v>
      </c>
      <c r="CS131" s="145">
        <v>0</v>
      </c>
      <c r="CT131" s="145">
        <v>0</v>
      </c>
      <c r="CU131" s="145">
        <v>0</v>
      </c>
      <c r="CV131" s="145">
        <v>0</v>
      </c>
      <c r="CW131" s="145">
        <v>0</v>
      </c>
      <c r="CX131" s="145">
        <v>0</v>
      </c>
      <c r="CY131" s="145">
        <v>0</v>
      </c>
      <c r="CZ131" s="145">
        <v>0</v>
      </c>
      <c r="DA131" s="145">
        <v>0</v>
      </c>
      <c r="DB131" s="145">
        <v>0</v>
      </c>
      <c r="DC131" s="145">
        <v>0</v>
      </c>
      <c r="DD131" s="145">
        <v>0</v>
      </c>
      <c r="DE131" s="145">
        <v>0</v>
      </c>
      <c r="DF131" s="145">
        <v>2940.56</v>
      </c>
      <c r="DG131" s="145">
        <v>2940.56</v>
      </c>
      <c r="DH131" s="145">
        <v>4998.9520000000002</v>
      </c>
      <c r="DI131" s="145">
        <v>5293.0079999999998</v>
      </c>
      <c r="DJ131" s="145">
        <v>5587.0640000000003</v>
      </c>
      <c r="DK131" s="145">
        <v>4410.84</v>
      </c>
      <c r="DL131" s="145">
        <v>5293.0079999999998</v>
      </c>
      <c r="DM131" s="145">
        <v>5293.0079999999998</v>
      </c>
      <c r="DN131" s="145">
        <v>4998.9520000000002</v>
      </c>
      <c r="DO131" s="145">
        <v>3528.672</v>
      </c>
      <c r="DP131" s="145">
        <v>6763.2880000000005</v>
      </c>
      <c r="DQ131" s="145">
        <v>4704.8959999999997</v>
      </c>
      <c r="DR131" s="145">
        <v>4848.0320000000002</v>
      </c>
      <c r="DS131" s="145">
        <v>5757.0380000000005</v>
      </c>
      <c r="DT131" s="145">
        <v>5454.0360000000001</v>
      </c>
      <c r="DU131" s="145">
        <v>5151.0340000000006</v>
      </c>
      <c r="DV131" s="145">
        <v>5454.0360000000001</v>
      </c>
      <c r="DW131" s="145">
        <v>5151.0340000000006</v>
      </c>
      <c r="DX131" s="145">
        <v>5454.0360000000001</v>
      </c>
      <c r="DY131" s="145">
        <v>5454.0360000000001</v>
      </c>
      <c r="DZ131" s="145">
        <v>5151.0340000000006</v>
      </c>
      <c r="EA131" s="145">
        <v>4848.0320000000002</v>
      </c>
      <c r="EB131" s="145">
        <v>5757.0380000000005</v>
      </c>
      <c r="EC131" s="145">
        <v>4848.0320000000002</v>
      </c>
      <c r="ED131" s="145">
        <v>5927.0119999999997</v>
      </c>
      <c r="EE131" s="145">
        <v>4991.1679999999997</v>
      </c>
      <c r="EF131" s="145">
        <v>5927.0119999999997</v>
      </c>
      <c r="EG131" s="145">
        <v>5927.0119999999997</v>
      </c>
      <c r="EH131" s="145">
        <v>4991.1679999999997</v>
      </c>
      <c r="EI131" s="145">
        <v>5615.0639999999994</v>
      </c>
      <c r="EJ131" s="145">
        <v>5303.116</v>
      </c>
      <c r="EK131" s="145">
        <v>5615.0639999999994</v>
      </c>
      <c r="EL131" s="145">
        <v>0</v>
      </c>
      <c r="EM131" s="145">
        <v>0</v>
      </c>
      <c r="EN131" s="145">
        <v>0</v>
      </c>
      <c r="EO131" s="145">
        <v>0</v>
      </c>
      <c r="EP131" s="145">
        <v>0</v>
      </c>
      <c r="EQ131" s="145">
        <v>0</v>
      </c>
      <c r="ER131" s="145">
        <v>0</v>
      </c>
      <c r="ES131" s="145">
        <v>0</v>
      </c>
      <c r="ET131" s="145">
        <v>0</v>
      </c>
      <c r="EU131" s="145">
        <v>0</v>
      </c>
      <c r="EV131" s="145">
        <v>0</v>
      </c>
      <c r="EW131" s="145">
        <v>0</v>
      </c>
      <c r="EX131" s="145">
        <v>0</v>
      </c>
      <c r="EY131" s="145">
        <v>0</v>
      </c>
      <c r="EZ131" s="145">
        <v>0</v>
      </c>
      <c r="FA131" s="145">
        <v>0</v>
      </c>
      <c r="FB131" s="145">
        <v>0</v>
      </c>
      <c r="FC131" s="145">
        <v>0</v>
      </c>
      <c r="FD131" s="145">
        <v>0</v>
      </c>
      <c r="FE131" s="145">
        <v>0</v>
      </c>
      <c r="FF131" s="145">
        <v>0</v>
      </c>
      <c r="FG131" s="145">
        <v>0</v>
      </c>
      <c r="FH131" s="145">
        <v>0</v>
      </c>
      <c r="FI131" s="145">
        <v>0</v>
      </c>
      <c r="FJ131" s="145">
        <v>0</v>
      </c>
      <c r="FK131" s="145">
        <v>0</v>
      </c>
      <c r="FL131" s="145">
        <v>0</v>
      </c>
      <c r="FM131" s="145">
        <v>0</v>
      </c>
      <c r="FN131" s="145">
        <v>0</v>
      </c>
      <c r="FO131" s="145">
        <v>0</v>
      </c>
      <c r="FP131" s="145">
        <v>0</v>
      </c>
      <c r="FQ131" s="145">
        <v>0</v>
      </c>
      <c r="FR131" s="145">
        <v>0</v>
      </c>
      <c r="FS131" s="145">
        <v>0</v>
      </c>
      <c r="FT131" s="145">
        <v>0</v>
      </c>
      <c r="FU131" s="145">
        <v>0</v>
      </c>
      <c r="FV131" s="145">
        <v>0</v>
      </c>
      <c r="FW131" s="145">
        <v>0</v>
      </c>
      <c r="FX131" s="143"/>
      <c r="FY131" s="146" t="str">
        <f>_xlfn.XLOOKUP($E131,'Key assumptions'!$B$112:$B$120,'Key assumptions'!$C$112:$C$120,0)</f>
        <v>Nominal</v>
      </c>
      <c r="FZ131" s="146" cm="1">
        <f t="array" ref="FZ131">IF($FY131=0,0,_xlfn.IFS($FY131='Key assumptions'!$C$120,_xlfn.XLOOKUP(LEFT(FZ$7,6),Inflation_Year,Inflation_NominaltoReal),TRUE,_xlfn.XLOOKUP($FY131,Inflation_Year,NominaltoReal)))</f>
        <v>1.0197075870962191</v>
      </c>
      <c r="GA131" s="146" cm="1">
        <f t="array" ref="GA131">IF($FY131=0,0,_xlfn.IFS($FY131='Key assumptions'!$C$120,_xlfn.XLOOKUP(LEFT(GA$7,6),Inflation_Year,Inflation_NominaltoReal),TRUE,_xlfn.XLOOKUP($FY131,Inflation_Year,NominaltoReal)))</f>
        <v>0.98700804022984445</v>
      </c>
      <c r="GB131" s="146" cm="1">
        <f t="array" ref="GB131">IF($FY131=0,0,_xlfn.IFS($FY131='Key assumptions'!$C$120,_xlfn.XLOOKUP(LEFT(GB$7,6),Inflation_Year,Inflation_NominaltoReal),TRUE,_xlfn.XLOOKUP($FY131,Inflation_Year,NominaltoReal)))</f>
        <v>0.96152830081941731</v>
      </c>
      <c r="GC131" s="146" cm="1">
        <f t="array" ref="GC131">IF($FY131=0,0,_xlfn.IFS($FY131='Key assumptions'!$C$120,_xlfn.XLOOKUP(LEFT(GC$7,6),Inflation_Year,Inflation_NominaltoReal),TRUE,_xlfn.XLOOKUP($FY131,Inflation_Year,NominaltoReal)))</f>
        <v>0.93670632415656829</v>
      </c>
      <c r="GD131" s="146" cm="1">
        <f t="array" ref="GD131">IF($FY131=0,0,_xlfn.IFS($FY131='Key assumptions'!$C$120,_xlfn.XLOOKUP(LEFT(GD$7,6),Inflation_Year,Inflation_NominaltoReal),TRUE,_xlfn.XLOOKUP($FY131,Inflation_Year,NominaltoReal)))</f>
        <v>0.91252513001143176</v>
      </c>
      <c r="GE131" s="146" cm="1">
        <f t="array" ref="GE131">IF($FY131=0,0,_xlfn.IFS($FY131='Key assumptions'!$C$120,_xlfn.XLOOKUP(LEFT(GE$7,6),Inflation_Year,Inflation_NominaltoReal),TRUE,_xlfn.XLOOKUP($FY131,Inflation_Year,NominaltoReal)))</f>
        <v>0.88896817650095872</v>
      </c>
      <c r="GF131" s="146" cm="1">
        <f t="array" ref="GF131">IF($FY131=0,0,_xlfn.IFS($FY131='Key assumptions'!$C$120,_xlfn.XLOOKUP(LEFT(GF$7,6),Inflation_Year,Inflation_NominaltoReal),TRUE,_xlfn.XLOOKUP($FY131,Inflation_Year,NominaltoReal)))</f>
        <v>0.86601934877293718</v>
      </c>
      <c r="GG131" s="143"/>
      <c r="GH131" s="145" cm="1">
        <f t="array" ref="GH131">SUMPRODUCT(--($CR$7:$FW$7&gt;=GH$5),--($CR$7:$FW$7&lt;=GH$6),$CR131:$FW131)*FZ131</f>
        <v>32084.07136273474</v>
      </c>
      <c r="GI131" s="145" cm="1">
        <f t="array" ref="GI131">SUMPRODUCT(--($CR$7:$FW$7&gt;=GI$5),--($CR$7:$FW$7&lt;=GI$6),$CR131:$FW131)*GA131</f>
        <v>61745.310175197104</v>
      </c>
      <c r="GJ131" s="145" cm="1">
        <f t="array" ref="GJ131">SUMPRODUCT(--($CR$7:$FW$7&gt;=GJ$5),--($CR$7:$FW$7&lt;=GJ$6),$CR131:$FW131)*GB131</f>
        <v>62249.076813238054</v>
      </c>
      <c r="GK131" s="145" cm="1">
        <f t="array" ref="GK131">SUMPRODUCT(--($CR$7:$FW$7&gt;=GK$5),--($CR$7:$FW$7&lt;=GK$6),$CR131:$FW131)*GC131</f>
        <v>5259.6659593438762</v>
      </c>
      <c r="GL131" s="145" cm="1">
        <f t="array" ref="GL131">SUMPRODUCT(--($CR$7:$FW$7&gt;=GL$5),--($CR$7:$FW$7&lt;=GL$6),$CR131:$FW131)*GD131</f>
        <v>0</v>
      </c>
      <c r="GM131" s="145" cm="1">
        <f t="array" ref="GM131">SUMPRODUCT(--($CR$7:$FW$7&gt;=GM$5),--($CR$7:$FW$7&lt;=GM$6),$CR131:$FW131)*GE131</f>
        <v>0</v>
      </c>
      <c r="GN131" s="145" cm="1">
        <f t="array" ref="GN131">SUMPRODUCT(--($CR$7:$FW$7&gt;=GN$5),--($CR$7:$FW$7&lt;=GN$6),$CR131:$FW131)*GF131</f>
        <v>0</v>
      </c>
      <c r="GO131" s="145">
        <f t="shared" si="23"/>
        <v>161338.12431051375</v>
      </c>
      <c r="GP131" s="87"/>
      <c r="GR131" s="145" cm="1">
        <f t="array" ref="GR131">SUMPRODUCT(--($CR$7:$FW$7&gt;=GR$5),--($CR$7:$FW$7&lt;=GR$6),$CR131:$FW131)</f>
        <v>16173.08</v>
      </c>
      <c r="GT131" s="214" cm="1">
        <f t="array" ref="GT131">--AND(MIN(IF($K131:$CP131&lt;&gt;0,$K$7:$CP$7))&gt;=GT$5,MIN(IF($K131:$CP131&lt;&gt;0,$K$7:$CP$7))&lt;=GT$6)</f>
        <v>1</v>
      </c>
      <c r="GU131" s="214" cm="1">
        <f t="array" ref="GU131">--AND(MIN(IF($K131:$CP131&lt;&gt;0,$K$7:$CP$7))&gt;=GU$5,MIN(IF($K131:$CP131&lt;&gt;0,$K$7:$CP$7))&lt;=GU$6)</f>
        <v>0</v>
      </c>
      <c r="GV131" s="214" cm="1">
        <f t="array" ref="GV131">--AND(MIN(IF($K131:$CP131&lt;&gt;0,$K$7:$CP$7))&gt;=GV$5,MIN(IF($K131:$CP131&lt;&gt;0,$K$7:$CP$7))&lt;=GV$6)</f>
        <v>0</v>
      </c>
      <c r="GW131" s="214" cm="1">
        <f t="array" ref="GW131">--AND(MIN(IF($K131:$CP131&lt;&gt;0,$K$7:$CP$7))&gt;=GW$5,MIN(IF($K131:$CP131&lt;&gt;0,$K$7:$CP$7))&lt;=GW$6)</f>
        <v>0</v>
      </c>
      <c r="GX131" s="214" cm="1">
        <f t="array" ref="GX131">--AND(MIN(IF($K131:$CP131&lt;&gt;0,$K$7:$CP$7))&gt;=GX$5,MIN(IF($K131:$CP131&lt;&gt;0,$K$7:$CP$7))&lt;=GX$6)</f>
        <v>0</v>
      </c>
      <c r="GY131" s="214" cm="1">
        <f t="array" ref="GY131">--AND(MIN(IF($K131:$CP131&lt;&gt;0,$K$7:$CP$7))&gt;=GY$5,MIN(IF($K131:$CP131&lt;&gt;0,$K$7:$CP$7))&lt;=GY$6)</f>
        <v>0</v>
      </c>
      <c r="GZ131" s="214" cm="1">
        <f t="array" ref="GZ131">--AND(MIN(IF($K131:$CP131&lt;&gt;0,$K$7:$CP$7))&gt;=GZ$5,MIN(IF($K131:$CP131&lt;&gt;0,$K$7:$CP$7))&lt;=GZ$6)</f>
        <v>0</v>
      </c>
      <c r="HA131" s="214">
        <f t="shared" si="24"/>
        <v>1</v>
      </c>
      <c r="HC131" s="214" cm="1">
        <f t="array" ref="HC131">--AND(MIN(IF($K131:$CP131&lt;&gt;0,$K$7:$CP$7))&gt;=HC$5,MIN(IF($K131:$CP131&lt;&gt;0,$K$7:$CP$7))&lt;=HC$6)</f>
        <v>1</v>
      </c>
      <c r="HE131" s="147" t="str">
        <f t="shared" si="43"/>
        <v>Yes</v>
      </c>
      <c r="HF131" s="147" t="str">
        <f t="shared" si="44"/>
        <v>No</v>
      </c>
      <c r="HG131" s="147">
        <f>IF($HF131="Yes",0,$H131*avg_hrs*12*'Key assumptions'!$D$87)</f>
        <v>375608.02275576669</v>
      </c>
      <c r="HH131" s="147">
        <f>IF(HE131="Yes",'Key assumptions'!$D$84*HG131,0)</f>
        <v>56341.203413365001</v>
      </c>
      <c r="HI131" s="144">
        <f>IFERROR(AVERAGEIFS($K131:$CP131,$K$7:$CP$7,"&gt;="&amp;'Key assumptions'!$D$24,$K$7:$CP$7,"&lt;="&amp;'Key assumptions'!$D$25),0)</f>
        <v>0.13041068580542264</v>
      </c>
      <c r="HJ131" s="148">
        <f t="shared" si="45"/>
        <v>7347.4949762397491</v>
      </c>
      <c r="HK131" s="148">
        <f t="shared" si="26"/>
        <v>7347.4949762397491</v>
      </c>
      <c r="HL131" s="148">
        <f t="shared" si="27"/>
        <v>0</v>
      </c>
      <c r="HM131" s="148">
        <f t="shared" si="28"/>
        <v>0</v>
      </c>
      <c r="HN131" s="148">
        <f t="shared" si="29"/>
        <v>0</v>
      </c>
      <c r="HO131" s="148">
        <f t="shared" si="30"/>
        <v>0</v>
      </c>
      <c r="HP131" s="148">
        <f t="shared" si="31"/>
        <v>0</v>
      </c>
      <c r="HQ131" s="148">
        <f t="shared" si="32"/>
        <v>0</v>
      </c>
      <c r="HR131" s="147">
        <f t="shared" si="33"/>
        <v>7347.4949762397491</v>
      </c>
      <c r="HU131" s="147">
        <f>$HJ131*HC131/(1+'Key assumptions'!G153)^0.75</f>
        <v>7347.4949762397491</v>
      </c>
      <c r="HW131" s="216">
        <f t="shared" si="34"/>
        <v>0.13041068580542264</v>
      </c>
      <c r="HX131" s="216">
        <f t="shared" si="35"/>
        <v>0</v>
      </c>
      <c r="HY131" s="216">
        <f t="shared" si="36"/>
        <v>0</v>
      </c>
      <c r="HZ131" s="216">
        <f t="shared" si="37"/>
        <v>0</v>
      </c>
      <c r="IA131" s="216">
        <f t="shared" si="38"/>
        <v>0</v>
      </c>
      <c r="IB131" s="216">
        <f t="shared" si="39"/>
        <v>0</v>
      </c>
      <c r="IC131" s="216">
        <f t="shared" si="40"/>
        <v>0</v>
      </c>
      <c r="ID131" s="216">
        <f t="shared" si="41"/>
        <v>0.13041068580542264</v>
      </c>
      <c r="IF131" s="216">
        <f t="shared" si="42"/>
        <v>0.13041068580542264</v>
      </c>
    </row>
    <row r="132" spans="2:240" x14ac:dyDescent="0.2">
      <c r="B132" s="141" t="str">
        <v>Land and Environment</v>
      </c>
      <c r="C132" s="141" t="str">
        <v>Environment Officer (Safety and Environmental Delivery)</v>
      </c>
      <c r="D132" s="141" t="str">
        <v>Internal Labour</v>
      </c>
      <c r="E132" s="141" t="str">
        <v>$ Nominal</v>
      </c>
      <c r="F132" s="141">
        <v>0</v>
      </c>
      <c r="G132" s="141" t="str">
        <v>Overtime</v>
      </c>
      <c r="H132" s="142">
        <v>210.04</v>
      </c>
      <c r="I132" s="126">
        <v>272736.054</v>
      </c>
      <c r="J132" s="143">
        <v>0</v>
      </c>
      <c r="K132" s="144">
        <v>0</v>
      </c>
      <c r="L132" s="144">
        <v>0</v>
      </c>
      <c r="M132" s="144">
        <v>0</v>
      </c>
      <c r="N132" s="144">
        <v>0</v>
      </c>
      <c r="O132" s="144">
        <v>0</v>
      </c>
      <c r="P132" s="144">
        <v>0</v>
      </c>
      <c r="Q132" s="144">
        <v>0</v>
      </c>
      <c r="R132" s="144">
        <v>0</v>
      </c>
      <c r="S132" s="144">
        <v>0</v>
      </c>
      <c r="T132" s="144">
        <v>0</v>
      </c>
      <c r="U132" s="144">
        <v>0</v>
      </c>
      <c r="V132" s="144">
        <v>0</v>
      </c>
      <c r="W132" s="144">
        <v>0</v>
      </c>
      <c r="X132" s="144">
        <v>0</v>
      </c>
      <c r="Y132" s="144">
        <v>0</v>
      </c>
      <c r="Z132" s="144">
        <v>0</v>
      </c>
      <c r="AA132" s="144">
        <v>0.13026315789473686</v>
      </c>
      <c r="AB132" s="144">
        <v>0.13421052631578947</v>
      </c>
      <c r="AC132" s="144">
        <v>0.1842857142857143</v>
      </c>
      <c r="AD132" s="144">
        <v>0.13285714285714287</v>
      </c>
      <c r="AE132" s="144">
        <v>0.14571428571428571</v>
      </c>
      <c r="AF132" s="144">
        <v>0.14571428571428571</v>
      </c>
      <c r="AG132" s="144">
        <v>0.14142857142857143</v>
      </c>
      <c r="AH132" s="144">
        <v>0.16</v>
      </c>
      <c r="AI132" s="144">
        <v>0.26857142857142857</v>
      </c>
      <c r="AJ132" s="144">
        <v>0.13714285714285715</v>
      </c>
      <c r="AK132" s="144">
        <v>0.13714285714285715</v>
      </c>
      <c r="AL132" s="144">
        <v>0.2</v>
      </c>
      <c r="AM132" s="144">
        <v>0.15</v>
      </c>
      <c r="AN132" s="144">
        <v>0.14605263157894735</v>
      </c>
      <c r="AO132" s="144">
        <v>0.14571428571428571</v>
      </c>
      <c r="AP132" s="144">
        <v>0.14142857142857143</v>
      </c>
      <c r="AQ132" s="144">
        <v>0.14571428571428571</v>
      </c>
      <c r="AR132" s="144">
        <v>0.14571428571428571</v>
      </c>
      <c r="AS132" s="144">
        <v>0.17571428571428571</v>
      </c>
      <c r="AT132" s="144">
        <v>0.13714285714285715</v>
      </c>
      <c r="AU132" s="144">
        <v>0.24571428571428572</v>
      </c>
      <c r="AV132" s="144">
        <v>0.13714285714285715</v>
      </c>
      <c r="AW132" s="144">
        <v>0.15</v>
      </c>
      <c r="AX132" s="144">
        <v>0.18285714285714286</v>
      </c>
      <c r="AY132" s="144">
        <v>0.16973684210526316</v>
      </c>
      <c r="AZ132" s="144">
        <v>0.16973684210526316</v>
      </c>
      <c r="BA132" s="144">
        <v>0.13714285714285715</v>
      </c>
      <c r="BB132" s="144">
        <v>0.14571428571428571</v>
      </c>
      <c r="BC132" s="144">
        <v>0.14142857142857143</v>
      </c>
      <c r="BD132" s="144">
        <v>0.14571428571428571</v>
      </c>
      <c r="BE132" s="144">
        <v>0</v>
      </c>
      <c r="BF132" s="144">
        <v>0</v>
      </c>
      <c r="BG132" s="144">
        <v>0</v>
      </c>
      <c r="BH132" s="144">
        <v>0</v>
      </c>
      <c r="BI132" s="144">
        <v>0</v>
      </c>
      <c r="BJ132" s="144">
        <v>0</v>
      </c>
      <c r="BK132" s="144">
        <v>0</v>
      </c>
      <c r="BL132" s="144">
        <v>0</v>
      </c>
      <c r="BM132" s="144">
        <v>0</v>
      </c>
      <c r="BN132" s="144">
        <v>0</v>
      </c>
      <c r="BO132" s="144">
        <v>0</v>
      </c>
      <c r="BP132" s="144">
        <v>0</v>
      </c>
      <c r="BQ132" s="144">
        <v>0</v>
      </c>
      <c r="BR132" s="144">
        <v>0</v>
      </c>
      <c r="BS132" s="144">
        <v>0</v>
      </c>
      <c r="BT132" s="144">
        <v>0</v>
      </c>
      <c r="BU132" s="144">
        <v>0</v>
      </c>
      <c r="BV132" s="144">
        <v>0</v>
      </c>
      <c r="BW132" s="144">
        <v>0</v>
      </c>
      <c r="BX132" s="144">
        <v>0</v>
      </c>
      <c r="BY132" s="144">
        <v>0</v>
      </c>
      <c r="BZ132" s="144">
        <v>0</v>
      </c>
      <c r="CA132" s="144">
        <v>0</v>
      </c>
      <c r="CB132" s="144">
        <v>0</v>
      </c>
      <c r="CC132" s="144">
        <v>0</v>
      </c>
      <c r="CD132" s="144">
        <v>0</v>
      </c>
      <c r="CE132" s="144">
        <v>0</v>
      </c>
      <c r="CF132" s="144">
        <v>0</v>
      </c>
      <c r="CG132" s="144">
        <v>0</v>
      </c>
      <c r="CH132" s="144">
        <v>0</v>
      </c>
      <c r="CI132" s="144">
        <v>0</v>
      </c>
      <c r="CJ132" s="144">
        <v>0</v>
      </c>
      <c r="CK132" s="144">
        <v>0</v>
      </c>
      <c r="CL132" s="144">
        <v>0</v>
      </c>
      <c r="CM132" s="144">
        <v>0</v>
      </c>
      <c r="CN132" s="144">
        <v>0</v>
      </c>
      <c r="CO132" s="144">
        <v>0</v>
      </c>
      <c r="CP132" s="144">
        <v>0</v>
      </c>
      <c r="CQ132" s="143">
        <v>0</v>
      </c>
      <c r="CR132" s="145">
        <v>0</v>
      </c>
      <c r="CS132" s="145">
        <v>0</v>
      </c>
      <c r="CT132" s="145">
        <v>0</v>
      </c>
      <c r="CU132" s="145">
        <v>0</v>
      </c>
      <c r="CV132" s="145">
        <v>0</v>
      </c>
      <c r="CW132" s="145">
        <v>0</v>
      </c>
      <c r="CX132" s="145">
        <v>0</v>
      </c>
      <c r="CY132" s="145">
        <v>0</v>
      </c>
      <c r="CZ132" s="145">
        <v>0</v>
      </c>
      <c r="DA132" s="145">
        <v>0</v>
      </c>
      <c r="DB132" s="145">
        <v>0</v>
      </c>
      <c r="DC132" s="145">
        <v>0</v>
      </c>
      <c r="DD132" s="145">
        <v>0</v>
      </c>
      <c r="DE132" s="145">
        <v>0</v>
      </c>
      <c r="DF132" s="145">
        <v>0</v>
      </c>
      <c r="DG132" s="145">
        <v>0</v>
      </c>
      <c r="DH132" s="145">
        <v>8317.3860000000004</v>
      </c>
      <c r="DI132" s="145">
        <v>8569.4279999999999</v>
      </c>
      <c r="DJ132" s="145">
        <v>10837.806</v>
      </c>
      <c r="DK132" s="145">
        <v>7813.3020000000006</v>
      </c>
      <c r="DL132" s="145">
        <v>8569.4279999999999</v>
      </c>
      <c r="DM132" s="145">
        <v>8569.4279999999999</v>
      </c>
      <c r="DN132" s="145">
        <v>8317.3860000000004</v>
      </c>
      <c r="DO132" s="145">
        <v>7057.1760000000004</v>
      </c>
      <c r="DP132" s="145">
        <v>11845.974</v>
      </c>
      <c r="DQ132" s="145">
        <v>8065.3439999999991</v>
      </c>
      <c r="DR132" s="145">
        <v>8310.9120000000003</v>
      </c>
      <c r="DS132" s="145">
        <v>9090.06</v>
      </c>
      <c r="DT132" s="145">
        <v>9869.2080000000005</v>
      </c>
      <c r="DU132" s="145">
        <v>9609.4920000000002</v>
      </c>
      <c r="DV132" s="145">
        <v>8830.3439999999991</v>
      </c>
      <c r="DW132" s="145">
        <v>8570.6280000000006</v>
      </c>
      <c r="DX132" s="145">
        <v>8830.3439999999991</v>
      </c>
      <c r="DY132" s="145">
        <v>8830.3439999999991</v>
      </c>
      <c r="DZ132" s="145">
        <v>10648.356000000002</v>
      </c>
      <c r="EA132" s="145">
        <v>6233.1840000000002</v>
      </c>
      <c r="EB132" s="145">
        <v>11167.788</v>
      </c>
      <c r="EC132" s="145">
        <v>8310.9120000000003</v>
      </c>
      <c r="ED132" s="145">
        <v>9358.44</v>
      </c>
      <c r="EE132" s="145">
        <v>8556.2879999999986</v>
      </c>
      <c r="EF132" s="145">
        <v>11497.512000000001</v>
      </c>
      <c r="EG132" s="145">
        <v>11497.512000000001</v>
      </c>
      <c r="EH132" s="145">
        <v>8556.2879999999986</v>
      </c>
      <c r="EI132" s="145">
        <v>9091.0559999999987</v>
      </c>
      <c r="EJ132" s="145">
        <v>8823.6720000000005</v>
      </c>
      <c r="EK132" s="145">
        <v>9091.0559999999987</v>
      </c>
      <c r="EL132" s="145">
        <v>0</v>
      </c>
      <c r="EM132" s="145">
        <v>0</v>
      </c>
      <c r="EN132" s="145">
        <v>0</v>
      </c>
      <c r="EO132" s="145">
        <v>0</v>
      </c>
      <c r="EP132" s="145">
        <v>0</v>
      </c>
      <c r="EQ132" s="145">
        <v>0</v>
      </c>
      <c r="ER132" s="145">
        <v>0</v>
      </c>
      <c r="ES132" s="145">
        <v>0</v>
      </c>
      <c r="ET132" s="145">
        <v>0</v>
      </c>
      <c r="EU132" s="145">
        <v>0</v>
      </c>
      <c r="EV132" s="145">
        <v>0</v>
      </c>
      <c r="EW132" s="145">
        <v>0</v>
      </c>
      <c r="EX132" s="145">
        <v>0</v>
      </c>
      <c r="EY132" s="145">
        <v>0</v>
      </c>
      <c r="EZ132" s="145">
        <v>0</v>
      </c>
      <c r="FA132" s="145">
        <v>0</v>
      </c>
      <c r="FB132" s="145">
        <v>0</v>
      </c>
      <c r="FC132" s="145">
        <v>0</v>
      </c>
      <c r="FD132" s="145">
        <v>0</v>
      </c>
      <c r="FE132" s="145">
        <v>0</v>
      </c>
      <c r="FF132" s="145">
        <v>0</v>
      </c>
      <c r="FG132" s="145">
        <v>0</v>
      </c>
      <c r="FH132" s="145">
        <v>0</v>
      </c>
      <c r="FI132" s="145">
        <v>0</v>
      </c>
      <c r="FJ132" s="145">
        <v>0</v>
      </c>
      <c r="FK132" s="145">
        <v>0</v>
      </c>
      <c r="FL132" s="145">
        <v>0</v>
      </c>
      <c r="FM132" s="145">
        <v>0</v>
      </c>
      <c r="FN132" s="145">
        <v>0</v>
      </c>
      <c r="FO132" s="145">
        <v>0</v>
      </c>
      <c r="FP132" s="145">
        <v>0</v>
      </c>
      <c r="FQ132" s="145">
        <v>0</v>
      </c>
      <c r="FR132" s="145">
        <v>0</v>
      </c>
      <c r="FS132" s="145">
        <v>0</v>
      </c>
      <c r="FT132" s="145">
        <v>0</v>
      </c>
      <c r="FU132" s="145">
        <v>0</v>
      </c>
      <c r="FV132" s="145">
        <v>0</v>
      </c>
      <c r="FW132" s="145">
        <v>0</v>
      </c>
      <c r="FX132" s="143"/>
      <c r="FY132" s="146" t="str">
        <f>_xlfn.XLOOKUP($E132,'Key assumptions'!$B$112:$B$120,'Key assumptions'!$C$112:$C$120,0)</f>
        <v>Nominal</v>
      </c>
      <c r="FZ132" s="146" cm="1">
        <f t="array" ref="FZ132">IF($FY132=0,0,_xlfn.IFS($FY132='Key assumptions'!$C$120,_xlfn.XLOOKUP(LEFT(FZ$7,6),Inflation_Year,Inflation_NominaltoReal),TRUE,_xlfn.XLOOKUP($FY132,Inflation_Year,NominaltoReal)))</f>
        <v>1.0197075870962191</v>
      </c>
      <c r="GA132" s="146" cm="1">
        <f t="array" ref="GA132">IF($FY132=0,0,_xlfn.IFS($FY132='Key assumptions'!$C$120,_xlfn.XLOOKUP(LEFT(GA$7,6),Inflation_Year,Inflation_NominaltoReal),TRUE,_xlfn.XLOOKUP($FY132,Inflation_Year,NominaltoReal)))</f>
        <v>0.98700804022984445</v>
      </c>
      <c r="GB132" s="146" cm="1">
        <f t="array" ref="GB132">IF($FY132=0,0,_xlfn.IFS($FY132='Key assumptions'!$C$120,_xlfn.XLOOKUP(LEFT(GB$7,6),Inflation_Year,Inflation_NominaltoReal),TRUE,_xlfn.XLOOKUP($FY132,Inflation_Year,NominaltoReal)))</f>
        <v>0.96152830081941731</v>
      </c>
      <c r="GC132" s="146" cm="1">
        <f t="array" ref="GC132">IF($FY132=0,0,_xlfn.IFS($FY132='Key assumptions'!$C$120,_xlfn.XLOOKUP(LEFT(GC$7,6),Inflation_Year,Inflation_NominaltoReal),TRUE,_xlfn.XLOOKUP($FY132,Inflation_Year,NominaltoReal)))</f>
        <v>0.93670632415656829</v>
      </c>
      <c r="GD132" s="146" cm="1">
        <f t="array" ref="GD132">IF($FY132=0,0,_xlfn.IFS($FY132='Key assumptions'!$C$120,_xlfn.XLOOKUP(LEFT(GD$7,6),Inflation_Year,Inflation_NominaltoReal),TRUE,_xlfn.XLOOKUP($FY132,Inflation_Year,NominaltoReal)))</f>
        <v>0.91252513001143176</v>
      </c>
      <c r="GE132" s="146" cm="1">
        <f t="array" ref="GE132">IF($FY132=0,0,_xlfn.IFS($FY132='Key assumptions'!$C$120,_xlfn.XLOOKUP(LEFT(GE$7,6),Inflation_Year,Inflation_NominaltoReal),TRUE,_xlfn.XLOOKUP($FY132,Inflation_Year,NominaltoReal)))</f>
        <v>0.88896817650095872</v>
      </c>
      <c r="GF132" s="146" cm="1">
        <f t="array" ref="GF132">IF($FY132=0,0,_xlfn.IFS($FY132='Key assumptions'!$C$120,_xlfn.XLOOKUP(LEFT(GF$7,6),Inflation_Year,Inflation_NominaltoReal),TRUE,_xlfn.XLOOKUP($FY132,Inflation_Year,NominaltoReal)))</f>
        <v>0.86601934877293718</v>
      </c>
      <c r="GG132" s="143"/>
      <c r="GH132" s="145" cm="1">
        <f t="array" ref="GH132">SUMPRODUCT(--($CR$7:$FW$7&gt;=GH$5),--($CR$7:$FW$7&lt;=GH$6),$CR132:$FW132)*FZ132</f>
        <v>44976.599441708422</v>
      </c>
      <c r="GI132" s="145" cm="1">
        <f t="array" ref="GI132">SUMPRODUCT(--($CR$7:$FW$7&gt;=GI$5),--($CR$7:$FW$7&lt;=GI$6),$CR132:$FW132)*GA132</f>
        <v>105576.59418560544</v>
      </c>
      <c r="GJ132" s="145" cm="1">
        <f t="array" ref="GJ132">SUMPRODUCT(--($CR$7:$FW$7&gt;=GJ$5),--($CR$7:$FW$7&lt;=GJ$6),$CR132:$FW132)*GB132</f>
        <v>108240.54080950453</v>
      </c>
      <c r="GK132" s="145" cm="1">
        <f t="array" ref="GK132">SUMPRODUCT(--($CR$7:$FW$7&gt;=GK$5),--($CR$7:$FW$7&lt;=GK$6),$CR132:$FW132)*GC132</f>
        <v>8515.6496484615145</v>
      </c>
      <c r="GL132" s="145" cm="1">
        <f t="array" ref="GL132">SUMPRODUCT(--($CR$7:$FW$7&gt;=GL$5),--($CR$7:$FW$7&lt;=GL$6),$CR132:$FW132)*GD132</f>
        <v>0</v>
      </c>
      <c r="GM132" s="145" cm="1">
        <f t="array" ref="GM132">SUMPRODUCT(--($CR$7:$FW$7&gt;=GM$5),--($CR$7:$FW$7&lt;=GM$6),$CR132:$FW132)*GE132</f>
        <v>0</v>
      </c>
      <c r="GN132" s="145" cm="1">
        <f t="array" ref="GN132">SUMPRODUCT(--($CR$7:$FW$7&gt;=GN$5),--($CR$7:$FW$7&lt;=GN$6),$CR132:$FW132)*GF132</f>
        <v>0</v>
      </c>
      <c r="GO132" s="145">
        <f t="shared" si="23"/>
        <v>267309.38408527989</v>
      </c>
      <c r="GP132" s="87"/>
      <c r="GR132" s="145" cm="1">
        <f t="array" ref="GR132">SUMPRODUCT(--($CR$7:$FW$7&gt;=GR$5),--($CR$7:$FW$7&lt;=GR$6),$CR132:$FW132)</f>
        <v>16886.813999999998</v>
      </c>
      <c r="GT132" s="214" cm="1">
        <f t="array" ref="GT132">--AND(MIN(IF($K132:$CP132&lt;&gt;0,$K$7:$CP$7))&gt;=GT$5,MIN(IF($K132:$CP132&lt;&gt;0,$K$7:$CP$7))&lt;=GT$6)</f>
        <v>1</v>
      </c>
      <c r="GU132" s="214" cm="1">
        <f t="array" ref="GU132">--AND(MIN(IF($K132:$CP132&lt;&gt;0,$K$7:$CP$7))&gt;=GU$5,MIN(IF($K132:$CP132&lt;&gt;0,$K$7:$CP$7))&lt;=GU$6)</f>
        <v>0</v>
      </c>
      <c r="GV132" s="214" cm="1">
        <f t="array" ref="GV132">--AND(MIN(IF($K132:$CP132&lt;&gt;0,$K$7:$CP$7))&gt;=GV$5,MIN(IF($K132:$CP132&lt;&gt;0,$K$7:$CP$7))&lt;=GV$6)</f>
        <v>0</v>
      </c>
      <c r="GW132" s="214" cm="1">
        <f t="array" ref="GW132">--AND(MIN(IF($K132:$CP132&lt;&gt;0,$K$7:$CP$7))&gt;=GW$5,MIN(IF($K132:$CP132&lt;&gt;0,$K$7:$CP$7))&lt;=GW$6)</f>
        <v>0</v>
      </c>
      <c r="GX132" s="214" cm="1">
        <f t="array" ref="GX132">--AND(MIN(IF($K132:$CP132&lt;&gt;0,$K$7:$CP$7))&gt;=GX$5,MIN(IF($K132:$CP132&lt;&gt;0,$K$7:$CP$7))&lt;=GX$6)</f>
        <v>0</v>
      </c>
      <c r="GY132" s="214" cm="1">
        <f t="array" ref="GY132">--AND(MIN(IF($K132:$CP132&lt;&gt;0,$K$7:$CP$7))&gt;=GY$5,MIN(IF($K132:$CP132&lt;&gt;0,$K$7:$CP$7))&lt;=GY$6)</f>
        <v>0</v>
      </c>
      <c r="GZ132" s="214" cm="1">
        <f t="array" ref="GZ132">--AND(MIN(IF($K132:$CP132&lt;&gt;0,$K$7:$CP$7))&gt;=GZ$5,MIN(IF($K132:$CP132&lt;&gt;0,$K$7:$CP$7))&lt;=GZ$6)</f>
        <v>0</v>
      </c>
      <c r="HA132" s="214">
        <f t="shared" si="24"/>
        <v>1</v>
      </c>
      <c r="HC132" s="214" cm="1">
        <f t="array" ref="HC132">--AND(MIN(IF($K132:$CP132&lt;&gt;0,$K$7:$CP$7))&gt;=HC$5,MIN(IF($K132:$CP132&lt;&gt;0,$K$7:$CP$7))&lt;=HC$6)</f>
        <v>1</v>
      </c>
      <c r="HE132" s="147" t="str">
        <f t="shared" si="43"/>
        <v>No</v>
      </c>
      <c r="HF132" s="147" t="str">
        <f t="shared" si="44"/>
        <v>Yes</v>
      </c>
      <c r="HG132" s="147">
        <f>IF($HF132="Yes",0,$H132*avg_hrs*12*'Key assumptions'!$D$87)</f>
        <v>0</v>
      </c>
      <c r="HH132" s="147">
        <f>IF(HE132="Yes",'Key assumptions'!$D$84*HG132,0)</f>
        <v>0</v>
      </c>
      <c r="HI132" s="144">
        <f>IFERROR(AVERAGEIFS($K132:$CP132,$K$7:$CP$7,"&gt;="&amp;'Key assumptions'!$D$24,$K$7:$CP$7,"&lt;="&amp;'Key assumptions'!$D$25),0)</f>
        <v>0.10750000000000001</v>
      </c>
      <c r="HJ132" s="148">
        <f t="shared" si="45"/>
        <v>0</v>
      </c>
      <c r="HK132" s="148">
        <f t="shared" si="26"/>
        <v>0</v>
      </c>
      <c r="HL132" s="148">
        <f t="shared" si="27"/>
        <v>0</v>
      </c>
      <c r="HM132" s="148">
        <f t="shared" si="28"/>
        <v>0</v>
      </c>
      <c r="HN132" s="148">
        <f t="shared" si="29"/>
        <v>0</v>
      </c>
      <c r="HO132" s="148">
        <f t="shared" si="30"/>
        <v>0</v>
      </c>
      <c r="HP132" s="148">
        <f t="shared" si="31"/>
        <v>0</v>
      </c>
      <c r="HQ132" s="148">
        <f t="shared" si="32"/>
        <v>0</v>
      </c>
      <c r="HR132" s="147">
        <f t="shared" si="33"/>
        <v>0</v>
      </c>
      <c r="HU132" s="147">
        <f>$HJ132*HC132/(1+'Key assumptions'!G154)^0.75</f>
        <v>0</v>
      </c>
      <c r="HW132" s="216">
        <f t="shared" si="34"/>
        <v>0.10750000000000001</v>
      </c>
      <c r="HX132" s="216">
        <f t="shared" si="35"/>
        <v>0</v>
      </c>
      <c r="HY132" s="216">
        <f t="shared" si="36"/>
        <v>0</v>
      </c>
      <c r="HZ132" s="216">
        <f t="shared" si="37"/>
        <v>0</v>
      </c>
      <c r="IA132" s="216">
        <f t="shared" si="38"/>
        <v>0</v>
      </c>
      <c r="IB132" s="216">
        <f t="shared" si="39"/>
        <v>0</v>
      </c>
      <c r="IC132" s="216">
        <f t="shared" si="40"/>
        <v>0</v>
      </c>
      <c r="ID132" s="216">
        <f t="shared" si="41"/>
        <v>0.10750000000000001</v>
      </c>
      <c r="IF132" s="216">
        <f t="shared" si="42"/>
        <v>0.10750000000000001</v>
      </c>
    </row>
    <row r="133" spans="2:240" x14ac:dyDescent="0.2">
      <c r="B133" s="141" t="str">
        <v>Land and Environment</v>
      </c>
      <c r="C133" s="141" t="str">
        <v>Environment Officer (Safety and Environmental Delivery)</v>
      </c>
      <c r="D133" s="141" t="str">
        <v>Internal Labour</v>
      </c>
      <c r="E133" s="141" t="str">
        <v>$ Nominal</v>
      </c>
      <c r="F133" s="141" t="str">
        <v>New</v>
      </c>
      <c r="G133" s="141" t="str">
        <v>Normal time</v>
      </c>
      <c r="H133" s="142">
        <v>210.04</v>
      </c>
      <c r="I133" s="126">
        <v>158495.72200000007</v>
      </c>
      <c r="J133" s="143">
        <v>0</v>
      </c>
      <c r="K133" s="144">
        <v>0</v>
      </c>
      <c r="L133" s="144">
        <v>0</v>
      </c>
      <c r="M133" s="144">
        <v>0</v>
      </c>
      <c r="N133" s="144">
        <v>0</v>
      </c>
      <c r="O133" s="144">
        <v>0</v>
      </c>
      <c r="P133" s="144">
        <v>0</v>
      </c>
      <c r="Q133" s="144">
        <v>0</v>
      </c>
      <c r="R133" s="144">
        <v>0</v>
      </c>
      <c r="S133" s="144">
        <v>0</v>
      </c>
      <c r="T133" s="144">
        <v>0</v>
      </c>
      <c r="U133" s="144">
        <v>0</v>
      </c>
      <c r="V133" s="144">
        <v>0</v>
      </c>
      <c r="W133" s="144">
        <v>0</v>
      </c>
      <c r="X133" s="144">
        <v>0</v>
      </c>
      <c r="Y133" s="144">
        <v>0</v>
      </c>
      <c r="Z133" s="144">
        <v>0</v>
      </c>
      <c r="AA133" s="144">
        <v>0.15657894736842107</v>
      </c>
      <c r="AB133" s="144">
        <v>0.16578947368421051</v>
      </c>
      <c r="AC133" s="144">
        <v>0.19</v>
      </c>
      <c r="AD133" s="144">
        <v>0.15</v>
      </c>
      <c r="AE133" s="144">
        <v>0.18</v>
      </c>
      <c r="AF133" s="144">
        <v>0.18</v>
      </c>
      <c r="AG133" s="144">
        <v>0.17</v>
      </c>
      <c r="AH133" s="144">
        <v>0.16</v>
      </c>
      <c r="AI133" s="144">
        <v>0.3066666666666667</v>
      </c>
      <c r="AJ133" s="144">
        <v>0.16</v>
      </c>
      <c r="AK133" s="144">
        <v>0.16</v>
      </c>
      <c r="AL133" s="144">
        <v>0.25333333333333335</v>
      </c>
      <c r="AM133" s="144">
        <v>0.16578947368421051</v>
      </c>
      <c r="AN133" s="144">
        <v>0.15657894736842107</v>
      </c>
      <c r="AO133" s="144">
        <v>0.18</v>
      </c>
      <c r="AP133" s="144">
        <v>0.17</v>
      </c>
      <c r="AQ133" s="144">
        <v>0.18</v>
      </c>
      <c r="AR133" s="144">
        <v>0.18</v>
      </c>
      <c r="AS133" s="144">
        <v>0.17</v>
      </c>
      <c r="AT133" s="144">
        <v>0.21333333333333332</v>
      </c>
      <c r="AU133" s="144">
        <v>0.25333333333333335</v>
      </c>
      <c r="AV133" s="144">
        <v>0.16</v>
      </c>
      <c r="AW133" s="144">
        <v>0.19</v>
      </c>
      <c r="AX133" s="144">
        <v>0.21333333333333332</v>
      </c>
      <c r="AY133" s="144">
        <v>0.17500000000000002</v>
      </c>
      <c r="AZ133" s="144">
        <v>0.17500000000000002</v>
      </c>
      <c r="BA133" s="144">
        <v>0.16</v>
      </c>
      <c r="BB133" s="144">
        <v>0.18</v>
      </c>
      <c r="BC133" s="144">
        <v>0.17</v>
      </c>
      <c r="BD133" s="144">
        <v>0.18</v>
      </c>
      <c r="BE133" s="144">
        <v>0</v>
      </c>
      <c r="BF133" s="144">
        <v>0</v>
      </c>
      <c r="BG133" s="144">
        <v>0</v>
      </c>
      <c r="BH133" s="144">
        <v>0</v>
      </c>
      <c r="BI133" s="144">
        <v>0</v>
      </c>
      <c r="BJ133" s="144">
        <v>0</v>
      </c>
      <c r="BK133" s="144">
        <v>0</v>
      </c>
      <c r="BL133" s="144">
        <v>0</v>
      </c>
      <c r="BM133" s="144">
        <v>0</v>
      </c>
      <c r="BN133" s="144">
        <v>0</v>
      </c>
      <c r="BO133" s="144">
        <v>0</v>
      </c>
      <c r="BP133" s="144">
        <v>0</v>
      </c>
      <c r="BQ133" s="144">
        <v>0</v>
      </c>
      <c r="BR133" s="144">
        <v>0</v>
      </c>
      <c r="BS133" s="144">
        <v>0</v>
      </c>
      <c r="BT133" s="144">
        <v>0</v>
      </c>
      <c r="BU133" s="144">
        <v>0</v>
      </c>
      <c r="BV133" s="144">
        <v>0</v>
      </c>
      <c r="BW133" s="144">
        <v>0</v>
      </c>
      <c r="BX133" s="144">
        <v>0</v>
      </c>
      <c r="BY133" s="144">
        <v>0</v>
      </c>
      <c r="BZ133" s="144">
        <v>0</v>
      </c>
      <c r="CA133" s="144">
        <v>0</v>
      </c>
      <c r="CB133" s="144">
        <v>0</v>
      </c>
      <c r="CC133" s="144">
        <v>0</v>
      </c>
      <c r="CD133" s="144">
        <v>0</v>
      </c>
      <c r="CE133" s="144">
        <v>0</v>
      </c>
      <c r="CF133" s="144">
        <v>0</v>
      </c>
      <c r="CG133" s="144">
        <v>0</v>
      </c>
      <c r="CH133" s="144">
        <v>0</v>
      </c>
      <c r="CI133" s="144">
        <v>0</v>
      </c>
      <c r="CJ133" s="144">
        <v>0</v>
      </c>
      <c r="CK133" s="144">
        <v>0</v>
      </c>
      <c r="CL133" s="144">
        <v>0</v>
      </c>
      <c r="CM133" s="144">
        <v>0</v>
      </c>
      <c r="CN133" s="144">
        <v>0</v>
      </c>
      <c r="CO133" s="144">
        <v>0</v>
      </c>
      <c r="CP133" s="144">
        <v>0</v>
      </c>
      <c r="CQ133" s="143">
        <v>0</v>
      </c>
      <c r="CR133" s="145">
        <v>0</v>
      </c>
      <c r="CS133" s="145">
        <v>0</v>
      </c>
      <c r="CT133" s="145">
        <v>0</v>
      </c>
      <c r="CU133" s="145">
        <v>0</v>
      </c>
      <c r="CV133" s="145">
        <v>0</v>
      </c>
      <c r="CW133" s="145">
        <v>0</v>
      </c>
      <c r="CX133" s="145">
        <v>0</v>
      </c>
      <c r="CY133" s="145">
        <v>0</v>
      </c>
      <c r="CZ133" s="145">
        <v>0</v>
      </c>
      <c r="DA133" s="145">
        <v>0</v>
      </c>
      <c r="DB133" s="145">
        <v>0</v>
      </c>
      <c r="DC133" s="145">
        <v>0</v>
      </c>
      <c r="DD133" s="145">
        <v>0</v>
      </c>
      <c r="DE133" s="145">
        <v>0</v>
      </c>
      <c r="DF133" s="145">
        <v>0</v>
      </c>
      <c r="DG133" s="145">
        <v>0</v>
      </c>
      <c r="DH133" s="145">
        <v>4998.9520000000002</v>
      </c>
      <c r="DI133" s="145">
        <v>5293.0079999999998</v>
      </c>
      <c r="DJ133" s="145">
        <v>5587.0640000000003</v>
      </c>
      <c r="DK133" s="145">
        <v>4410.84</v>
      </c>
      <c r="DL133" s="145">
        <v>5293.0079999999998</v>
      </c>
      <c r="DM133" s="145">
        <v>5293.0079999999998</v>
      </c>
      <c r="DN133" s="145">
        <v>4998.9520000000002</v>
      </c>
      <c r="DO133" s="145">
        <v>3528.672</v>
      </c>
      <c r="DP133" s="145">
        <v>6763.2880000000005</v>
      </c>
      <c r="DQ133" s="145">
        <v>4704.8959999999997</v>
      </c>
      <c r="DR133" s="145">
        <v>4848.0320000000002</v>
      </c>
      <c r="DS133" s="145">
        <v>5757.0380000000005</v>
      </c>
      <c r="DT133" s="145">
        <v>5454.0360000000001</v>
      </c>
      <c r="DU133" s="145">
        <v>5151.0340000000006</v>
      </c>
      <c r="DV133" s="145">
        <v>5454.0360000000001</v>
      </c>
      <c r="DW133" s="145">
        <v>5151.0340000000006</v>
      </c>
      <c r="DX133" s="145">
        <v>5454.0360000000001</v>
      </c>
      <c r="DY133" s="145">
        <v>5454.0360000000001</v>
      </c>
      <c r="DZ133" s="145">
        <v>5151.0340000000006</v>
      </c>
      <c r="EA133" s="145">
        <v>4848.0320000000002</v>
      </c>
      <c r="EB133" s="145">
        <v>5757.0380000000005</v>
      </c>
      <c r="EC133" s="145">
        <v>4848.0320000000002</v>
      </c>
      <c r="ED133" s="145">
        <v>5927.0119999999997</v>
      </c>
      <c r="EE133" s="145">
        <v>4991.1679999999997</v>
      </c>
      <c r="EF133" s="145">
        <v>5927.0119999999997</v>
      </c>
      <c r="EG133" s="145">
        <v>5927.0119999999997</v>
      </c>
      <c r="EH133" s="145">
        <v>4991.1679999999997</v>
      </c>
      <c r="EI133" s="145">
        <v>5615.0639999999994</v>
      </c>
      <c r="EJ133" s="145">
        <v>5303.116</v>
      </c>
      <c r="EK133" s="145">
        <v>5615.0639999999994</v>
      </c>
      <c r="EL133" s="145">
        <v>0</v>
      </c>
      <c r="EM133" s="145">
        <v>0</v>
      </c>
      <c r="EN133" s="145">
        <v>0</v>
      </c>
      <c r="EO133" s="145">
        <v>0</v>
      </c>
      <c r="EP133" s="145">
        <v>0</v>
      </c>
      <c r="EQ133" s="145">
        <v>0</v>
      </c>
      <c r="ER133" s="145">
        <v>0</v>
      </c>
      <c r="ES133" s="145">
        <v>0</v>
      </c>
      <c r="ET133" s="145">
        <v>0</v>
      </c>
      <c r="EU133" s="145">
        <v>0</v>
      </c>
      <c r="EV133" s="145">
        <v>0</v>
      </c>
      <c r="EW133" s="145">
        <v>0</v>
      </c>
      <c r="EX133" s="145">
        <v>0</v>
      </c>
      <c r="EY133" s="145">
        <v>0</v>
      </c>
      <c r="EZ133" s="145">
        <v>0</v>
      </c>
      <c r="FA133" s="145">
        <v>0</v>
      </c>
      <c r="FB133" s="145">
        <v>0</v>
      </c>
      <c r="FC133" s="145">
        <v>0</v>
      </c>
      <c r="FD133" s="145">
        <v>0</v>
      </c>
      <c r="FE133" s="145">
        <v>0</v>
      </c>
      <c r="FF133" s="145">
        <v>0</v>
      </c>
      <c r="FG133" s="145">
        <v>0</v>
      </c>
      <c r="FH133" s="145">
        <v>0</v>
      </c>
      <c r="FI133" s="145">
        <v>0</v>
      </c>
      <c r="FJ133" s="145">
        <v>0</v>
      </c>
      <c r="FK133" s="145">
        <v>0</v>
      </c>
      <c r="FL133" s="145">
        <v>0</v>
      </c>
      <c r="FM133" s="145">
        <v>0</v>
      </c>
      <c r="FN133" s="145">
        <v>0</v>
      </c>
      <c r="FO133" s="145">
        <v>0</v>
      </c>
      <c r="FP133" s="145">
        <v>0</v>
      </c>
      <c r="FQ133" s="145">
        <v>0</v>
      </c>
      <c r="FR133" s="145">
        <v>0</v>
      </c>
      <c r="FS133" s="145">
        <v>0</v>
      </c>
      <c r="FT133" s="145">
        <v>0</v>
      </c>
      <c r="FU133" s="145">
        <v>0</v>
      </c>
      <c r="FV133" s="145">
        <v>0</v>
      </c>
      <c r="FW133" s="145">
        <v>0</v>
      </c>
      <c r="FX133" s="143"/>
      <c r="FY133" s="146" t="str">
        <f>_xlfn.XLOOKUP($E133,'Key assumptions'!$B$112:$B$120,'Key assumptions'!$C$112:$C$120,0)</f>
        <v>Nominal</v>
      </c>
      <c r="FZ133" s="146" cm="1">
        <f t="array" ref="FZ133">IF($FY133=0,0,_xlfn.IFS($FY133='Key assumptions'!$C$120,_xlfn.XLOOKUP(LEFT(FZ$7,6),Inflation_Year,Inflation_NominaltoReal),TRUE,_xlfn.XLOOKUP($FY133,Inflation_Year,NominaltoReal)))</f>
        <v>1.0197075870962191</v>
      </c>
      <c r="GA133" s="146" cm="1">
        <f t="array" ref="GA133">IF($FY133=0,0,_xlfn.IFS($FY133='Key assumptions'!$C$120,_xlfn.XLOOKUP(LEFT(GA$7,6),Inflation_Year,Inflation_NominaltoReal),TRUE,_xlfn.XLOOKUP($FY133,Inflation_Year,NominaltoReal)))</f>
        <v>0.98700804022984445</v>
      </c>
      <c r="GB133" s="146" cm="1">
        <f t="array" ref="GB133">IF($FY133=0,0,_xlfn.IFS($FY133='Key assumptions'!$C$120,_xlfn.XLOOKUP(LEFT(GB$7,6),Inflation_Year,Inflation_NominaltoReal),TRUE,_xlfn.XLOOKUP($FY133,Inflation_Year,NominaltoReal)))</f>
        <v>0.96152830081941731</v>
      </c>
      <c r="GC133" s="146" cm="1">
        <f t="array" ref="GC133">IF($FY133=0,0,_xlfn.IFS($FY133='Key assumptions'!$C$120,_xlfn.XLOOKUP(LEFT(GC$7,6),Inflation_Year,Inflation_NominaltoReal),TRUE,_xlfn.XLOOKUP($FY133,Inflation_Year,NominaltoReal)))</f>
        <v>0.93670632415656829</v>
      </c>
      <c r="GD133" s="146" cm="1">
        <f t="array" ref="GD133">IF($FY133=0,0,_xlfn.IFS($FY133='Key assumptions'!$C$120,_xlfn.XLOOKUP(LEFT(GD$7,6),Inflation_Year,Inflation_NominaltoReal),TRUE,_xlfn.XLOOKUP($FY133,Inflation_Year,NominaltoReal)))</f>
        <v>0.91252513001143176</v>
      </c>
      <c r="GE133" s="146" cm="1">
        <f t="array" ref="GE133">IF($FY133=0,0,_xlfn.IFS($FY133='Key assumptions'!$C$120,_xlfn.XLOOKUP(LEFT(GE$7,6),Inflation_Year,Inflation_NominaltoReal),TRUE,_xlfn.XLOOKUP($FY133,Inflation_Year,NominaltoReal)))</f>
        <v>0.88896817650095872</v>
      </c>
      <c r="GF133" s="146" cm="1">
        <f t="array" ref="GF133">IF($FY133=0,0,_xlfn.IFS($FY133='Key assumptions'!$C$120,_xlfn.XLOOKUP(LEFT(GF$7,6),Inflation_Year,Inflation_NominaltoReal),TRUE,_xlfn.XLOOKUP($FY133,Inflation_Year,NominaltoReal)))</f>
        <v>0.86601934877293718</v>
      </c>
      <c r="GG133" s="143"/>
      <c r="GH133" s="145" cm="1">
        <f t="array" ref="GH133">SUMPRODUCT(--($CR$7:$FW$7&gt;=GH$5),--($CR$7:$FW$7&lt;=GH$6),$CR133:$FW133)*FZ133</f>
        <v>26087.048678111427</v>
      </c>
      <c r="GI133" s="145" cm="1">
        <f t="array" ref="GI133">SUMPRODUCT(--($CR$7:$FW$7&gt;=GI$5),--($CR$7:$FW$7&lt;=GI$6),$CR133:$FW133)*GA133</f>
        <v>61745.310175197104</v>
      </c>
      <c r="GJ133" s="145" cm="1">
        <f t="array" ref="GJ133">SUMPRODUCT(--($CR$7:$FW$7&gt;=GJ$5),--($CR$7:$FW$7&lt;=GJ$6),$CR133:$FW133)*GB133</f>
        <v>62249.076813238054</v>
      </c>
      <c r="GK133" s="145" cm="1">
        <f t="array" ref="GK133">SUMPRODUCT(--($CR$7:$FW$7&gt;=GK$5),--($CR$7:$FW$7&lt;=GK$6),$CR133:$FW133)*GC133</f>
        <v>5259.6659593438762</v>
      </c>
      <c r="GL133" s="145" cm="1">
        <f t="array" ref="GL133">SUMPRODUCT(--($CR$7:$FW$7&gt;=GL$5),--($CR$7:$FW$7&lt;=GL$6),$CR133:$FW133)*GD133</f>
        <v>0</v>
      </c>
      <c r="GM133" s="145" cm="1">
        <f t="array" ref="GM133">SUMPRODUCT(--($CR$7:$FW$7&gt;=GM$5),--($CR$7:$FW$7&lt;=GM$6),$CR133:$FW133)*GE133</f>
        <v>0</v>
      </c>
      <c r="GN133" s="145" cm="1">
        <f t="array" ref="GN133">SUMPRODUCT(--($CR$7:$FW$7&gt;=GN$5),--($CR$7:$FW$7&lt;=GN$6),$CR133:$FW133)*GF133</f>
        <v>0</v>
      </c>
      <c r="GO133" s="145">
        <f t="shared" si="23"/>
        <v>155341.10162589044</v>
      </c>
      <c r="GP133" s="87"/>
      <c r="GR133" s="145" cm="1">
        <f t="array" ref="GR133">SUMPRODUCT(--($CR$7:$FW$7&gt;=GR$5),--($CR$7:$FW$7&lt;=GR$6),$CR133:$FW133)</f>
        <v>10291.959999999999</v>
      </c>
      <c r="GT133" s="214" cm="1">
        <f t="array" ref="GT133">--AND(MIN(IF($K133:$CP133&lt;&gt;0,$K$7:$CP$7))&gt;=GT$5,MIN(IF($K133:$CP133&lt;&gt;0,$K$7:$CP$7))&lt;=GT$6)</f>
        <v>1</v>
      </c>
      <c r="GU133" s="214" cm="1">
        <f t="array" ref="GU133">--AND(MIN(IF($K133:$CP133&lt;&gt;0,$K$7:$CP$7))&gt;=GU$5,MIN(IF($K133:$CP133&lt;&gt;0,$K$7:$CP$7))&lt;=GU$6)</f>
        <v>0</v>
      </c>
      <c r="GV133" s="214" cm="1">
        <f t="array" ref="GV133">--AND(MIN(IF($K133:$CP133&lt;&gt;0,$K$7:$CP$7))&gt;=GV$5,MIN(IF($K133:$CP133&lt;&gt;0,$K$7:$CP$7))&lt;=GV$6)</f>
        <v>0</v>
      </c>
      <c r="GW133" s="214" cm="1">
        <f t="array" ref="GW133">--AND(MIN(IF($K133:$CP133&lt;&gt;0,$K$7:$CP$7))&gt;=GW$5,MIN(IF($K133:$CP133&lt;&gt;0,$K$7:$CP$7))&lt;=GW$6)</f>
        <v>0</v>
      </c>
      <c r="GX133" s="214" cm="1">
        <f t="array" ref="GX133">--AND(MIN(IF($K133:$CP133&lt;&gt;0,$K$7:$CP$7))&gt;=GX$5,MIN(IF($K133:$CP133&lt;&gt;0,$K$7:$CP$7))&lt;=GX$6)</f>
        <v>0</v>
      </c>
      <c r="GY133" s="214" cm="1">
        <f t="array" ref="GY133">--AND(MIN(IF($K133:$CP133&lt;&gt;0,$K$7:$CP$7))&gt;=GY$5,MIN(IF($K133:$CP133&lt;&gt;0,$K$7:$CP$7))&lt;=GY$6)</f>
        <v>0</v>
      </c>
      <c r="GZ133" s="214" cm="1">
        <f t="array" ref="GZ133">--AND(MIN(IF($K133:$CP133&lt;&gt;0,$K$7:$CP$7))&gt;=GZ$5,MIN(IF($K133:$CP133&lt;&gt;0,$K$7:$CP$7))&lt;=GZ$6)</f>
        <v>0</v>
      </c>
      <c r="HA133" s="214">
        <f t="shared" si="24"/>
        <v>1</v>
      </c>
      <c r="HC133" s="214" cm="1">
        <f t="array" ref="HC133">--AND(MIN(IF($K133:$CP133&lt;&gt;0,$K$7:$CP$7))&gt;=HC$5,MIN(IF($K133:$CP133&lt;&gt;0,$K$7:$CP$7))&lt;=HC$6)</f>
        <v>1</v>
      </c>
      <c r="HE133" s="147" t="str">
        <f t="shared" si="43"/>
        <v>Yes</v>
      </c>
      <c r="HF133" s="147" t="str">
        <f t="shared" si="44"/>
        <v>No</v>
      </c>
      <c r="HG133" s="147">
        <f>IF($HF133="Yes",0,$H133*avg_hrs*12*'Key assumptions'!$D$87)</f>
        <v>375608.02275576669</v>
      </c>
      <c r="HH133" s="147">
        <f>IF(HE133="Yes",'Key assumptions'!$D$84*HG133,0)</f>
        <v>56341.203413365001</v>
      </c>
      <c r="HI133" s="144">
        <f>IFERROR(AVERAGEIFS($K133:$CP133,$K$7:$CP$7,"&gt;="&amp;'Key assumptions'!$D$24,$K$7:$CP$7,"&lt;="&amp;'Key assumptions'!$D$25),0)</f>
        <v>0.12510765550239233</v>
      </c>
      <c r="HJ133" s="148">
        <f t="shared" si="45"/>
        <v>7048.71586722948</v>
      </c>
      <c r="HK133" s="148">
        <f t="shared" si="26"/>
        <v>7048.71586722948</v>
      </c>
      <c r="HL133" s="148">
        <f t="shared" si="27"/>
        <v>0</v>
      </c>
      <c r="HM133" s="148">
        <f t="shared" si="28"/>
        <v>0</v>
      </c>
      <c r="HN133" s="148">
        <f t="shared" si="29"/>
        <v>0</v>
      </c>
      <c r="HO133" s="148">
        <f t="shared" si="30"/>
        <v>0</v>
      </c>
      <c r="HP133" s="148">
        <f t="shared" si="31"/>
        <v>0</v>
      </c>
      <c r="HQ133" s="148">
        <f t="shared" si="32"/>
        <v>0</v>
      </c>
      <c r="HR133" s="147">
        <f t="shared" si="33"/>
        <v>7048.71586722948</v>
      </c>
      <c r="HU133" s="147">
        <f>$HJ133*HC133/(1+'Key assumptions'!G155)^0.75</f>
        <v>7048.71586722948</v>
      </c>
      <c r="HW133" s="216">
        <f t="shared" si="34"/>
        <v>0.12510765550239233</v>
      </c>
      <c r="HX133" s="216">
        <f t="shared" si="35"/>
        <v>0</v>
      </c>
      <c r="HY133" s="216">
        <f t="shared" si="36"/>
        <v>0</v>
      </c>
      <c r="HZ133" s="216">
        <f t="shared" si="37"/>
        <v>0</v>
      </c>
      <c r="IA133" s="216">
        <f t="shared" si="38"/>
        <v>0</v>
      </c>
      <c r="IB133" s="216">
        <f t="shared" si="39"/>
        <v>0</v>
      </c>
      <c r="IC133" s="216">
        <f t="shared" si="40"/>
        <v>0</v>
      </c>
      <c r="ID133" s="216">
        <f t="shared" si="41"/>
        <v>0.12510765550239233</v>
      </c>
      <c r="IF133" s="216">
        <f t="shared" si="42"/>
        <v>0.12510765550239233</v>
      </c>
    </row>
    <row r="134" spans="2:240" x14ac:dyDescent="0.2">
      <c r="B134" s="141" t="str">
        <v>Land and Environment</v>
      </c>
      <c r="C134" s="141" t="str">
        <v>Environment Officer (Safety and Environmental Delivery)</v>
      </c>
      <c r="D134" s="141" t="str">
        <v>Internal Labour</v>
      </c>
      <c r="E134" s="141" t="str">
        <v>$ Nominal</v>
      </c>
      <c r="F134" s="141">
        <v>0</v>
      </c>
      <c r="G134" s="141" t="str">
        <v>Overtime</v>
      </c>
      <c r="H134" s="142">
        <v>210.04</v>
      </c>
      <c r="I134" s="126">
        <v>272736.054</v>
      </c>
      <c r="J134" s="143">
        <v>0</v>
      </c>
      <c r="K134" s="144">
        <v>0</v>
      </c>
      <c r="L134" s="144">
        <v>0</v>
      </c>
      <c r="M134" s="144">
        <v>0</v>
      </c>
      <c r="N134" s="144">
        <v>0</v>
      </c>
      <c r="O134" s="144">
        <v>0</v>
      </c>
      <c r="P134" s="144">
        <v>0</v>
      </c>
      <c r="Q134" s="144">
        <v>0</v>
      </c>
      <c r="R134" s="144">
        <v>0</v>
      </c>
      <c r="S134" s="144">
        <v>0</v>
      </c>
      <c r="T134" s="144">
        <v>0</v>
      </c>
      <c r="U134" s="144">
        <v>0</v>
      </c>
      <c r="V134" s="144">
        <v>0</v>
      </c>
      <c r="W134" s="144">
        <v>0</v>
      </c>
      <c r="X134" s="144">
        <v>0</v>
      </c>
      <c r="Y134" s="144">
        <v>0</v>
      </c>
      <c r="Z134" s="144">
        <v>0</v>
      </c>
      <c r="AA134" s="144">
        <v>0.13026315789473686</v>
      </c>
      <c r="AB134" s="144">
        <v>0.13421052631578947</v>
      </c>
      <c r="AC134" s="144">
        <v>0.1842857142857143</v>
      </c>
      <c r="AD134" s="144">
        <v>0.13285714285714287</v>
      </c>
      <c r="AE134" s="144">
        <v>0.14571428571428571</v>
      </c>
      <c r="AF134" s="144">
        <v>0.14571428571428571</v>
      </c>
      <c r="AG134" s="144">
        <v>0.14142857142857143</v>
      </c>
      <c r="AH134" s="144">
        <v>0.16</v>
      </c>
      <c r="AI134" s="144">
        <v>0.26857142857142857</v>
      </c>
      <c r="AJ134" s="144">
        <v>0.13714285714285715</v>
      </c>
      <c r="AK134" s="144">
        <v>0.13714285714285715</v>
      </c>
      <c r="AL134" s="144">
        <v>0.2</v>
      </c>
      <c r="AM134" s="144">
        <v>0.15</v>
      </c>
      <c r="AN134" s="144">
        <v>0.14605263157894735</v>
      </c>
      <c r="AO134" s="144">
        <v>0.14571428571428571</v>
      </c>
      <c r="AP134" s="144">
        <v>0.14142857142857143</v>
      </c>
      <c r="AQ134" s="144">
        <v>0.14571428571428571</v>
      </c>
      <c r="AR134" s="144">
        <v>0.14571428571428571</v>
      </c>
      <c r="AS134" s="144">
        <v>0.17571428571428571</v>
      </c>
      <c r="AT134" s="144">
        <v>0.13714285714285715</v>
      </c>
      <c r="AU134" s="144">
        <v>0.24571428571428572</v>
      </c>
      <c r="AV134" s="144">
        <v>0.13714285714285715</v>
      </c>
      <c r="AW134" s="144">
        <v>0.15</v>
      </c>
      <c r="AX134" s="144">
        <v>0.18285714285714286</v>
      </c>
      <c r="AY134" s="144">
        <v>0.16973684210526316</v>
      </c>
      <c r="AZ134" s="144">
        <v>0.16973684210526316</v>
      </c>
      <c r="BA134" s="144">
        <v>0.13714285714285715</v>
      </c>
      <c r="BB134" s="144">
        <v>0.14571428571428571</v>
      </c>
      <c r="BC134" s="144">
        <v>0.14142857142857143</v>
      </c>
      <c r="BD134" s="144">
        <v>0.14571428571428571</v>
      </c>
      <c r="BE134" s="144">
        <v>0</v>
      </c>
      <c r="BF134" s="144">
        <v>0</v>
      </c>
      <c r="BG134" s="144">
        <v>0</v>
      </c>
      <c r="BH134" s="144">
        <v>0</v>
      </c>
      <c r="BI134" s="144">
        <v>0</v>
      </c>
      <c r="BJ134" s="144">
        <v>0</v>
      </c>
      <c r="BK134" s="144">
        <v>0</v>
      </c>
      <c r="BL134" s="144">
        <v>0</v>
      </c>
      <c r="BM134" s="144">
        <v>0</v>
      </c>
      <c r="BN134" s="144">
        <v>0</v>
      </c>
      <c r="BO134" s="144">
        <v>0</v>
      </c>
      <c r="BP134" s="144">
        <v>0</v>
      </c>
      <c r="BQ134" s="144">
        <v>0</v>
      </c>
      <c r="BR134" s="144">
        <v>0</v>
      </c>
      <c r="BS134" s="144">
        <v>0</v>
      </c>
      <c r="BT134" s="144">
        <v>0</v>
      </c>
      <c r="BU134" s="144">
        <v>0</v>
      </c>
      <c r="BV134" s="144">
        <v>0</v>
      </c>
      <c r="BW134" s="144">
        <v>0</v>
      </c>
      <c r="BX134" s="144">
        <v>0</v>
      </c>
      <c r="BY134" s="144">
        <v>0</v>
      </c>
      <c r="BZ134" s="144">
        <v>0</v>
      </c>
      <c r="CA134" s="144">
        <v>0</v>
      </c>
      <c r="CB134" s="144">
        <v>0</v>
      </c>
      <c r="CC134" s="144">
        <v>0</v>
      </c>
      <c r="CD134" s="144">
        <v>0</v>
      </c>
      <c r="CE134" s="144">
        <v>0</v>
      </c>
      <c r="CF134" s="144">
        <v>0</v>
      </c>
      <c r="CG134" s="144">
        <v>0</v>
      </c>
      <c r="CH134" s="144">
        <v>0</v>
      </c>
      <c r="CI134" s="144">
        <v>0</v>
      </c>
      <c r="CJ134" s="144">
        <v>0</v>
      </c>
      <c r="CK134" s="144">
        <v>0</v>
      </c>
      <c r="CL134" s="144">
        <v>0</v>
      </c>
      <c r="CM134" s="144">
        <v>0</v>
      </c>
      <c r="CN134" s="144">
        <v>0</v>
      </c>
      <c r="CO134" s="144">
        <v>0</v>
      </c>
      <c r="CP134" s="144">
        <v>0</v>
      </c>
      <c r="CQ134" s="143">
        <v>0</v>
      </c>
      <c r="CR134" s="145">
        <v>0</v>
      </c>
      <c r="CS134" s="145">
        <v>0</v>
      </c>
      <c r="CT134" s="145">
        <v>0</v>
      </c>
      <c r="CU134" s="145">
        <v>0</v>
      </c>
      <c r="CV134" s="145">
        <v>0</v>
      </c>
      <c r="CW134" s="145">
        <v>0</v>
      </c>
      <c r="CX134" s="145">
        <v>0</v>
      </c>
      <c r="CY134" s="145">
        <v>0</v>
      </c>
      <c r="CZ134" s="145">
        <v>0</v>
      </c>
      <c r="DA134" s="145">
        <v>0</v>
      </c>
      <c r="DB134" s="145">
        <v>0</v>
      </c>
      <c r="DC134" s="145">
        <v>0</v>
      </c>
      <c r="DD134" s="145">
        <v>0</v>
      </c>
      <c r="DE134" s="145">
        <v>0</v>
      </c>
      <c r="DF134" s="145">
        <v>0</v>
      </c>
      <c r="DG134" s="145">
        <v>0</v>
      </c>
      <c r="DH134" s="145">
        <v>8317.3860000000004</v>
      </c>
      <c r="DI134" s="145">
        <v>8569.4279999999999</v>
      </c>
      <c r="DJ134" s="145">
        <v>10837.806</v>
      </c>
      <c r="DK134" s="145">
        <v>7813.3020000000006</v>
      </c>
      <c r="DL134" s="145">
        <v>8569.4279999999999</v>
      </c>
      <c r="DM134" s="145">
        <v>8569.4279999999999</v>
      </c>
      <c r="DN134" s="145">
        <v>8317.3860000000004</v>
      </c>
      <c r="DO134" s="145">
        <v>7057.1760000000004</v>
      </c>
      <c r="DP134" s="145">
        <v>11845.974</v>
      </c>
      <c r="DQ134" s="145">
        <v>8065.3439999999991</v>
      </c>
      <c r="DR134" s="145">
        <v>8310.9120000000003</v>
      </c>
      <c r="DS134" s="145">
        <v>9090.06</v>
      </c>
      <c r="DT134" s="145">
        <v>9869.2080000000005</v>
      </c>
      <c r="DU134" s="145">
        <v>9609.4920000000002</v>
      </c>
      <c r="DV134" s="145">
        <v>8830.3439999999991</v>
      </c>
      <c r="DW134" s="145">
        <v>8570.6280000000006</v>
      </c>
      <c r="DX134" s="145">
        <v>8830.3439999999991</v>
      </c>
      <c r="DY134" s="145">
        <v>8830.3439999999991</v>
      </c>
      <c r="DZ134" s="145">
        <v>10648.356000000002</v>
      </c>
      <c r="EA134" s="145">
        <v>6233.1840000000002</v>
      </c>
      <c r="EB134" s="145">
        <v>11167.788</v>
      </c>
      <c r="EC134" s="145">
        <v>8310.9120000000003</v>
      </c>
      <c r="ED134" s="145">
        <v>9358.44</v>
      </c>
      <c r="EE134" s="145">
        <v>8556.2879999999986</v>
      </c>
      <c r="EF134" s="145">
        <v>11497.512000000001</v>
      </c>
      <c r="EG134" s="145">
        <v>11497.512000000001</v>
      </c>
      <c r="EH134" s="145">
        <v>8556.2879999999986</v>
      </c>
      <c r="EI134" s="145">
        <v>9091.0559999999987</v>
      </c>
      <c r="EJ134" s="145">
        <v>8823.6720000000005</v>
      </c>
      <c r="EK134" s="145">
        <v>9091.0559999999987</v>
      </c>
      <c r="EL134" s="145">
        <v>0</v>
      </c>
      <c r="EM134" s="145">
        <v>0</v>
      </c>
      <c r="EN134" s="145">
        <v>0</v>
      </c>
      <c r="EO134" s="145">
        <v>0</v>
      </c>
      <c r="EP134" s="145">
        <v>0</v>
      </c>
      <c r="EQ134" s="145">
        <v>0</v>
      </c>
      <c r="ER134" s="145">
        <v>0</v>
      </c>
      <c r="ES134" s="145">
        <v>0</v>
      </c>
      <c r="ET134" s="145">
        <v>0</v>
      </c>
      <c r="EU134" s="145">
        <v>0</v>
      </c>
      <c r="EV134" s="145">
        <v>0</v>
      </c>
      <c r="EW134" s="145">
        <v>0</v>
      </c>
      <c r="EX134" s="145">
        <v>0</v>
      </c>
      <c r="EY134" s="145">
        <v>0</v>
      </c>
      <c r="EZ134" s="145">
        <v>0</v>
      </c>
      <c r="FA134" s="145">
        <v>0</v>
      </c>
      <c r="FB134" s="145">
        <v>0</v>
      </c>
      <c r="FC134" s="145">
        <v>0</v>
      </c>
      <c r="FD134" s="145">
        <v>0</v>
      </c>
      <c r="FE134" s="145">
        <v>0</v>
      </c>
      <c r="FF134" s="145">
        <v>0</v>
      </c>
      <c r="FG134" s="145">
        <v>0</v>
      </c>
      <c r="FH134" s="145">
        <v>0</v>
      </c>
      <c r="FI134" s="145">
        <v>0</v>
      </c>
      <c r="FJ134" s="145">
        <v>0</v>
      </c>
      <c r="FK134" s="145">
        <v>0</v>
      </c>
      <c r="FL134" s="145">
        <v>0</v>
      </c>
      <c r="FM134" s="145">
        <v>0</v>
      </c>
      <c r="FN134" s="145">
        <v>0</v>
      </c>
      <c r="FO134" s="145">
        <v>0</v>
      </c>
      <c r="FP134" s="145">
        <v>0</v>
      </c>
      <c r="FQ134" s="145">
        <v>0</v>
      </c>
      <c r="FR134" s="145">
        <v>0</v>
      </c>
      <c r="FS134" s="145">
        <v>0</v>
      </c>
      <c r="FT134" s="145">
        <v>0</v>
      </c>
      <c r="FU134" s="145">
        <v>0</v>
      </c>
      <c r="FV134" s="145">
        <v>0</v>
      </c>
      <c r="FW134" s="145">
        <v>0</v>
      </c>
      <c r="FX134" s="143"/>
      <c r="FY134" s="146" t="str">
        <f>_xlfn.XLOOKUP($E134,'Key assumptions'!$B$112:$B$120,'Key assumptions'!$C$112:$C$120,0)</f>
        <v>Nominal</v>
      </c>
      <c r="FZ134" s="146" cm="1">
        <f t="array" ref="FZ134">IF($FY134=0,0,_xlfn.IFS($FY134='Key assumptions'!$C$120,_xlfn.XLOOKUP(LEFT(FZ$7,6),Inflation_Year,Inflation_NominaltoReal),TRUE,_xlfn.XLOOKUP($FY134,Inflation_Year,NominaltoReal)))</f>
        <v>1.0197075870962191</v>
      </c>
      <c r="GA134" s="146" cm="1">
        <f t="array" ref="GA134">IF($FY134=0,0,_xlfn.IFS($FY134='Key assumptions'!$C$120,_xlfn.XLOOKUP(LEFT(GA$7,6),Inflation_Year,Inflation_NominaltoReal),TRUE,_xlfn.XLOOKUP($FY134,Inflation_Year,NominaltoReal)))</f>
        <v>0.98700804022984445</v>
      </c>
      <c r="GB134" s="146" cm="1">
        <f t="array" ref="GB134">IF($FY134=0,0,_xlfn.IFS($FY134='Key assumptions'!$C$120,_xlfn.XLOOKUP(LEFT(GB$7,6),Inflation_Year,Inflation_NominaltoReal),TRUE,_xlfn.XLOOKUP($FY134,Inflation_Year,NominaltoReal)))</f>
        <v>0.96152830081941731</v>
      </c>
      <c r="GC134" s="146" cm="1">
        <f t="array" ref="GC134">IF($FY134=0,0,_xlfn.IFS($FY134='Key assumptions'!$C$120,_xlfn.XLOOKUP(LEFT(GC$7,6),Inflation_Year,Inflation_NominaltoReal),TRUE,_xlfn.XLOOKUP($FY134,Inflation_Year,NominaltoReal)))</f>
        <v>0.93670632415656829</v>
      </c>
      <c r="GD134" s="146" cm="1">
        <f t="array" ref="GD134">IF($FY134=0,0,_xlfn.IFS($FY134='Key assumptions'!$C$120,_xlfn.XLOOKUP(LEFT(GD$7,6),Inflation_Year,Inflation_NominaltoReal),TRUE,_xlfn.XLOOKUP($FY134,Inflation_Year,NominaltoReal)))</f>
        <v>0.91252513001143176</v>
      </c>
      <c r="GE134" s="146" cm="1">
        <f t="array" ref="GE134">IF($FY134=0,0,_xlfn.IFS($FY134='Key assumptions'!$C$120,_xlfn.XLOOKUP(LEFT(GE$7,6),Inflation_Year,Inflation_NominaltoReal),TRUE,_xlfn.XLOOKUP($FY134,Inflation_Year,NominaltoReal)))</f>
        <v>0.88896817650095872</v>
      </c>
      <c r="GF134" s="146" cm="1">
        <f t="array" ref="GF134">IF($FY134=0,0,_xlfn.IFS($FY134='Key assumptions'!$C$120,_xlfn.XLOOKUP(LEFT(GF$7,6),Inflation_Year,Inflation_NominaltoReal),TRUE,_xlfn.XLOOKUP($FY134,Inflation_Year,NominaltoReal)))</f>
        <v>0.86601934877293718</v>
      </c>
      <c r="GG134" s="143"/>
      <c r="GH134" s="145" cm="1">
        <f t="array" ref="GH134">SUMPRODUCT(--($CR$7:$FW$7&gt;=GH$5),--($CR$7:$FW$7&lt;=GH$6),$CR134:$FW134)*FZ134</f>
        <v>44976.599441708422</v>
      </c>
      <c r="GI134" s="145" cm="1">
        <f t="array" ref="GI134">SUMPRODUCT(--($CR$7:$FW$7&gt;=GI$5),--($CR$7:$FW$7&lt;=GI$6),$CR134:$FW134)*GA134</f>
        <v>105576.59418560544</v>
      </c>
      <c r="GJ134" s="145" cm="1">
        <f t="array" ref="GJ134">SUMPRODUCT(--($CR$7:$FW$7&gt;=GJ$5),--($CR$7:$FW$7&lt;=GJ$6),$CR134:$FW134)*GB134</f>
        <v>108240.54080950453</v>
      </c>
      <c r="GK134" s="145" cm="1">
        <f t="array" ref="GK134">SUMPRODUCT(--($CR$7:$FW$7&gt;=GK$5),--($CR$7:$FW$7&lt;=GK$6),$CR134:$FW134)*GC134</f>
        <v>8515.6496484615145</v>
      </c>
      <c r="GL134" s="145" cm="1">
        <f t="array" ref="GL134">SUMPRODUCT(--($CR$7:$FW$7&gt;=GL$5),--($CR$7:$FW$7&lt;=GL$6),$CR134:$FW134)*GD134</f>
        <v>0</v>
      </c>
      <c r="GM134" s="145" cm="1">
        <f t="array" ref="GM134">SUMPRODUCT(--($CR$7:$FW$7&gt;=GM$5),--($CR$7:$FW$7&lt;=GM$6),$CR134:$FW134)*GE134</f>
        <v>0</v>
      </c>
      <c r="GN134" s="145" cm="1">
        <f t="array" ref="GN134">SUMPRODUCT(--($CR$7:$FW$7&gt;=GN$5),--($CR$7:$FW$7&lt;=GN$6),$CR134:$FW134)*GF134</f>
        <v>0</v>
      </c>
      <c r="GO134" s="145">
        <f t="shared" si="23"/>
        <v>267309.38408527989</v>
      </c>
      <c r="GP134" s="87"/>
      <c r="GR134" s="145" cm="1">
        <f t="array" ref="GR134">SUMPRODUCT(--($CR$7:$FW$7&gt;=GR$5),--($CR$7:$FW$7&lt;=GR$6),$CR134:$FW134)</f>
        <v>16886.813999999998</v>
      </c>
      <c r="GT134" s="214" cm="1">
        <f t="array" ref="GT134">--AND(MIN(IF($K134:$CP134&lt;&gt;0,$K$7:$CP$7))&gt;=GT$5,MIN(IF($K134:$CP134&lt;&gt;0,$K$7:$CP$7))&lt;=GT$6)</f>
        <v>1</v>
      </c>
      <c r="GU134" s="214" cm="1">
        <f t="array" ref="GU134">--AND(MIN(IF($K134:$CP134&lt;&gt;0,$K$7:$CP$7))&gt;=GU$5,MIN(IF($K134:$CP134&lt;&gt;0,$K$7:$CP$7))&lt;=GU$6)</f>
        <v>0</v>
      </c>
      <c r="GV134" s="214" cm="1">
        <f t="array" ref="GV134">--AND(MIN(IF($K134:$CP134&lt;&gt;0,$K$7:$CP$7))&gt;=GV$5,MIN(IF($K134:$CP134&lt;&gt;0,$K$7:$CP$7))&lt;=GV$6)</f>
        <v>0</v>
      </c>
      <c r="GW134" s="214" cm="1">
        <f t="array" ref="GW134">--AND(MIN(IF($K134:$CP134&lt;&gt;0,$K$7:$CP$7))&gt;=GW$5,MIN(IF($K134:$CP134&lt;&gt;0,$K$7:$CP$7))&lt;=GW$6)</f>
        <v>0</v>
      </c>
      <c r="GX134" s="214" cm="1">
        <f t="array" ref="GX134">--AND(MIN(IF($K134:$CP134&lt;&gt;0,$K$7:$CP$7))&gt;=GX$5,MIN(IF($K134:$CP134&lt;&gt;0,$K$7:$CP$7))&lt;=GX$6)</f>
        <v>0</v>
      </c>
      <c r="GY134" s="214" cm="1">
        <f t="array" ref="GY134">--AND(MIN(IF($K134:$CP134&lt;&gt;0,$K$7:$CP$7))&gt;=GY$5,MIN(IF($K134:$CP134&lt;&gt;0,$K$7:$CP$7))&lt;=GY$6)</f>
        <v>0</v>
      </c>
      <c r="GZ134" s="214" cm="1">
        <f t="array" ref="GZ134">--AND(MIN(IF($K134:$CP134&lt;&gt;0,$K$7:$CP$7))&gt;=GZ$5,MIN(IF($K134:$CP134&lt;&gt;0,$K$7:$CP$7))&lt;=GZ$6)</f>
        <v>0</v>
      </c>
      <c r="HA134" s="214">
        <f t="shared" si="24"/>
        <v>1</v>
      </c>
      <c r="HC134" s="214" cm="1">
        <f t="array" ref="HC134">--AND(MIN(IF($K134:$CP134&lt;&gt;0,$K$7:$CP$7))&gt;=HC$5,MIN(IF($K134:$CP134&lt;&gt;0,$K$7:$CP$7))&lt;=HC$6)</f>
        <v>1</v>
      </c>
      <c r="HE134" s="147" t="str">
        <f t="shared" si="43"/>
        <v>No</v>
      </c>
      <c r="HF134" s="147" t="str">
        <f t="shared" si="44"/>
        <v>Yes</v>
      </c>
      <c r="HG134" s="147">
        <f>IF($HF134="Yes",0,$H134*avg_hrs*12*'Key assumptions'!$D$87)</f>
        <v>0</v>
      </c>
      <c r="HH134" s="147">
        <f>IF(HE134="Yes",'Key assumptions'!$D$84*HG134,0)</f>
        <v>0</v>
      </c>
      <c r="HI134" s="144">
        <f>IFERROR(AVERAGEIFS($K134:$CP134,$K$7:$CP$7,"&gt;="&amp;'Key assumptions'!$D$24,$K$7:$CP$7,"&lt;="&amp;'Key assumptions'!$D$25),0)</f>
        <v>0.10750000000000001</v>
      </c>
      <c r="HJ134" s="148">
        <f t="shared" si="45"/>
        <v>0</v>
      </c>
      <c r="HK134" s="148">
        <f t="shared" si="26"/>
        <v>0</v>
      </c>
      <c r="HL134" s="148">
        <f t="shared" si="27"/>
        <v>0</v>
      </c>
      <c r="HM134" s="148">
        <f t="shared" si="28"/>
        <v>0</v>
      </c>
      <c r="HN134" s="148">
        <f t="shared" si="29"/>
        <v>0</v>
      </c>
      <c r="HO134" s="148">
        <f t="shared" si="30"/>
        <v>0</v>
      </c>
      <c r="HP134" s="148">
        <f t="shared" si="31"/>
        <v>0</v>
      </c>
      <c r="HQ134" s="148">
        <f t="shared" si="32"/>
        <v>0</v>
      </c>
      <c r="HR134" s="147">
        <f t="shared" si="33"/>
        <v>0</v>
      </c>
      <c r="HU134" s="147">
        <f>$HJ134*HC134/(1+'Key assumptions'!G156)^0.75</f>
        <v>0</v>
      </c>
      <c r="HW134" s="216">
        <f t="shared" si="34"/>
        <v>0.10750000000000001</v>
      </c>
      <c r="HX134" s="216">
        <f t="shared" si="35"/>
        <v>0</v>
      </c>
      <c r="HY134" s="216">
        <f t="shared" si="36"/>
        <v>0</v>
      </c>
      <c r="HZ134" s="216">
        <f t="shared" si="37"/>
        <v>0</v>
      </c>
      <c r="IA134" s="216">
        <f t="shared" si="38"/>
        <v>0</v>
      </c>
      <c r="IB134" s="216">
        <f t="shared" si="39"/>
        <v>0</v>
      </c>
      <c r="IC134" s="216">
        <f t="shared" si="40"/>
        <v>0</v>
      </c>
      <c r="ID134" s="216">
        <f t="shared" si="41"/>
        <v>0.10750000000000001</v>
      </c>
      <c r="IF134" s="216">
        <f t="shared" si="42"/>
        <v>0.10750000000000001</v>
      </c>
    </row>
    <row r="135" spans="2:240" x14ac:dyDescent="0.2">
      <c r="B135" s="141" t="str">
        <v>Project Delivery Management - Commissioning</v>
      </c>
      <c r="C135" s="141" t="str">
        <v>Commissioning Engineer (Construction)</v>
      </c>
      <c r="D135" s="141" t="str">
        <v>Internal Labour</v>
      </c>
      <c r="E135" s="141" t="str">
        <v>$ Nominal</v>
      </c>
      <c r="F135" s="141" t="str">
        <v>Existing</v>
      </c>
      <c r="G135" s="141" t="str">
        <v>Normal time</v>
      </c>
      <c r="H135" s="142">
        <v>210.04</v>
      </c>
      <c r="I135" s="126">
        <v>100870.81999999999</v>
      </c>
      <c r="J135" s="143">
        <v>0</v>
      </c>
      <c r="K135" s="144">
        <v>0</v>
      </c>
      <c r="L135" s="144">
        <v>0</v>
      </c>
      <c r="M135" s="144">
        <v>0</v>
      </c>
      <c r="N135" s="144">
        <v>0</v>
      </c>
      <c r="O135" s="144">
        <v>0</v>
      </c>
      <c r="P135" s="144">
        <v>0</v>
      </c>
      <c r="Q135" s="144">
        <v>0</v>
      </c>
      <c r="R135" s="144">
        <v>0</v>
      </c>
      <c r="S135" s="144">
        <v>0</v>
      </c>
      <c r="T135" s="144">
        <v>0</v>
      </c>
      <c r="U135" s="144">
        <v>0</v>
      </c>
      <c r="V135" s="144">
        <v>0</v>
      </c>
      <c r="W135" s="144">
        <v>0</v>
      </c>
      <c r="X135" s="144">
        <v>0</v>
      </c>
      <c r="Y135" s="144">
        <v>0</v>
      </c>
      <c r="Z135" s="144">
        <v>0</v>
      </c>
      <c r="AA135" s="144">
        <v>0</v>
      </c>
      <c r="AB135" s="144">
        <v>0</v>
      </c>
      <c r="AC135" s="144">
        <v>0</v>
      </c>
      <c r="AD135" s="144">
        <v>0</v>
      </c>
      <c r="AE135" s="144">
        <v>0</v>
      </c>
      <c r="AF135" s="144">
        <v>0</v>
      </c>
      <c r="AG135" s="144">
        <v>0</v>
      </c>
      <c r="AH135" s="144">
        <v>0</v>
      </c>
      <c r="AI135" s="144">
        <v>0</v>
      </c>
      <c r="AJ135" s="144">
        <v>0.5</v>
      </c>
      <c r="AK135" s="144">
        <v>0.21428571428571427</v>
      </c>
      <c r="AL135" s="144">
        <v>0.33333333333333331</v>
      </c>
      <c r="AM135" s="144">
        <v>0.23026315789473684</v>
      </c>
      <c r="AN135" s="144">
        <v>0</v>
      </c>
      <c r="AO135" s="144">
        <v>0</v>
      </c>
      <c r="AP135" s="144">
        <v>0</v>
      </c>
      <c r="AQ135" s="144">
        <v>0</v>
      </c>
      <c r="AR135" s="144">
        <v>0</v>
      </c>
      <c r="AS135" s="144">
        <v>0</v>
      </c>
      <c r="AT135" s="144">
        <v>0</v>
      </c>
      <c r="AU135" s="144">
        <v>0</v>
      </c>
      <c r="AV135" s="144">
        <v>1.1000000000000001</v>
      </c>
      <c r="AW135" s="144">
        <v>0</v>
      </c>
      <c r="AX135" s="144">
        <v>0</v>
      </c>
      <c r="AY135" s="144">
        <v>0.46052631578947367</v>
      </c>
      <c r="AZ135" s="144">
        <v>0.46052631578947367</v>
      </c>
      <c r="BA135" s="144">
        <v>0</v>
      </c>
      <c r="BB135" s="144">
        <v>0</v>
      </c>
      <c r="BC135" s="144">
        <v>0</v>
      </c>
      <c r="BD135" s="144">
        <v>0</v>
      </c>
      <c r="BE135" s="144">
        <v>0</v>
      </c>
      <c r="BF135" s="144">
        <v>0</v>
      </c>
      <c r="BG135" s="144">
        <v>0</v>
      </c>
      <c r="BH135" s="144">
        <v>0</v>
      </c>
      <c r="BI135" s="144">
        <v>0</v>
      </c>
      <c r="BJ135" s="144">
        <v>0</v>
      </c>
      <c r="BK135" s="144">
        <v>0</v>
      </c>
      <c r="BL135" s="144">
        <v>0</v>
      </c>
      <c r="BM135" s="144">
        <v>0</v>
      </c>
      <c r="BN135" s="144">
        <v>0</v>
      </c>
      <c r="BO135" s="144">
        <v>0</v>
      </c>
      <c r="BP135" s="144">
        <v>0</v>
      </c>
      <c r="BQ135" s="144">
        <v>0</v>
      </c>
      <c r="BR135" s="144">
        <v>0</v>
      </c>
      <c r="BS135" s="144">
        <v>0</v>
      </c>
      <c r="BT135" s="144">
        <v>0</v>
      </c>
      <c r="BU135" s="144">
        <v>0</v>
      </c>
      <c r="BV135" s="144">
        <v>0</v>
      </c>
      <c r="BW135" s="144">
        <v>0</v>
      </c>
      <c r="BX135" s="144">
        <v>0</v>
      </c>
      <c r="BY135" s="144">
        <v>0</v>
      </c>
      <c r="BZ135" s="144">
        <v>0</v>
      </c>
      <c r="CA135" s="144">
        <v>0</v>
      </c>
      <c r="CB135" s="144">
        <v>0</v>
      </c>
      <c r="CC135" s="144">
        <v>0</v>
      </c>
      <c r="CD135" s="144">
        <v>0</v>
      </c>
      <c r="CE135" s="144">
        <v>0</v>
      </c>
      <c r="CF135" s="144">
        <v>0</v>
      </c>
      <c r="CG135" s="144">
        <v>0</v>
      </c>
      <c r="CH135" s="144">
        <v>0</v>
      </c>
      <c r="CI135" s="144">
        <v>0</v>
      </c>
      <c r="CJ135" s="144">
        <v>0</v>
      </c>
      <c r="CK135" s="144">
        <v>0</v>
      </c>
      <c r="CL135" s="144">
        <v>0</v>
      </c>
      <c r="CM135" s="144">
        <v>0</v>
      </c>
      <c r="CN135" s="144">
        <v>0</v>
      </c>
      <c r="CO135" s="144">
        <v>0</v>
      </c>
      <c r="CP135" s="144">
        <v>0</v>
      </c>
      <c r="CQ135" s="143">
        <v>0</v>
      </c>
      <c r="CR135" s="145">
        <v>0</v>
      </c>
      <c r="CS135" s="145">
        <v>0</v>
      </c>
      <c r="CT135" s="145">
        <v>0</v>
      </c>
      <c r="CU135" s="145">
        <v>0</v>
      </c>
      <c r="CV135" s="145">
        <v>0</v>
      </c>
      <c r="CW135" s="145">
        <v>0</v>
      </c>
      <c r="CX135" s="145">
        <v>0</v>
      </c>
      <c r="CY135" s="145">
        <v>0</v>
      </c>
      <c r="CZ135" s="145">
        <v>0</v>
      </c>
      <c r="DA135" s="145">
        <v>0</v>
      </c>
      <c r="DB135" s="145">
        <v>0</v>
      </c>
      <c r="DC135" s="145">
        <v>0</v>
      </c>
      <c r="DD135" s="145">
        <v>0</v>
      </c>
      <c r="DE135" s="145">
        <v>0</v>
      </c>
      <c r="DF135" s="145">
        <v>0</v>
      </c>
      <c r="DG135" s="145">
        <v>0</v>
      </c>
      <c r="DH135" s="145">
        <v>0</v>
      </c>
      <c r="DI135" s="145">
        <v>0</v>
      </c>
      <c r="DJ135" s="145">
        <v>0</v>
      </c>
      <c r="DK135" s="145">
        <v>0</v>
      </c>
      <c r="DL135" s="145">
        <v>0</v>
      </c>
      <c r="DM135" s="145">
        <v>0</v>
      </c>
      <c r="DN135" s="145">
        <v>0</v>
      </c>
      <c r="DO135" s="145">
        <v>0</v>
      </c>
      <c r="DP135" s="145">
        <v>0</v>
      </c>
      <c r="DQ135" s="145">
        <v>14702.8</v>
      </c>
      <c r="DR135" s="145">
        <v>6492.9000000000005</v>
      </c>
      <c r="DS135" s="145">
        <v>7575.05</v>
      </c>
      <c r="DT135" s="145">
        <v>7575.05</v>
      </c>
      <c r="DU135" s="145">
        <v>0</v>
      </c>
      <c r="DV135" s="145">
        <v>0</v>
      </c>
      <c r="DW135" s="145">
        <v>0</v>
      </c>
      <c r="DX135" s="145">
        <v>0</v>
      </c>
      <c r="DY135" s="145">
        <v>0</v>
      </c>
      <c r="DZ135" s="145">
        <v>0</v>
      </c>
      <c r="EA135" s="145">
        <v>0</v>
      </c>
      <c r="EB135" s="145">
        <v>0</v>
      </c>
      <c r="EC135" s="145">
        <v>33330.22</v>
      </c>
      <c r="ED135" s="145">
        <v>0</v>
      </c>
      <c r="EE135" s="145">
        <v>0</v>
      </c>
      <c r="EF135" s="145">
        <v>15597.4</v>
      </c>
      <c r="EG135" s="145">
        <v>15597.4</v>
      </c>
      <c r="EH135" s="145">
        <v>0</v>
      </c>
      <c r="EI135" s="145">
        <v>0</v>
      </c>
      <c r="EJ135" s="145">
        <v>0</v>
      </c>
      <c r="EK135" s="145">
        <v>0</v>
      </c>
      <c r="EL135" s="145">
        <v>0</v>
      </c>
      <c r="EM135" s="145">
        <v>0</v>
      </c>
      <c r="EN135" s="145">
        <v>0</v>
      </c>
      <c r="EO135" s="145">
        <v>0</v>
      </c>
      <c r="EP135" s="145">
        <v>0</v>
      </c>
      <c r="EQ135" s="145">
        <v>0</v>
      </c>
      <c r="ER135" s="145">
        <v>0</v>
      </c>
      <c r="ES135" s="145">
        <v>0</v>
      </c>
      <c r="ET135" s="145">
        <v>0</v>
      </c>
      <c r="EU135" s="145">
        <v>0</v>
      </c>
      <c r="EV135" s="145">
        <v>0</v>
      </c>
      <c r="EW135" s="145">
        <v>0</v>
      </c>
      <c r="EX135" s="145">
        <v>0</v>
      </c>
      <c r="EY135" s="145">
        <v>0</v>
      </c>
      <c r="EZ135" s="145">
        <v>0</v>
      </c>
      <c r="FA135" s="145">
        <v>0</v>
      </c>
      <c r="FB135" s="145">
        <v>0</v>
      </c>
      <c r="FC135" s="145">
        <v>0</v>
      </c>
      <c r="FD135" s="145">
        <v>0</v>
      </c>
      <c r="FE135" s="145">
        <v>0</v>
      </c>
      <c r="FF135" s="145">
        <v>0</v>
      </c>
      <c r="FG135" s="145">
        <v>0</v>
      </c>
      <c r="FH135" s="145">
        <v>0</v>
      </c>
      <c r="FI135" s="145">
        <v>0</v>
      </c>
      <c r="FJ135" s="145">
        <v>0</v>
      </c>
      <c r="FK135" s="145">
        <v>0</v>
      </c>
      <c r="FL135" s="145">
        <v>0</v>
      </c>
      <c r="FM135" s="145">
        <v>0</v>
      </c>
      <c r="FN135" s="145">
        <v>0</v>
      </c>
      <c r="FO135" s="145">
        <v>0</v>
      </c>
      <c r="FP135" s="145">
        <v>0</v>
      </c>
      <c r="FQ135" s="145">
        <v>0</v>
      </c>
      <c r="FR135" s="145">
        <v>0</v>
      </c>
      <c r="FS135" s="145">
        <v>0</v>
      </c>
      <c r="FT135" s="145">
        <v>0</v>
      </c>
      <c r="FU135" s="145">
        <v>0</v>
      </c>
      <c r="FV135" s="145">
        <v>0</v>
      </c>
      <c r="FW135" s="145">
        <v>0</v>
      </c>
      <c r="FX135" s="143"/>
      <c r="FY135" s="146" t="str">
        <f>_xlfn.XLOOKUP($E135,'Key assumptions'!$B$112:$B$120,'Key assumptions'!$C$112:$C$120,0)</f>
        <v>Nominal</v>
      </c>
      <c r="FZ135" s="146" cm="1">
        <f t="array" ref="FZ135">IF($FY135=0,0,_xlfn.IFS($FY135='Key assumptions'!$C$120,_xlfn.XLOOKUP(LEFT(FZ$7,6),Inflation_Year,Inflation_NominaltoReal),TRUE,_xlfn.XLOOKUP($FY135,Inflation_Year,NominaltoReal)))</f>
        <v>1.0197075870962191</v>
      </c>
      <c r="GA135" s="146" cm="1">
        <f t="array" ref="GA135">IF($FY135=0,0,_xlfn.IFS($FY135='Key assumptions'!$C$120,_xlfn.XLOOKUP(LEFT(GA$7,6),Inflation_Year,Inflation_NominaltoReal),TRUE,_xlfn.XLOOKUP($FY135,Inflation_Year,NominaltoReal)))</f>
        <v>0.98700804022984445</v>
      </c>
      <c r="GB135" s="146" cm="1">
        <f t="array" ref="GB135">IF($FY135=0,0,_xlfn.IFS($FY135='Key assumptions'!$C$120,_xlfn.XLOOKUP(LEFT(GB$7,6),Inflation_Year,Inflation_NominaltoReal),TRUE,_xlfn.XLOOKUP($FY135,Inflation_Year,NominaltoReal)))</f>
        <v>0.96152830081941731</v>
      </c>
      <c r="GC135" s="146" cm="1">
        <f t="array" ref="GC135">IF($FY135=0,0,_xlfn.IFS($FY135='Key assumptions'!$C$120,_xlfn.XLOOKUP(LEFT(GC$7,6),Inflation_Year,Inflation_NominaltoReal),TRUE,_xlfn.XLOOKUP($FY135,Inflation_Year,NominaltoReal)))</f>
        <v>0.93670632415656829</v>
      </c>
      <c r="GD135" s="146" cm="1">
        <f t="array" ref="GD135">IF($FY135=0,0,_xlfn.IFS($FY135='Key assumptions'!$C$120,_xlfn.XLOOKUP(LEFT(GD$7,6),Inflation_Year,Inflation_NominaltoReal),TRUE,_xlfn.XLOOKUP($FY135,Inflation_Year,NominaltoReal)))</f>
        <v>0.91252513001143176</v>
      </c>
      <c r="GE135" s="146" cm="1">
        <f t="array" ref="GE135">IF($FY135=0,0,_xlfn.IFS($FY135='Key assumptions'!$C$120,_xlfn.XLOOKUP(LEFT(GE$7,6),Inflation_Year,Inflation_NominaltoReal),TRUE,_xlfn.XLOOKUP($FY135,Inflation_Year,NominaltoReal)))</f>
        <v>0.88896817650095872</v>
      </c>
      <c r="GF135" s="146" cm="1">
        <f t="array" ref="GF135">IF($FY135=0,0,_xlfn.IFS($FY135='Key assumptions'!$C$120,_xlfn.XLOOKUP(LEFT(GF$7,6),Inflation_Year,Inflation_NominaltoReal),TRUE,_xlfn.XLOOKUP($FY135,Inflation_Year,NominaltoReal)))</f>
        <v>0.86601934877293718</v>
      </c>
      <c r="GG135" s="143"/>
      <c r="GH135" s="145" cm="1">
        <f t="array" ref="GH135">SUMPRODUCT(--($CR$7:$FW$7&gt;=GH$5),--($CR$7:$FW$7&lt;=GH$6),$CR135:$FW135)*FZ135</f>
        <v>0</v>
      </c>
      <c r="GI135" s="145" cm="1">
        <f t="array" ref="GI135">SUMPRODUCT(--($CR$7:$FW$7&gt;=GI$5),--($CR$7:$FW$7&lt;=GI$6),$CR135:$FW135)*GA135</f>
        <v>35873.596828585883</v>
      </c>
      <c r="GJ135" s="145" cm="1">
        <f t="array" ref="GJ135">SUMPRODUCT(--($CR$7:$FW$7&gt;=GJ$5),--($CR$7:$FW$7&lt;=GJ$6),$CR135:$FW135)*GB135</f>
        <v>62042.632840938924</v>
      </c>
      <c r="GK135" s="145" cm="1">
        <f t="array" ref="GK135">SUMPRODUCT(--($CR$7:$FW$7&gt;=GK$5),--($CR$7:$FW$7&lt;=GK$6),$CR135:$FW135)*GC135</f>
        <v>0</v>
      </c>
      <c r="GL135" s="145" cm="1">
        <f t="array" ref="GL135">SUMPRODUCT(--($CR$7:$FW$7&gt;=GL$5),--($CR$7:$FW$7&lt;=GL$6),$CR135:$FW135)*GD135</f>
        <v>0</v>
      </c>
      <c r="GM135" s="145" cm="1">
        <f t="array" ref="GM135">SUMPRODUCT(--($CR$7:$FW$7&gt;=GM$5),--($CR$7:$FW$7&lt;=GM$6),$CR135:$FW135)*GE135</f>
        <v>0</v>
      </c>
      <c r="GN135" s="145" cm="1">
        <f t="array" ref="GN135">SUMPRODUCT(--($CR$7:$FW$7&gt;=GN$5),--($CR$7:$FW$7&lt;=GN$6),$CR135:$FW135)*GF135</f>
        <v>0</v>
      </c>
      <c r="GO135" s="145">
        <f t="shared" si="23"/>
        <v>97916.229669524808</v>
      </c>
      <c r="GP135" s="87"/>
      <c r="GR135" s="145" cm="1">
        <f t="array" ref="GR135">SUMPRODUCT(--($CR$7:$FW$7&gt;=GR$5),--($CR$7:$FW$7&lt;=GR$6),$CR135:$FW135)</f>
        <v>0</v>
      </c>
      <c r="GT135" s="214" cm="1">
        <f t="array" ref="GT135">--AND(MIN(IF($K135:$CP135&lt;&gt;0,$K$7:$CP$7))&gt;=GT$5,MIN(IF($K135:$CP135&lt;&gt;0,$K$7:$CP$7))&lt;=GT$6)</f>
        <v>0</v>
      </c>
      <c r="GU135" s="214" cm="1">
        <f t="array" ref="GU135">--AND(MIN(IF($K135:$CP135&lt;&gt;0,$K$7:$CP$7))&gt;=GU$5,MIN(IF($K135:$CP135&lt;&gt;0,$K$7:$CP$7))&lt;=GU$6)</f>
        <v>1</v>
      </c>
      <c r="GV135" s="214" cm="1">
        <f t="array" ref="GV135">--AND(MIN(IF($K135:$CP135&lt;&gt;0,$K$7:$CP$7))&gt;=GV$5,MIN(IF($K135:$CP135&lt;&gt;0,$K$7:$CP$7))&lt;=GV$6)</f>
        <v>0</v>
      </c>
      <c r="GW135" s="214" cm="1">
        <f t="array" ref="GW135">--AND(MIN(IF($K135:$CP135&lt;&gt;0,$K$7:$CP$7))&gt;=GW$5,MIN(IF($K135:$CP135&lt;&gt;0,$K$7:$CP$7))&lt;=GW$6)</f>
        <v>0</v>
      </c>
      <c r="GX135" s="214" cm="1">
        <f t="array" ref="GX135">--AND(MIN(IF($K135:$CP135&lt;&gt;0,$K$7:$CP$7))&gt;=GX$5,MIN(IF($K135:$CP135&lt;&gt;0,$K$7:$CP$7))&lt;=GX$6)</f>
        <v>0</v>
      </c>
      <c r="GY135" s="214" cm="1">
        <f t="array" ref="GY135">--AND(MIN(IF($K135:$CP135&lt;&gt;0,$K$7:$CP$7))&gt;=GY$5,MIN(IF($K135:$CP135&lt;&gt;0,$K$7:$CP$7))&lt;=GY$6)</f>
        <v>0</v>
      </c>
      <c r="GZ135" s="214" cm="1">
        <f t="array" ref="GZ135">--AND(MIN(IF($K135:$CP135&lt;&gt;0,$K$7:$CP$7))&gt;=GZ$5,MIN(IF($K135:$CP135&lt;&gt;0,$K$7:$CP$7))&lt;=GZ$6)</f>
        <v>0</v>
      </c>
      <c r="HA135" s="214">
        <f t="shared" si="24"/>
        <v>1</v>
      </c>
      <c r="HC135" s="214" cm="1">
        <f t="array" ref="HC135">--AND(MIN(IF($K135:$CP135&lt;&gt;0,$K$7:$CP$7))&gt;=HC$5,MIN(IF($K135:$CP135&lt;&gt;0,$K$7:$CP$7))&lt;=HC$6)</f>
        <v>0</v>
      </c>
      <c r="HE135" s="147" t="str">
        <f t="shared" si="43"/>
        <v>No</v>
      </c>
      <c r="HF135" s="147" t="str">
        <f t="shared" si="44"/>
        <v>No</v>
      </c>
      <c r="HG135" s="147">
        <f>IF($HF135="Yes",0,$H135*avg_hrs*12*'Key assumptions'!$D$87)</f>
        <v>375608.02275576669</v>
      </c>
      <c r="HH135" s="147">
        <f>IF(HE135="Yes",'Key assumptions'!$D$84*HG135,0)</f>
        <v>0</v>
      </c>
      <c r="HI135" s="144">
        <f>IFERROR(AVERAGEIFS($K135:$CP135,$K$7:$CP$7,"&gt;="&amp;'Key assumptions'!$D$24,$K$7:$CP$7,"&lt;="&amp;'Key assumptions'!$D$25),0)</f>
        <v>7.4975791752107543E-2</v>
      </c>
      <c r="HJ135" s="148">
        <f t="shared" si="45"/>
        <v>0</v>
      </c>
      <c r="HK135" s="148">
        <f t="shared" si="26"/>
        <v>0</v>
      </c>
      <c r="HL135" s="148">
        <f t="shared" si="27"/>
        <v>0</v>
      </c>
      <c r="HM135" s="148">
        <f t="shared" si="28"/>
        <v>0</v>
      </c>
      <c r="HN135" s="148">
        <f t="shared" si="29"/>
        <v>0</v>
      </c>
      <c r="HO135" s="148">
        <f t="shared" si="30"/>
        <v>0</v>
      </c>
      <c r="HP135" s="148">
        <f t="shared" si="31"/>
        <v>0</v>
      </c>
      <c r="HQ135" s="148">
        <f t="shared" si="32"/>
        <v>0</v>
      </c>
      <c r="HR135" s="147">
        <f t="shared" si="33"/>
        <v>0</v>
      </c>
      <c r="HU135" s="147">
        <f>$HJ135*HC135/(1+'Key assumptions'!G157)^0.75</f>
        <v>0</v>
      </c>
      <c r="HW135" s="216">
        <f t="shared" si="34"/>
        <v>0</v>
      </c>
      <c r="HX135" s="216">
        <f t="shared" si="35"/>
        <v>7.4975791752107543E-2</v>
      </c>
      <c r="HY135" s="216">
        <f t="shared" si="36"/>
        <v>0</v>
      </c>
      <c r="HZ135" s="216">
        <f t="shared" si="37"/>
        <v>0</v>
      </c>
      <c r="IA135" s="216">
        <f t="shared" si="38"/>
        <v>0</v>
      </c>
      <c r="IB135" s="216">
        <f t="shared" si="39"/>
        <v>0</v>
      </c>
      <c r="IC135" s="216">
        <f t="shared" si="40"/>
        <v>0</v>
      </c>
      <c r="ID135" s="216">
        <f t="shared" si="41"/>
        <v>7.4975791752107543E-2</v>
      </c>
      <c r="IF135" s="216">
        <f t="shared" si="42"/>
        <v>0</v>
      </c>
    </row>
    <row r="136" spans="2:240" x14ac:dyDescent="0.2">
      <c r="B136" s="141" t="str">
        <v>Project Delivery Management - Commissioning</v>
      </c>
      <c r="C136" s="141" t="str">
        <v>Commissioning Engineer (Construction)</v>
      </c>
      <c r="D136" s="141" t="str">
        <v>Internal Labour</v>
      </c>
      <c r="E136" s="141" t="str">
        <v>$ Nominal</v>
      </c>
      <c r="F136" s="141">
        <v>0</v>
      </c>
      <c r="G136" s="141" t="str">
        <v>Overtime</v>
      </c>
      <c r="H136" s="142">
        <v>210.04</v>
      </c>
      <c r="I136" s="126">
        <v>73969.3</v>
      </c>
      <c r="J136" s="143">
        <v>0</v>
      </c>
      <c r="K136" s="144">
        <v>0</v>
      </c>
      <c r="L136" s="144">
        <v>0</v>
      </c>
      <c r="M136" s="144">
        <v>0</v>
      </c>
      <c r="N136" s="144">
        <v>0</v>
      </c>
      <c r="O136" s="144">
        <v>0</v>
      </c>
      <c r="P136" s="144">
        <v>0</v>
      </c>
      <c r="Q136" s="144">
        <v>0</v>
      </c>
      <c r="R136" s="144">
        <v>0</v>
      </c>
      <c r="S136" s="144">
        <v>0</v>
      </c>
      <c r="T136" s="144">
        <v>0</v>
      </c>
      <c r="U136" s="144">
        <v>0</v>
      </c>
      <c r="V136" s="144">
        <v>0</v>
      </c>
      <c r="W136" s="144">
        <v>0</v>
      </c>
      <c r="X136" s="144">
        <v>0</v>
      </c>
      <c r="Y136" s="144">
        <v>0</v>
      </c>
      <c r="Z136" s="144">
        <v>0</v>
      </c>
      <c r="AA136" s="144">
        <v>0</v>
      </c>
      <c r="AB136" s="144">
        <v>0</v>
      </c>
      <c r="AC136" s="144">
        <v>0</v>
      </c>
      <c r="AD136" s="144">
        <v>0</v>
      </c>
      <c r="AE136" s="144">
        <v>0</v>
      </c>
      <c r="AF136" s="144">
        <v>0</v>
      </c>
      <c r="AG136" s="144">
        <v>0</v>
      </c>
      <c r="AH136" s="144">
        <v>0</v>
      </c>
      <c r="AI136" s="144">
        <v>0</v>
      </c>
      <c r="AJ136" s="144">
        <v>0.21428571428571427</v>
      </c>
      <c r="AK136" s="144">
        <v>7.1428571428571425E-2</v>
      </c>
      <c r="AL136" s="144">
        <v>9.5238095238095233E-2</v>
      </c>
      <c r="AM136" s="144">
        <v>6.5789473684210523E-2</v>
      </c>
      <c r="AN136" s="144">
        <v>0</v>
      </c>
      <c r="AO136" s="144">
        <v>0</v>
      </c>
      <c r="AP136" s="144">
        <v>0</v>
      </c>
      <c r="AQ136" s="144">
        <v>0</v>
      </c>
      <c r="AR136" s="144">
        <v>0</v>
      </c>
      <c r="AS136" s="144">
        <v>0</v>
      </c>
      <c r="AT136" s="144">
        <v>0</v>
      </c>
      <c r="AU136" s="144">
        <v>0</v>
      </c>
      <c r="AV136" s="144">
        <v>0.35714285714285715</v>
      </c>
      <c r="AW136" s="144">
        <v>0</v>
      </c>
      <c r="AX136" s="144">
        <v>0</v>
      </c>
      <c r="AY136" s="144">
        <v>0.19736842105263158</v>
      </c>
      <c r="AZ136" s="144">
        <v>0.19736842105263158</v>
      </c>
      <c r="BA136" s="144">
        <v>0</v>
      </c>
      <c r="BB136" s="144">
        <v>0</v>
      </c>
      <c r="BC136" s="144">
        <v>0</v>
      </c>
      <c r="BD136" s="144">
        <v>0</v>
      </c>
      <c r="BE136" s="144">
        <v>0</v>
      </c>
      <c r="BF136" s="144">
        <v>0</v>
      </c>
      <c r="BG136" s="144">
        <v>0</v>
      </c>
      <c r="BH136" s="144">
        <v>0</v>
      </c>
      <c r="BI136" s="144">
        <v>0</v>
      </c>
      <c r="BJ136" s="144">
        <v>0</v>
      </c>
      <c r="BK136" s="144">
        <v>0</v>
      </c>
      <c r="BL136" s="144">
        <v>0</v>
      </c>
      <c r="BM136" s="144">
        <v>0</v>
      </c>
      <c r="BN136" s="144">
        <v>0</v>
      </c>
      <c r="BO136" s="144">
        <v>0</v>
      </c>
      <c r="BP136" s="144">
        <v>0</v>
      </c>
      <c r="BQ136" s="144">
        <v>0</v>
      </c>
      <c r="BR136" s="144">
        <v>0</v>
      </c>
      <c r="BS136" s="144">
        <v>0</v>
      </c>
      <c r="BT136" s="144">
        <v>0</v>
      </c>
      <c r="BU136" s="144">
        <v>0</v>
      </c>
      <c r="BV136" s="144">
        <v>0</v>
      </c>
      <c r="BW136" s="144">
        <v>0</v>
      </c>
      <c r="BX136" s="144">
        <v>0</v>
      </c>
      <c r="BY136" s="144">
        <v>0</v>
      </c>
      <c r="BZ136" s="144">
        <v>0</v>
      </c>
      <c r="CA136" s="144">
        <v>0</v>
      </c>
      <c r="CB136" s="144">
        <v>0</v>
      </c>
      <c r="CC136" s="144">
        <v>0</v>
      </c>
      <c r="CD136" s="144">
        <v>0</v>
      </c>
      <c r="CE136" s="144">
        <v>0</v>
      </c>
      <c r="CF136" s="144">
        <v>0</v>
      </c>
      <c r="CG136" s="144">
        <v>0</v>
      </c>
      <c r="CH136" s="144">
        <v>0</v>
      </c>
      <c r="CI136" s="144">
        <v>0</v>
      </c>
      <c r="CJ136" s="144">
        <v>0</v>
      </c>
      <c r="CK136" s="144">
        <v>0</v>
      </c>
      <c r="CL136" s="144">
        <v>0</v>
      </c>
      <c r="CM136" s="144">
        <v>0</v>
      </c>
      <c r="CN136" s="144">
        <v>0</v>
      </c>
      <c r="CO136" s="144">
        <v>0</v>
      </c>
      <c r="CP136" s="144">
        <v>0</v>
      </c>
      <c r="CQ136" s="143">
        <v>0</v>
      </c>
      <c r="CR136" s="145">
        <v>0</v>
      </c>
      <c r="CS136" s="145">
        <v>0</v>
      </c>
      <c r="CT136" s="145">
        <v>0</v>
      </c>
      <c r="CU136" s="145">
        <v>0</v>
      </c>
      <c r="CV136" s="145">
        <v>0</v>
      </c>
      <c r="CW136" s="145">
        <v>0</v>
      </c>
      <c r="CX136" s="145">
        <v>0</v>
      </c>
      <c r="CY136" s="145">
        <v>0</v>
      </c>
      <c r="CZ136" s="145">
        <v>0</v>
      </c>
      <c r="DA136" s="145">
        <v>0</v>
      </c>
      <c r="DB136" s="145">
        <v>0</v>
      </c>
      <c r="DC136" s="145">
        <v>0</v>
      </c>
      <c r="DD136" s="145">
        <v>0</v>
      </c>
      <c r="DE136" s="145">
        <v>0</v>
      </c>
      <c r="DF136" s="145">
        <v>0</v>
      </c>
      <c r="DG136" s="145">
        <v>0</v>
      </c>
      <c r="DH136" s="145">
        <v>0</v>
      </c>
      <c r="DI136" s="145">
        <v>0</v>
      </c>
      <c r="DJ136" s="145">
        <v>0</v>
      </c>
      <c r="DK136" s="145">
        <v>0</v>
      </c>
      <c r="DL136" s="145">
        <v>0</v>
      </c>
      <c r="DM136" s="145">
        <v>0</v>
      </c>
      <c r="DN136" s="145">
        <v>0</v>
      </c>
      <c r="DO136" s="145">
        <v>0</v>
      </c>
      <c r="DP136" s="145">
        <v>0</v>
      </c>
      <c r="DQ136" s="145">
        <v>12602.1</v>
      </c>
      <c r="DR136" s="145">
        <v>4328.6000000000004</v>
      </c>
      <c r="DS136" s="145">
        <v>4328.6000000000004</v>
      </c>
      <c r="DT136" s="145">
        <v>4328.6000000000004</v>
      </c>
      <c r="DU136" s="145">
        <v>0</v>
      </c>
      <c r="DV136" s="145">
        <v>0</v>
      </c>
      <c r="DW136" s="145">
        <v>0</v>
      </c>
      <c r="DX136" s="145">
        <v>0</v>
      </c>
      <c r="DY136" s="145">
        <v>0</v>
      </c>
      <c r="DZ136" s="145">
        <v>0</v>
      </c>
      <c r="EA136" s="145">
        <v>0</v>
      </c>
      <c r="EB136" s="145">
        <v>0</v>
      </c>
      <c r="EC136" s="145">
        <v>21643</v>
      </c>
      <c r="ED136" s="145">
        <v>0</v>
      </c>
      <c r="EE136" s="145">
        <v>0</v>
      </c>
      <c r="EF136" s="145">
        <v>13369.199999999999</v>
      </c>
      <c r="EG136" s="145">
        <v>13369.199999999999</v>
      </c>
      <c r="EH136" s="145">
        <v>0</v>
      </c>
      <c r="EI136" s="145">
        <v>0</v>
      </c>
      <c r="EJ136" s="145">
        <v>0</v>
      </c>
      <c r="EK136" s="145">
        <v>0</v>
      </c>
      <c r="EL136" s="145">
        <v>0</v>
      </c>
      <c r="EM136" s="145">
        <v>0</v>
      </c>
      <c r="EN136" s="145">
        <v>0</v>
      </c>
      <c r="EO136" s="145">
        <v>0</v>
      </c>
      <c r="EP136" s="145">
        <v>0</v>
      </c>
      <c r="EQ136" s="145">
        <v>0</v>
      </c>
      <c r="ER136" s="145">
        <v>0</v>
      </c>
      <c r="ES136" s="145">
        <v>0</v>
      </c>
      <c r="ET136" s="145">
        <v>0</v>
      </c>
      <c r="EU136" s="145">
        <v>0</v>
      </c>
      <c r="EV136" s="145">
        <v>0</v>
      </c>
      <c r="EW136" s="145">
        <v>0</v>
      </c>
      <c r="EX136" s="145">
        <v>0</v>
      </c>
      <c r="EY136" s="145">
        <v>0</v>
      </c>
      <c r="EZ136" s="145">
        <v>0</v>
      </c>
      <c r="FA136" s="145">
        <v>0</v>
      </c>
      <c r="FB136" s="145">
        <v>0</v>
      </c>
      <c r="FC136" s="145">
        <v>0</v>
      </c>
      <c r="FD136" s="145">
        <v>0</v>
      </c>
      <c r="FE136" s="145">
        <v>0</v>
      </c>
      <c r="FF136" s="145">
        <v>0</v>
      </c>
      <c r="FG136" s="145">
        <v>0</v>
      </c>
      <c r="FH136" s="145">
        <v>0</v>
      </c>
      <c r="FI136" s="145">
        <v>0</v>
      </c>
      <c r="FJ136" s="145">
        <v>0</v>
      </c>
      <c r="FK136" s="145">
        <v>0</v>
      </c>
      <c r="FL136" s="145">
        <v>0</v>
      </c>
      <c r="FM136" s="145">
        <v>0</v>
      </c>
      <c r="FN136" s="145">
        <v>0</v>
      </c>
      <c r="FO136" s="145">
        <v>0</v>
      </c>
      <c r="FP136" s="145">
        <v>0</v>
      </c>
      <c r="FQ136" s="145">
        <v>0</v>
      </c>
      <c r="FR136" s="145">
        <v>0</v>
      </c>
      <c r="FS136" s="145">
        <v>0</v>
      </c>
      <c r="FT136" s="145">
        <v>0</v>
      </c>
      <c r="FU136" s="145">
        <v>0</v>
      </c>
      <c r="FV136" s="145">
        <v>0</v>
      </c>
      <c r="FW136" s="145">
        <v>0</v>
      </c>
      <c r="FX136" s="143"/>
      <c r="FY136" s="146" t="str">
        <f>_xlfn.XLOOKUP($E136,'Key assumptions'!$B$112:$B$120,'Key assumptions'!$C$112:$C$120,0)</f>
        <v>Nominal</v>
      </c>
      <c r="FZ136" s="146" cm="1">
        <f t="array" ref="FZ136">IF($FY136=0,0,_xlfn.IFS($FY136='Key assumptions'!$C$120,_xlfn.XLOOKUP(LEFT(FZ$7,6),Inflation_Year,Inflation_NominaltoReal),TRUE,_xlfn.XLOOKUP($FY136,Inflation_Year,NominaltoReal)))</f>
        <v>1.0197075870962191</v>
      </c>
      <c r="GA136" s="146" cm="1">
        <f t="array" ref="GA136">IF($FY136=0,0,_xlfn.IFS($FY136='Key assumptions'!$C$120,_xlfn.XLOOKUP(LEFT(GA$7,6),Inflation_Year,Inflation_NominaltoReal),TRUE,_xlfn.XLOOKUP($FY136,Inflation_Year,NominaltoReal)))</f>
        <v>0.98700804022984445</v>
      </c>
      <c r="GB136" s="146" cm="1">
        <f t="array" ref="GB136">IF($FY136=0,0,_xlfn.IFS($FY136='Key assumptions'!$C$120,_xlfn.XLOOKUP(LEFT(GB$7,6),Inflation_Year,Inflation_NominaltoReal),TRUE,_xlfn.XLOOKUP($FY136,Inflation_Year,NominaltoReal)))</f>
        <v>0.96152830081941731</v>
      </c>
      <c r="GC136" s="146" cm="1">
        <f t="array" ref="GC136">IF($FY136=0,0,_xlfn.IFS($FY136='Key assumptions'!$C$120,_xlfn.XLOOKUP(LEFT(GC$7,6),Inflation_Year,Inflation_NominaltoReal),TRUE,_xlfn.XLOOKUP($FY136,Inflation_Year,NominaltoReal)))</f>
        <v>0.93670632415656829</v>
      </c>
      <c r="GD136" s="146" cm="1">
        <f t="array" ref="GD136">IF($FY136=0,0,_xlfn.IFS($FY136='Key assumptions'!$C$120,_xlfn.XLOOKUP(LEFT(GD$7,6),Inflation_Year,Inflation_NominaltoReal),TRUE,_xlfn.XLOOKUP($FY136,Inflation_Year,NominaltoReal)))</f>
        <v>0.91252513001143176</v>
      </c>
      <c r="GE136" s="146" cm="1">
        <f t="array" ref="GE136">IF($FY136=0,0,_xlfn.IFS($FY136='Key assumptions'!$C$120,_xlfn.XLOOKUP(LEFT(GE$7,6),Inflation_Year,Inflation_NominaltoReal),TRUE,_xlfn.XLOOKUP($FY136,Inflation_Year,NominaltoReal)))</f>
        <v>0.88896817650095872</v>
      </c>
      <c r="GF136" s="146" cm="1">
        <f t="array" ref="GF136">IF($FY136=0,0,_xlfn.IFS($FY136='Key assumptions'!$C$120,_xlfn.XLOOKUP(LEFT(GF$7,6),Inflation_Year,Inflation_NominaltoReal),TRUE,_xlfn.XLOOKUP($FY136,Inflation_Year,NominaltoReal)))</f>
        <v>0.86601934877293718</v>
      </c>
      <c r="GG136" s="143"/>
      <c r="GH136" s="145" cm="1">
        <f t="array" ref="GH136">SUMPRODUCT(--($CR$7:$FW$7&gt;=GH$5),--($CR$7:$FW$7&lt;=GH$6),$CR136:$FW136)*FZ136</f>
        <v>0</v>
      </c>
      <c r="GI136" s="145" cm="1">
        <f t="array" ref="GI136">SUMPRODUCT(--($CR$7:$FW$7&gt;=GI$5),--($CR$7:$FW$7&lt;=GI$6),$CR136:$FW136)*GA136</f>
        <v>25255.463032597239</v>
      </c>
      <c r="GJ136" s="145" cm="1">
        <f t="array" ref="GJ136">SUMPRODUCT(--($CR$7:$FW$7&gt;=GJ$5),--($CR$7:$FW$7&lt;=GJ$6),$CR136:$FW136)*GB136</f>
        <v>46520.085333264549</v>
      </c>
      <c r="GK136" s="145" cm="1">
        <f t="array" ref="GK136">SUMPRODUCT(--($CR$7:$FW$7&gt;=GK$5),--($CR$7:$FW$7&lt;=GK$6),$CR136:$FW136)*GC136</f>
        <v>0</v>
      </c>
      <c r="GL136" s="145" cm="1">
        <f t="array" ref="GL136">SUMPRODUCT(--($CR$7:$FW$7&gt;=GL$5),--($CR$7:$FW$7&lt;=GL$6),$CR136:$FW136)*GD136</f>
        <v>0</v>
      </c>
      <c r="GM136" s="145" cm="1">
        <f t="array" ref="GM136">SUMPRODUCT(--($CR$7:$FW$7&gt;=GM$5),--($CR$7:$FW$7&lt;=GM$6),$CR136:$FW136)*GE136</f>
        <v>0</v>
      </c>
      <c r="GN136" s="145" cm="1">
        <f t="array" ref="GN136">SUMPRODUCT(--($CR$7:$FW$7&gt;=GN$5),--($CR$7:$FW$7&lt;=GN$6),$CR136:$FW136)*GF136</f>
        <v>0</v>
      </c>
      <c r="GO136" s="145">
        <f t="shared" ref="GO136:GO199" si="46">SUM(GH136:GN136)</f>
        <v>71775.548365861789</v>
      </c>
      <c r="GP136" s="87"/>
      <c r="GR136" s="145" cm="1">
        <f t="array" ref="GR136">SUMPRODUCT(--($CR$7:$FW$7&gt;=GR$5),--($CR$7:$FW$7&lt;=GR$6),$CR136:$FW136)</f>
        <v>0</v>
      </c>
      <c r="GT136" s="214" cm="1">
        <f t="array" ref="GT136">--AND(MIN(IF($K136:$CP136&lt;&gt;0,$K$7:$CP$7))&gt;=GT$5,MIN(IF($K136:$CP136&lt;&gt;0,$K$7:$CP$7))&lt;=GT$6)</f>
        <v>0</v>
      </c>
      <c r="GU136" s="214" cm="1">
        <f t="array" ref="GU136">--AND(MIN(IF($K136:$CP136&lt;&gt;0,$K$7:$CP$7))&gt;=GU$5,MIN(IF($K136:$CP136&lt;&gt;0,$K$7:$CP$7))&lt;=GU$6)</f>
        <v>1</v>
      </c>
      <c r="GV136" s="214" cm="1">
        <f t="array" ref="GV136">--AND(MIN(IF($K136:$CP136&lt;&gt;0,$K$7:$CP$7))&gt;=GV$5,MIN(IF($K136:$CP136&lt;&gt;0,$K$7:$CP$7))&lt;=GV$6)</f>
        <v>0</v>
      </c>
      <c r="GW136" s="214" cm="1">
        <f t="array" ref="GW136">--AND(MIN(IF($K136:$CP136&lt;&gt;0,$K$7:$CP$7))&gt;=GW$5,MIN(IF($K136:$CP136&lt;&gt;0,$K$7:$CP$7))&lt;=GW$6)</f>
        <v>0</v>
      </c>
      <c r="GX136" s="214" cm="1">
        <f t="array" ref="GX136">--AND(MIN(IF($K136:$CP136&lt;&gt;0,$K$7:$CP$7))&gt;=GX$5,MIN(IF($K136:$CP136&lt;&gt;0,$K$7:$CP$7))&lt;=GX$6)</f>
        <v>0</v>
      </c>
      <c r="GY136" s="214" cm="1">
        <f t="array" ref="GY136">--AND(MIN(IF($K136:$CP136&lt;&gt;0,$K$7:$CP$7))&gt;=GY$5,MIN(IF($K136:$CP136&lt;&gt;0,$K$7:$CP$7))&lt;=GY$6)</f>
        <v>0</v>
      </c>
      <c r="GZ136" s="214" cm="1">
        <f t="array" ref="GZ136">--AND(MIN(IF($K136:$CP136&lt;&gt;0,$K$7:$CP$7))&gt;=GZ$5,MIN(IF($K136:$CP136&lt;&gt;0,$K$7:$CP$7))&lt;=GZ$6)</f>
        <v>0</v>
      </c>
      <c r="HA136" s="214">
        <f t="shared" ref="HA136:HA199" si="47">SUM(GT136:GZ136)</f>
        <v>1</v>
      </c>
      <c r="HC136" s="214" cm="1">
        <f t="array" ref="HC136">--AND(MIN(IF($K136:$CP136&lt;&gt;0,$K$7:$CP$7))&gt;=HC$5,MIN(IF($K136:$CP136&lt;&gt;0,$K$7:$CP$7))&lt;=HC$6)</f>
        <v>0</v>
      </c>
      <c r="HE136" s="147" t="str">
        <f t="shared" si="43"/>
        <v>No</v>
      </c>
      <c r="HF136" s="147" t="str">
        <f t="shared" si="44"/>
        <v>Yes</v>
      </c>
      <c r="HG136" s="147">
        <f>IF($HF136="Yes",0,$H136*avg_hrs*12*'Key assumptions'!$D$87)</f>
        <v>0</v>
      </c>
      <c r="HH136" s="147">
        <f>IF(HE136="Yes",'Key assumptions'!$D$84*HG136,0)</f>
        <v>0</v>
      </c>
      <c r="HI136" s="144">
        <f>IFERROR(AVERAGEIFS($K136:$CP136,$K$7:$CP$7,"&gt;="&amp;'Key assumptions'!$D$24,$K$7:$CP$7,"&lt;="&amp;'Key assumptions'!$D$25),0)</f>
        <v>2.7241398951925268E-2</v>
      </c>
      <c r="HJ136" s="148">
        <f t="shared" ref="HJ136:HJ167" si="48">HH136*HI136</f>
        <v>0</v>
      </c>
      <c r="HK136" s="148">
        <f t="shared" ref="HK136:HK199" si="49">$HJ136*GT136</f>
        <v>0</v>
      </c>
      <c r="HL136" s="148">
        <f t="shared" ref="HL136:HL199" si="50">$HJ136*GU136</f>
        <v>0</v>
      </c>
      <c r="HM136" s="148">
        <f t="shared" ref="HM136:HM199" si="51">$HJ136*GV136</f>
        <v>0</v>
      </c>
      <c r="HN136" s="148">
        <f t="shared" ref="HN136:HN199" si="52">$HJ136*GW136</f>
        <v>0</v>
      </c>
      <c r="HO136" s="148">
        <f t="shared" ref="HO136:HO199" si="53">$HJ136*GX136</f>
        <v>0</v>
      </c>
      <c r="HP136" s="148">
        <f t="shared" ref="HP136:HP199" si="54">$HJ136*GY136</f>
        <v>0</v>
      </c>
      <c r="HQ136" s="148">
        <f t="shared" ref="HQ136:HQ199" si="55">$HJ136*GZ136</f>
        <v>0</v>
      </c>
      <c r="HR136" s="147">
        <f t="shared" ref="HR136:HR199" si="56">SUM(HK136:HQ136)</f>
        <v>0</v>
      </c>
      <c r="HU136" s="147">
        <f>$HJ136*HC136/(1+'Key assumptions'!G158)^0.75</f>
        <v>0</v>
      </c>
      <c r="HW136" s="216">
        <f t="shared" ref="HW136:HW199" si="57">$HI136*GT136</f>
        <v>0</v>
      </c>
      <c r="HX136" s="216">
        <f t="shared" ref="HX136:HX199" si="58">$HI136*GU136</f>
        <v>2.7241398951925268E-2</v>
      </c>
      <c r="HY136" s="216">
        <f t="shared" ref="HY136:HY199" si="59">$HI136*GV136</f>
        <v>0</v>
      </c>
      <c r="HZ136" s="216">
        <f t="shared" ref="HZ136:HZ199" si="60">$HI136*GW136</f>
        <v>0</v>
      </c>
      <c r="IA136" s="216">
        <f t="shared" ref="IA136:IA199" si="61">$HI136*GX136</f>
        <v>0</v>
      </c>
      <c r="IB136" s="216">
        <f t="shared" ref="IB136:IB199" si="62">$HI136*GY136</f>
        <v>0</v>
      </c>
      <c r="IC136" s="216">
        <f t="shared" ref="IC136:IC199" si="63">$HI136*GZ136</f>
        <v>0</v>
      </c>
      <c r="ID136" s="216">
        <f t="shared" ref="ID136:ID199" si="64">SUM(HW136:IC136)</f>
        <v>2.7241398951925268E-2</v>
      </c>
      <c r="IF136" s="216">
        <f t="shared" ref="IF136:IF199" si="65">$HI136*HC136</f>
        <v>0</v>
      </c>
    </row>
    <row r="137" spans="2:240" x14ac:dyDescent="0.2">
      <c r="B137" s="141" t="str">
        <v>Project Delivery Management - Commissioning</v>
      </c>
      <c r="C137" s="141" t="str">
        <v>Control Technician (Construction)</v>
      </c>
      <c r="D137" s="141" t="str">
        <v>Internal Labour</v>
      </c>
      <c r="E137" s="141" t="str">
        <v>$ Nominal</v>
      </c>
      <c r="F137" s="141" t="str">
        <v>Existing</v>
      </c>
      <c r="G137" s="141" t="str">
        <v>Normal time</v>
      </c>
      <c r="H137" s="142">
        <v>221.91</v>
      </c>
      <c r="I137" s="126">
        <v>362091.24</v>
      </c>
      <c r="J137" s="143">
        <v>0</v>
      </c>
      <c r="K137" s="144">
        <v>0</v>
      </c>
      <c r="L137" s="144">
        <v>0</v>
      </c>
      <c r="M137" s="144">
        <v>0</v>
      </c>
      <c r="N137" s="144">
        <v>0</v>
      </c>
      <c r="O137" s="144">
        <v>0</v>
      </c>
      <c r="P137" s="144">
        <v>0</v>
      </c>
      <c r="Q137" s="144">
        <v>0</v>
      </c>
      <c r="R137" s="144">
        <v>0</v>
      </c>
      <c r="S137" s="144">
        <v>0</v>
      </c>
      <c r="T137" s="144">
        <v>0</v>
      </c>
      <c r="U137" s="144">
        <v>0</v>
      </c>
      <c r="V137" s="144">
        <v>0</v>
      </c>
      <c r="W137" s="144">
        <v>0</v>
      </c>
      <c r="X137" s="144">
        <v>0</v>
      </c>
      <c r="Y137" s="144">
        <v>0</v>
      </c>
      <c r="Z137" s="144">
        <v>0</v>
      </c>
      <c r="AA137" s="144">
        <v>0</v>
      </c>
      <c r="AB137" s="144">
        <v>0</v>
      </c>
      <c r="AC137" s="144">
        <v>0</v>
      </c>
      <c r="AD137" s="144">
        <v>0</v>
      </c>
      <c r="AE137" s="144">
        <v>0</v>
      </c>
      <c r="AF137" s="144">
        <v>0</v>
      </c>
      <c r="AG137" s="144">
        <v>0</v>
      </c>
      <c r="AH137" s="144">
        <v>0</v>
      </c>
      <c r="AI137" s="144">
        <v>0</v>
      </c>
      <c r="AJ137" s="144">
        <v>0.5</v>
      </c>
      <c r="AK137" s="144">
        <v>0.5</v>
      </c>
      <c r="AL137" s="144">
        <v>0.66666666666666663</v>
      </c>
      <c r="AM137" s="144">
        <v>0.46052631578947367</v>
      </c>
      <c r="AN137" s="144">
        <v>1.0592105263157894</v>
      </c>
      <c r="AO137" s="144">
        <v>1.05</v>
      </c>
      <c r="AP137" s="144">
        <v>1</v>
      </c>
      <c r="AQ137" s="144">
        <v>0</v>
      </c>
      <c r="AR137" s="144">
        <v>0</v>
      </c>
      <c r="AS137" s="144">
        <v>0</v>
      </c>
      <c r="AT137" s="144">
        <v>0</v>
      </c>
      <c r="AU137" s="144">
        <v>0</v>
      </c>
      <c r="AV137" s="144">
        <v>1.6</v>
      </c>
      <c r="AW137" s="144">
        <v>1.1000000000000001</v>
      </c>
      <c r="AX137" s="144">
        <v>1.4</v>
      </c>
      <c r="AY137" s="144">
        <v>1.013157894736842</v>
      </c>
      <c r="AZ137" s="144">
        <v>1.0592105263157894</v>
      </c>
      <c r="BA137" s="144">
        <v>0</v>
      </c>
      <c r="BB137" s="144">
        <v>0</v>
      </c>
      <c r="BC137" s="144">
        <v>0</v>
      </c>
      <c r="BD137" s="144">
        <v>0</v>
      </c>
      <c r="BE137" s="144">
        <v>0</v>
      </c>
      <c r="BF137" s="144">
        <v>0</v>
      </c>
      <c r="BG137" s="144">
        <v>0</v>
      </c>
      <c r="BH137" s="144">
        <v>0</v>
      </c>
      <c r="BI137" s="144">
        <v>0</v>
      </c>
      <c r="BJ137" s="144">
        <v>0</v>
      </c>
      <c r="BK137" s="144">
        <v>0</v>
      </c>
      <c r="BL137" s="144">
        <v>0</v>
      </c>
      <c r="BM137" s="144">
        <v>0</v>
      </c>
      <c r="BN137" s="144">
        <v>0</v>
      </c>
      <c r="BO137" s="144">
        <v>0</v>
      </c>
      <c r="BP137" s="144">
        <v>0</v>
      </c>
      <c r="BQ137" s="144">
        <v>0</v>
      </c>
      <c r="BR137" s="144">
        <v>0</v>
      </c>
      <c r="BS137" s="144">
        <v>0</v>
      </c>
      <c r="BT137" s="144">
        <v>0</v>
      </c>
      <c r="BU137" s="144">
        <v>0</v>
      </c>
      <c r="BV137" s="144">
        <v>0</v>
      </c>
      <c r="BW137" s="144">
        <v>0</v>
      </c>
      <c r="BX137" s="144">
        <v>0</v>
      </c>
      <c r="BY137" s="144">
        <v>0</v>
      </c>
      <c r="BZ137" s="144">
        <v>0</v>
      </c>
      <c r="CA137" s="144">
        <v>0</v>
      </c>
      <c r="CB137" s="144">
        <v>0</v>
      </c>
      <c r="CC137" s="144">
        <v>0</v>
      </c>
      <c r="CD137" s="144">
        <v>0</v>
      </c>
      <c r="CE137" s="144">
        <v>0</v>
      </c>
      <c r="CF137" s="144">
        <v>0</v>
      </c>
      <c r="CG137" s="144">
        <v>0</v>
      </c>
      <c r="CH137" s="144">
        <v>0</v>
      </c>
      <c r="CI137" s="144">
        <v>0</v>
      </c>
      <c r="CJ137" s="144">
        <v>0</v>
      </c>
      <c r="CK137" s="144">
        <v>0</v>
      </c>
      <c r="CL137" s="144">
        <v>0</v>
      </c>
      <c r="CM137" s="144">
        <v>0</v>
      </c>
      <c r="CN137" s="144">
        <v>0</v>
      </c>
      <c r="CO137" s="144">
        <v>0</v>
      </c>
      <c r="CP137" s="144">
        <v>0</v>
      </c>
      <c r="CQ137" s="143">
        <v>0</v>
      </c>
      <c r="CR137" s="145">
        <v>0</v>
      </c>
      <c r="CS137" s="145">
        <v>0</v>
      </c>
      <c r="CT137" s="145">
        <v>0</v>
      </c>
      <c r="CU137" s="145">
        <v>0</v>
      </c>
      <c r="CV137" s="145">
        <v>0</v>
      </c>
      <c r="CW137" s="145">
        <v>0</v>
      </c>
      <c r="CX137" s="145">
        <v>0</v>
      </c>
      <c r="CY137" s="145">
        <v>0</v>
      </c>
      <c r="CZ137" s="145">
        <v>0</v>
      </c>
      <c r="DA137" s="145">
        <v>0</v>
      </c>
      <c r="DB137" s="145">
        <v>0</v>
      </c>
      <c r="DC137" s="145">
        <v>0</v>
      </c>
      <c r="DD137" s="145">
        <v>0</v>
      </c>
      <c r="DE137" s="145">
        <v>0</v>
      </c>
      <c r="DF137" s="145">
        <v>0</v>
      </c>
      <c r="DG137" s="145">
        <v>0</v>
      </c>
      <c r="DH137" s="145">
        <v>0</v>
      </c>
      <c r="DI137" s="145">
        <v>0</v>
      </c>
      <c r="DJ137" s="145">
        <v>0</v>
      </c>
      <c r="DK137" s="145">
        <v>0</v>
      </c>
      <c r="DL137" s="145">
        <v>0</v>
      </c>
      <c r="DM137" s="145">
        <v>0</v>
      </c>
      <c r="DN137" s="145">
        <v>0</v>
      </c>
      <c r="DO137" s="145">
        <v>0</v>
      </c>
      <c r="DP137" s="145">
        <v>0</v>
      </c>
      <c r="DQ137" s="145">
        <v>15533.699999999999</v>
      </c>
      <c r="DR137" s="145">
        <v>15997.1</v>
      </c>
      <c r="DS137" s="145">
        <v>15997.1</v>
      </c>
      <c r="DT137" s="145">
        <v>15997.1</v>
      </c>
      <c r="DU137" s="145">
        <v>36793.33</v>
      </c>
      <c r="DV137" s="145">
        <v>33593.910000000003</v>
      </c>
      <c r="DW137" s="145">
        <v>31994.2</v>
      </c>
      <c r="DX137" s="145">
        <v>0</v>
      </c>
      <c r="DY137" s="145">
        <v>0</v>
      </c>
      <c r="DZ137" s="145">
        <v>0</v>
      </c>
      <c r="EA137" s="145">
        <v>0</v>
      </c>
      <c r="EB137" s="145">
        <v>0</v>
      </c>
      <c r="EC137" s="145">
        <v>51190.720000000001</v>
      </c>
      <c r="ED137" s="145">
        <v>36248.519999999997</v>
      </c>
      <c r="EE137" s="145">
        <v>34600.86</v>
      </c>
      <c r="EF137" s="145">
        <v>36248.519999999997</v>
      </c>
      <c r="EG137" s="145">
        <v>37896.18</v>
      </c>
      <c r="EH137" s="145">
        <v>0</v>
      </c>
      <c r="EI137" s="145">
        <v>0</v>
      </c>
      <c r="EJ137" s="145">
        <v>0</v>
      </c>
      <c r="EK137" s="145">
        <v>0</v>
      </c>
      <c r="EL137" s="145">
        <v>0</v>
      </c>
      <c r="EM137" s="145">
        <v>0</v>
      </c>
      <c r="EN137" s="145">
        <v>0</v>
      </c>
      <c r="EO137" s="145">
        <v>0</v>
      </c>
      <c r="EP137" s="145">
        <v>0</v>
      </c>
      <c r="EQ137" s="145">
        <v>0</v>
      </c>
      <c r="ER137" s="145">
        <v>0</v>
      </c>
      <c r="ES137" s="145">
        <v>0</v>
      </c>
      <c r="ET137" s="145">
        <v>0</v>
      </c>
      <c r="EU137" s="145">
        <v>0</v>
      </c>
      <c r="EV137" s="145">
        <v>0</v>
      </c>
      <c r="EW137" s="145">
        <v>0</v>
      </c>
      <c r="EX137" s="145">
        <v>0</v>
      </c>
      <c r="EY137" s="145">
        <v>0</v>
      </c>
      <c r="EZ137" s="145">
        <v>0</v>
      </c>
      <c r="FA137" s="145">
        <v>0</v>
      </c>
      <c r="FB137" s="145">
        <v>0</v>
      </c>
      <c r="FC137" s="145">
        <v>0</v>
      </c>
      <c r="FD137" s="145">
        <v>0</v>
      </c>
      <c r="FE137" s="145">
        <v>0</v>
      </c>
      <c r="FF137" s="145">
        <v>0</v>
      </c>
      <c r="FG137" s="145">
        <v>0</v>
      </c>
      <c r="FH137" s="145">
        <v>0</v>
      </c>
      <c r="FI137" s="145">
        <v>0</v>
      </c>
      <c r="FJ137" s="145">
        <v>0</v>
      </c>
      <c r="FK137" s="145">
        <v>0</v>
      </c>
      <c r="FL137" s="145">
        <v>0</v>
      </c>
      <c r="FM137" s="145">
        <v>0</v>
      </c>
      <c r="FN137" s="145">
        <v>0</v>
      </c>
      <c r="FO137" s="145">
        <v>0</v>
      </c>
      <c r="FP137" s="145">
        <v>0</v>
      </c>
      <c r="FQ137" s="145">
        <v>0</v>
      </c>
      <c r="FR137" s="145">
        <v>0</v>
      </c>
      <c r="FS137" s="145">
        <v>0</v>
      </c>
      <c r="FT137" s="145">
        <v>0</v>
      </c>
      <c r="FU137" s="145">
        <v>0</v>
      </c>
      <c r="FV137" s="145">
        <v>0</v>
      </c>
      <c r="FW137" s="145">
        <v>0</v>
      </c>
      <c r="FX137" s="143"/>
      <c r="FY137" s="146" t="str">
        <f>_xlfn.XLOOKUP($E137,'Key assumptions'!$B$112:$B$120,'Key assumptions'!$C$112:$C$120,0)</f>
        <v>Nominal</v>
      </c>
      <c r="FZ137" s="146" cm="1">
        <f t="array" ref="FZ137">IF($FY137=0,0,_xlfn.IFS($FY137='Key assumptions'!$C$120,_xlfn.XLOOKUP(LEFT(FZ$7,6),Inflation_Year,Inflation_NominaltoReal),TRUE,_xlfn.XLOOKUP($FY137,Inflation_Year,NominaltoReal)))</f>
        <v>1.0197075870962191</v>
      </c>
      <c r="GA137" s="146" cm="1">
        <f t="array" ref="GA137">IF($FY137=0,0,_xlfn.IFS($FY137='Key assumptions'!$C$120,_xlfn.XLOOKUP(LEFT(GA$7,6),Inflation_Year,Inflation_NominaltoReal),TRUE,_xlfn.XLOOKUP($FY137,Inflation_Year,NominaltoReal)))</f>
        <v>0.98700804022984445</v>
      </c>
      <c r="GB137" s="146" cm="1">
        <f t="array" ref="GB137">IF($FY137=0,0,_xlfn.IFS($FY137='Key assumptions'!$C$120,_xlfn.XLOOKUP(LEFT(GB$7,6),Inflation_Year,Inflation_NominaltoReal),TRUE,_xlfn.XLOOKUP($FY137,Inflation_Year,NominaltoReal)))</f>
        <v>0.96152830081941731</v>
      </c>
      <c r="GC137" s="146" cm="1">
        <f t="array" ref="GC137">IF($FY137=0,0,_xlfn.IFS($FY137='Key assumptions'!$C$120,_xlfn.XLOOKUP(LEFT(GC$7,6),Inflation_Year,Inflation_NominaltoReal),TRUE,_xlfn.XLOOKUP($FY137,Inflation_Year,NominaltoReal)))</f>
        <v>0.93670632415656829</v>
      </c>
      <c r="GD137" s="146" cm="1">
        <f t="array" ref="GD137">IF($FY137=0,0,_xlfn.IFS($FY137='Key assumptions'!$C$120,_xlfn.XLOOKUP(LEFT(GD$7,6),Inflation_Year,Inflation_NominaltoReal),TRUE,_xlfn.XLOOKUP($FY137,Inflation_Year,NominaltoReal)))</f>
        <v>0.91252513001143176</v>
      </c>
      <c r="GE137" s="146" cm="1">
        <f t="array" ref="GE137">IF($FY137=0,0,_xlfn.IFS($FY137='Key assumptions'!$C$120,_xlfn.XLOOKUP(LEFT(GE$7,6),Inflation_Year,Inflation_NominaltoReal),TRUE,_xlfn.XLOOKUP($FY137,Inflation_Year,NominaltoReal)))</f>
        <v>0.88896817650095872</v>
      </c>
      <c r="GF137" s="146" cm="1">
        <f t="array" ref="GF137">IF($FY137=0,0,_xlfn.IFS($FY137='Key assumptions'!$C$120,_xlfn.XLOOKUP(LEFT(GF$7,6),Inflation_Year,Inflation_NominaltoReal),TRUE,_xlfn.XLOOKUP($FY137,Inflation_Year,NominaltoReal)))</f>
        <v>0.86601934877293718</v>
      </c>
      <c r="GG137" s="143"/>
      <c r="GH137" s="145" cm="1">
        <f t="array" ref="GH137">SUMPRODUCT(--($CR$7:$FW$7&gt;=GH$5),--($CR$7:$FW$7&lt;=GH$6),$CR137:$FW137)*FZ137</f>
        <v>0</v>
      </c>
      <c r="GI137" s="145" cm="1">
        <f t="array" ref="GI137">SUMPRODUCT(--($CR$7:$FW$7&gt;=GI$5),--($CR$7:$FW$7&lt;=GI$6),$CR137:$FW137)*GA137</f>
        <v>163750.99020591029</v>
      </c>
      <c r="GJ137" s="145" cm="1">
        <f t="array" ref="GJ137">SUMPRODUCT(--($CR$7:$FW$7&gt;=GJ$5),--($CR$7:$FW$7&lt;=GJ$6),$CR137:$FW137)*GB137</f>
        <v>188637.23739059721</v>
      </c>
      <c r="GK137" s="145" cm="1">
        <f t="array" ref="GK137">SUMPRODUCT(--($CR$7:$FW$7&gt;=GK$5),--($CR$7:$FW$7&lt;=GK$6),$CR137:$FW137)*GC137</f>
        <v>0</v>
      </c>
      <c r="GL137" s="145" cm="1">
        <f t="array" ref="GL137">SUMPRODUCT(--($CR$7:$FW$7&gt;=GL$5),--($CR$7:$FW$7&lt;=GL$6),$CR137:$FW137)*GD137</f>
        <v>0</v>
      </c>
      <c r="GM137" s="145" cm="1">
        <f t="array" ref="GM137">SUMPRODUCT(--($CR$7:$FW$7&gt;=GM$5),--($CR$7:$FW$7&lt;=GM$6),$CR137:$FW137)*GE137</f>
        <v>0</v>
      </c>
      <c r="GN137" s="145" cm="1">
        <f t="array" ref="GN137">SUMPRODUCT(--($CR$7:$FW$7&gt;=GN$5),--($CR$7:$FW$7&lt;=GN$6),$CR137:$FW137)*GF137</f>
        <v>0</v>
      </c>
      <c r="GO137" s="145">
        <f t="shared" si="46"/>
        <v>352388.22759650752</v>
      </c>
      <c r="GP137" s="87"/>
      <c r="GR137" s="145" cm="1">
        <f t="array" ref="GR137">SUMPRODUCT(--($CR$7:$FW$7&gt;=GR$5),--($CR$7:$FW$7&lt;=GR$6),$CR137:$FW137)</f>
        <v>0</v>
      </c>
      <c r="GT137" s="214" cm="1">
        <f t="array" ref="GT137">--AND(MIN(IF($K137:$CP137&lt;&gt;0,$K$7:$CP$7))&gt;=GT$5,MIN(IF($K137:$CP137&lt;&gt;0,$K$7:$CP$7))&lt;=GT$6)</f>
        <v>0</v>
      </c>
      <c r="GU137" s="214" cm="1">
        <f t="array" ref="GU137">--AND(MIN(IF($K137:$CP137&lt;&gt;0,$K$7:$CP$7))&gt;=GU$5,MIN(IF($K137:$CP137&lt;&gt;0,$K$7:$CP$7))&lt;=GU$6)</f>
        <v>1</v>
      </c>
      <c r="GV137" s="214" cm="1">
        <f t="array" ref="GV137">--AND(MIN(IF($K137:$CP137&lt;&gt;0,$K$7:$CP$7))&gt;=GV$5,MIN(IF($K137:$CP137&lt;&gt;0,$K$7:$CP$7))&lt;=GV$6)</f>
        <v>0</v>
      </c>
      <c r="GW137" s="214" cm="1">
        <f t="array" ref="GW137">--AND(MIN(IF($K137:$CP137&lt;&gt;0,$K$7:$CP$7))&gt;=GW$5,MIN(IF($K137:$CP137&lt;&gt;0,$K$7:$CP$7))&lt;=GW$6)</f>
        <v>0</v>
      </c>
      <c r="GX137" s="214" cm="1">
        <f t="array" ref="GX137">--AND(MIN(IF($K137:$CP137&lt;&gt;0,$K$7:$CP$7))&gt;=GX$5,MIN(IF($K137:$CP137&lt;&gt;0,$K$7:$CP$7))&lt;=GX$6)</f>
        <v>0</v>
      </c>
      <c r="GY137" s="214" cm="1">
        <f t="array" ref="GY137">--AND(MIN(IF($K137:$CP137&lt;&gt;0,$K$7:$CP$7))&gt;=GY$5,MIN(IF($K137:$CP137&lt;&gt;0,$K$7:$CP$7))&lt;=GY$6)</f>
        <v>0</v>
      </c>
      <c r="GZ137" s="214" cm="1">
        <f t="array" ref="GZ137">--AND(MIN(IF($K137:$CP137&lt;&gt;0,$K$7:$CP$7))&gt;=GZ$5,MIN(IF($K137:$CP137&lt;&gt;0,$K$7:$CP$7))&lt;=GZ$6)</f>
        <v>0</v>
      </c>
      <c r="HA137" s="214">
        <f t="shared" si="47"/>
        <v>1</v>
      </c>
      <c r="HC137" s="214" cm="1">
        <f t="array" ref="HC137">--AND(MIN(IF($K137:$CP137&lt;&gt;0,$K$7:$CP$7))&gt;=HC$5,MIN(IF($K137:$CP137&lt;&gt;0,$K$7:$CP$7))&lt;=HC$6)</f>
        <v>0</v>
      </c>
      <c r="HE137" s="147" t="str">
        <f t="shared" ref="HE137:HE200" si="66">IF($F137="New","Yes","No")</f>
        <v>No</v>
      </c>
      <c r="HF137" s="147" t="str">
        <f t="shared" ref="HF137:HF200" si="67">IF(G137="Overtime","Yes","No")</f>
        <v>No</v>
      </c>
      <c r="HG137" s="147">
        <f>IF($HF137="Yes",0,$H137*avg_hrs*12*'Key assumptions'!$D$87)</f>
        <v>396834.77589855355</v>
      </c>
      <c r="HH137" s="147">
        <f>IF(HE137="Yes",'Key assumptions'!$D$84*HG137,0)</f>
        <v>0</v>
      </c>
      <c r="HI137" s="144">
        <f>IFERROR(AVERAGEIFS($K137:$CP137,$K$7:$CP$7,"&gt;="&amp;'Key assumptions'!$D$24,$K$7:$CP$7,"&lt;="&amp;'Key assumptions'!$D$25),0)</f>
        <v>0.2592902711323764</v>
      </c>
      <c r="HJ137" s="148">
        <f t="shared" si="48"/>
        <v>0</v>
      </c>
      <c r="HK137" s="148">
        <f t="shared" si="49"/>
        <v>0</v>
      </c>
      <c r="HL137" s="148">
        <f t="shared" si="50"/>
        <v>0</v>
      </c>
      <c r="HM137" s="148">
        <f t="shared" si="51"/>
        <v>0</v>
      </c>
      <c r="HN137" s="148">
        <f t="shared" si="52"/>
        <v>0</v>
      </c>
      <c r="HO137" s="148">
        <f t="shared" si="53"/>
        <v>0</v>
      </c>
      <c r="HP137" s="148">
        <f t="shared" si="54"/>
        <v>0</v>
      </c>
      <c r="HQ137" s="148">
        <f t="shared" si="55"/>
        <v>0</v>
      </c>
      <c r="HR137" s="147">
        <f t="shared" si="56"/>
        <v>0</v>
      </c>
      <c r="HU137" s="147">
        <f>$HJ137*HC137/(1+'Key assumptions'!G159)^0.75</f>
        <v>0</v>
      </c>
      <c r="HW137" s="216">
        <f t="shared" si="57"/>
        <v>0</v>
      </c>
      <c r="HX137" s="216">
        <f t="shared" si="58"/>
        <v>0.2592902711323764</v>
      </c>
      <c r="HY137" s="216">
        <f t="shared" si="59"/>
        <v>0</v>
      </c>
      <c r="HZ137" s="216">
        <f t="shared" si="60"/>
        <v>0</v>
      </c>
      <c r="IA137" s="216">
        <f t="shared" si="61"/>
        <v>0</v>
      </c>
      <c r="IB137" s="216">
        <f t="shared" si="62"/>
        <v>0</v>
      </c>
      <c r="IC137" s="216">
        <f t="shared" si="63"/>
        <v>0</v>
      </c>
      <c r="ID137" s="216">
        <f t="shared" si="64"/>
        <v>0.2592902711323764</v>
      </c>
      <c r="IF137" s="216">
        <f t="shared" si="65"/>
        <v>0</v>
      </c>
    </row>
    <row r="138" spans="2:240" x14ac:dyDescent="0.2">
      <c r="B138" s="141" t="str">
        <v>Project Delivery Management - Commissioning</v>
      </c>
      <c r="C138" s="141" t="str">
        <v>Control Technician (Construction)</v>
      </c>
      <c r="D138" s="141" t="str">
        <v>Internal Labour</v>
      </c>
      <c r="E138" s="141" t="str">
        <v>$ Nominal</v>
      </c>
      <c r="F138" s="141">
        <v>0</v>
      </c>
      <c r="G138" s="141" t="str">
        <v>Overtime</v>
      </c>
      <c r="H138" s="142">
        <v>221.91</v>
      </c>
      <c r="I138" s="126">
        <v>253723.8</v>
      </c>
      <c r="J138" s="143">
        <v>0</v>
      </c>
      <c r="K138" s="144">
        <v>0</v>
      </c>
      <c r="L138" s="144">
        <v>0</v>
      </c>
      <c r="M138" s="144">
        <v>0</v>
      </c>
      <c r="N138" s="144">
        <v>0</v>
      </c>
      <c r="O138" s="144">
        <v>0</v>
      </c>
      <c r="P138" s="144">
        <v>0</v>
      </c>
      <c r="Q138" s="144">
        <v>0</v>
      </c>
      <c r="R138" s="144">
        <v>0</v>
      </c>
      <c r="S138" s="144">
        <v>0</v>
      </c>
      <c r="T138" s="144">
        <v>0</v>
      </c>
      <c r="U138" s="144">
        <v>0</v>
      </c>
      <c r="V138" s="144">
        <v>0</v>
      </c>
      <c r="W138" s="144">
        <v>0</v>
      </c>
      <c r="X138" s="144">
        <v>0</v>
      </c>
      <c r="Y138" s="144">
        <v>0</v>
      </c>
      <c r="Z138" s="144">
        <v>0</v>
      </c>
      <c r="AA138" s="144">
        <v>0</v>
      </c>
      <c r="AB138" s="144">
        <v>0</v>
      </c>
      <c r="AC138" s="144">
        <v>0</v>
      </c>
      <c r="AD138" s="144">
        <v>0</v>
      </c>
      <c r="AE138" s="144">
        <v>0</v>
      </c>
      <c r="AF138" s="144">
        <v>0</v>
      </c>
      <c r="AG138" s="144">
        <v>0</v>
      </c>
      <c r="AH138" s="144">
        <v>0</v>
      </c>
      <c r="AI138" s="144">
        <v>0</v>
      </c>
      <c r="AJ138" s="144">
        <v>0.21428571428571427</v>
      </c>
      <c r="AK138" s="144">
        <v>0.21428571428571427</v>
      </c>
      <c r="AL138" s="144">
        <v>0.2857142857142857</v>
      </c>
      <c r="AM138" s="144">
        <v>0.19736842105263158</v>
      </c>
      <c r="AN138" s="144">
        <v>0.32894736842105265</v>
      </c>
      <c r="AO138" s="144">
        <v>0.35714285714285715</v>
      </c>
      <c r="AP138" s="144">
        <v>0.35714285714285715</v>
      </c>
      <c r="AQ138" s="144">
        <v>0</v>
      </c>
      <c r="AR138" s="144">
        <v>0</v>
      </c>
      <c r="AS138" s="144">
        <v>0</v>
      </c>
      <c r="AT138" s="144">
        <v>0</v>
      </c>
      <c r="AU138" s="144">
        <v>0</v>
      </c>
      <c r="AV138" s="144">
        <v>0.5714285714285714</v>
      </c>
      <c r="AW138" s="144">
        <v>0.35714285714285715</v>
      </c>
      <c r="AX138" s="144">
        <v>0.47619047619047616</v>
      </c>
      <c r="AY138" s="144">
        <v>0.32894736842105265</v>
      </c>
      <c r="AZ138" s="144">
        <v>0.32894736842105265</v>
      </c>
      <c r="BA138" s="144">
        <v>0</v>
      </c>
      <c r="BB138" s="144">
        <v>0</v>
      </c>
      <c r="BC138" s="144">
        <v>0</v>
      </c>
      <c r="BD138" s="144">
        <v>0</v>
      </c>
      <c r="BE138" s="144">
        <v>0</v>
      </c>
      <c r="BF138" s="144">
        <v>0</v>
      </c>
      <c r="BG138" s="144">
        <v>0</v>
      </c>
      <c r="BH138" s="144">
        <v>0</v>
      </c>
      <c r="BI138" s="144">
        <v>0</v>
      </c>
      <c r="BJ138" s="144">
        <v>0</v>
      </c>
      <c r="BK138" s="144">
        <v>0</v>
      </c>
      <c r="BL138" s="144">
        <v>0</v>
      </c>
      <c r="BM138" s="144">
        <v>0</v>
      </c>
      <c r="BN138" s="144">
        <v>0</v>
      </c>
      <c r="BO138" s="144">
        <v>0</v>
      </c>
      <c r="BP138" s="144">
        <v>0</v>
      </c>
      <c r="BQ138" s="144">
        <v>0</v>
      </c>
      <c r="BR138" s="144">
        <v>0</v>
      </c>
      <c r="BS138" s="144">
        <v>0</v>
      </c>
      <c r="BT138" s="144">
        <v>0</v>
      </c>
      <c r="BU138" s="144">
        <v>0</v>
      </c>
      <c r="BV138" s="144">
        <v>0</v>
      </c>
      <c r="BW138" s="144">
        <v>0</v>
      </c>
      <c r="BX138" s="144">
        <v>0</v>
      </c>
      <c r="BY138" s="144">
        <v>0</v>
      </c>
      <c r="BZ138" s="144">
        <v>0</v>
      </c>
      <c r="CA138" s="144">
        <v>0</v>
      </c>
      <c r="CB138" s="144">
        <v>0</v>
      </c>
      <c r="CC138" s="144">
        <v>0</v>
      </c>
      <c r="CD138" s="144">
        <v>0</v>
      </c>
      <c r="CE138" s="144">
        <v>0</v>
      </c>
      <c r="CF138" s="144">
        <v>0</v>
      </c>
      <c r="CG138" s="144">
        <v>0</v>
      </c>
      <c r="CH138" s="144">
        <v>0</v>
      </c>
      <c r="CI138" s="144">
        <v>0</v>
      </c>
      <c r="CJ138" s="144">
        <v>0</v>
      </c>
      <c r="CK138" s="144">
        <v>0</v>
      </c>
      <c r="CL138" s="144">
        <v>0</v>
      </c>
      <c r="CM138" s="144">
        <v>0</v>
      </c>
      <c r="CN138" s="144">
        <v>0</v>
      </c>
      <c r="CO138" s="144">
        <v>0</v>
      </c>
      <c r="CP138" s="144">
        <v>0</v>
      </c>
      <c r="CQ138" s="143">
        <v>0</v>
      </c>
      <c r="CR138" s="145">
        <v>0</v>
      </c>
      <c r="CS138" s="145">
        <v>0</v>
      </c>
      <c r="CT138" s="145">
        <v>0</v>
      </c>
      <c r="CU138" s="145">
        <v>0</v>
      </c>
      <c r="CV138" s="145">
        <v>0</v>
      </c>
      <c r="CW138" s="145">
        <v>0</v>
      </c>
      <c r="CX138" s="145">
        <v>0</v>
      </c>
      <c r="CY138" s="145">
        <v>0</v>
      </c>
      <c r="CZ138" s="145">
        <v>0</v>
      </c>
      <c r="DA138" s="145">
        <v>0</v>
      </c>
      <c r="DB138" s="145">
        <v>0</v>
      </c>
      <c r="DC138" s="145">
        <v>0</v>
      </c>
      <c r="DD138" s="145">
        <v>0</v>
      </c>
      <c r="DE138" s="145">
        <v>0</v>
      </c>
      <c r="DF138" s="145">
        <v>0</v>
      </c>
      <c r="DG138" s="145">
        <v>0</v>
      </c>
      <c r="DH138" s="145">
        <v>0</v>
      </c>
      <c r="DI138" s="145">
        <v>0</v>
      </c>
      <c r="DJ138" s="145">
        <v>0</v>
      </c>
      <c r="DK138" s="145">
        <v>0</v>
      </c>
      <c r="DL138" s="145">
        <v>0</v>
      </c>
      <c r="DM138" s="145">
        <v>0</v>
      </c>
      <c r="DN138" s="145">
        <v>0</v>
      </c>
      <c r="DO138" s="145">
        <v>0</v>
      </c>
      <c r="DP138" s="145">
        <v>0</v>
      </c>
      <c r="DQ138" s="145">
        <v>13314.6</v>
      </c>
      <c r="DR138" s="145">
        <v>13711.8</v>
      </c>
      <c r="DS138" s="145">
        <v>13711.8</v>
      </c>
      <c r="DT138" s="145">
        <v>13711.8</v>
      </c>
      <c r="DU138" s="145">
        <v>22853</v>
      </c>
      <c r="DV138" s="145">
        <v>22853</v>
      </c>
      <c r="DW138" s="145">
        <v>22853</v>
      </c>
      <c r="DX138" s="145">
        <v>0</v>
      </c>
      <c r="DY138" s="145">
        <v>0</v>
      </c>
      <c r="DZ138" s="145">
        <v>0</v>
      </c>
      <c r="EA138" s="145">
        <v>0</v>
      </c>
      <c r="EB138" s="145">
        <v>0</v>
      </c>
      <c r="EC138" s="145">
        <v>36564.800000000003</v>
      </c>
      <c r="ED138" s="145">
        <v>23537.5</v>
      </c>
      <c r="EE138" s="145">
        <v>23537.5</v>
      </c>
      <c r="EF138" s="145">
        <v>23537.5</v>
      </c>
      <c r="EG138" s="145">
        <v>23537.5</v>
      </c>
      <c r="EH138" s="145">
        <v>0</v>
      </c>
      <c r="EI138" s="145">
        <v>0</v>
      </c>
      <c r="EJ138" s="145">
        <v>0</v>
      </c>
      <c r="EK138" s="145">
        <v>0</v>
      </c>
      <c r="EL138" s="145">
        <v>0</v>
      </c>
      <c r="EM138" s="145">
        <v>0</v>
      </c>
      <c r="EN138" s="145">
        <v>0</v>
      </c>
      <c r="EO138" s="145">
        <v>0</v>
      </c>
      <c r="EP138" s="145">
        <v>0</v>
      </c>
      <c r="EQ138" s="145">
        <v>0</v>
      </c>
      <c r="ER138" s="145">
        <v>0</v>
      </c>
      <c r="ES138" s="145">
        <v>0</v>
      </c>
      <c r="ET138" s="145">
        <v>0</v>
      </c>
      <c r="EU138" s="145">
        <v>0</v>
      </c>
      <c r="EV138" s="145">
        <v>0</v>
      </c>
      <c r="EW138" s="145">
        <v>0</v>
      </c>
      <c r="EX138" s="145">
        <v>0</v>
      </c>
      <c r="EY138" s="145">
        <v>0</v>
      </c>
      <c r="EZ138" s="145">
        <v>0</v>
      </c>
      <c r="FA138" s="145">
        <v>0</v>
      </c>
      <c r="FB138" s="145">
        <v>0</v>
      </c>
      <c r="FC138" s="145">
        <v>0</v>
      </c>
      <c r="FD138" s="145">
        <v>0</v>
      </c>
      <c r="FE138" s="145">
        <v>0</v>
      </c>
      <c r="FF138" s="145">
        <v>0</v>
      </c>
      <c r="FG138" s="145">
        <v>0</v>
      </c>
      <c r="FH138" s="145">
        <v>0</v>
      </c>
      <c r="FI138" s="145">
        <v>0</v>
      </c>
      <c r="FJ138" s="145">
        <v>0</v>
      </c>
      <c r="FK138" s="145">
        <v>0</v>
      </c>
      <c r="FL138" s="145">
        <v>0</v>
      </c>
      <c r="FM138" s="145">
        <v>0</v>
      </c>
      <c r="FN138" s="145">
        <v>0</v>
      </c>
      <c r="FO138" s="145">
        <v>0</v>
      </c>
      <c r="FP138" s="145">
        <v>0</v>
      </c>
      <c r="FQ138" s="145">
        <v>0</v>
      </c>
      <c r="FR138" s="145">
        <v>0</v>
      </c>
      <c r="FS138" s="145">
        <v>0</v>
      </c>
      <c r="FT138" s="145">
        <v>0</v>
      </c>
      <c r="FU138" s="145">
        <v>0</v>
      </c>
      <c r="FV138" s="145">
        <v>0</v>
      </c>
      <c r="FW138" s="145">
        <v>0</v>
      </c>
      <c r="FX138" s="143"/>
      <c r="FY138" s="146" t="str">
        <f>_xlfn.XLOOKUP($E138,'Key assumptions'!$B$112:$B$120,'Key assumptions'!$C$112:$C$120,0)</f>
        <v>Nominal</v>
      </c>
      <c r="FZ138" s="146" cm="1">
        <f t="array" ref="FZ138">IF($FY138=0,0,_xlfn.IFS($FY138='Key assumptions'!$C$120,_xlfn.XLOOKUP(LEFT(FZ$7,6),Inflation_Year,Inflation_NominaltoReal),TRUE,_xlfn.XLOOKUP($FY138,Inflation_Year,NominaltoReal)))</f>
        <v>1.0197075870962191</v>
      </c>
      <c r="GA138" s="146" cm="1">
        <f t="array" ref="GA138">IF($FY138=0,0,_xlfn.IFS($FY138='Key assumptions'!$C$120,_xlfn.XLOOKUP(LEFT(GA$7,6),Inflation_Year,Inflation_NominaltoReal),TRUE,_xlfn.XLOOKUP($FY138,Inflation_Year,NominaltoReal)))</f>
        <v>0.98700804022984445</v>
      </c>
      <c r="GB138" s="146" cm="1">
        <f t="array" ref="GB138">IF($FY138=0,0,_xlfn.IFS($FY138='Key assumptions'!$C$120,_xlfn.XLOOKUP(LEFT(GB$7,6),Inflation_Year,Inflation_NominaltoReal),TRUE,_xlfn.XLOOKUP($FY138,Inflation_Year,NominaltoReal)))</f>
        <v>0.96152830081941731</v>
      </c>
      <c r="GC138" s="146" cm="1">
        <f t="array" ref="GC138">IF($FY138=0,0,_xlfn.IFS($FY138='Key assumptions'!$C$120,_xlfn.XLOOKUP(LEFT(GC$7,6),Inflation_Year,Inflation_NominaltoReal),TRUE,_xlfn.XLOOKUP($FY138,Inflation_Year,NominaltoReal)))</f>
        <v>0.93670632415656829</v>
      </c>
      <c r="GD138" s="146" cm="1">
        <f t="array" ref="GD138">IF($FY138=0,0,_xlfn.IFS($FY138='Key assumptions'!$C$120,_xlfn.XLOOKUP(LEFT(GD$7,6),Inflation_Year,Inflation_NominaltoReal),TRUE,_xlfn.XLOOKUP($FY138,Inflation_Year,NominaltoReal)))</f>
        <v>0.91252513001143176</v>
      </c>
      <c r="GE138" s="146" cm="1">
        <f t="array" ref="GE138">IF($FY138=0,0,_xlfn.IFS($FY138='Key assumptions'!$C$120,_xlfn.XLOOKUP(LEFT(GE$7,6),Inflation_Year,Inflation_NominaltoReal),TRUE,_xlfn.XLOOKUP($FY138,Inflation_Year,NominaltoReal)))</f>
        <v>0.88896817650095872</v>
      </c>
      <c r="GF138" s="146" cm="1">
        <f t="array" ref="GF138">IF($FY138=0,0,_xlfn.IFS($FY138='Key assumptions'!$C$120,_xlfn.XLOOKUP(LEFT(GF$7,6),Inflation_Year,Inflation_NominaltoReal),TRUE,_xlfn.XLOOKUP($FY138,Inflation_Year,NominaltoReal)))</f>
        <v>0.86601934877293718</v>
      </c>
      <c r="GG138" s="143"/>
      <c r="GH138" s="145" cm="1">
        <f t="array" ref="GH138">SUMPRODUCT(--($CR$7:$FW$7&gt;=GH$5),--($CR$7:$FW$7&lt;=GH$6),$CR138:$FW138)*FZ138</f>
        <v>0</v>
      </c>
      <c r="GI138" s="145" cm="1">
        <f t="array" ref="GI138">SUMPRODUCT(--($CR$7:$FW$7&gt;=GI$5),--($CR$7:$FW$7&lt;=GI$6),$CR138:$FW138)*GA138</f>
        <v>121410.87202063293</v>
      </c>
      <c r="GJ138" s="145" cm="1">
        <f t="array" ref="GJ138">SUMPRODUCT(--($CR$7:$FW$7&gt;=GJ$5),--($CR$7:$FW$7&lt;=GJ$6),$CR138:$FW138)*GB138</f>
        <v>125685.97953594997</v>
      </c>
      <c r="GK138" s="145" cm="1">
        <f t="array" ref="GK138">SUMPRODUCT(--($CR$7:$FW$7&gt;=GK$5),--($CR$7:$FW$7&lt;=GK$6),$CR138:$FW138)*GC138</f>
        <v>0</v>
      </c>
      <c r="GL138" s="145" cm="1">
        <f t="array" ref="GL138">SUMPRODUCT(--($CR$7:$FW$7&gt;=GL$5),--($CR$7:$FW$7&lt;=GL$6),$CR138:$FW138)*GD138</f>
        <v>0</v>
      </c>
      <c r="GM138" s="145" cm="1">
        <f t="array" ref="GM138">SUMPRODUCT(--($CR$7:$FW$7&gt;=GM$5),--($CR$7:$FW$7&lt;=GM$6),$CR138:$FW138)*GE138</f>
        <v>0</v>
      </c>
      <c r="GN138" s="145" cm="1">
        <f t="array" ref="GN138">SUMPRODUCT(--($CR$7:$FW$7&gt;=GN$5),--($CR$7:$FW$7&lt;=GN$6),$CR138:$FW138)*GF138</f>
        <v>0</v>
      </c>
      <c r="GO138" s="145">
        <f t="shared" si="46"/>
        <v>247096.8515565829</v>
      </c>
      <c r="GP138" s="87"/>
      <c r="GR138" s="145" cm="1">
        <f t="array" ref="GR138">SUMPRODUCT(--($CR$7:$FW$7&gt;=GR$5),--($CR$7:$FW$7&lt;=GR$6),$CR138:$FW138)</f>
        <v>0</v>
      </c>
      <c r="GT138" s="214" cm="1">
        <f t="array" ref="GT138">--AND(MIN(IF($K138:$CP138&lt;&gt;0,$K$7:$CP$7))&gt;=GT$5,MIN(IF($K138:$CP138&lt;&gt;0,$K$7:$CP$7))&lt;=GT$6)</f>
        <v>0</v>
      </c>
      <c r="GU138" s="214" cm="1">
        <f t="array" ref="GU138">--AND(MIN(IF($K138:$CP138&lt;&gt;0,$K$7:$CP$7))&gt;=GU$5,MIN(IF($K138:$CP138&lt;&gt;0,$K$7:$CP$7))&lt;=GU$6)</f>
        <v>1</v>
      </c>
      <c r="GV138" s="214" cm="1">
        <f t="array" ref="GV138">--AND(MIN(IF($K138:$CP138&lt;&gt;0,$K$7:$CP$7))&gt;=GV$5,MIN(IF($K138:$CP138&lt;&gt;0,$K$7:$CP$7))&lt;=GV$6)</f>
        <v>0</v>
      </c>
      <c r="GW138" s="214" cm="1">
        <f t="array" ref="GW138">--AND(MIN(IF($K138:$CP138&lt;&gt;0,$K$7:$CP$7))&gt;=GW$5,MIN(IF($K138:$CP138&lt;&gt;0,$K$7:$CP$7))&lt;=GW$6)</f>
        <v>0</v>
      </c>
      <c r="GX138" s="214" cm="1">
        <f t="array" ref="GX138">--AND(MIN(IF($K138:$CP138&lt;&gt;0,$K$7:$CP$7))&gt;=GX$5,MIN(IF($K138:$CP138&lt;&gt;0,$K$7:$CP$7))&lt;=GX$6)</f>
        <v>0</v>
      </c>
      <c r="GY138" s="214" cm="1">
        <f t="array" ref="GY138">--AND(MIN(IF($K138:$CP138&lt;&gt;0,$K$7:$CP$7))&gt;=GY$5,MIN(IF($K138:$CP138&lt;&gt;0,$K$7:$CP$7))&lt;=GY$6)</f>
        <v>0</v>
      </c>
      <c r="GZ138" s="214" cm="1">
        <f t="array" ref="GZ138">--AND(MIN(IF($K138:$CP138&lt;&gt;0,$K$7:$CP$7))&gt;=GZ$5,MIN(IF($K138:$CP138&lt;&gt;0,$K$7:$CP$7))&lt;=GZ$6)</f>
        <v>0</v>
      </c>
      <c r="HA138" s="214">
        <f t="shared" si="47"/>
        <v>1</v>
      </c>
      <c r="HC138" s="214" cm="1">
        <f t="array" ref="HC138">--AND(MIN(IF($K138:$CP138&lt;&gt;0,$K$7:$CP$7))&gt;=HC$5,MIN(IF($K138:$CP138&lt;&gt;0,$K$7:$CP$7))&lt;=HC$6)</f>
        <v>0</v>
      </c>
      <c r="HE138" s="147" t="str">
        <f t="shared" si="66"/>
        <v>No</v>
      </c>
      <c r="HF138" s="147" t="str">
        <f t="shared" si="67"/>
        <v>Yes</v>
      </c>
      <c r="HG138" s="147">
        <f>IF($HF138="Yes",0,$H138*avg_hrs*12*'Key assumptions'!$D$87)</f>
        <v>0</v>
      </c>
      <c r="HH138" s="147">
        <f>IF(HE138="Yes",'Key assumptions'!$D$84*HG138,0)</f>
        <v>0</v>
      </c>
      <c r="HI138" s="144">
        <f>IFERROR(AVERAGEIFS($K138:$CP138,$K$7:$CP$7,"&gt;="&amp;'Key assumptions'!$D$24,$K$7:$CP$7,"&lt;="&amp;'Key assumptions'!$D$25),0)</f>
        <v>9.1307814992025532E-2</v>
      </c>
      <c r="HJ138" s="148">
        <f t="shared" si="48"/>
        <v>0</v>
      </c>
      <c r="HK138" s="148">
        <f t="shared" si="49"/>
        <v>0</v>
      </c>
      <c r="HL138" s="148">
        <f t="shared" si="50"/>
        <v>0</v>
      </c>
      <c r="HM138" s="148">
        <f t="shared" si="51"/>
        <v>0</v>
      </c>
      <c r="HN138" s="148">
        <f t="shared" si="52"/>
        <v>0</v>
      </c>
      <c r="HO138" s="148">
        <f t="shared" si="53"/>
        <v>0</v>
      </c>
      <c r="HP138" s="148">
        <f t="shared" si="54"/>
        <v>0</v>
      </c>
      <c r="HQ138" s="148">
        <f t="shared" si="55"/>
        <v>0</v>
      </c>
      <c r="HR138" s="147">
        <f t="shared" si="56"/>
        <v>0</v>
      </c>
      <c r="HU138" s="147">
        <f>$HJ138*HC138/(1+'Key assumptions'!G160)^0.75</f>
        <v>0</v>
      </c>
      <c r="HW138" s="216">
        <f t="shared" si="57"/>
        <v>0</v>
      </c>
      <c r="HX138" s="216">
        <f t="shared" si="58"/>
        <v>9.1307814992025532E-2</v>
      </c>
      <c r="HY138" s="216">
        <f t="shared" si="59"/>
        <v>0</v>
      </c>
      <c r="HZ138" s="216">
        <f t="shared" si="60"/>
        <v>0</v>
      </c>
      <c r="IA138" s="216">
        <f t="shared" si="61"/>
        <v>0</v>
      </c>
      <c r="IB138" s="216">
        <f t="shared" si="62"/>
        <v>0</v>
      </c>
      <c r="IC138" s="216">
        <f t="shared" si="63"/>
        <v>0</v>
      </c>
      <c r="ID138" s="216">
        <f t="shared" si="64"/>
        <v>9.1307814992025532E-2</v>
      </c>
      <c r="IF138" s="216">
        <f t="shared" si="65"/>
        <v>0</v>
      </c>
    </row>
    <row r="139" spans="2:240" x14ac:dyDescent="0.2">
      <c r="B139" s="141" t="str">
        <v>Project Delivery Management - Commissioning</v>
      </c>
      <c r="C139" s="141" t="str">
        <v>Resource Coordinator (Construction)</v>
      </c>
      <c r="D139" s="141" t="str">
        <v>Internal Labour</v>
      </c>
      <c r="E139" s="141" t="str">
        <v>$ Nominal</v>
      </c>
      <c r="F139" s="141" t="str">
        <v>Existing</v>
      </c>
      <c r="G139" s="141" t="str">
        <v>Normal time</v>
      </c>
      <c r="H139" s="142">
        <v>202.73</v>
      </c>
      <c r="I139" s="126">
        <v>70187.879999999976</v>
      </c>
      <c r="J139" s="143">
        <v>0</v>
      </c>
      <c r="K139" s="144">
        <v>0</v>
      </c>
      <c r="L139" s="144">
        <v>0</v>
      </c>
      <c r="M139" s="144">
        <v>0</v>
      </c>
      <c r="N139" s="144">
        <v>0</v>
      </c>
      <c r="O139" s="144">
        <v>0</v>
      </c>
      <c r="P139" s="144">
        <v>0</v>
      </c>
      <c r="Q139" s="144">
        <v>0</v>
      </c>
      <c r="R139" s="144">
        <v>0</v>
      </c>
      <c r="S139" s="144">
        <v>0</v>
      </c>
      <c r="T139" s="144">
        <v>0</v>
      </c>
      <c r="U139" s="144">
        <v>0</v>
      </c>
      <c r="V139" s="144">
        <v>0</v>
      </c>
      <c r="W139" s="144">
        <v>0</v>
      </c>
      <c r="X139" s="144">
        <v>0</v>
      </c>
      <c r="Y139" s="144">
        <v>0</v>
      </c>
      <c r="Z139" s="144">
        <v>0</v>
      </c>
      <c r="AA139" s="144">
        <v>0</v>
      </c>
      <c r="AB139" s="144">
        <v>0</v>
      </c>
      <c r="AC139" s="144">
        <v>0</v>
      </c>
      <c r="AD139" s="144">
        <v>0</v>
      </c>
      <c r="AE139" s="144">
        <v>0.1</v>
      </c>
      <c r="AF139" s="144">
        <v>0.1</v>
      </c>
      <c r="AG139" s="144">
        <v>0.1</v>
      </c>
      <c r="AH139" s="144">
        <v>0.13333333333333333</v>
      </c>
      <c r="AI139" s="144">
        <v>0.13333333333333333</v>
      </c>
      <c r="AJ139" s="144">
        <v>0.1</v>
      </c>
      <c r="AK139" s="144">
        <v>0.1</v>
      </c>
      <c r="AL139" s="144">
        <v>0.13333333333333333</v>
      </c>
      <c r="AM139" s="144">
        <v>9.2105263157894732E-2</v>
      </c>
      <c r="AN139" s="144">
        <v>9.2105263157894732E-2</v>
      </c>
      <c r="AO139" s="144">
        <v>0.1</v>
      </c>
      <c r="AP139" s="144">
        <v>0.1</v>
      </c>
      <c r="AQ139" s="144">
        <v>0.1</v>
      </c>
      <c r="AR139" s="144">
        <v>0.1</v>
      </c>
      <c r="AS139" s="144">
        <v>0.1</v>
      </c>
      <c r="AT139" s="144">
        <v>0.13333333333333333</v>
      </c>
      <c r="AU139" s="144">
        <v>0.13333333333333333</v>
      </c>
      <c r="AV139" s="144">
        <v>0.1</v>
      </c>
      <c r="AW139" s="144">
        <v>0.1</v>
      </c>
      <c r="AX139" s="144">
        <v>0.13333333333333333</v>
      </c>
      <c r="AY139" s="144">
        <v>9.2105263157894732E-2</v>
      </c>
      <c r="AZ139" s="144">
        <v>9.2105263157894732E-2</v>
      </c>
      <c r="BA139" s="144">
        <v>0.1</v>
      </c>
      <c r="BB139" s="144">
        <v>0.1</v>
      </c>
      <c r="BC139" s="144">
        <v>0</v>
      </c>
      <c r="BD139" s="144">
        <v>0</v>
      </c>
      <c r="BE139" s="144">
        <v>0</v>
      </c>
      <c r="BF139" s="144">
        <v>0</v>
      </c>
      <c r="BG139" s="144">
        <v>0</v>
      </c>
      <c r="BH139" s="144">
        <v>0</v>
      </c>
      <c r="BI139" s="144">
        <v>0</v>
      </c>
      <c r="BJ139" s="144">
        <v>0</v>
      </c>
      <c r="BK139" s="144">
        <v>0</v>
      </c>
      <c r="BL139" s="144">
        <v>0</v>
      </c>
      <c r="BM139" s="144">
        <v>0</v>
      </c>
      <c r="BN139" s="144">
        <v>0</v>
      </c>
      <c r="BO139" s="144">
        <v>0</v>
      </c>
      <c r="BP139" s="144">
        <v>0</v>
      </c>
      <c r="BQ139" s="144">
        <v>0</v>
      </c>
      <c r="BR139" s="144">
        <v>0</v>
      </c>
      <c r="BS139" s="144">
        <v>0</v>
      </c>
      <c r="BT139" s="144">
        <v>0</v>
      </c>
      <c r="BU139" s="144">
        <v>0</v>
      </c>
      <c r="BV139" s="144">
        <v>0</v>
      </c>
      <c r="BW139" s="144">
        <v>0</v>
      </c>
      <c r="BX139" s="144">
        <v>0</v>
      </c>
      <c r="BY139" s="144">
        <v>0</v>
      </c>
      <c r="BZ139" s="144">
        <v>0</v>
      </c>
      <c r="CA139" s="144">
        <v>0</v>
      </c>
      <c r="CB139" s="144">
        <v>0</v>
      </c>
      <c r="CC139" s="144">
        <v>0</v>
      </c>
      <c r="CD139" s="144">
        <v>0</v>
      </c>
      <c r="CE139" s="144">
        <v>0</v>
      </c>
      <c r="CF139" s="144">
        <v>0</v>
      </c>
      <c r="CG139" s="144">
        <v>0</v>
      </c>
      <c r="CH139" s="144">
        <v>0</v>
      </c>
      <c r="CI139" s="144">
        <v>0</v>
      </c>
      <c r="CJ139" s="144">
        <v>0</v>
      </c>
      <c r="CK139" s="144">
        <v>0</v>
      </c>
      <c r="CL139" s="144">
        <v>0</v>
      </c>
      <c r="CM139" s="144">
        <v>0</v>
      </c>
      <c r="CN139" s="144">
        <v>0</v>
      </c>
      <c r="CO139" s="144">
        <v>0</v>
      </c>
      <c r="CP139" s="144">
        <v>0</v>
      </c>
      <c r="CQ139" s="143">
        <v>0</v>
      </c>
      <c r="CR139" s="145">
        <v>0</v>
      </c>
      <c r="CS139" s="145">
        <v>0</v>
      </c>
      <c r="CT139" s="145">
        <v>0</v>
      </c>
      <c r="CU139" s="145">
        <v>0</v>
      </c>
      <c r="CV139" s="145">
        <v>0</v>
      </c>
      <c r="CW139" s="145">
        <v>0</v>
      </c>
      <c r="CX139" s="145">
        <v>0</v>
      </c>
      <c r="CY139" s="145">
        <v>0</v>
      </c>
      <c r="CZ139" s="145">
        <v>0</v>
      </c>
      <c r="DA139" s="145">
        <v>0</v>
      </c>
      <c r="DB139" s="145">
        <v>0</v>
      </c>
      <c r="DC139" s="145">
        <v>0</v>
      </c>
      <c r="DD139" s="145">
        <v>0</v>
      </c>
      <c r="DE139" s="145">
        <v>0</v>
      </c>
      <c r="DF139" s="145">
        <v>0</v>
      </c>
      <c r="DG139" s="145">
        <v>0</v>
      </c>
      <c r="DH139" s="145">
        <v>0</v>
      </c>
      <c r="DI139" s="145">
        <v>0</v>
      </c>
      <c r="DJ139" s="145">
        <v>0</v>
      </c>
      <c r="DK139" s="145">
        <v>0</v>
      </c>
      <c r="DL139" s="145">
        <v>2838.22</v>
      </c>
      <c r="DM139" s="145">
        <v>2838.22</v>
      </c>
      <c r="DN139" s="145">
        <v>2838.22</v>
      </c>
      <c r="DO139" s="145">
        <v>2838.22</v>
      </c>
      <c r="DP139" s="145">
        <v>2838.22</v>
      </c>
      <c r="DQ139" s="145">
        <v>2838.22</v>
      </c>
      <c r="DR139" s="145">
        <v>2924.46</v>
      </c>
      <c r="DS139" s="145">
        <v>2924.46</v>
      </c>
      <c r="DT139" s="145">
        <v>2924.46</v>
      </c>
      <c r="DU139" s="145">
        <v>2924.46</v>
      </c>
      <c r="DV139" s="145">
        <v>2924.46</v>
      </c>
      <c r="DW139" s="145">
        <v>2924.46</v>
      </c>
      <c r="DX139" s="145">
        <v>2924.46</v>
      </c>
      <c r="DY139" s="145">
        <v>2924.46</v>
      </c>
      <c r="DZ139" s="145">
        <v>2924.46</v>
      </c>
      <c r="EA139" s="145">
        <v>2924.46</v>
      </c>
      <c r="EB139" s="145">
        <v>2924.46</v>
      </c>
      <c r="EC139" s="145">
        <v>2924.46</v>
      </c>
      <c r="ED139" s="145">
        <v>3010.84</v>
      </c>
      <c r="EE139" s="145">
        <v>3010.84</v>
      </c>
      <c r="EF139" s="145">
        <v>3010.84</v>
      </c>
      <c r="EG139" s="145">
        <v>3010.84</v>
      </c>
      <c r="EH139" s="145">
        <v>3010.84</v>
      </c>
      <c r="EI139" s="145">
        <v>3010.84</v>
      </c>
      <c r="EJ139" s="145">
        <v>0</v>
      </c>
      <c r="EK139" s="145">
        <v>0</v>
      </c>
      <c r="EL139" s="145">
        <v>0</v>
      </c>
      <c r="EM139" s="145">
        <v>0</v>
      </c>
      <c r="EN139" s="145">
        <v>0</v>
      </c>
      <c r="EO139" s="145">
        <v>0</v>
      </c>
      <c r="EP139" s="145">
        <v>0</v>
      </c>
      <c r="EQ139" s="145">
        <v>0</v>
      </c>
      <c r="ER139" s="145">
        <v>0</v>
      </c>
      <c r="ES139" s="145">
        <v>0</v>
      </c>
      <c r="ET139" s="145">
        <v>0</v>
      </c>
      <c r="EU139" s="145">
        <v>0</v>
      </c>
      <c r="EV139" s="145">
        <v>0</v>
      </c>
      <c r="EW139" s="145">
        <v>0</v>
      </c>
      <c r="EX139" s="145">
        <v>0</v>
      </c>
      <c r="EY139" s="145">
        <v>0</v>
      </c>
      <c r="EZ139" s="145">
        <v>0</v>
      </c>
      <c r="FA139" s="145">
        <v>0</v>
      </c>
      <c r="FB139" s="145">
        <v>0</v>
      </c>
      <c r="FC139" s="145">
        <v>0</v>
      </c>
      <c r="FD139" s="145">
        <v>0</v>
      </c>
      <c r="FE139" s="145">
        <v>0</v>
      </c>
      <c r="FF139" s="145">
        <v>0</v>
      </c>
      <c r="FG139" s="145">
        <v>0</v>
      </c>
      <c r="FH139" s="145">
        <v>0</v>
      </c>
      <c r="FI139" s="145">
        <v>0</v>
      </c>
      <c r="FJ139" s="145">
        <v>0</v>
      </c>
      <c r="FK139" s="145">
        <v>0</v>
      </c>
      <c r="FL139" s="145">
        <v>0</v>
      </c>
      <c r="FM139" s="145">
        <v>0</v>
      </c>
      <c r="FN139" s="145">
        <v>0</v>
      </c>
      <c r="FO139" s="145">
        <v>0</v>
      </c>
      <c r="FP139" s="145">
        <v>0</v>
      </c>
      <c r="FQ139" s="145">
        <v>0</v>
      </c>
      <c r="FR139" s="145">
        <v>0</v>
      </c>
      <c r="FS139" s="145">
        <v>0</v>
      </c>
      <c r="FT139" s="145">
        <v>0</v>
      </c>
      <c r="FU139" s="145">
        <v>0</v>
      </c>
      <c r="FV139" s="145">
        <v>0</v>
      </c>
      <c r="FW139" s="145">
        <v>0</v>
      </c>
      <c r="FX139" s="143"/>
      <c r="FY139" s="146" t="str">
        <f>_xlfn.XLOOKUP($E139,'Key assumptions'!$B$112:$B$120,'Key assumptions'!$C$112:$C$120,0)</f>
        <v>Nominal</v>
      </c>
      <c r="FZ139" s="146" cm="1">
        <f t="array" ref="FZ139">IF($FY139=0,0,_xlfn.IFS($FY139='Key assumptions'!$C$120,_xlfn.XLOOKUP(LEFT(FZ$7,6),Inflation_Year,Inflation_NominaltoReal),TRUE,_xlfn.XLOOKUP($FY139,Inflation_Year,NominaltoReal)))</f>
        <v>1.0197075870962191</v>
      </c>
      <c r="GA139" s="146" cm="1">
        <f t="array" ref="GA139">IF($FY139=0,0,_xlfn.IFS($FY139='Key assumptions'!$C$120,_xlfn.XLOOKUP(LEFT(GA$7,6),Inflation_Year,Inflation_NominaltoReal),TRUE,_xlfn.XLOOKUP($FY139,Inflation_Year,NominaltoReal)))</f>
        <v>0.98700804022984445</v>
      </c>
      <c r="GB139" s="146" cm="1">
        <f t="array" ref="GB139">IF($FY139=0,0,_xlfn.IFS($FY139='Key assumptions'!$C$120,_xlfn.XLOOKUP(LEFT(GB$7,6),Inflation_Year,Inflation_NominaltoReal),TRUE,_xlfn.XLOOKUP($FY139,Inflation_Year,NominaltoReal)))</f>
        <v>0.96152830081941731</v>
      </c>
      <c r="GC139" s="146" cm="1">
        <f t="array" ref="GC139">IF($FY139=0,0,_xlfn.IFS($FY139='Key assumptions'!$C$120,_xlfn.XLOOKUP(LEFT(GC$7,6),Inflation_Year,Inflation_NominaltoReal),TRUE,_xlfn.XLOOKUP($FY139,Inflation_Year,NominaltoReal)))</f>
        <v>0.93670632415656829</v>
      </c>
      <c r="GD139" s="146" cm="1">
        <f t="array" ref="GD139">IF($FY139=0,0,_xlfn.IFS($FY139='Key assumptions'!$C$120,_xlfn.XLOOKUP(LEFT(GD$7,6),Inflation_Year,Inflation_NominaltoReal),TRUE,_xlfn.XLOOKUP($FY139,Inflation_Year,NominaltoReal)))</f>
        <v>0.91252513001143176</v>
      </c>
      <c r="GE139" s="146" cm="1">
        <f t="array" ref="GE139">IF($FY139=0,0,_xlfn.IFS($FY139='Key assumptions'!$C$120,_xlfn.XLOOKUP(LEFT(GE$7,6),Inflation_Year,Inflation_NominaltoReal),TRUE,_xlfn.XLOOKUP($FY139,Inflation_Year,NominaltoReal)))</f>
        <v>0.88896817650095872</v>
      </c>
      <c r="GF139" s="146" cm="1">
        <f t="array" ref="GF139">IF($FY139=0,0,_xlfn.IFS($FY139='Key assumptions'!$C$120,_xlfn.XLOOKUP(LEFT(GF$7,6),Inflation_Year,Inflation_NominaltoReal),TRUE,_xlfn.XLOOKUP($FY139,Inflation_Year,NominaltoReal)))</f>
        <v>0.86601934877293718</v>
      </c>
      <c r="GG139" s="143"/>
      <c r="GH139" s="145" cm="1">
        <f t="array" ref="GH139">SUMPRODUCT(--($CR$7:$FW$7&gt;=GH$5),--($CR$7:$FW$7&lt;=GH$6),$CR139:$FW139)*FZ139</f>
        <v>2894.154467848231</v>
      </c>
      <c r="GI139" s="145" cm="1">
        <f t="array" ref="GI139">SUMPRODUCT(--($CR$7:$FW$7&gt;=GI$5),--($CR$7:$FW$7&lt;=GI$6),$CR139:$FW139)*GA139</f>
        <v>34211.988533019736</v>
      </c>
      <c r="GJ139" s="145" cm="1">
        <f t="array" ref="GJ139">SUMPRODUCT(--($CR$7:$FW$7&gt;=GJ$5),--($CR$7:$FW$7&lt;=GJ$6),$CR139:$FW139)*GB139</f>
        <v>31429.802488506572</v>
      </c>
      <c r="GK139" s="145" cm="1">
        <f t="array" ref="GK139">SUMPRODUCT(--($CR$7:$FW$7&gt;=GK$5),--($CR$7:$FW$7&lt;=GK$6),$CR139:$FW139)*GC139</f>
        <v>0</v>
      </c>
      <c r="GL139" s="145" cm="1">
        <f t="array" ref="GL139">SUMPRODUCT(--($CR$7:$FW$7&gt;=GL$5),--($CR$7:$FW$7&lt;=GL$6),$CR139:$FW139)*GD139</f>
        <v>0</v>
      </c>
      <c r="GM139" s="145" cm="1">
        <f t="array" ref="GM139">SUMPRODUCT(--($CR$7:$FW$7&gt;=GM$5),--($CR$7:$FW$7&lt;=GM$6),$CR139:$FW139)*GE139</f>
        <v>0</v>
      </c>
      <c r="GN139" s="145" cm="1">
        <f t="array" ref="GN139">SUMPRODUCT(--($CR$7:$FW$7&gt;=GN$5),--($CR$7:$FW$7&lt;=GN$6),$CR139:$FW139)*GF139</f>
        <v>0</v>
      </c>
      <c r="GO139" s="145">
        <f t="shared" si="46"/>
        <v>68535.945489374542</v>
      </c>
      <c r="GP139" s="87"/>
      <c r="GR139" s="145" cm="1">
        <f t="array" ref="GR139">SUMPRODUCT(--($CR$7:$FW$7&gt;=GR$5),--($CR$7:$FW$7&lt;=GR$6),$CR139:$FW139)</f>
        <v>0</v>
      </c>
      <c r="GT139" s="214" cm="1">
        <f t="array" ref="GT139">--AND(MIN(IF($K139:$CP139&lt;&gt;0,$K$7:$CP$7))&gt;=GT$5,MIN(IF($K139:$CP139&lt;&gt;0,$K$7:$CP$7))&lt;=GT$6)</f>
        <v>1</v>
      </c>
      <c r="GU139" s="214" cm="1">
        <f t="array" ref="GU139">--AND(MIN(IF($K139:$CP139&lt;&gt;0,$K$7:$CP$7))&gt;=GU$5,MIN(IF($K139:$CP139&lt;&gt;0,$K$7:$CP$7))&lt;=GU$6)</f>
        <v>0</v>
      </c>
      <c r="GV139" s="214" cm="1">
        <f t="array" ref="GV139">--AND(MIN(IF($K139:$CP139&lt;&gt;0,$K$7:$CP$7))&gt;=GV$5,MIN(IF($K139:$CP139&lt;&gt;0,$K$7:$CP$7))&lt;=GV$6)</f>
        <v>0</v>
      </c>
      <c r="GW139" s="214" cm="1">
        <f t="array" ref="GW139">--AND(MIN(IF($K139:$CP139&lt;&gt;0,$K$7:$CP$7))&gt;=GW$5,MIN(IF($K139:$CP139&lt;&gt;0,$K$7:$CP$7))&lt;=GW$6)</f>
        <v>0</v>
      </c>
      <c r="GX139" s="214" cm="1">
        <f t="array" ref="GX139">--AND(MIN(IF($K139:$CP139&lt;&gt;0,$K$7:$CP$7))&gt;=GX$5,MIN(IF($K139:$CP139&lt;&gt;0,$K$7:$CP$7))&lt;=GX$6)</f>
        <v>0</v>
      </c>
      <c r="GY139" s="214" cm="1">
        <f t="array" ref="GY139">--AND(MIN(IF($K139:$CP139&lt;&gt;0,$K$7:$CP$7))&gt;=GY$5,MIN(IF($K139:$CP139&lt;&gt;0,$K$7:$CP$7))&lt;=GY$6)</f>
        <v>0</v>
      </c>
      <c r="GZ139" s="214" cm="1">
        <f t="array" ref="GZ139">--AND(MIN(IF($K139:$CP139&lt;&gt;0,$K$7:$CP$7))&gt;=GZ$5,MIN(IF($K139:$CP139&lt;&gt;0,$K$7:$CP$7))&lt;=GZ$6)</f>
        <v>0</v>
      </c>
      <c r="HA139" s="214">
        <f t="shared" si="47"/>
        <v>1</v>
      </c>
      <c r="HC139" s="214" cm="1">
        <f t="array" ref="HC139">--AND(MIN(IF($K139:$CP139&lt;&gt;0,$K$7:$CP$7))&gt;=HC$5,MIN(IF($K139:$CP139&lt;&gt;0,$K$7:$CP$7))&lt;=HC$6)</f>
        <v>0</v>
      </c>
      <c r="HE139" s="147" t="str">
        <f t="shared" si="66"/>
        <v>No</v>
      </c>
      <c r="HF139" s="147" t="str">
        <f t="shared" si="67"/>
        <v>No</v>
      </c>
      <c r="HG139" s="147">
        <f>IF($HF139="Yes",0,$H139*avg_hrs*12*'Key assumptions'!$D$87)</f>
        <v>362535.77629630821</v>
      </c>
      <c r="HH139" s="147">
        <f>IF(HE139="Yes",'Key assumptions'!$D$84*HG139,0)</f>
        <v>0</v>
      </c>
      <c r="HI139" s="144">
        <f>IFERROR(AVERAGEIFS($K139:$CP139,$K$7:$CP$7,"&gt;="&amp;'Key assumptions'!$D$24,$K$7:$CP$7,"&lt;="&amp;'Key assumptions'!$D$25),0)</f>
        <v>5.8373205741626806E-2</v>
      </c>
      <c r="HJ139" s="148">
        <f t="shared" si="48"/>
        <v>0</v>
      </c>
      <c r="HK139" s="148">
        <f t="shared" si="49"/>
        <v>0</v>
      </c>
      <c r="HL139" s="148">
        <f t="shared" si="50"/>
        <v>0</v>
      </c>
      <c r="HM139" s="148">
        <f t="shared" si="51"/>
        <v>0</v>
      </c>
      <c r="HN139" s="148">
        <f t="shared" si="52"/>
        <v>0</v>
      </c>
      <c r="HO139" s="148">
        <f t="shared" si="53"/>
        <v>0</v>
      </c>
      <c r="HP139" s="148">
        <f t="shared" si="54"/>
        <v>0</v>
      </c>
      <c r="HQ139" s="148">
        <f t="shared" si="55"/>
        <v>0</v>
      </c>
      <c r="HR139" s="147">
        <f t="shared" si="56"/>
        <v>0</v>
      </c>
      <c r="HU139" s="147">
        <f>$HJ139*HC139/(1+'Key assumptions'!G161)^0.75</f>
        <v>0</v>
      </c>
      <c r="HW139" s="216">
        <f t="shared" si="57"/>
        <v>5.8373205741626806E-2</v>
      </c>
      <c r="HX139" s="216">
        <f t="shared" si="58"/>
        <v>0</v>
      </c>
      <c r="HY139" s="216">
        <f t="shared" si="59"/>
        <v>0</v>
      </c>
      <c r="HZ139" s="216">
        <f t="shared" si="60"/>
        <v>0</v>
      </c>
      <c r="IA139" s="216">
        <f t="shared" si="61"/>
        <v>0</v>
      </c>
      <c r="IB139" s="216">
        <f t="shared" si="62"/>
        <v>0</v>
      </c>
      <c r="IC139" s="216">
        <f t="shared" si="63"/>
        <v>0</v>
      </c>
      <c r="ID139" s="216">
        <f t="shared" si="64"/>
        <v>5.8373205741626806E-2</v>
      </c>
      <c r="IF139" s="216">
        <f t="shared" si="65"/>
        <v>0</v>
      </c>
    </row>
    <row r="140" spans="2:240" x14ac:dyDescent="0.2">
      <c r="B140" s="141" t="str">
        <v>Project Delivery Management - Commissioning</v>
      </c>
      <c r="C140" s="141" t="str">
        <v>SCADA Officer (Nwk Operations Tech)</v>
      </c>
      <c r="D140" s="141" t="str">
        <v>Internal Labour</v>
      </c>
      <c r="E140" s="141" t="str">
        <v>$ Nominal</v>
      </c>
      <c r="F140" s="141" t="str">
        <v>Existing</v>
      </c>
      <c r="G140" s="141" t="str">
        <v>Normal time</v>
      </c>
      <c r="H140" s="142">
        <v>202.73</v>
      </c>
      <c r="I140" s="126">
        <v>205356.62</v>
      </c>
      <c r="J140" s="143">
        <v>0</v>
      </c>
      <c r="K140" s="144">
        <v>0</v>
      </c>
      <c r="L140" s="144">
        <v>0</v>
      </c>
      <c r="M140" s="144">
        <v>0</v>
      </c>
      <c r="N140" s="144">
        <v>0</v>
      </c>
      <c r="O140" s="144">
        <v>0</v>
      </c>
      <c r="P140" s="144">
        <v>0</v>
      </c>
      <c r="Q140" s="144">
        <v>0</v>
      </c>
      <c r="R140" s="144">
        <v>0</v>
      </c>
      <c r="S140" s="144">
        <v>0</v>
      </c>
      <c r="T140" s="144">
        <v>0</v>
      </c>
      <c r="U140" s="144">
        <v>0</v>
      </c>
      <c r="V140" s="144">
        <v>0</v>
      </c>
      <c r="W140" s="144">
        <v>0</v>
      </c>
      <c r="X140" s="144">
        <v>0</v>
      </c>
      <c r="Y140" s="144">
        <v>0</v>
      </c>
      <c r="Z140" s="144">
        <v>0</v>
      </c>
      <c r="AA140" s="144">
        <v>0</v>
      </c>
      <c r="AB140" s="144">
        <v>0</v>
      </c>
      <c r="AC140" s="144">
        <v>0</v>
      </c>
      <c r="AD140" s="144">
        <v>0</v>
      </c>
      <c r="AE140" s="144">
        <v>0.5</v>
      </c>
      <c r="AF140" s="144">
        <v>0.5</v>
      </c>
      <c r="AG140" s="144">
        <v>0.5</v>
      </c>
      <c r="AH140" s="144">
        <v>0.66666666666666663</v>
      </c>
      <c r="AI140" s="144">
        <v>0</v>
      </c>
      <c r="AJ140" s="144">
        <v>0</v>
      </c>
      <c r="AK140" s="144">
        <v>0</v>
      </c>
      <c r="AL140" s="144">
        <v>0</v>
      </c>
      <c r="AM140" s="144">
        <v>0</v>
      </c>
      <c r="AN140" s="144">
        <v>0.23026315789473684</v>
      </c>
      <c r="AO140" s="144">
        <v>0.25</v>
      </c>
      <c r="AP140" s="144">
        <v>0.75</v>
      </c>
      <c r="AQ140" s="144">
        <v>0.5</v>
      </c>
      <c r="AR140" s="144">
        <v>0.5</v>
      </c>
      <c r="AS140" s="144">
        <v>0.5</v>
      </c>
      <c r="AT140" s="144">
        <v>0.66666666666666663</v>
      </c>
      <c r="AU140" s="144">
        <v>0.66666666666666663</v>
      </c>
      <c r="AV140" s="144">
        <v>0.25</v>
      </c>
      <c r="AW140" s="144">
        <v>0.25</v>
      </c>
      <c r="AX140" s="144">
        <v>0.33333333333333331</v>
      </c>
      <c r="AY140" s="144">
        <v>0.23026315789473684</v>
      </c>
      <c r="AZ140" s="144">
        <v>0.23026315789473684</v>
      </c>
      <c r="BA140" s="144">
        <v>0.05</v>
      </c>
      <c r="BB140" s="144">
        <v>0</v>
      </c>
      <c r="BC140" s="144">
        <v>0</v>
      </c>
      <c r="BD140" s="144">
        <v>0</v>
      </c>
      <c r="BE140" s="144">
        <v>0</v>
      </c>
      <c r="BF140" s="144">
        <v>0</v>
      </c>
      <c r="BG140" s="144">
        <v>0</v>
      </c>
      <c r="BH140" s="144">
        <v>0</v>
      </c>
      <c r="BI140" s="144">
        <v>0</v>
      </c>
      <c r="BJ140" s="144">
        <v>0</v>
      </c>
      <c r="BK140" s="144">
        <v>0</v>
      </c>
      <c r="BL140" s="144">
        <v>0</v>
      </c>
      <c r="BM140" s="144">
        <v>0</v>
      </c>
      <c r="BN140" s="144">
        <v>0</v>
      </c>
      <c r="BO140" s="144">
        <v>0</v>
      </c>
      <c r="BP140" s="144">
        <v>0</v>
      </c>
      <c r="BQ140" s="144">
        <v>0</v>
      </c>
      <c r="BR140" s="144">
        <v>0</v>
      </c>
      <c r="BS140" s="144">
        <v>0</v>
      </c>
      <c r="BT140" s="144">
        <v>0</v>
      </c>
      <c r="BU140" s="144">
        <v>0</v>
      </c>
      <c r="BV140" s="144">
        <v>0</v>
      </c>
      <c r="BW140" s="144">
        <v>0</v>
      </c>
      <c r="BX140" s="144">
        <v>0</v>
      </c>
      <c r="BY140" s="144">
        <v>0</v>
      </c>
      <c r="BZ140" s="144">
        <v>0</v>
      </c>
      <c r="CA140" s="144">
        <v>0</v>
      </c>
      <c r="CB140" s="144">
        <v>0</v>
      </c>
      <c r="CC140" s="144">
        <v>0</v>
      </c>
      <c r="CD140" s="144">
        <v>0</v>
      </c>
      <c r="CE140" s="144">
        <v>0</v>
      </c>
      <c r="CF140" s="144">
        <v>0</v>
      </c>
      <c r="CG140" s="144">
        <v>0</v>
      </c>
      <c r="CH140" s="144">
        <v>0</v>
      </c>
      <c r="CI140" s="144">
        <v>0</v>
      </c>
      <c r="CJ140" s="144">
        <v>0</v>
      </c>
      <c r="CK140" s="144">
        <v>0</v>
      </c>
      <c r="CL140" s="144">
        <v>0</v>
      </c>
      <c r="CM140" s="144">
        <v>0</v>
      </c>
      <c r="CN140" s="144">
        <v>0</v>
      </c>
      <c r="CO140" s="144">
        <v>0</v>
      </c>
      <c r="CP140" s="144">
        <v>0</v>
      </c>
      <c r="CQ140" s="143">
        <v>0</v>
      </c>
      <c r="CR140" s="145">
        <v>0</v>
      </c>
      <c r="CS140" s="145">
        <v>0</v>
      </c>
      <c r="CT140" s="145">
        <v>0</v>
      </c>
      <c r="CU140" s="145">
        <v>0</v>
      </c>
      <c r="CV140" s="145">
        <v>0</v>
      </c>
      <c r="CW140" s="145">
        <v>0</v>
      </c>
      <c r="CX140" s="145">
        <v>0</v>
      </c>
      <c r="CY140" s="145">
        <v>0</v>
      </c>
      <c r="CZ140" s="145">
        <v>0</v>
      </c>
      <c r="DA140" s="145">
        <v>0</v>
      </c>
      <c r="DB140" s="145">
        <v>0</v>
      </c>
      <c r="DC140" s="145">
        <v>0</v>
      </c>
      <c r="DD140" s="145">
        <v>0</v>
      </c>
      <c r="DE140" s="145">
        <v>0</v>
      </c>
      <c r="DF140" s="145">
        <v>0</v>
      </c>
      <c r="DG140" s="145">
        <v>0</v>
      </c>
      <c r="DH140" s="145">
        <v>0</v>
      </c>
      <c r="DI140" s="145">
        <v>0</v>
      </c>
      <c r="DJ140" s="145">
        <v>0</v>
      </c>
      <c r="DK140" s="145">
        <v>0</v>
      </c>
      <c r="DL140" s="145">
        <v>14191.099999999999</v>
      </c>
      <c r="DM140" s="145">
        <v>14191.099999999999</v>
      </c>
      <c r="DN140" s="145">
        <v>14191.099999999999</v>
      </c>
      <c r="DO140" s="145">
        <v>14191.099999999999</v>
      </c>
      <c r="DP140" s="145">
        <v>0</v>
      </c>
      <c r="DQ140" s="145">
        <v>0</v>
      </c>
      <c r="DR140" s="145">
        <v>0</v>
      </c>
      <c r="DS140" s="145">
        <v>0</v>
      </c>
      <c r="DT140" s="145">
        <v>0</v>
      </c>
      <c r="DU140" s="145">
        <v>7311.15</v>
      </c>
      <c r="DV140" s="145">
        <v>7311.15</v>
      </c>
      <c r="DW140" s="145">
        <v>21933.449999999997</v>
      </c>
      <c r="DX140" s="145">
        <v>14622.3</v>
      </c>
      <c r="DY140" s="145">
        <v>14622.3</v>
      </c>
      <c r="DZ140" s="145">
        <v>14622.3</v>
      </c>
      <c r="EA140" s="145">
        <v>14622.3</v>
      </c>
      <c r="EB140" s="145">
        <v>14622.3</v>
      </c>
      <c r="EC140" s="145">
        <v>7311.15</v>
      </c>
      <c r="ED140" s="145">
        <v>7527.1</v>
      </c>
      <c r="EE140" s="145">
        <v>7527.1</v>
      </c>
      <c r="EF140" s="145">
        <v>7527.1</v>
      </c>
      <c r="EG140" s="145">
        <v>7527.1</v>
      </c>
      <c r="EH140" s="145">
        <v>1505.42</v>
      </c>
      <c r="EI140" s="145">
        <v>0</v>
      </c>
      <c r="EJ140" s="145">
        <v>0</v>
      </c>
      <c r="EK140" s="145">
        <v>0</v>
      </c>
      <c r="EL140" s="145">
        <v>0</v>
      </c>
      <c r="EM140" s="145">
        <v>0</v>
      </c>
      <c r="EN140" s="145">
        <v>0</v>
      </c>
      <c r="EO140" s="145">
        <v>0</v>
      </c>
      <c r="EP140" s="145">
        <v>0</v>
      </c>
      <c r="EQ140" s="145">
        <v>0</v>
      </c>
      <c r="ER140" s="145">
        <v>0</v>
      </c>
      <c r="ES140" s="145">
        <v>0</v>
      </c>
      <c r="ET140" s="145">
        <v>0</v>
      </c>
      <c r="EU140" s="145">
        <v>0</v>
      </c>
      <c r="EV140" s="145">
        <v>0</v>
      </c>
      <c r="EW140" s="145">
        <v>0</v>
      </c>
      <c r="EX140" s="145">
        <v>0</v>
      </c>
      <c r="EY140" s="145">
        <v>0</v>
      </c>
      <c r="EZ140" s="145">
        <v>0</v>
      </c>
      <c r="FA140" s="145">
        <v>0</v>
      </c>
      <c r="FB140" s="145">
        <v>0</v>
      </c>
      <c r="FC140" s="145">
        <v>0</v>
      </c>
      <c r="FD140" s="145">
        <v>0</v>
      </c>
      <c r="FE140" s="145">
        <v>0</v>
      </c>
      <c r="FF140" s="145">
        <v>0</v>
      </c>
      <c r="FG140" s="145">
        <v>0</v>
      </c>
      <c r="FH140" s="145">
        <v>0</v>
      </c>
      <c r="FI140" s="145">
        <v>0</v>
      </c>
      <c r="FJ140" s="145">
        <v>0</v>
      </c>
      <c r="FK140" s="145">
        <v>0</v>
      </c>
      <c r="FL140" s="145">
        <v>0</v>
      </c>
      <c r="FM140" s="145">
        <v>0</v>
      </c>
      <c r="FN140" s="145">
        <v>0</v>
      </c>
      <c r="FO140" s="145">
        <v>0</v>
      </c>
      <c r="FP140" s="145">
        <v>0</v>
      </c>
      <c r="FQ140" s="145">
        <v>0</v>
      </c>
      <c r="FR140" s="145">
        <v>0</v>
      </c>
      <c r="FS140" s="145">
        <v>0</v>
      </c>
      <c r="FT140" s="145">
        <v>0</v>
      </c>
      <c r="FU140" s="145">
        <v>0</v>
      </c>
      <c r="FV140" s="145">
        <v>0</v>
      </c>
      <c r="FW140" s="145">
        <v>0</v>
      </c>
      <c r="FX140" s="143"/>
      <c r="FY140" s="146" t="str">
        <f>_xlfn.XLOOKUP($E140,'Key assumptions'!$B$112:$B$120,'Key assumptions'!$C$112:$C$120,0)</f>
        <v>Nominal</v>
      </c>
      <c r="FZ140" s="146" cm="1">
        <f t="array" ref="FZ140">IF($FY140=0,0,_xlfn.IFS($FY140='Key assumptions'!$C$120,_xlfn.XLOOKUP(LEFT(FZ$7,6),Inflation_Year,Inflation_NominaltoReal),TRUE,_xlfn.XLOOKUP($FY140,Inflation_Year,NominaltoReal)))</f>
        <v>1.0197075870962191</v>
      </c>
      <c r="GA140" s="146" cm="1">
        <f t="array" ref="GA140">IF($FY140=0,0,_xlfn.IFS($FY140='Key assumptions'!$C$120,_xlfn.XLOOKUP(LEFT(GA$7,6),Inflation_Year,Inflation_NominaltoReal),TRUE,_xlfn.XLOOKUP($FY140,Inflation_Year,NominaltoReal)))</f>
        <v>0.98700804022984445</v>
      </c>
      <c r="GB140" s="146" cm="1">
        <f t="array" ref="GB140">IF($FY140=0,0,_xlfn.IFS($FY140='Key assumptions'!$C$120,_xlfn.XLOOKUP(LEFT(GB$7,6),Inflation_Year,Inflation_NominaltoReal),TRUE,_xlfn.XLOOKUP($FY140,Inflation_Year,NominaltoReal)))</f>
        <v>0.96152830081941731</v>
      </c>
      <c r="GC140" s="146" cm="1">
        <f t="array" ref="GC140">IF($FY140=0,0,_xlfn.IFS($FY140='Key assumptions'!$C$120,_xlfn.XLOOKUP(LEFT(GC$7,6),Inflation_Year,Inflation_NominaltoReal),TRUE,_xlfn.XLOOKUP($FY140,Inflation_Year,NominaltoReal)))</f>
        <v>0.93670632415656829</v>
      </c>
      <c r="GD140" s="146" cm="1">
        <f t="array" ref="GD140">IF($FY140=0,0,_xlfn.IFS($FY140='Key assumptions'!$C$120,_xlfn.XLOOKUP(LEFT(GD$7,6),Inflation_Year,Inflation_NominaltoReal),TRUE,_xlfn.XLOOKUP($FY140,Inflation_Year,NominaltoReal)))</f>
        <v>0.91252513001143176</v>
      </c>
      <c r="GE140" s="146" cm="1">
        <f t="array" ref="GE140">IF($FY140=0,0,_xlfn.IFS($FY140='Key assumptions'!$C$120,_xlfn.XLOOKUP(LEFT(GE$7,6),Inflation_Year,Inflation_NominaltoReal),TRUE,_xlfn.XLOOKUP($FY140,Inflation_Year,NominaltoReal)))</f>
        <v>0.88896817650095872</v>
      </c>
      <c r="GF140" s="146" cm="1">
        <f t="array" ref="GF140">IF($FY140=0,0,_xlfn.IFS($FY140='Key assumptions'!$C$120,_xlfn.XLOOKUP(LEFT(GF$7,6),Inflation_Year,Inflation_NominaltoReal),TRUE,_xlfn.XLOOKUP($FY140,Inflation_Year,NominaltoReal)))</f>
        <v>0.86601934877293718</v>
      </c>
      <c r="GG140" s="143"/>
      <c r="GH140" s="145" cm="1">
        <f t="array" ref="GH140">SUMPRODUCT(--($CR$7:$FW$7&gt;=GH$5),--($CR$7:$FW$7&lt;=GH$6),$CR140:$FW140)*FZ140</f>
        <v>14470.772339241154</v>
      </c>
      <c r="GI140" s="145" cm="1">
        <f t="array" ref="GI140">SUMPRODUCT(--($CR$7:$FW$7&gt;=GI$5),--($CR$7:$FW$7&lt;=GI$6),$CR140:$FW140)*GA140</f>
        <v>92533.336232402216</v>
      </c>
      <c r="GJ140" s="145" cm="1">
        <f t="array" ref="GJ140">SUMPRODUCT(--($CR$7:$FW$7&gt;=GJ$5),--($CR$7:$FW$7&lt;=GJ$6),$CR140:$FW140)*GB140</f>
        <v>93666.481355833865</v>
      </c>
      <c r="GK140" s="145" cm="1">
        <f t="array" ref="GK140">SUMPRODUCT(--($CR$7:$FW$7&gt;=GK$5),--($CR$7:$FW$7&lt;=GK$6),$CR140:$FW140)*GC140</f>
        <v>0</v>
      </c>
      <c r="GL140" s="145" cm="1">
        <f t="array" ref="GL140">SUMPRODUCT(--($CR$7:$FW$7&gt;=GL$5),--($CR$7:$FW$7&lt;=GL$6),$CR140:$FW140)*GD140</f>
        <v>0</v>
      </c>
      <c r="GM140" s="145" cm="1">
        <f t="array" ref="GM140">SUMPRODUCT(--($CR$7:$FW$7&gt;=GM$5),--($CR$7:$FW$7&lt;=GM$6),$CR140:$FW140)*GE140</f>
        <v>0</v>
      </c>
      <c r="GN140" s="145" cm="1">
        <f t="array" ref="GN140">SUMPRODUCT(--($CR$7:$FW$7&gt;=GN$5),--($CR$7:$FW$7&lt;=GN$6),$CR140:$FW140)*GF140</f>
        <v>0</v>
      </c>
      <c r="GO140" s="145">
        <f t="shared" si="46"/>
        <v>200670.58992747724</v>
      </c>
      <c r="GP140" s="87"/>
      <c r="GR140" s="145" cm="1">
        <f t="array" ref="GR140">SUMPRODUCT(--($CR$7:$FW$7&gt;=GR$5),--($CR$7:$FW$7&lt;=GR$6),$CR140:$FW140)</f>
        <v>0</v>
      </c>
      <c r="GT140" s="214" cm="1">
        <f t="array" ref="GT140">--AND(MIN(IF($K140:$CP140&lt;&gt;0,$K$7:$CP$7))&gt;=GT$5,MIN(IF($K140:$CP140&lt;&gt;0,$K$7:$CP$7))&lt;=GT$6)</f>
        <v>1</v>
      </c>
      <c r="GU140" s="214" cm="1">
        <f t="array" ref="GU140">--AND(MIN(IF($K140:$CP140&lt;&gt;0,$K$7:$CP$7))&gt;=GU$5,MIN(IF($K140:$CP140&lt;&gt;0,$K$7:$CP$7))&lt;=GU$6)</f>
        <v>0</v>
      </c>
      <c r="GV140" s="214" cm="1">
        <f t="array" ref="GV140">--AND(MIN(IF($K140:$CP140&lt;&gt;0,$K$7:$CP$7))&gt;=GV$5,MIN(IF($K140:$CP140&lt;&gt;0,$K$7:$CP$7))&lt;=GV$6)</f>
        <v>0</v>
      </c>
      <c r="GW140" s="214" cm="1">
        <f t="array" ref="GW140">--AND(MIN(IF($K140:$CP140&lt;&gt;0,$K$7:$CP$7))&gt;=GW$5,MIN(IF($K140:$CP140&lt;&gt;0,$K$7:$CP$7))&lt;=GW$6)</f>
        <v>0</v>
      </c>
      <c r="GX140" s="214" cm="1">
        <f t="array" ref="GX140">--AND(MIN(IF($K140:$CP140&lt;&gt;0,$K$7:$CP$7))&gt;=GX$5,MIN(IF($K140:$CP140&lt;&gt;0,$K$7:$CP$7))&lt;=GX$6)</f>
        <v>0</v>
      </c>
      <c r="GY140" s="214" cm="1">
        <f t="array" ref="GY140">--AND(MIN(IF($K140:$CP140&lt;&gt;0,$K$7:$CP$7))&gt;=GY$5,MIN(IF($K140:$CP140&lt;&gt;0,$K$7:$CP$7))&lt;=GY$6)</f>
        <v>0</v>
      </c>
      <c r="GZ140" s="214" cm="1">
        <f t="array" ref="GZ140">--AND(MIN(IF($K140:$CP140&lt;&gt;0,$K$7:$CP$7))&gt;=GZ$5,MIN(IF($K140:$CP140&lt;&gt;0,$K$7:$CP$7))&lt;=GZ$6)</f>
        <v>0</v>
      </c>
      <c r="HA140" s="214">
        <f t="shared" si="47"/>
        <v>1</v>
      </c>
      <c r="HC140" s="214" cm="1">
        <f t="array" ref="HC140">--AND(MIN(IF($K140:$CP140&lt;&gt;0,$K$7:$CP$7))&gt;=HC$5,MIN(IF($K140:$CP140&lt;&gt;0,$K$7:$CP$7))&lt;=HC$6)</f>
        <v>0</v>
      </c>
      <c r="HE140" s="147" t="str">
        <f t="shared" si="66"/>
        <v>No</v>
      </c>
      <c r="HF140" s="147" t="str">
        <f t="shared" si="67"/>
        <v>No</v>
      </c>
      <c r="HG140" s="147">
        <f>IF($HF140="Yes",0,$H140*avg_hrs*12*'Key assumptions'!$D$87)</f>
        <v>362535.77629630821</v>
      </c>
      <c r="HH140" s="147">
        <f>IF(HE140="Yes",'Key assumptions'!$D$84*HG140,0)</f>
        <v>0</v>
      </c>
      <c r="HI140" s="144">
        <f>IFERROR(AVERAGEIFS($K140:$CP140,$K$7:$CP$7,"&gt;="&amp;'Key assumptions'!$D$24,$K$7:$CP$7,"&lt;="&amp;'Key assumptions'!$D$25),0)</f>
        <v>0.1721391547049442</v>
      </c>
      <c r="HJ140" s="148">
        <f t="shared" si="48"/>
        <v>0</v>
      </c>
      <c r="HK140" s="148">
        <f t="shared" si="49"/>
        <v>0</v>
      </c>
      <c r="HL140" s="148">
        <f t="shared" si="50"/>
        <v>0</v>
      </c>
      <c r="HM140" s="148">
        <f t="shared" si="51"/>
        <v>0</v>
      </c>
      <c r="HN140" s="148">
        <f t="shared" si="52"/>
        <v>0</v>
      </c>
      <c r="HO140" s="148">
        <f t="shared" si="53"/>
        <v>0</v>
      </c>
      <c r="HP140" s="148">
        <f t="shared" si="54"/>
        <v>0</v>
      </c>
      <c r="HQ140" s="148">
        <f t="shared" si="55"/>
        <v>0</v>
      </c>
      <c r="HR140" s="147">
        <f t="shared" si="56"/>
        <v>0</v>
      </c>
      <c r="HU140" s="147">
        <f>$HJ140*HC140/(1+'Key assumptions'!G162)^0.75</f>
        <v>0</v>
      </c>
      <c r="HW140" s="216">
        <f t="shared" si="57"/>
        <v>0.1721391547049442</v>
      </c>
      <c r="HX140" s="216">
        <f t="shared" si="58"/>
        <v>0</v>
      </c>
      <c r="HY140" s="216">
        <f t="shared" si="59"/>
        <v>0</v>
      </c>
      <c r="HZ140" s="216">
        <f t="shared" si="60"/>
        <v>0</v>
      </c>
      <c r="IA140" s="216">
        <f t="shared" si="61"/>
        <v>0</v>
      </c>
      <c r="IB140" s="216">
        <f t="shared" si="62"/>
        <v>0</v>
      </c>
      <c r="IC140" s="216">
        <f t="shared" si="63"/>
        <v>0</v>
      </c>
      <c r="ID140" s="216">
        <f t="shared" si="64"/>
        <v>0.1721391547049442</v>
      </c>
      <c r="IF140" s="216">
        <f t="shared" si="65"/>
        <v>0</v>
      </c>
    </row>
    <row r="141" spans="2:240" x14ac:dyDescent="0.2">
      <c r="B141" s="141" t="str">
        <v>Project Delivery Management - Commissioning</v>
      </c>
      <c r="C141" s="141" t="str">
        <v>Secondary Systems Technician (Construction)</v>
      </c>
      <c r="D141" s="141" t="str">
        <v>Internal Labour</v>
      </c>
      <c r="E141" s="141" t="str">
        <v>$ Nominal</v>
      </c>
      <c r="F141" s="141" t="str">
        <v>Existing</v>
      </c>
      <c r="G141" s="141" t="str">
        <v>Normal time</v>
      </c>
      <c r="H141" s="142">
        <v>195.66</v>
      </c>
      <c r="I141" s="126">
        <v>294841.61000000004</v>
      </c>
      <c r="J141" s="143">
        <v>0</v>
      </c>
      <c r="K141" s="144">
        <v>0</v>
      </c>
      <c r="L141" s="144">
        <v>0</v>
      </c>
      <c r="M141" s="144">
        <v>0</v>
      </c>
      <c r="N141" s="144">
        <v>0</v>
      </c>
      <c r="O141" s="144">
        <v>0</v>
      </c>
      <c r="P141" s="144">
        <v>0</v>
      </c>
      <c r="Q141" s="144">
        <v>0</v>
      </c>
      <c r="R141" s="144">
        <v>0</v>
      </c>
      <c r="S141" s="144">
        <v>0</v>
      </c>
      <c r="T141" s="144">
        <v>0</v>
      </c>
      <c r="U141" s="144">
        <v>0</v>
      </c>
      <c r="V141" s="144">
        <v>0</v>
      </c>
      <c r="W141" s="144">
        <v>0</v>
      </c>
      <c r="X141" s="144">
        <v>0</v>
      </c>
      <c r="Y141" s="144">
        <v>0</v>
      </c>
      <c r="Z141" s="144">
        <v>0</v>
      </c>
      <c r="AA141" s="144">
        <v>0</v>
      </c>
      <c r="AB141" s="144">
        <v>0</v>
      </c>
      <c r="AC141" s="144">
        <v>0</v>
      </c>
      <c r="AD141" s="144">
        <v>0</v>
      </c>
      <c r="AE141" s="144">
        <v>0</v>
      </c>
      <c r="AF141" s="144">
        <v>0</v>
      </c>
      <c r="AG141" s="144">
        <v>0</v>
      </c>
      <c r="AH141" s="144">
        <v>0</v>
      </c>
      <c r="AI141" s="144">
        <v>0</v>
      </c>
      <c r="AJ141" s="144">
        <v>1.1000000000000001</v>
      </c>
      <c r="AK141" s="144">
        <v>1.55</v>
      </c>
      <c r="AL141" s="144">
        <v>1.4666666666666666</v>
      </c>
      <c r="AM141" s="144">
        <v>0.96710526315789469</v>
      </c>
      <c r="AN141" s="144">
        <v>1.4276315789473684</v>
      </c>
      <c r="AO141" s="144">
        <v>1.5</v>
      </c>
      <c r="AP141" s="144">
        <v>0.5</v>
      </c>
      <c r="AQ141" s="144">
        <v>0</v>
      </c>
      <c r="AR141" s="144">
        <v>0</v>
      </c>
      <c r="AS141" s="144">
        <v>0</v>
      </c>
      <c r="AT141" s="144">
        <v>0</v>
      </c>
      <c r="AU141" s="144">
        <v>0</v>
      </c>
      <c r="AV141" s="144">
        <v>1.1000000000000001</v>
      </c>
      <c r="AW141" s="144">
        <v>0.5</v>
      </c>
      <c r="AX141" s="144">
        <v>0.66666666666666663</v>
      </c>
      <c r="AY141" s="144">
        <v>0</v>
      </c>
      <c r="AZ141" s="144">
        <v>0</v>
      </c>
      <c r="BA141" s="144">
        <v>0</v>
      </c>
      <c r="BB141" s="144">
        <v>0</v>
      </c>
      <c r="BC141" s="144">
        <v>0</v>
      </c>
      <c r="BD141" s="144">
        <v>0</v>
      </c>
      <c r="BE141" s="144">
        <v>0</v>
      </c>
      <c r="BF141" s="144">
        <v>0</v>
      </c>
      <c r="BG141" s="144">
        <v>0</v>
      </c>
      <c r="BH141" s="144">
        <v>0</v>
      </c>
      <c r="BI141" s="144">
        <v>0</v>
      </c>
      <c r="BJ141" s="144">
        <v>0</v>
      </c>
      <c r="BK141" s="144">
        <v>0</v>
      </c>
      <c r="BL141" s="144">
        <v>0</v>
      </c>
      <c r="BM141" s="144">
        <v>0</v>
      </c>
      <c r="BN141" s="144">
        <v>0</v>
      </c>
      <c r="BO141" s="144">
        <v>0</v>
      </c>
      <c r="BP141" s="144">
        <v>0</v>
      </c>
      <c r="BQ141" s="144">
        <v>0</v>
      </c>
      <c r="BR141" s="144">
        <v>0</v>
      </c>
      <c r="BS141" s="144">
        <v>0</v>
      </c>
      <c r="BT141" s="144">
        <v>0</v>
      </c>
      <c r="BU141" s="144">
        <v>0</v>
      </c>
      <c r="BV141" s="144">
        <v>0</v>
      </c>
      <c r="BW141" s="144">
        <v>0</v>
      </c>
      <c r="BX141" s="144">
        <v>0</v>
      </c>
      <c r="BY141" s="144">
        <v>0</v>
      </c>
      <c r="BZ141" s="144">
        <v>0</v>
      </c>
      <c r="CA141" s="144">
        <v>0</v>
      </c>
      <c r="CB141" s="144">
        <v>0</v>
      </c>
      <c r="CC141" s="144">
        <v>0</v>
      </c>
      <c r="CD141" s="144">
        <v>0</v>
      </c>
      <c r="CE141" s="144">
        <v>0</v>
      </c>
      <c r="CF141" s="144">
        <v>0</v>
      </c>
      <c r="CG141" s="144">
        <v>0</v>
      </c>
      <c r="CH141" s="144">
        <v>0</v>
      </c>
      <c r="CI141" s="144">
        <v>0</v>
      </c>
      <c r="CJ141" s="144">
        <v>0</v>
      </c>
      <c r="CK141" s="144">
        <v>0</v>
      </c>
      <c r="CL141" s="144">
        <v>0</v>
      </c>
      <c r="CM141" s="144">
        <v>0</v>
      </c>
      <c r="CN141" s="144">
        <v>0</v>
      </c>
      <c r="CO141" s="144">
        <v>0</v>
      </c>
      <c r="CP141" s="144">
        <v>0</v>
      </c>
      <c r="CQ141" s="143">
        <v>0</v>
      </c>
      <c r="CR141" s="145">
        <v>0</v>
      </c>
      <c r="CS141" s="145">
        <v>0</v>
      </c>
      <c r="CT141" s="145">
        <v>0</v>
      </c>
      <c r="CU141" s="145">
        <v>0</v>
      </c>
      <c r="CV141" s="145">
        <v>0</v>
      </c>
      <c r="CW141" s="145">
        <v>0</v>
      </c>
      <c r="CX141" s="145">
        <v>0</v>
      </c>
      <c r="CY141" s="145">
        <v>0</v>
      </c>
      <c r="CZ141" s="145">
        <v>0</v>
      </c>
      <c r="DA141" s="145">
        <v>0</v>
      </c>
      <c r="DB141" s="145">
        <v>0</v>
      </c>
      <c r="DC141" s="145">
        <v>0</v>
      </c>
      <c r="DD141" s="145">
        <v>0</v>
      </c>
      <c r="DE141" s="145">
        <v>0</v>
      </c>
      <c r="DF141" s="145">
        <v>0</v>
      </c>
      <c r="DG141" s="145">
        <v>0</v>
      </c>
      <c r="DH141" s="145">
        <v>0</v>
      </c>
      <c r="DI141" s="145">
        <v>0</v>
      </c>
      <c r="DJ141" s="145">
        <v>0</v>
      </c>
      <c r="DK141" s="145">
        <v>0</v>
      </c>
      <c r="DL141" s="145">
        <v>0</v>
      </c>
      <c r="DM141" s="145">
        <v>0</v>
      </c>
      <c r="DN141" s="145">
        <v>0</v>
      </c>
      <c r="DO141" s="145">
        <v>0</v>
      </c>
      <c r="DP141" s="145">
        <v>0</v>
      </c>
      <c r="DQ141" s="145">
        <v>30130.100000000002</v>
      </c>
      <c r="DR141" s="145">
        <v>43745.03</v>
      </c>
      <c r="DS141" s="145">
        <v>31044.86</v>
      </c>
      <c r="DT141" s="145">
        <v>29633.73</v>
      </c>
      <c r="DU141" s="145">
        <v>43745.03</v>
      </c>
      <c r="DV141" s="145">
        <v>42333.9</v>
      </c>
      <c r="DW141" s="145">
        <v>14111.300000000001</v>
      </c>
      <c r="DX141" s="145">
        <v>0</v>
      </c>
      <c r="DY141" s="145">
        <v>0</v>
      </c>
      <c r="DZ141" s="145">
        <v>0</v>
      </c>
      <c r="EA141" s="145">
        <v>0</v>
      </c>
      <c r="EB141" s="145">
        <v>0</v>
      </c>
      <c r="EC141" s="145">
        <v>31044.86</v>
      </c>
      <c r="ED141" s="145">
        <v>14526.400000000001</v>
      </c>
      <c r="EE141" s="145">
        <v>14526.400000000001</v>
      </c>
      <c r="EF141" s="145">
        <v>0</v>
      </c>
      <c r="EG141" s="145">
        <v>0</v>
      </c>
      <c r="EH141" s="145">
        <v>0</v>
      </c>
      <c r="EI141" s="145">
        <v>0</v>
      </c>
      <c r="EJ141" s="145">
        <v>0</v>
      </c>
      <c r="EK141" s="145">
        <v>0</v>
      </c>
      <c r="EL141" s="145">
        <v>0</v>
      </c>
      <c r="EM141" s="145">
        <v>0</v>
      </c>
      <c r="EN141" s="145">
        <v>0</v>
      </c>
      <c r="EO141" s="145">
        <v>0</v>
      </c>
      <c r="EP141" s="145">
        <v>0</v>
      </c>
      <c r="EQ141" s="145">
        <v>0</v>
      </c>
      <c r="ER141" s="145">
        <v>0</v>
      </c>
      <c r="ES141" s="145">
        <v>0</v>
      </c>
      <c r="ET141" s="145">
        <v>0</v>
      </c>
      <c r="EU141" s="145">
        <v>0</v>
      </c>
      <c r="EV141" s="145">
        <v>0</v>
      </c>
      <c r="EW141" s="145">
        <v>0</v>
      </c>
      <c r="EX141" s="145">
        <v>0</v>
      </c>
      <c r="EY141" s="145">
        <v>0</v>
      </c>
      <c r="EZ141" s="145">
        <v>0</v>
      </c>
      <c r="FA141" s="145">
        <v>0</v>
      </c>
      <c r="FB141" s="145">
        <v>0</v>
      </c>
      <c r="FC141" s="145">
        <v>0</v>
      </c>
      <c r="FD141" s="145">
        <v>0</v>
      </c>
      <c r="FE141" s="145">
        <v>0</v>
      </c>
      <c r="FF141" s="145">
        <v>0</v>
      </c>
      <c r="FG141" s="145">
        <v>0</v>
      </c>
      <c r="FH141" s="145">
        <v>0</v>
      </c>
      <c r="FI141" s="145">
        <v>0</v>
      </c>
      <c r="FJ141" s="145">
        <v>0</v>
      </c>
      <c r="FK141" s="145">
        <v>0</v>
      </c>
      <c r="FL141" s="145">
        <v>0</v>
      </c>
      <c r="FM141" s="145">
        <v>0</v>
      </c>
      <c r="FN141" s="145">
        <v>0</v>
      </c>
      <c r="FO141" s="145">
        <v>0</v>
      </c>
      <c r="FP141" s="145">
        <v>0</v>
      </c>
      <c r="FQ141" s="145">
        <v>0</v>
      </c>
      <c r="FR141" s="145">
        <v>0</v>
      </c>
      <c r="FS141" s="145">
        <v>0</v>
      </c>
      <c r="FT141" s="145">
        <v>0</v>
      </c>
      <c r="FU141" s="145">
        <v>0</v>
      </c>
      <c r="FV141" s="145">
        <v>0</v>
      </c>
      <c r="FW141" s="145">
        <v>0</v>
      </c>
      <c r="FX141" s="143"/>
      <c r="FY141" s="146" t="str">
        <f>_xlfn.XLOOKUP($E141,'Key assumptions'!$B$112:$B$120,'Key assumptions'!$C$112:$C$120,0)</f>
        <v>Nominal</v>
      </c>
      <c r="FZ141" s="146" cm="1">
        <f t="array" ref="FZ141">IF($FY141=0,0,_xlfn.IFS($FY141='Key assumptions'!$C$120,_xlfn.XLOOKUP(LEFT(FZ$7,6),Inflation_Year,Inflation_NominaltoReal),TRUE,_xlfn.XLOOKUP($FY141,Inflation_Year,NominaltoReal)))</f>
        <v>1.0197075870962191</v>
      </c>
      <c r="GA141" s="146" cm="1">
        <f t="array" ref="GA141">IF($FY141=0,0,_xlfn.IFS($FY141='Key assumptions'!$C$120,_xlfn.XLOOKUP(LEFT(GA$7,6),Inflation_Year,Inflation_NominaltoReal),TRUE,_xlfn.XLOOKUP($FY141,Inflation_Year,NominaltoReal)))</f>
        <v>0.98700804022984445</v>
      </c>
      <c r="GB141" s="146" cm="1">
        <f t="array" ref="GB141">IF($FY141=0,0,_xlfn.IFS($FY141='Key assumptions'!$C$120,_xlfn.XLOOKUP(LEFT(GB$7,6),Inflation_Year,Inflation_NominaltoReal),TRUE,_xlfn.XLOOKUP($FY141,Inflation_Year,NominaltoReal)))</f>
        <v>0.96152830081941731</v>
      </c>
      <c r="GC141" s="146" cm="1">
        <f t="array" ref="GC141">IF($FY141=0,0,_xlfn.IFS($FY141='Key assumptions'!$C$120,_xlfn.XLOOKUP(LEFT(GC$7,6),Inflation_Year,Inflation_NominaltoReal),TRUE,_xlfn.XLOOKUP($FY141,Inflation_Year,NominaltoReal)))</f>
        <v>0.93670632415656829</v>
      </c>
      <c r="GD141" s="146" cm="1">
        <f t="array" ref="GD141">IF($FY141=0,0,_xlfn.IFS($FY141='Key assumptions'!$C$120,_xlfn.XLOOKUP(LEFT(GD$7,6),Inflation_Year,Inflation_NominaltoReal),TRUE,_xlfn.XLOOKUP($FY141,Inflation_Year,NominaltoReal)))</f>
        <v>0.91252513001143176</v>
      </c>
      <c r="GE141" s="146" cm="1">
        <f t="array" ref="GE141">IF($FY141=0,0,_xlfn.IFS($FY141='Key assumptions'!$C$120,_xlfn.XLOOKUP(LEFT(GE$7,6),Inflation_Year,Inflation_NominaltoReal),TRUE,_xlfn.XLOOKUP($FY141,Inflation_Year,NominaltoReal)))</f>
        <v>0.88896817650095872</v>
      </c>
      <c r="GF141" s="146" cm="1">
        <f t="array" ref="GF141">IF($FY141=0,0,_xlfn.IFS($FY141='Key assumptions'!$C$120,_xlfn.XLOOKUP(LEFT(GF$7,6),Inflation_Year,Inflation_NominaltoReal),TRUE,_xlfn.XLOOKUP($FY141,Inflation_Year,NominaltoReal)))</f>
        <v>0.86601934877293718</v>
      </c>
      <c r="GG141" s="143"/>
      <c r="GH141" s="145" cm="1">
        <f t="array" ref="GH141">SUMPRODUCT(--($CR$7:$FW$7&gt;=GH$5),--($CR$7:$FW$7&lt;=GH$6),$CR141:$FW141)*FZ141</f>
        <v>0</v>
      </c>
      <c r="GI141" s="145" cm="1">
        <f t="array" ref="GI141">SUMPRODUCT(--($CR$7:$FW$7&gt;=GI$5),--($CR$7:$FW$7&lt;=GI$6),$CR141:$FW141)*GA141</f>
        <v>231694.16604531257</v>
      </c>
      <c r="GJ141" s="145" cm="1">
        <f t="array" ref="GJ141">SUMPRODUCT(--($CR$7:$FW$7&gt;=GJ$5),--($CR$7:$FW$7&lt;=GJ$6),$CR141:$FW141)*GB141</f>
        <v>57785.600903023063</v>
      </c>
      <c r="GK141" s="145" cm="1">
        <f t="array" ref="GK141">SUMPRODUCT(--($CR$7:$FW$7&gt;=GK$5),--($CR$7:$FW$7&lt;=GK$6),$CR141:$FW141)*GC141</f>
        <v>0</v>
      </c>
      <c r="GL141" s="145" cm="1">
        <f t="array" ref="GL141">SUMPRODUCT(--($CR$7:$FW$7&gt;=GL$5),--($CR$7:$FW$7&lt;=GL$6),$CR141:$FW141)*GD141</f>
        <v>0</v>
      </c>
      <c r="GM141" s="145" cm="1">
        <f t="array" ref="GM141">SUMPRODUCT(--($CR$7:$FW$7&gt;=GM$5),--($CR$7:$FW$7&lt;=GM$6),$CR141:$FW141)*GE141</f>
        <v>0</v>
      </c>
      <c r="GN141" s="145" cm="1">
        <f t="array" ref="GN141">SUMPRODUCT(--($CR$7:$FW$7&gt;=GN$5),--($CR$7:$FW$7&lt;=GN$6),$CR141:$FW141)*GF141</f>
        <v>0</v>
      </c>
      <c r="GO141" s="145">
        <f t="shared" si="46"/>
        <v>289479.76694833563</v>
      </c>
      <c r="GP141" s="87"/>
      <c r="GR141" s="145" cm="1">
        <f t="array" ref="GR141">SUMPRODUCT(--($CR$7:$FW$7&gt;=GR$5),--($CR$7:$FW$7&lt;=GR$6),$CR141:$FW141)</f>
        <v>0</v>
      </c>
      <c r="GT141" s="214" cm="1">
        <f t="array" ref="GT141">--AND(MIN(IF($K141:$CP141&lt;&gt;0,$K$7:$CP$7))&gt;=GT$5,MIN(IF($K141:$CP141&lt;&gt;0,$K$7:$CP$7))&lt;=GT$6)</f>
        <v>0</v>
      </c>
      <c r="GU141" s="214" cm="1">
        <f t="array" ref="GU141">--AND(MIN(IF($K141:$CP141&lt;&gt;0,$K$7:$CP$7))&gt;=GU$5,MIN(IF($K141:$CP141&lt;&gt;0,$K$7:$CP$7))&lt;=GU$6)</f>
        <v>1</v>
      </c>
      <c r="GV141" s="214" cm="1">
        <f t="array" ref="GV141">--AND(MIN(IF($K141:$CP141&lt;&gt;0,$K$7:$CP$7))&gt;=GV$5,MIN(IF($K141:$CP141&lt;&gt;0,$K$7:$CP$7))&lt;=GV$6)</f>
        <v>0</v>
      </c>
      <c r="GW141" s="214" cm="1">
        <f t="array" ref="GW141">--AND(MIN(IF($K141:$CP141&lt;&gt;0,$K$7:$CP$7))&gt;=GW$5,MIN(IF($K141:$CP141&lt;&gt;0,$K$7:$CP$7))&lt;=GW$6)</f>
        <v>0</v>
      </c>
      <c r="GX141" s="214" cm="1">
        <f t="array" ref="GX141">--AND(MIN(IF($K141:$CP141&lt;&gt;0,$K$7:$CP$7))&gt;=GX$5,MIN(IF($K141:$CP141&lt;&gt;0,$K$7:$CP$7))&lt;=GX$6)</f>
        <v>0</v>
      </c>
      <c r="GY141" s="214" cm="1">
        <f t="array" ref="GY141">--AND(MIN(IF($K141:$CP141&lt;&gt;0,$K$7:$CP$7))&gt;=GY$5,MIN(IF($K141:$CP141&lt;&gt;0,$K$7:$CP$7))&lt;=GY$6)</f>
        <v>0</v>
      </c>
      <c r="GZ141" s="214" cm="1">
        <f t="array" ref="GZ141">--AND(MIN(IF($K141:$CP141&lt;&gt;0,$K$7:$CP$7))&gt;=GZ$5,MIN(IF($K141:$CP141&lt;&gt;0,$K$7:$CP$7))&lt;=GZ$6)</f>
        <v>0</v>
      </c>
      <c r="HA141" s="214">
        <f t="shared" si="47"/>
        <v>1</v>
      </c>
      <c r="HC141" s="214" cm="1">
        <f t="array" ref="HC141">--AND(MIN(IF($K141:$CP141&lt;&gt;0,$K$7:$CP$7))&gt;=HC$5,MIN(IF($K141:$CP141&lt;&gt;0,$K$7:$CP$7))&lt;=HC$6)</f>
        <v>0</v>
      </c>
      <c r="HE141" s="147" t="str">
        <f t="shared" si="66"/>
        <v>No</v>
      </c>
      <c r="HF141" s="147" t="str">
        <f t="shared" si="67"/>
        <v>No</v>
      </c>
      <c r="HG141" s="147">
        <f>IF($HF141="Yes",0,$H141*avg_hrs*12*'Key assumptions'!$D$87)</f>
        <v>349892.7143991302</v>
      </c>
      <c r="HH141" s="147">
        <f>IF(HE141="Yes",'Key assumptions'!$D$84*HG141,0)</f>
        <v>0</v>
      </c>
      <c r="HI141" s="144">
        <f>IFERROR(AVERAGEIFS($K141:$CP141,$K$7:$CP$7,"&gt;="&amp;'Key assumptions'!$D$24,$K$7:$CP$7,"&lt;="&amp;'Key assumptions'!$D$25),0)</f>
        <v>0.24495614035087721</v>
      </c>
      <c r="HJ141" s="148">
        <f t="shared" si="48"/>
        <v>0</v>
      </c>
      <c r="HK141" s="148">
        <f t="shared" si="49"/>
        <v>0</v>
      </c>
      <c r="HL141" s="148">
        <f t="shared" si="50"/>
        <v>0</v>
      </c>
      <c r="HM141" s="148">
        <f t="shared" si="51"/>
        <v>0</v>
      </c>
      <c r="HN141" s="148">
        <f t="shared" si="52"/>
        <v>0</v>
      </c>
      <c r="HO141" s="148">
        <f t="shared" si="53"/>
        <v>0</v>
      </c>
      <c r="HP141" s="148">
        <f t="shared" si="54"/>
        <v>0</v>
      </c>
      <c r="HQ141" s="148">
        <f t="shared" si="55"/>
        <v>0</v>
      </c>
      <c r="HR141" s="147">
        <f t="shared" si="56"/>
        <v>0</v>
      </c>
      <c r="HU141" s="147">
        <f>$HJ141*HC141/(1+'Key assumptions'!G163)^0.75</f>
        <v>0</v>
      </c>
      <c r="HW141" s="216">
        <f t="shared" si="57"/>
        <v>0</v>
      </c>
      <c r="HX141" s="216">
        <f t="shared" si="58"/>
        <v>0.24495614035087721</v>
      </c>
      <c r="HY141" s="216">
        <f t="shared" si="59"/>
        <v>0</v>
      </c>
      <c r="HZ141" s="216">
        <f t="shared" si="60"/>
        <v>0</v>
      </c>
      <c r="IA141" s="216">
        <f t="shared" si="61"/>
        <v>0</v>
      </c>
      <c r="IB141" s="216">
        <f t="shared" si="62"/>
        <v>0</v>
      </c>
      <c r="IC141" s="216">
        <f t="shared" si="63"/>
        <v>0</v>
      </c>
      <c r="ID141" s="216">
        <f t="shared" si="64"/>
        <v>0.24495614035087721</v>
      </c>
      <c r="IF141" s="216">
        <f t="shared" si="65"/>
        <v>0</v>
      </c>
    </row>
    <row r="142" spans="2:240" x14ac:dyDescent="0.2">
      <c r="B142" s="141" t="str">
        <v>Project Delivery Management - Commissioning</v>
      </c>
      <c r="C142" s="141" t="str">
        <v>Secondary Systems Technician (Construction)</v>
      </c>
      <c r="D142" s="141" t="str">
        <v>Internal Labour</v>
      </c>
      <c r="E142" s="141" t="str">
        <v>$ Nominal</v>
      </c>
      <c r="F142" s="141">
        <v>0</v>
      </c>
      <c r="G142" s="141" t="str">
        <v>Overtime</v>
      </c>
      <c r="H142" s="142">
        <v>195.66</v>
      </c>
      <c r="I142" s="126">
        <v>173486.1</v>
      </c>
      <c r="J142" s="143">
        <v>0</v>
      </c>
      <c r="K142" s="144">
        <v>0</v>
      </c>
      <c r="L142" s="144">
        <v>0</v>
      </c>
      <c r="M142" s="144">
        <v>0</v>
      </c>
      <c r="N142" s="144">
        <v>0</v>
      </c>
      <c r="O142" s="144">
        <v>0</v>
      </c>
      <c r="P142" s="144">
        <v>0</v>
      </c>
      <c r="Q142" s="144">
        <v>0</v>
      </c>
      <c r="R142" s="144">
        <v>0</v>
      </c>
      <c r="S142" s="144">
        <v>0</v>
      </c>
      <c r="T142" s="144">
        <v>0</v>
      </c>
      <c r="U142" s="144">
        <v>0</v>
      </c>
      <c r="V142" s="144">
        <v>0</v>
      </c>
      <c r="W142" s="144">
        <v>0</v>
      </c>
      <c r="X142" s="144">
        <v>0</v>
      </c>
      <c r="Y142" s="144">
        <v>0</v>
      </c>
      <c r="Z142" s="144">
        <v>0</v>
      </c>
      <c r="AA142" s="144">
        <v>0</v>
      </c>
      <c r="AB142" s="144">
        <v>0</v>
      </c>
      <c r="AC142" s="144">
        <v>0</v>
      </c>
      <c r="AD142" s="144">
        <v>0</v>
      </c>
      <c r="AE142" s="144">
        <v>0</v>
      </c>
      <c r="AF142" s="144">
        <v>0</v>
      </c>
      <c r="AG142" s="144">
        <v>0</v>
      </c>
      <c r="AH142" s="144">
        <v>0</v>
      </c>
      <c r="AI142" s="144">
        <v>0</v>
      </c>
      <c r="AJ142" s="144">
        <v>0.35714285714285715</v>
      </c>
      <c r="AK142" s="144">
        <v>0.35714285714285715</v>
      </c>
      <c r="AL142" s="144">
        <v>0.47619047619047616</v>
      </c>
      <c r="AM142" s="144">
        <v>0.32894736842105265</v>
      </c>
      <c r="AN142" s="144">
        <v>0.39473684210526316</v>
      </c>
      <c r="AO142" s="144">
        <v>0.42857142857142855</v>
      </c>
      <c r="AP142" s="144">
        <v>0</v>
      </c>
      <c r="AQ142" s="144">
        <v>0</v>
      </c>
      <c r="AR142" s="144">
        <v>0</v>
      </c>
      <c r="AS142" s="144">
        <v>0</v>
      </c>
      <c r="AT142" s="144">
        <v>0</v>
      </c>
      <c r="AU142" s="144">
        <v>0</v>
      </c>
      <c r="AV142" s="144">
        <v>0.35714285714285715</v>
      </c>
      <c r="AW142" s="144">
        <v>0.21428571428571427</v>
      </c>
      <c r="AX142" s="144">
        <v>0.2857142857142857</v>
      </c>
      <c r="AY142" s="144">
        <v>0</v>
      </c>
      <c r="AZ142" s="144">
        <v>0</v>
      </c>
      <c r="BA142" s="144">
        <v>0</v>
      </c>
      <c r="BB142" s="144">
        <v>0</v>
      </c>
      <c r="BC142" s="144">
        <v>0</v>
      </c>
      <c r="BD142" s="144">
        <v>0</v>
      </c>
      <c r="BE142" s="144">
        <v>0</v>
      </c>
      <c r="BF142" s="144">
        <v>0</v>
      </c>
      <c r="BG142" s="144">
        <v>0</v>
      </c>
      <c r="BH142" s="144">
        <v>0</v>
      </c>
      <c r="BI142" s="144">
        <v>0</v>
      </c>
      <c r="BJ142" s="144">
        <v>0</v>
      </c>
      <c r="BK142" s="144">
        <v>0</v>
      </c>
      <c r="BL142" s="144">
        <v>0</v>
      </c>
      <c r="BM142" s="144">
        <v>0</v>
      </c>
      <c r="BN142" s="144">
        <v>0</v>
      </c>
      <c r="BO142" s="144">
        <v>0</v>
      </c>
      <c r="BP142" s="144">
        <v>0</v>
      </c>
      <c r="BQ142" s="144">
        <v>0</v>
      </c>
      <c r="BR142" s="144">
        <v>0</v>
      </c>
      <c r="BS142" s="144">
        <v>0</v>
      </c>
      <c r="BT142" s="144">
        <v>0</v>
      </c>
      <c r="BU142" s="144">
        <v>0</v>
      </c>
      <c r="BV142" s="144">
        <v>0</v>
      </c>
      <c r="BW142" s="144">
        <v>0</v>
      </c>
      <c r="BX142" s="144">
        <v>0</v>
      </c>
      <c r="BY142" s="144">
        <v>0</v>
      </c>
      <c r="BZ142" s="144">
        <v>0</v>
      </c>
      <c r="CA142" s="144">
        <v>0</v>
      </c>
      <c r="CB142" s="144">
        <v>0</v>
      </c>
      <c r="CC142" s="144">
        <v>0</v>
      </c>
      <c r="CD142" s="144">
        <v>0</v>
      </c>
      <c r="CE142" s="144">
        <v>0</v>
      </c>
      <c r="CF142" s="144">
        <v>0</v>
      </c>
      <c r="CG142" s="144">
        <v>0</v>
      </c>
      <c r="CH142" s="144">
        <v>0</v>
      </c>
      <c r="CI142" s="144">
        <v>0</v>
      </c>
      <c r="CJ142" s="144">
        <v>0</v>
      </c>
      <c r="CK142" s="144">
        <v>0</v>
      </c>
      <c r="CL142" s="144">
        <v>0</v>
      </c>
      <c r="CM142" s="144">
        <v>0</v>
      </c>
      <c r="CN142" s="144">
        <v>0</v>
      </c>
      <c r="CO142" s="144">
        <v>0</v>
      </c>
      <c r="CP142" s="144">
        <v>0</v>
      </c>
      <c r="CQ142" s="143">
        <v>0</v>
      </c>
      <c r="CR142" s="145">
        <v>0</v>
      </c>
      <c r="CS142" s="145">
        <v>0</v>
      </c>
      <c r="CT142" s="145">
        <v>0</v>
      </c>
      <c r="CU142" s="145">
        <v>0</v>
      </c>
      <c r="CV142" s="145">
        <v>0</v>
      </c>
      <c r="CW142" s="145">
        <v>0</v>
      </c>
      <c r="CX142" s="145">
        <v>0</v>
      </c>
      <c r="CY142" s="145">
        <v>0</v>
      </c>
      <c r="CZ142" s="145">
        <v>0</v>
      </c>
      <c r="DA142" s="145">
        <v>0</v>
      </c>
      <c r="DB142" s="145">
        <v>0</v>
      </c>
      <c r="DC142" s="145">
        <v>0</v>
      </c>
      <c r="DD142" s="145">
        <v>0</v>
      </c>
      <c r="DE142" s="145">
        <v>0</v>
      </c>
      <c r="DF142" s="145">
        <v>0</v>
      </c>
      <c r="DG142" s="145">
        <v>0</v>
      </c>
      <c r="DH142" s="145">
        <v>0</v>
      </c>
      <c r="DI142" s="145">
        <v>0</v>
      </c>
      <c r="DJ142" s="145">
        <v>0</v>
      </c>
      <c r="DK142" s="145">
        <v>0</v>
      </c>
      <c r="DL142" s="145">
        <v>0</v>
      </c>
      <c r="DM142" s="145">
        <v>0</v>
      </c>
      <c r="DN142" s="145">
        <v>0</v>
      </c>
      <c r="DO142" s="145">
        <v>0</v>
      </c>
      <c r="DP142" s="145">
        <v>0</v>
      </c>
      <c r="DQ142" s="145">
        <v>19565.5</v>
      </c>
      <c r="DR142" s="145">
        <v>20159</v>
      </c>
      <c r="DS142" s="145">
        <v>20159</v>
      </c>
      <c r="DT142" s="145">
        <v>20159</v>
      </c>
      <c r="DU142" s="145">
        <v>24190.799999999999</v>
      </c>
      <c r="DV142" s="145">
        <v>24190.799999999999</v>
      </c>
      <c r="DW142" s="145">
        <v>0</v>
      </c>
      <c r="DX142" s="145">
        <v>0</v>
      </c>
      <c r="DY142" s="145">
        <v>0</v>
      </c>
      <c r="DZ142" s="145">
        <v>0</v>
      </c>
      <c r="EA142" s="145">
        <v>0</v>
      </c>
      <c r="EB142" s="145">
        <v>0</v>
      </c>
      <c r="EC142" s="145">
        <v>20159</v>
      </c>
      <c r="ED142" s="145">
        <v>12451.5</v>
      </c>
      <c r="EE142" s="145">
        <v>12451.5</v>
      </c>
      <c r="EF142" s="145">
        <v>0</v>
      </c>
      <c r="EG142" s="145">
        <v>0</v>
      </c>
      <c r="EH142" s="145">
        <v>0</v>
      </c>
      <c r="EI142" s="145">
        <v>0</v>
      </c>
      <c r="EJ142" s="145">
        <v>0</v>
      </c>
      <c r="EK142" s="145">
        <v>0</v>
      </c>
      <c r="EL142" s="145">
        <v>0</v>
      </c>
      <c r="EM142" s="145">
        <v>0</v>
      </c>
      <c r="EN142" s="145">
        <v>0</v>
      </c>
      <c r="EO142" s="145">
        <v>0</v>
      </c>
      <c r="EP142" s="145">
        <v>0</v>
      </c>
      <c r="EQ142" s="145">
        <v>0</v>
      </c>
      <c r="ER142" s="145">
        <v>0</v>
      </c>
      <c r="ES142" s="145">
        <v>0</v>
      </c>
      <c r="ET142" s="145">
        <v>0</v>
      </c>
      <c r="EU142" s="145">
        <v>0</v>
      </c>
      <c r="EV142" s="145">
        <v>0</v>
      </c>
      <c r="EW142" s="145">
        <v>0</v>
      </c>
      <c r="EX142" s="145">
        <v>0</v>
      </c>
      <c r="EY142" s="145">
        <v>0</v>
      </c>
      <c r="EZ142" s="145">
        <v>0</v>
      </c>
      <c r="FA142" s="145">
        <v>0</v>
      </c>
      <c r="FB142" s="145">
        <v>0</v>
      </c>
      <c r="FC142" s="145">
        <v>0</v>
      </c>
      <c r="FD142" s="145">
        <v>0</v>
      </c>
      <c r="FE142" s="145">
        <v>0</v>
      </c>
      <c r="FF142" s="145">
        <v>0</v>
      </c>
      <c r="FG142" s="145">
        <v>0</v>
      </c>
      <c r="FH142" s="145">
        <v>0</v>
      </c>
      <c r="FI142" s="145">
        <v>0</v>
      </c>
      <c r="FJ142" s="145">
        <v>0</v>
      </c>
      <c r="FK142" s="145">
        <v>0</v>
      </c>
      <c r="FL142" s="145">
        <v>0</v>
      </c>
      <c r="FM142" s="145">
        <v>0</v>
      </c>
      <c r="FN142" s="145">
        <v>0</v>
      </c>
      <c r="FO142" s="145">
        <v>0</v>
      </c>
      <c r="FP142" s="145">
        <v>0</v>
      </c>
      <c r="FQ142" s="145">
        <v>0</v>
      </c>
      <c r="FR142" s="145">
        <v>0</v>
      </c>
      <c r="FS142" s="145">
        <v>0</v>
      </c>
      <c r="FT142" s="145">
        <v>0</v>
      </c>
      <c r="FU142" s="145">
        <v>0</v>
      </c>
      <c r="FV142" s="145">
        <v>0</v>
      </c>
      <c r="FW142" s="145">
        <v>0</v>
      </c>
      <c r="FX142" s="143"/>
      <c r="FY142" s="146" t="str">
        <f>_xlfn.XLOOKUP($E142,'Key assumptions'!$B$112:$B$120,'Key assumptions'!$C$112:$C$120,0)</f>
        <v>Nominal</v>
      </c>
      <c r="FZ142" s="146" cm="1">
        <f t="array" ref="FZ142">IF($FY142=0,0,_xlfn.IFS($FY142='Key assumptions'!$C$120,_xlfn.XLOOKUP(LEFT(FZ$7,6),Inflation_Year,Inflation_NominaltoReal),TRUE,_xlfn.XLOOKUP($FY142,Inflation_Year,NominaltoReal)))</f>
        <v>1.0197075870962191</v>
      </c>
      <c r="GA142" s="146" cm="1">
        <f t="array" ref="GA142">IF($FY142=0,0,_xlfn.IFS($FY142='Key assumptions'!$C$120,_xlfn.XLOOKUP(LEFT(GA$7,6),Inflation_Year,Inflation_NominaltoReal),TRUE,_xlfn.XLOOKUP($FY142,Inflation_Year,NominaltoReal)))</f>
        <v>0.98700804022984445</v>
      </c>
      <c r="GB142" s="146" cm="1">
        <f t="array" ref="GB142">IF($FY142=0,0,_xlfn.IFS($FY142='Key assumptions'!$C$120,_xlfn.XLOOKUP(LEFT(GB$7,6),Inflation_Year,Inflation_NominaltoReal),TRUE,_xlfn.XLOOKUP($FY142,Inflation_Year,NominaltoReal)))</f>
        <v>0.96152830081941731</v>
      </c>
      <c r="GC142" s="146" cm="1">
        <f t="array" ref="GC142">IF($FY142=0,0,_xlfn.IFS($FY142='Key assumptions'!$C$120,_xlfn.XLOOKUP(LEFT(GC$7,6),Inflation_Year,Inflation_NominaltoReal),TRUE,_xlfn.XLOOKUP($FY142,Inflation_Year,NominaltoReal)))</f>
        <v>0.93670632415656829</v>
      </c>
      <c r="GD142" s="146" cm="1">
        <f t="array" ref="GD142">IF($FY142=0,0,_xlfn.IFS($FY142='Key assumptions'!$C$120,_xlfn.XLOOKUP(LEFT(GD$7,6),Inflation_Year,Inflation_NominaltoReal),TRUE,_xlfn.XLOOKUP($FY142,Inflation_Year,NominaltoReal)))</f>
        <v>0.91252513001143176</v>
      </c>
      <c r="GE142" s="146" cm="1">
        <f t="array" ref="GE142">IF($FY142=0,0,_xlfn.IFS($FY142='Key assumptions'!$C$120,_xlfn.XLOOKUP(LEFT(GE$7,6),Inflation_Year,Inflation_NominaltoReal),TRUE,_xlfn.XLOOKUP($FY142,Inflation_Year,NominaltoReal)))</f>
        <v>0.88896817650095872</v>
      </c>
      <c r="GF142" s="146" cm="1">
        <f t="array" ref="GF142">IF($FY142=0,0,_xlfn.IFS($FY142='Key assumptions'!$C$120,_xlfn.XLOOKUP(LEFT(GF$7,6),Inflation_Year,Inflation_NominaltoReal),TRUE,_xlfn.XLOOKUP($FY142,Inflation_Year,NominaltoReal)))</f>
        <v>0.86601934877293718</v>
      </c>
      <c r="GG142" s="143"/>
      <c r="GH142" s="145" cm="1">
        <f t="array" ref="GH142">SUMPRODUCT(--($CR$7:$FW$7&gt;=GH$5),--($CR$7:$FW$7&lt;=GH$6),$CR142:$FW142)*FZ142</f>
        <v>0</v>
      </c>
      <c r="GI142" s="145" cm="1">
        <f t="array" ref="GI142">SUMPRODUCT(--($CR$7:$FW$7&gt;=GI$5),--($CR$7:$FW$7&lt;=GI$6),$CR142:$FW142)*GA142</f>
        <v>126755.61925928158</v>
      </c>
      <c r="GJ142" s="145" cm="1">
        <f t="array" ref="GJ142">SUMPRODUCT(--($CR$7:$FW$7&gt;=GJ$5),--($CR$7:$FW$7&lt;=GJ$6),$CR142:$FW142)*GB142</f>
        <v>43328.388291524585</v>
      </c>
      <c r="GK142" s="145" cm="1">
        <f t="array" ref="GK142">SUMPRODUCT(--($CR$7:$FW$7&gt;=GK$5),--($CR$7:$FW$7&lt;=GK$6),$CR142:$FW142)*GC142</f>
        <v>0</v>
      </c>
      <c r="GL142" s="145" cm="1">
        <f t="array" ref="GL142">SUMPRODUCT(--($CR$7:$FW$7&gt;=GL$5),--($CR$7:$FW$7&lt;=GL$6),$CR142:$FW142)*GD142</f>
        <v>0</v>
      </c>
      <c r="GM142" s="145" cm="1">
        <f t="array" ref="GM142">SUMPRODUCT(--($CR$7:$FW$7&gt;=GM$5),--($CR$7:$FW$7&lt;=GM$6),$CR142:$FW142)*GE142</f>
        <v>0</v>
      </c>
      <c r="GN142" s="145" cm="1">
        <f t="array" ref="GN142">SUMPRODUCT(--($CR$7:$FW$7&gt;=GN$5),--($CR$7:$FW$7&lt;=GN$6),$CR142:$FW142)*GF142</f>
        <v>0</v>
      </c>
      <c r="GO142" s="145">
        <f t="shared" si="46"/>
        <v>170084.00755080616</v>
      </c>
      <c r="GP142" s="87"/>
      <c r="GR142" s="145" cm="1">
        <f t="array" ref="GR142">SUMPRODUCT(--($CR$7:$FW$7&gt;=GR$5),--($CR$7:$FW$7&lt;=GR$6),$CR142:$FW142)</f>
        <v>0</v>
      </c>
      <c r="GT142" s="214" cm="1">
        <f t="array" ref="GT142">--AND(MIN(IF($K142:$CP142&lt;&gt;0,$K$7:$CP$7))&gt;=GT$5,MIN(IF($K142:$CP142&lt;&gt;0,$K$7:$CP$7))&lt;=GT$6)</f>
        <v>0</v>
      </c>
      <c r="GU142" s="214" cm="1">
        <f t="array" ref="GU142">--AND(MIN(IF($K142:$CP142&lt;&gt;0,$K$7:$CP$7))&gt;=GU$5,MIN(IF($K142:$CP142&lt;&gt;0,$K$7:$CP$7))&lt;=GU$6)</f>
        <v>1</v>
      </c>
      <c r="GV142" s="214" cm="1">
        <f t="array" ref="GV142">--AND(MIN(IF($K142:$CP142&lt;&gt;0,$K$7:$CP$7))&gt;=GV$5,MIN(IF($K142:$CP142&lt;&gt;0,$K$7:$CP$7))&lt;=GV$6)</f>
        <v>0</v>
      </c>
      <c r="GW142" s="214" cm="1">
        <f t="array" ref="GW142">--AND(MIN(IF($K142:$CP142&lt;&gt;0,$K$7:$CP$7))&gt;=GW$5,MIN(IF($K142:$CP142&lt;&gt;0,$K$7:$CP$7))&lt;=GW$6)</f>
        <v>0</v>
      </c>
      <c r="GX142" s="214" cm="1">
        <f t="array" ref="GX142">--AND(MIN(IF($K142:$CP142&lt;&gt;0,$K$7:$CP$7))&gt;=GX$5,MIN(IF($K142:$CP142&lt;&gt;0,$K$7:$CP$7))&lt;=GX$6)</f>
        <v>0</v>
      </c>
      <c r="GY142" s="214" cm="1">
        <f t="array" ref="GY142">--AND(MIN(IF($K142:$CP142&lt;&gt;0,$K$7:$CP$7))&gt;=GY$5,MIN(IF($K142:$CP142&lt;&gt;0,$K$7:$CP$7))&lt;=GY$6)</f>
        <v>0</v>
      </c>
      <c r="GZ142" s="214" cm="1">
        <f t="array" ref="GZ142">--AND(MIN(IF($K142:$CP142&lt;&gt;0,$K$7:$CP$7))&gt;=GZ$5,MIN(IF($K142:$CP142&lt;&gt;0,$K$7:$CP$7))&lt;=GZ$6)</f>
        <v>0</v>
      </c>
      <c r="HA142" s="214">
        <f t="shared" si="47"/>
        <v>1</v>
      </c>
      <c r="HC142" s="214" cm="1">
        <f t="array" ref="HC142">--AND(MIN(IF($K142:$CP142&lt;&gt;0,$K$7:$CP$7))&gt;=HC$5,MIN(IF($K142:$CP142&lt;&gt;0,$K$7:$CP$7))&lt;=HC$6)</f>
        <v>0</v>
      </c>
      <c r="HE142" s="147" t="str">
        <f t="shared" si="66"/>
        <v>No</v>
      </c>
      <c r="HF142" s="147" t="str">
        <f t="shared" si="67"/>
        <v>Yes</v>
      </c>
      <c r="HG142" s="147">
        <f>IF($HF142="Yes",0,$H142*avg_hrs*12*'Key assumptions'!$D$87)</f>
        <v>0</v>
      </c>
      <c r="HH142" s="147">
        <f>IF(HE142="Yes",'Key assumptions'!$D$84*HG142,0)</f>
        <v>0</v>
      </c>
      <c r="HI142" s="144">
        <f>IFERROR(AVERAGEIFS($K142:$CP142,$K$7:$CP$7,"&gt;="&amp;'Key assumptions'!$D$24,$K$7:$CP$7,"&lt;="&amp;'Key assumptions'!$D$25),0)</f>
        <v>7.27244246981089E-2</v>
      </c>
      <c r="HJ142" s="148">
        <f t="shared" si="48"/>
        <v>0</v>
      </c>
      <c r="HK142" s="148">
        <f t="shared" si="49"/>
        <v>0</v>
      </c>
      <c r="HL142" s="148">
        <f t="shared" si="50"/>
        <v>0</v>
      </c>
      <c r="HM142" s="148">
        <f t="shared" si="51"/>
        <v>0</v>
      </c>
      <c r="HN142" s="148">
        <f t="shared" si="52"/>
        <v>0</v>
      </c>
      <c r="HO142" s="148">
        <f t="shared" si="53"/>
        <v>0</v>
      </c>
      <c r="HP142" s="148">
        <f t="shared" si="54"/>
        <v>0</v>
      </c>
      <c r="HQ142" s="148">
        <f t="shared" si="55"/>
        <v>0</v>
      </c>
      <c r="HR142" s="147">
        <f t="shared" si="56"/>
        <v>0</v>
      </c>
      <c r="HU142" s="147">
        <f>$HJ142*HC142/(1+'Key assumptions'!G164)^0.75</f>
        <v>0</v>
      </c>
      <c r="HW142" s="216">
        <f t="shared" si="57"/>
        <v>0</v>
      </c>
      <c r="HX142" s="216">
        <f t="shared" si="58"/>
        <v>7.27244246981089E-2</v>
      </c>
      <c r="HY142" s="216">
        <f t="shared" si="59"/>
        <v>0</v>
      </c>
      <c r="HZ142" s="216">
        <f t="shared" si="60"/>
        <v>0</v>
      </c>
      <c r="IA142" s="216">
        <f t="shared" si="61"/>
        <v>0</v>
      </c>
      <c r="IB142" s="216">
        <f t="shared" si="62"/>
        <v>0</v>
      </c>
      <c r="IC142" s="216">
        <f t="shared" si="63"/>
        <v>0</v>
      </c>
      <c r="ID142" s="216">
        <f t="shared" si="64"/>
        <v>7.27244246981089E-2</v>
      </c>
      <c r="IF142" s="216">
        <f t="shared" si="65"/>
        <v>0</v>
      </c>
    </row>
    <row r="143" spans="2:240" x14ac:dyDescent="0.2">
      <c r="B143" s="141" t="str">
        <v>Project Delivery Management - Commissioning</v>
      </c>
      <c r="C143" s="141" t="str">
        <v>Substations Technician (Field Delivery)</v>
      </c>
      <c r="D143" s="141" t="str">
        <v>Internal Labour</v>
      </c>
      <c r="E143" s="141" t="str">
        <v>$ Nominal</v>
      </c>
      <c r="F143" s="141" t="str">
        <v>Existing</v>
      </c>
      <c r="G143" s="141" t="str">
        <v>Normal time</v>
      </c>
      <c r="H143" s="142">
        <v>157.53</v>
      </c>
      <c r="I143" s="126">
        <v>1040611.4450000003</v>
      </c>
      <c r="J143" s="143">
        <v>0</v>
      </c>
      <c r="K143" s="144">
        <v>0</v>
      </c>
      <c r="L143" s="144">
        <v>0</v>
      </c>
      <c r="M143" s="144">
        <v>0</v>
      </c>
      <c r="N143" s="144">
        <v>0</v>
      </c>
      <c r="O143" s="144">
        <v>0</v>
      </c>
      <c r="P143" s="144">
        <v>0</v>
      </c>
      <c r="Q143" s="144">
        <v>0</v>
      </c>
      <c r="R143" s="144">
        <v>0</v>
      </c>
      <c r="S143" s="144">
        <v>0</v>
      </c>
      <c r="T143" s="144">
        <v>0</v>
      </c>
      <c r="U143" s="144">
        <v>0</v>
      </c>
      <c r="V143" s="144">
        <v>0</v>
      </c>
      <c r="W143" s="144">
        <v>0</v>
      </c>
      <c r="X143" s="144">
        <v>0</v>
      </c>
      <c r="Y143" s="144">
        <v>0</v>
      </c>
      <c r="Z143" s="144">
        <v>0</v>
      </c>
      <c r="AA143" s="144">
        <v>1.174342105263158</v>
      </c>
      <c r="AB143" s="144">
        <v>1.243421052631579</v>
      </c>
      <c r="AC143" s="144">
        <v>1.425</v>
      </c>
      <c r="AD143" s="144">
        <v>1.125</v>
      </c>
      <c r="AE143" s="144">
        <v>1.35</v>
      </c>
      <c r="AF143" s="144">
        <v>1.35</v>
      </c>
      <c r="AG143" s="144">
        <v>1.2749999999999999</v>
      </c>
      <c r="AH143" s="144">
        <v>1.2</v>
      </c>
      <c r="AI143" s="144">
        <v>2.2999999999999998</v>
      </c>
      <c r="AJ143" s="144">
        <v>1.2</v>
      </c>
      <c r="AK143" s="144">
        <v>1.2</v>
      </c>
      <c r="AL143" s="144">
        <v>1.9</v>
      </c>
      <c r="AM143" s="144">
        <v>1.243421052631579</v>
      </c>
      <c r="AN143" s="144">
        <v>1.174342105263158</v>
      </c>
      <c r="AO143" s="144">
        <v>1.35</v>
      </c>
      <c r="AP143" s="144">
        <v>1.2749999999999999</v>
      </c>
      <c r="AQ143" s="144">
        <v>1.35</v>
      </c>
      <c r="AR143" s="144">
        <v>1.35</v>
      </c>
      <c r="AS143" s="144">
        <v>1.2749999999999999</v>
      </c>
      <c r="AT143" s="144">
        <v>1.6</v>
      </c>
      <c r="AU143" s="144">
        <v>1.9</v>
      </c>
      <c r="AV143" s="144">
        <v>1.2</v>
      </c>
      <c r="AW143" s="144">
        <v>1.425</v>
      </c>
      <c r="AX143" s="144">
        <v>1.6</v>
      </c>
      <c r="AY143" s="144">
        <v>1.3125</v>
      </c>
      <c r="AZ143" s="144">
        <v>1.3125</v>
      </c>
      <c r="BA143" s="144">
        <v>1.2</v>
      </c>
      <c r="BB143" s="144">
        <v>1.35</v>
      </c>
      <c r="BC143" s="144">
        <v>1.2749999999999999</v>
      </c>
      <c r="BD143" s="144">
        <v>1.35</v>
      </c>
      <c r="BE143" s="144">
        <v>6.371428571428571</v>
      </c>
      <c r="BF143" s="144">
        <v>0</v>
      </c>
      <c r="BG143" s="144">
        <v>0</v>
      </c>
      <c r="BH143" s="144">
        <v>0</v>
      </c>
      <c r="BI143" s="144">
        <v>0</v>
      </c>
      <c r="BJ143" s="144">
        <v>0</v>
      </c>
      <c r="BK143" s="144">
        <v>0</v>
      </c>
      <c r="BL143" s="144">
        <v>0</v>
      </c>
      <c r="BM143" s="144">
        <v>0</v>
      </c>
      <c r="BN143" s="144">
        <v>0</v>
      </c>
      <c r="BO143" s="144">
        <v>0</v>
      </c>
      <c r="BP143" s="144">
        <v>0</v>
      </c>
      <c r="BQ143" s="144">
        <v>0</v>
      </c>
      <c r="BR143" s="144">
        <v>0</v>
      </c>
      <c r="BS143" s="144">
        <v>0</v>
      </c>
      <c r="BT143" s="144">
        <v>0</v>
      </c>
      <c r="BU143" s="144">
        <v>0</v>
      </c>
      <c r="BV143" s="144">
        <v>0</v>
      </c>
      <c r="BW143" s="144">
        <v>0</v>
      </c>
      <c r="BX143" s="144">
        <v>0</v>
      </c>
      <c r="BY143" s="144">
        <v>0</v>
      </c>
      <c r="BZ143" s="144">
        <v>0</v>
      </c>
      <c r="CA143" s="144">
        <v>0</v>
      </c>
      <c r="CB143" s="144">
        <v>0</v>
      </c>
      <c r="CC143" s="144">
        <v>0</v>
      </c>
      <c r="CD143" s="144">
        <v>0</v>
      </c>
      <c r="CE143" s="144">
        <v>0</v>
      </c>
      <c r="CF143" s="144">
        <v>0</v>
      </c>
      <c r="CG143" s="144">
        <v>0</v>
      </c>
      <c r="CH143" s="144">
        <v>0</v>
      </c>
      <c r="CI143" s="144">
        <v>0</v>
      </c>
      <c r="CJ143" s="144">
        <v>0</v>
      </c>
      <c r="CK143" s="144">
        <v>0</v>
      </c>
      <c r="CL143" s="144">
        <v>0</v>
      </c>
      <c r="CM143" s="144">
        <v>0</v>
      </c>
      <c r="CN143" s="144">
        <v>0</v>
      </c>
      <c r="CO143" s="144">
        <v>0</v>
      </c>
      <c r="CP143" s="144">
        <v>0</v>
      </c>
      <c r="CQ143" s="143">
        <v>0</v>
      </c>
      <c r="CR143" s="145">
        <v>0</v>
      </c>
      <c r="CS143" s="145">
        <v>0</v>
      </c>
      <c r="CT143" s="145">
        <v>0</v>
      </c>
      <c r="CU143" s="145">
        <v>0</v>
      </c>
      <c r="CV143" s="145">
        <v>0</v>
      </c>
      <c r="CW143" s="145">
        <v>0</v>
      </c>
      <c r="CX143" s="145">
        <v>0</v>
      </c>
      <c r="CY143" s="145">
        <v>0</v>
      </c>
      <c r="CZ143" s="145">
        <v>0</v>
      </c>
      <c r="DA143" s="145">
        <v>0</v>
      </c>
      <c r="DB143" s="145">
        <v>0</v>
      </c>
      <c r="DC143" s="145">
        <v>0</v>
      </c>
      <c r="DD143" s="145">
        <v>0</v>
      </c>
      <c r="DE143" s="145">
        <v>0</v>
      </c>
      <c r="DF143" s="145">
        <v>0</v>
      </c>
      <c r="DG143" s="145">
        <v>0</v>
      </c>
      <c r="DH143" s="145">
        <v>28119.105</v>
      </c>
      <c r="DI143" s="145">
        <v>29773.170000000002</v>
      </c>
      <c r="DJ143" s="145">
        <v>31427.235000000001</v>
      </c>
      <c r="DK143" s="145">
        <v>24810.974999999999</v>
      </c>
      <c r="DL143" s="145">
        <v>29773.170000000002</v>
      </c>
      <c r="DM143" s="145">
        <v>29773.170000000002</v>
      </c>
      <c r="DN143" s="145">
        <v>28119.105</v>
      </c>
      <c r="DO143" s="145">
        <v>19848.78</v>
      </c>
      <c r="DP143" s="145">
        <v>38043.495000000003</v>
      </c>
      <c r="DQ143" s="145">
        <v>26465.040000000001</v>
      </c>
      <c r="DR143" s="145">
        <v>27269.759999999998</v>
      </c>
      <c r="DS143" s="145">
        <v>32382.84</v>
      </c>
      <c r="DT143" s="145">
        <v>30678.48</v>
      </c>
      <c r="DU143" s="145">
        <v>28974.12</v>
      </c>
      <c r="DV143" s="145">
        <v>30678.48</v>
      </c>
      <c r="DW143" s="145">
        <v>28974.12</v>
      </c>
      <c r="DX143" s="145">
        <v>30678.48</v>
      </c>
      <c r="DY143" s="145">
        <v>30678.48</v>
      </c>
      <c r="DZ143" s="145">
        <v>28974.12</v>
      </c>
      <c r="EA143" s="145">
        <v>27269.759999999998</v>
      </c>
      <c r="EB143" s="145">
        <v>32382.84</v>
      </c>
      <c r="EC143" s="145">
        <v>27269.759999999998</v>
      </c>
      <c r="ED143" s="145">
        <v>33340.44</v>
      </c>
      <c r="EE143" s="145">
        <v>28076.16</v>
      </c>
      <c r="EF143" s="145">
        <v>33340.44</v>
      </c>
      <c r="EG143" s="145">
        <v>33340.44</v>
      </c>
      <c r="EH143" s="145">
        <v>28076.16</v>
      </c>
      <c r="EI143" s="145">
        <v>31585.68</v>
      </c>
      <c r="EJ143" s="145">
        <v>29830.920000000002</v>
      </c>
      <c r="EK143" s="145">
        <v>31585.68</v>
      </c>
      <c r="EL143" s="145">
        <v>149071.04000000001</v>
      </c>
      <c r="EM143" s="145">
        <v>0</v>
      </c>
      <c r="EN143" s="145">
        <v>0</v>
      </c>
      <c r="EO143" s="145">
        <v>0</v>
      </c>
      <c r="EP143" s="145">
        <v>0</v>
      </c>
      <c r="EQ143" s="145">
        <v>0</v>
      </c>
      <c r="ER143" s="145">
        <v>0</v>
      </c>
      <c r="ES143" s="145">
        <v>0</v>
      </c>
      <c r="ET143" s="145">
        <v>0</v>
      </c>
      <c r="EU143" s="145">
        <v>0</v>
      </c>
      <c r="EV143" s="145">
        <v>0</v>
      </c>
      <c r="EW143" s="145">
        <v>0</v>
      </c>
      <c r="EX143" s="145">
        <v>0</v>
      </c>
      <c r="EY143" s="145">
        <v>0</v>
      </c>
      <c r="EZ143" s="145">
        <v>0</v>
      </c>
      <c r="FA143" s="145">
        <v>0</v>
      </c>
      <c r="FB143" s="145">
        <v>0</v>
      </c>
      <c r="FC143" s="145">
        <v>0</v>
      </c>
      <c r="FD143" s="145">
        <v>0</v>
      </c>
      <c r="FE143" s="145">
        <v>0</v>
      </c>
      <c r="FF143" s="145">
        <v>0</v>
      </c>
      <c r="FG143" s="145">
        <v>0</v>
      </c>
      <c r="FH143" s="145">
        <v>0</v>
      </c>
      <c r="FI143" s="145">
        <v>0</v>
      </c>
      <c r="FJ143" s="145">
        <v>0</v>
      </c>
      <c r="FK143" s="145">
        <v>0</v>
      </c>
      <c r="FL143" s="145">
        <v>0</v>
      </c>
      <c r="FM143" s="145">
        <v>0</v>
      </c>
      <c r="FN143" s="145">
        <v>0</v>
      </c>
      <c r="FO143" s="145">
        <v>0</v>
      </c>
      <c r="FP143" s="145">
        <v>0</v>
      </c>
      <c r="FQ143" s="145">
        <v>0</v>
      </c>
      <c r="FR143" s="145">
        <v>0</v>
      </c>
      <c r="FS143" s="145">
        <v>0</v>
      </c>
      <c r="FT143" s="145">
        <v>0</v>
      </c>
      <c r="FU143" s="145">
        <v>0</v>
      </c>
      <c r="FV143" s="145">
        <v>0</v>
      </c>
      <c r="FW143" s="145">
        <v>0</v>
      </c>
      <c r="FX143" s="143"/>
      <c r="FY143" s="146" t="str">
        <f>_xlfn.XLOOKUP($E143,'Key assumptions'!$B$112:$B$120,'Key assumptions'!$C$112:$C$120,0)</f>
        <v>Nominal</v>
      </c>
      <c r="FZ143" s="146" cm="1">
        <f t="array" ref="FZ143">IF($FY143=0,0,_xlfn.IFS($FY143='Key assumptions'!$C$120,_xlfn.XLOOKUP(LEFT(FZ$7,6),Inflation_Year,Inflation_NominaltoReal),TRUE,_xlfn.XLOOKUP($FY143,Inflation_Year,NominaltoReal)))</f>
        <v>1.0197075870962191</v>
      </c>
      <c r="GA143" s="146" cm="1">
        <f t="array" ref="GA143">IF($FY143=0,0,_xlfn.IFS($FY143='Key assumptions'!$C$120,_xlfn.XLOOKUP(LEFT(GA$7,6),Inflation_Year,Inflation_NominaltoReal),TRUE,_xlfn.XLOOKUP($FY143,Inflation_Year,NominaltoReal)))</f>
        <v>0.98700804022984445</v>
      </c>
      <c r="GB143" s="146" cm="1">
        <f t="array" ref="GB143">IF($FY143=0,0,_xlfn.IFS($FY143='Key assumptions'!$C$120,_xlfn.XLOOKUP(LEFT(GB$7,6),Inflation_Year,Inflation_NominaltoReal),TRUE,_xlfn.XLOOKUP($FY143,Inflation_Year,NominaltoReal)))</f>
        <v>0.96152830081941731</v>
      </c>
      <c r="GC143" s="146" cm="1">
        <f t="array" ref="GC143">IF($FY143=0,0,_xlfn.IFS($FY143='Key assumptions'!$C$120,_xlfn.XLOOKUP(LEFT(GC$7,6),Inflation_Year,Inflation_NominaltoReal),TRUE,_xlfn.XLOOKUP($FY143,Inflation_Year,NominaltoReal)))</f>
        <v>0.93670632415656829</v>
      </c>
      <c r="GD143" s="146" cm="1">
        <f t="array" ref="GD143">IF($FY143=0,0,_xlfn.IFS($FY143='Key assumptions'!$C$120,_xlfn.XLOOKUP(LEFT(GD$7,6),Inflation_Year,Inflation_NominaltoReal),TRUE,_xlfn.XLOOKUP($FY143,Inflation_Year,NominaltoReal)))</f>
        <v>0.91252513001143176</v>
      </c>
      <c r="GE143" s="146" cm="1">
        <f t="array" ref="GE143">IF($FY143=0,0,_xlfn.IFS($FY143='Key assumptions'!$C$120,_xlfn.XLOOKUP(LEFT(GE$7,6),Inflation_Year,Inflation_NominaltoReal),TRUE,_xlfn.XLOOKUP($FY143,Inflation_Year,NominaltoReal)))</f>
        <v>0.88896817650095872</v>
      </c>
      <c r="GF143" s="146" cm="1">
        <f t="array" ref="GF143">IF($FY143=0,0,_xlfn.IFS($FY143='Key assumptions'!$C$120,_xlfn.XLOOKUP(LEFT(GF$7,6),Inflation_Year,Inflation_NominaltoReal),TRUE,_xlfn.XLOOKUP($FY143,Inflation_Year,NominaltoReal)))</f>
        <v>0.86601934877293718</v>
      </c>
      <c r="GG143" s="143"/>
      <c r="GH143" s="145" cm="1">
        <f t="array" ref="GH143">SUMPRODUCT(--($CR$7:$FW$7&gt;=GH$5),--($CR$7:$FW$7&lt;=GH$6),$CR143:$FW143)*FZ143</f>
        <v>146739.64881437679</v>
      </c>
      <c r="GI143" s="145" cm="1">
        <f t="array" ref="GI143">SUMPRODUCT(--($CR$7:$FW$7&gt;=GI$5),--($CR$7:$FW$7&lt;=GI$6),$CR143:$FW143)*GA143</f>
        <v>347314.18293327378</v>
      </c>
      <c r="GJ143" s="145" cm="1">
        <f t="array" ref="GJ143">SUMPRODUCT(--($CR$7:$FW$7&gt;=GJ$5),--($CR$7:$FW$7&lt;=GJ$6),$CR143:$FW143)*GB143</f>
        <v>350155.14597356325</v>
      </c>
      <c r="GK143" s="145" cm="1">
        <f t="array" ref="GK143">SUMPRODUCT(--($CR$7:$FW$7&gt;=GK$5),--($CR$7:$FW$7&lt;=GK$6),$CR143:$FW143)*GC143</f>
        <v>169222.2921253824</v>
      </c>
      <c r="GL143" s="145" cm="1">
        <f t="array" ref="GL143">SUMPRODUCT(--($CR$7:$FW$7&gt;=GL$5),--($CR$7:$FW$7&lt;=GL$6),$CR143:$FW143)*GD143</f>
        <v>0</v>
      </c>
      <c r="GM143" s="145" cm="1">
        <f t="array" ref="GM143">SUMPRODUCT(--($CR$7:$FW$7&gt;=GM$5),--($CR$7:$FW$7&lt;=GM$6),$CR143:$FW143)*GE143</f>
        <v>0</v>
      </c>
      <c r="GN143" s="145" cm="1">
        <f t="array" ref="GN143">SUMPRODUCT(--($CR$7:$FW$7&gt;=GN$5),--($CR$7:$FW$7&lt;=GN$6),$CR143:$FW143)*GF143</f>
        <v>0</v>
      </c>
      <c r="GO143" s="145">
        <f t="shared" si="46"/>
        <v>1013431.2698465963</v>
      </c>
      <c r="GP143" s="87"/>
      <c r="GR143" s="145" cm="1">
        <f t="array" ref="GR143">SUMPRODUCT(--($CR$7:$FW$7&gt;=GR$5),--($CR$7:$FW$7&lt;=GR$6),$CR143:$FW143)</f>
        <v>57892.275000000001</v>
      </c>
      <c r="GT143" s="214" cm="1">
        <f t="array" ref="GT143">--AND(MIN(IF($K143:$CP143&lt;&gt;0,$K$7:$CP$7))&gt;=GT$5,MIN(IF($K143:$CP143&lt;&gt;0,$K$7:$CP$7))&lt;=GT$6)</f>
        <v>1</v>
      </c>
      <c r="GU143" s="214" cm="1">
        <f t="array" ref="GU143">--AND(MIN(IF($K143:$CP143&lt;&gt;0,$K$7:$CP$7))&gt;=GU$5,MIN(IF($K143:$CP143&lt;&gt;0,$K$7:$CP$7))&lt;=GU$6)</f>
        <v>0</v>
      </c>
      <c r="GV143" s="214" cm="1">
        <f t="array" ref="GV143">--AND(MIN(IF($K143:$CP143&lt;&gt;0,$K$7:$CP$7))&gt;=GV$5,MIN(IF($K143:$CP143&lt;&gt;0,$K$7:$CP$7))&lt;=GV$6)</f>
        <v>0</v>
      </c>
      <c r="GW143" s="214" cm="1">
        <f t="array" ref="GW143">--AND(MIN(IF($K143:$CP143&lt;&gt;0,$K$7:$CP$7))&gt;=GW$5,MIN(IF($K143:$CP143&lt;&gt;0,$K$7:$CP$7))&lt;=GW$6)</f>
        <v>0</v>
      </c>
      <c r="GX143" s="214" cm="1">
        <f t="array" ref="GX143">--AND(MIN(IF($K143:$CP143&lt;&gt;0,$K$7:$CP$7))&gt;=GX$5,MIN(IF($K143:$CP143&lt;&gt;0,$K$7:$CP$7))&lt;=GX$6)</f>
        <v>0</v>
      </c>
      <c r="GY143" s="214" cm="1">
        <f t="array" ref="GY143">--AND(MIN(IF($K143:$CP143&lt;&gt;0,$K$7:$CP$7))&gt;=GY$5,MIN(IF($K143:$CP143&lt;&gt;0,$K$7:$CP$7))&lt;=GY$6)</f>
        <v>0</v>
      </c>
      <c r="GZ143" s="214" cm="1">
        <f t="array" ref="GZ143">--AND(MIN(IF($K143:$CP143&lt;&gt;0,$K$7:$CP$7))&gt;=GZ$5,MIN(IF($K143:$CP143&lt;&gt;0,$K$7:$CP$7))&lt;=GZ$6)</f>
        <v>0</v>
      </c>
      <c r="HA143" s="214">
        <f t="shared" si="47"/>
        <v>1</v>
      </c>
      <c r="HC143" s="214" cm="1">
        <f t="array" ref="HC143">--AND(MIN(IF($K143:$CP143&lt;&gt;0,$K$7:$CP$7))&gt;=HC$5,MIN(IF($K143:$CP143&lt;&gt;0,$K$7:$CP$7))&lt;=HC$6)</f>
        <v>1</v>
      </c>
      <c r="HE143" s="147" t="str">
        <f t="shared" si="66"/>
        <v>No</v>
      </c>
      <c r="HF143" s="147" t="str">
        <f t="shared" si="67"/>
        <v>No</v>
      </c>
      <c r="HG143" s="147">
        <f>IF($HF143="Yes",0,$H143*avg_hrs*12*'Key assumptions'!$D$87)</f>
        <v>281706.01706682501</v>
      </c>
      <c r="HH143" s="147">
        <f>IF(HE143="Yes",'Key assumptions'!$D$84*HG143,0)</f>
        <v>0</v>
      </c>
      <c r="HI143" s="144">
        <f>IFERROR(AVERAGEIFS($K143:$CP143,$K$7:$CP$7,"&gt;="&amp;'Key assumptions'!$D$24,$K$7:$CP$7,"&lt;="&amp;'Key assumptions'!$D$25),0)</f>
        <v>1.0831126110731375</v>
      </c>
      <c r="HJ143" s="148">
        <f t="shared" si="48"/>
        <v>0</v>
      </c>
      <c r="HK143" s="148">
        <f t="shared" si="49"/>
        <v>0</v>
      </c>
      <c r="HL143" s="148">
        <f t="shared" si="50"/>
        <v>0</v>
      </c>
      <c r="HM143" s="148">
        <f t="shared" si="51"/>
        <v>0</v>
      </c>
      <c r="HN143" s="148">
        <f t="shared" si="52"/>
        <v>0</v>
      </c>
      <c r="HO143" s="148">
        <f t="shared" si="53"/>
        <v>0</v>
      </c>
      <c r="HP143" s="148">
        <f t="shared" si="54"/>
        <v>0</v>
      </c>
      <c r="HQ143" s="148">
        <f t="shared" si="55"/>
        <v>0</v>
      </c>
      <c r="HR143" s="147">
        <f t="shared" si="56"/>
        <v>0</v>
      </c>
      <c r="HU143" s="147">
        <f>$HJ143*HC143/(1+'Key assumptions'!G165)^0.75</f>
        <v>0</v>
      </c>
      <c r="HW143" s="216">
        <f t="shared" si="57"/>
        <v>1.0831126110731375</v>
      </c>
      <c r="HX143" s="216">
        <f t="shared" si="58"/>
        <v>0</v>
      </c>
      <c r="HY143" s="216">
        <f t="shared" si="59"/>
        <v>0</v>
      </c>
      <c r="HZ143" s="216">
        <f t="shared" si="60"/>
        <v>0</v>
      </c>
      <c r="IA143" s="216">
        <f t="shared" si="61"/>
        <v>0</v>
      </c>
      <c r="IB143" s="216">
        <f t="shared" si="62"/>
        <v>0</v>
      </c>
      <c r="IC143" s="216">
        <f t="shared" si="63"/>
        <v>0</v>
      </c>
      <c r="ID143" s="216">
        <f t="shared" si="64"/>
        <v>1.0831126110731375</v>
      </c>
      <c r="IF143" s="216">
        <f t="shared" si="65"/>
        <v>1.0831126110731375</v>
      </c>
    </row>
    <row r="144" spans="2:240" x14ac:dyDescent="0.2">
      <c r="B144" s="141" t="str">
        <v>Project Delivery Management - Commissioning</v>
      </c>
      <c r="C144" s="141" t="str">
        <v>Substations Technician (Field Delivery)</v>
      </c>
      <c r="D144" s="141" t="str">
        <v>Internal Labour</v>
      </c>
      <c r="E144" s="141" t="str">
        <v>$ Nominal</v>
      </c>
      <c r="F144" s="141">
        <v>0</v>
      </c>
      <c r="G144" s="141" t="str">
        <v>Overtime</v>
      </c>
      <c r="H144" s="142">
        <v>157.53</v>
      </c>
      <c r="I144" s="126">
        <v>1534126.9950000003</v>
      </c>
      <c r="J144" s="143">
        <v>0</v>
      </c>
      <c r="K144" s="144">
        <v>0</v>
      </c>
      <c r="L144" s="144">
        <v>0</v>
      </c>
      <c r="M144" s="144">
        <v>0</v>
      </c>
      <c r="N144" s="144">
        <v>0</v>
      </c>
      <c r="O144" s="144">
        <v>0</v>
      </c>
      <c r="P144" s="144">
        <v>0</v>
      </c>
      <c r="Q144" s="144">
        <v>0</v>
      </c>
      <c r="R144" s="144">
        <v>0</v>
      </c>
      <c r="S144" s="144">
        <v>0</v>
      </c>
      <c r="T144" s="144">
        <v>0</v>
      </c>
      <c r="U144" s="144">
        <v>0</v>
      </c>
      <c r="V144" s="144">
        <v>0</v>
      </c>
      <c r="W144" s="144">
        <v>0</v>
      </c>
      <c r="X144" s="144">
        <v>0</v>
      </c>
      <c r="Y144" s="144">
        <v>0</v>
      </c>
      <c r="Z144" s="144">
        <v>0</v>
      </c>
      <c r="AA144" s="144">
        <v>0.97697368421052633</v>
      </c>
      <c r="AB144" s="144">
        <v>1.006578947368421</v>
      </c>
      <c r="AC144" s="144">
        <v>1.3821428571428571</v>
      </c>
      <c r="AD144" s="144">
        <v>0.99642857142857144</v>
      </c>
      <c r="AE144" s="144">
        <v>1.0928571428571427</v>
      </c>
      <c r="AF144" s="144">
        <v>1.0928571428571427</v>
      </c>
      <c r="AG144" s="144">
        <v>1.0607142857142857</v>
      </c>
      <c r="AH144" s="144">
        <v>1.2</v>
      </c>
      <c r="AI144" s="144">
        <v>2.0142857142857142</v>
      </c>
      <c r="AJ144" s="144">
        <v>1.0285714285714285</v>
      </c>
      <c r="AK144" s="144">
        <v>1.0285714285714285</v>
      </c>
      <c r="AL144" s="144">
        <v>1.5</v>
      </c>
      <c r="AM144" s="144">
        <v>1.125</v>
      </c>
      <c r="AN144" s="144">
        <v>1.0953947368421053</v>
      </c>
      <c r="AO144" s="144">
        <v>1.0928571428571427</v>
      </c>
      <c r="AP144" s="144">
        <v>1.0607142857142857</v>
      </c>
      <c r="AQ144" s="144">
        <v>1.0928571428571427</v>
      </c>
      <c r="AR144" s="144">
        <v>1.0928571428571427</v>
      </c>
      <c r="AS144" s="144">
        <v>1.3178571428571428</v>
      </c>
      <c r="AT144" s="144">
        <v>1.0285714285714285</v>
      </c>
      <c r="AU144" s="144">
        <v>1.8428571428571427</v>
      </c>
      <c r="AV144" s="144">
        <v>1.0285714285714285</v>
      </c>
      <c r="AW144" s="144">
        <v>1.125</v>
      </c>
      <c r="AX144" s="144">
        <v>1.3714285714285714</v>
      </c>
      <c r="AY144" s="144">
        <v>1.2730263157894737</v>
      </c>
      <c r="AZ144" s="144">
        <v>1.2730263157894737</v>
      </c>
      <c r="BA144" s="144">
        <v>1.0285714285714285</v>
      </c>
      <c r="BB144" s="144">
        <v>1.0928571428571427</v>
      </c>
      <c r="BC144" s="144">
        <v>1.0607142857142857</v>
      </c>
      <c r="BD144" s="144">
        <v>1.0928571428571427</v>
      </c>
      <c r="BE144" s="144">
        <v>0</v>
      </c>
      <c r="BF144" s="144">
        <v>0</v>
      </c>
      <c r="BG144" s="144">
        <v>0</v>
      </c>
      <c r="BH144" s="144">
        <v>0</v>
      </c>
      <c r="BI144" s="144">
        <v>0</v>
      </c>
      <c r="BJ144" s="144">
        <v>0</v>
      </c>
      <c r="BK144" s="144">
        <v>0</v>
      </c>
      <c r="BL144" s="144">
        <v>0</v>
      </c>
      <c r="BM144" s="144">
        <v>0</v>
      </c>
      <c r="BN144" s="144">
        <v>0</v>
      </c>
      <c r="BO144" s="144">
        <v>0</v>
      </c>
      <c r="BP144" s="144">
        <v>0</v>
      </c>
      <c r="BQ144" s="144">
        <v>0</v>
      </c>
      <c r="BR144" s="144">
        <v>0</v>
      </c>
      <c r="BS144" s="144">
        <v>0</v>
      </c>
      <c r="BT144" s="144">
        <v>0</v>
      </c>
      <c r="BU144" s="144">
        <v>0</v>
      </c>
      <c r="BV144" s="144">
        <v>0</v>
      </c>
      <c r="BW144" s="144">
        <v>0</v>
      </c>
      <c r="BX144" s="144">
        <v>0</v>
      </c>
      <c r="BY144" s="144">
        <v>0</v>
      </c>
      <c r="BZ144" s="144">
        <v>0</v>
      </c>
      <c r="CA144" s="144">
        <v>0</v>
      </c>
      <c r="CB144" s="144">
        <v>0</v>
      </c>
      <c r="CC144" s="144">
        <v>0</v>
      </c>
      <c r="CD144" s="144">
        <v>0</v>
      </c>
      <c r="CE144" s="144">
        <v>0</v>
      </c>
      <c r="CF144" s="144">
        <v>0</v>
      </c>
      <c r="CG144" s="144">
        <v>0</v>
      </c>
      <c r="CH144" s="144">
        <v>0</v>
      </c>
      <c r="CI144" s="144">
        <v>0</v>
      </c>
      <c r="CJ144" s="144">
        <v>0</v>
      </c>
      <c r="CK144" s="144">
        <v>0</v>
      </c>
      <c r="CL144" s="144">
        <v>0</v>
      </c>
      <c r="CM144" s="144">
        <v>0</v>
      </c>
      <c r="CN144" s="144">
        <v>0</v>
      </c>
      <c r="CO144" s="144">
        <v>0</v>
      </c>
      <c r="CP144" s="144">
        <v>0</v>
      </c>
      <c r="CQ144" s="143">
        <v>0</v>
      </c>
      <c r="CR144" s="145">
        <v>0</v>
      </c>
      <c r="CS144" s="145">
        <v>0</v>
      </c>
      <c r="CT144" s="145">
        <v>0</v>
      </c>
      <c r="CU144" s="145">
        <v>0</v>
      </c>
      <c r="CV144" s="145">
        <v>0</v>
      </c>
      <c r="CW144" s="145">
        <v>0</v>
      </c>
      <c r="CX144" s="145">
        <v>0</v>
      </c>
      <c r="CY144" s="145">
        <v>0</v>
      </c>
      <c r="CZ144" s="145">
        <v>0</v>
      </c>
      <c r="DA144" s="145">
        <v>0</v>
      </c>
      <c r="DB144" s="145">
        <v>0</v>
      </c>
      <c r="DC144" s="145">
        <v>0</v>
      </c>
      <c r="DD144" s="145">
        <v>0</v>
      </c>
      <c r="DE144" s="145">
        <v>0</v>
      </c>
      <c r="DF144" s="145">
        <v>0</v>
      </c>
      <c r="DG144" s="145">
        <v>0</v>
      </c>
      <c r="DH144" s="145">
        <v>46784.925000000003</v>
      </c>
      <c r="DI144" s="145">
        <v>48202.65</v>
      </c>
      <c r="DJ144" s="145">
        <v>60962.175000000003</v>
      </c>
      <c r="DK144" s="145">
        <v>43949.474999999999</v>
      </c>
      <c r="DL144" s="145">
        <v>48202.65</v>
      </c>
      <c r="DM144" s="145">
        <v>48202.65</v>
      </c>
      <c r="DN144" s="145">
        <v>46784.925000000003</v>
      </c>
      <c r="DO144" s="145">
        <v>39696.300000000003</v>
      </c>
      <c r="DP144" s="145">
        <v>66633.074999999997</v>
      </c>
      <c r="DQ144" s="145">
        <v>45367.200000000004</v>
      </c>
      <c r="DR144" s="145">
        <v>46748.159999999996</v>
      </c>
      <c r="DS144" s="145">
        <v>51130.799999999996</v>
      </c>
      <c r="DT144" s="145">
        <v>55513.439999999995</v>
      </c>
      <c r="DU144" s="145">
        <v>54052.56</v>
      </c>
      <c r="DV144" s="145">
        <v>49669.919999999998</v>
      </c>
      <c r="DW144" s="145">
        <v>48209.04</v>
      </c>
      <c r="DX144" s="145">
        <v>49669.919999999998</v>
      </c>
      <c r="DY144" s="145">
        <v>49669.919999999998</v>
      </c>
      <c r="DZ144" s="145">
        <v>59896.079999999994</v>
      </c>
      <c r="EA144" s="145">
        <v>35061.119999999995</v>
      </c>
      <c r="EB144" s="145">
        <v>62817.84</v>
      </c>
      <c r="EC144" s="145">
        <v>46748.159999999996</v>
      </c>
      <c r="ED144" s="145">
        <v>52641.225000000006</v>
      </c>
      <c r="EE144" s="145">
        <v>48129.120000000003</v>
      </c>
      <c r="EF144" s="145">
        <v>64673.505000000005</v>
      </c>
      <c r="EG144" s="145">
        <v>64673.505000000005</v>
      </c>
      <c r="EH144" s="145">
        <v>48129.120000000003</v>
      </c>
      <c r="EI144" s="145">
        <v>51137.19</v>
      </c>
      <c r="EJ144" s="145">
        <v>49633.155000000006</v>
      </c>
      <c r="EK144" s="145">
        <v>51137.19</v>
      </c>
      <c r="EL144" s="145">
        <v>0</v>
      </c>
      <c r="EM144" s="145">
        <v>0</v>
      </c>
      <c r="EN144" s="145">
        <v>0</v>
      </c>
      <c r="EO144" s="145">
        <v>0</v>
      </c>
      <c r="EP144" s="145">
        <v>0</v>
      </c>
      <c r="EQ144" s="145">
        <v>0</v>
      </c>
      <c r="ER144" s="145">
        <v>0</v>
      </c>
      <c r="ES144" s="145">
        <v>0</v>
      </c>
      <c r="ET144" s="145">
        <v>0</v>
      </c>
      <c r="EU144" s="145">
        <v>0</v>
      </c>
      <c r="EV144" s="145">
        <v>0</v>
      </c>
      <c r="EW144" s="145">
        <v>0</v>
      </c>
      <c r="EX144" s="145">
        <v>0</v>
      </c>
      <c r="EY144" s="145">
        <v>0</v>
      </c>
      <c r="EZ144" s="145">
        <v>0</v>
      </c>
      <c r="FA144" s="145">
        <v>0</v>
      </c>
      <c r="FB144" s="145">
        <v>0</v>
      </c>
      <c r="FC144" s="145">
        <v>0</v>
      </c>
      <c r="FD144" s="145">
        <v>0</v>
      </c>
      <c r="FE144" s="145">
        <v>0</v>
      </c>
      <c r="FF144" s="145">
        <v>0</v>
      </c>
      <c r="FG144" s="145">
        <v>0</v>
      </c>
      <c r="FH144" s="145">
        <v>0</v>
      </c>
      <c r="FI144" s="145">
        <v>0</v>
      </c>
      <c r="FJ144" s="145">
        <v>0</v>
      </c>
      <c r="FK144" s="145">
        <v>0</v>
      </c>
      <c r="FL144" s="145">
        <v>0</v>
      </c>
      <c r="FM144" s="145">
        <v>0</v>
      </c>
      <c r="FN144" s="145">
        <v>0</v>
      </c>
      <c r="FO144" s="145">
        <v>0</v>
      </c>
      <c r="FP144" s="145">
        <v>0</v>
      </c>
      <c r="FQ144" s="145">
        <v>0</v>
      </c>
      <c r="FR144" s="145">
        <v>0</v>
      </c>
      <c r="FS144" s="145">
        <v>0</v>
      </c>
      <c r="FT144" s="145">
        <v>0</v>
      </c>
      <c r="FU144" s="145">
        <v>0</v>
      </c>
      <c r="FV144" s="145">
        <v>0</v>
      </c>
      <c r="FW144" s="145">
        <v>0</v>
      </c>
      <c r="FX144" s="143"/>
      <c r="FY144" s="146" t="str">
        <f>_xlfn.XLOOKUP($E144,'Key assumptions'!$B$112:$B$120,'Key assumptions'!$C$112:$C$120,0)</f>
        <v>Nominal</v>
      </c>
      <c r="FZ144" s="146" cm="1">
        <f t="array" ref="FZ144">IF($FY144=0,0,_xlfn.IFS($FY144='Key assumptions'!$C$120,_xlfn.XLOOKUP(LEFT(FZ$7,6),Inflation_Year,Inflation_NominaltoReal),TRUE,_xlfn.XLOOKUP($FY144,Inflation_Year,NominaltoReal)))</f>
        <v>1.0197075870962191</v>
      </c>
      <c r="GA144" s="146" cm="1">
        <f t="array" ref="GA144">IF($FY144=0,0,_xlfn.IFS($FY144='Key assumptions'!$C$120,_xlfn.XLOOKUP(LEFT(GA$7,6),Inflation_Year,Inflation_NominaltoReal),TRUE,_xlfn.XLOOKUP($FY144,Inflation_Year,NominaltoReal)))</f>
        <v>0.98700804022984445</v>
      </c>
      <c r="GB144" s="146" cm="1">
        <f t="array" ref="GB144">IF($FY144=0,0,_xlfn.IFS($FY144='Key assumptions'!$C$120,_xlfn.XLOOKUP(LEFT(GB$7,6),Inflation_Year,Inflation_NominaltoReal),TRUE,_xlfn.XLOOKUP($FY144,Inflation_Year,NominaltoReal)))</f>
        <v>0.96152830081941731</v>
      </c>
      <c r="GC144" s="146" cm="1">
        <f t="array" ref="GC144">IF($FY144=0,0,_xlfn.IFS($FY144='Key assumptions'!$C$120,_xlfn.XLOOKUP(LEFT(GC$7,6),Inflation_Year,Inflation_NominaltoReal),TRUE,_xlfn.XLOOKUP($FY144,Inflation_Year,NominaltoReal)))</f>
        <v>0.93670632415656829</v>
      </c>
      <c r="GD144" s="146" cm="1">
        <f t="array" ref="GD144">IF($FY144=0,0,_xlfn.IFS($FY144='Key assumptions'!$C$120,_xlfn.XLOOKUP(LEFT(GD$7,6),Inflation_Year,Inflation_NominaltoReal),TRUE,_xlfn.XLOOKUP($FY144,Inflation_Year,NominaltoReal)))</f>
        <v>0.91252513001143176</v>
      </c>
      <c r="GE144" s="146" cm="1">
        <f t="array" ref="GE144">IF($FY144=0,0,_xlfn.IFS($FY144='Key assumptions'!$C$120,_xlfn.XLOOKUP(LEFT(GE$7,6),Inflation_Year,Inflation_NominaltoReal),TRUE,_xlfn.XLOOKUP($FY144,Inflation_Year,NominaltoReal)))</f>
        <v>0.88896817650095872</v>
      </c>
      <c r="GF144" s="146" cm="1">
        <f t="array" ref="GF144">IF($FY144=0,0,_xlfn.IFS($FY144='Key assumptions'!$C$120,_xlfn.XLOOKUP(LEFT(GF$7,6),Inflation_Year,Inflation_NominaltoReal),TRUE,_xlfn.XLOOKUP($FY144,Inflation_Year,NominaltoReal)))</f>
        <v>0.86601934877293718</v>
      </c>
      <c r="GG144" s="143"/>
      <c r="GH144" s="145" cm="1">
        <f t="array" ref="GH144">SUMPRODUCT(--($CR$7:$FW$7&gt;=GH$5),--($CR$7:$FW$7&lt;=GH$6),$CR144:$FW144)*FZ144</f>
        <v>252991.36431029777</v>
      </c>
      <c r="GI144" s="145" cm="1">
        <f t="array" ref="GI144">SUMPRODUCT(--($CR$7:$FW$7&gt;=GI$5),--($CR$7:$FW$7&lt;=GI$6),$CR144:$FW144)*GA144</f>
        <v>593861.01375933189</v>
      </c>
      <c r="GJ144" s="145" cm="1">
        <f t="array" ref="GJ144">SUMPRODUCT(--($CR$7:$FW$7&gt;=GJ$5),--($CR$7:$FW$7&lt;=GJ$6),$CR144:$FW144)*GB144</f>
        <v>608849.27767016517</v>
      </c>
      <c r="GK144" s="145" cm="1">
        <f t="array" ref="GK144">SUMPRODUCT(--($CR$7:$FW$7&gt;=GK$5),--($CR$7:$FW$7&lt;=GK$6),$CR144:$FW144)*GC144</f>
        <v>47900.529272596024</v>
      </c>
      <c r="GL144" s="145" cm="1">
        <f t="array" ref="GL144">SUMPRODUCT(--($CR$7:$FW$7&gt;=GL$5),--($CR$7:$FW$7&lt;=GL$6),$CR144:$FW144)*GD144</f>
        <v>0</v>
      </c>
      <c r="GM144" s="145" cm="1">
        <f t="array" ref="GM144">SUMPRODUCT(--($CR$7:$FW$7&gt;=GM$5),--($CR$7:$FW$7&lt;=GM$6),$CR144:$FW144)*GE144</f>
        <v>0</v>
      </c>
      <c r="GN144" s="145" cm="1">
        <f t="array" ref="GN144">SUMPRODUCT(--($CR$7:$FW$7&gt;=GN$5),--($CR$7:$FW$7&lt;=GN$6),$CR144:$FW144)*GF144</f>
        <v>0</v>
      </c>
      <c r="GO144" s="145">
        <f t="shared" si="46"/>
        <v>1503602.1850123911</v>
      </c>
      <c r="GP144" s="87"/>
      <c r="GR144" s="145" cm="1">
        <f t="array" ref="GR144">SUMPRODUCT(--($CR$7:$FW$7&gt;=GR$5),--($CR$7:$FW$7&lt;=GR$6),$CR144:$FW144)</f>
        <v>94987.575000000012</v>
      </c>
      <c r="GT144" s="214" cm="1">
        <f t="array" ref="GT144">--AND(MIN(IF($K144:$CP144&lt;&gt;0,$K$7:$CP$7))&gt;=GT$5,MIN(IF($K144:$CP144&lt;&gt;0,$K$7:$CP$7))&lt;=GT$6)</f>
        <v>1</v>
      </c>
      <c r="GU144" s="214" cm="1">
        <f t="array" ref="GU144">--AND(MIN(IF($K144:$CP144&lt;&gt;0,$K$7:$CP$7))&gt;=GU$5,MIN(IF($K144:$CP144&lt;&gt;0,$K$7:$CP$7))&lt;=GU$6)</f>
        <v>0</v>
      </c>
      <c r="GV144" s="214" cm="1">
        <f t="array" ref="GV144">--AND(MIN(IF($K144:$CP144&lt;&gt;0,$K$7:$CP$7))&gt;=GV$5,MIN(IF($K144:$CP144&lt;&gt;0,$K$7:$CP$7))&lt;=GV$6)</f>
        <v>0</v>
      </c>
      <c r="GW144" s="214" cm="1">
        <f t="array" ref="GW144">--AND(MIN(IF($K144:$CP144&lt;&gt;0,$K$7:$CP$7))&gt;=GW$5,MIN(IF($K144:$CP144&lt;&gt;0,$K$7:$CP$7))&lt;=GW$6)</f>
        <v>0</v>
      </c>
      <c r="GX144" s="214" cm="1">
        <f t="array" ref="GX144">--AND(MIN(IF($K144:$CP144&lt;&gt;0,$K$7:$CP$7))&gt;=GX$5,MIN(IF($K144:$CP144&lt;&gt;0,$K$7:$CP$7))&lt;=GX$6)</f>
        <v>0</v>
      </c>
      <c r="GY144" s="214" cm="1">
        <f t="array" ref="GY144">--AND(MIN(IF($K144:$CP144&lt;&gt;0,$K$7:$CP$7))&gt;=GY$5,MIN(IF($K144:$CP144&lt;&gt;0,$K$7:$CP$7))&lt;=GY$6)</f>
        <v>0</v>
      </c>
      <c r="GZ144" s="214" cm="1">
        <f t="array" ref="GZ144">--AND(MIN(IF($K144:$CP144&lt;&gt;0,$K$7:$CP$7))&gt;=GZ$5,MIN(IF($K144:$CP144&lt;&gt;0,$K$7:$CP$7))&lt;=GZ$6)</f>
        <v>0</v>
      </c>
      <c r="HA144" s="214">
        <f t="shared" si="47"/>
        <v>1</v>
      </c>
      <c r="HC144" s="214" cm="1">
        <f t="array" ref="HC144">--AND(MIN(IF($K144:$CP144&lt;&gt;0,$K$7:$CP$7))&gt;=HC$5,MIN(IF($K144:$CP144&lt;&gt;0,$K$7:$CP$7))&lt;=HC$6)</f>
        <v>1</v>
      </c>
      <c r="HE144" s="147" t="str">
        <f t="shared" si="66"/>
        <v>No</v>
      </c>
      <c r="HF144" s="147" t="str">
        <f t="shared" si="67"/>
        <v>Yes</v>
      </c>
      <c r="HG144" s="147">
        <f>IF($HF144="Yes",0,$H144*avg_hrs*12*'Key assumptions'!$D$87)</f>
        <v>0</v>
      </c>
      <c r="HH144" s="147">
        <f>IF(HE144="Yes",'Key assumptions'!$D$84*HG144,0)</f>
        <v>0</v>
      </c>
      <c r="HI144" s="144">
        <f>IFERROR(AVERAGEIFS($K144:$CP144,$K$7:$CP$7,"&gt;="&amp;'Key assumptions'!$D$24,$K$7:$CP$7,"&lt;="&amp;'Key assumptions'!$D$25),0)</f>
        <v>0.80624999999999969</v>
      </c>
      <c r="HJ144" s="148">
        <f t="shared" si="48"/>
        <v>0</v>
      </c>
      <c r="HK144" s="148">
        <f t="shared" si="49"/>
        <v>0</v>
      </c>
      <c r="HL144" s="148">
        <f t="shared" si="50"/>
        <v>0</v>
      </c>
      <c r="HM144" s="148">
        <f t="shared" si="51"/>
        <v>0</v>
      </c>
      <c r="HN144" s="148">
        <f t="shared" si="52"/>
        <v>0</v>
      </c>
      <c r="HO144" s="148">
        <f t="shared" si="53"/>
        <v>0</v>
      </c>
      <c r="HP144" s="148">
        <f t="shared" si="54"/>
        <v>0</v>
      </c>
      <c r="HQ144" s="148">
        <f t="shared" si="55"/>
        <v>0</v>
      </c>
      <c r="HR144" s="147">
        <f t="shared" si="56"/>
        <v>0</v>
      </c>
      <c r="HU144" s="147">
        <f>$HJ144*HC144/(1+'Key assumptions'!G166)^0.75</f>
        <v>0</v>
      </c>
      <c r="HW144" s="216">
        <f t="shared" si="57"/>
        <v>0.80624999999999969</v>
      </c>
      <c r="HX144" s="216">
        <f t="shared" si="58"/>
        <v>0</v>
      </c>
      <c r="HY144" s="216">
        <f t="shared" si="59"/>
        <v>0</v>
      </c>
      <c r="HZ144" s="216">
        <f t="shared" si="60"/>
        <v>0</v>
      </c>
      <c r="IA144" s="216">
        <f t="shared" si="61"/>
        <v>0</v>
      </c>
      <c r="IB144" s="216">
        <f t="shared" si="62"/>
        <v>0</v>
      </c>
      <c r="IC144" s="216">
        <f t="shared" si="63"/>
        <v>0</v>
      </c>
      <c r="ID144" s="216">
        <f t="shared" si="64"/>
        <v>0.80624999999999969</v>
      </c>
      <c r="IF144" s="216">
        <f t="shared" si="65"/>
        <v>0.80624999999999969</v>
      </c>
    </row>
    <row r="145" spans="2:240" x14ac:dyDescent="0.2">
      <c r="B145" s="141" t="str">
        <v>Project Delivery Management - Commissioning</v>
      </c>
      <c r="C145" s="141" t="str">
        <v>Network Operations Officer (Control Centre)</v>
      </c>
      <c r="D145" s="141" t="str">
        <v>Internal Labour</v>
      </c>
      <c r="E145" s="141" t="str">
        <v>$ Nominal</v>
      </c>
      <c r="F145" s="141" t="str">
        <v>Existing</v>
      </c>
      <c r="G145" s="141" t="str">
        <v>Normal time</v>
      </c>
      <c r="H145" s="142">
        <v>240.85</v>
      </c>
      <c r="I145" s="126">
        <v>53697</v>
      </c>
      <c r="J145" s="143">
        <v>0</v>
      </c>
      <c r="K145" s="144">
        <v>0</v>
      </c>
      <c r="L145" s="144">
        <v>0</v>
      </c>
      <c r="M145" s="144">
        <v>0</v>
      </c>
      <c r="N145" s="144">
        <v>0</v>
      </c>
      <c r="O145" s="144">
        <v>0</v>
      </c>
      <c r="P145" s="144">
        <v>0</v>
      </c>
      <c r="Q145" s="144">
        <v>0</v>
      </c>
      <c r="R145" s="144">
        <v>0</v>
      </c>
      <c r="S145" s="144">
        <v>0</v>
      </c>
      <c r="T145" s="144">
        <v>0</v>
      </c>
      <c r="U145" s="144">
        <v>0</v>
      </c>
      <c r="V145" s="144">
        <v>0</v>
      </c>
      <c r="W145" s="144">
        <v>0</v>
      </c>
      <c r="X145" s="144">
        <v>0</v>
      </c>
      <c r="Y145" s="144">
        <v>0</v>
      </c>
      <c r="Z145" s="144">
        <v>0</v>
      </c>
      <c r="AA145" s="144">
        <v>0</v>
      </c>
      <c r="AB145" s="144">
        <v>0</v>
      </c>
      <c r="AC145" s="144">
        <v>0</v>
      </c>
      <c r="AD145" s="144">
        <v>0</v>
      </c>
      <c r="AE145" s="144">
        <v>0</v>
      </c>
      <c r="AF145" s="144">
        <v>0</v>
      </c>
      <c r="AG145" s="144">
        <v>0</v>
      </c>
      <c r="AH145" s="144">
        <v>0</v>
      </c>
      <c r="AI145" s="144">
        <v>0</v>
      </c>
      <c r="AJ145" s="144">
        <v>0</v>
      </c>
      <c r="AK145" s="144">
        <v>0</v>
      </c>
      <c r="AL145" s="144">
        <v>0</v>
      </c>
      <c r="AM145" s="144">
        <v>0</v>
      </c>
      <c r="AN145" s="144">
        <v>0</v>
      </c>
      <c r="AO145" s="144">
        <v>0</v>
      </c>
      <c r="AP145" s="144">
        <v>0</v>
      </c>
      <c r="AQ145" s="144">
        <v>0</v>
      </c>
      <c r="AR145" s="144">
        <v>0</v>
      </c>
      <c r="AS145" s="144">
        <v>0</v>
      </c>
      <c r="AT145" s="144">
        <v>0</v>
      </c>
      <c r="AU145" s="144">
        <v>0</v>
      </c>
      <c r="AV145" s="144">
        <v>0</v>
      </c>
      <c r="AW145" s="144">
        <v>0</v>
      </c>
      <c r="AX145" s="144">
        <v>0</v>
      </c>
      <c r="AY145" s="144">
        <v>0</v>
      </c>
      <c r="AZ145" s="144">
        <v>0.46052631578947367</v>
      </c>
      <c r="BA145" s="144">
        <v>0.5</v>
      </c>
      <c r="BB145" s="144">
        <v>0.5</v>
      </c>
      <c r="BC145" s="144">
        <v>0</v>
      </c>
      <c r="BD145" s="144">
        <v>0</v>
      </c>
      <c r="BE145" s="144">
        <v>0</v>
      </c>
      <c r="BF145" s="144">
        <v>0</v>
      </c>
      <c r="BG145" s="144">
        <v>0</v>
      </c>
      <c r="BH145" s="144">
        <v>0</v>
      </c>
      <c r="BI145" s="144">
        <v>0</v>
      </c>
      <c r="BJ145" s="144">
        <v>0</v>
      </c>
      <c r="BK145" s="144">
        <v>0</v>
      </c>
      <c r="BL145" s="144">
        <v>0</v>
      </c>
      <c r="BM145" s="144">
        <v>0</v>
      </c>
      <c r="BN145" s="144">
        <v>0</v>
      </c>
      <c r="BO145" s="144">
        <v>0</v>
      </c>
      <c r="BP145" s="144">
        <v>0</v>
      </c>
      <c r="BQ145" s="144">
        <v>0</v>
      </c>
      <c r="BR145" s="144">
        <v>0</v>
      </c>
      <c r="BS145" s="144">
        <v>0</v>
      </c>
      <c r="BT145" s="144">
        <v>0</v>
      </c>
      <c r="BU145" s="144">
        <v>0</v>
      </c>
      <c r="BV145" s="144">
        <v>0</v>
      </c>
      <c r="BW145" s="144">
        <v>0</v>
      </c>
      <c r="BX145" s="144">
        <v>0</v>
      </c>
      <c r="BY145" s="144">
        <v>0</v>
      </c>
      <c r="BZ145" s="144">
        <v>0</v>
      </c>
      <c r="CA145" s="144">
        <v>0</v>
      </c>
      <c r="CB145" s="144">
        <v>0</v>
      </c>
      <c r="CC145" s="144">
        <v>0</v>
      </c>
      <c r="CD145" s="144">
        <v>0</v>
      </c>
      <c r="CE145" s="144">
        <v>0</v>
      </c>
      <c r="CF145" s="144">
        <v>0</v>
      </c>
      <c r="CG145" s="144">
        <v>0</v>
      </c>
      <c r="CH145" s="144">
        <v>0</v>
      </c>
      <c r="CI145" s="144">
        <v>0</v>
      </c>
      <c r="CJ145" s="144">
        <v>0</v>
      </c>
      <c r="CK145" s="144">
        <v>0</v>
      </c>
      <c r="CL145" s="144">
        <v>0</v>
      </c>
      <c r="CM145" s="144">
        <v>0</v>
      </c>
      <c r="CN145" s="144">
        <v>0</v>
      </c>
      <c r="CO145" s="144">
        <v>0</v>
      </c>
      <c r="CP145" s="144">
        <v>0</v>
      </c>
      <c r="CQ145" s="143">
        <v>0</v>
      </c>
      <c r="CR145" s="145">
        <v>0</v>
      </c>
      <c r="CS145" s="145">
        <v>0</v>
      </c>
      <c r="CT145" s="145">
        <v>0</v>
      </c>
      <c r="CU145" s="145">
        <v>0</v>
      </c>
      <c r="CV145" s="145">
        <v>0</v>
      </c>
      <c r="CW145" s="145">
        <v>0</v>
      </c>
      <c r="CX145" s="145">
        <v>0</v>
      </c>
      <c r="CY145" s="145">
        <v>0</v>
      </c>
      <c r="CZ145" s="145">
        <v>0</v>
      </c>
      <c r="DA145" s="145">
        <v>0</v>
      </c>
      <c r="DB145" s="145">
        <v>0</v>
      </c>
      <c r="DC145" s="145">
        <v>0</v>
      </c>
      <c r="DD145" s="145">
        <v>0</v>
      </c>
      <c r="DE145" s="145">
        <v>0</v>
      </c>
      <c r="DF145" s="145">
        <v>0</v>
      </c>
      <c r="DG145" s="145">
        <v>0</v>
      </c>
      <c r="DH145" s="145">
        <v>0</v>
      </c>
      <c r="DI145" s="145">
        <v>0</v>
      </c>
      <c r="DJ145" s="145">
        <v>0</v>
      </c>
      <c r="DK145" s="145">
        <v>0</v>
      </c>
      <c r="DL145" s="145">
        <v>0</v>
      </c>
      <c r="DM145" s="145">
        <v>0</v>
      </c>
      <c r="DN145" s="145">
        <v>0</v>
      </c>
      <c r="DO145" s="145">
        <v>0</v>
      </c>
      <c r="DP145" s="145">
        <v>0</v>
      </c>
      <c r="DQ145" s="145">
        <v>0</v>
      </c>
      <c r="DR145" s="145">
        <v>0</v>
      </c>
      <c r="DS145" s="145">
        <v>0</v>
      </c>
      <c r="DT145" s="145">
        <v>0</v>
      </c>
      <c r="DU145" s="145">
        <v>0</v>
      </c>
      <c r="DV145" s="145">
        <v>0</v>
      </c>
      <c r="DW145" s="145">
        <v>0</v>
      </c>
      <c r="DX145" s="145">
        <v>0</v>
      </c>
      <c r="DY145" s="145">
        <v>0</v>
      </c>
      <c r="DZ145" s="145">
        <v>0</v>
      </c>
      <c r="EA145" s="145">
        <v>0</v>
      </c>
      <c r="EB145" s="145">
        <v>0</v>
      </c>
      <c r="EC145" s="145">
        <v>0</v>
      </c>
      <c r="ED145" s="145">
        <v>0</v>
      </c>
      <c r="EE145" s="145">
        <v>0</v>
      </c>
      <c r="EF145" s="145">
        <v>0</v>
      </c>
      <c r="EG145" s="145">
        <v>17899</v>
      </c>
      <c r="EH145" s="145">
        <v>17899</v>
      </c>
      <c r="EI145" s="145">
        <v>17899</v>
      </c>
      <c r="EJ145" s="145">
        <v>0</v>
      </c>
      <c r="EK145" s="145">
        <v>0</v>
      </c>
      <c r="EL145" s="145">
        <v>0</v>
      </c>
      <c r="EM145" s="145">
        <v>0</v>
      </c>
      <c r="EN145" s="145">
        <v>0</v>
      </c>
      <c r="EO145" s="145">
        <v>0</v>
      </c>
      <c r="EP145" s="145">
        <v>0</v>
      </c>
      <c r="EQ145" s="145">
        <v>0</v>
      </c>
      <c r="ER145" s="145">
        <v>0</v>
      </c>
      <c r="ES145" s="145">
        <v>0</v>
      </c>
      <c r="ET145" s="145">
        <v>0</v>
      </c>
      <c r="EU145" s="145">
        <v>0</v>
      </c>
      <c r="EV145" s="145">
        <v>0</v>
      </c>
      <c r="EW145" s="145">
        <v>0</v>
      </c>
      <c r="EX145" s="145">
        <v>0</v>
      </c>
      <c r="EY145" s="145">
        <v>0</v>
      </c>
      <c r="EZ145" s="145">
        <v>0</v>
      </c>
      <c r="FA145" s="145">
        <v>0</v>
      </c>
      <c r="FB145" s="145">
        <v>0</v>
      </c>
      <c r="FC145" s="145">
        <v>0</v>
      </c>
      <c r="FD145" s="145">
        <v>0</v>
      </c>
      <c r="FE145" s="145">
        <v>0</v>
      </c>
      <c r="FF145" s="145">
        <v>0</v>
      </c>
      <c r="FG145" s="145">
        <v>0</v>
      </c>
      <c r="FH145" s="145">
        <v>0</v>
      </c>
      <c r="FI145" s="145">
        <v>0</v>
      </c>
      <c r="FJ145" s="145">
        <v>0</v>
      </c>
      <c r="FK145" s="145">
        <v>0</v>
      </c>
      <c r="FL145" s="145">
        <v>0</v>
      </c>
      <c r="FM145" s="145">
        <v>0</v>
      </c>
      <c r="FN145" s="145">
        <v>0</v>
      </c>
      <c r="FO145" s="145">
        <v>0</v>
      </c>
      <c r="FP145" s="145">
        <v>0</v>
      </c>
      <c r="FQ145" s="145">
        <v>0</v>
      </c>
      <c r="FR145" s="145">
        <v>0</v>
      </c>
      <c r="FS145" s="145">
        <v>0</v>
      </c>
      <c r="FT145" s="145">
        <v>0</v>
      </c>
      <c r="FU145" s="145">
        <v>0</v>
      </c>
      <c r="FV145" s="145">
        <v>0</v>
      </c>
      <c r="FW145" s="145">
        <v>0</v>
      </c>
      <c r="FX145" s="143"/>
      <c r="FY145" s="146" t="str">
        <f>_xlfn.XLOOKUP($E145,'Key assumptions'!$B$112:$B$120,'Key assumptions'!$C$112:$C$120,0)</f>
        <v>Nominal</v>
      </c>
      <c r="FZ145" s="146" cm="1">
        <f t="array" ref="FZ145">IF($FY145=0,0,_xlfn.IFS($FY145='Key assumptions'!$C$120,_xlfn.XLOOKUP(LEFT(FZ$7,6),Inflation_Year,Inflation_NominaltoReal),TRUE,_xlfn.XLOOKUP($FY145,Inflation_Year,NominaltoReal)))</f>
        <v>1.0197075870962191</v>
      </c>
      <c r="GA145" s="146" cm="1">
        <f t="array" ref="GA145">IF($FY145=0,0,_xlfn.IFS($FY145='Key assumptions'!$C$120,_xlfn.XLOOKUP(LEFT(GA$7,6),Inflation_Year,Inflation_NominaltoReal),TRUE,_xlfn.XLOOKUP($FY145,Inflation_Year,NominaltoReal)))</f>
        <v>0.98700804022984445</v>
      </c>
      <c r="GB145" s="146" cm="1">
        <f t="array" ref="GB145">IF($FY145=0,0,_xlfn.IFS($FY145='Key assumptions'!$C$120,_xlfn.XLOOKUP(LEFT(GB$7,6),Inflation_Year,Inflation_NominaltoReal),TRUE,_xlfn.XLOOKUP($FY145,Inflation_Year,NominaltoReal)))</f>
        <v>0.96152830081941731</v>
      </c>
      <c r="GC145" s="146" cm="1">
        <f t="array" ref="GC145">IF($FY145=0,0,_xlfn.IFS($FY145='Key assumptions'!$C$120,_xlfn.XLOOKUP(LEFT(GC$7,6),Inflation_Year,Inflation_NominaltoReal),TRUE,_xlfn.XLOOKUP($FY145,Inflation_Year,NominaltoReal)))</f>
        <v>0.93670632415656829</v>
      </c>
      <c r="GD145" s="146" cm="1">
        <f t="array" ref="GD145">IF($FY145=0,0,_xlfn.IFS($FY145='Key assumptions'!$C$120,_xlfn.XLOOKUP(LEFT(GD$7,6),Inflation_Year,Inflation_NominaltoReal),TRUE,_xlfn.XLOOKUP($FY145,Inflation_Year,NominaltoReal)))</f>
        <v>0.91252513001143176</v>
      </c>
      <c r="GE145" s="146" cm="1">
        <f t="array" ref="GE145">IF($FY145=0,0,_xlfn.IFS($FY145='Key assumptions'!$C$120,_xlfn.XLOOKUP(LEFT(GE$7,6),Inflation_Year,Inflation_NominaltoReal),TRUE,_xlfn.XLOOKUP($FY145,Inflation_Year,NominaltoReal)))</f>
        <v>0.88896817650095872</v>
      </c>
      <c r="GF145" s="146" cm="1">
        <f t="array" ref="GF145">IF($FY145=0,0,_xlfn.IFS($FY145='Key assumptions'!$C$120,_xlfn.XLOOKUP(LEFT(GF$7,6),Inflation_Year,Inflation_NominaltoReal),TRUE,_xlfn.XLOOKUP($FY145,Inflation_Year,NominaltoReal)))</f>
        <v>0.86601934877293718</v>
      </c>
      <c r="GG145" s="143"/>
      <c r="GH145" s="145" cm="1">
        <f t="array" ref="GH145">SUMPRODUCT(--($CR$7:$FW$7&gt;=GH$5),--($CR$7:$FW$7&lt;=GH$6),$CR145:$FW145)*FZ145</f>
        <v>0</v>
      </c>
      <c r="GI145" s="145" cm="1">
        <f t="array" ref="GI145">SUMPRODUCT(--($CR$7:$FW$7&gt;=GI$5),--($CR$7:$FW$7&lt;=GI$6),$CR145:$FW145)*GA145</f>
        <v>0</v>
      </c>
      <c r="GJ145" s="145" cm="1">
        <f t="array" ref="GJ145">SUMPRODUCT(--($CR$7:$FW$7&gt;=GJ$5),--($CR$7:$FW$7&lt;=GJ$6),$CR145:$FW145)*GB145</f>
        <v>51631.185169100252</v>
      </c>
      <c r="GK145" s="145" cm="1">
        <f t="array" ref="GK145">SUMPRODUCT(--($CR$7:$FW$7&gt;=GK$5),--($CR$7:$FW$7&lt;=GK$6),$CR145:$FW145)*GC145</f>
        <v>0</v>
      </c>
      <c r="GL145" s="145" cm="1">
        <f t="array" ref="GL145">SUMPRODUCT(--($CR$7:$FW$7&gt;=GL$5),--($CR$7:$FW$7&lt;=GL$6),$CR145:$FW145)*GD145</f>
        <v>0</v>
      </c>
      <c r="GM145" s="145" cm="1">
        <f t="array" ref="GM145">SUMPRODUCT(--($CR$7:$FW$7&gt;=GM$5),--($CR$7:$FW$7&lt;=GM$6),$CR145:$FW145)*GE145</f>
        <v>0</v>
      </c>
      <c r="GN145" s="145" cm="1">
        <f t="array" ref="GN145">SUMPRODUCT(--($CR$7:$FW$7&gt;=GN$5),--($CR$7:$FW$7&lt;=GN$6),$CR145:$FW145)*GF145</f>
        <v>0</v>
      </c>
      <c r="GO145" s="145">
        <f t="shared" si="46"/>
        <v>51631.185169100252</v>
      </c>
      <c r="GP145" s="87"/>
      <c r="GR145" s="145" cm="1">
        <f t="array" ref="GR145">SUMPRODUCT(--($CR$7:$FW$7&gt;=GR$5),--($CR$7:$FW$7&lt;=GR$6),$CR145:$FW145)</f>
        <v>0</v>
      </c>
      <c r="GT145" s="214" cm="1">
        <f t="array" ref="GT145">--AND(MIN(IF($K145:$CP145&lt;&gt;0,$K$7:$CP$7))&gt;=GT$5,MIN(IF($K145:$CP145&lt;&gt;0,$K$7:$CP$7))&lt;=GT$6)</f>
        <v>0</v>
      </c>
      <c r="GU145" s="214" cm="1">
        <f t="array" ref="GU145">--AND(MIN(IF($K145:$CP145&lt;&gt;0,$K$7:$CP$7))&gt;=GU$5,MIN(IF($K145:$CP145&lt;&gt;0,$K$7:$CP$7))&lt;=GU$6)</f>
        <v>0</v>
      </c>
      <c r="GV145" s="214" cm="1">
        <f t="array" ref="GV145">--AND(MIN(IF($K145:$CP145&lt;&gt;0,$K$7:$CP$7))&gt;=GV$5,MIN(IF($K145:$CP145&lt;&gt;0,$K$7:$CP$7))&lt;=GV$6)</f>
        <v>1</v>
      </c>
      <c r="GW145" s="214" cm="1">
        <f t="array" ref="GW145">--AND(MIN(IF($K145:$CP145&lt;&gt;0,$K$7:$CP$7))&gt;=GW$5,MIN(IF($K145:$CP145&lt;&gt;0,$K$7:$CP$7))&lt;=GW$6)</f>
        <v>0</v>
      </c>
      <c r="GX145" s="214" cm="1">
        <f t="array" ref="GX145">--AND(MIN(IF($K145:$CP145&lt;&gt;0,$K$7:$CP$7))&gt;=GX$5,MIN(IF($K145:$CP145&lt;&gt;0,$K$7:$CP$7))&lt;=GX$6)</f>
        <v>0</v>
      </c>
      <c r="GY145" s="214" cm="1">
        <f t="array" ref="GY145">--AND(MIN(IF($K145:$CP145&lt;&gt;0,$K$7:$CP$7))&gt;=GY$5,MIN(IF($K145:$CP145&lt;&gt;0,$K$7:$CP$7))&lt;=GY$6)</f>
        <v>0</v>
      </c>
      <c r="GZ145" s="214" cm="1">
        <f t="array" ref="GZ145">--AND(MIN(IF($K145:$CP145&lt;&gt;0,$K$7:$CP$7))&gt;=GZ$5,MIN(IF($K145:$CP145&lt;&gt;0,$K$7:$CP$7))&lt;=GZ$6)</f>
        <v>0</v>
      </c>
      <c r="HA145" s="214">
        <f t="shared" si="47"/>
        <v>1</v>
      </c>
      <c r="HC145" s="214" cm="1">
        <f t="array" ref="HC145">--AND(MIN(IF($K145:$CP145&lt;&gt;0,$K$7:$CP$7))&gt;=HC$5,MIN(IF($K145:$CP145&lt;&gt;0,$K$7:$CP$7))&lt;=HC$6)</f>
        <v>0</v>
      </c>
      <c r="HE145" s="147" t="str">
        <f t="shared" si="66"/>
        <v>No</v>
      </c>
      <c r="HF145" s="147" t="str">
        <f t="shared" si="67"/>
        <v>No</v>
      </c>
      <c r="HG145" s="147">
        <f>IF($HF145="Yes",0,$H145*avg_hrs*12*'Key assumptions'!$D$87)</f>
        <v>430704.59093851841</v>
      </c>
      <c r="HH145" s="147">
        <f>IF(HE145="Yes",'Key assumptions'!$D$84*HG145,0)</f>
        <v>0</v>
      </c>
      <c r="HI145" s="144">
        <f>IFERROR(AVERAGEIFS($K145:$CP145,$K$7:$CP$7,"&gt;="&amp;'Key assumptions'!$D$24,$K$7:$CP$7,"&lt;="&amp;'Key assumptions'!$D$25),0)</f>
        <v>3.319377990430622E-2</v>
      </c>
      <c r="HJ145" s="148">
        <f t="shared" si="48"/>
        <v>0</v>
      </c>
      <c r="HK145" s="148">
        <f t="shared" si="49"/>
        <v>0</v>
      </c>
      <c r="HL145" s="148">
        <f t="shared" si="50"/>
        <v>0</v>
      </c>
      <c r="HM145" s="148">
        <f t="shared" si="51"/>
        <v>0</v>
      </c>
      <c r="HN145" s="148">
        <f t="shared" si="52"/>
        <v>0</v>
      </c>
      <c r="HO145" s="148">
        <f t="shared" si="53"/>
        <v>0</v>
      </c>
      <c r="HP145" s="148">
        <f t="shared" si="54"/>
        <v>0</v>
      </c>
      <c r="HQ145" s="148">
        <f t="shared" si="55"/>
        <v>0</v>
      </c>
      <c r="HR145" s="147">
        <f t="shared" si="56"/>
        <v>0</v>
      </c>
      <c r="HU145" s="147">
        <f>$HJ145*HC145/(1+'Key assumptions'!G167)^0.75</f>
        <v>0</v>
      </c>
      <c r="HW145" s="216">
        <f t="shared" si="57"/>
        <v>0</v>
      </c>
      <c r="HX145" s="216">
        <f t="shared" si="58"/>
        <v>0</v>
      </c>
      <c r="HY145" s="216">
        <f t="shared" si="59"/>
        <v>3.319377990430622E-2</v>
      </c>
      <c r="HZ145" s="216">
        <f t="shared" si="60"/>
        <v>0</v>
      </c>
      <c r="IA145" s="216">
        <f t="shared" si="61"/>
        <v>0</v>
      </c>
      <c r="IB145" s="216">
        <f t="shared" si="62"/>
        <v>0</v>
      </c>
      <c r="IC145" s="216">
        <f t="shared" si="63"/>
        <v>0</v>
      </c>
      <c r="ID145" s="216">
        <f t="shared" si="64"/>
        <v>3.319377990430622E-2</v>
      </c>
      <c r="IF145" s="216">
        <f t="shared" si="65"/>
        <v>0</v>
      </c>
    </row>
    <row r="146" spans="2:240" x14ac:dyDescent="0.2">
      <c r="B146" s="141" t="str">
        <v>Project Delivery Management - Commissioning</v>
      </c>
      <c r="C146" s="141" t="str">
        <v>Network Operations Officer (Control Centre)</v>
      </c>
      <c r="D146" s="141" t="str">
        <v>Internal Labour</v>
      </c>
      <c r="E146" s="141" t="str">
        <v>$ Nominal</v>
      </c>
      <c r="F146" s="141" t="str">
        <v>Existing</v>
      </c>
      <c r="G146" s="141" t="str">
        <v>Normal time</v>
      </c>
      <c r="H146" s="142">
        <v>240.85</v>
      </c>
      <c r="I146" s="126">
        <v>53697</v>
      </c>
      <c r="J146" s="143">
        <v>0</v>
      </c>
      <c r="K146" s="144">
        <v>0</v>
      </c>
      <c r="L146" s="144">
        <v>0</v>
      </c>
      <c r="M146" s="144">
        <v>0</v>
      </c>
      <c r="N146" s="144">
        <v>0</v>
      </c>
      <c r="O146" s="144">
        <v>0</v>
      </c>
      <c r="P146" s="144">
        <v>0</v>
      </c>
      <c r="Q146" s="144">
        <v>0</v>
      </c>
      <c r="R146" s="144">
        <v>0</v>
      </c>
      <c r="S146" s="144">
        <v>0</v>
      </c>
      <c r="T146" s="144">
        <v>0</v>
      </c>
      <c r="U146" s="144">
        <v>0</v>
      </c>
      <c r="V146" s="144">
        <v>0</v>
      </c>
      <c r="W146" s="144">
        <v>0</v>
      </c>
      <c r="X146" s="144">
        <v>0</v>
      </c>
      <c r="Y146" s="144">
        <v>0</v>
      </c>
      <c r="Z146" s="144">
        <v>0</v>
      </c>
      <c r="AA146" s="144">
        <v>0</v>
      </c>
      <c r="AB146" s="144">
        <v>0</v>
      </c>
      <c r="AC146" s="144">
        <v>0</v>
      </c>
      <c r="AD146" s="144">
        <v>0</v>
      </c>
      <c r="AE146" s="144">
        <v>0</v>
      </c>
      <c r="AF146" s="144">
        <v>0</v>
      </c>
      <c r="AG146" s="144">
        <v>0</v>
      </c>
      <c r="AH146" s="144">
        <v>0</v>
      </c>
      <c r="AI146" s="144">
        <v>0</v>
      </c>
      <c r="AJ146" s="144">
        <v>0</v>
      </c>
      <c r="AK146" s="144">
        <v>0</v>
      </c>
      <c r="AL146" s="144">
        <v>0</v>
      </c>
      <c r="AM146" s="144">
        <v>0</v>
      </c>
      <c r="AN146" s="144">
        <v>0</v>
      </c>
      <c r="AO146" s="144">
        <v>0</v>
      </c>
      <c r="AP146" s="144">
        <v>0</v>
      </c>
      <c r="AQ146" s="144">
        <v>0</v>
      </c>
      <c r="AR146" s="144">
        <v>0</v>
      </c>
      <c r="AS146" s="144">
        <v>0</v>
      </c>
      <c r="AT146" s="144">
        <v>0</v>
      </c>
      <c r="AU146" s="144">
        <v>0</v>
      </c>
      <c r="AV146" s="144">
        <v>0</v>
      </c>
      <c r="AW146" s="144">
        <v>0</v>
      </c>
      <c r="AX146" s="144">
        <v>0</v>
      </c>
      <c r="AY146" s="144">
        <v>0</v>
      </c>
      <c r="AZ146" s="144">
        <v>0.46052631578947367</v>
      </c>
      <c r="BA146" s="144">
        <v>0.5</v>
      </c>
      <c r="BB146" s="144">
        <v>0.5</v>
      </c>
      <c r="BC146" s="144">
        <v>0</v>
      </c>
      <c r="BD146" s="144">
        <v>0</v>
      </c>
      <c r="BE146" s="144">
        <v>0</v>
      </c>
      <c r="BF146" s="144">
        <v>0</v>
      </c>
      <c r="BG146" s="144">
        <v>0</v>
      </c>
      <c r="BH146" s="144">
        <v>0</v>
      </c>
      <c r="BI146" s="144">
        <v>0</v>
      </c>
      <c r="BJ146" s="144">
        <v>0</v>
      </c>
      <c r="BK146" s="144">
        <v>0</v>
      </c>
      <c r="BL146" s="144">
        <v>0</v>
      </c>
      <c r="BM146" s="144">
        <v>0</v>
      </c>
      <c r="BN146" s="144">
        <v>0</v>
      </c>
      <c r="BO146" s="144">
        <v>0</v>
      </c>
      <c r="BP146" s="144">
        <v>0</v>
      </c>
      <c r="BQ146" s="144">
        <v>0</v>
      </c>
      <c r="BR146" s="144">
        <v>0</v>
      </c>
      <c r="BS146" s="144">
        <v>0</v>
      </c>
      <c r="BT146" s="144">
        <v>0</v>
      </c>
      <c r="BU146" s="144">
        <v>0</v>
      </c>
      <c r="BV146" s="144">
        <v>0</v>
      </c>
      <c r="BW146" s="144">
        <v>0</v>
      </c>
      <c r="BX146" s="144">
        <v>0</v>
      </c>
      <c r="BY146" s="144">
        <v>0</v>
      </c>
      <c r="BZ146" s="144">
        <v>0</v>
      </c>
      <c r="CA146" s="144">
        <v>0</v>
      </c>
      <c r="CB146" s="144">
        <v>0</v>
      </c>
      <c r="CC146" s="144">
        <v>0</v>
      </c>
      <c r="CD146" s="144">
        <v>0</v>
      </c>
      <c r="CE146" s="144">
        <v>0</v>
      </c>
      <c r="CF146" s="144">
        <v>0</v>
      </c>
      <c r="CG146" s="144">
        <v>0</v>
      </c>
      <c r="CH146" s="144">
        <v>0</v>
      </c>
      <c r="CI146" s="144">
        <v>0</v>
      </c>
      <c r="CJ146" s="144">
        <v>0</v>
      </c>
      <c r="CK146" s="144">
        <v>0</v>
      </c>
      <c r="CL146" s="144">
        <v>0</v>
      </c>
      <c r="CM146" s="144">
        <v>0</v>
      </c>
      <c r="CN146" s="144">
        <v>0</v>
      </c>
      <c r="CO146" s="144">
        <v>0</v>
      </c>
      <c r="CP146" s="144">
        <v>0</v>
      </c>
      <c r="CQ146" s="143">
        <v>0</v>
      </c>
      <c r="CR146" s="145">
        <v>0</v>
      </c>
      <c r="CS146" s="145">
        <v>0</v>
      </c>
      <c r="CT146" s="145">
        <v>0</v>
      </c>
      <c r="CU146" s="145">
        <v>0</v>
      </c>
      <c r="CV146" s="145">
        <v>0</v>
      </c>
      <c r="CW146" s="145">
        <v>0</v>
      </c>
      <c r="CX146" s="145">
        <v>0</v>
      </c>
      <c r="CY146" s="145">
        <v>0</v>
      </c>
      <c r="CZ146" s="145">
        <v>0</v>
      </c>
      <c r="DA146" s="145">
        <v>0</v>
      </c>
      <c r="DB146" s="145">
        <v>0</v>
      </c>
      <c r="DC146" s="145">
        <v>0</v>
      </c>
      <c r="DD146" s="145">
        <v>0</v>
      </c>
      <c r="DE146" s="145">
        <v>0</v>
      </c>
      <c r="DF146" s="145">
        <v>0</v>
      </c>
      <c r="DG146" s="145">
        <v>0</v>
      </c>
      <c r="DH146" s="145">
        <v>0</v>
      </c>
      <c r="DI146" s="145">
        <v>0</v>
      </c>
      <c r="DJ146" s="145">
        <v>0</v>
      </c>
      <c r="DK146" s="145">
        <v>0</v>
      </c>
      <c r="DL146" s="145">
        <v>0</v>
      </c>
      <c r="DM146" s="145">
        <v>0</v>
      </c>
      <c r="DN146" s="145">
        <v>0</v>
      </c>
      <c r="DO146" s="145">
        <v>0</v>
      </c>
      <c r="DP146" s="145">
        <v>0</v>
      </c>
      <c r="DQ146" s="145">
        <v>0</v>
      </c>
      <c r="DR146" s="145">
        <v>0</v>
      </c>
      <c r="DS146" s="145">
        <v>0</v>
      </c>
      <c r="DT146" s="145">
        <v>0</v>
      </c>
      <c r="DU146" s="145">
        <v>0</v>
      </c>
      <c r="DV146" s="145">
        <v>0</v>
      </c>
      <c r="DW146" s="145">
        <v>0</v>
      </c>
      <c r="DX146" s="145">
        <v>0</v>
      </c>
      <c r="DY146" s="145">
        <v>0</v>
      </c>
      <c r="DZ146" s="145">
        <v>0</v>
      </c>
      <c r="EA146" s="145">
        <v>0</v>
      </c>
      <c r="EB146" s="145">
        <v>0</v>
      </c>
      <c r="EC146" s="145">
        <v>0</v>
      </c>
      <c r="ED146" s="145">
        <v>0</v>
      </c>
      <c r="EE146" s="145">
        <v>0</v>
      </c>
      <c r="EF146" s="145">
        <v>0</v>
      </c>
      <c r="EG146" s="145">
        <v>17899</v>
      </c>
      <c r="EH146" s="145">
        <v>17899</v>
      </c>
      <c r="EI146" s="145">
        <v>17899</v>
      </c>
      <c r="EJ146" s="145">
        <v>0</v>
      </c>
      <c r="EK146" s="145">
        <v>0</v>
      </c>
      <c r="EL146" s="145">
        <v>0</v>
      </c>
      <c r="EM146" s="145">
        <v>0</v>
      </c>
      <c r="EN146" s="145">
        <v>0</v>
      </c>
      <c r="EO146" s="145">
        <v>0</v>
      </c>
      <c r="EP146" s="145">
        <v>0</v>
      </c>
      <c r="EQ146" s="145">
        <v>0</v>
      </c>
      <c r="ER146" s="145">
        <v>0</v>
      </c>
      <c r="ES146" s="145">
        <v>0</v>
      </c>
      <c r="ET146" s="145">
        <v>0</v>
      </c>
      <c r="EU146" s="145">
        <v>0</v>
      </c>
      <c r="EV146" s="145">
        <v>0</v>
      </c>
      <c r="EW146" s="145">
        <v>0</v>
      </c>
      <c r="EX146" s="145">
        <v>0</v>
      </c>
      <c r="EY146" s="145">
        <v>0</v>
      </c>
      <c r="EZ146" s="145">
        <v>0</v>
      </c>
      <c r="FA146" s="145">
        <v>0</v>
      </c>
      <c r="FB146" s="145">
        <v>0</v>
      </c>
      <c r="FC146" s="145">
        <v>0</v>
      </c>
      <c r="FD146" s="145">
        <v>0</v>
      </c>
      <c r="FE146" s="145">
        <v>0</v>
      </c>
      <c r="FF146" s="145">
        <v>0</v>
      </c>
      <c r="FG146" s="145">
        <v>0</v>
      </c>
      <c r="FH146" s="145">
        <v>0</v>
      </c>
      <c r="FI146" s="145">
        <v>0</v>
      </c>
      <c r="FJ146" s="145">
        <v>0</v>
      </c>
      <c r="FK146" s="145">
        <v>0</v>
      </c>
      <c r="FL146" s="145">
        <v>0</v>
      </c>
      <c r="FM146" s="145">
        <v>0</v>
      </c>
      <c r="FN146" s="145">
        <v>0</v>
      </c>
      <c r="FO146" s="145">
        <v>0</v>
      </c>
      <c r="FP146" s="145">
        <v>0</v>
      </c>
      <c r="FQ146" s="145">
        <v>0</v>
      </c>
      <c r="FR146" s="145">
        <v>0</v>
      </c>
      <c r="FS146" s="145">
        <v>0</v>
      </c>
      <c r="FT146" s="145">
        <v>0</v>
      </c>
      <c r="FU146" s="145">
        <v>0</v>
      </c>
      <c r="FV146" s="145">
        <v>0</v>
      </c>
      <c r="FW146" s="145">
        <v>0</v>
      </c>
      <c r="FX146" s="143"/>
      <c r="FY146" s="146" t="str">
        <f>_xlfn.XLOOKUP($E146,'Key assumptions'!$B$112:$B$120,'Key assumptions'!$C$112:$C$120,0)</f>
        <v>Nominal</v>
      </c>
      <c r="FZ146" s="146" cm="1">
        <f t="array" ref="FZ146">IF($FY146=0,0,_xlfn.IFS($FY146='Key assumptions'!$C$120,_xlfn.XLOOKUP(LEFT(FZ$7,6),Inflation_Year,Inflation_NominaltoReal),TRUE,_xlfn.XLOOKUP($FY146,Inflation_Year,NominaltoReal)))</f>
        <v>1.0197075870962191</v>
      </c>
      <c r="GA146" s="146" cm="1">
        <f t="array" ref="GA146">IF($FY146=0,0,_xlfn.IFS($FY146='Key assumptions'!$C$120,_xlfn.XLOOKUP(LEFT(GA$7,6),Inflation_Year,Inflation_NominaltoReal),TRUE,_xlfn.XLOOKUP($FY146,Inflation_Year,NominaltoReal)))</f>
        <v>0.98700804022984445</v>
      </c>
      <c r="GB146" s="146" cm="1">
        <f t="array" ref="GB146">IF($FY146=0,0,_xlfn.IFS($FY146='Key assumptions'!$C$120,_xlfn.XLOOKUP(LEFT(GB$7,6),Inflation_Year,Inflation_NominaltoReal),TRUE,_xlfn.XLOOKUP($FY146,Inflation_Year,NominaltoReal)))</f>
        <v>0.96152830081941731</v>
      </c>
      <c r="GC146" s="146" cm="1">
        <f t="array" ref="GC146">IF($FY146=0,0,_xlfn.IFS($FY146='Key assumptions'!$C$120,_xlfn.XLOOKUP(LEFT(GC$7,6),Inflation_Year,Inflation_NominaltoReal),TRUE,_xlfn.XLOOKUP($FY146,Inflation_Year,NominaltoReal)))</f>
        <v>0.93670632415656829</v>
      </c>
      <c r="GD146" s="146" cm="1">
        <f t="array" ref="GD146">IF($FY146=0,0,_xlfn.IFS($FY146='Key assumptions'!$C$120,_xlfn.XLOOKUP(LEFT(GD$7,6),Inflation_Year,Inflation_NominaltoReal),TRUE,_xlfn.XLOOKUP($FY146,Inflation_Year,NominaltoReal)))</f>
        <v>0.91252513001143176</v>
      </c>
      <c r="GE146" s="146" cm="1">
        <f t="array" ref="GE146">IF($FY146=0,0,_xlfn.IFS($FY146='Key assumptions'!$C$120,_xlfn.XLOOKUP(LEFT(GE$7,6),Inflation_Year,Inflation_NominaltoReal),TRUE,_xlfn.XLOOKUP($FY146,Inflation_Year,NominaltoReal)))</f>
        <v>0.88896817650095872</v>
      </c>
      <c r="GF146" s="146" cm="1">
        <f t="array" ref="GF146">IF($FY146=0,0,_xlfn.IFS($FY146='Key assumptions'!$C$120,_xlfn.XLOOKUP(LEFT(GF$7,6),Inflation_Year,Inflation_NominaltoReal),TRUE,_xlfn.XLOOKUP($FY146,Inflation_Year,NominaltoReal)))</f>
        <v>0.86601934877293718</v>
      </c>
      <c r="GG146" s="143"/>
      <c r="GH146" s="145" cm="1">
        <f t="array" ref="GH146">SUMPRODUCT(--($CR$7:$FW$7&gt;=GH$5),--($CR$7:$FW$7&lt;=GH$6),$CR146:$FW146)*FZ146</f>
        <v>0</v>
      </c>
      <c r="GI146" s="145" cm="1">
        <f t="array" ref="GI146">SUMPRODUCT(--($CR$7:$FW$7&gt;=GI$5),--($CR$7:$FW$7&lt;=GI$6),$CR146:$FW146)*GA146</f>
        <v>0</v>
      </c>
      <c r="GJ146" s="145" cm="1">
        <f t="array" ref="GJ146">SUMPRODUCT(--($CR$7:$FW$7&gt;=GJ$5),--($CR$7:$FW$7&lt;=GJ$6),$CR146:$FW146)*GB146</f>
        <v>51631.185169100252</v>
      </c>
      <c r="GK146" s="145" cm="1">
        <f t="array" ref="GK146">SUMPRODUCT(--($CR$7:$FW$7&gt;=GK$5),--($CR$7:$FW$7&lt;=GK$6),$CR146:$FW146)*GC146</f>
        <v>0</v>
      </c>
      <c r="GL146" s="145" cm="1">
        <f t="array" ref="GL146">SUMPRODUCT(--($CR$7:$FW$7&gt;=GL$5),--($CR$7:$FW$7&lt;=GL$6),$CR146:$FW146)*GD146</f>
        <v>0</v>
      </c>
      <c r="GM146" s="145" cm="1">
        <f t="array" ref="GM146">SUMPRODUCT(--($CR$7:$FW$7&gt;=GM$5),--($CR$7:$FW$7&lt;=GM$6),$CR146:$FW146)*GE146</f>
        <v>0</v>
      </c>
      <c r="GN146" s="145" cm="1">
        <f t="array" ref="GN146">SUMPRODUCT(--($CR$7:$FW$7&gt;=GN$5),--($CR$7:$FW$7&lt;=GN$6),$CR146:$FW146)*GF146</f>
        <v>0</v>
      </c>
      <c r="GO146" s="145">
        <f t="shared" si="46"/>
        <v>51631.185169100252</v>
      </c>
      <c r="GP146" s="87"/>
      <c r="GR146" s="145" cm="1">
        <f t="array" ref="GR146">SUMPRODUCT(--($CR$7:$FW$7&gt;=GR$5),--($CR$7:$FW$7&lt;=GR$6),$CR146:$FW146)</f>
        <v>0</v>
      </c>
      <c r="GT146" s="214" cm="1">
        <f t="array" ref="GT146">--AND(MIN(IF($K146:$CP146&lt;&gt;0,$K$7:$CP$7))&gt;=GT$5,MIN(IF($K146:$CP146&lt;&gt;0,$K$7:$CP$7))&lt;=GT$6)</f>
        <v>0</v>
      </c>
      <c r="GU146" s="214" cm="1">
        <f t="array" ref="GU146">--AND(MIN(IF($K146:$CP146&lt;&gt;0,$K$7:$CP$7))&gt;=GU$5,MIN(IF($K146:$CP146&lt;&gt;0,$K$7:$CP$7))&lt;=GU$6)</f>
        <v>0</v>
      </c>
      <c r="GV146" s="214" cm="1">
        <f t="array" ref="GV146">--AND(MIN(IF($K146:$CP146&lt;&gt;0,$K$7:$CP$7))&gt;=GV$5,MIN(IF($K146:$CP146&lt;&gt;0,$K$7:$CP$7))&lt;=GV$6)</f>
        <v>1</v>
      </c>
      <c r="GW146" s="214" cm="1">
        <f t="array" ref="GW146">--AND(MIN(IF($K146:$CP146&lt;&gt;0,$K$7:$CP$7))&gt;=GW$5,MIN(IF($K146:$CP146&lt;&gt;0,$K$7:$CP$7))&lt;=GW$6)</f>
        <v>0</v>
      </c>
      <c r="GX146" s="214" cm="1">
        <f t="array" ref="GX146">--AND(MIN(IF($K146:$CP146&lt;&gt;0,$K$7:$CP$7))&gt;=GX$5,MIN(IF($K146:$CP146&lt;&gt;0,$K$7:$CP$7))&lt;=GX$6)</f>
        <v>0</v>
      </c>
      <c r="GY146" s="214" cm="1">
        <f t="array" ref="GY146">--AND(MIN(IF($K146:$CP146&lt;&gt;0,$K$7:$CP$7))&gt;=GY$5,MIN(IF($K146:$CP146&lt;&gt;0,$K$7:$CP$7))&lt;=GY$6)</f>
        <v>0</v>
      </c>
      <c r="GZ146" s="214" cm="1">
        <f t="array" ref="GZ146">--AND(MIN(IF($K146:$CP146&lt;&gt;0,$K$7:$CP$7))&gt;=GZ$5,MIN(IF($K146:$CP146&lt;&gt;0,$K$7:$CP$7))&lt;=GZ$6)</f>
        <v>0</v>
      </c>
      <c r="HA146" s="214">
        <f t="shared" si="47"/>
        <v>1</v>
      </c>
      <c r="HC146" s="214" cm="1">
        <f t="array" ref="HC146">--AND(MIN(IF($K146:$CP146&lt;&gt;0,$K$7:$CP$7))&gt;=HC$5,MIN(IF($K146:$CP146&lt;&gt;0,$K$7:$CP$7))&lt;=HC$6)</f>
        <v>0</v>
      </c>
      <c r="HE146" s="147" t="str">
        <f t="shared" si="66"/>
        <v>No</v>
      </c>
      <c r="HF146" s="147" t="str">
        <f t="shared" si="67"/>
        <v>No</v>
      </c>
      <c r="HG146" s="147">
        <f>IF($HF146="Yes",0,$H146*avg_hrs*12*'Key assumptions'!$D$87)</f>
        <v>430704.59093851841</v>
      </c>
      <c r="HH146" s="147">
        <f>IF(HE146="Yes",'Key assumptions'!$D$84*HG146,0)</f>
        <v>0</v>
      </c>
      <c r="HI146" s="144">
        <f>IFERROR(AVERAGEIFS($K146:$CP146,$K$7:$CP$7,"&gt;="&amp;'Key assumptions'!$D$24,$K$7:$CP$7,"&lt;="&amp;'Key assumptions'!$D$25),0)</f>
        <v>3.319377990430622E-2</v>
      </c>
      <c r="HJ146" s="148">
        <f t="shared" si="48"/>
        <v>0</v>
      </c>
      <c r="HK146" s="148">
        <f t="shared" si="49"/>
        <v>0</v>
      </c>
      <c r="HL146" s="148">
        <f t="shared" si="50"/>
        <v>0</v>
      </c>
      <c r="HM146" s="148">
        <f t="shared" si="51"/>
        <v>0</v>
      </c>
      <c r="HN146" s="148">
        <f t="shared" si="52"/>
        <v>0</v>
      </c>
      <c r="HO146" s="148">
        <f t="shared" si="53"/>
        <v>0</v>
      </c>
      <c r="HP146" s="148">
        <f t="shared" si="54"/>
        <v>0</v>
      </c>
      <c r="HQ146" s="148">
        <f t="shared" si="55"/>
        <v>0</v>
      </c>
      <c r="HR146" s="147">
        <f t="shared" si="56"/>
        <v>0</v>
      </c>
      <c r="HU146" s="147">
        <f>$HJ146*HC146/(1+'Key assumptions'!G168)^0.75</f>
        <v>0</v>
      </c>
      <c r="HW146" s="216">
        <f t="shared" si="57"/>
        <v>0</v>
      </c>
      <c r="HX146" s="216">
        <f t="shared" si="58"/>
        <v>0</v>
      </c>
      <c r="HY146" s="216">
        <f t="shared" si="59"/>
        <v>3.319377990430622E-2</v>
      </c>
      <c r="HZ146" s="216">
        <f t="shared" si="60"/>
        <v>0</v>
      </c>
      <c r="IA146" s="216">
        <f t="shared" si="61"/>
        <v>0</v>
      </c>
      <c r="IB146" s="216">
        <f t="shared" si="62"/>
        <v>0</v>
      </c>
      <c r="IC146" s="216">
        <f t="shared" si="63"/>
        <v>0</v>
      </c>
      <c r="ID146" s="216">
        <f t="shared" si="64"/>
        <v>3.319377990430622E-2</v>
      </c>
      <c r="IF146" s="216">
        <f t="shared" si="65"/>
        <v>0</v>
      </c>
    </row>
    <row r="147" spans="2:240" x14ac:dyDescent="0.2">
      <c r="B147" s="141" t="str">
        <v>Project Delivery Management - Commissioning</v>
      </c>
      <c r="C147" s="141" t="str">
        <v>Technical Lead (Construction)</v>
      </c>
      <c r="D147" s="141" t="str">
        <v>Internal Labour</v>
      </c>
      <c r="E147" s="141" t="str">
        <v>$ Nominal</v>
      </c>
      <c r="F147" s="141" t="str">
        <v>Existing</v>
      </c>
      <c r="G147" s="141" t="str">
        <v>Normal time</v>
      </c>
      <c r="H147" s="142">
        <v>233.78</v>
      </c>
      <c r="I147" s="126">
        <v>119569.79999999999</v>
      </c>
      <c r="J147" s="143">
        <v>0</v>
      </c>
      <c r="K147" s="144">
        <v>0</v>
      </c>
      <c r="L147" s="144">
        <v>0</v>
      </c>
      <c r="M147" s="144">
        <v>0</v>
      </c>
      <c r="N147" s="144">
        <v>0</v>
      </c>
      <c r="O147" s="144">
        <v>0</v>
      </c>
      <c r="P147" s="144">
        <v>0</v>
      </c>
      <c r="Q147" s="144">
        <v>0</v>
      </c>
      <c r="R147" s="144">
        <v>0</v>
      </c>
      <c r="S147" s="144">
        <v>0</v>
      </c>
      <c r="T147" s="144">
        <v>0</v>
      </c>
      <c r="U147" s="144">
        <v>0</v>
      </c>
      <c r="V147" s="144">
        <v>0</v>
      </c>
      <c r="W147" s="144">
        <v>0</v>
      </c>
      <c r="X147" s="144">
        <v>0</v>
      </c>
      <c r="Y147" s="144">
        <v>0</v>
      </c>
      <c r="Z147" s="144">
        <v>0</v>
      </c>
      <c r="AA147" s="144">
        <v>0</v>
      </c>
      <c r="AB147" s="144">
        <v>0</v>
      </c>
      <c r="AC147" s="144">
        <v>0.5</v>
      </c>
      <c r="AD147" s="144">
        <v>0</v>
      </c>
      <c r="AE147" s="144">
        <v>0</v>
      </c>
      <c r="AF147" s="144">
        <v>0</v>
      </c>
      <c r="AG147" s="144">
        <v>0</v>
      </c>
      <c r="AH147" s="144">
        <v>0</v>
      </c>
      <c r="AI147" s="144">
        <v>0</v>
      </c>
      <c r="AJ147" s="144">
        <v>0</v>
      </c>
      <c r="AK147" s="144">
        <v>0</v>
      </c>
      <c r="AL147" s="144">
        <v>0</v>
      </c>
      <c r="AM147" s="144">
        <v>0</v>
      </c>
      <c r="AN147" s="144">
        <v>0</v>
      </c>
      <c r="AO147" s="144">
        <v>0.5</v>
      </c>
      <c r="AP147" s="144">
        <v>0.5</v>
      </c>
      <c r="AQ147" s="144">
        <v>0</v>
      </c>
      <c r="AR147" s="144">
        <v>0</v>
      </c>
      <c r="AS147" s="144">
        <v>0</v>
      </c>
      <c r="AT147" s="144">
        <v>0</v>
      </c>
      <c r="AU147" s="144">
        <v>0</v>
      </c>
      <c r="AV147" s="144">
        <v>0</v>
      </c>
      <c r="AW147" s="144">
        <v>0</v>
      </c>
      <c r="AX147" s="144">
        <v>0.66666666666666663</v>
      </c>
      <c r="AY147" s="144">
        <v>0.46052631578947367</v>
      </c>
      <c r="AZ147" s="144">
        <v>0.46052631578947367</v>
      </c>
      <c r="BA147" s="144">
        <v>0.5</v>
      </c>
      <c r="BB147" s="144">
        <v>0</v>
      </c>
      <c r="BC147" s="144">
        <v>0</v>
      </c>
      <c r="BD147" s="144">
        <v>0</v>
      </c>
      <c r="BE147" s="144">
        <v>0</v>
      </c>
      <c r="BF147" s="144">
        <v>0</v>
      </c>
      <c r="BG147" s="144">
        <v>0</v>
      </c>
      <c r="BH147" s="144">
        <v>0</v>
      </c>
      <c r="BI147" s="144">
        <v>0</v>
      </c>
      <c r="BJ147" s="144">
        <v>0</v>
      </c>
      <c r="BK147" s="144">
        <v>0</v>
      </c>
      <c r="BL147" s="144">
        <v>0</v>
      </c>
      <c r="BM147" s="144">
        <v>0</v>
      </c>
      <c r="BN147" s="144">
        <v>0</v>
      </c>
      <c r="BO147" s="144">
        <v>0</v>
      </c>
      <c r="BP147" s="144">
        <v>0</v>
      </c>
      <c r="BQ147" s="144">
        <v>0</v>
      </c>
      <c r="BR147" s="144">
        <v>0</v>
      </c>
      <c r="BS147" s="144">
        <v>0</v>
      </c>
      <c r="BT147" s="144">
        <v>0</v>
      </c>
      <c r="BU147" s="144">
        <v>0</v>
      </c>
      <c r="BV147" s="144">
        <v>0</v>
      </c>
      <c r="BW147" s="144">
        <v>0</v>
      </c>
      <c r="BX147" s="144">
        <v>0</v>
      </c>
      <c r="BY147" s="144">
        <v>0</v>
      </c>
      <c r="BZ147" s="144">
        <v>0</v>
      </c>
      <c r="CA147" s="144">
        <v>0</v>
      </c>
      <c r="CB147" s="144">
        <v>0</v>
      </c>
      <c r="CC147" s="144">
        <v>0</v>
      </c>
      <c r="CD147" s="144">
        <v>0</v>
      </c>
      <c r="CE147" s="144">
        <v>0</v>
      </c>
      <c r="CF147" s="144">
        <v>0</v>
      </c>
      <c r="CG147" s="144">
        <v>0</v>
      </c>
      <c r="CH147" s="144">
        <v>0</v>
      </c>
      <c r="CI147" s="144">
        <v>0</v>
      </c>
      <c r="CJ147" s="144">
        <v>0</v>
      </c>
      <c r="CK147" s="144">
        <v>0</v>
      </c>
      <c r="CL147" s="144">
        <v>0</v>
      </c>
      <c r="CM147" s="144">
        <v>0</v>
      </c>
      <c r="CN147" s="144">
        <v>0</v>
      </c>
      <c r="CO147" s="144">
        <v>0</v>
      </c>
      <c r="CP147" s="144">
        <v>0</v>
      </c>
      <c r="CQ147" s="143">
        <v>0</v>
      </c>
      <c r="CR147" s="145">
        <v>0</v>
      </c>
      <c r="CS147" s="145">
        <v>0</v>
      </c>
      <c r="CT147" s="145">
        <v>0</v>
      </c>
      <c r="CU147" s="145">
        <v>0</v>
      </c>
      <c r="CV147" s="145">
        <v>0</v>
      </c>
      <c r="CW147" s="145">
        <v>0</v>
      </c>
      <c r="CX147" s="145">
        <v>0</v>
      </c>
      <c r="CY147" s="145">
        <v>0</v>
      </c>
      <c r="CZ147" s="145">
        <v>0</v>
      </c>
      <c r="DA147" s="145">
        <v>0</v>
      </c>
      <c r="DB147" s="145">
        <v>0</v>
      </c>
      <c r="DC147" s="145">
        <v>0</v>
      </c>
      <c r="DD147" s="145">
        <v>0</v>
      </c>
      <c r="DE147" s="145">
        <v>0</v>
      </c>
      <c r="DF147" s="145">
        <v>0</v>
      </c>
      <c r="DG147" s="145">
        <v>0</v>
      </c>
      <c r="DH147" s="145">
        <v>0</v>
      </c>
      <c r="DI147" s="145">
        <v>0</v>
      </c>
      <c r="DJ147" s="145">
        <v>16364.6</v>
      </c>
      <c r="DK147" s="145">
        <v>0</v>
      </c>
      <c r="DL147" s="145">
        <v>0</v>
      </c>
      <c r="DM147" s="145">
        <v>0</v>
      </c>
      <c r="DN147" s="145">
        <v>0</v>
      </c>
      <c r="DO147" s="145">
        <v>0</v>
      </c>
      <c r="DP147" s="145">
        <v>0</v>
      </c>
      <c r="DQ147" s="145">
        <v>0</v>
      </c>
      <c r="DR147" s="145">
        <v>0</v>
      </c>
      <c r="DS147" s="145">
        <v>0</v>
      </c>
      <c r="DT147" s="145">
        <v>0</v>
      </c>
      <c r="DU147" s="145">
        <v>0</v>
      </c>
      <c r="DV147" s="145">
        <v>16860.2</v>
      </c>
      <c r="DW147" s="145">
        <v>16860.2</v>
      </c>
      <c r="DX147" s="145">
        <v>0</v>
      </c>
      <c r="DY147" s="145">
        <v>0</v>
      </c>
      <c r="DZ147" s="145">
        <v>0</v>
      </c>
      <c r="EA147" s="145">
        <v>0</v>
      </c>
      <c r="EB147" s="145">
        <v>0</v>
      </c>
      <c r="EC147" s="145">
        <v>0</v>
      </c>
      <c r="ED147" s="145">
        <v>0</v>
      </c>
      <c r="EE147" s="145">
        <v>17371.2</v>
      </c>
      <c r="EF147" s="145">
        <v>17371.2</v>
      </c>
      <c r="EG147" s="145">
        <v>17371.2</v>
      </c>
      <c r="EH147" s="145">
        <v>17371.2</v>
      </c>
      <c r="EI147" s="145">
        <v>0</v>
      </c>
      <c r="EJ147" s="145">
        <v>0</v>
      </c>
      <c r="EK147" s="145">
        <v>0</v>
      </c>
      <c r="EL147" s="145">
        <v>0</v>
      </c>
      <c r="EM147" s="145">
        <v>0</v>
      </c>
      <c r="EN147" s="145">
        <v>0</v>
      </c>
      <c r="EO147" s="145">
        <v>0</v>
      </c>
      <c r="EP147" s="145">
        <v>0</v>
      </c>
      <c r="EQ147" s="145">
        <v>0</v>
      </c>
      <c r="ER147" s="145">
        <v>0</v>
      </c>
      <c r="ES147" s="145">
        <v>0</v>
      </c>
      <c r="ET147" s="145">
        <v>0</v>
      </c>
      <c r="EU147" s="145">
        <v>0</v>
      </c>
      <c r="EV147" s="145">
        <v>0</v>
      </c>
      <c r="EW147" s="145">
        <v>0</v>
      </c>
      <c r="EX147" s="145">
        <v>0</v>
      </c>
      <c r="EY147" s="145">
        <v>0</v>
      </c>
      <c r="EZ147" s="145">
        <v>0</v>
      </c>
      <c r="FA147" s="145">
        <v>0</v>
      </c>
      <c r="FB147" s="145">
        <v>0</v>
      </c>
      <c r="FC147" s="145">
        <v>0</v>
      </c>
      <c r="FD147" s="145">
        <v>0</v>
      </c>
      <c r="FE147" s="145">
        <v>0</v>
      </c>
      <c r="FF147" s="145">
        <v>0</v>
      </c>
      <c r="FG147" s="145">
        <v>0</v>
      </c>
      <c r="FH147" s="145">
        <v>0</v>
      </c>
      <c r="FI147" s="145">
        <v>0</v>
      </c>
      <c r="FJ147" s="145">
        <v>0</v>
      </c>
      <c r="FK147" s="145">
        <v>0</v>
      </c>
      <c r="FL147" s="145">
        <v>0</v>
      </c>
      <c r="FM147" s="145">
        <v>0</v>
      </c>
      <c r="FN147" s="145">
        <v>0</v>
      </c>
      <c r="FO147" s="145">
        <v>0</v>
      </c>
      <c r="FP147" s="145">
        <v>0</v>
      </c>
      <c r="FQ147" s="145">
        <v>0</v>
      </c>
      <c r="FR147" s="145">
        <v>0</v>
      </c>
      <c r="FS147" s="145">
        <v>0</v>
      </c>
      <c r="FT147" s="145">
        <v>0</v>
      </c>
      <c r="FU147" s="145">
        <v>0</v>
      </c>
      <c r="FV147" s="145">
        <v>0</v>
      </c>
      <c r="FW147" s="145">
        <v>0</v>
      </c>
      <c r="FX147" s="143"/>
      <c r="FY147" s="146" t="str">
        <f>_xlfn.XLOOKUP($E147,'Key assumptions'!$B$112:$B$120,'Key assumptions'!$C$112:$C$120,0)</f>
        <v>Nominal</v>
      </c>
      <c r="FZ147" s="146" cm="1">
        <f t="array" ref="FZ147">IF($FY147=0,0,_xlfn.IFS($FY147='Key assumptions'!$C$120,_xlfn.XLOOKUP(LEFT(FZ$7,6),Inflation_Year,Inflation_NominaltoReal),TRUE,_xlfn.XLOOKUP($FY147,Inflation_Year,NominaltoReal)))</f>
        <v>1.0197075870962191</v>
      </c>
      <c r="GA147" s="146" cm="1">
        <f t="array" ref="GA147">IF($FY147=0,0,_xlfn.IFS($FY147='Key assumptions'!$C$120,_xlfn.XLOOKUP(LEFT(GA$7,6),Inflation_Year,Inflation_NominaltoReal),TRUE,_xlfn.XLOOKUP($FY147,Inflation_Year,NominaltoReal)))</f>
        <v>0.98700804022984445</v>
      </c>
      <c r="GB147" s="146" cm="1">
        <f t="array" ref="GB147">IF($FY147=0,0,_xlfn.IFS($FY147='Key assumptions'!$C$120,_xlfn.XLOOKUP(LEFT(GB$7,6),Inflation_Year,Inflation_NominaltoReal),TRUE,_xlfn.XLOOKUP($FY147,Inflation_Year,NominaltoReal)))</f>
        <v>0.96152830081941731</v>
      </c>
      <c r="GC147" s="146" cm="1">
        <f t="array" ref="GC147">IF($FY147=0,0,_xlfn.IFS($FY147='Key assumptions'!$C$120,_xlfn.XLOOKUP(LEFT(GC$7,6),Inflation_Year,Inflation_NominaltoReal),TRUE,_xlfn.XLOOKUP($FY147,Inflation_Year,NominaltoReal)))</f>
        <v>0.93670632415656829</v>
      </c>
      <c r="GD147" s="146" cm="1">
        <f t="array" ref="GD147">IF($FY147=0,0,_xlfn.IFS($FY147='Key assumptions'!$C$120,_xlfn.XLOOKUP(LEFT(GD$7,6),Inflation_Year,Inflation_NominaltoReal),TRUE,_xlfn.XLOOKUP($FY147,Inflation_Year,NominaltoReal)))</f>
        <v>0.91252513001143176</v>
      </c>
      <c r="GE147" s="146" cm="1">
        <f t="array" ref="GE147">IF($FY147=0,0,_xlfn.IFS($FY147='Key assumptions'!$C$120,_xlfn.XLOOKUP(LEFT(GE$7,6),Inflation_Year,Inflation_NominaltoReal),TRUE,_xlfn.XLOOKUP($FY147,Inflation_Year,NominaltoReal)))</f>
        <v>0.88896817650095872</v>
      </c>
      <c r="GF147" s="146" cm="1">
        <f t="array" ref="GF147">IF($FY147=0,0,_xlfn.IFS($FY147='Key assumptions'!$C$120,_xlfn.XLOOKUP(LEFT(GF$7,6),Inflation_Year,Inflation_NominaltoReal),TRUE,_xlfn.XLOOKUP($FY147,Inflation_Year,NominaltoReal)))</f>
        <v>0.86601934877293718</v>
      </c>
      <c r="GG147" s="143"/>
      <c r="GH147" s="145" cm="1">
        <f t="array" ref="GH147">SUMPRODUCT(--($CR$7:$FW$7&gt;=GH$5),--($CR$7:$FW$7&lt;=GH$6),$CR147:$FW147)*FZ147</f>
        <v>16687.106779794787</v>
      </c>
      <c r="GI147" s="145" cm="1">
        <f t="array" ref="GI147">SUMPRODUCT(--($CR$7:$FW$7&gt;=GI$5),--($CR$7:$FW$7&lt;=GI$6),$CR147:$FW147)*GA147</f>
        <v>33282.305919766448</v>
      </c>
      <c r="GJ147" s="145" cm="1">
        <f t="array" ref="GJ147">SUMPRODUCT(--($CR$7:$FW$7&gt;=GJ$5),--($CR$7:$FW$7&lt;=GJ$6),$CR147:$FW147)*GB147</f>
        <v>66811.601676777049</v>
      </c>
      <c r="GK147" s="145" cm="1">
        <f t="array" ref="GK147">SUMPRODUCT(--($CR$7:$FW$7&gt;=GK$5),--($CR$7:$FW$7&lt;=GK$6),$CR147:$FW147)*GC147</f>
        <v>0</v>
      </c>
      <c r="GL147" s="145" cm="1">
        <f t="array" ref="GL147">SUMPRODUCT(--($CR$7:$FW$7&gt;=GL$5),--($CR$7:$FW$7&lt;=GL$6),$CR147:$FW147)*GD147</f>
        <v>0</v>
      </c>
      <c r="GM147" s="145" cm="1">
        <f t="array" ref="GM147">SUMPRODUCT(--($CR$7:$FW$7&gt;=GM$5),--($CR$7:$FW$7&lt;=GM$6),$CR147:$FW147)*GE147</f>
        <v>0</v>
      </c>
      <c r="GN147" s="145" cm="1">
        <f t="array" ref="GN147">SUMPRODUCT(--($CR$7:$FW$7&gt;=GN$5),--($CR$7:$FW$7&lt;=GN$6),$CR147:$FW147)*GF147</f>
        <v>0</v>
      </c>
      <c r="GO147" s="145">
        <f t="shared" si="46"/>
        <v>116781.01437633828</v>
      </c>
      <c r="GP147" s="87"/>
      <c r="GR147" s="145" cm="1">
        <f t="array" ref="GR147">SUMPRODUCT(--($CR$7:$FW$7&gt;=GR$5),--($CR$7:$FW$7&lt;=GR$6),$CR147:$FW147)</f>
        <v>0</v>
      </c>
      <c r="GT147" s="214" cm="1">
        <f t="array" ref="GT147">--AND(MIN(IF($K147:$CP147&lt;&gt;0,$K$7:$CP$7))&gt;=GT$5,MIN(IF($K147:$CP147&lt;&gt;0,$K$7:$CP$7))&lt;=GT$6)</f>
        <v>1</v>
      </c>
      <c r="GU147" s="214" cm="1">
        <f t="array" ref="GU147">--AND(MIN(IF($K147:$CP147&lt;&gt;0,$K$7:$CP$7))&gt;=GU$5,MIN(IF($K147:$CP147&lt;&gt;0,$K$7:$CP$7))&lt;=GU$6)</f>
        <v>0</v>
      </c>
      <c r="GV147" s="214" cm="1">
        <f t="array" ref="GV147">--AND(MIN(IF($K147:$CP147&lt;&gt;0,$K$7:$CP$7))&gt;=GV$5,MIN(IF($K147:$CP147&lt;&gt;0,$K$7:$CP$7))&lt;=GV$6)</f>
        <v>0</v>
      </c>
      <c r="GW147" s="214" cm="1">
        <f t="array" ref="GW147">--AND(MIN(IF($K147:$CP147&lt;&gt;0,$K$7:$CP$7))&gt;=GW$5,MIN(IF($K147:$CP147&lt;&gt;0,$K$7:$CP$7))&lt;=GW$6)</f>
        <v>0</v>
      </c>
      <c r="GX147" s="214" cm="1">
        <f t="array" ref="GX147">--AND(MIN(IF($K147:$CP147&lt;&gt;0,$K$7:$CP$7))&gt;=GX$5,MIN(IF($K147:$CP147&lt;&gt;0,$K$7:$CP$7))&lt;=GX$6)</f>
        <v>0</v>
      </c>
      <c r="GY147" s="214" cm="1">
        <f t="array" ref="GY147">--AND(MIN(IF($K147:$CP147&lt;&gt;0,$K$7:$CP$7))&gt;=GY$5,MIN(IF($K147:$CP147&lt;&gt;0,$K$7:$CP$7))&lt;=GY$6)</f>
        <v>0</v>
      </c>
      <c r="GZ147" s="214" cm="1">
        <f t="array" ref="GZ147">--AND(MIN(IF($K147:$CP147&lt;&gt;0,$K$7:$CP$7))&gt;=GZ$5,MIN(IF($K147:$CP147&lt;&gt;0,$K$7:$CP$7))&lt;=GZ$6)</f>
        <v>0</v>
      </c>
      <c r="HA147" s="214">
        <f t="shared" si="47"/>
        <v>1</v>
      </c>
      <c r="HC147" s="214" cm="1">
        <f t="array" ref="HC147">--AND(MIN(IF($K147:$CP147&lt;&gt;0,$K$7:$CP$7))&gt;=HC$5,MIN(IF($K147:$CP147&lt;&gt;0,$K$7:$CP$7))&lt;=HC$6)</f>
        <v>0</v>
      </c>
      <c r="HE147" s="147" t="str">
        <f t="shared" si="66"/>
        <v>No</v>
      </c>
      <c r="HF147" s="147" t="str">
        <f t="shared" si="67"/>
        <v>No</v>
      </c>
      <c r="HG147" s="147">
        <f>IF($HF147="Yes",0,$H147*avg_hrs*12*'Key assumptions'!$D$87)</f>
        <v>418061.5290413404</v>
      </c>
      <c r="HH147" s="147">
        <f>IF(HE147="Yes",'Key assumptions'!$D$84*HG147,0)</f>
        <v>0</v>
      </c>
      <c r="HI147" s="144">
        <f>IFERROR(AVERAGEIFS($K147:$CP147,$K$7:$CP$7,"&gt;="&amp;'Key assumptions'!$D$24,$K$7:$CP$7,"&lt;="&amp;'Key assumptions'!$D$25),0)</f>
        <v>8.1539074960127592E-2</v>
      </c>
      <c r="HJ147" s="148">
        <f t="shared" si="48"/>
        <v>0</v>
      </c>
      <c r="HK147" s="148">
        <f t="shared" si="49"/>
        <v>0</v>
      </c>
      <c r="HL147" s="148">
        <f t="shared" si="50"/>
        <v>0</v>
      </c>
      <c r="HM147" s="148">
        <f t="shared" si="51"/>
        <v>0</v>
      </c>
      <c r="HN147" s="148">
        <f t="shared" si="52"/>
        <v>0</v>
      </c>
      <c r="HO147" s="148">
        <f t="shared" si="53"/>
        <v>0</v>
      </c>
      <c r="HP147" s="148">
        <f t="shared" si="54"/>
        <v>0</v>
      </c>
      <c r="HQ147" s="148">
        <f t="shared" si="55"/>
        <v>0</v>
      </c>
      <c r="HR147" s="147">
        <f t="shared" si="56"/>
        <v>0</v>
      </c>
      <c r="HU147" s="147">
        <f>$HJ147*HC147/(1+'Key assumptions'!G169)^0.75</f>
        <v>0</v>
      </c>
      <c r="HW147" s="216">
        <f t="shared" si="57"/>
        <v>8.1539074960127592E-2</v>
      </c>
      <c r="HX147" s="216">
        <f t="shared" si="58"/>
        <v>0</v>
      </c>
      <c r="HY147" s="216">
        <f t="shared" si="59"/>
        <v>0</v>
      </c>
      <c r="HZ147" s="216">
        <f t="shared" si="60"/>
        <v>0</v>
      </c>
      <c r="IA147" s="216">
        <f t="shared" si="61"/>
        <v>0</v>
      </c>
      <c r="IB147" s="216">
        <f t="shared" si="62"/>
        <v>0</v>
      </c>
      <c r="IC147" s="216">
        <f t="shared" si="63"/>
        <v>0</v>
      </c>
      <c r="ID147" s="216">
        <f t="shared" si="64"/>
        <v>8.1539074960127592E-2</v>
      </c>
      <c r="IF147" s="216">
        <f t="shared" si="65"/>
        <v>0</v>
      </c>
    </row>
    <row r="148" spans="2:240" x14ac:dyDescent="0.2">
      <c r="B148" s="141" t="str">
        <v>Project Delivery Management - Commissioning</v>
      </c>
      <c r="C148" s="141" t="str">
        <v>Telecommunication Technician (Construction)</v>
      </c>
      <c r="D148" s="141" t="str">
        <v>Internal Labour</v>
      </c>
      <c r="E148" s="141" t="str">
        <v>$ Nominal</v>
      </c>
      <c r="F148" s="141" t="str">
        <v>Existing</v>
      </c>
      <c r="G148" s="141" t="str">
        <v>Normal time</v>
      </c>
      <c r="H148" s="142">
        <v>188.58</v>
      </c>
      <c r="I148" s="126">
        <v>92603.700000000012</v>
      </c>
      <c r="J148" s="143">
        <v>0</v>
      </c>
      <c r="K148" s="144">
        <v>0</v>
      </c>
      <c r="L148" s="144">
        <v>0</v>
      </c>
      <c r="M148" s="144">
        <v>0</v>
      </c>
      <c r="N148" s="144">
        <v>0</v>
      </c>
      <c r="O148" s="144">
        <v>0</v>
      </c>
      <c r="P148" s="144">
        <v>0</v>
      </c>
      <c r="Q148" s="144">
        <v>0</v>
      </c>
      <c r="R148" s="144">
        <v>0</v>
      </c>
      <c r="S148" s="144">
        <v>0</v>
      </c>
      <c r="T148" s="144">
        <v>0</v>
      </c>
      <c r="U148" s="144">
        <v>0</v>
      </c>
      <c r="V148" s="144">
        <v>0</v>
      </c>
      <c r="W148" s="144">
        <v>0</v>
      </c>
      <c r="X148" s="144">
        <v>0</v>
      </c>
      <c r="Y148" s="144">
        <v>0</v>
      </c>
      <c r="Z148" s="144">
        <v>0</v>
      </c>
      <c r="AA148" s="144">
        <v>0</v>
      </c>
      <c r="AB148" s="144">
        <v>0</v>
      </c>
      <c r="AC148" s="144">
        <v>0</v>
      </c>
      <c r="AD148" s="144">
        <v>0</v>
      </c>
      <c r="AE148" s="144">
        <v>0</v>
      </c>
      <c r="AF148" s="144">
        <v>0</v>
      </c>
      <c r="AG148" s="144">
        <v>1.05</v>
      </c>
      <c r="AH148" s="144">
        <v>1.4666666666666666</v>
      </c>
      <c r="AI148" s="144">
        <v>1.4666666666666666</v>
      </c>
      <c r="AJ148" s="144">
        <v>0</v>
      </c>
      <c r="AK148" s="144">
        <v>0</v>
      </c>
      <c r="AL148" s="144">
        <v>0</v>
      </c>
      <c r="AM148" s="144">
        <v>0</v>
      </c>
      <c r="AN148" s="144">
        <v>0.23026315789473684</v>
      </c>
      <c r="AO148" s="144">
        <v>0</v>
      </c>
      <c r="AP148" s="144">
        <v>0</v>
      </c>
      <c r="AQ148" s="144">
        <v>0</v>
      </c>
      <c r="AR148" s="144">
        <v>0</v>
      </c>
      <c r="AS148" s="144">
        <v>0</v>
      </c>
      <c r="AT148" s="144">
        <v>0</v>
      </c>
      <c r="AU148" s="144">
        <v>0</v>
      </c>
      <c r="AV148" s="144">
        <v>0</v>
      </c>
      <c r="AW148" s="144">
        <v>0</v>
      </c>
      <c r="AX148" s="144">
        <v>0</v>
      </c>
      <c r="AY148" s="144">
        <v>0</v>
      </c>
      <c r="AZ148" s="144">
        <v>0</v>
      </c>
      <c r="BA148" s="144">
        <v>0</v>
      </c>
      <c r="BB148" s="144">
        <v>0</v>
      </c>
      <c r="BC148" s="144">
        <v>0</v>
      </c>
      <c r="BD148" s="144">
        <v>0</v>
      </c>
      <c r="BE148" s="144">
        <v>0</v>
      </c>
      <c r="BF148" s="144">
        <v>0</v>
      </c>
      <c r="BG148" s="144">
        <v>0</v>
      </c>
      <c r="BH148" s="144">
        <v>0</v>
      </c>
      <c r="BI148" s="144">
        <v>0</v>
      </c>
      <c r="BJ148" s="144">
        <v>0</v>
      </c>
      <c r="BK148" s="144">
        <v>0</v>
      </c>
      <c r="BL148" s="144">
        <v>0</v>
      </c>
      <c r="BM148" s="144">
        <v>0</v>
      </c>
      <c r="BN148" s="144">
        <v>0</v>
      </c>
      <c r="BO148" s="144">
        <v>0</v>
      </c>
      <c r="BP148" s="144">
        <v>0</v>
      </c>
      <c r="BQ148" s="144">
        <v>0</v>
      </c>
      <c r="BR148" s="144">
        <v>0</v>
      </c>
      <c r="BS148" s="144">
        <v>0</v>
      </c>
      <c r="BT148" s="144">
        <v>0</v>
      </c>
      <c r="BU148" s="144">
        <v>0</v>
      </c>
      <c r="BV148" s="144">
        <v>0</v>
      </c>
      <c r="BW148" s="144">
        <v>0</v>
      </c>
      <c r="BX148" s="144">
        <v>0</v>
      </c>
      <c r="BY148" s="144">
        <v>0</v>
      </c>
      <c r="BZ148" s="144">
        <v>0</v>
      </c>
      <c r="CA148" s="144">
        <v>0</v>
      </c>
      <c r="CB148" s="144">
        <v>0</v>
      </c>
      <c r="CC148" s="144">
        <v>0</v>
      </c>
      <c r="CD148" s="144">
        <v>0</v>
      </c>
      <c r="CE148" s="144">
        <v>0</v>
      </c>
      <c r="CF148" s="144">
        <v>0</v>
      </c>
      <c r="CG148" s="144">
        <v>0</v>
      </c>
      <c r="CH148" s="144">
        <v>0</v>
      </c>
      <c r="CI148" s="144">
        <v>0</v>
      </c>
      <c r="CJ148" s="144">
        <v>0</v>
      </c>
      <c r="CK148" s="144">
        <v>0</v>
      </c>
      <c r="CL148" s="144">
        <v>0</v>
      </c>
      <c r="CM148" s="144">
        <v>0</v>
      </c>
      <c r="CN148" s="144">
        <v>0</v>
      </c>
      <c r="CO148" s="144">
        <v>0</v>
      </c>
      <c r="CP148" s="144">
        <v>0</v>
      </c>
      <c r="CQ148" s="143">
        <v>0</v>
      </c>
      <c r="CR148" s="145">
        <v>0</v>
      </c>
      <c r="CS148" s="145">
        <v>0</v>
      </c>
      <c r="CT148" s="145">
        <v>0</v>
      </c>
      <c r="CU148" s="145">
        <v>0</v>
      </c>
      <c r="CV148" s="145">
        <v>0</v>
      </c>
      <c r="CW148" s="145">
        <v>0</v>
      </c>
      <c r="CX148" s="145">
        <v>0</v>
      </c>
      <c r="CY148" s="145">
        <v>0</v>
      </c>
      <c r="CZ148" s="145">
        <v>0</v>
      </c>
      <c r="DA148" s="145">
        <v>0</v>
      </c>
      <c r="DB148" s="145">
        <v>0</v>
      </c>
      <c r="DC148" s="145">
        <v>0</v>
      </c>
      <c r="DD148" s="145">
        <v>0</v>
      </c>
      <c r="DE148" s="145">
        <v>0</v>
      </c>
      <c r="DF148" s="145">
        <v>0</v>
      </c>
      <c r="DG148" s="145">
        <v>0</v>
      </c>
      <c r="DH148" s="145">
        <v>0</v>
      </c>
      <c r="DI148" s="145">
        <v>0</v>
      </c>
      <c r="DJ148" s="145">
        <v>0</v>
      </c>
      <c r="DK148" s="145">
        <v>0</v>
      </c>
      <c r="DL148" s="145">
        <v>0</v>
      </c>
      <c r="DM148" s="145">
        <v>0</v>
      </c>
      <c r="DN148" s="145">
        <v>27721.260000000002</v>
      </c>
      <c r="DO148" s="145">
        <v>29041.320000000003</v>
      </c>
      <c r="DP148" s="145">
        <v>29041.320000000003</v>
      </c>
      <c r="DQ148" s="145">
        <v>0</v>
      </c>
      <c r="DR148" s="145">
        <v>0</v>
      </c>
      <c r="DS148" s="145">
        <v>0</v>
      </c>
      <c r="DT148" s="145">
        <v>0</v>
      </c>
      <c r="DU148" s="145">
        <v>6799.8</v>
      </c>
      <c r="DV148" s="145">
        <v>0</v>
      </c>
      <c r="DW148" s="145">
        <v>0</v>
      </c>
      <c r="DX148" s="145">
        <v>0</v>
      </c>
      <c r="DY148" s="145">
        <v>0</v>
      </c>
      <c r="DZ148" s="145">
        <v>0</v>
      </c>
      <c r="EA148" s="145">
        <v>0</v>
      </c>
      <c r="EB148" s="145">
        <v>0</v>
      </c>
      <c r="EC148" s="145">
        <v>0</v>
      </c>
      <c r="ED148" s="145">
        <v>0</v>
      </c>
      <c r="EE148" s="145">
        <v>0</v>
      </c>
      <c r="EF148" s="145">
        <v>0</v>
      </c>
      <c r="EG148" s="145">
        <v>0</v>
      </c>
      <c r="EH148" s="145">
        <v>0</v>
      </c>
      <c r="EI148" s="145">
        <v>0</v>
      </c>
      <c r="EJ148" s="145">
        <v>0</v>
      </c>
      <c r="EK148" s="145">
        <v>0</v>
      </c>
      <c r="EL148" s="145">
        <v>0</v>
      </c>
      <c r="EM148" s="145">
        <v>0</v>
      </c>
      <c r="EN148" s="145">
        <v>0</v>
      </c>
      <c r="EO148" s="145">
        <v>0</v>
      </c>
      <c r="EP148" s="145">
        <v>0</v>
      </c>
      <c r="EQ148" s="145">
        <v>0</v>
      </c>
      <c r="ER148" s="145">
        <v>0</v>
      </c>
      <c r="ES148" s="145">
        <v>0</v>
      </c>
      <c r="ET148" s="145">
        <v>0</v>
      </c>
      <c r="EU148" s="145">
        <v>0</v>
      </c>
      <c r="EV148" s="145">
        <v>0</v>
      </c>
      <c r="EW148" s="145">
        <v>0</v>
      </c>
      <c r="EX148" s="145">
        <v>0</v>
      </c>
      <c r="EY148" s="145">
        <v>0</v>
      </c>
      <c r="EZ148" s="145">
        <v>0</v>
      </c>
      <c r="FA148" s="145">
        <v>0</v>
      </c>
      <c r="FB148" s="145">
        <v>0</v>
      </c>
      <c r="FC148" s="145">
        <v>0</v>
      </c>
      <c r="FD148" s="145">
        <v>0</v>
      </c>
      <c r="FE148" s="145">
        <v>0</v>
      </c>
      <c r="FF148" s="145">
        <v>0</v>
      </c>
      <c r="FG148" s="145">
        <v>0</v>
      </c>
      <c r="FH148" s="145">
        <v>0</v>
      </c>
      <c r="FI148" s="145">
        <v>0</v>
      </c>
      <c r="FJ148" s="145">
        <v>0</v>
      </c>
      <c r="FK148" s="145">
        <v>0</v>
      </c>
      <c r="FL148" s="145">
        <v>0</v>
      </c>
      <c r="FM148" s="145">
        <v>0</v>
      </c>
      <c r="FN148" s="145">
        <v>0</v>
      </c>
      <c r="FO148" s="145">
        <v>0</v>
      </c>
      <c r="FP148" s="145">
        <v>0</v>
      </c>
      <c r="FQ148" s="145">
        <v>0</v>
      </c>
      <c r="FR148" s="145">
        <v>0</v>
      </c>
      <c r="FS148" s="145">
        <v>0</v>
      </c>
      <c r="FT148" s="145">
        <v>0</v>
      </c>
      <c r="FU148" s="145">
        <v>0</v>
      </c>
      <c r="FV148" s="145">
        <v>0</v>
      </c>
      <c r="FW148" s="145">
        <v>0</v>
      </c>
      <c r="FX148" s="143"/>
      <c r="FY148" s="146" t="str">
        <f>_xlfn.XLOOKUP($E148,'Key assumptions'!$B$112:$B$120,'Key assumptions'!$C$112:$C$120,0)</f>
        <v>Nominal</v>
      </c>
      <c r="FZ148" s="146" cm="1">
        <f t="array" ref="FZ148">IF($FY148=0,0,_xlfn.IFS($FY148='Key assumptions'!$C$120,_xlfn.XLOOKUP(LEFT(FZ$7,6),Inflation_Year,Inflation_NominaltoReal),TRUE,_xlfn.XLOOKUP($FY148,Inflation_Year,NominaltoReal)))</f>
        <v>1.0197075870962191</v>
      </c>
      <c r="GA148" s="146" cm="1">
        <f t="array" ref="GA148">IF($FY148=0,0,_xlfn.IFS($FY148='Key assumptions'!$C$120,_xlfn.XLOOKUP(LEFT(GA$7,6),Inflation_Year,Inflation_NominaltoReal),TRUE,_xlfn.XLOOKUP($FY148,Inflation_Year,NominaltoReal)))</f>
        <v>0.98700804022984445</v>
      </c>
      <c r="GB148" s="146" cm="1">
        <f t="array" ref="GB148">IF($FY148=0,0,_xlfn.IFS($FY148='Key assumptions'!$C$120,_xlfn.XLOOKUP(LEFT(GB$7,6),Inflation_Year,Inflation_NominaltoReal),TRUE,_xlfn.XLOOKUP($FY148,Inflation_Year,NominaltoReal)))</f>
        <v>0.96152830081941731</v>
      </c>
      <c r="GC148" s="146" cm="1">
        <f t="array" ref="GC148">IF($FY148=0,0,_xlfn.IFS($FY148='Key assumptions'!$C$120,_xlfn.XLOOKUP(LEFT(GC$7,6),Inflation_Year,Inflation_NominaltoReal),TRUE,_xlfn.XLOOKUP($FY148,Inflation_Year,NominaltoReal)))</f>
        <v>0.93670632415656829</v>
      </c>
      <c r="GD148" s="146" cm="1">
        <f t="array" ref="GD148">IF($FY148=0,0,_xlfn.IFS($FY148='Key assumptions'!$C$120,_xlfn.XLOOKUP(LEFT(GD$7,6),Inflation_Year,Inflation_NominaltoReal),TRUE,_xlfn.XLOOKUP($FY148,Inflation_Year,NominaltoReal)))</f>
        <v>0.91252513001143176</v>
      </c>
      <c r="GE148" s="146" cm="1">
        <f t="array" ref="GE148">IF($FY148=0,0,_xlfn.IFS($FY148='Key assumptions'!$C$120,_xlfn.XLOOKUP(LEFT(GE$7,6),Inflation_Year,Inflation_NominaltoReal),TRUE,_xlfn.XLOOKUP($FY148,Inflation_Year,NominaltoReal)))</f>
        <v>0.88896817650095872</v>
      </c>
      <c r="GF148" s="146" cm="1">
        <f t="array" ref="GF148">IF($FY148=0,0,_xlfn.IFS($FY148='Key assumptions'!$C$120,_xlfn.XLOOKUP(LEFT(GF$7,6),Inflation_Year,Inflation_NominaltoReal),TRUE,_xlfn.XLOOKUP($FY148,Inflation_Year,NominaltoReal)))</f>
        <v>0.86601934877293718</v>
      </c>
      <c r="GG148" s="143"/>
      <c r="GH148" s="145" cm="1">
        <f t="array" ref="GH148">SUMPRODUCT(--($CR$7:$FW$7&gt;=GH$5),--($CR$7:$FW$7&lt;=GH$6),$CR148:$FW148)*FZ148</f>
        <v>0</v>
      </c>
      <c r="GI148" s="145" cm="1">
        <f t="array" ref="GI148">SUMPRODUCT(--($CR$7:$FW$7&gt;=GI$5),--($CR$7:$FW$7&lt;=GI$6),$CR148:$FW148)*GA148</f>
        <v>91400.596455032457</v>
      </c>
      <c r="GJ148" s="145" cm="1">
        <f t="array" ref="GJ148">SUMPRODUCT(--($CR$7:$FW$7&gt;=GJ$5),--($CR$7:$FW$7&lt;=GJ$6),$CR148:$FW148)*GB148</f>
        <v>0</v>
      </c>
      <c r="GK148" s="145" cm="1">
        <f t="array" ref="GK148">SUMPRODUCT(--($CR$7:$FW$7&gt;=GK$5),--($CR$7:$FW$7&lt;=GK$6),$CR148:$FW148)*GC148</f>
        <v>0</v>
      </c>
      <c r="GL148" s="145" cm="1">
        <f t="array" ref="GL148">SUMPRODUCT(--($CR$7:$FW$7&gt;=GL$5),--($CR$7:$FW$7&lt;=GL$6),$CR148:$FW148)*GD148</f>
        <v>0</v>
      </c>
      <c r="GM148" s="145" cm="1">
        <f t="array" ref="GM148">SUMPRODUCT(--($CR$7:$FW$7&gt;=GM$5),--($CR$7:$FW$7&lt;=GM$6),$CR148:$FW148)*GE148</f>
        <v>0</v>
      </c>
      <c r="GN148" s="145" cm="1">
        <f t="array" ref="GN148">SUMPRODUCT(--($CR$7:$FW$7&gt;=GN$5),--($CR$7:$FW$7&lt;=GN$6),$CR148:$FW148)*GF148</f>
        <v>0</v>
      </c>
      <c r="GO148" s="145">
        <f t="shared" si="46"/>
        <v>91400.596455032457</v>
      </c>
      <c r="GP148" s="87"/>
      <c r="GR148" s="145" cm="1">
        <f t="array" ref="GR148">SUMPRODUCT(--($CR$7:$FW$7&gt;=GR$5),--($CR$7:$FW$7&lt;=GR$6),$CR148:$FW148)</f>
        <v>0</v>
      </c>
      <c r="GT148" s="214" cm="1">
        <f t="array" ref="GT148">--AND(MIN(IF($K148:$CP148&lt;&gt;0,$K$7:$CP$7))&gt;=GT$5,MIN(IF($K148:$CP148&lt;&gt;0,$K$7:$CP$7))&lt;=GT$6)</f>
        <v>0</v>
      </c>
      <c r="GU148" s="214" cm="1">
        <f t="array" ref="GU148">--AND(MIN(IF($K148:$CP148&lt;&gt;0,$K$7:$CP$7))&gt;=GU$5,MIN(IF($K148:$CP148&lt;&gt;0,$K$7:$CP$7))&lt;=GU$6)</f>
        <v>1</v>
      </c>
      <c r="GV148" s="214" cm="1">
        <f t="array" ref="GV148">--AND(MIN(IF($K148:$CP148&lt;&gt;0,$K$7:$CP$7))&gt;=GV$5,MIN(IF($K148:$CP148&lt;&gt;0,$K$7:$CP$7))&lt;=GV$6)</f>
        <v>0</v>
      </c>
      <c r="GW148" s="214" cm="1">
        <f t="array" ref="GW148">--AND(MIN(IF($K148:$CP148&lt;&gt;0,$K$7:$CP$7))&gt;=GW$5,MIN(IF($K148:$CP148&lt;&gt;0,$K$7:$CP$7))&lt;=GW$6)</f>
        <v>0</v>
      </c>
      <c r="GX148" s="214" cm="1">
        <f t="array" ref="GX148">--AND(MIN(IF($K148:$CP148&lt;&gt;0,$K$7:$CP$7))&gt;=GX$5,MIN(IF($K148:$CP148&lt;&gt;0,$K$7:$CP$7))&lt;=GX$6)</f>
        <v>0</v>
      </c>
      <c r="GY148" s="214" cm="1">
        <f t="array" ref="GY148">--AND(MIN(IF($K148:$CP148&lt;&gt;0,$K$7:$CP$7))&gt;=GY$5,MIN(IF($K148:$CP148&lt;&gt;0,$K$7:$CP$7))&lt;=GY$6)</f>
        <v>0</v>
      </c>
      <c r="GZ148" s="214" cm="1">
        <f t="array" ref="GZ148">--AND(MIN(IF($K148:$CP148&lt;&gt;0,$K$7:$CP$7))&gt;=GZ$5,MIN(IF($K148:$CP148&lt;&gt;0,$K$7:$CP$7))&lt;=GZ$6)</f>
        <v>0</v>
      </c>
      <c r="HA148" s="214">
        <f t="shared" si="47"/>
        <v>1</v>
      </c>
      <c r="HC148" s="214" cm="1">
        <f t="array" ref="HC148">--AND(MIN(IF($K148:$CP148&lt;&gt;0,$K$7:$CP$7))&gt;=HC$5,MIN(IF($K148:$CP148&lt;&gt;0,$K$7:$CP$7))&lt;=HC$6)</f>
        <v>0</v>
      </c>
      <c r="HE148" s="147" t="str">
        <f t="shared" si="66"/>
        <v>No</v>
      </c>
      <c r="HF148" s="147" t="str">
        <f t="shared" si="67"/>
        <v>No</v>
      </c>
      <c r="HG148" s="147">
        <f>IF($HF148="Yes",0,$H148*avg_hrs*12*'Key assumptions'!$D$87)</f>
        <v>337231.76981185726</v>
      </c>
      <c r="HH148" s="147">
        <f>IF(HE148="Yes",'Key assumptions'!$D$84*HG148,0)</f>
        <v>0</v>
      </c>
      <c r="HI148" s="144">
        <f>IFERROR(AVERAGEIFS($K148:$CP148,$K$7:$CP$7,"&gt;="&amp;'Key assumptions'!$D$24,$K$7:$CP$7,"&lt;="&amp;'Key assumptions'!$D$25),0)</f>
        <v>9.5763556618819787E-2</v>
      </c>
      <c r="HJ148" s="148">
        <f t="shared" si="48"/>
        <v>0</v>
      </c>
      <c r="HK148" s="148">
        <f t="shared" si="49"/>
        <v>0</v>
      </c>
      <c r="HL148" s="148">
        <f t="shared" si="50"/>
        <v>0</v>
      </c>
      <c r="HM148" s="148">
        <f t="shared" si="51"/>
        <v>0</v>
      </c>
      <c r="HN148" s="148">
        <f t="shared" si="52"/>
        <v>0</v>
      </c>
      <c r="HO148" s="148">
        <f t="shared" si="53"/>
        <v>0</v>
      </c>
      <c r="HP148" s="148">
        <f t="shared" si="54"/>
        <v>0</v>
      </c>
      <c r="HQ148" s="148">
        <f t="shared" si="55"/>
        <v>0</v>
      </c>
      <c r="HR148" s="147">
        <f t="shared" si="56"/>
        <v>0</v>
      </c>
      <c r="HU148" s="147">
        <f>$HJ148*HC148/(1+'Key assumptions'!G170)^0.75</f>
        <v>0</v>
      </c>
      <c r="HW148" s="216">
        <f t="shared" si="57"/>
        <v>0</v>
      </c>
      <c r="HX148" s="216">
        <f t="shared" si="58"/>
        <v>9.5763556618819787E-2</v>
      </c>
      <c r="HY148" s="216">
        <f t="shared" si="59"/>
        <v>0</v>
      </c>
      <c r="HZ148" s="216">
        <f t="shared" si="60"/>
        <v>0</v>
      </c>
      <c r="IA148" s="216">
        <f t="shared" si="61"/>
        <v>0</v>
      </c>
      <c r="IB148" s="216">
        <f t="shared" si="62"/>
        <v>0</v>
      </c>
      <c r="IC148" s="216">
        <f t="shared" si="63"/>
        <v>0</v>
      </c>
      <c r="ID148" s="216">
        <f t="shared" si="64"/>
        <v>9.5763556618819787E-2</v>
      </c>
      <c r="IF148" s="216">
        <f t="shared" si="65"/>
        <v>0</v>
      </c>
    </row>
    <row r="149" spans="2:240" x14ac:dyDescent="0.2">
      <c r="B149" s="141" t="str">
        <v>Project Delivery Management - Commissioning</v>
      </c>
      <c r="C149" s="141" t="str">
        <v>Telecommunication Technician (Construction)</v>
      </c>
      <c r="D149" s="141" t="str">
        <v>Internal Labour</v>
      </c>
      <c r="E149" s="141" t="str">
        <v>$ Nominal</v>
      </c>
      <c r="F149" s="141">
        <v>0</v>
      </c>
      <c r="G149" s="141" t="str">
        <v>Overtime</v>
      </c>
      <c r="H149" s="142">
        <v>188.58</v>
      </c>
      <c r="I149" s="126">
        <v>53029.4</v>
      </c>
      <c r="J149" s="143">
        <v>0</v>
      </c>
      <c r="K149" s="144">
        <v>0</v>
      </c>
      <c r="L149" s="144">
        <v>0</v>
      </c>
      <c r="M149" s="144">
        <v>0</v>
      </c>
      <c r="N149" s="144">
        <v>0</v>
      </c>
      <c r="O149" s="144">
        <v>0</v>
      </c>
      <c r="P149" s="144">
        <v>0</v>
      </c>
      <c r="Q149" s="144">
        <v>0</v>
      </c>
      <c r="R149" s="144">
        <v>0</v>
      </c>
      <c r="S149" s="144">
        <v>0</v>
      </c>
      <c r="T149" s="144">
        <v>0</v>
      </c>
      <c r="U149" s="144">
        <v>0</v>
      </c>
      <c r="V149" s="144">
        <v>0</v>
      </c>
      <c r="W149" s="144">
        <v>0</v>
      </c>
      <c r="X149" s="144">
        <v>0</v>
      </c>
      <c r="Y149" s="144">
        <v>0</v>
      </c>
      <c r="Z149" s="144">
        <v>0</v>
      </c>
      <c r="AA149" s="144">
        <v>0</v>
      </c>
      <c r="AB149" s="144">
        <v>0</v>
      </c>
      <c r="AC149" s="144">
        <v>0</v>
      </c>
      <c r="AD149" s="144">
        <v>0</v>
      </c>
      <c r="AE149" s="144">
        <v>0</v>
      </c>
      <c r="AF149" s="144">
        <v>0</v>
      </c>
      <c r="AG149" s="144">
        <v>0.2857142857142857</v>
      </c>
      <c r="AH149" s="144">
        <v>0.38095238095238093</v>
      </c>
      <c r="AI149" s="144">
        <v>0.38095238095238093</v>
      </c>
      <c r="AJ149" s="144">
        <v>0</v>
      </c>
      <c r="AK149" s="144">
        <v>0</v>
      </c>
      <c r="AL149" s="144">
        <v>0</v>
      </c>
      <c r="AM149" s="144">
        <v>0</v>
      </c>
      <c r="AN149" s="144">
        <v>0.13157894736842105</v>
      </c>
      <c r="AO149" s="144">
        <v>0</v>
      </c>
      <c r="AP149" s="144">
        <v>0</v>
      </c>
      <c r="AQ149" s="144">
        <v>0</v>
      </c>
      <c r="AR149" s="144">
        <v>0</v>
      </c>
      <c r="AS149" s="144">
        <v>0</v>
      </c>
      <c r="AT149" s="144">
        <v>0</v>
      </c>
      <c r="AU149" s="144">
        <v>0</v>
      </c>
      <c r="AV149" s="144">
        <v>0</v>
      </c>
      <c r="AW149" s="144">
        <v>0</v>
      </c>
      <c r="AX149" s="144">
        <v>0</v>
      </c>
      <c r="AY149" s="144">
        <v>0</v>
      </c>
      <c r="AZ149" s="144">
        <v>0</v>
      </c>
      <c r="BA149" s="144">
        <v>0</v>
      </c>
      <c r="BB149" s="144">
        <v>0</v>
      </c>
      <c r="BC149" s="144">
        <v>0</v>
      </c>
      <c r="BD149" s="144">
        <v>0</v>
      </c>
      <c r="BE149" s="144">
        <v>0</v>
      </c>
      <c r="BF149" s="144">
        <v>0</v>
      </c>
      <c r="BG149" s="144">
        <v>0</v>
      </c>
      <c r="BH149" s="144">
        <v>0</v>
      </c>
      <c r="BI149" s="144">
        <v>0</v>
      </c>
      <c r="BJ149" s="144">
        <v>0</v>
      </c>
      <c r="BK149" s="144">
        <v>0</v>
      </c>
      <c r="BL149" s="144">
        <v>0</v>
      </c>
      <c r="BM149" s="144">
        <v>0</v>
      </c>
      <c r="BN149" s="144">
        <v>0</v>
      </c>
      <c r="BO149" s="144">
        <v>0</v>
      </c>
      <c r="BP149" s="144">
        <v>0</v>
      </c>
      <c r="BQ149" s="144">
        <v>0</v>
      </c>
      <c r="BR149" s="144">
        <v>0</v>
      </c>
      <c r="BS149" s="144">
        <v>0</v>
      </c>
      <c r="BT149" s="144">
        <v>0</v>
      </c>
      <c r="BU149" s="144">
        <v>0</v>
      </c>
      <c r="BV149" s="144">
        <v>0</v>
      </c>
      <c r="BW149" s="144">
        <v>0</v>
      </c>
      <c r="BX149" s="144">
        <v>0</v>
      </c>
      <c r="BY149" s="144">
        <v>0</v>
      </c>
      <c r="BZ149" s="144">
        <v>0</v>
      </c>
      <c r="CA149" s="144">
        <v>0</v>
      </c>
      <c r="CB149" s="144">
        <v>0</v>
      </c>
      <c r="CC149" s="144">
        <v>0</v>
      </c>
      <c r="CD149" s="144">
        <v>0</v>
      </c>
      <c r="CE149" s="144">
        <v>0</v>
      </c>
      <c r="CF149" s="144">
        <v>0</v>
      </c>
      <c r="CG149" s="144">
        <v>0</v>
      </c>
      <c r="CH149" s="144">
        <v>0</v>
      </c>
      <c r="CI149" s="144">
        <v>0</v>
      </c>
      <c r="CJ149" s="144">
        <v>0</v>
      </c>
      <c r="CK149" s="144">
        <v>0</v>
      </c>
      <c r="CL149" s="144">
        <v>0</v>
      </c>
      <c r="CM149" s="144">
        <v>0</v>
      </c>
      <c r="CN149" s="144">
        <v>0</v>
      </c>
      <c r="CO149" s="144">
        <v>0</v>
      </c>
      <c r="CP149" s="144">
        <v>0</v>
      </c>
      <c r="CQ149" s="143">
        <v>0</v>
      </c>
      <c r="CR149" s="145">
        <v>0</v>
      </c>
      <c r="CS149" s="145">
        <v>0</v>
      </c>
      <c r="CT149" s="145">
        <v>0</v>
      </c>
      <c r="CU149" s="145">
        <v>0</v>
      </c>
      <c r="CV149" s="145">
        <v>0</v>
      </c>
      <c r="CW149" s="145">
        <v>0</v>
      </c>
      <c r="CX149" s="145">
        <v>0</v>
      </c>
      <c r="CY149" s="145">
        <v>0</v>
      </c>
      <c r="CZ149" s="145">
        <v>0</v>
      </c>
      <c r="DA149" s="145">
        <v>0</v>
      </c>
      <c r="DB149" s="145">
        <v>0</v>
      </c>
      <c r="DC149" s="145">
        <v>0</v>
      </c>
      <c r="DD149" s="145">
        <v>0</v>
      </c>
      <c r="DE149" s="145">
        <v>0</v>
      </c>
      <c r="DF149" s="145">
        <v>0</v>
      </c>
      <c r="DG149" s="145">
        <v>0</v>
      </c>
      <c r="DH149" s="145">
        <v>0</v>
      </c>
      <c r="DI149" s="145">
        <v>0</v>
      </c>
      <c r="DJ149" s="145">
        <v>0</v>
      </c>
      <c r="DK149" s="145">
        <v>0</v>
      </c>
      <c r="DL149" s="145">
        <v>0</v>
      </c>
      <c r="DM149" s="145">
        <v>0</v>
      </c>
      <c r="DN149" s="145">
        <v>15086</v>
      </c>
      <c r="DO149" s="145">
        <v>15086</v>
      </c>
      <c r="DP149" s="145">
        <v>15086</v>
      </c>
      <c r="DQ149" s="145">
        <v>0</v>
      </c>
      <c r="DR149" s="145">
        <v>0</v>
      </c>
      <c r="DS149" s="145">
        <v>0</v>
      </c>
      <c r="DT149" s="145">
        <v>0</v>
      </c>
      <c r="DU149" s="145">
        <v>7771.4</v>
      </c>
      <c r="DV149" s="145">
        <v>0</v>
      </c>
      <c r="DW149" s="145">
        <v>0</v>
      </c>
      <c r="DX149" s="145">
        <v>0</v>
      </c>
      <c r="DY149" s="145">
        <v>0</v>
      </c>
      <c r="DZ149" s="145">
        <v>0</v>
      </c>
      <c r="EA149" s="145">
        <v>0</v>
      </c>
      <c r="EB149" s="145">
        <v>0</v>
      </c>
      <c r="EC149" s="145">
        <v>0</v>
      </c>
      <c r="ED149" s="145">
        <v>0</v>
      </c>
      <c r="EE149" s="145">
        <v>0</v>
      </c>
      <c r="EF149" s="145">
        <v>0</v>
      </c>
      <c r="EG149" s="145">
        <v>0</v>
      </c>
      <c r="EH149" s="145">
        <v>0</v>
      </c>
      <c r="EI149" s="145">
        <v>0</v>
      </c>
      <c r="EJ149" s="145">
        <v>0</v>
      </c>
      <c r="EK149" s="145">
        <v>0</v>
      </c>
      <c r="EL149" s="145">
        <v>0</v>
      </c>
      <c r="EM149" s="145">
        <v>0</v>
      </c>
      <c r="EN149" s="145">
        <v>0</v>
      </c>
      <c r="EO149" s="145">
        <v>0</v>
      </c>
      <c r="EP149" s="145">
        <v>0</v>
      </c>
      <c r="EQ149" s="145">
        <v>0</v>
      </c>
      <c r="ER149" s="145">
        <v>0</v>
      </c>
      <c r="ES149" s="145">
        <v>0</v>
      </c>
      <c r="ET149" s="145">
        <v>0</v>
      </c>
      <c r="EU149" s="145">
        <v>0</v>
      </c>
      <c r="EV149" s="145">
        <v>0</v>
      </c>
      <c r="EW149" s="145">
        <v>0</v>
      </c>
      <c r="EX149" s="145">
        <v>0</v>
      </c>
      <c r="EY149" s="145">
        <v>0</v>
      </c>
      <c r="EZ149" s="145">
        <v>0</v>
      </c>
      <c r="FA149" s="145">
        <v>0</v>
      </c>
      <c r="FB149" s="145">
        <v>0</v>
      </c>
      <c r="FC149" s="145">
        <v>0</v>
      </c>
      <c r="FD149" s="145">
        <v>0</v>
      </c>
      <c r="FE149" s="145">
        <v>0</v>
      </c>
      <c r="FF149" s="145">
        <v>0</v>
      </c>
      <c r="FG149" s="145">
        <v>0</v>
      </c>
      <c r="FH149" s="145">
        <v>0</v>
      </c>
      <c r="FI149" s="145">
        <v>0</v>
      </c>
      <c r="FJ149" s="145">
        <v>0</v>
      </c>
      <c r="FK149" s="145">
        <v>0</v>
      </c>
      <c r="FL149" s="145">
        <v>0</v>
      </c>
      <c r="FM149" s="145">
        <v>0</v>
      </c>
      <c r="FN149" s="145">
        <v>0</v>
      </c>
      <c r="FO149" s="145">
        <v>0</v>
      </c>
      <c r="FP149" s="145">
        <v>0</v>
      </c>
      <c r="FQ149" s="145">
        <v>0</v>
      </c>
      <c r="FR149" s="145">
        <v>0</v>
      </c>
      <c r="FS149" s="145">
        <v>0</v>
      </c>
      <c r="FT149" s="145">
        <v>0</v>
      </c>
      <c r="FU149" s="145">
        <v>0</v>
      </c>
      <c r="FV149" s="145">
        <v>0</v>
      </c>
      <c r="FW149" s="145">
        <v>0</v>
      </c>
      <c r="FX149" s="143"/>
      <c r="FY149" s="146" t="str">
        <f>_xlfn.XLOOKUP($E149,'Key assumptions'!$B$112:$B$120,'Key assumptions'!$C$112:$C$120,0)</f>
        <v>Nominal</v>
      </c>
      <c r="FZ149" s="146" cm="1">
        <f t="array" ref="FZ149">IF($FY149=0,0,_xlfn.IFS($FY149='Key assumptions'!$C$120,_xlfn.XLOOKUP(LEFT(FZ$7,6),Inflation_Year,Inflation_NominaltoReal),TRUE,_xlfn.XLOOKUP($FY149,Inflation_Year,NominaltoReal)))</f>
        <v>1.0197075870962191</v>
      </c>
      <c r="GA149" s="146" cm="1">
        <f t="array" ref="GA149">IF($FY149=0,0,_xlfn.IFS($FY149='Key assumptions'!$C$120,_xlfn.XLOOKUP(LEFT(GA$7,6),Inflation_Year,Inflation_NominaltoReal),TRUE,_xlfn.XLOOKUP($FY149,Inflation_Year,NominaltoReal)))</f>
        <v>0.98700804022984445</v>
      </c>
      <c r="GB149" s="146" cm="1">
        <f t="array" ref="GB149">IF($FY149=0,0,_xlfn.IFS($FY149='Key assumptions'!$C$120,_xlfn.XLOOKUP(LEFT(GB$7,6),Inflation_Year,Inflation_NominaltoReal),TRUE,_xlfn.XLOOKUP($FY149,Inflation_Year,NominaltoReal)))</f>
        <v>0.96152830081941731</v>
      </c>
      <c r="GC149" s="146" cm="1">
        <f t="array" ref="GC149">IF($FY149=0,0,_xlfn.IFS($FY149='Key assumptions'!$C$120,_xlfn.XLOOKUP(LEFT(GC$7,6),Inflation_Year,Inflation_NominaltoReal),TRUE,_xlfn.XLOOKUP($FY149,Inflation_Year,NominaltoReal)))</f>
        <v>0.93670632415656829</v>
      </c>
      <c r="GD149" s="146" cm="1">
        <f t="array" ref="GD149">IF($FY149=0,0,_xlfn.IFS($FY149='Key assumptions'!$C$120,_xlfn.XLOOKUP(LEFT(GD$7,6),Inflation_Year,Inflation_NominaltoReal),TRUE,_xlfn.XLOOKUP($FY149,Inflation_Year,NominaltoReal)))</f>
        <v>0.91252513001143176</v>
      </c>
      <c r="GE149" s="146" cm="1">
        <f t="array" ref="GE149">IF($FY149=0,0,_xlfn.IFS($FY149='Key assumptions'!$C$120,_xlfn.XLOOKUP(LEFT(GE$7,6),Inflation_Year,Inflation_NominaltoReal),TRUE,_xlfn.XLOOKUP($FY149,Inflation_Year,NominaltoReal)))</f>
        <v>0.88896817650095872</v>
      </c>
      <c r="GF149" s="146" cm="1">
        <f t="array" ref="GF149">IF($FY149=0,0,_xlfn.IFS($FY149='Key assumptions'!$C$120,_xlfn.XLOOKUP(LEFT(GF$7,6),Inflation_Year,Inflation_NominaltoReal),TRUE,_xlfn.XLOOKUP($FY149,Inflation_Year,NominaltoReal)))</f>
        <v>0.86601934877293718</v>
      </c>
      <c r="GG149" s="143"/>
      <c r="GH149" s="145" cm="1">
        <f t="array" ref="GH149">SUMPRODUCT(--($CR$7:$FW$7&gt;=GH$5),--($CR$7:$FW$7&lt;=GH$6),$CR149:$FW149)*FZ149</f>
        <v>0</v>
      </c>
      <c r="GI149" s="145" cm="1">
        <f t="array" ref="GI149">SUMPRODUCT(--($CR$7:$FW$7&gt;=GI$5),--($CR$7:$FW$7&lt;=GI$6),$CR149:$FW149)*GA149</f>
        <v>52340.444168564514</v>
      </c>
      <c r="GJ149" s="145" cm="1">
        <f t="array" ref="GJ149">SUMPRODUCT(--($CR$7:$FW$7&gt;=GJ$5),--($CR$7:$FW$7&lt;=GJ$6),$CR149:$FW149)*GB149</f>
        <v>0</v>
      </c>
      <c r="GK149" s="145" cm="1">
        <f t="array" ref="GK149">SUMPRODUCT(--($CR$7:$FW$7&gt;=GK$5),--($CR$7:$FW$7&lt;=GK$6),$CR149:$FW149)*GC149</f>
        <v>0</v>
      </c>
      <c r="GL149" s="145" cm="1">
        <f t="array" ref="GL149">SUMPRODUCT(--($CR$7:$FW$7&gt;=GL$5),--($CR$7:$FW$7&lt;=GL$6),$CR149:$FW149)*GD149</f>
        <v>0</v>
      </c>
      <c r="GM149" s="145" cm="1">
        <f t="array" ref="GM149">SUMPRODUCT(--($CR$7:$FW$7&gt;=GM$5),--($CR$7:$FW$7&lt;=GM$6),$CR149:$FW149)*GE149</f>
        <v>0</v>
      </c>
      <c r="GN149" s="145" cm="1">
        <f t="array" ref="GN149">SUMPRODUCT(--($CR$7:$FW$7&gt;=GN$5),--($CR$7:$FW$7&lt;=GN$6),$CR149:$FW149)*GF149</f>
        <v>0</v>
      </c>
      <c r="GO149" s="145">
        <f t="shared" si="46"/>
        <v>52340.444168564514</v>
      </c>
      <c r="GP149" s="87"/>
      <c r="GR149" s="145" cm="1">
        <f t="array" ref="GR149">SUMPRODUCT(--($CR$7:$FW$7&gt;=GR$5),--($CR$7:$FW$7&lt;=GR$6),$CR149:$FW149)</f>
        <v>0</v>
      </c>
      <c r="GT149" s="214" cm="1">
        <f t="array" ref="GT149">--AND(MIN(IF($K149:$CP149&lt;&gt;0,$K$7:$CP$7))&gt;=GT$5,MIN(IF($K149:$CP149&lt;&gt;0,$K$7:$CP$7))&lt;=GT$6)</f>
        <v>0</v>
      </c>
      <c r="GU149" s="214" cm="1">
        <f t="array" ref="GU149">--AND(MIN(IF($K149:$CP149&lt;&gt;0,$K$7:$CP$7))&gt;=GU$5,MIN(IF($K149:$CP149&lt;&gt;0,$K$7:$CP$7))&lt;=GU$6)</f>
        <v>1</v>
      </c>
      <c r="GV149" s="214" cm="1">
        <f t="array" ref="GV149">--AND(MIN(IF($K149:$CP149&lt;&gt;0,$K$7:$CP$7))&gt;=GV$5,MIN(IF($K149:$CP149&lt;&gt;0,$K$7:$CP$7))&lt;=GV$6)</f>
        <v>0</v>
      </c>
      <c r="GW149" s="214" cm="1">
        <f t="array" ref="GW149">--AND(MIN(IF($K149:$CP149&lt;&gt;0,$K$7:$CP$7))&gt;=GW$5,MIN(IF($K149:$CP149&lt;&gt;0,$K$7:$CP$7))&lt;=GW$6)</f>
        <v>0</v>
      </c>
      <c r="GX149" s="214" cm="1">
        <f t="array" ref="GX149">--AND(MIN(IF($K149:$CP149&lt;&gt;0,$K$7:$CP$7))&gt;=GX$5,MIN(IF($K149:$CP149&lt;&gt;0,$K$7:$CP$7))&lt;=GX$6)</f>
        <v>0</v>
      </c>
      <c r="GY149" s="214" cm="1">
        <f t="array" ref="GY149">--AND(MIN(IF($K149:$CP149&lt;&gt;0,$K$7:$CP$7))&gt;=GY$5,MIN(IF($K149:$CP149&lt;&gt;0,$K$7:$CP$7))&lt;=GY$6)</f>
        <v>0</v>
      </c>
      <c r="GZ149" s="214" cm="1">
        <f t="array" ref="GZ149">--AND(MIN(IF($K149:$CP149&lt;&gt;0,$K$7:$CP$7))&gt;=GZ$5,MIN(IF($K149:$CP149&lt;&gt;0,$K$7:$CP$7))&lt;=GZ$6)</f>
        <v>0</v>
      </c>
      <c r="HA149" s="214">
        <f t="shared" si="47"/>
        <v>1</v>
      </c>
      <c r="HC149" s="214" cm="1">
        <f t="array" ref="HC149">--AND(MIN(IF($K149:$CP149&lt;&gt;0,$K$7:$CP$7))&gt;=HC$5,MIN(IF($K149:$CP149&lt;&gt;0,$K$7:$CP$7))&lt;=HC$6)</f>
        <v>0</v>
      </c>
      <c r="HE149" s="147" t="str">
        <f t="shared" si="66"/>
        <v>No</v>
      </c>
      <c r="HF149" s="147" t="str">
        <f t="shared" si="67"/>
        <v>Yes</v>
      </c>
      <c r="HG149" s="147">
        <f>IF($HF149="Yes",0,$H149*avg_hrs*12*'Key assumptions'!$D$87)</f>
        <v>0</v>
      </c>
      <c r="HH149" s="147">
        <f>IF(HE149="Yes",'Key assumptions'!$D$84*HG149,0)</f>
        <v>0</v>
      </c>
      <c r="HI149" s="144">
        <f>IFERROR(AVERAGEIFS($K149:$CP149,$K$7:$CP$7,"&gt;="&amp;'Key assumptions'!$D$24,$K$7:$CP$7,"&lt;="&amp;'Key assumptions'!$D$25),0)</f>
        <v>2.6799954431533376E-2</v>
      </c>
      <c r="HJ149" s="148">
        <f t="shared" si="48"/>
        <v>0</v>
      </c>
      <c r="HK149" s="148">
        <f t="shared" si="49"/>
        <v>0</v>
      </c>
      <c r="HL149" s="148">
        <f t="shared" si="50"/>
        <v>0</v>
      </c>
      <c r="HM149" s="148">
        <f t="shared" si="51"/>
        <v>0</v>
      </c>
      <c r="HN149" s="148">
        <f t="shared" si="52"/>
        <v>0</v>
      </c>
      <c r="HO149" s="148">
        <f t="shared" si="53"/>
        <v>0</v>
      </c>
      <c r="HP149" s="148">
        <f t="shared" si="54"/>
        <v>0</v>
      </c>
      <c r="HQ149" s="148">
        <f t="shared" si="55"/>
        <v>0</v>
      </c>
      <c r="HR149" s="147">
        <f t="shared" si="56"/>
        <v>0</v>
      </c>
      <c r="HU149" s="147">
        <f>$HJ149*HC149/(1+'Key assumptions'!G171)^0.75</f>
        <v>0</v>
      </c>
      <c r="HW149" s="216">
        <f t="shared" si="57"/>
        <v>0</v>
      </c>
      <c r="HX149" s="216">
        <f t="shared" si="58"/>
        <v>2.6799954431533376E-2</v>
      </c>
      <c r="HY149" s="216">
        <f t="shared" si="59"/>
        <v>0</v>
      </c>
      <c r="HZ149" s="216">
        <f t="shared" si="60"/>
        <v>0</v>
      </c>
      <c r="IA149" s="216">
        <f t="shared" si="61"/>
        <v>0</v>
      </c>
      <c r="IB149" s="216">
        <f t="shared" si="62"/>
        <v>0</v>
      </c>
      <c r="IC149" s="216">
        <f t="shared" si="63"/>
        <v>0</v>
      </c>
      <c r="ID149" s="216">
        <f t="shared" si="64"/>
        <v>2.6799954431533376E-2</v>
      </c>
      <c r="IF149" s="216">
        <f t="shared" si="65"/>
        <v>0</v>
      </c>
    </row>
    <row r="150" spans="2:240" x14ac:dyDescent="0.2">
      <c r="B150" s="141" t="str">
        <v>Project Delivery Management - Commissioning</v>
      </c>
      <c r="C150" s="141" t="str">
        <v>Project Engineer - Senior CO (Network Projects)</v>
      </c>
      <c r="D150" s="141" t="str">
        <v>Internal Labour</v>
      </c>
      <c r="E150" s="141" t="str">
        <v>$ Nominal</v>
      </c>
      <c r="F150" s="141" t="str">
        <v>Existing</v>
      </c>
      <c r="G150" s="141" t="str">
        <v>Normal time</v>
      </c>
      <c r="H150" s="142">
        <v>254.01</v>
      </c>
      <c r="I150" s="126">
        <v>203409.35999999993</v>
      </c>
      <c r="J150" s="143">
        <v>0</v>
      </c>
      <c r="K150" s="144">
        <v>0</v>
      </c>
      <c r="L150" s="144">
        <v>0</v>
      </c>
      <c r="M150" s="144">
        <v>0</v>
      </c>
      <c r="N150" s="144">
        <v>0</v>
      </c>
      <c r="O150" s="144">
        <v>0</v>
      </c>
      <c r="P150" s="144">
        <v>0</v>
      </c>
      <c r="Q150" s="144">
        <v>0</v>
      </c>
      <c r="R150" s="144">
        <v>0</v>
      </c>
      <c r="S150" s="144">
        <v>0</v>
      </c>
      <c r="T150" s="144">
        <v>0</v>
      </c>
      <c r="U150" s="144">
        <v>0</v>
      </c>
      <c r="V150" s="144">
        <v>0</v>
      </c>
      <c r="W150" s="144">
        <v>0</v>
      </c>
      <c r="X150" s="144">
        <v>0</v>
      </c>
      <c r="Y150" s="144">
        <v>0.2</v>
      </c>
      <c r="Z150" s="144">
        <v>0.2</v>
      </c>
      <c r="AA150" s="144">
        <v>0.18421052631578946</v>
      </c>
      <c r="AB150" s="144">
        <v>0.18421052631578946</v>
      </c>
      <c r="AC150" s="144">
        <v>0.2</v>
      </c>
      <c r="AD150" s="144">
        <v>0.2</v>
      </c>
      <c r="AE150" s="144">
        <v>0.2</v>
      </c>
      <c r="AF150" s="144">
        <v>0.2</v>
      </c>
      <c r="AG150" s="144">
        <v>0.2</v>
      </c>
      <c r="AH150" s="144">
        <v>0.2</v>
      </c>
      <c r="AI150" s="144">
        <v>0.2</v>
      </c>
      <c r="AJ150" s="144">
        <v>0.2</v>
      </c>
      <c r="AK150" s="144">
        <v>0.2</v>
      </c>
      <c r="AL150" s="144">
        <v>0.2</v>
      </c>
      <c r="AM150" s="144">
        <v>0.18421052631578946</v>
      </c>
      <c r="AN150" s="144">
        <v>0.18421052631578946</v>
      </c>
      <c r="AO150" s="144">
        <v>0.2</v>
      </c>
      <c r="AP150" s="144">
        <v>0.2</v>
      </c>
      <c r="AQ150" s="144">
        <v>0.2</v>
      </c>
      <c r="AR150" s="144">
        <v>0.2</v>
      </c>
      <c r="AS150" s="144">
        <v>0.2</v>
      </c>
      <c r="AT150" s="144">
        <v>0.2</v>
      </c>
      <c r="AU150" s="144">
        <v>0.2</v>
      </c>
      <c r="AV150" s="144">
        <v>0.2</v>
      </c>
      <c r="AW150" s="144">
        <v>0.2</v>
      </c>
      <c r="AX150" s="144">
        <v>0.2</v>
      </c>
      <c r="AY150" s="144">
        <v>0.18421052631578946</v>
      </c>
      <c r="AZ150" s="144">
        <v>0.18421052631578946</v>
      </c>
      <c r="BA150" s="144">
        <v>0.2</v>
      </c>
      <c r="BB150" s="144">
        <v>0.2</v>
      </c>
      <c r="BC150" s="144">
        <v>0</v>
      </c>
      <c r="BD150" s="144">
        <v>0</v>
      </c>
      <c r="BE150" s="144">
        <v>0</v>
      </c>
      <c r="BF150" s="144">
        <v>0</v>
      </c>
      <c r="BG150" s="144">
        <v>0</v>
      </c>
      <c r="BH150" s="144">
        <v>0</v>
      </c>
      <c r="BI150" s="144">
        <v>0</v>
      </c>
      <c r="BJ150" s="144">
        <v>0</v>
      </c>
      <c r="BK150" s="144">
        <v>0</v>
      </c>
      <c r="BL150" s="144">
        <v>0</v>
      </c>
      <c r="BM150" s="144">
        <v>0</v>
      </c>
      <c r="BN150" s="144">
        <v>0</v>
      </c>
      <c r="BO150" s="144">
        <v>0</v>
      </c>
      <c r="BP150" s="144">
        <v>0</v>
      </c>
      <c r="BQ150" s="144">
        <v>0</v>
      </c>
      <c r="BR150" s="144">
        <v>0</v>
      </c>
      <c r="BS150" s="144">
        <v>0</v>
      </c>
      <c r="BT150" s="144">
        <v>0</v>
      </c>
      <c r="BU150" s="144">
        <v>0</v>
      </c>
      <c r="BV150" s="144">
        <v>0</v>
      </c>
      <c r="BW150" s="144">
        <v>0</v>
      </c>
      <c r="BX150" s="144">
        <v>0</v>
      </c>
      <c r="BY150" s="144">
        <v>0</v>
      </c>
      <c r="BZ150" s="144">
        <v>0</v>
      </c>
      <c r="CA150" s="144">
        <v>0</v>
      </c>
      <c r="CB150" s="144">
        <v>0</v>
      </c>
      <c r="CC150" s="144">
        <v>0</v>
      </c>
      <c r="CD150" s="144">
        <v>0</v>
      </c>
      <c r="CE150" s="144">
        <v>0</v>
      </c>
      <c r="CF150" s="144">
        <v>0</v>
      </c>
      <c r="CG150" s="144">
        <v>0</v>
      </c>
      <c r="CH150" s="144">
        <v>0</v>
      </c>
      <c r="CI150" s="144">
        <v>0</v>
      </c>
      <c r="CJ150" s="144">
        <v>0</v>
      </c>
      <c r="CK150" s="144">
        <v>0</v>
      </c>
      <c r="CL150" s="144">
        <v>0</v>
      </c>
      <c r="CM150" s="144">
        <v>0</v>
      </c>
      <c r="CN150" s="144">
        <v>0</v>
      </c>
      <c r="CO150" s="144">
        <v>0</v>
      </c>
      <c r="CP150" s="144">
        <v>0</v>
      </c>
      <c r="CQ150" s="143">
        <v>0</v>
      </c>
      <c r="CR150" s="145">
        <v>0</v>
      </c>
      <c r="CS150" s="145">
        <v>0</v>
      </c>
      <c r="CT150" s="145">
        <v>0</v>
      </c>
      <c r="CU150" s="145">
        <v>0</v>
      </c>
      <c r="CV150" s="145">
        <v>0</v>
      </c>
      <c r="CW150" s="145">
        <v>0</v>
      </c>
      <c r="CX150" s="145">
        <v>0</v>
      </c>
      <c r="CY150" s="145">
        <v>0</v>
      </c>
      <c r="CZ150" s="145">
        <v>0</v>
      </c>
      <c r="DA150" s="145">
        <v>0</v>
      </c>
      <c r="DB150" s="145">
        <v>0</v>
      </c>
      <c r="DC150" s="145">
        <v>0</v>
      </c>
      <c r="DD150" s="145">
        <v>0</v>
      </c>
      <c r="DE150" s="145">
        <v>0</v>
      </c>
      <c r="DF150" s="145">
        <v>6905.6399999999994</v>
      </c>
      <c r="DG150" s="145">
        <v>5179.2299999999996</v>
      </c>
      <c r="DH150" s="145">
        <v>6905.6399999999994</v>
      </c>
      <c r="DI150" s="145">
        <v>6905.6399999999994</v>
      </c>
      <c r="DJ150" s="145">
        <v>7112.28</v>
      </c>
      <c r="DK150" s="145">
        <v>7112.28</v>
      </c>
      <c r="DL150" s="145">
        <v>7112.28</v>
      </c>
      <c r="DM150" s="145">
        <v>7112.28</v>
      </c>
      <c r="DN150" s="145">
        <v>7112.28</v>
      </c>
      <c r="DO150" s="145">
        <v>5334.21</v>
      </c>
      <c r="DP150" s="145">
        <v>5334.21</v>
      </c>
      <c r="DQ150" s="145">
        <v>7112.28</v>
      </c>
      <c r="DR150" s="145">
        <v>7112.28</v>
      </c>
      <c r="DS150" s="145">
        <v>5334.21</v>
      </c>
      <c r="DT150" s="145">
        <v>7112.28</v>
      </c>
      <c r="DU150" s="145">
        <v>7112.28</v>
      </c>
      <c r="DV150" s="145">
        <v>7325.3600000000006</v>
      </c>
      <c r="DW150" s="145">
        <v>7325.3600000000006</v>
      </c>
      <c r="DX150" s="145">
        <v>7325.3600000000006</v>
      </c>
      <c r="DY150" s="145">
        <v>7325.3600000000006</v>
      </c>
      <c r="DZ150" s="145">
        <v>7325.3600000000006</v>
      </c>
      <c r="EA150" s="145">
        <v>5494.02</v>
      </c>
      <c r="EB150" s="145">
        <v>5494.02</v>
      </c>
      <c r="EC150" s="145">
        <v>7325.3600000000006</v>
      </c>
      <c r="ED150" s="145">
        <v>7325.3600000000006</v>
      </c>
      <c r="EE150" s="145">
        <v>5494.02</v>
      </c>
      <c r="EF150" s="145">
        <v>7325.3600000000006</v>
      </c>
      <c r="EG150" s="145">
        <v>7325.3600000000006</v>
      </c>
      <c r="EH150" s="145">
        <v>7544.8799999999992</v>
      </c>
      <c r="EI150" s="145">
        <v>7544.8799999999992</v>
      </c>
      <c r="EJ150" s="145">
        <v>0</v>
      </c>
      <c r="EK150" s="145">
        <v>0</v>
      </c>
      <c r="EL150" s="145">
        <v>0</v>
      </c>
      <c r="EM150" s="145">
        <v>0</v>
      </c>
      <c r="EN150" s="145">
        <v>0</v>
      </c>
      <c r="EO150" s="145">
        <v>0</v>
      </c>
      <c r="EP150" s="145">
        <v>0</v>
      </c>
      <c r="EQ150" s="145">
        <v>0</v>
      </c>
      <c r="ER150" s="145">
        <v>0</v>
      </c>
      <c r="ES150" s="145">
        <v>0</v>
      </c>
      <c r="ET150" s="145">
        <v>0</v>
      </c>
      <c r="EU150" s="145">
        <v>0</v>
      </c>
      <c r="EV150" s="145">
        <v>0</v>
      </c>
      <c r="EW150" s="145">
        <v>0</v>
      </c>
      <c r="EX150" s="145">
        <v>0</v>
      </c>
      <c r="EY150" s="145">
        <v>0</v>
      </c>
      <c r="EZ150" s="145">
        <v>0</v>
      </c>
      <c r="FA150" s="145">
        <v>0</v>
      </c>
      <c r="FB150" s="145">
        <v>0</v>
      </c>
      <c r="FC150" s="145">
        <v>0</v>
      </c>
      <c r="FD150" s="145">
        <v>0</v>
      </c>
      <c r="FE150" s="145">
        <v>0</v>
      </c>
      <c r="FF150" s="145">
        <v>0</v>
      </c>
      <c r="FG150" s="145">
        <v>0</v>
      </c>
      <c r="FH150" s="145">
        <v>0</v>
      </c>
      <c r="FI150" s="145">
        <v>0</v>
      </c>
      <c r="FJ150" s="145">
        <v>0</v>
      </c>
      <c r="FK150" s="145">
        <v>0</v>
      </c>
      <c r="FL150" s="145">
        <v>0</v>
      </c>
      <c r="FM150" s="145">
        <v>0</v>
      </c>
      <c r="FN150" s="145">
        <v>0</v>
      </c>
      <c r="FO150" s="145">
        <v>0</v>
      </c>
      <c r="FP150" s="145">
        <v>0</v>
      </c>
      <c r="FQ150" s="145">
        <v>0</v>
      </c>
      <c r="FR150" s="145">
        <v>0</v>
      </c>
      <c r="FS150" s="145">
        <v>0</v>
      </c>
      <c r="FT150" s="145">
        <v>0</v>
      </c>
      <c r="FU150" s="145">
        <v>0</v>
      </c>
      <c r="FV150" s="145">
        <v>0</v>
      </c>
      <c r="FW150" s="145">
        <v>0</v>
      </c>
      <c r="FX150" s="143"/>
      <c r="FY150" s="146" t="str">
        <f>_xlfn.XLOOKUP($E150,'Key assumptions'!$B$112:$B$120,'Key assumptions'!$C$112:$C$120,0)</f>
        <v>Nominal</v>
      </c>
      <c r="FZ150" s="146" cm="1">
        <f t="array" ref="FZ150">IF($FY150=0,0,_xlfn.IFS($FY150='Key assumptions'!$C$120,_xlfn.XLOOKUP(LEFT(FZ$7,6),Inflation_Year,Inflation_NominaltoReal),TRUE,_xlfn.XLOOKUP($FY150,Inflation_Year,NominaltoReal)))</f>
        <v>1.0197075870962191</v>
      </c>
      <c r="GA150" s="146" cm="1">
        <f t="array" ref="GA150">IF($FY150=0,0,_xlfn.IFS($FY150='Key assumptions'!$C$120,_xlfn.XLOOKUP(LEFT(GA$7,6),Inflation_Year,Inflation_NominaltoReal),TRUE,_xlfn.XLOOKUP($FY150,Inflation_Year,NominaltoReal)))</f>
        <v>0.98700804022984445</v>
      </c>
      <c r="GB150" s="146" cm="1">
        <f t="array" ref="GB150">IF($FY150=0,0,_xlfn.IFS($FY150='Key assumptions'!$C$120,_xlfn.XLOOKUP(LEFT(GB$7,6),Inflation_Year,Inflation_NominaltoReal),TRUE,_xlfn.XLOOKUP($FY150,Inflation_Year,NominaltoReal)))</f>
        <v>0.96152830081941731</v>
      </c>
      <c r="GC150" s="146" cm="1">
        <f t="array" ref="GC150">IF($FY150=0,0,_xlfn.IFS($FY150='Key assumptions'!$C$120,_xlfn.XLOOKUP(LEFT(GC$7,6),Inflation_Year,Inflation_NominaltoReal),TRUE,_xlfn.XLOOKUP($FY150,Inflation_Year,NominaltoReal)))</f>
        <v>0.93670632415656829</v>
      </c>
      <c r="GD150" s="146" cm="1">
        <f t="array" ref="GD150">IF($FY150=0,0,_xlfn.IFS($FY150='Key assumptions'!$C$120,_xlfn.XLOOKUP(LEFT(GD$7,6),Inflation_Year,Inflation_NominaltoReal),TRUE,_xlfn.XLOOKUP($FY150,Inflation_Year,NominaltoReal)))</f>
        <v>0.91252513001143176</v>
      </c>
      <c r="GE150" s="146" cm="1">
        <f t="array" ref="GE150">IF($FY150=0,0,_xlfn.IFS($FY150='Key assumptions'!$C$120,_xlfn.XLOOKUP(LEFT(GE$7,6),Inflation_Year,Inflation_NominaltoReal),TRUE,_xlfn.XLOOKUP($FY150,Inflation_Year,NominaltoReal)))</f>
        <v>0.88896817650095872</v>
      </c>
      <c r="GF150" s="146" cm="1">
        <f t="array" ref="GF150">IF($FY150=0,0,_xlfn.IFS($FY150='Key assumptions'!$C$120,_xlfn.XLOOKUP(LEFT(GF$7,6),Inflation_Year,Inflation_NominaltoReal),TRUE,_xlfn.XLOOKUP($FY150,Inflation_Year,NominaltoReal)))</f>
        <v>0.86601934877293718</v>
      </c>
      <c r="GG150" s="143"/>
      <c r="GH150" s="145" cm="1">
        <f t="array" ref="GH150">SUMPRODUCT(--($CR$7:$FW$7&gt;=GH$5),--($CR$7:$FW$7&lt;=GH$6),$CR150:$FW150)*FZ150</f>
        <v>48163.838264239843</v>
      </c>
      <c r="GI150" s="145" cm="1">
        <f t="array" ref="GI150">SUMPRODUCT(--($CR$7:$FW$7&gt;=GI$5),--($CR$7:$FW$7&lt;=GI$6),$CR150:$FW150)*GA150</f>
        <v>79604.557393753101</v>
      </c>
      <c r="GJ150" s="145" cm="1">
        <f t="array" ref="GJ150">SUMPRODUCT(--($CR$7:$FW$7&gt;=GJ$5),--($CR$7:$FW$7&lt;=GJ$6),$CR150:$FW150)*GB150</f>
        <v>72618.444160519663</v>
      </c>
      <c r="GK150" s="145" cm="1">
        <f t="array" ref="GK150">SUMPRODUCT(--($CR$7:$FW$7&gt;=GK$5),--($CR$7:$FW$7&lt;=GK$6),$CR150:$FW150)*GC150</f>
        <v>0</v>
      </c>
      <c r="GL150" s="145" cm="1">
        <f t="array" ref="GL150">SUMPRODUCT(--($CR$7:$FW$7&gt;=GL$5),--($CR$7:$FW$7&lt;=GL$6),$CR150:$FW150)*GD150</f>
        <v>0</v>
      </c>
      <c r="GM150" s="145" cm="1">
        <f t="array" ref="GM150">SUMPRODUCT(--($CR$7:$FW$7&gt;=GM$5),--($CR$7:$FW$7&lt;=GM$6),$CR150:$FW150)*GE150</f>
        <v>0</v>
      </c>
      <c r="GN150" s="145" cm="1">
        <f t="array" ref="GN150">SUMPRODUCT(--($CR$7:$FW$7&gt;=GN$5),--($CR$7:$FW$7&lt;=GN$6),$CR150:$FW150)*GF150</f>
        <v>0</v>
      </c>
      <c r="GO150" s="145">
        <f t="shared" si="46"/>
        <v>200386.83981851261</v>
      </c>
      <c r="GP150" s="87"/>
      <c r="GR150" s="145" cm="1">
        <f t="array" ref="GR150">SUMPRODUCT(--($CR$7:$FW$7&gt;=GR$5),--($CR$7:$FW$7&lt;=GR$6),$CR150:$FW150)</f>
        <v>25896.149999999998</v>
      </c>
      <c r="GT150" s="214" cm="1">
        <f t="array" ref="GT150">--AND(MIN(IF($K150:$CP150&lt;&gt;0,$K$7:$CP$7))&gt;=GT$5,MIN(IF($K150:$CP150&lt;&gt;0,$K$7:$CP$7))&lt;=GT$6)</f>
        <v>1</v>
      </c>
      <c r="GU150" s="214" cm="1">
        <f t="array" ref="GU150">--AND(MIN(IF($K150:$CP150&lt;&gt;0,$K$7:$CP$7))&gt;=GU$5,MIN(IF($K150:$CP150&lt;&gt;0,$K$7:$CP$7))&lt;=GU$6)</f>
        <v>0</v>
      </c>
      <c r="GV150" s="214" cm="1">
        <f t="array" ref="GV150">--AND(MIN(IF($K150:$CP150&lt;&gt;0,$K$7:$CP$7))&gt;=GV$5,MIN(IF($K150:$CP150&lt;&gt;0,$K$7:$CP$7))&lt;=GV$6)</f>
        <v>0</v>
      </c>
      <c r="GW150" s="214" cm="1">
        <f t="array" ref="GW150">--AND(MIN(IF($K150:$CP150&lt;&gt;0,$K$7:$CP$7))&gt;=GW$5,MIN(IF($K150:$CP150&lt;&gt;0,$K$7:$CP$7))&lt;=GW$6)</f>
        <v>0</v>
      </c>
      <c r="GX150" s="214" cm="1">
        <f t="array" ref="GX150">--AND(MIN(IF($K150:$CP150&lt;&gt;0,$K$7:$CP$7))&gt;=GX$5,MIN(IF($K150:$CP150&lt;&gt;0,$K$7:$CP$7))&lt;=GX$6)</f>
        <v>0</v>
      </c>
      <c r="GY150" s="214" cm="1">
        <f t="array" ref="GY150">--AND(MIN(IF($K150:$CP150&lt;&gt;0,$K$7:$CP$7))&gt;=GY$5,MIN(IF($K150:$CP150&lt;&gt;0,$K$7:$CP$7))&lt;=GY$6)</f>
        <v>0</v>
      </c>
      <c r="GZ150" s="214" cm="1">
        <f t="array" ref="GZ150">--AND(MIN(IF($K150:$CP150&lt;&gt;0,$K$7:$CP$7))&gt;=GZ$5,MIN(IF($K150:$CP150&lt;&gt;0,$K$7:$CP$7))&lt;=GZ$6)</f>
        <v>0</v>
      </c>
      <c r="HA150" s="214">
        <f t="shared" si="47"/>
        <v>1</v>
      </c>
      <c r="HC150" s="214" cm="1">
        <f t="array" ref="HC150">--AND(MIN(IF($K150:$CP150&lt;&gt;0,$K$7:$CP$7))&gt;=HC$5,MIN(IF($K150:$CP150&lt;&gt;0,$K$7:$CP$7))&lt;=HC$6)</f>
        <v>1</v>
      </c>
      <c r="HE150" s="147" t="str">
        <f t="shared" si="66"/>
        <v>No</v>
      </c>
      <c r="HF150" s="147" t="str">
        <f t="shared" si="67"/>
        <v>No</v>
      </c>
      <c r="HG150" s="147">
        <f>IF($HF150="Yes",0,$H150*avg_hrs*12*'Key assumptions'!$D$87)</f>
        <v>454238.21110356261</v>
      </c>
      <c r="HH150" s="147">
        <f>IF(HE150="Yes",'Key assumptions'!$D$84*HG150,0)</f>
        <v>0</v>
      </c>
      <c r="HI150" s="144">
        <f>IFERROR(AVERAGEIFS($K150:$CP150,$K$7:$CP$7,"&gt;="&amp;'Key assumptions'!$D$24,$K$7:$CP$7,"&lt;="&amp;'Key assumptions'!$D$25),0)</f>
        <v>0.13421052631578953</v>
      </c>
      <c r="HJ150" s="148">
        <f t="shared" si="48"/>
        <v>0</v>
      </c>
      <c r="HK150" s="148">
        <f t="shared" si="49"/>
        <v>0</v>
      </c>
      <c r="HL150" s="148">
        <f t="shared" si="50"/>
        <v>0</v>
      </c>
      <c r="HM150" s="148">
        <f t="shared" si="51"/>
        <v>0</v>
      </c>
      <c r="HN150" s="148">
        <f t="shared" si="52"/>
        <v>0</v>
      </c>
      <c r="HO150" s="148">
        <f t="shared" si="53"/>
        <v>0</v>
      </c>
      <c r="HP150" s="148">
        <f t="shared" si="54"/>
        <v>0</v>
      </c>
      <c r="HQ150" s="148">
        <f t="shared" si="55"/>
        <v>0</v>
      </c>
      <c r="HR150" s="147">
        <f t="shared" si="56"/>
        <v>0</v>
      </c>
      <c r="HU150" s="147">
        <f>$HJ150*HC150/(1+'Key assumptions'!G172)^0.75</f>
        <v>0</v>
      </c>
      <c r="HW150" s="216">
        <f t="shared" si="57"/>
        <v>0.13421052631578953</v>
      </c>
      <c r="HX150" s="216">
        <f t="shared" si="58"/>
        <v>0</v>
      </c>
      <c r="HY150" s="216">
        <f t="shared" si="59"/>
        <v>0</v>
      </c>
      <c r="HZ150" s="216">
        <f t="shared" si="60"/>
        <v>0</v>
      </c>
      <c r="IA150" s="216">
        <f t="shared" si="61"/>
        <v>0</v>
      </c>
      <c r="IB150" s="216">
        <f t="shared" si="62"/>
        <v>0</v>
      </c>
      <c r="IC150" s="216">
        <f t="shared" si="63"/>
        <v>0</v>
      </c>
      <c r="ID150" s="216">
        <f t="shared" si="64"/>
        <v>0.13421052631578953</v>
      </c>
      <c r="IF150" s="216">
        <f t="shared" si="65"/>
        <v>0.13421052631578953</v>
      </c>
    </row>
    <row r="151" spans="2:240" x14ac:dyDescent="0.2">
      <c r="B151" s="141" t="str">
        <v>Project Delivery Management - Commissioning</v>
      </c>
      <c r="C151" s="141" t="str">
        <v>Project Engineer - Senior CO (Network Projects)</v>
      </c>
      <c r="D151" s="141" t="str">
        <v>Internal Labour</v>
      </c>
      <c r="E151" s="141" t="str">
        <v>$ Nominal</v>
      </c>
      <c r="F151" s="141" t="str">
        <v>Existing</v>
      </c>
      <c r="G151" s="141" t="str">
        <v>Normal time</v>
      </c>
      <c r="H151" s="142">
        <v>254.01</v>
      </c>
      <c r="I151" s="126">
        <v>104612.34000000003</v>
      </c>
      <c r="J151" s="143">
        <v>0</v>
      </c>
      <c r="K151" s="144">
        <v>0</v>
      </c>
      <c r="L151" s="144">
        <v>0</v>
      </c>
      <c r="M151" s="144">
        <v>0</v>
      </c>
      <c r="N151" s="144">
        <v>0</v>
      </c>
      <c r="O151" s="144">
        <v>0</v>
      </c>
      <c r="P151" s="144">
        <v>0</v>
      </c>
      <c r="Q151" s="144">
        <v>0</v>
      </c>
      <c r="R151" s="144">
        <v>0</v>
      </c>
      <c r="S151" s="144">
        <v>0</v>
      </c>
      <c r="T151" s="144">
        <v>0</v>
      </c>
      <c r="U151" s="144">
        <v>0</v>
      </c>
      <c r="V151" s="144">
        <v>0</v>
      </c>
      <c r="W151" s="144">
        <v>0</v>
      </c>
      <c r="X151" s="144">
        <v>0</v>
      </c>
      <c r="Y151" s="144">
        <v>0</v>
      </c>
      <c r="Z151" s="144">
        <v>0</v>
      </c>
      <c r="AA151" s="144">
        <v>0</v>
      </c>
      <c r="AB151" s="144">
        <v>0</v>
      </c>
      <c r="AC151" s="144">
        <v>0</v>
      </c>
      <c r="AD151" s="144">
        <v>0</v>
      </c>
      <c r="AE151" s="144">
        <v>0</v>
      </c>
      <c r="AF151" s="144">
        <v>0</v>
      </c>
      <c r="AG151" s="144">
        <v>0</v>
      </c>
      <c r="AH151" s="144">
        <v>0</v>
      </c>
      <c r="AI151" s="144">
        <v>0</v>
      </c>
      <c r="AJ151" s="144">
        <v>0</v>
      </c>
      <c r="AK151" s="144">
        <v>0</v>
      </c>
      <c r="AL151" s="144">
        <v>0</v>
      </c>
      <c r="AM151" s="144">
        <v>0</v>
      </c>
      <c r="AN151" s="144">
        <v>0.18421052631578946</v>
      </c>
      <c r="AO151" s="144">
        <v>0.2</v>
      </c>
      <c r="AP151" s="144">
        <v>0.2</v>
      </c>
      <c r="AQ151" s="144">
        <v>0.2</v>
      </c>
      <c r="AR151" s="144">
        <v>0.2</v>
      </c>
      <c r="AS151" s="144">
        <v>0.2</v>
      </c>
      <c r="AT151" s="144">
        <v>0.2</v>
      </c>
      <c r="AU151" s="144">
        <v>0.2</v>
      </c>
      <c r="AV151" s="144">
        <v>0.2</v>
      </c>
      <c r="AW151" s="144">
        <v>0.2</v>
      </c>
      <c r="AX151" s="144">
        <v>0.2</v>
      </c>
      <c r="AY151" s="144">
        <v>0.18421052631578946</v>
      </c>
      <c r="AZ151" s="144">
        <v>0.18421052631578946</v>
      </c>
      <c r="BA151" s="144">
        <v>0.2</v>
      </c>
      <c r="BB151" s="144">
        <v>0.2</v>
      </c>
      <c r="BC151" s="144">
        <v>0</v>
      </c>
      <c r="BD151" s="144">
        <v>0</v>
      </c>
      <c r="BE151" s="144">
        <v>0</v>
      </c>
      <c r="BF151" s="144">
        <v>0</v>
      </c>
      <c r="BG151" s="144">
        <v>0</v>
      </c>
      <c r="BH151" s="144">
        <v>0</v>
      </c>
      <c r="BI151" s="144">
        <v>0</v>
      </c>
      <c r="BJ151" s="144">
        <v>0</v>
      </c>
      <c r="BK151" s="144">
        <v>0</v>
      </c>
      <c r="BL151" s="144">
        <v>0</v>
      </c>
      <c r="BM151" s="144">
        <v>0</v>
      </c>
      <c r="BN151" s="144">
        <v>0</v>
      </c>
      <c r="BO151" s="144">
        <v>0</v>
      </c>
      <c r="BP151" s="144">
        <v>0</v>
      </c>
      <c r="BQ151" s="144">
        <v>0</v>
      </c>
      <c r="BR151" s="144">
        <v>0</v>
      </c>
      <c r="BS151" s="144">
        <v>0</v>
      </c>
      <c r="BT151" s="144">
        <v>0</v>
      </c>
      <c r="BU151" s="144">
        <v>0</v>
      </c>
      <c r="BV151" s="144">
        <v>0</v>
      </c>
      <c r="BW151" s="144">
        <v>0</v>
      </c>
      <c r="BX151" s="144">
        <v>0</v>
      </c>
      <c r="BY151" s="144">
        <v>0</v>
      </c>
      <c r="BZ151" s="144">
        <v>0</v>
      </c>
      <c r="CA151" s="144">
        <v>0</v>
      </c>
      <c r="CB151" s="144">
        <v>0</v>
      </c>
      <c r="CC151" s="144">
        <v>0</v>
      </c>
      <c r="CD151" s="144">
        <v>0</v>
      </c>
      <c r="CE151" s="144">
        <v>0</v>
      </c>
      <c r="CF151" s="144">
        <v>0</v>
      </c>
      <c r="CG151" s="144">
        <v>0</v>
      </c>
      <c r="CH151" s="144">
        <v>0</v>
      </c>
      <c r="CI151" s="144">
        <v>0</v>
      </c>
      <c r="CJ151" s="144">
        <v>0</v>
      </c>
      <c r="CK151" s="144">
        <v>0</v>
      </c>
      <c r="CL151" s="144">
        <v>0</v>
      </c>
      <c r="CM151" s="144">
        <v>0</v>
      </c>
      <c r="CN151" s="144">
        <v>0</v>
      </c>
      <c r="CO151" s="144">
        <v>0</v>
      </c>
      <c r="CP151" s="144">
        <v>0</v>
      </c>
      <c r="CQ151" s="143">
        <v>0</v>
      </c>
      <c r="CR151" s="145">
        <v>0</v>
      </c>
      <c r="CS151" s="145">
        <v>0</v>
      </c>
      <c r="CT151" s="145">
        <v>0</v>
      </c>
      <c r="CU151" s="145">
        <v>0</v>
      </c>
      <c r="CV151" s="145">
        <v>0</v>
      </c>
      <c r="CW151" s="145">
        <v>0</v>
      </c>
      <c r="CX151" s="145">
        <v>0</v>
      </c>
      <c r="CY151" s="145">
        <v>0</v>
      </c>
      <c r="CZ151" s="145">
        <v>0</v>
      </c>
      <c r="DA151" s="145">
        <v>0</v>
      </c>
      <c r="DB151" s="145">
        <v>0</v>
      </c>
      <c r="DC151" s="145">
        <v>0</v>
      </c>
      <c r="DD151" s="145">
        <v>0</v>
      </c>
      <c r="DE151" s="145">
        <v>0</v>
      </c>
      <c r="DF151" s="145">
        <v>0</v>
      </c>
      <c r="DG151" s="145">
        <v>0</v>
      </c>
      <c r="DH151" s="145">
        <v>0</v>
      </c>
      <c r="DI151" s="145">
        <v>0</v>
      </c>
      <c r="DJ151" s="145">
        <v>0</v>
      </c>
      <c r="DK151" s="145">
        <v>0</v>
      </c>
      <c r="DL151" s="145">
        <v>0</v>
      </c>
      <c r="DM151" s="145">
        <v>0</v>
      </c>
      <c r="DN151" s="145">
        <v>0</v>
      </c>
      <c r="DO151" s="145">
        <v>0</v>
      </c>
      <c r="DP151" s="145">
        <v>0</v>
      </c>
      <c r="DQ151" s="145">
        <v>0</v>
      </c>
      <c r="DR151" s="145">
        <v>0</v>
      </c>
      <c r="DS151" s="145">
        <v>0</v>
      </c>
      <c r="DT151" s="145">
        <v>0</v>
      </c>
      <c r="DU151" s="145">
        <v>7112.28</v>
      </c>
      <c r="DV151" s="145">
        <v>7325.3600000000006</v>
      </c>
      <c r="DW151" s="145">
        <v>7325.3600000000006</v>
      </c>
      <c r="DX151" s="145">
        <v>7325.3600000000006</v>
      </c>
      <c r="DY151" s="145">
        <v>7325.3600000000006</v>
      </c>
      <c r="DZ151" s="145">
        <v>7325.3600000000006</v>
      </c>
      <c r="EA151" s="145">
        <v>5494.02</v>
      </c>
      <c r="EB151" s="145">
        <v>5494.02</v>
      </c>
      <c r="EC151" s="145">
        <v>7325.3600000000006</v>
      </c>
      <c r="ED151" s="145">
        <v>7325.3600000000006</v>
      </c>
      <c r="EE151" s="145">
        <v>5494.02</v>
      </c>
      <c r="EF151" s="145">
        <v>7325.3600000000006</v>
      </c>
      <c r="EG151" s="145">
        <v>7325.3600000000006</v>
      </c>
      <c r="EH151" s="145">
        <v>7544.8799999999992</v>
      </c>
      <c r="EI151" s="145">
        <v>7544.8799999999992</v>
      </c>
      <c r="EJ151" s="145">
        <v>0</v>
      </c>
      <c r="EK151" s="145">
        <v>0</v>
      </c>
      <c r="EL151" s="145">
        <v>0</v>
      </c>
      <c r="EM151" s="145">
        <v>0</v>
      </c>
      <c r="EN151" s="145">
        <v>0</v>
      </c>
      <c r="EO151" s="145">
        <v>0</v>
      </c>
      <c r="EP151" s="145">
        <v>0</v>
      </c>
      <c r="EQ151" s="145">
        <v>0</v>
      </c>
      <c r="ER151" s="145">
        <v>0</v>
      </c>
      <c r="ES151" s="145">
        <v>0</v>
      </c>
      <c r="ET151" s="145">
        <v>0</v>
      </c>
      <c r="EU151" s="145">
        <v>0</v>
      </c>
      <c r="EV151" s="145">
        <v>0</v>
      </c>
      <c r="EW151" s="145">
        <v>0</v>
      </c>
      <c r="EX151" s="145">
        <v>0</v>
      </c>
      <c r="EY151" s="145">
        <v>0</v>
      </c>
      <c r="EZ151" s="145">
        <v>0</v>
      </c>
      <c r="FA151" s="145">
        <v>0</v>
      </c>
      <c r="FB151" s="145">
        <v>0</v>
      </c>
      <c r="FC151" s="145">
        <v>0</v>
      </c>
      <c r="FD151" s="145">
        <v>0</v>
      </c>
      <c r="FE151" s="145">
        <v>0</v>
      </c>
      <c r="FF151" s="145">
        <v>0</v>
      </c>
      <c r="FG151" s="145">
        <v>0</v>
      </c>
      <c r="FH151" s="145">
        <v>0</v>
      </c>
      <c r="FI151" s="145">
        <v>0</v>
      </c>
      <c r="FJ151" s="145">
        <v>0</v>
      </c>
      <c r="FK151" s="145">
        <v>0</v>
      </c>
      <c r="FL151" s="145">
        <v>0</v>
      </c>
      <c r="FM151" s="145">
        <v>0</v>
      </c>
      <c r="FN151" s="145">
        <v>0</v>
      </c>
      <c r="FO151" s="145">
        <v>0</v>
      </c>
      <c r="FP151" s="145">
        <v>0</v>
      </c>
      <c r="FQ151" s="145">
        <v>0</v>
      </c>
      <c r="FR151" s="145">
        <v>0</v>
      </c>
      <c r="FS151" s="145">
        <v>0</v>
      </c>
      <c r="FT151" s="145">
        <v>0</v>
      </c>
      <c r="FU151" s="145">
        <v>0</v>
      </c>
      <c r="FV151" s="145">
        <v>0</v>
      </c>
      <c r="FW151" s="145">
        <v>0</v>
      </c>
      <c r="FX151" s="143"/>
      <c r="FY151" s="146" t="str">
        <f>_xlfn.XLOOKUP($E151,'Key assumptions'!$B$112:$B$120,'Key assumptions'!$C$112:$C$120,0)</f>
        <v>Nominal</v>
      </c>
      <c r="FZ151" s="146" cm="1">
        <f t="array" ref="FZ151">IF($FY151=0,0,_xlfn.IFS($FY151='Key assumptions'!$C$120,_xlfn.XLOOKUP(LEFT(FZ$7,6),Inflation_Year,Inflation_NominaltoReal),TRUE,_xlfn.XLOOKUP($FY151,Inflation_Year,NominaltoReal)))</f>
        <v>1.0197075870962191</v>
      </c>
      <c r="GA151" s="146" cm="1">
        <f t="array" ref="GA151">IF($FY151=0,0,_xlfn.IFS($FY151='Key assumptions'!$C$120,_xlfn.XLOOKUP(LEFT(GA$7,6),Inflation_Year,Inflation_NominaltoReal),TRUE,_xlfn.XLOOKUP($FY151,Inflation_Year,NominaltoReal)))</f>
        <v>0.98700804022984445</v>
      </c>
      <c r="GB151" s="146" cm="1">
        <f t="array" ref="GB151">IF($FY151=0,0,_xlfn.IFS($FY151='Key assumptions'!$C$120,_xlfn.XLOOKUP(LEFT(GB$7,6),Inflation_Year,Inflation_NominaltoReal),TRUE,_xlfn.XLOOKUP($FY151,Inflation_Year,NominaltoReal)))</f>
        <v>0.96152830081941731</v>
      </c>
      <c r="GC151" s="146" cm="1">
        <f t="array" ref="GC151">IF($FY151=0,0,_xlfn.IFS($FY151='Key assumptions'!$C$120,_xlfn.XLOOKUP(LEFT(GC$7,6),Inflation_Year,Inflation_NominaltoReal),TRUE,_xlfn.XLOOKUP($FY151,Inflation_Year,NominaltoReal)))</f>
        <v>0.93670632415656829</v>
      </c>
      <c r="GD151" s="146" cm="1">
        <f t="array" ref="GD151">IF($FY151=0,0,_xlfn.IFS($FY151='Key assumptions'!$C$120,_xlfn.XLOOKUP(LEFT(GD$7,6),Inflation_Year,Inflation_NominaltoReal),TRUE,_xlfn.XLOOKUP($FY151,Inflation_Year,NominaltoReal)))</f>
        <v>0.91252513001143176</v>
      </c>
      <c r="GE151" s="146" cm="1">
        <f t="array" ref="GE151">IF($FY151=0,0,_xlfn.IFS($FY151='Key assumptions'!$C$120,_xlfn.XLOOKUP(LEFT(GE$7,6),Inflation_Year,Inflation_NominaltoReal),TRUE,_xlfn.XLOOKUP($FY151,Inflation_Year,NominaltoReal)))</f>
        <v>0.88896817650095872</v>
      </c>
      <c r="GF151" s="146" cm="1">
        <f t="array" ref="GF151">IF($FY151=0,0,_xlfn.IFS($FY151='Key assumptions'!$C$120,_xlfn.XLOOKUP(LEFT(GF$7,6),Inflation_Year,Inflation_NominaltoReal),TRUE,_xlfn.XLOOKUP($FY151,Inflation_Year,NominaltoReal)))</f>
        <v>0.86601934877293718</v>
      </c>
      <c r="GG151" s="143"/>
      <c r="GH151" s="145" cm="1">
        <f t="array" ref="GH151">SUMPRODUCT(--($CR$7:$FW$7&gt;=GH$5),--($CR$7:$FW$7&lt;=GH$6),$CR151:$FW151)*FZ151</f>
        <v>0</v>
      </c>
      <c r="GI151" s="145" cm="1">
        <f t="array" ref="GI151">SUMPRODUCT(--($CR$7:$FW$7&gt;=GI$5),--($CR$7:$FW$7&lt;=GI$6),$CR151:$FW151)*GA151</f>
        <v>28710.445197100198</v>
      </c>
      <c r="GJ151" s="145" cm="1">
        <f t="array" ref="GJ151">SUMPRODUCT(--($CR$7:$FW$7&gt;=GJ$5),--($CR$7:$FW$7&lt;=GJ$6),$CR151:$FW151)*GB151</f>
        <v>72618.444160519663</v>
      </c>
      <c r="GK151" s="145" cm="1">
        <f t="array" ref="GK151">SUMPRODUCT(--($CR$7:$FW$7&gt;=GK$5),--($CR$7:$FW$7&lt;=GK$6),$CR151:$FW151)*GC151</f>
        <v>0</v>
      </c>
      <c r="GL151" s="145" cm="1">
        <f t="array" ref="GL151">SUMPRODUCT(--($CR$7:$FW$7&gt;=GL$5),--($CR$7:$FW$7&lt;=GL$6),$CR151:$FW151)*GD151</f>
        <v>0</v>
      </c>
      <c r="GM151" s="145" cm="1">
        <f t="array" ref="GM151">SUMPRODUCT(--($CR$7:$FW$7&gt;=GM$5),--($CR$7:$FW$7&lt;=GM$6),$CR151:$FW151)*GE151</f>
        <v>0</v>
      </c>
      <c r="GN151" s="145" cm="1">
        <f t="array" ref="GN151">SUMPRODUCT(--($CR$7:$FW$7&gt;=GN$5),--($CR$7:$FW$7&lt;=GN$6),$CR151:$FW151)*GF151</f>
        <v>0</v>
      </c>
      <c r="GO151" s="145">
        <f t="shared" si="46"/>
        <v>101328.88935761986</v>
      </c>
      <c r="GP151" s="87"/>
      <c r="GR151" s="145" cm="1">
        <f t="array" ref="GR151">SUMPRODUCT(--($CR$7:$FW$7&gt;=GR$5),--($CR$7:$FW$7&lt;=GR$6),$CR151:$FW151)</f>
        <v>0</v>
      </c>
      <c r="GT151" s="214" cm="1">
        <f t="array" ref="GT151">--AND(MIN(IF($K151:$CP151&lt;&gt;0,$K$7:$CP$7))&gt;=GT$5,MIN(IF($K151:$CP151&lt;&gt;0,$K$7:$CP$7))&lt;=GT$6)</f>
        <v>0</v>
      </c>
      <c r="GU151" s="214" cm="1">
        <f t="array" ref="GU151">--AND(MIN(IF($K151:$CP151&lt;&gt;0,$K$7:$CP$7))&gt;=GU$5,MIN(IF($K151:$CP151&lt;&gt;0,$K$7:$CP$7))&lt;=GU$6)</f>
        <v>1</v>
      </c>
      <c r="GV151" s="214" cm="1">
        <f t="array" ref="GV151">--AND(MIN(IF($K151:$CP151&lt;&gt;0,$K$7:$CP$7))&gt;=GV$5,MIN(IF($K151:$CP151&lt;&gt;0,$K$7:$CP$7))&lt;=GV$6)</f>
        <v>0</v>
      </c>
      <c r="GW151" s="214" cm="1">
        <f t="array" ref="GW151">--AND(MIN(IF($K151:$CP151&lt;&gt;0,$K$7:$CP$7))&gt;=GW$5,MIN(IF($K151:$CP151&lt;&gt;0,$K$7:$CP$7))&lt;=GW$6)</f>
        <v>0</v>
      </c>
      <c r="GX151" s="214" cm="1">
        <f t="array" ref="GX151">--AND(MIN(IF($K151:$CP151&lt;&gt;0,$K$7:$CP$7))&gt;=GX$5,MIN(IF($K151:$CP151&lt;&gt;0,$K$7:$CP$7))&lt;=GX$6)</f>
        <v>0</v>
      </c>
      <c r="GY151" s="214" cm="1">
        <f t="array" ref="GY151">--AND(MIN(IF($K151:$CP151&lt;&gt;0,$K$7:$CP$7))&gt;=GY$5,MIN(IF($K151:$CP151&lt;&gt;0,$K$7:$CP$7))&lt;=GY$6)</f>
        <v>0</v>
      </c>
      <c r="GZ151" s="214" cm="1">
        <f t="array" ref="GZ151">--AND(MIN(IF($K151:$CP151&lt;&gt;0,$K$7:$CP$7))&gt;=GZ$5,MIN(IF($K151:$CP151&lt;&gt;0,$K$7:$CP$7))&lt;=GZ$6)</f>
        <v>0</v>
      </c>
      <c r="HA151" s="214">
        <f t="shared" si="47"/>
        <v>1</v>
      </c>
      <c r="HC151" s="214" cm="1">
        <f t="array" ref="HC151">--AND(MIN(IF($K151:$CP151&lt;&gt;0,$K$7:$CP$7))&gt;=HC$5,MIN(IF($K151:$CP151&lt;&gt;0,$K$7:$CP$7))&lt;=HC$6)</f>
        <v>0</v>
      </c>
      <c r="HE151" s="147" t="str">
        <f t="shared" si="66"/>
        <v>No</v>
      </c>
      <c r="HF151" s="147" t="str">
        <f t="shared" si="67"/>
        <v>No</v>
      </c>
      <c r="HG151" s="147">
        <f>IF($HF151="Yes",0,$H151*avg_hrs*12*'Key assumptions'!$D$87)</f>
        <v>454238.21110356261</v>
      </c>
      <c r="HH151" s="147">
        <f>IF(HE151="Yes",'Key assumptions'!$D$84*HG151,0)</f>
        <v>0</v>
      </c>
      <c r="HI151" s="144">
        <f>IFERROR(AVERAGEIFS($K151:$CP151,$K$7:$CP$7,"&gt;="&amp;'Key assumptions'!$D$24,$K$7:$CP$7,"&lt;="&amp;'Key assumptions'!$D$25),0)</f>
        <v>6.7105263157894737E-2</v>
      </c>
      <c r="HJ151" s="148">
        <f t="shared" si="48"/>
        <v>0</v>
      </c>
      <c r="HK151" s="148">
        <f t="shared" si="49"/>
        <v>0</v>
      </c>
      <c r="HL151" s="148">
        <f t="shared" si="50"/>
        <v>0</v>
      </c>
      <c r="HM151" s="148">
        <f t="shared" si="51"/>
        <v>0</v>
      </c>
      <c r="HN151" s="148">
        <f t="shared" si="52"/>
        <v>0</v>
      </c>
      <c r="HO151" s="148">
        <f t="shared" si="53"/>
        <v>0</v>
      </c>
      <c r="HP151" s="148">
        <f t="shared" si="54"/>
        <v>0</v>
      </c>
      <c r="HQ151" s="148">
        <f t="shared" si="55"/>
        <v>0</v>
      </c>
      <c r="HR151" s="147">
        <f t="shared" si="56"/>
        <v>0</v>
      </c>
      <c r="HU151" s="147">
        <f>$HJ151*HC151/(1+'Key assumptions'!G173)^0.75</f>
        <v>0</v>
      </c>
      <c r="HW151" s="216">
        <f t="shared" si="57"/>
        <v>0</v>
      </c>
      <c r="HX151" s="216">
        <f t="shared" si="58"/>
        <v>6.7105263157894737E-2</v>
      </c>
      <c r="HY151" s="216">
        <f t="shared" si="59"/>
        <v>0</v>
      </c>
      <c r="HZ151" s="216">
        <f t="shared" si="60"/>
        <v>0</v>
      </c>
      <c r="IA151" s="216">
        <f t="shared" si="61"/>
        <v>0</v>
      </c>
      <c r="IB151" s="216">
        <f t="shared" si="62"/>
        <v>0</v>
      </c>
      <c r="IC151" s="216">
        <f t="shared" si="63"/>
        <v>0</v>
      </c>
      <c r="ID151" s="216">
        <f t="shared" si="64"/>
        <v>6.7105263157894737E-2</v>
      </c>
      <c r="IF151" s="216">
        <f t="shared" si="65"/>
        <v>0</v>
      </c>
    </row>
    <row r="152" spans="2:240" x14ac:dyDescent="0.2">
      <c r="B152" s="141" t="str">
        <v>Project Delivery Management - Project Management</v>
      </c>
      <c r="C152" s="141" t="str">
        <v>Project Engineer - Senior CO (Network Projects)</v>
      </c>
      <c r="D152" s="141" t="str">
        <v>Internal Labour</v>
      </c>
      <c r="E152" s="141" t="str">
        <v>$ Nominal</v>
      </c>
      <c r="F152" s="141" t="str">
        <v>Existing</v>
      </c>
      <c r="G152" s="141" t="str">
        <v>Normal time</v>
      </c>
      <c r="H152" s="142">
        <v>254.01</v>
      </c>
      <c r="I152" s="126">
        <v>572895.66</v>
      </c>
      <c r="J152" s="143">
        <v>0</v>
      </c>
      <c r="K152" s="144">
        <v>0</v>
      </c>
      <c r="L152" s="144">
        <v>0</v>
      </c>
      <c r="M152" s="144">
        <v>0</v>
      </c>
      <c r="N152" s="144">
        <v>0</v>
      </c>
      <c r="O152" s="144">
        <v>0</v>
      </c>
      <c r="P152" s="144">
        <v>0</v>
      </c>
      <c r="Q152" s="144">
        <v>0</v>
      </c>
      <c r="R152" s="144">
        <v>0</v>
      </c>
      <c r="S152" s="144">
        <v>0</v>
      </c>
      <c r="T152" s="144">
        <v>0</v>
      </c>
      <c r="U152" s="144">
        <v>0</v>
      </c>
      <c r="V152" s="144">
        <v>0</v>
      </c>
      <c r="W152" s="144">
        <v>0</v>
      </c>
      <c r="X152" s="144">
        <v>0</v>
      </c>
      <c r="Y152" s="144">
        <v>0</v>
      </c>
      <c r="Z152" s="144">
        <v>0.5</v>
      </c>
      <c r="AA152" s="144">
        <v>0.46052631578947367</v>
      </c>
      <c r="AB152" s="144">
        <v>0.46052631578947367</v>
      </c>
      <c r="AC152" s="144">
        <v>0.5</v>
      </c>
      <c r="AD152" s="144">
        <v>0.5</v>
      </c>
      <c r="AE152" s="144">
        <v>0.5</v>
      </c>
      <c r="AF152" s="144">
        <v>0.5</v>
      </c>
      <c r="AG152" s="144">
        <v>0.5</v>
      </c>
      <c r="AH152" s="144">
        <v>0.5</v>
      </c>
      <c r="AI152" s="144">
        <v>0.5</v>
      </c>
      <c r="AJ152" s="144">
        <v>0.5</v>
      </c>
      <c r="AK152" s="144">
        <v>0.5</v>
      </c>
      <c r="AL152" s="144">
        <v>0.5</v>
      </c>
      <c r="AM152" s="144">
        <v>0.5</v>
      </c>
      <c r="AN152" s="144">
        <v>0.5</v>
      </c>
      <c r="AO152" s="144">
        <v>0.5</v>
      </c>
      <c r="AP152" s="144">
        <v>0.5</v>
      </c>
      <c r="AQ152" s="144">
        <v>0.5</v>
      </c>
      <c r="AR152" s="144">
        <v>0.5</v>
      </c>
      <c r="AS152" s="144">
        <v>0.5</v>
      </c>
      <c r="AT152" s="144">
        <v>0.5</v>
      </c>
      <c r="AU152" s="144">
        <v>0.5</v>
      </c>
      <c r="AV152" s="144">
        <v>0.5</v>
      </c>
      <c r="AW152" s="144">
        <v>0.5</v>
      </c>
      <c r="AX152" s="144">
        <v>0.5</v>
      </c>
      <c r="AY152" s="144">
        <v>0.5</v>
      </c>
      <c r="AZ152" s="144">
        <v>0.5</v>
      </c>
      <c r="BA152" s="144">
        <v>0.5</v>
      </c>
      <c r="BB152" s="144">
        <v>0.5</v>
      </c>
      <c r="BC152" s="144">
        <v>0.5</v>
      </c>
      <c r="BD152" s="144">
        <v>0.5</v>
      </c>
      <c r="BE152" s="144">
        <v>0.5</v>
      </c>
      <c r="BF152" s="144">
        <v>0.66666666666666663</v>
      </c>
      <c r="BG152" s="144">
        <v>0</v>
      </c>
      <c r="BH152" s="144">
        <v>0</v>
      </c>
      <c r="BI152" s="144">
        <v>0</v>
      </c>
      <c r="BJ152" s="144">
        <v>0</v>
      </c>
      <c r="BK152" s="144">
        <v>0</v>
      </c>
      <c r="BL152" s="144">
        <v>0</v>
      </c>
      <c r="BM152" s="144">
        <v>0</v>
      </c>
      <c r="BN152" s="144">
        <v>0</v>
      </c>
      <c r="BO152" s="144">
        <v>0</v>
      </c>
      <c r="BP152" s="144">
        <v>0</v>
      </c>
      <c r="BQ152" s="144">
        <v>0</v>
      </c>
      <c r="BR152" s="144">
        <v>0</v>
      </c>
      <c r="BS152" s="144">
        <v>0</v>
      </c>
      <c r="BT152" s="144">
        <v>0</v>
      </c>
      <c r="BU152" s="144">
        <v>0</v>
      </c>
      <c r="BV152" s="144">
        <v>0</v>
      </c>
      <c r="BW152" s="144">
        <v>0</v>
      </c>
      <c r="BX152" s="144">
        <v>0</v>
      </c>
      <c r="BY152" s="144">
        <v>0</v>
      </c>
      <c r="BZ152" s="144">
        <v>0</v>
      </c>
      <c r="CA152" s="144">
        <v>0</v>
      </c>
      <c r="CB152" s="144">
        <v>0</v>
      </c>
      <c r="CC152" s="144">
        <v>0</v>
      </c>
      <c r="CD152" s="144">
        <v>0</v>
      </c>
      <c r="CE152" s="144">
        <v>0</v>
      </c>
      <c r="CF152" s="144">
        <v>0</v>
      </c>
      <c r="CG152" s="144">
        <v>0</v>
      </c>
      <c r="CH152" s="144">
        <v>0</v>
      </c>
      <c r="CI152" s="144">
        <v>0</v>
      </c>
      <c r="CJ152" s="144">
        <v>0</v>
      </c>
      <c r="CK152" s="144">
        <v>0</v>
      </c>
      <c r="CL152" s="144">
        <v>0</v>
      </c>
      <c r="CM152" s="144">
        <v>0</v>
      </c>
      <c r="CN152" s="144">
        <v>0</v>
      </c>
      <c r="CO152" s="144">
        <v>0</v>
      </c>
      <c r="CP152" s="144">
        <v>0</v>
      </c>
      <c r="CQ152" s="143">
        <v>0</v>
      </c>
      <c r="CR152" s="145">
        <v>0</v>
      </c>
      <c r="CS152" s="145">
        <v>0</v>
      </c>
      <c r="CT152" s="145">
        <v>0</v>
      </c>
      <c r="CU152" s="145">
        <v>0</v>
      </c>
      <c r="CV152" s="145">
        <v>0</v>
      </c>
      <c r="CW152" s="145">
        <v>0</v>
      </c>
      <c r="CX152" s="145">
        <v>0</v>
      </c>
      <c r="CY152" s="145">
        <v>0</v>
      </c>
      <c r="CZ152" s="145">
        <v>0</v>
      </c>
      <c r="DA152" s="145">
        <v>0</v>
      </c>
      <c r="DB152" s="145">
        <v>0</v>
      </c>
      <c r="DC152" s="145">
        <v>0</v>
      </c>
      <c r="DD152" s="145">
        <v>0</v>
      </c>
      <c r="DE152" s="145">
        <v>0</v>
      </c>
      <c r="DF152" s="145">
        <v>0</v>
      </c>
      <c r="DG152" s="145">
        <v>12948.074999999999</v>
      </c>
      <c r="DH152" s="145">
        <v>17264.099999999999</v>
      </c>
      <c r="DI152" s="145">
        <v>17264.099999999999</v>
      </c>
      <c r="DJ152" s="145">
        <v>17780.7</v>
      </c>
      <c r="DK152" s="145">
        <v>17780.7</v>
      </c>
      <c r="DL152" s="145">
        <v>17780.7</v>
      </c>
      <c r="DM152" s="145">
        <v>17780.7</v>
      </c>
      <c r="DN152" s="145">
        <v>17780.7</v>
      </c>
      <c r="DO152" s="145">
        <v>13335.525</v>
      </c>
      <c r="DP152" s="145">
        <v>13335.525</v>
      </c>
      <c r="DQ152" s="145">
        <v>17780.7</v>
      </c>
      <c r="DR152" s="145">
        <v>17780.7</v>
      </c>
      <c r="DS152" s="145">
        <v>13335.525</v>
      </c>
      <c r="DT152" s="145">
        <v>19304.759999999998</v>
      </c>
      <c r="DU152" s="145">
        <v>19304.759999999998</v>
      </c>
      <c r="DV152" s="145">
        <v>18313.400000000001</v>
      </c>
      <c r="DW152" s="145">
        <v>18313.400000000001</v>
      </c>
      <c r="DX152" s="145">
        <v>18313.400000000001</v>
      </c>
      <c r="DY152" s="145">
        <v>18313.400000000001</v>
      </c>
      <c r="DZ152" s="145">
        <v>18313.400000000001</v>
      </c>
      <c r="EA152" s="145">
        <v>13735.050000000001</v>
      </c>
      <c r="EB152" s="145">
        <v>13735.050000000001</v>
      </c>
      <c r="EC152" s="145">
        <v>18313.400000000001</v>
      </c>
      <c r="ED152" s="145">
        <v>18313.400000000001</v>
      </c>
      <c r="EE152" s="145">
        <v>13735.050000000001</v>
      </c>
      <c r="EF152" s="145">
        <v>19883.12</v>
      </c>
      <c r="EG152" s="145">
        <v>19883.12</v>
      </c>
      <c r="EH152" s="145">
        <v>18862.199999999997</v>
      </c>
      <c r="EI152" s="145">
        <v>18862.199999999997</v>
      </c>
      <c r="EJ152" s="145">
        <v>18862.199999999997</v>
      </c>
      <c r="EK152" s="145">
        <v>18862.199999999997</v>
      </c>
      <c r="EL152" s="145">
        <v>18862.199999999997</v>
      </c>
      <c r="EM152" s="145">
        <v>18862.199999999997</v>
      </c>
      <c r="EN152" s="145">
        <v>0</v>
      </c>
      <c r="EO152" s="145">
        <v>0</v>
      </c>
      <c r="EP152" s="145">
        <v>0</v>
      </c>
      <c r="EQ152" s="145">
        <v>0</v>
      </c>
      <c r="ER152" s="145">
        <v>0</v>
      </c>
      <c r="ES152" s="145">
        <v>0</v>
      </c>
      <c r="ET152" s="145">
        <v>0</v>
      </c>
      <c r="EU152" s="145">
        <v>0</v>
      </c>
      <c r="EV152" s="145">
        <v>0</v>
      </c>
      <c r="EW152" s="145">
        <v>0</v>
      </c>
      <c r="EX152" s="145">
        <v>0</v>
      </c>
      <c r="EY152" s="145">
        <v>0</v>
      </c>
      <c r="EZ152" s="145">
        <v>0</v>
      </c>
      <c r="FA152" s="145">
        <v>0</v>
      </c>
      <c r="FB152" s="145">
        <v>0</v>
      </c>
      <c r="FC152" s="145">
        <v>0</v>
      </c>
      <c r="FD152" s="145">
        <v>0</v>
      </c>
      <c r="FE152" s="145">
        <v>0</v>
      </c>
      <c r="FF152" s="145">
        <v>0</v>
      </c>
      <c r="FG152" s="145">
        <v>0</v>
      </c>
      <c r="FH152" s="145">
        <v>0</v>
      </c>
      <c r="FI152" s="145">
        <v>0</v>
      </c>
      <c r="FJ152" s="145">
        <v>0</v>
      </c>
      <c r="FK152" s="145">
        <v>0</v>
      </c>
      <c r="FL152" s="145">
        <v>0</v>
      </c>
      <c r="FM152" s="145">
        <v>0</v>
      </c>
      <c r="FN152" s="145">
        <v>0</v>
      </c>
      <c r="FO152" s="145">
        <v>0</v>
      </c>
      <c r="FP152" s="145">
        <v>0</v>
      </c>
      <c r="FQ152" s="145">
        <v>0</v>
      </c>
      <c r="FR152" s="145">
        <v>0</v>
      </c>
      <c r="FS152" s="145">
        <v>0</v>
      </c>
      <c r="FT152" s="145">
        <v>0</v>
      </c>
      <c r="FU152" s="145">
        <v>0</v>
      </c>
      <c r="FV152" s="145">
        <v>0</v>
      </c>
      <c r="FW152" s="145">
        <v>0</v>
      </c>
      <c r="FX152" s="143"/>
      <c r="FY152" s="146" t="str">
        <f>_xlfn.XLOOKUP($E152,'Key assumptions'!$B$112:$B$120,'Key assumptions'!$C$112:$C$120,0)</f>
        <v>Nominal</v>
      </c>
      <c r="FZ152" s="146" cm="1">
        <f t="array" ref="FZ152">IF($FY152=0,0,_xlfn.IFS($FY152='Key assumptions'!$C$120,_xlfn.XLOOKUP(LEFT(FZ$7,6),Inflation_Year,Inflation_NominaltoReal),TRUE,_xlfn.XLOOKUP($FY152,Inflation_Year,NominaltoReal)))</f>
        <v>1.0197075870962191</v>
      </c>
      <c r="GA152" s="146" cm="1">
        <f t="array" ref="GA152">IF($FY152=0,0,_xlfn.IFS($FY152='Key assumptions'!$C$120,_xlfn.XLOOKUP(LEFT(GA$7,6),Inflation_Year,Inflation_NominaltoReal),TRUE,_xlfn.XLOOKUP($FY152,Inflation_Year,NominaltoReal)))</f>
        <v>0.98700804022984445</v>
      </c>
      <c r="GB152" s="146" cm="1">
        <f t="array" ref="GB152">IF($FY152=0,0,_xlfn.IFS($FY152='Key assumptions'!$C$120,_xlfn.XLOOKUP(LEFT(GB$7,6),Inflation_Year,Inflation_NominaltoReal),TRUE,_xlfn.XLOOKUP($FY152,Inflation_Year,NominaltoReal)))</f>
        <v>0.96152830081941731</v>
      </c>
      <c r="GC152" s="146" cm="1">
        <f t="array" ref="GC152">IF($FY152=0,0,_xlfn.IFS($FY152='Key assumptions'!$C$120,_xlfn.XLOOKUP(LEFT(GC$7,6),Inflation_Year,Inflation_NominaltoReal),TRUE,_xlfn.XLOOKUP($FY152,Inflation_Year,NominaltoReal)))</f>
        <v>0.93670632415656829</v>
      </c>
      <c r="GD152" s="146" cm="1">
        <f t="array" ref="GD152">IF($FY152=0,0,_xlfn.IFS($FY152='Key assumptions'!$C$120,_xlfn.XLOOKUP(LEFT(GD$7,6),Inflation_Year,Inflation_NominaltoReal),TRUE,_xlfn.XLOOKUP($FY152,Inflation_Year,NominaltoReal)))</f>
        <v>0.91252513001143176</v>
      </c>
      <c r="GE152" s="146" cm="1">
        <f t="array" ref="GE152">IF($FY152=0,0,_xlfn.IFS($FY152='Key assumptions'!$C$120,_xlfn.XLOOKUP(LEFT(GE$7,6),Inflation_Year,Inflation_NominaltoReal),TRUE,_xlfn.XLOOKUP($FY152,Inflation_Year,NominaltoReal)))</f>
        <v>0.88896817650095872</v>
      </c>
      <c r="GF152" s="146" cm="1">
        <f t="array" ref="GF152">IF($FY152=0,0,_xlfn.IFS($FY152='Key assumptions'!$C$120,_xlfn.XLOOKUP(LEFT(GF$7,6),Inflation_Year,Inflation_NominaltoReal),TRUE,_xlfn.XLOOKUP($FY152,Inflation_Year,NominaltoReal)))</f>
        <v>0.86601934877293718</v>
      </c>
      <c r="GG152" s="143"/>
      <c r="GH152" s="145" cm="1">
        <f t="array" ref="GH152">SUMPRODUCT(--($CR$7:$FW$7&gt;=GH$5),--($CR$7:$FW$7&lt;=GH$6),$CR152:$FW152)*FZ152</f>
        <v>102805.26190621176</v>
      </c>
      <c r="GI152" s="145" cm="1">
        <f t="array" ref="GI152">SUMPRODUCT(--($CR$7:$FW$7&gt;=GI$5),--($CR$7:$FW$7&lt;=GI$6),$CR152:$FW152)*GA152</f>
        <v>202019.91243196811</v>
      </c>
      <c r="GJ152" s="145" cm="1">
        <f t="array" ref="GJ152">SUMPRODUCT(--($CR$7:$FW$7&gt;=GJ$5),--($CR$7:$FW$7&lt;=GJ$6),$CR152:$FW152)*GB152</f>
        <v>202701.30992573968</v>
      </c>
      <c r="GK152" s="145" cm="1">
        <f t="array" ref="GK152">SUMPRODUCT(--($CR$7:$FW$7&gt;=GK$5),--($CR$7:$FW$7&lt;=GK$6),$CR152:$FW152)*GC152</f>
        <v>53005.026082518059</v>
      </c>
      <c r="GL152" s="145" cm="1">
        <f t="array" ref="GL152">SUMPRODUCT(--($CR$7:$FW$7&gt;=GL$5),--($CR$7:$FW$7&lt;=GL$6),$CR152:$FW152)*GD152</f>
        <v>0</v>
      </c>
      <c r="GM152" s="145" cm="1">
        <f t="array" ref="GM152">SUMPRODUCT(--($CR$7:$FW$7&gt;=GM$5),--($CR$7:$FW$7&lt;=GM$6),$CR152:$FW152)*GE152</f>
        <v>0</v>
      </c>
      <c r="GN152" s="145" cm="1">
        <f t="array" ref="GN152">SUMPRODUCT(--($CR$7:$FW$7&gt;=GN$5),--($CR$7:$FW$7&lt;=GN$6),$CR152:$FW152)*GF152</f>
        <v>0</v>
      </c>
      <c r="GO152" s="145">
        <f t="shared" si="46"/>
        <v>560531.51034643757</v>
      </c>
      <c r="GP152" s="87"/>
      <c r="GR152" s="145" cm="1">
        <f t="array" ref="GR152">SUMPRODUCT(--($CR$7:$FW$7&gt;=GR$5),--($CR$7:$FW$7&lt;=GR$6),$CR152:$FW152)</f>
        <v>47476.274999999994</v>
      </c>
      <c r="GT152" s="214" cm="1">
        <f t="array" ref="GT152">--AND(MIN(IF($K152:$CP152&lt;&gt;0,$K$7:$CP$7))&gt;=GT$5,MIN(IF($K152:$CP152&lt;&gt;0,$K$7:$CP$7))&lt;=GT$6)</f>
        <v>1</v>
      </c>
      <c r="GU152" s="214" cm="1">
        <f t="array" ref="GU152">--AND(MIN(IF($K152:$CP152&lt;&gt;0,$K$7:$CP$7))&gt;=GU$5,MIN(IF($K152:$CP152&lt;&gt;0,$K$7:$CP$7))&lt;=GU$6)</f>
        <v>0</v>
      </c>
      <c r="GV152" s="214" cm="1">
        <f t="array" ref="GV152">--AND(MIN(IF($K152:$CP152&lt;&gt;0,$K$7:$CP$7))&gt;=GV$5,MIN(IF($K152:$CP152&lt;&gt;0,$K$7:$CP$7))&lt;=GV$6)</f>
        <v>0</v>
      </c>
      <c r="GW152" s="214" cm="1">
        <f t="array" ref="GW152">--AND(MIN(IF($K152:$CP152&lt;&gt;0,$K$7:$CP$7))&gt;=GW$5,MIN(IF($K152:$CP152&lt;&gt;0,$K$7:$CP$7))&lt;=GW$6)</f>
        <v>0</v>
      </c>
      <c r="GX152" s="214" cm="1">
        <f t="array" ref="GX152">--AND(MIN(IF($K152:$CP152&lt;&gt;0,$K$7:$CP$7))&gt;=GX$5,MIN(IF($K152:$CP152&lt;&gt;0,$K$7:$CP$7))&lt;=GX$6)</f>
        <v>0</v>
      </c>
      <c r="GY152" s="214" cm="1">
        <f t="array" ref="GY152">--AND(MIN(IF($K152:$CP152&lt;&gt;0,$K$7:$CP$7))&gt;=GY$5,MIN(IF($K152:$CP152&lt;&gt;0,$K$7:$CP$7))&lt;=GY$6)</f>
        <v>0</v>
      </c>
      <c r="GZ152" s="214" cm="1">
        <f t="array" ref="GZ152">--AND(MIN(IF($K152:$CP152&lt;&gt;0,$K$7:$CP$7))&gt;=GZ$5,MIN(IF($K152:$CP152&lt;&gt;0,$K$7:$CP$7))&lt;=GZ$6)</f>
        <v>0</v>
      </c>
      <c r="HA152" s="214">
        <f t="shared" si="47"/>
        <v>1</v>
      </c>
      <c r="HC152" s="214" cm="1">
        <f t="array" ref="HC152">--AND(MIN(IF($K152:$CP152&lt;&gt;0,$K$7:$CP$7))&gt;=HC$5,MIN(IF($K152:$CP152&lt;&gt;0,$K$7:$CP$7))&lt;=HC$6)</f>
        <v>1</v>
      </c>
      <c r="HE152" s="147" t="str">
        <f t="shared" si="66"/>
        <v>No</v>
      </c>
      <c r="HF152" s="147" t="str">
        <f t="shared" si="67"/>
        <v>No</v>
      </c>
      <c r="HG152" s="147">
        <f>IF($HF152="Yes",0,$H152*avg_hrs*12*'Key assumptions'!$D$87)</f>
        <v>454238.21110356261</v>
      </c>
      <c r="HH152" s="147">
        <f>IF(HE152="Yes",'Key assumptions'!$D$84*HG152,0)</f>
        <v>0</v>
      </c>
      <c r="HI152" s="144">
        <f>IFERROR(AVERAGEIFS($K152:$CP152,$K$7:$CP$7,"&gt;="&amp;'Key assumptions'!$D$24,$K$7:$CP$7,"&lt;="&amp;'Key assumptions'!$D$25),0)</f>
        <v>0.37699362041467305</v>
      </c>
      <c r="HJ152" s="148">
        <f t="shared" si="48"/>
        <v>0</v>
      </c>
      <c r="HK152" s="148">
        <f t="shared" si="49"/>
        <v>0</v>
      </c>
      <c r="HL152" s="148">
        <f t="shared" si="50"/>
        <v>0</v>
      </c>
      <c r="HM152" s="148">
        <f t="shared" si="51"/>
        <v>0</v>
      </c>
      <c r="HN152" s="148">
        <f t="shared" si="52"/>
        <v>0</v>
      </c>
      <c r="HO152" s="148">
        <f t="shared" si="53"/>
        <v>0</v>
      </c>
      <c r="HP152" s="148">
        <f t="shared" si="54"/>
        <v>0</v>
      </c>
      <c r="HQ152" s="148">
        <f t="shared" si="55"/>
        <v>0</v>
      </c>
      <c r="HR152" s="147">
        <f t="shared" si="56"/>
        <v>0</v>
      </c>
      <c r="HU152" s="147">
        <f>$HJ152*HC152/(1+'Key assumptions'!G174)^0.75</f>
        <v>0</v>
      </c>
      <c r="HW152" s="216">
        <f t="shared" si="57"/>
        <v>0.37699362041467305</v>
      </c>
      <c r="HX152" s="216">
        <f t="shared" si="58"/>
        <v>0</v>
      </c>
      <c r="HY152" s="216">
        <f t="shared" si="59"/>
        <v>0</v>
      </c>
      <c r="HZ152" s="216">
        <f t="shared" si="60"/>
        <v>0</v>
      </c>
      <c r="IA152" s="216">
        <f t="shared" si="61"/>
        <v>0</v>
      </c>
      <c r="IB152" s="216">
        <f t="shared" si="62"/>
        <v>0</v>
      </c>
      <c r="IC152" s="216">
        <f t="shared" si="63"/>
        <v>0</v>
      </c>
      <c r="ID152" s="216">
        <f t="shared" si="64"/>
        <v>0.37699362041467305</v>
      </c>
      <c r="IF152" s="216">
        <f t="shared" si="65"/>
        <v>0.37699362041467305</v>
      </c>
    </row>
    <row r="153" spans="2:240" x14ac:dyDescent="0.2">
      <c r="B153" s="141" t="str">
        <v>Project Delivery Management - Project Management</v>
      </c>
      <c r="C153" s="141" t="str">
        <v>Project Engineer (Network Projects)</v>
      </c>
      <c r="D153" s="141" t="str">
        <v>Internal Labour</v>
      </c>
      <c r="E153" s="141" t="str">
        <v>$ Nominal</v>
      </c>
      <c r="F153" s="141" t="str">
        <v>New</v>
      </c>
      <c r="G153" s="141" t="str">
        <v>Normal time</v>
      </c>
      <c r="H153" s="142">
        <v>202.73</v>
      </c>
      <c r="I153" s="126">
        <v>946945.8</v>
      </c>
      <c r="J153" s="143">
        <v>0</v>
      </c>
      <c r="K153" s="144">
        <v>0</v>
      </c>
      <c r="L153" s="144">
        <v>0</v>
      </c>
      <c r="M153" s="144">
        <v>0</v>
      </c>
      <c r="N153" s="144">
        <v>0</v>
      </c>
      <c r="O153" s="144">
        <v>0</v>
      </c>
      <c r="P153" s="144">
        <v>0</v>
      </c>
      <c r="Q153" s="144">
        <v>0</v>
      </c>
      <c r="R153" s="144">
        <v>0</v>
      </c>
      <c r="S153" s="144">
        <v>0</v>
      </c>
      <c r="T153" s="144">
        <v>0</v>
      </c>
      <c r="U153" s="144">
        <v>0</v>
      </c>
      <c r="V153" s="144">
        <v>0</v>
      </c>
      <c r="W153" s="144">
        <v>0</v>
      </c>
      <c r="X153" s="144">
        <v>0</v>
      </c>
      <c r="Y153" s="144">
        <v>1</v>
      </c>
      <c r="Z153" s="144">
        <v>1</v>
      </c>
      <c r="AA153" s="144">
        <v>0.92105263157894735</v>
      </c>
      <c r="AB153" s="144">
        <v>0.92105263157894735</v>
      </c>
      <c r="AC153" s="144">
        <v>1</v>
      </c>
      <c r="AD153" s="144">
        <v>1</v>
      </c>
      <c r="AE153" s="144">
        <v>1</v>
      </c>
      <c r="AF153" s="144">
        <v>1</v>
      </c>
      <c r="AG153" s="144">
        <v>1</v>
      </c>
      <c r="AH153" s="144">
        <v>1</v>
      </c>
      <c r="AI153" s="144">
        <v>1</v>
      </c>
      <c r="AJ153" s="144">
        <v>1</v>
      </c>
      <c r="AK153" s="144">
        <v>1</v>
      </c>
      <c r="AL153" s="144">
        <v>1</v>
      </c>
      <c r="AM153" s="144">
        <v>0.96052631578947367</v>
      </c>
      <c r="AN153" s="144">
        <v>0.96052631578947367</v>
      </c>
      <c r="AO153" s="144">
        <v>1</v>
      </c>
      <c r="AP153" s="144">
        <v>1</v>
      </c>
      <c r="AQ153" s="144">
        <v>1</v>
      </c>
      <c r="AR153" s="144">
        <v>1</v>
      </c>
      <c r="AS153" s="144">
        <v>1</v>
      </c>
      <c r="AT153" s="144">
        <v>1</v>
      </c>
      <c r="AU153" s="144">
        <v>1</v>
      </c>
      <c r="AV153" s="144">
        <v>1</v>
      </c>
      <c r="AW153" s="144">
        <v>1</v>
      </c>
      <c r="AX153" s="144">
        <v>1</v>
      </c>
      <c r="AY153" s="144">
        <v>0.96052631578947367</v>
      </c>
      <c r="AZ153" s="144">
        <v>0.96052631578947367</v>
      </c>
      <c r="BA153" s="144">
        <v>1</v>
      </c>
      <c r="BB153" s="144">
        <v>1</v>
      </c>
      <c r="BC153" s="144">
        <v>1</v>
      </c>
      <c r="BD153" s="144">
        <v>1</v>
      </c>
      <c r="BE153" s="144">
        <v>1</v>
      </c>
      <c r="BF153" s="144">
        <v>1.3333333333333333</v>
      </c>
      <c r="BG153" s="144">
        <v>0</v>
      </c>
      <c r="BH153" s="144">
        <v>0</v>
      </c>
      <c r="BI153" s="144">
        <v>0</v>
      </c>
      <c r="BJ153" s="144">
        <v>0</v>
      </c>
      <c r="BK153" s="144">
        <v>0</v>
      </c>
      <c r="BL153" s="144">
        <v>0</v>
      </c>
      <c r="BM153" s="144">
        <v>0</v>
      </c>
      <c r="BN153" s="144">
        <v>0</v>
      </c>
      <c r="BO153" s="144">
        <v>0</v>
      </c>
      <c r="BP153" s="144">
        <v>0</v>
      </c>
      <c r="BQ153" s="144">
        <v>0</v>
      </c>
      <c r="BR153" s="144">
        <v>0</v>
      </c>
      <c r="BS153" s="144">
        <v>0</v>
      </c>
      <c r="BT153" s="144">
        <v>0</v>
      </c>
      <c r="BU153" s="144">
        <v>0</v>
      </c>
      <c r="BV153" s="144">
        <v>0</v>
      </c>
      <c r="BW153" s="144">
        <v>0</v>
      </c>
      <c r="BX153" s="144">
        <v>0</v>
      </c>
      <c r="BY153" s="144">
        <v>0</v>
      </c>
      <c r="BZ153" s="144">
        <v>0</v>
      </c>
      <c r="CA153" s="144">
        <v>0</v>
      </c>
      <c r="CB153" s="144">
        <v>0</v>
      </c>
      <c r="CC153" s="144">
        <v>0</v>
      </c>
      <c r="CD153" s="144">
        <v>0</v>
      </c>
      <c r="CE153" s="144">
        <v>0</v>
      </c>
      <c r="CF153" s="144">
        <v>0</v>
      </c>
      <c r="CG153" s="144">
        <v>0</v>
      </c>
      <c r="CH153" s="144">
        <v>0</v>
      </c>
      <c r="CI153" s="144">
        <v>0</v>
      </c>
      <c r="CJ153" s="144">
        <v>0</v>
      </c>
      <c r="CK153" s="144">
        <v>0</v>
      </c>
      <c r="CL153" s="144">
        <v>0</v>
      </c>
      <c r="CM153" s="144">
        <v>0</v>
      </c>
      <c r="CN153" s="144">
        <v>0</v>
      </c>
      <c r="CO153" s="144">
        <v>0</v>
      </c>
      <c r="CP153" s="144">
        <v>0</v>
      </c>
      <c r="CQ153" s="143">
        <v>0</v>
      </c>
      <c r="CR153" s="145">
        <v>0</v>
      </c>
      <c r="CS153" s="145">
        <v>0</v>
      </c>
      <c r="CT153" s="145">
        <v>0</v>
      </c>
      <c r="CU153" s="145">
        <v>0</v>
      </c>
      <c r="CV153" s="145">
        <v>0</v>
      </c>
      <c r="CW153" s="145">
        <v>0</v>
      </c>
      <c r="CX153" s="145">
        <v>0</v>
      </c>
      <c r="CY153" s="145">
        <v>0</v>
      </c>
      <c r="CZ153" s="145">
        <v>0</v>
      </c>
      <c r="DA153" s="145">
        <v>0</v>
      </c>
      <c r="DB153" s="145">
        <v>0</v>
      </c>
      <c r="DC153" s="145">
        <v>0</v>
      </c>
      <c r="DD153" s="145">
        <v>0</v>
      </c>
      <c r="DE153" s="145">
        <v>0</v>
      </c>
      <c r="DF153" s="145">
        <v>28382.199999999997</v>
      </c>
      <c r="DG153" s="145">
        <v>21286.649999999998</v>
      </c>
      <c r="DH153" s="145">
        <v>28382.199999999997</v>
      </c>
      <c r="DI153" s="145">
        <v>28382.199999999997</v>
      </c>
      <c r="DJ153" s="145">
        <v>28382.199999999997</v>
      </c>
      <c r="DK153" s="145">
        <v>28382.199999999997</v>
      </c>
      <c r="DL153" s="145">
        <v>28382.199999999997</v>
      </c>
      <c r="DM153" s="145">
        <v>28382.199999999997</v>
      </c>
      <c r="DN153" s="145">
        <v>28382.199999999997</v>
      </c>
      <c r="DO153" s="145">
        <v>21286.649999999998</v>
      </c>
      <c r="DP153" s="145">
        <v>21286.649999999998</v>
      </c>
      <c r="DQ153" s="145">
        <v>28382.199999999997</v>
      </c>
      <c r="DR153" s="145">
        <v>29244.6</v>
      </c>
      <c r="DS153" s="145">
        <v>21933.449999999997</v>
      </c>
      <c r="DT153" s="145">
        <v>30497.94</v>
      </c>
      <c r="DU153" s="145">
        <v>30497.94</v>
      </c>
      <c r="DV153" s="145">
        <v>29244.6</v>
      </c>
      <c r="DW153" s="145">
        <v>29244.6</v>
      </c>
      <c r="DX153" s="145">
        <v>29244.6</v>
      </c>
      <c r="DY153" s="145">
        <v>29244.6</v>
      </c>
      <c r="DZ153" s="145">
        <v>29244.6</v>
      </c>
      <c r="EA153" s="145">
        <v>21933.449999999997</v>
      </c>
      <c r="EB153" s="145">
        <v>21933.449999999997</v>
      </c>
      <c r="EC153" s="145">
        <v>29244.6</v>
      </c>
      <c r="ED153" s="145">
        <v>30108.400000000001</v>
      </c>
      <c r="EE153" s="145">
        <v>22581.3</v>
      </c>
      <c r="EF153" s="145">
        <v>31398.760000000002</v>
      </c>
      <c r="EG153" s="145">
        <v>31398.760000000002</v>
      </c>
      <c r="EH153" s="145">
        <v>30108.400000000001</v>
      </c>
      <c r="EI153" s="145">
        <v>30108.400000000001</v>
      </c>
      <c r="EJ153" s="145">
        <v>30108.400000000001</v>
      </c>
      <c r="EK153" s="145">
        <v>30108.400000000001</v>
      </c>
      <c r="EL153" s="145">
        <v>30108.400000000001</v>
      </c>
      <c r="EM153" s="145">
        <v>30108.400000000001</v>
      </c>
      <c r="EN153" s="145">
        <v>0</v>
      </c>
      <c r="EO153" s="145">
        <v>0</v>
      </c>
      <c r="EP153" s="145">
        <v>0</v>
      </c>
      <c r="EQ153" s="145">
        <v>0</v>
      </c>
      <c r="ER153" s="145">
        <v>0</v>
      </c>
      <c r="ES153" s="145">
        <v>0</v>
      </c>
      <c r="ET153" s="145">
        <v>0</v>
      </c>
      <c r="EU153" s="145">
        <v>0</v>
      </c>
      <c r="EV153" s="145">
        <v>0</v>
      </c>
      <c r="EW153" s="145">
        <v>0</v>
      </c>
      <c r="EX153" s="145">
        <v>0</v>
      </c>
      <c r="EY153" s="145">
        <v>0</v>
      </c>
      <c r="EZ153" s="145">
        <v>0</v>
      </c>
      <c r="FA153" s="145">
        <v>0</v>
      </c>
      <c r="FB153" s="145">
        <v>0</v>
      </c>
      <c r="FC153" s="145">
        <v>0</v>
      </c>
      <c r="FD153" s="145">
        <v>0</v>
      </c>
      <c r="FE153" s="145">
        <v>0</v>
      </c>
      <c r="FF153" s="145">
        <v>0</v>
      </c>
      <c r="FG153" s="145">
        <v>0</v>
      </c>
      <c r="FH153" s="145">
        <v>0</v>
      </c>
      <c r="FI153" s="145">
        <v>0</v>
      </c>
      <c r="FJ153" s="145">
        <v>0</v>
      </c>
      <c r="FK153" s="145">
        <v>0</v>
      </c>
      <c r="FL153" s="145">
        <v>0</v>
      </c>
      <c r="FM153" s="145">
        <v>0</v>
      </c>
      <c r="FN153" s="145">
        <v>0</v>
      </c>
      <c r="FO153" s="145">
        <v>0</v>
      </c>
      <c r="FP153" s="145">
        <v>0</v>
      </c>
      <c r="FQ153" s="145">
        <v>0</v>
      </c>
      <c r="FR153" s="145">
        <v>0</v>
      </c>
      <c r="FS153" s="145">
        <v>0</v>
      </c>
      <c r="FT153" s="145">
        <v>0</v>
      </c>
      <c r="FU153" s="145">
        <v>0</v>
      </c>
      <c r="FV153" s="145">
        <v>0</v>
      </c>
      <c r="FW153" s="145">
        <v>0</v>
      </c>
      <c r="FX153" s="143"/>
      <c r="FY153" s="146" t="str">
        <f>_xlfn.XLOOKUP($E153,'Key assumptions'!$B$112:$B$120,'Key assumptions'!$C$112:$C$120,0)</f>
        <v>Nominal</v>
      </c>
      <c r="FZ153" s="146" cm="1">
        <f t="array" ref="FZ153">IF($FY153=0,0,_xlfn.IFS($FY153='Key assumptions'!$C$120,_xlfn.XLOOKUP(LEFT(FZ$7,6),Inflation_Year,Inflation_NominaltoReal),TRUE,_xlfn.XLOOKUP($FY153,Inflation_Year,NominaltoReal)))</f>
        <v>1.0197075870962191</v>
      </c>
      <c r="GA153" s="146" cm="1">
        <f t="array" ref="GA153">IF($FY153=0,0,_xlfn.IFS($FY153='Key assumptions'!$C$120,_xlfn.XLOOKUP(LEFT(GA$7,6),Inflation_Year,Inflation_NominaltoReal),TRUE,_xlfn.XLOOKUP($FY153,Inflation_Year,NominaltoReal)))</f>
        <v>0.98700804022984445</v>
      </c>
      <c r="GB153" s="146" cm="1">
        <f t="array" ref="GB153">IF($FY153=0,0,_xlfn.IFS($FY153='Key assumptions'!$C$120,_xlfn.XLOOKUP(LEFT(GB$7,6),Inflation_Year,Inflation_NominaltoReal),TRUE,_xlfn.XLOOKUP($FY153,Inflation_Year,NominaltoReal)))</f>
        <v>0.96152830081941731</v>
      </c>
      <c r="GC153" s="146" cm="1">
        <f t="array" ref="GC153">IF($FY153=0,0,_xlfn.IFS($FY153='Key assumptions'!$C$120,_xlfn.XLOOKUP(LEFT(GC$7,6),Inflation_Year,Inflation_NominaltoReal),TRUE,_xlfn.XLOOKUP($FY153,Inflation_Year,NominaltoReal)))</f>
        <v>0.93670632415656829</v>
      </c>
      <c r="GD153" s="146" cm="1">
        <f t="array" ref="GD153">IF($FY153=0,0,_xlfn.IFS($FY153='Key assumptions'!$C$120,_xlfn.XLOOKUP(LEFT(GD$7,6),Inflation_Year,Inflation_NominaltoReal),TRUE,_xlfn.XLOOKUP($FY153,Inflation_Year,NominaltoReal)))</f>
        <v>0.91252513001143176</v>
      </c>
      <c r="GE153" s="146" cm="1">
        <f t="array" ref="GE153">IF($FY153=0,0,_xlfn.IFS($FY153='Key assumptions'!$C$120,_xlfn.XLOOKUP(LEFT(GE$7,6),Inflation_Year,Inflation_NominaltoReal),TRUE,_xlfn.XLOOKUP($FY153,Inflation_Year,NominaltoReal)))</f>
        <v>0.88896817650095872</v>
      </c>
      <c r="GF153" s="146" cm="1">
        <f t="array" ref="GF153">IF($FY153=0,0,_xlfn.IFS($FY153='Key assumptions'!$C$120,_xlfn.XLOOKUP(LEFT(GF$7,6),Inflation_Year,Inflation_NominaltoReal),TRUE,_xlfn.XLOOKUP($FY153,Inflation_Year,NominaltoReal)))</f>
        <v>0.86601934877293718</v>
      </c>
      <c r="GG153" s="143"/>
      <c r="GH153" s="145" cm="1">
        <f t="array" ref="GH153">SUMPRODUCT(--($CR$7:$FW$7&gt;=GH$5),--($CR$7:$FW$7&lt;=GH$6),$CR153:$FW153)*FZ153</f>
        <v>195355.42657975556</v>
      </c>
      <c r="GI153" s="145" cm="1">
        <f t="array" ref="GI153">SUMPRODUCT(--($CR$7:$FW$7&gt;=GI$5),--($CR$7:$FW$7&lt;=GI$6),$CR153:$FW153)*GA153</f>
        <v>323371.1050114485</v>
      </c>
      <c r="GJ153" s="145" cm="1">
        <f t="array" ref="GJ153">SUMPRODUCT(--($CR$7:$FW$7&gt;=GJ$5),--($CR$7:$FW$7&lt;=GJ$6),$CR153:$FW153)*GB153</f>
        <v>324432.26394777821</v>
      </c>
      <c r="GK153" s="145" cm="1">
        <f t="array" ref="GK153">SUMPRODUCT(--($CR$7:$FW$7&gt;=GK$5),--($CR$7:$FW$7&lt;=GK$6),$CR153:$FW153)*GC153</f>
        <v>84608.18607070687</v>
      </c>
      <c r="GL153" s="145" cm="1">
        <f t="array" ref="GL153">SUMPRODUCT(--($CR$7:$FW$7&gt;=GL$5),--($CR$7:$FW$7&lt;=GL$6),$CR153:$FW153)*GD153</f>
        <v>0</v>
      </c>
      <c r="GM153" s="145" cm="1">
        <f t="array" ref="GM153">SUMPRODUCT(--($CR$7:$FW$7&gt;=GM$5),--($CR$7:$FW$7&lt;=GM$6),$CR153:$FW153)*GE153</f>
        <v>0</v>
      </c>
      <c r="GN153" s="145" cm="1">
        <f t="array" ref="GN153">SUMPRODUCT(--($CR$7:$FW$7&gt;=GN$5),--($CR$7:$FW$7&lt;=GN$6),$CR153:$FW153)*GF153</f>
        <v>0</v>
      </c>
      <c r="GO153" s="145">
        <f t="shared" si="46"/>
        <v>927766.98160968907</v>
      </c>
      <c r="GP153" s="87"/>
      <c r="GR153" s="145" cm="1">
        <f t="array" ref="GR153">SUMPRODUCT(--($CR$7:$FW$7&gt;=GR$5),--($CR$7:$FW$7&lt;=GR$6),$CR153:$FW153)</f>
        <v>106433.24999999999</v>
      </c>
      <c r="GT153" s="214" cm="1">
        <f t="array" ref="GT153">--AND(MIN(IF($K153:$CP153&lt;&gt;0,$K$7:$CP$7))&gt;=GT$5,MIN(IF($K153:$CP153&lt;&gt;0,$K$7:$CP$7))&lt;=GT$6)</f>
        <v>1</v>
      </c>
      <c r="GU153" s="214" cm="1">
        <f t="array" ref="GU153">--AND(MIN(IF($K153:$CP153&lt;&gt;0,$K$7:$CP$7))&gt;=GU$5,MIN(IF($K153:$CP153&lt;&gt;0,$K$7:$CP$7))&lt;=GU$6)</f>
        <v>0</v>
      </c>
      <c r="GV153" s="214" cm="1">
        <f t="array" ref="GV153">--AND(MIN(IF($K153:$CP153&lt;&gt;0,$K$7:$CP$7))&gt;=GV$5,MIN(IF($K153:$CP153&lt;&gt;0,$K$7:$CP$7))&lt;=GV$6)</f>
        <v>0</v>
      </c>
      <c r="GW153" s="214" cm="1">
        <f t="array" ref="GW153">--AND(MIN(IF($K153:$CP153&lt;&gt;0,$K$7:$CP$7))&gt;=GW$5,MIN(IF($K153:$CP153&lt;&gt;0,$K$7:$CP$7))&lt;=GW$6)</f>
        <v>0</v>
      </c>
      <c r="GX153" s="214" cm="1">
        <f t="array" ref="GX153">--AND(MIN(IF($K153:$CP153&lt;&gt;0,$K$7:$CP$7))&gt;=GX$5,MIN(IF($K153:$CP153&lt;&gt;0,$K$7:$CP$7))&lt;=GX$6)</f>
        <v>0</v>
      </c>
      <c r="GY153" s="214" cm="1">
        <f t="array" ref="GY153">--AND(MIN(IF($K153:$CP153&lt;&gt;0,$K$7:$CP$7))&gt;=GY$5,MIN(IF($K153:$CP153&lt;&gt;0,$K$7:$CP$7))&lt;=GY$6)</f>
        <v>0</v>
      </c>
      <c r="GZ153" s="214" cm="1">
        <f t="array" ref="GZ153">--AND(MIN(IF($K153:$CP153&lt;&gt;0,$K$7:$CP$7))&gt;=GZ$5,MIN(IF($K153:$CP153&lt;&gt;0,$K$7:$CP$7))&lt;=GZ$6)</f>
        <v>0</v>
      </c>
      <c r="HA153" s="214">
        <f t="shared" si="47"/>
        <v>1</v>
      </c>
      <c r="HC153" s="214" cm="1">
        <f t="array" ref="HC153">--AND(MIN(IF($K153:$CP153&lt;&gt;0,$K$7:$CP$7))&gt;=HC$5,MIN(IF($K153:$CP153&lt;&gt;0,$K$7:$CP$7))&lt;=HC$6)</f>
        <v>1</v>
      </c>
      <c r="HE153" s="147" t="str">
        <f t="shared" si="66"/>
        <v>Yes</v>
      </c>
      <c r="HF153" s="147" t="str">
        <f t="shared" si="67"/>
        <v>No</v>
      </c>
      <c r="HG153" s="147">
        <f>IF($HF153="Yes",0,$H153*avg_hrs*12*'Key assumptions'!$D$87)</f>
        <v>362535.77629630821</v>
      </c>
      <c r="HH153" s="147">
        <f>IF(HE153="Yes",'Key assumptions'!$D$84*HG153,0)</f>
        <v>54380.366444446227</v>
      </c>
      <c r="HI153" s="144">
        <f>IFERROR(AVERAGEIFS($K153:$CP153,$K$7:$CP$7,"&gt;="&amp;'Key assumptions'!$D$24,$K$7:$CP$7,"&lt;="&amp;'Key assumptions'!$D$25),0)</f>
        <v>0.77312599681020733</v>
      </c>
      <c r="HJ153" s="148">
        <f t="shared" si="48"/>
        <v>42042.875014266836</v>
      </c>
      <c r="HK153" s="148">
        <f t="shared" si="49"/>
        <v>42042.875014266836</v>
      </c>
      <c r="HL153" s="148">
        <f t="shared" si="50"/>
        <v>0</v>
      </c>
      <c r="HM153" s="148">
        <f t="shared" si="51"/>
        <v>0</v>
      </c>
      <c r="HN153" s="148">
        <f t="shared" si="52"/>
        <v>0</v>
      </c>
      <c r="HO153" s="148">
        <f t="shared" si="53"/>
        <v>0</v>
      </c>
      <c r="HP153" s="148">
        <f t="shared" si="54"/>
        <v>0</v>
      </c>
      <c r="HQ153" s="148">
        <f t="shared" si="55"/>
        <v>0</v>
      </c>
      <c r="HR153" s="147">
        <f t="shared" si="56"/>
        <v>42042.875014266836</v>
      </c>
      <c r="HU153" s="147">
        <f>$HJ153*HC153/(1+'Key assumptions'!G175)^0.75</f>
        <v>42042.875014266836</v>
      </c>
      <c r="HW153" s="216">
        <f t="shared" si="57"/>
        <v>0.77312599681020733</v>
      </c>
      <c r="HX153" s="216">
        <f t="shared" si="58"/>
        <v>0</v>
      </c>
      <c r="HY153" s="216">
        <f t="shared" si="59"/>
        <v>0</v>
      </c>
      <c r="HZ153" s="216">
        <f t="shared" si="60"/>
        <v>0</v>
      </c>
      <c r="IA153" s="216">
        <f t="shared" si="61"/>
        <v>0</v>
      </c>
      <c r="IB153" s="216">
        <f t="shared" si="62"/>
        <v>0</v>
      </c>
      <c r="IC153" s="216">
        <f t="shared" si="63"/>
        <v>0</v>
      </c>
      <c r="ID153" s="216">
        <f t="shared" si="64"/>
        <v>0.77312599681020733</v>
      </c>
      <c r="IF153" s="216">
        <f t="shared" si="65"/>
        <v>0.77312599681020733</v>
      </c>
    </row>
    <row r="154" spans="2:240" x14ac:dyDescent="0.2">
      <c r="B154" s="141" t="str">
        <v>Project Delivery Management - Commercial Management</v>
      </c>
      <c r="C154" s="141" t="str">
        <v>Contract Manager - Senior (Commercial)</v>
      </c>
      <c r="D154" s="141" t="str">
        <v>Internal Labour</v>
      </c>
      <c r="E154" s="141" t="str">
        <v>$ Nominal</v>
      </c>
      <c r="F154" s="141" t="str">
        <v>New</v>
      </c>
      <c r="G154" s="141" t="str">
        <v>Normal time</v>
      </c>
      <c r="H154" s="142">
        <v>333.23</v>
      </c>
      <c r="I154" s="126">
        <v>774361.35000000009</v>
      </c>
      <c r="J154" s="143">
        <v>0</v>
      </c>
      <c r="K154" s="144">
        <v>0</v>
      </c>
      <c r="L154" s="144">
        <v>0</v>
      </c>
      <c r="M154" s="144">
        <v>0</v>
      </c>
      <c r="N154" s="144">
        <v>0</v>
      </c>
      <c r="O154" s="144">
        <v>0</v>
      </c>
      <c r="P154" s="144">
        <v>0</v>
      </c>
      <c r="Q154" s="144">
        <v>0</v>
      </c>
      <c r="R154" s="144">
        <v>0</v>
      </c>
      <c r="S154" s="144">
        <v>0</v>
      </c>
      <c r="T154" s="144">
        <v>0</v>
      </c>
      <c r="U154" s="144">
        <v>0</v>
      </c>
      <c r="V154" s="144">
        <v>0</v>
      </c>
      <c r="W154" s="144">
        <v>0</v>
      </c>
      <c r="X154" s="144">
        <v>0</v>
      </c>
      <c r="Y154" s="144">
        <v>0.5</v>
      </c>
      <c r="Z154" s="144">
        <v>0.5</v>
      </c>
      <c r="AA154" s="144">
        <v>0.46052631578947367</v>
      </c>
      <c r="AB154" s="144">
        <v>0.46052631578947367</v>
      </c>
      <c r="AC154" s="144">
        <v>0.5</v>
      </c>
      <c r="AD154" s="144">
        <v>0.5</v>
      </c>
      <c r="AE154" s="144">
        <v>0.5</v>
      </c>
      <c r="AF154" s="144">
        <v>0.5</v>
      </c>
      <c r="AG154" s="144">
        <v>0.5</v>
      </c>
      <c r="AH154" s="144">
        <v>0.5</v>
      </c>
      <c r="AI154" s="144">
        <v>0.5</v>
      </c>
      <c r="AJ154" s="144">
        <v>0.5</v>
      </c>
      <c r="AK154" s="144">
        <v>0.5</v>
      </c>
      <c r="AL154" s="144">
        <v>0.5</v>
      </c>
      <c r="AM154" s="144">
        <v>0.5</v>
      </c>
      <c r="AN154" s="144">
        <v>0.5</v>
      </c>
      <c r="AO154" s="144">
        <v>0.5</v>
      </c>
      <c r="AP154" s="144">
        <v>0.5</v>
      </c>
      <c r="AQ154" s="144">
        <v>0.5</v>
      </c>
      <c r="AR154" s="144">
        <v>0.5</v>
      </c>
      <c r="AS154" s="144">
        <v>0.5</v>
      </c>
      <c r="AT154" s="144">
        <v>0.5</v>
      </c>
      <c r="AU154" s="144">
        <v>0.5</v>
      </c>
      <c r="AV154" s="144">
        <v>0.5</v>
      </c>
      <c r="AW154" s="144">
        <v>0.5</v>
      </c>
      <c r="AX154" s="144">
        <v>0.5</v>
      </c>
      <c r="AY154" s="144">
        <v>0.5</v>
      </c>
      <c r="AZ154" s="144">
        <v>0.5</v>
      </c>
      <c r="BA154" s="144">
        <v>0.5</v>
      </c>
      <c r="BB154" s="144">
        <v>0.5</v>
      </c>
      <c r="BC154" s="144">
        <v>0.5</v>
      </c>
      <c r="BD154" s="144">
        <v>0.5</v>
      </c>
      <c r="BE154" s="144">
        <v>0.5</v>
      </c>
      <c r="BF154" s="144">
        <v>0.66666666666666663</v>
      </c>
      <c r="BG154" s="144">
        <v>0</v>
      </c>
      <c r="BH154" s="144">
        <v>0</v>
      </c>
      <c r="BI154" s="144">
        <v>0</v>
      </c>
      <c r="BJ154" s="144">
        <v>0</v>
      </c>
      <c r="BK154" s="144">
        <v>0</v>
      </c>
      <c r="BL154" s="144">
        <v>0</v>
      </c>
      <c r="BM154" s="144">
        <v>0</v>
      </c>
      <c r="BN154" s="144">
        <v>0</v>
      </c>
      <c r="BO154" s="144">
        <v>0</v>
      </c>
      <c r="BP154" s="144">
        <v>0</v>
      </c>
      <c r="BQ154" s="144">
        <v>0</v>
      </c>
      <c r="BR154" s="144">
        <v>0</v>
      </c>
      <c r="BS154" s="144">
        <v>0</v>
      </c>
      <c r="BT154" s="144">
        <v>0</v>
      </c>
      <c r="BU154" s="144">
        <v>0</v>
      </c>
      <c r="BV154" s="144">
        <v>0</v>
      </c>
      <c r="BW154" s="144">
        <v>0</v>
      </c>
      <c r="BX154" s="144">
        <v>0</v>
      </c>
      <c r="BY154" s="144">
        <v>0</v>
      </c>
      <c r="BZ154" s="144">
        <v>0</v>
      </c>
      <c r="CA154" s="144">
        <v>0</v>
      </c>
      <c r="CB154" s="144">
        <v>0</v>
      </c>
      <c r="CC154" s="144">
        <v>0</v>
      </c>
      <c r="CD154" s="144">
        <v>0</v>
      </c>
      <c r="CE154" s="144">
        <v>0</v>
      </c>
      <c r="CF154" s="144">
        <v>0</v>
      </c>
      <c r="CG154" s="144">
        <v>0</v>
      </c>
      <c r="CH154" s="144">
        <v>0</v>
      </c>
      <c r="CI154" s="144">
        <v>0</v>
      </c>
      <c r="CJ154" s="144">
        <v>0</v>
      </c>
      <c r="CK154" s="144">
        <v>0</v>
      </c>
      <c r="CL154" s="144">
        <v>0</v>
      </c>
      <c r="CM154" s="144">
        <v>0</v>
      </c>
      <c r="CN154" s="144">
        <v>0</v>
      </c>
      <c r="CO154" s="144">
        <v>0</v>
      </c>
      <c r="CP154" s="144">
        <v>0</v>
      </c>
      <c r="CQ154" s="143">
        <v>0</v>
      </c>
      <c r="CR154" s="145">
        <v>0</v>
      </c>
      <c r="CS154" s="145">
        <v>0</v>
      </c>
      <c r="CT154" s="145">
        <v>0</v>
      </c>
      <c r="CU154" s="145">
        <v>0</v>
      </c>
      <c r="CV154" s="145">
        <v>0</v>
      </c>
      <c r="CW154" s="145">
        <v>0</v>
      </c>
      <c r="CX154" s="145">
        <v>0</v>
      </c>
      <c r="CY154" s="145">
        <v>0</v>
      </c>
      <c r="CZ154" s="145">
        <v>0</v>
      </c>
      <c r="DA154" s="145">
        <v>0</v>
      </c>
      <c r="DB154" s="145">
        <v>0</v>
      </c>
      <c r="DC154" s="145">
        <v>0</v>
      </c>
      <c r="DD154" s="145">
        <v>0</v>
      </c>
      <c r="DE154" s="145">
        <v>0</v>
      </c>
      <c r="DF154" s="145">
        <v>22652.7</v>
      </c>
      <c r="DG154" s="145">
        <v>16989.525000000001</v>
      </c>
      <c r="DH154" s="145">
        <v>22652.7</v>
      </c>
      <c r="DI154" s="145">
        <v>22652.7</v>
      </c>
      <c r="DJ154" s="145">
        <v>23326.799999999999</v>
      </c>
      <c r="DK154" s="145">
        <v>23326.799999999999</v>
      </c>
      <c r="DL154" s="145">
        <v>23326.799999999999</v>
      </c>
      <c r="DM154" s="145">
        <v>23326.799999999999</v>
      </c>
      <c r="DN154" s="145">
        <v>23326.799999999999</v>
      </c>
      <c r="DO154" s="145">
        <v>17495.100000000002</v>
      </c>
      <c r="DP154" s="145">
        <v>17495.100000000002</v>
      </c>
      <c r="DQ154" s="145">
        <v>23326.799999999999</v>
      </c>
      <c r="DR154" s="145">
        <v>23326.799999999999</v>
      </c>
      <c r="DS154" s="145">
        <v>17495.100000000002</v>
      </c>
      <c r="DT154" s="145">
        <v>25326.240000000002</v>
      </c>
      <c r="DU154" s="145">
        <v>25326.240000000002</v>
      </c>
      <c r="DV154" s="145">
        <v>24031.7</v>
      </c>
      <c r="DW154" s="145">
        <v>24031.7</v>
      </c>
      <c r="DX154" s="145">
        <v>24031.7</v>
      </c>
      <c r="DY154" s="145">
        <v>24031.7</v>
      </c>
      <c r="DZ154" s="145">
        <v>24031.7</v>
      </c>
      <c r="EA154" s="145">
        <v>18023.775000000001</v>
      </c>
      <c r="EB154" s="145">
        <v>18023.775000000001</v>
      </c>
      <c r="EC154" s="145">
        <v>24031.7</v>
      </c>
      <c r="ED154" s="145">
        <v>24031.7</v>
      </c>
      <c r="EE154" s="145">
        <v>18023.775000000001</v>
      </c>
      <c r="EF154" s="145">
        <v>26091.56</v>
      </c>
      <c r="EG154" s="145">
        <v>26091.56</v>
      </c>
      <c r="EH154" s="145">
        <v>24752</v>
      </c>
      <c r="EI154" s="145">
        <v>24752</v>
      </c>
      <c r="EJ154" s="145">
        <v>24752</v>
      </c>
      <c r="EK154" s="145">
        <v>24752</v>
      </c>
      <c r="EL154" s="145">
        <v>24752</v>
      </c>
      <c r="EM154" s="145">
        <v>24752</v>
      </c>
      <c r="EN154" s="145">
        <v>0</v>
      </c>
      <c r="EO154" s="145">
        <v>0</v>
      </c>
      <c r="EP154" s="145">
        <v>0</v>
      </c>
      <c r="EQ154" s="145">
        <v>0</v>
      </c>
      <c r="ER154" s="145">
        <v>0</v>
      </c>
      <c r="ES154" s="145">
        <v>0</v>
      </c>
      <c r="ET154" s="145">
        <v>0</v>
      </c>
      <c r="EU154" s="145">
        <v>0</v>
      </c>
      <c r="EV154" s="145">
        <v>0</v>
      </c>
      <c r="EW154" s="145">
        <v>0</v>
      </c>
      <c r="EX154" s="145">
        <v>0</v>
      </c>
      <c r="EY154" s="145">
        <v>0</v>
      </c>
      <c r="EZ154" s="145">
        <v>0</v>
      </c>
      <c r="FA154" s="145">
        <v>0</v>
      </c>
      <c r="FB154" s="145">
        <v>0</v>
      </c>
      <c r="FC154" s="145">
        <v>0</v>
      </c>
      <c r="FD154" s="145">
        <v>0</v>
      </c>
      <c r="FE154" s="145">
        <v>0</v>
      </c>
      <c r="FF154" s="145">
        <v>0</v>
      </c>
      <c r="FG154" s="145">
        <v>0</v>
      </c>
      <c r="FH154" s="145">
        <v>0</v>
      </c>
      <c r="FI154" s="145">
        <v>0</v>
      </c>
      <c r="FJ154" s="145">
        <v>0</v>
      </c>
      <c r="FK154" s="145">
        <v>0</v>
      </c>
      <c r="FL154" s="145">
        <v>0</v>
      </c>
      <c r="FM154" s="145">
        <v>0</v>
      </c>
      <c r="FN154" s="145">
        <v>0</v>
      </c>
      <c r="FO154" s="145">
        <v>0</v>
      </c>
      <c r="FP154" s="145">
        <v>0</v>
      </c>
      <c r="FQ154" s="145">
        <v>0</v>
      </c>
      <c r="FR154" s="145">
        <v>0</v>
      </c>
      <c r="FS154" s="145">
        <v>0</v>
      </c>
      <c r="FT154" s="145">
        <v>0</v>
      </c>
      <c r="FU154" s="145">
        <v>0</v>
      </c>
      <c r="FV154" s="145">
        <v>0</v>
      </c>
      <c r="FW154" s="145">
        <v>0</v>
      </c>
      <c r="FX154" s="143"/>
      <c r="FY154" s="146" t="str">
        <f>_xlfn.XLOOKUP($E154,'Key assumptions'!$B$112:$B$120,'Key assumptions'!$C$112:$C$120,0)</f>
        <v>Nominal</v>
      </c>
      <c r="FZ154" s="146" cm="1">
        <f t="array" ref="FZ154">IF($FY154=0,0,_xlfn.IFS($FY154='Key assumptions'!$C$120,_xlfn.XLOOKUP(LEFT(FZ$7,6),Inflation_Year,Inflation_NominaltoReal),TRUE,_xlfn.XLOOKUP($FY154,Inflation_Year,NominaltoReal)))</f>
        <v>1.0197075870962191</v>
      </c>
      <c r="GA154" s="146" cm="1">
        <f t="array" ref="GA154">IF($FY154=0,0,_xlfn.IFS($FY154='Key assumptions'!$C$120,_xlfn.XLOOKUP(LEFT(GA$7,6),Inflation_Year,Inflation_NominaltoReal),TRUE,_xlfn.XLOOKUP($FY154,Inflation_Year,NominaltoReal)))</f>
        <v>0.98700804022984445</v>
      </c>
      <c r="GB154" s="146" cm="1">
        <f t="array" ref="GB154">IF($FY154=0,0,_xlfn.IFS($FY154='Key assumptions'!$C$120,_xlfn.XLOOKUP(LEFT(GB$7,6),Inflation_Year,Inflation_NominaltoReal),TRUE,_xlfn.XLOOKUP($FY154,Inflation_Year,NominaltoReal)))</f>
        <v>0.96152830081941731</v>
      </c>
      <c r="GC154" s="146" cm="1">
        <f t="array" ref="GC154">IF($FY154=0,0,_xlfn.IFS($FY154='Key assumptions'!$C$120,_xlfn.XLOOKUP(LEFT(GC$7,6),Inflation_Year,Inflation_NominaltoReal),TRUE,_xlfn.XLOOKUP($FY154,Inflation_Year,NominaltoReal)))</f>
        <v>0.93670632415656829</v>
      </c>
      <c r="GD154" s="146" cm="1">
        <f t="array" ref="GD154">IF($FY154=0,0,_xlfn.IFS($FY154='Key assumptions'!$C$120,_xlfn.XLOOKUP(LEFT(GD$7,6),Inflation_Year,Inflation_NominaltoReal),TRUE,_xlfn.XLOOKUP($FY154,Inflation_Year,NominaltoReal)))</f>
        <v>0.91252513001143176</v>
      </c>
      <c r="GE154" s="146" cm="1">
        <f t="array" ref="GE154">IF($FY154=0,0,_xlfn.IFS($FY154='Key assumptions'!$C$120,_xlfn.XLOOKUP(LEFT(GE$7,6),Inflation_Year,Inflation_NominaltoReal),TRUE,_xlfn.XLOOKUP($FY154,Inflation_Year,NominaltoReal)))</f>
        <v>0.88896817650095872</v>
      </c>
      <c r="GF154" s="146" cm="1">
        <f t="array" ref="GF154">IF($FY154=0,0,_xlfn.IFS($FY154='Key assumptions'!$C$120,_xlfn.XLOOKUP(LEFT(GF$7,6),Inflation_Year,Inflation_NominaltoReal),TRUE,_xlfn.XLOOKUP($FY154,Inflation_Year,NominaltoReal)))</f>
        <v>0.86601934877293718</v>
      </c>
      <c r="GG154" s="143"/>
      <c r="GH154" s="145" cm="1">
        <f t="array" ref="GH154">SUMPRODUCT(--($CR$7:$FW$7&gt;=GH$5),--($CR$7:$FW$7&lt;=GH$6),$CR154:$FW154)*FZ154</f>
        <v>157981.28254633272</v>
      </c>
      <c r="GI154" s="145" cm="1">
        <f t="array" ref="GI154">SUMPRODUCT(--($CR$7:$FW$7&gt;=GI$5),--($CR$7:$FW$7&lt;=GI$6),$CR154:$FW154)*GA154</f>
        <v>265051.21808396565</v>
      </c>
      <c r="GJ154" s="145" cm="1">
        <f t="array" ref="GJ154">SUMPRODUCT(--($CR$7:$FW$7&gt;=GJ$5),--($CR$7:$FW$7&lt;=GJ$6),$CR154:$FW154)*GB154</f>
        <v>265994.54012821487</v>
      </c>
      <c r="GK154" s="145" cm="1">
        <f t="array" ref="GK154">SUMPRODUCT(--($CR$7:$FW$7&gt;=GK$5),--($CR$7:$FW$7&lt;=GK$6),$CR154:$FW154)*GC154</f>
        <v>69556.064806570139</v>
      </c>
      <c r="GL154" s="145" cm="1">
        <f t="array" ref="GL154">SUMPRODUCT(--($CR$7:$FW$7&gt;=GL$5),--($CR$7:$FW$7&lt;=GL$6),$CR154:$FW154)*GD154</f>
        <v>0</v>
      </c>
      <c r="GM154" s="145" cm="1">
        <f t="array" ref="GM154">SUMPRODUCT(--($CR$7:$FW$7&gt;=GM$5),--($CR$7:$FW$7&lt;=GM$6),$CR154:$FW154)*GE154</f>
        <v>0</v>
      </c>
      <c r="GN154" s="145" cm="1">
        <f t="array" ref="GN154">SUMPRODUCT(--($CR$7:$FW$7&gt;=GN$5),--($CR$7:$FW$7&lt;=GN$6),$CR154:$FW154)*GF154</f>
        <v>0</v>
      </c>
      <c r="GO154" s="145">
        <f t="shared" si="46"/>
        <v>758583.10556508345</v>
      </c>
      <c r="GP154" s="87"/>
      <c r="GR154" s="145" cm="1">
        <f t="array" ref="GR154">SUMPRODUCT(--($CR$7:$FW$7&gt;=GR$5),--($CR$7:$FW$7&lt;=GR$6),$CR154:$FW154)</f>
        <v>84947.625</v>
      </c>
      <c r="GT154" s="214" cm="1">
        <f t="array" ref="GT154">--AND(MIN(IF($K154:$CP154&lt;&gt;0,$K$7:$CP$7))&gt;=GT$5,MIN(IF($K154:$CP154&lt;&gt;0,$K$7:$CP$7))&lt;=GT$6)</f>
        <v>1</v>
      </c>
      <c r="GU154" s="214" cm="1">
        <f t="array" ref="GU154">--AND(MIN(IF($K154:$CP154&lt;&gt;0,$K$7:$CP$7))&gt;=GU$5,MIN(IF($K154:$CP154&lt;&gt;0,$K$7:$CP$7))&lt;=GU$6)</f>
        <v>0</v>
      </c>
      <c r="GV154" s="214" cm="1">
        <f t="array" ref="GV154">--AND(MIN(IF($K154:$CP154&lt;&gt;0,$K$7:$CP$7))&gt;=GV$5,MIN(IF($K154:$CP154&lt;&gt;0,$K$7:$CP$7))&lt;=GV$6)</f>
        <v>0</v>
      </c>
      <c r="GW154" s="214" cm="1">
        <f t="array" ref="GW154">--AND(MIN(IF($K154:$CP154&lt;&gt;0,$K$7:$CP$7))&gt;=GW$5,MIN(IF($K154:$CP154&lt;&gt;0,$K$7:$CP$7))&lt;=GW$6)</f>
        <v>0</v>
      </c>
      <c r="GX154" s="214" cm="1">
        <f t="array" ref="GX154">--AND(MIN(IF($K154:$CP154&lt;&gt;0,$K$7:$CP$7))&gt;=GX$5,MIN(IF($K154:$CP154&lt;&gt;0,$K$7:$CP$7))&lt;=GX$6)</f>
        <v>0</v>
      </c>
      <c r="GY154" s="214" cm="1">
        <f t="array" ref="GY154">--AND(MIN(IF($K154:$CP154&lt;&gt;0,$K$7:$CP$7))&gt;=GY$5,MIN(IF($K154:$CP154&lt;&gt;0,$K$7:$CP$7))&lt;=GY$6)</f>
        <v>0</v>
      </c>
      <c r="GZ154" s="214" cm="1">
        <f t="array" ref="GZ154">--AND(MIN(IF($K154:$CP154&lt;&gt;0,$K$7:$CP$7))&gt;=GZ$5,MIN(IF($K154:$CP154&lt;&gt;0,$K$7:$CP$7))&lt;=GZ$6)</f>
        <v>0</v>
      </c>
      <c r="HA154" s="214">
        <f t="shared" si="47"/>
        <v>1</v>
      </c>
      <c r="HC154" s="214" cm="1">
        <f t="array" ref="HC154">--AND(MIN(IF($K154:$CP154&lt;&gt;0,$K$7:$CP$7))&gt;=HC$5,MIN(IF($K154:$CP154&lt;&gt;0,$K$7:$CP$7))&lt;=HC$6)</f>
        <v>1</v>
      </c>
      <c r="HE154" s="147" t="str">
        <f t="shared" si="66"/>
        <v>Yes</v>
      </c>
      <c r="HF154" s="147" t="str">
        <f t="shared" si="67"/>
        <v>No</v>
      </c>
      <c r="HG154" s="147">
        <f>IF($HF154="Yes",0,$H154*avg_hrs*12*'Key assumptions'!$D$87)</f>
        <v>595904.88203629851</v>
      </c>
      <c r="HH154" s="147">
        <f>IF(HE154="Yes",'Key assumptions'!$D$84*HG154,0)</f>
        <v>89385.732305444777</v>
      </c>
      <c r="HI154" s="144">
        <f>IFERROR(AVERAGEIFS($K154:$CP154,$K$7:$CP$7,"&gt;="&amp;'Key assumptions'!$D$24,$K$7:$CP$7,"&lt;="&amp;'Key assumptions'!$D$25),0)</f>
        <v>0.3883572567783094</v>
      </c>
      <c r="HJ154" s="148">
        <f t="shared" si="48"/>
        <v>34713.597793262845</v>
      </c>
      <c r="HK154" s="148">
        <f t="shared" si="49"/>
        <v>34713.597793262845</v>
      </c>
      <c r="HL154" s="148">
        <f t="shared" si="50"/>
        <v>0</v>
      </c>
      <c r="HM154" s="148">
        <f t="shared" si="51"/>
        <v>0</v>
      </c>
      <c r="HN154" s="148">
        <f t="shared" si="52"/>
        <v>0</v>
      </c>
      <c r="HO154" s="148">
        <f t="shared" si="53"/>
        <v>0</v>
      </c>
      <c r="HP154" s="148">
        <f t="shared" si="54"/>
        <v>0</v>
      </c>
      <c r="HQ154" s="148">
        <f t="shared" si="55"/>
        <v>0</v>
      </c>
      <c r="HR154" s="147">
        <f t="shared" si="56"/>
        <v>34713.597793262845</v>
      </c>
      <c r="HU154" s="147">
        <f>$HJ154*HC154/(1+'Key assumptions'!G176)^0.75</f>
        <v>34713.597793262845</v>
      </c>
      <c r="HW154" s="216">
        <f t="shared" si="57"/>
        <v>0.3883572567783094</v>
      </c>
      <c r="HX154" s="216">
        <f t="shared" si="58"/>
        <v>0</v>
      </c>
      <c r="HY154" s="216">
        <f t="shared" si="59"/>
        <v>0</v>
      </c>
      <c r="HZ154" s="216">
        <f t="shared" si="60"/>
        <v>0</v>
      </c>
      <c r="IA154" s="216">
        <f t="shared" si="61"/>
        <v>0</v>
      </c>
      <c r="IB154" s="216">
        <f t="shared" si="62"/>
        <v>0</v>
      </c>
      <c r="IC154" s="216">
        <f t="shared" si="63"/>
        <v>0</v>
      </c>
      <c r="ID154" s="216">
        <f t="shared" si="64"/>
        <v>0.3883572567783094</v>
      </c>
      <c r="IF154" s="216">
        <f t="shared" si="65"/>
        <v>0.3883572567783094</v>
      </c>
    </row>
    <row r="155" spans="2:240" x14ac:dyDescent="0.2">
      <c r="B155" s="141" t="str">
        <v>Project Delivery Management - Commercial Management</v>
      </c>
      <c r="C155" s="141" t="str">
        <v>Contract Administrator (Commercial)</v>
      </c>
      <c r="D155" s="141" t="str">
        <v>Internal Labour</v>
      </c>
      <c r="E155" s="141" t="str">
        <v>$ Nominal</v>
      </c>
      <c r="F155" s="141" t="str">
        <v>New</v>
      </c>
      <c r="G155" s="141" t="str">
        <v>Normal time</v>
      </c>
      <c r="H155" s="142">
        <v>202.73</v>
      </c>
      <c r="I155" s="126">
        <v>476016.60000000003</v>
      </c>
      <c r="J155" s="143">
        <v>0</v>
      </c>
      <c r="K155" s="144">
        <v>0</v>
      </c>
      <c r="L155" s="144">
        <v>0</v>
      </c>
      <c r="M155" s="144">
        <v>0</v>
      </c>
      <c r="N155" s="144">
        <v>0</v>
      </c>
      <c r="O155" s="144">
        <v>0</v>
      </c>
      <c r="P155" s="144">
        <v>0</v>
      </c>
      <c r="Q155" s="144">
        <v>0</v>
      </c>
      <c r="R155" s="144">
        <v>0</v>
      </c>
      <c r="S155" s="144">
        <v>0</v>
      </c>
      <c r="T155" s="144">
        <v>0</v>
      </c>
      <c r="U155" s="144">
        <v>0</v>
      </c>
      <c r="V155" s="144">
        <v>0</v>
      </c>
      <c r="W155" s="144">
        <v>0</v>
      </c>
      <c r="X155" s="144">
        <v>0</v>
      </c>
      <c r="Y155" s="144">
        <v>0.5</v>
      </c>
      <c r="Z155" s="144">
        <v>0.5</v>
      </c>
      <c r="AA155" s="144">
        <v>0.46052631578947367</v>
      </c>
      <c r="AB155" s="144">
        <v>0.46052631578947367</v>
      </c>
      <c r="AC155" s="144">
        <v>0.5</v>
      </c>
      <c r="AD155" s="144">
        <v>0.5</v>
      </c>
      <c r="AE155" s="144">
        <v>0.5</v>
      </c>
      <c r="AF155" s="144">
        <v>0.5</v>
      </c>
      <c r="AG155" s="144">
        <v>0.5</v>
      </c>
      <c r="AH155" s="144">
        <v>0.5</v>
      </c>
      <c r="AI155" s="144">
        <v>0.5</v>
      </c>
      <c r="AJ155" s="144">
        <v>0.5</v>
      </c>
      <c r="AK155" s="144">
        <v>0.5</v>
      </c>
      <c r="AL155" s="144">
        <v>0.5</v>
      </c>
      <c r="AM155" s="144">
        <v>0.5</v>
      </c>
      <c r="AN155" s="144">
        <v>0.5</v>
      </c>
      <c r="AO155" s="144">
        <v>0.5</v>
      </c>
      <c r="AP155" s="144">
        <v>0.5</v>
      </c>
      <c r="AQ155" s="144">
        <v>0.5</v>
      </c>
      <c r="AR155" s="144">
        <v>0.5</v>
      </c>
      <c r="AS155" s="144">
        <v>0.5</v>
      </c>
      <c r="AT155" s="144">
        <v>0.5</v>
      </c>
      <c r="AU155" s="144">
        <v>0.5</v>
      </c>
      <c r="AV155" s="144">
        <v>0.5</v>
      </c>
      <c r="AW155" s="144">
        <v>0.5</v>
      </c>
      <c r="AX155" s="144">
        <v>0.5</v>
      </c>
      <c r="AY155" s="144">
        <v>0.5</v>
      </c>
      <c r="AZ155" s="144">
        <v>0.5</v>
      </c>
      <c r="BA155" s="144">
        <v>0.5</v>
      </c>
      <c r="BB155" s="144">
        <v>0.5</v>
      </c>
      <c r="BC155" s="144">
        <v>0.5</v>
      </c>
      <c r="BD155" s="144">
        <v>0.5</v>
      </c>
      <c r="BE155" s="144">
        <v>0.5</v>
      </c>
      <c r="BF155" s="144">
        <v>0.66666666666666663</v>
      </c>
      <c r="BG155" s="144">
        <v>0</v>
      </c>
      <c r="BH155" s="144">
        <v>0</v>
      </c>
      <c r="BI155" s="144">
        <v>0</v>
      </c>
      <c r="BJ155" s="144">
        <v>0</v>
      </c>
      <c r="BK155" s="144">
        <v>0</v>
      </c>
      <c r="BL155" s="144">
        <v>0</v>
      </c>
      <c r="BM155" s="144">
        <v>0</v>
      </c>
      <c r="BN155" s="144">
        <v>0</v>
      </c>
      <c r="BO155" s="144">
        <v>0</v>
      </c>
      <c r="BP155" s="144">
        <v>0</v>
      </c>
      <c r="BQ155" s="144">
        <v>0</v>
      </c>
      <c r="BR155" s="144">
        <v>0</v>
      </c>
      <c r="BS155" s="144">
        <v>0</v>
      </c>
      <c r="BT155" s="144">
        <v>0</v>
      </c>
      <c r="BU155" s="144">
        <v>0</v>
      </c>
      <c r="BV155" s="144">
        <v>0</v>
      </c>
      <c r="BW155" s="144">
        <v>0</v>
      </c>
      <c r="BX155" s="144">
        <v>0</v>
      </c>
      <c r="BY155" s="144">
        <v>0</v>
      </c>
      <c r="BZ155" s="144">
        <v>0</v>
      </c>
      <c r="CA155" s="144">
        <v>0</v>
      </c>
      <c r="CB155" s="144">
        <v>0</v>
      </c>
      <c r="CC155" s="144">
        <v>0</v>
      </c>
      <c r="CD155" s="144">
        <v>0</v>
      </c>
      <c r="CE155" s="144">
        <v>0</v>
      </c>
      <c r="CF155" s="144">
        <v>0</v>
      </c>
      <c r="CG155" s="144">
        <v>0</v>
      </c>
      <c r="CH155" s="144">
        <v>0</v>
      </c>
      <c r="CI155" s="144">
        <v>0</v>
      </c>
      <c r="CJ155" s="144">
        <v>0</v>
      </c>
      <c r="CK155" s="144">
        <v>0</v>
      </c>
      <c r="CL155" s="144">
        <v>0</v>
      </c>
      <c r="CM155" s="144">
        <v>0</v>
      </c>
      <c r="CN155" s="144">
        <v>0</v>
      </c>
      <c r="CO155" s="144">
        <v>0</v>
      </c>
      <c r="CP155" s="144">
        <v>0</v>
      </c>
      <c r="CQ155" s="143">
        <v>0</v>
      </c>
      <c r="CR155" s="145">
        <v>0</v>
      </c>
      <c r="CS155" s="145">
        <v>0</v>
      </c>
      <c r="CT155" s="145">
        <v>0</v>
      </c>
      <c r="CU155" s="145">
        <v>0</v>
      </c>
      <c r="CV155" s="145">
        <v>0</v>
      </c>
      <c r="CW155" s="145">
        <v>0</v>
      </c>
      <c r="CX155" s="145">
        <v>0</v>
      </c>
      <c r="CY155" s="145">
        <v>0</v>
      </c>
      <c r="CZ155" s="145">
        <v>0</v>
      </c>
      <c r="DA155" s="145">
        <v>0</v>
      </c>
      <c r="DB155" s="145">
        <v>0</v>
      </c>
      <c r="DC155" s="145">
        <v>0</v>
      </c>
      <c r="DD155" s="145">
        <v>0</v>
      </c>
      <c r="DE155" s="145">
        <v>0</v>
      </c>
      <c r="DF155" s="145">
        <v>14191.099999999999</v>
      </c>
      <c r="DG155" s="145">
        <v>10643.324999999999</v>
      </c>
      <c r="DH155" s="145">
        <v>14191.099999999999</v>
      </c>
      <c r="DI155" s="145">
        <v>14191.099999999999</v>
      </c>
      <c r="DJ155" s="145">
        <v>14191.099999999999</v>
      </c>
      <c r="DK155" s="145">
        <v>14191.099999999999</v>
      </c>
      <c r="DL155" s="145">
        <v>14191.099999999999</v>
      </c>
      <c r="DM155" s="145">
        <v>14191.099999999999</v>
      </c>
      <c r="DN155" s="145">
        <v>14191.099999999999</v>
      </c>
      <c r="DO155" s="145">
        <v>10643.324999999999</v>
      </c>
      <c r="DP155" s="145">
        <v>10643.324999999999</v>
      </c>
      <c r="DQ155" s="145">
        <v>14191.099999999999</v>
      </c>
      <c r="DR155" s="145">
        <v>14622.3</v>
      </c>
      <c r="DS155" s="145">
        <v>10966.724999999999</v>
      </c>
      <c r="DT155" s="145">
        <v>15875.64</v>
      </c>
      <c r="DU155" s="145">
        <v>15875.64</v>
      </c>
      <c r="DV155" s="145">
        <v>14622.3</v>
      </c>
      <c r="DW155" s="145">
        <v>14622.3</v>
      </c>
      <c r="DX155" s="145">
        <v>14622.3</v>
      </c>
      <c r="DY155" s="145">
        <v>14622.3</v>
      </c>
      <c r="DZ155" s="145">
        <v>14622.3</v>
      </c>
      <c r="EA155" s="145">
        <v>10966.724999999999</v>
      </c>
      <c r="EB155" s="145">
        <v>10966.724999999999</v>
      </c>
      <c r="EC155" s="145">
        <v>14622.3</v>
      </c>
      <c r="ED155" s="145">
        <v>15054.2</v>
      </c>
      <c r="EE155" s="145">
        <v>11290.65</v>
      </c>
      <c r="EF155" s="145">
        <v>16344.56</v>
      </c>
      <c r="EG155" s="145">
        <v>16344.56</v>
      </c>
      <c r="EH155" s="145">
        <v>15054.2</v>
      </c>
      <c r="EI155" s="145">
        <v>15054.2</v>
      </c>
      <c r="EJ155" s="145">
        <v>15054.2</v>
      </c>
      <c r="EK155" s="145">
        <v>15054.2</v>
      </c>
      <c r="EL155" s="145">
        <v>15054.2</v>
      </c>
      <c r="EM155" s="145">
        <v>15054.2</v>
      </c>
      <c r="EN155" s="145">
        <v>0</v>
      </c>
      <c r="EO155" s="145">
        <v>0</v>
      </c>
      <c r="EP155" s="145">
        <v>0</v>
      </c>
      <c r="EQ155" s="145">
        <v>0</v>
      </c>
      <c r="ER155" s="145">
        <v>0</v>
      </c>
      <c r="ES155" s="145">
        <v>0</v>
      </c>
      <c r="ET155" s="145">
        <v>0</v>
      </c>
      <c r="EU155" s="145">
        <v>0</v>
      </c>
      <c r="EV155" s="145">
        <v>0</v>
      </c>
      <c r="EW155" s="145">
        <v>0</v>
      </c>
      <c r="EX155" s="145">
        <v>0</v>
      </c>
      <c r="EY155" s="145">
        <v>0</v>
      </c>
      <c r="EZ155" s="145">
        <v>0</v>
      </c>
      <c r="FA155" s="145">
        <v>0</v>
      </c>
      <c r="FB155" s="145">
        <v>0</v>
      </c>
      <c r="FC155" s="145">
        <v>0</v>
      </c>
      <c r="FD155" s="145">
        <v>0</v>
      </c>
      <c r="FE155" s="145">
        <v>0</v>
      </c>
      <c r="FF155" s="145">
        <v>0</v>
      </c>
      <c r="FG155" s="145">
        <v>0</v>
      </c>
      <c r="FH155" s="145">
        <v>0</v>
      </c>
      <c r="FI155" s="145">
        <v>0</v>
      </c>
      <c r="FJ155" s="145">
        <v>0</v>
      </c>
      <c r="FK155" s="145">
        <v>0</v>
      </c>
      <c r="FL155" s="145">
        <v>0</v>
      </c>
      <c r="FM155" s="145">
        <v>0</v>
      </c>
      <c r="FN155" s="145">
        <v>0</v>
      </c>
      <c r="FO155" s="145">
        <v>0</v>
      </c>
      <c r="FP155" s="145">
        <v>0</v>
      </c>
      <c r="FQ155" s="145">
        <v>0</v>
      </c>
      <c r="FR155" s="145">
        <v>0</v>
      </c>
      <c r="FS155" s="145">
        <v>0</v>
      </c>
      <c r="FT155" s="145">
        <v>0</v>
      </c>
      <c r="FU155" s="145">
        <v>0</v>
      </c>
      <c r="FV155" s="145">
        <v>0</v>
      </c>
      <c r="FW155" s="145">
        <v>0</v>
      </c>
      <c r="FX155" s="143"/>
      <c r="FY155" s="146" t="str">
        <f>_xlfn.XLOOKUP($E155,'Key assumptions'!$B$112:$B$120,'Key assumptions'!$C$112:$C$120,0)</f>
        <v>Nominal</v>
      </c>
      <c r="FZ155" s="146" cm="1">
        <f t="array" ref="FZ155">IF($FY155=0,0,_xlfn.IFS($FY155='Key assumptions'!$C$120,_xlfn.XLOOKUP(LEFT(FZ$7,6),Inflation_Year,Inflation_NominaltoReal),TRUE,_xlfn.XLOOKUP($FY155,Inflation_Year,NominaltoReal)))</f>
        <v>1.0197075870962191</v>
      </c>
      <c r="GA155" s="146" cm="1">
        <f t="array" ref="GA155">IF($FY155=0,0,_xlfn.IFS($FY155='Key assumptions'!$C$120,_xlfn.XLOOKUP(LEFT(GA$7,6),Inflation_Year,Inflation_NominaltoReal),TRUE,_xlfn.XLOOKUP($FY155,Inflation_Year,NominaltoReal)))</f>
        <v>0.98700804022984445</v>
      </c>
      <c r="GB155" s="146" cm="1">
        <f t="array" ref="GB155">IF($FY155=0,0,_xlfn.IFS($FY155='Key assumptions'!$C$120,_xlfn.XLOOKUP(LEFT(GB$7,6),Inflation_Year,Inflation_NominaltoReal),TRUE,_xlfn.XLOOKUP($FY155,Inflation_Year,NominaltoReal)))</f>
        <v>0.96152830081941731</v>
      </c>
      <c r="GC155" s="146" cm="1">
        <f t="array" ref="GC155">IF($FY155=0,0,_xlfn.IFS($FY155='Key assumptions'!$C$120,_xlfn.XLOOKUP(LEFT(GC$7,6),Inflation_Year,Inflation_NominaltoReal),TRUE,_xlfn.XLOOKUP($FY155,Inflation_Year,NominaltoReal)))</f>
        <v>0.93670632415656829</v>
      </c>
      <c r="GD155" s="146" cm="1">
        <f t="array" ref="GD155">IF($FY155=0,0,_xlfn.IFS($FY155='Key assumptions'!$C$120,_xlfn.XLOOKUP(LEFT(GD$7,6),Inflation_Year,Inflation_NominaltoReal),TRUE,_xlfn.XLOOKUP($FY155,Inflation_Year,NominaltoReal)))</f>
        <v>0.91252513001143176</v>
      </c>
      <c r="GE155" s="146" cm="1">
        <f t="array" ref="GE155">IF($FY155=0,0,_xlfn.IFS($FY155='Key assumptions'!$C$120,_xlfn.XLOOKUP(LEFT(GE$7,6),Inflation_Year,Inflation_NominaltoReal),TRUE,_xlfn.XLOOKUP($FY155,Inflation_Year,NominaltoReal)))</f>
        <v>0.88896817650095872</v>
      </c>
      <c r="GF155" s="146" cm="1">
        <f t="array" ref="GF155">IF($FY155=0,0,_xlfn.IFS($FY155='Key assumptions'!$C$120,_xlfn.XLOOKUP(LEFT(GF$7,6),Inflation_Year,Inflation_NominaltoReal),TRUE,_xlfn.XLOOKUP($FY155,Inflation_Year,NominaltoReal)))</f>
        <v>0.86601934877293718</v>
      </c>
      <c r="GG155" s="143"/>
      <c r="GH155" s="145" cm="1">
        <f t="array" ref="GH155">SUMPRODUCT(--($CR$7:$FW$7&gt;=GH$5),--($CR$7:$FW$7&lt;=GH$6),$CR155:$FW155)*FZ155</f>
        <v>97677.713289877778</v>
      </c>
      <c r="GI155" s="145" cm="1">
        <f t="array" ref="GI155">SUMPRODUCT(--($CR$7:$FW$7&gt;=GI$5),--($CR$7:$FW$7&lt;=GI$6),$CR155:$FW155)*GA155</f>
        <v>162922.60916286591</v>
      </c>
      <c r="GJ155" s="145" cm="1">
        <f t="array" ref="GJ155">SUMPRODUCT(--($CR$7:$FW$7&gt;=GJ$5),--($CR$7:$FW$7&lt;=GJ$6),$CR155:$FW155)*GB155</f>
        <v>163456.84963213443</v>
      </c>
      <c r="GK155" s="145" cm="1">
        <f t="array" ref="GK155">SUMPRODUCT(--($CR$7:$FW$7&gt;=GK$5),--($CR$7:$FW$7&lt;=GK$6),$CR155:$FW155)*GC155</f>
        <v>42304.093035353435</v>
      </c>
      <c r="GL155" s="145" cm="1">
        <f t="array" ref="GL155">SUMPRODUCT(--($CR$7:$FW$7&gt;=GL$5),--($CR$7:$FW$7&lt;=GL$6),$CR155:$FW155)*GD155</f>
        <v>0</v>
      </c>
      <c r="GM155" s="145" cm="1">
        <f t="array" ref="GM155">SUMPRODUCT(--($CR$7:$FW$7&gt;=GM$5),--($CR$7:$FW$7&lt;=GM$6),$CR155:$FW155)*GE155</f>
        <v>0</v>
      </c>
      <c r="GN155" s="145" cm="1">
        <f t="array" ref="GN155">SUMPRODUCT(--($CR$7:$FW$7&gt;=GN$5),--($CR$7:$FW$7&lt;=GN$6),$CR155:$FW155)*GF155</f>
        <v>0</v>
      </c>
      <c r="GO155" s="145">
        <f t="shared" si="46"/>
        <v>466361.26512023155</v>
      </c>
      <c r="GP155" s="87"/>
      <c r="GR155" s="145" cm="1">
        <f t="array" ref="GR155">SUMPRODUCT(--($CR$7:$FW$7&gt;=GR$5),--($CR$7:$FW$7&lt;=GR$6),$CR155:$FW155)</f>
        <v>53216.624999999993</v>
      </c>
      <c r="GT155" s="214" cm="1">
        <f t="array" ref="GT155">--AND(MIN(IF($K155:$CP155&lt;&gt;0,$K$7:$CP$7))&gt;=GT$5,MIN(IF($K155:$CP155&lt;&gt;0,$K$7:$CP$7))&lt;=GT$6)</f>
        <v>1</v>
      </c>
      <c r="GU155" s="214" cm="1">
        <f t="array" ref="GU155">--AND(MIN(IF($K155:$CP155&lt;&gt;0,$K$7:$CP$7))&gt;=GU$5,MIN(IF($K155:$CP155&lt;&gt;0,$K$7:$CP$7))&lt;=GU$6)</f>
        <v>0</v>
      </c>
      <c r="GV155" s="214" cm="1">
        <f t="array" ref="GV155">--AND(MIN(IF($K155:$CP155&lt;&gt;0,$K$7:$CP$7))&gt;=GV$5,MIN(IF($K155:$CP155&lt;&gt;0,$K$7:$CP$7))&lt;=GV$6)</f>
        <v>0</v>
      </c>
      <c r="GW155" s="214" cm="1">
        <f t="array" ref="GW155">--AND(MIN(IF($K155:$CP155&lt;&gt;0,$K$7:$CP$7))&gt;=GW$5,MIN(IF($K155:$CP155&lt;&gt;0,$K$7:$CP$7))&lt;=GW$6)</f>
        <v>0</v>
      </c>
      <c r="GX155" s="214" cm="1">
        <f t="array" ref="GX155">--AND(MIN(IF($K155:$CP155&lt;&gt;0,$K$7:$CP$7))&gt;=GX$5,MIN(IF($K155:$CP155&lt;&gt;0,$K$7:$CP$7))&lt;=GX$6)</f>
        <v>0</v>
      </c>
      <c r="GY155" s="214" cm="1">
        <f t="array" ref="GY155">--AND(MIN(IF($K155:$CP155&lt;&gt;0,$K$7:$CP$7))&gt;=GY$5,MIN(IF($K155:$CP155&lt;&gt;0,$K$7:$CP$7))&lt;=GY$6)</f>
        <v>0</v>
      </c>
      <c r="GZ155" s="214" cm="1">
        <f t="array" ref="GZ155">--AND(MIN(IF($K155:$CP155&lt;&gt;0,$K$7:$CP$7))&gt;=GZ$5,MIN(IF($K155:$CP155&lt;&gt;0,$K$7:$CP$7))&lt;=GZ$6)</f>
        <v>0</v>
      </c>
      <c r="HA155" s="214">
        <f t="shared" si="47"/>
        <v>1</v>
      </c>
      <c r="HC155" s="214" cm="1">
        <f t="array" ref="HC155">--AND(MIN(IF($K155:$CP155&lt;&gt;0,$K$7:$CP$7))&gt;=HC$5,MIN(IF($K155:$CP155&lt;&gt;0,$K$7:$CP$7))&lt;=HC$6)</f>
        <v>1</v>
      </c>
      <c r="HE155" s="147" t="str">
        <f t="shared" si="66"/>
        <v>Yes</v>
      </c>
      <c r="HF155" s="147" t="str">
        <f t="shared" si="67"/>
        <v>No</v>
      </c>
      <c r="HG155" s="147">
        <f>IF($HF155="Yes",0,$H155*avg_hrs*12*'Key assumptions'!$D$87)</f>
        <v>362535.77629630821</v>
      </c>
      <c r="HH155" s="147">
        <f>IF(HE155="Yes",'Key assumptions'!$D$84*HG155,0)</f>
        <v>54380.366444446227</v>
      </c>
      <c r="HI155" s="144">
        <f>IFERROR(AVERAGEIFS($K155:$CP155,$K$7:$CP$7,"&gt;="&amp;'Key assumptions'!$D$24,$K$7:$CP$7,"&lt;="&amp;'Key assumptions'!$D$25),0)</f>
        <v>0.3883572567783094</v>
      </c>
      <c r="HJ155" s="148">
        <f t="shared" si="48"/>
        <v>21119.009934964364</v>
      </c>
      <c r="HK155" s="148">
        <f t="shared" si="49"/>
        <v>21119.009934964364</v>
      </c>
      <c r="HL155" s="148">
        <f t="shared" si="50"/>
        <v>0</v>
      </c>
      <c r="HM155" s="148">
        <f t="shared" si="51"/>
        <v>0</v>
      </c>
      <c r="HN155" s="148">
        <f t="shared" si="52"/>
        <v>0</v>
      </c>
      <c r="HO155" s="148">
        <f t="shared" si="53"/>
        <v>0</v>
      </c>
      <c r="HP155" s="148">
        <f t="shared" si="54"/>
        <v>0</v>
      </c>
      <c r="HQ155" s="148">
        <f t="shared" si="55"/>
        <v>0</v>
      </c>
      <c r="HR155" s="147">
        <f t="shared" si="56"/>
        <v>21119.009934964364</v>
      </c>
      <c r="HU155" s="147">
        <f>$HJ155*HC155/(1+'Key assumptions'!G177)^0.75</f>
        <v>21119.009934964364</v>
      </c>
      <c r="HW155" s="216">
        <f t="shared" si="57"/>
        <v>0.3883572567783094</v>
      </c>
      <c r="HX155" s="216">
        <f t="shared" si="58"/>
        <v>0</v>
      </c>
      <c r="HY155" s="216">
        <f t="shared" si="59"/>
        <v>0</v>
      </c>
      <c r="HZ155" s="216">
        <f t="shared" si="60"/>
        <v>0</v>
      </c>
      <c r="IA155" s="216">
        <f t="shared" si="61"/>
        <v>0</v>
      </c>
      <c r="IB155" s="216">
        <f t="shared" si="62"/>
        <v>0</v>
      </c>
      <c r="IC155" s="216">
        <f t="shared" si="63"/>
        <v>0</v>
      </c>
      <c r="ID155" s="216">
        <f t="shared" si="64"/>
        <v>0.3883572567783094</v>
      </c>
      <c r="IF155" s="216">
        <f t="shared" si="65"/>
        <v>0.3883572567783094</v>
      </c>
    </row>
    <row r="156" spans="2:240" x14ac:dyDescent="0.2">
      <c r="B156" s="141" t="str">
        <v>Project Delivery Management - Construction Management</v>
      </c>
      <c r="C156" s="141" t="str">
        <v>Construction Manager EA (Construction)</v>
      </c>
      <c r="D156" s="141" t="str">
        <v>Internal Labour</v>
      </c>
      <c r="E156" s="141" t="str">
        <v>$ Nominal</v>
      </c>
      <c r="F156" s="141" t="str">
        <v>Existing</v>
      </c>
      <c r="G156" s="141" t="str">
        <v>Normal time</v>
      </c>
      <c r="H156" s="142">
        <v>245.65</v>
      </c>
      <c r="I156" s="126">
        <v>533971.20000000007</v>
      </c>
      <c r="J156" s="143">
        <v>0</v>
      </c>
      <c r="K156" s="144">
        <v>0</v>
      </c>
      <c r="L156" s="144">
        <v>0</v>
      </c>
      <c r="M156" s="144">
        <v>0</v>
      </c>
      <c r="N156" s="144">
        <v>0</v>
      </c>
      <c r="O156" s="144">
        <v>0</v>
      </c>
      <c r="P156" s="144">
        <v>0</v>
      </c>
      <c r="Q156" s="144">
        <v>0</v>
      </c>
      <c r="R156" s="144">
        <v>0</v>
      </c>
      <c r="S156" s="144">
        <v>0</v>
      </c>
      <c r="T156" s="144">
        <v>0</v>
      </c>
      <c r="U156" s="144">
        <v>0</v>
      </c>
      <c r="V156" s="144">
        <v>0</v>
      </c>
      <c r="W156" s="144">
        <v>0</v>
      </c>
      <c r="X156" s="144">
        <v>0</v>
      </c>
      <c r="Y156" s="144">
        <v>0.5</v>
      </c>
      <c r="Z156" s="144">
        <v>0.5</v>
      </c>
      <c r="AA156" s="144">
        <v>0.46052631578947367</v>
      </c>
      <c r="AB156" s="144">
        <v>0.46052631578947367</v>
      </c>
      <c r="AC156" s="144">
        <v>0.5</v>
      </c>
      <c r="AD156" s="144">
        <v>0.5</v>
      </c>
      <c r="AE156" s="144">
        <v>0.5</v>
      </c>
      <c r="AF156" s="144">
        <v>0.5</v>
      </c>
      <c r="AG156" s="144">
        <v>0.5</v>
      </c>
      <c r="AH156" s="144">
        <v>0.5</v>
      </c>
      <c r="AI156" s="144">
        <v>0.5</v>
      </c>
      <c r="AJ156" s="144">
        <v>0.5</v>
      </c>
      <c r="AK156" s="144">
        <v>0.5</v>
      </c>
      <c r="AL156" s="144">
        <v>0.5</v>
      </c>
      <c r="AM156" s="144">
        <v>0.46052631578947367</v>
      </c>
      <c r="AN156" s="144">
        <v>0.46052631578947367</v>
      </c>
      <c r="AO156" s="144">
        <v>0.5</v>
      </c>
      <c r="AP156" s="144">
        <v>0.5</v>
      </c>
      <c r="AQ156" s="144">
        <v>0.5</v>
      </c>
      <c r="AR156" s="144">
        <v>0.5</v>
      </c>
      <c r="AS156" s="144">
        <v>0.5</v>
      </c>
      <c r="AT156" s="144">
        <v>0.5</v>
      </c>
      <c r="AU156" s="144">
        <v>0.5</v>
      </c>
      <c r="AV156" s="144">
        <v>0.5</v>
      </c>
      <c r="AW156" s="144">
        <v>0.5</v>
      </c>
      <c r="AX156" s="144">
        <v>0.5</v>
      </c>
      <c r="AY156" s="144">
        <v>0.46052631578947367</v>
      </c>
      <c r="AZ156" s="144">
        <v>0.46052631578947367</v>
      </c>
      <c r="BA156" s="144">
        <v>0.5</v>
      </c>
      <c r="BB156" s="144">
        <v>0.5</v>
      </c>
      <c r="BC156" s="144">
        <v>0.5</v>
      </c>
      <c r="BD156" s="144">
        <v>0.5</v>
      </c>
      <c r="BE156" s="144">
        <v>0</v>
      </c>
      <c r="BF156" s="144">
        <v>0</v>
      </c>
      <c r="BG156" s="144">
        <v>0</v>
      </c>
      <c r="BH156" s="144">
        <v>0</v>
      </c>
      <c r="BI156" s="144">
        <v>0</v>
      </c>
      <c r="BJ156" s="144">
        <v>0</v>
      </c>
      <c r="BK156" s="144">
        <v>0</v>
      </c>
      <c r="BL156" s="144">
        <v>0</v>
      </c>
      <c r="BM156" s="144">
        <v>0</v>
      </c>
      <c r="BN156" s="144">
        <v>0</v>
      </c>
      <c r="BO156" s="144">
        <v>0</v>
      </c>
      <c r="BP156" s="144">
        <v>0</v>
      </c>
      <c r="BQ156" s="144">
        <v>0</v>
      </c>
      <c r="BR156" s="144">
        <v>0</v>
      </c>
      <c r="BS156" s="144">
        <v>0</v>
      </c>
      <c r="BT156" s="144">
        <v>0</v>
      </c>
      <c r="BU156" s="144">
        <v>0</v>
      </c>
      <c r="BV156" s="144">
        <v>0</v>
      </c>
      <c r="BW156" s="144">
        <v>0</v>
      </c>
      <c r="BX156" s="144">
        <v>0</v>
      </c>
      <c r="BY156" s="144">
        <v>0</v>
      </c>
      <c r="BZ156" s="144">
        <v>0</v>
      </c>
      <c r="CA156" s="144">
        <v>0</v>
      </c>
      <c r="CB156" s="144">
        <v>0</v>
      </c>
      <c r="CC156" s="144">
        <v>0</v>
      </c>
      <c r="CD156" s="144">
        <v>0</v>
      </c>
      <c r="CE156" s="144">
        <v>0</v>
      </c>
      <c r="CF156" s="144">
        <v>0</v>
      </c>
      <c r="CG156" s="144">
        <v>0</v>
      </c>
      <c r="CH156" s="144">
        <v>0</v>
      </c>
      <c r="CI156" s="144">
        <v>0</v>
      </c>
      <c r="CJ156" s="144">
        <v>0</v>
      </c>
      <c r="CK156" s="144">
        <v>0</v>
      </c>
      <c r="CL156" s="144">
        <v>0</v>
      </c>
      <c r="CM156" s="144">
        <v>0</v>
      </c>
      <c r="CN156" s="144">
        <v>0</v>
      </c>
      <c r="CO156" s="144">
        <v>0</v>
      </c>
      <c r="CP156" s="144">
        <v>0</v>
      </c>
      <c r="CQ156" s="143">
        <v>0</v>
      </c>
      <c r="CR156" s="145">
        <v>0</v>
      </c>
      <c r="CS156" s="145">
        <v>0</v>
      </c>
      <c r="CT156" s="145">
        <v>0</v>
      </c>
      <c r="CU156" s="145">
        <v>0</v>
      </c>
      <c r="CV156" s="145">
        <v>0</v>
      </c>
      <c r="CW156" s="145">
        <v>0</v>
      </c>
      <c r="CX156" s="145">
        <v>0</v>
      </c>
      <c r="CY156" s="145">
        <v>0</v>
      </c>
      <c r="CZ156" s="145">
        <v>0</v>
      </c>
      <c r="DA156" s="145">
        <v>0</v>
      </c>
      <c r="DB156" s="145">
        <v>0</v>
      </c>
      <c r="DC156" s="145">
        <v>0</v>
      </c>
      <c r="DD156" s="145">
        <v>0</v>
      </c>
      <c r="DE156" s="145">
        <v>0</v>
      </c>
      <c r="DF156" s="145">
        <v>17195.5</v>
      </c>
      <c r="DG156" s="145">
        <v>12896.625</v>
      </c>
      <c r="DH156" s="145">
        <v>17195.5</v>
      </c>
      <c r="DI156" s="145">
        <v>17195.5</v>
      </c>
      <c r="DJ156" s="145">
        <v>17195.5</v>
      </c>
      <c r="DK156" s="145">
        <v>17195.5</v>
      </c>
      <c r="DL156" s="145">
        <v>17195.5</v>
      </c>
      <c r="DM156" s="145">
        <v>17195.5</v>
      </c>
      <c r="DN156" s="145">
        <v>17195.5</v>
      </c>
      <c r="DO156" s="145">
        <v>12896.625</v>
      </c>
      <c r="DP156" s="145">
        <v>12896.625</v>
      </c>
      <c r="DQ156" s="145">
        <v>17195.5</v>
      </c>
      <c r="DR156" s="145">
        <v>17707.2</v>
      </c>
      <c r="DS156" s="145">
        <v>13280.4</v>
      </c>
      <c r="DT156" s="145">
        <v>17707.2</v>
      </c>
      <c r="DU156" s="145">
        <v>17707.2</v>
      </c>
      <c r="DV156" s="145">
        <v>17707.2</v>
      </c>
      <c r="DW156" s="145">
        <v>17707.2</v>
      </c>
      <c r="DX156" s="145">
        <v>17707.2</v>
      </c>
      <c r="DY156" s="145">
        <v>17707.2</v>
      </c>
      <c r="DZ156" s="145">
        <v>17707.2</v>
      </c>
      <c r="EA156" s="145">
        <v>13280.4</v>
      </c>
      <c r="EB156" s="145">
        <v>13280.4</v>
      </c>
      <c r="EC156" s="145">
        <v>17707.2</v>
      </c>
      <c r="ED156" s="145">
        <v>18234.3</v>
      </c>
      <c r="EE156" s="145">
        <v>13675.725</v>
      </c>
      <c r="EF156" s="145">
        <v>18234.3</v>
      </c>
      <c r="EG156" s="145">
        <v>18234.3</v>
      </c>
      <c r="EH156" s="145">
        <v>18234.3</v>
      </c>
      <c r="EI156" s="145">
        <v>18234.3</v>
      </c>
      <c r="EJ156" s="145">
        <v>18234.3</v>
      </c>
      <c r="EK156" s="145">
        <v>18234.3</v>
      </c>
      <c r="EL156" s="145">
        <v>0</v>
      </c>
      <c r="EM156" s="145">
        <v>0</v>
      </c>
      <c r="EN156" s="145">
        <v>0</v>
      </c>
      <c r="EO156" s="145">
        <v>0</v>
      </c>
      <c r="EP156" s="145">
        <v>0</v>
      </c>
      <c r="EQ156" s="145">
        <v>0</v>
      </c>
      <c r="ER156" s="145">
        <v>0</v>
      </c>
      <c r="ES156" s="145">
        <v>0</v>
      </c>
      <c r="ET156" s="145">
        <v>0</v>
      </c>
      <c r="EU156" s="145">
        <v>0</v>
      </c>
      <c r="EV156" s="145">
        <v>0</v>
      </c>
      <c r="EW156" s="145">
        <v>0</v>
      </c>
      <c r="EX156" s="145">
        <v>0</v>
      </c>
      <c r="EY156" s="145">
        <v>0</v>
      </c>
      <c r="EZ156" s="145">
        <v>0</v>
      </c>
      <c r="FA156" s="145">
        <v>0</v>
      </c>
      <c r="FB156" s="145">
        <v>0</v>
      </c>
      <c r="FC156" s="145">
        <v>0</v>
      </c>
      <c r="FD156" s="145">
        <v>0</v>
      </c>
      <c r="FE156" s="145">
        <v>0</v>
      </c>
      <c r="FF156" s="145">
        <v>0</v>
      </c>
      <c r="FG156" s="145">
        <v>0</v>
      </c>
      <c r="FH156" s="145">
        <v>0</v>
      </c>
      <c r="FI156" s="145">
        <v>0</v>
      </c>
      <c r="FJ156" s="145">
        <v>0</v>
      </c>
      <c r="FK156" s="145">
        <v>0</v>
      </c>
      <c r="FL156" s="145">
        <v>0</v>
      </c>
      <c r="FM156" s="145">
        <v>0</v>
      </c>
      <c r="FN156" s="145">
        <v>0</v>
      </c>
      <c r="FO156" s="145">
        <v>0</v>
      </c>
      <c r="FP156" s="145">
        <v>0</v>
      </c>
      <c r="FQ156" s="145">
        <v>0</v>
      </c>
      <c r="FR156" s="145">
        <v>0</v>
      </c>
      <c r="FS156" s="145">
        <v>0</v>
      </c>
      <c r="FT156" s="145">
        <v>0</v>
      </c>
      <c r="FU156" s="145">
        <v>0</v>
      </c>
      <c r="FV156" s="145">
        <v>0</v>
      </c>
      <c r="FW156" s="145">
        <v>0</v>
      </c>
      <c r="FX156" s="143"/>
      <c r="FY156" s="146" t="str">
        <f>_xlfn.XLOOKUP($E156,'Key assumptions'!$B$112:$B$120,'Key assumptions'!$C$112:$C$120,0)</f>
        <v>Nominal</v>
      </c>
      <c r="FZ156" s="146" cm="1">
        <f t="array" ref="FZ156">IF($FY156=0,0,_xlfn.IFS($FY156='Key assumptions'!$C$120,_xlfn.XLOOKUP(LEFT(FZ$7,6),Inflation_Year,Inflation_NominaltoReal),TRUE,_xlfn.XLOOKUP($FY156,Inflation_Year,NominaltoReal)))</f>
        <v>1.0197075870962191</v>
      </c>
      <c r="GA156" s="146" cm="1">
        <f t="array" ref="GA156">IF($FY156=0,0,_xlfn.IFS($FY156='Key assumptions'!$C$120,_xlfn.XLOOKUP(LEFT(GA$7,6),Inflation_Year,Inflation_NominaltoReal),TRUE,_xlfn.XLOOKUP($FY156,Inflation_Year,NominaltoReal)))</f>
        <v>0.98700804022984445</v>
      </c>
      <c r="GB156" s="146" cm="1">
        <f t="array" ref="GB156">IF($FY156=0,0,_xlfn.IFS($FY156='Key assumptions'!$C$120,_xlfn.XLOOKUP(LEFT(GB$7,6),Inflation_Year,Inflation_NominaltoReal),TRUE,_xlfn.XLOOKUP($FY156,Inflation_Year,NominaltoReal)))</f>
        <v>0.96152830081941731</v>
      </c>
      <c r="GC156" s="146" cm="1">
        <f t="array" ref="GC156">IF($FY156=0,0,_xlfn.IFS($FY156='Key assumptions'!$C$120,_xlfn.XLOOKUP(LEFT(GC$7,6),Inflation_Year,Inflation_NominaltoReal),TRUE,_xlfn.XLOOKUP($FY156,Inflation_Year,NominaltoReal)))</f>
        <v>0.93670632415656829</v>
      </c>
      <c r="GD156" s="146" cm="1">
        <f t="array" ref="GD156">IF($FY156=0,0,_xlfn.IFS($FY156='Key assumptions'!$C$120,_xlfn.XLOOKUP(LEFT(GD$7,6),Inflation_Year,Inflation_NominaltoReal),TRUE,_xlfn.XLOOKUP($FY156,Inflation_Year,NominaltoReal)))</f>
        <v>0.91252513001143176</v>
      </c>
      <c r="GE156" s="146" cm="1">
        <f t="array" ref="GE156">IF($FY156=0,0,_xlfn.IFS($FY156='Key assumptions'!$C$120,_xlfn.XLOOKUP(LEFT(GE$7,6),Inflation_Year,Inflation_NominaltoReal),TRUE,_xlfn.XLOOKUP($FY156,Inflation_Year,NominaltoReal)))</f>
        <v>0.88896817650095872</v>
      </c>
      <c r="GF156" s="146" cm="1">
        <f t="array" ref="GF156">IF($FY156=0,0,_xlfn.IFS($FY156='Key assumptions'!$C$120,_xlfn.XLOOKUP(LEFT(GF$7,6),Inflation_Year,Inflation_NominaltoReal),TRUE,_xlfn.XLOOKUP($FY156,Inflation_Year,NominaltoReal)))</f>
        <v>0.86601934877293718</v>
      </c>
      <c r="GG156" s="143"/>
      <c r="GH156" s="145" cm="1">
        <f t="array" ref="GH156">SUMPRODUCT(--($CR$7:$FW$7&gt;=GH$5),--($CR$7:$FW$7&lt;=GH$6),$CR156:$FW156)*FZ156</f>
        <v>118357.07724391299</v>
      </c>
      <c r="GI156" s="145" cm="1">
        <f t="array" ref="GI156">SUMPRODUCT(--($CR$7:$FW$7&gt;=GI$5),--($CR$7:$FW$7&lt;=GI$6),$CR156:$FW156)*GA156</f>
        <v>194345.18959819118</v>
      </c>
      <c r="GJ156" s="145" cm="1">
        <f t="array" ref="GJ156">SUMPRODUCT(--($CR$7:$FW$7&gt;=GJ$5),--($CR$7:$FW$7&lt;=GJ$6),$CR156:$FW156)*GB156</f>
        <v>194963.25227272575</v>
      </c>
      <c r="GK156" s="145" cm="1">
        <f t="array" ref="GK156">SUMPRODUCT(--($CR$7:$FW$7&gt;=GK$5),--($CR$7:$FW$7&lt;=GK$6),$CR156:$FW156)*GC156</f>
        <v>17080.184126568114</v>
      </c>
      <c r="GL156" s="145" cm="1">
        <f t="array" ref="GL156">SUMPRODUCT(--($CR$7:$FW$7&gt;=GL$5),--($CR$7:$FW$7&lt;=GL$6),$CR156:$FW156)*GD156</f>
        <v>0</v>
      </c>
      <c r="GM156" s="145" cm="1">
        <f t="array" ref="GM156">SUMPRODUCT(--($CR$7:$FW$7&gt;=GM$5),--($CR$7:$FW$7&lt;=GM$6),$CR156:$FW156)*GE156</f>
        <v>0</v>
      </c>
      <c r="GN156" s="145" cm="1">
        <f t="array" ref="GN156">SUMPRODUCT(--($CR$7:$FW$7&gt;=GN$5),--($CR$7:$FW$7&lt;=GN$6),$CR156:$FW156)*GF156</f>
        <v>0</v>
      </c>
      <c r="GO156" s="145">
        <f t="shared" si="46"/>
        <v>524745.70324139798</v>
      </c>
      <c r="GP156" s="87"/>
      <c r="GR156" s="145" cm="1">
        <f t="array" ref="GR156">SUMPRODUCT(--($CR$7:$FW$7&gt;=GR$5),--($CR$7:$FW$7&lt;=GR$6),$CR156:$FW156)</f>
        <v>64483.125</v>
      </c>
      <c r="GT156" s="214" cm="1">
        <f t="array" ref="GT156">--AND(MIN(IF($K156:$CP156&lt;&gt;0,$K$7:$CP$7))&gt;=GT$5,MIN(IF($K156:$CP156&lt;&gt;0,$K$7:$CP$7))&lt;=GT$6)</f>
        <v>1</v>
      </c>
      <c r="GU156" s="214" cm="1">
        <f t="array" ref="GU156">--AND(MIN(IF($K156:$CP156&lt;&gt;0,$K$7:$CP$7))&gt;=GU$5,MIN(IF($K156:$CP156&lt;&gt;0,$K$7:$CP$7))&lt;=GU$6)</f>
        <v>0</v>
      </c>
      <c r="GV156" s="214" cm="1">
        <f t="array" ref="GV156">--AND(MIN(IF($K156:$CP156&lt;&gt;0,$K$7:$CP$7))&gt;=GV$5,MIN(IF($K156:$CP156&lt;&gt;0,$K$7:$CP$7))&lt;=GV$6)</f>
        <v>0</v>
      </c>
      <c r="GW156" s="214" cm="1">
        <f t="array" ref="GW156">--AND(MIN(IF($K156:$CP156&lt;&gt;0,$K$7:$CP$7))&gt;=GW$5,MIN(IF($K156:$CP156&lt;&gt;0,$K$7:$CP$7))&lt;=GW$6)</f>
        <v>0</v>
      </c>
      <c r="GX156" s="214" cm="1">
        <f t="array" ref="GX156">--AND(MIN(IF($K156:$CP156&lt;&gt;0,$K$7:$CP$7))&gt;=GX$5,MIN(IF($K156:$CP156&lt;&gt;0,$K$7:$CP$7))&lt;=GX$6)</f>
        <v>0</v>
      </c>
      <c r="GY156" s="214" cm="1">
        <f t="array" ref="GY156">--AND(MIN(IF($K156:$CP156&lt;&gt;0,$K$7:$CP$7))&gt;=GY$5,MIN(IF($K156:$CP156&lt;&gt;0,$K$7:$CP$7))&lt;=GY$6)</f>
        <v>0</v>
      </c>
      <c r="GZ156" s="214" cm="1">
        <f t="array" ref="GZ156">--AND(MIN(IF($K156:$CP156&lt;&gt;0,$K$7:$CP$7))&gt;=GZ$5,MIN(IF($K156:$CP156&lt;&gt;0,$K$7:$CP$7))&lt;=GZ$6)</f>
        <v>0</v>
      </c>
      <c r="HA156" s="214">
        <f t="shared" si="47"/>
        <v>1</v>
      </c>
      <c r="HC156" s="214" cm="1">
        <f t="array" ref="HC156">--AND(MIN(IF($K156:$CP156&lt;&gt;0,$K$7:$CP$7))&gt;=HC$5,MIN(IF($K156:$CP156&lt;&gt;0,$K$7:$CP$7))&lt;=HC$6)</f>
        <v>1</v>
      </c>
      <c r="HE156" s="147" t="str">
        <f t="shared" si="66"/>
        <v>No</v>
      </c>
      <c r="HF156" s="147" t="str">
        <f t="shared" si="67"/>
        <v>No</v>
      </c>
      <c r="HG156" s="147">
        <f>IF($HF156="Yes",0,$H156*avg_hrs*12*'Key assumptions'!$D$87)</f>
        <v>439288.28218412725</v>
      </c>
      <c r="HH156" s="147">
        <f>IF(HE156="Yes",'Key assumptions'!$D$84*HG156,0)</f>
        <v>0</v>
      </c>
      <c r="HI156" s="144">
        <f>IFERROR(AVERAGEIFS($K156:$CP156,$K$7:$CP$7,"&gt;="&amp;'Key assumptions'!$D$24,$K$7:$CP$7,"&lt;="&amp;'Key assumptions'!$D$25),0)</f>
        <v>0.35825358851674644</v>
      </c>
      <c r="HJ156" s="148">
        <f t="shared" si="48"/>
        <v>0</v>
      </c>
      <c r="HK156" s="148">
        <f t="shared" si="49"/>
        <v>0</v>
      </c>
      <c r="HL156" s="148">
        <f t="shared" si="50"/>
        <v>0</v>
      </c>
      <c r="HM156" s="148">
        <f t="shared" si="51"/>
        <v>0</v>
      </c>
      <c r="HN156" s="148">
        <f t="shared" si="52"/>
        <v>0</v>
      </c>
      <c r="HO156" s="148">
        <f t="shared" si="53"/>
        <v>0</v>
      </c>
      <c r="HP156" s="148">
        <f t="shared" si="54"/>
        <v>0</v>
      </c>
      <c r="HQ156" s="148">
        <f t="shared" si="55"/>
        <v>0</v>
      </c>
      <c r="HR156" s="147">
        <f t="shared" si="56"/>
        <v>0</v>
      </c>
      <c r="HU156" s="147">
        <f>$HJ156*HC156/(1+'Key assumptions'!G178)^0.75</f>
        <v>0</v>
      </c>
      <c r="HW156" s="216">
        <f t="shared" si="57"/>
        <v>0.35825358851674644</v>
      </c>
      <c r="HX156" s="216">
        <f t="shared" si="58"/>
        <v>0</v>
      </c>
      <c r="HY156" s="216">
        <f t="shared" si="59"/>
        <v>0</v>
      </c>
      <c r="HZ156" s="216">
        <f t="shared" si="60"/>
        <v>0</v>
      </c>
      <c r="IA156" s="216">
        <f t="shared" si="61"/>
        <v>0</v>
      </c>
      <c r="IB156" s="216">
        <f t="shared" si="62"/>
        <v>0</v>
      </c>
      <c r="IC156" s="216">
        <f t="shared" si="63"/>
        <v>0</v>
      </c>
      <c r="ID156" s="216">
        <f t="shared" si="64"/>
        <v>0.35825358851674644</v>
      </c>
      <c r="IF156" s="216">
        <f t="shared" si="65"/>
        <v>0.35825358851674644</v>
      </c>
    </row>
    <row r="157" spans="2:240" x14ac:dyDescent="0.2">
      <c r="B157" s="141" t="str">
        <v>Project Delivery Management - Construction Management</v>
      </c>
      <c r="C157" s="141" t="str">
        <v>Construction Manager EA (Construction)</v>
      </c>
      <c r="D157" s="141" t="str">
        <v>Internal Labour</v>
      </c>
      <c r="E157" s="141" t="str">
        <v>$ Nominal</v>
      </c>
      <c r="F157" s="141">
        <v>0</v>
      </c>
      <c r="G157" s="141" t="str">
        <v>Overtime</v>
      </c>
      <c r="H157" s="142">
        <v>245.65</v>
      </c>
      <c r="I157" s="126">
        <v>610248.29999999993</v>
      </c>
      <c r="J157" s="143">
        <v>0</v>
      </c>
      <c r="K157" s="144">
        <v>0</v>
      </c>
      <c r="L157" s="144">
        <v>0</v>
      </c>
      <c r="M157" s="144">
        <v>0</v>
      </c>
      <c r="N157" s="144">
        <v>0</v>
      </c>
      <c r="O157" s="144">
        <v>0</v>
      </c>
      <c r="P157" s="144">
        <v>0</v>
      </c>
      <c r="Q157" s="144">
        <v>0</v>
      </c>
      <c r="R157" s="144">
        <v>0</v>
      </c>
      <c r="S157" s="144">
        <v>0</v>
      </c>
      <c r="T157" s="144">
        <v>0</v>
      </c>
      <c r="U157" s="144">
        <v>0</v>
      </c>
      <c r="V157" s="144">
        <v>0</v>
      </c>
      <c r="W157" s="144">
        <v>0</v>
      </c>
      <c r="X157" s="144">
        <v>0</v>
      </c>
      <c r="Y157" s="144">
        <v>0.2857142857142857</v>
      </c>
      <c r="Z157" s="144">
        <v>0.2857142857142857</v>
      </c>
      <c r="AA157" s="144">
        <v>0.26315789473684209</v>
      </c>
      <c r="AB157" s="144">
        <v>0.26315789473684209</v>
      </c>
      <c r="AC157" s="144">
        <v>0.2857142857142857</v>
      </c>
      <c r="AD157" s="144">
        <v>0.2857142857142857</v>
      </c>
      <c r="AE157" s="144">
        <v>0.2857142857142857</v>
      </c>
      <c r="AF157" s="144">
        <v>0.2857142857142857</v>
      </c>
      <c r="AG157" s="144">
        <v>0.2857142857142857</v>
      </c>
      <c r="AH157" s="144">
        <v>0.2857142857142857</v>
      </c>
      <c r="AI157" s="144">
        <v>0.2857142857142857</v>
      </c>
      <c r="AJ157" s="144">
        <v>0.2857142857142857</v>
      </c>
      <c r="AK157" s="144">
        <v>0.2857142857142857</v>
      </c>
      <c r="AL157" s="144">
        <v>0.2857142857142857</v>
      </c>
      <c r="AM157" s="144">
        <v>0.26315789473684209</v>
      </c>
      <c r="AN157" s="144">
        <v>0.26315789473684209</v>
      </c>
      <c r="AO157" s="144">
        <v>0.2857142857142857</v>
      </c>
      <c r="AP157" s="144">
        <v>0.2857142857142857</v>
      </c>
      <c r="AQ157" s="144">
        <v>0.2857142857142857</v>
      </c>
      <c r="AR157" s="144">
        <v>0.2857142857142857</v>
      </c>
      <c r="AS157" s="144">
        <v>0.2857142857142857</v>
      </c>
      <c r="AT157" s="144">
        <v>0.2857142857142857</v>
      </c>
      <c r="AU157" s="144">
        <v>0.2857142857142857</v>
      </c>
      <c r="AV157" s="144">
        <v>0.2857142857142857</v>
      </c>
      <c r="AW157" s="144">
        <v>0.2857142857142857</v>
      </c>
      <c r="AX157" s="144">
        <v>0.2857142857142857</v>
      </c>
      <c r="AY157" s="144">
        <v>0.26315789473684209</v>
      </c>
      <c r="AZ157" s="144">
        <v>0.26315789473684209</v>
      </c>
      <c r="BA157" s="144">
        <v>0.2857142857142857</v>
      </c>
      <c r="BB157" s="144">
        <v>0.2857142857142857</v>
      </c>
      <c r="BC157" s="144">
        <v>0.2857142857142857</v>
      </c>
      <c r="BD157" s="144">
        <v>0.2857142857142857</v>
      </c>
      <c r="BE157" s="144">
        <v>0</v>
      </c>
      <c r="BF157" s="144">
        <v>0</v>
      </c>
      <c r="BG157" s="144">
        <v>0</v>
      </c>
      <c r="BH157" s="144">
        <v>0</v>
      </c>
      <c r="BI157" s="144">
        <v>0</v>
      </c>
      <c r="BJ157" s="144">
        <v>0</v>
      </c>
      <c r="BK157" s="144">
        <v>0</v>
      </c>
      <c r="BL157" s="144">
        <v>0</v>
      </c>
      <c r="BM157" s="144">
        <v>0</v>
      </c>
      <c r="BN157" s="144">
        <v>0</v>
      </c>
      <c r="BO157" s="144">
        <v>0</v>
      </c>
      <c r="BP157" s="144">
        <v>0</v>
      </c>
      <c r="BQ157" s="144">
        <v>0</v>
      </c>
      <c r="BR157" s="144">
        <v>0</v>
      </c>
      <c r="BS157" s="144">
        <v>0</v>
      </c>
      <c r="BT157" s="144">
        <v>0</v>
      </c>
      <c r="BU157" s="144">
        <v>0</v>
      </c>
      <c r="BV157" s="144">
        <v>0</v>
      </c>
      <c r="BW157" s="144">
        <v>0</v>
      </c>
      <c r="BX157" s="144">
        <v>0</v>
      </c>
      <c r="BY157" s="144">
        <v>0</v>
      </c>
      <c r="BZ157" s="144">
        <v>0</v>
      </c>
      <c r="CA157" s="144">
        <v>0</v>
      </c>
      <c r="CB157" s="144">
        <v>0</v>
      </c>
      <c r="CC157" s="144">
        <v>0</v>
      </c>
      <c r="CD157" s="144">
        <v>0</v>
      </c>
      <c r="CE157" s="144">
        <v>0</v>
      </c>
      <c r="CF157" s="144">
        <v>0</v>
      </c>
      <c r="CG157" s="144">
        <v>0</v>
      </c>
      <c r="CH157" s="144">
        <v>0</v>
      </c>
      <c r="CI157" s="144">
        <v>0</v>
      </c>
      <c r="CJ157" s="144">
        <v>0</v>
      </c>
      <c r="CK157" s="144">
        <v>0</v>
      </c>
      <c r="CL157" s="144">
        <v>0</v>
      </c>
      <c r="CM157" s="144">
        <v>0</v>
      </c>
      <c r="CN157" s="144">
        <v>0</v>
      </c>
      <c r="CO157" s="144">
        <v>0</v>
      </c>
      <c r="CP157" s="144">
        <v>0</v>
      </c>
      <c r="CQ157" s="143">
        <v>0</v>
      </c>
      <c r="CR157" s="145">
        <v>0</v>
      </c>
      <c r="CS157" s="145">
        <v>0</v>
      </c>
      <c r="CT157" s="145">
        <v>0</v>
      </c>
      <c r="CU157" s="145">
        <v>0</v>
      </c>
      <c r="CV157" s="145">
        <v>0</v>
      </c>
      <c r="CW157" s="145">
        <v>0</v>
      </c>
      <c r="CX157" s="145">
        <v>0</v>
      </c>
      <c r="CY157" s="145">
        <v>0</v>
      </c>
      <c r="CZ157" s="145">
        <v>0</v>
      </c>
      <c r="DA157" s="145">
        <v>0</v>
      </c>
      <c r="DB157" s="145">
        <v>0</v>
      </c>
      <c r="DC157" s="145">
        <v>0</v>
      </c>
      <c r="DD157" s="145">
        <v>0</v>
      </c>
      <c r="DE157" s="145">
        <v>0</v>
      </c>
      <c r="DF157" s="145">
        <v>19652</v>
      </c>
      <c r="DG157" s="145">
        <v>14739</v>
      </c>
      <c r="DH157" s="145">
        <v>19652</v>
      </c>
      <c r="DI157" s="145">
        <v>19652</v>
      </c>
      <c r="DJ157" s="145">
        <v>19652</v>
      </c>
      <c r="DK157" s="145">
        <v>19652</v>
      </c>
      <c r="DL157" s="145">
        <v>19652</v>
      </c>
      <c r="DM157" s="145">
        <v>19652</v>
      </c>
      <c r="DN157" s="145">
        <v>19652</v>
      </c>
      <c r="DO157" s="145">
        <v>14739</v>
      </c>
      <c r="DP157" s="145">
        <v>14739</v>
      </c>
      <c r="DQ157" s="145">
        <v>19652</v>
      </c>
      <c r="DR157" s="145">
        <v>20236.400000000001</v>
      </c>
      <c r="DS157" s="145">
        <v>15177.300000000001</v>
      </c>
      <c r="DT157" s="145">
        <v>20236.400000000001</v>
      </c>
      <c r="DU157" s="145">
        <v>20236.400000000001</v>
      </c>
      <c r="DV157" s="145">
        <v>20236.400000000001</v>
      </c>
      <c r="DW157" s="145">
        <v>20236.400000000001</v>
      </c>
      <c r="DX157" s="145">
        <v>20236.400000000001</v>
      </c>
      <c r="DY157" s="145">
        <v>20236.400000000001</v>
      </c>
      <c r="DZ157" s="145">
        <v>20236.400000000001</v>
      </c>
      <c r="EA157" s="145">
        <v>15177.300000000001</v>
      </c>
      <c r="EB157" s="145">
        <v>15177.300000000001</v>
      </c>
      <c r="EC157" s="145">
        <v>20236.400000000001</v>
      </c>
      <c r="ED157" s="145">
        <v>20839.2</v>
      </c>
      <c r="EE157" s="145">
        <v>15629.400000000001</v>
      </c>
      <c r="EF157" s="145">
        <v>20839.2</v>
      </c>
      <c r="EG157" s="145">
        <v>20839.2</v>
      </c>
      <c r="EH157" s="145">
        <v>20839.2</v>
      </c>
      <c r="EI157" s="145">
        <v>20839.2</v>
      </c>
      <c r="EJ157" s="145">
        <v>20839.2</v>
      </c>
      <c r="EK157" s="145">
        <v>20839.2</v>
      </c>
      <c r="EL157" s="145">
        <v>0</v>
      </c>
      <c r="EM157" s="145">
        <v>0</v>
      </c>
      <c r="EN157" s="145">
        <v>0</v>
      </c>
      <c r="EO157" s="145">
        <v>0</v>
      </c>
      <c r="EP157" s="145">
        <v>0</v>
      </c>
      <c r="EQ157" s="145">
        <v>0</v>
      </c>
      <c r="ER157" s="145">
        <v>0</v>
      </c>
      <c r="ES157" s="145">
        <v>0</v>
      </c>
      <c r="ET157" s="145">
        <v>0</v>
      </c>
      <c r="EU157" s="145">
        <v>0</v>
      </c>
      <c r="EV157" s="145">
        <v>0</v>
      </c>
      <c r="EW157" s="145">
        <v>0</v>
      </c>
      <c r="EX157" s="145">
        <v>0</v>
      </c>
      <c r="EY157" s="145">
        <v>0</v>
      </c>
      <c r="EZ157" s="145">
        <v>0</v>
      </c>
      <c r="FA157" s="145">
        <v>0</v>
      </c>
      <c r="FB157" s="145">
        <v>0</v>
      </c>
      <c r="FC157" s="145">
        <v>0</v>
      </c>
      <c r="FD157" s="145">
        <v>0</v>
      </c>
      <c r="FE157" s="145">
        <v>0</v>
      </c>
      <c r="FF157" s="145">
        <v>0</v>
      </c>
      <c r="FG157" s="145">
        <v>0</v>
      </c>
      <c r="FH157" s="145">
        <v>0</v>
      </c>
      <c r="FI157" s="145">
        <v>0</v>
      </c>
      <c r="FJ157" s="145">
        <v>0</v>
      </c>
      <c r="FK157" s="145">
        <v>0</v>
      </c>
      <c r="FL157" s="145">
        <v>0</v>
      </c>
      <c r="FM157" s="145">
        <v>0</v>
      </c>
      <c r="FN157" s="145">
        <v>0</v>
      </c>
      <c r="FO157" s="145">
        <v>0</v>
      </c>
      <c r="FP157" s="145">
        <v>0</v>
      </c>
      <c r="FQ157" s="145">
        <v>0</v>
      </c>
      <c r="FR157" s="145">
        <v>0</v>
      </c>
      <c r="FS157" s="145">
        <v>0</v>
      </c>
      <c r="FT157" s="145">
        <v>0</v>
      </c>
      <c r="FU157" s="145">
        <v>0</v>
      </c>
      <c r="FV157" s="145">
        <v>0</v>
      </c>
      <c r="FW157" s="145">
        <v>0</v>
      </c>
      <c r="FX157" s="143"/>
      <c r="FY157" s="146" t="str">
        <f>_xlfn.XLOOKUP($E157,'Key assumptions'!$B$112:$B$120,'Key assumptions'!$C$112:$C$120,0)</f>
        <v>Nominal</v>
      </c>
      <c r="FZ157" s="146" cm="1">
        <f t="array" ref="FZ157">IF($FY157=0,0,_xlfn.IFS($FY157='Key assumptions'!$C$120,_xlfn.XLOOKUP(LEFT(FZ$7,6),Inflation_Year,Inflation_NominaltoReal),TRUE,_xlfn.XLOOKUP($FY157,Inflation_Year,NominaltoReal)))</f>
        <v>1.0197075870962191</v>
      </c>
      <c r="GA157" s="146" cm="1">
        <f t="array" ref="GA157">IF($FY157=0,0,_xlfn.IFS($FY157='Key assumptions'!$C$120,_xlfn.XLOOKUP(LEFT(GA$7,6),Inflation_Year,Inflation_NominaltoReal),TRUE,_xlfn.XLOOKUP($FY157,Inflation_Year,NominaltoReal)))</f>
        <v>0.98700804022984445</v>
      </c>
      <c r="GB157" s="146" cm="1">
        <f t="array" ref="GB157">IF($FY157=0,0,_xlfn.IFS($FY157='Key assumptions'!$C$120,_xlfn.XLOOKUP(LEFT(GB$7,6),Inflation_Year,Inflation_NominaltoReal),TRUE,_xlfn.XLOOKUP($FY157,Inflation_Year,NominaltoReal)))</f>
        <v>0.96152830081941731</v>
      </c>
      <c r="GC157" s="146" cm="1">
        <f t="array" ref="GC157">IF($FY157=0,0,_xlfn.IFS($FY157='Key assumptions'!$C$120,_xlfn.XLOOKUP(LEFT(GC$7,6),Inflation_Year,Inflation_NominaltoReal),TRUE,_xlfn.XLOOKUP($FY157,Inflation_Year,NominaltoReal)))</f>
        <v>0.93670632415656829</v>
      </c>
      <c r="GD157" s="146" cm="1">
        <f t="array" ref="GD157">IF($FY157=0,0,_xlfn.IFS($FY157='Key assumptions'!$C$120,_xlfn.XLOOKUP(LEFT(GD$7,6),Inflation_Year,Inflation_NominaltoReal),TRUE,_xlfn.XLOOKUP($FY157,Inflation_Year,NominaltoReal)))</f>
        <v>0.91252513001143176</v>
      </c>
      <c r="GE157" s="146" cm="1">
        <f t="array" ref="GE157">IF($FY157=0,0,_xlfn.IFS($FY157='Key assumptions'!$C$120,_xlfn.XLOOKUP(LEFT(GE$7,6),Inflation_Year,Inflation_NominaltoReal),TRUE,_xlfn.XLOOKUP($FY157,Inflation_Year,NominaltoReal)))</f>
        <v>0.88896817650095872</v>
      </c>
      <c r="GF157" s="146" cm="1">
        <f t="array" ref="GF157">IF($FY157=0,0,_xlfn.IFS($FY157='Key assumptions'!$C$120,_xlfn.XLOOKUP(LEFT(GF$7,6),Inflation_Year,Inflation_NominaltoReal),TRUE,_xlfn.XLOOKUP($FY157,Inflation_Year,NominaltoReal)))</f>
        <v>0.86601934877293718</v>
      </c>
      <c r="GG157" s="143"/>
      <c r="GH157" s="145" cm="1">
        <f t="array" ref="GH157">SUMPRODUCT(--($CR$7:$FW$7&gt;=GH$5),--($CR$7:$FW$7&lt;=GH$6),$CR157:$FW157)*FZ157</f>
        <v>135265.23113590057</v>
      </c>
      <c r="GI157" s="145" cm="1">
        <f t="array" ref="GI157">SUMPRODUCT(--($CR$7:$FW$7&gt;=GI$5),--($CR$7:$FW$7&lt;=GI$6),$CR157:$FW157)*GA157</f>
        <v>222106.12319050982</v>
      </c>
      <c r="GJ157" s="145" cm="1">
        <f t="array" ref="GJ157">SUMPRODUCT(--($CR$7:$FW$7&gt;=GJ$5),--($CR$7:$FW$7&lt;=GJ$6),$CR157:$FW157)*GB157</f>
        <v>222813.41470360235</v>
      </c>
      <c r="GK157" s="145" cm="1">
        <f t="array" ref="GK157">SUMPRODUCT(--($CR$7:$FW$7&gt;=GK$5),--($CR$7:$FW$7&lt;=GK$6),$CR157:$FW157)*GC157</f>
        <v>19520.210430363557</v>
      </c>
      <c r="GL157" s="145" cm="1">
        <f t="array" ref="GL157">SUMPRODUCT(--($CR$7:$FW$7&gt;=GL$5),--($CR$7:$FW$7&lt;=GL$6),$CR157:$FW157)*GD157</f>
        <v>0</v>
      </c>
      <c r="GM157" s="145" cm="1">
        <f t="array" ref="GM157">SUMPRODUCT(--($CR$7:$FW$7&gt;=GM$5),--($CR$7:$FW$7&lt;=GM$6),$CR157:$FW157)*GE157</f>
        <v>0</v>
      </c>
      <c r="GN157" s="145" cm="1">
        <f t="array" ref="GN157">SUMPRODUCT(--($CR$7:$FW$7&gt;=GN$5),--($CR$7:$FW$7&lt;=GN$6),$CR157:$FW157)*GF157</f>
        <v>0</v>
      </c>
      <c r="GO157" s="145">
        <f t="shared" si="46"/>
        <v>599704.97946037631</v>
      </c>
      <c r="GP157" s="87"/>
      <c r="GR157" s="145" cm="1">
        <f t="array" ref="GR157">SUMPRODUCT(--($CR$7:$FW$7&gt;=GR$5),--($CR$7:$FW$7&lt;=GR$6),$CR157:$FW157)</f>
        <v>73695</v>
      </c>
      <c r="GT157" s="214" cm="1">
        <f t="array" ref="GT157">--AND(MIN(IF($K157:$CP157&lt;&gt;0,$K$7:$CP$7))&gt;=GT$5,MIN(IF($K157:$CP157&lt;&gt;0,$K$7:$CP$7))&lt;=GT$6)</f>
        <v>1</v>
      </c>
      <c r="GU157" s="214" cm="1">
        <f t="array" ref="GU157">--AND(MIN(IF($K157:$CP157&lt;&gt;0,$K$7:$CP$7))&gt;=GU$5,MIN(IF($K157:$CP157&lt;&gt;0,$K$7:$CP$7))&lt;=GU$6)</f>
        <v>0</v>
      </c>
      <c r="GV157" s="214" cm="1">
        <f t="array" ref="GV157">--AND(MIN(IF($K157:$CP157&lt;&gt;0,$K$7:$CP$7))&gt;=GV$5,MIN(IF($K157:$CP157&lt;&gt;0,$K$7:$CP$7))&lt;=GV$6)</f>
        <v>0</v>
      </c>
      <c r="GW157" s="214" cm="1">
        <f t="array" ref="GW157">--AND(MIN(IF($K157:$CP157&lt;&gt;0,$K$7:$CP$7))&gt;=GW$5,MIN(IF($K157:$CP157&lt;&gt;0,$K$7:$CP$7))&lt;=GW$6)</f>
        <v>0</v>
      </c>
      <c r="GX157" s="214" cm="1">
        <f t="array" ref="GX157">--AND(MIN(IF($K157:$CP157&lt;&gt;0,$K$7:$CP$7))&gt;=GX$5,MIN(IF($K157:$CP157&lt;&gt;0,$K$7:$CP$7))&lt;=GX$6)</f>
        <v>0</v>
      </c>
      <c r="GY157" s="214" cm="1">
        <f t="array" ref="GY157">--AND(MIN(IF($K157:$CP157&lt;&gt;0,$K$7:$CP$7))&gt;=GY$5,MIN(IF($K157:$CP157&lt;&gt;0,$K$7:$CP$7))&lt;=GY$6)</f>
        <v>0</v>
      </c>
      <c r="GZ157" s="214" cm="1">
        <f t="array" ref="GZ157">--AND(MIN(IF($K157:$CP157&lt;&gt;0,$K$7:$CP$7))&gt;=GZ$5,MIN(IF($K157:$CP157&lt;&gt;0,$K$7:$CP$7))&lt;=GZ$6)</f>
        <v>0</v>
      </c>
      <c r="HA157" s="214">
        <f t="shared" si="47"/>
        <v>1</v>
      </c>
      <c r="HC157" s="214" cm="1">
        <f t="array" ref="HC157">--AND(MIN(IF($K157:$CP157&lt;&gt;0,$K$7:$CP$7))&gt;=HC$5,MIN(IF($K157:$CP157&lt;&gt;0,$K$7:$CP$7))&lt;=HC$6)</f>
        <v>1</v>
      </c>
      <c r="HE157" s="147" t="str">
        <f t="shared" si="66"/>
        <v>No</v>
      </c>
      <c r="HF157" s="147" t="str">
        <f t="shared" si="67"/>
        <v>Yes</v>
      </c>
      <c r="HG157" s="147">
        <f>IF($HF157="Yes",0,$H157*avg_hrs*12*'Key assumptions'!$D$87)</f>
        <v>0</v>
      </c>
      <c r="HH157" s="147">
        <f>IF(HE157="Yes",'Key assumptions'!$D$84*HG157,0)</f>
        <v>0</v>
      </c>
      <c r="HI157" s="144">
        <f>IFERROR(AVERAGEIFS($K157:$CP157,$K$7:$CP$7,"&gt;="&amp;'Key assumptions'!$D$24,$K$7:$CP$7,"&lt;="&amp;'Key assumptions'!$D$25),0)</f>
        <v>0.20471633629528369</v>
      </c>
      <c r="HJ157" s="148">
        <f t="shared" si="48"/>
        <v>0</v>
      </c>
      <c r="HK157" s="148">
        <f t="shared" si="49"/>
        <v>0</v>
      </c>
      <c r="HL157" s="148">
        <f t="shared" si="50"/>
        <v>0</v>
      </c>
      <c r="HM157" s="148">
        <f t="shared" si="51"/>
        <v>0</v>
      </c>
      <c r="HN157" s="148">
        <f t="shared" si="52"/>
        <v>0</v>
      </c>
      <c r="HO157" s="148">
        <f t="shared" si="53"/>
        <v>0</v>
      </c>
      <c r="HP157" s="148">
        <f t="shared" si="54"/>
        <v>0</v>
      </c>
      <c r="HQ157" s="148">
        <f t="shared" si="55"/>
        <v>0</v>
      </c>
      <c r="HR157" s="147">
        <f t="shared" si="56"/>
        <v>0</v>
      </c>
      <c r="HU157" s="147">
        <f>$HJ157*HC157/(1+'Key assumptions'!G179)^0.75</f>
        <v>0</v>
      </c>
      <c r="HW157" s="216">
        <f t="shared" si="57"/>
        <v>0.20471633629528369</v>
      </c>
      <c r="HX157" s="216">
        <f t="shared" si="58"/>
        <v>0</v>
      </c>
      <c r="HY157" s="216">
        <f t="shared" si="59"/>
        <v>0</v>
      </c>
      <c r="HZ157" s="216">
        <f t="shared" si="60"/>
        <v>0</v>
      </c>
      <c r="IA157" s="216">
        <f t="shared" si="61"/>
        <v>0</v>
      </c>
      <c r="IB157" s="216">
        <f t="shared" si="62"/>
        <v>0</v>
      </c>
      <c r="IC157" s="216">
        <f t="shared" si="63"/>
        <v>0</v>
      </c>
      <c r="ID157" s="216">
        <f t="shared" si="64"/>
        <v>0.20471633629528369</v>
      </c>
      <c r="IF157" s="216">
        <f t="shared" si="65"/>
        <v>0.20471633629528369</v>
      </c>
    </row>
    <row r="158" spans="2:240" x14ac:dyDescent="0.2">
      <c r="B158" s="141" t="str">
        <v>Project Delivery Management - Construction Management</v>
      </c>
      <c r="C158" s="141" t="str">
        <v>Substation Site Manager - Senior (Construction)</v>
      </c>
      <c r="D158" s="141" t="str">
        <v>Internal Labour</v>
      </c>
      <c r="E158" s="141" t="str">
        <v>$ Nominal</v>
      </c>
      <c r="F158" s="141" t="str">
        <v>Existing</v>
      </c>
      <c r="G158" s="141" t="str">
        <v>Normal time</v>
      </c>
      <c r="H158" s="142">
        <v>214.83</v>
      </c>
      <c r="I158" s="126">
        <v>1006448.5099999999</v>
      </c>
      <c r="J158" s="143">
        <v>0</v>
      </c>
      <c r="K158" s="144">
        <v>0</v>
      </c>
      <c r="L158" s="144">
        <v>0</v>
      </c>
      <c r="M158" s="144">
        <v>0</v>
      </c>
      <c r="N158" s="144">
        <v>0</v>
      </c>
      <c r="O158" s="144">
        <v>0</v>
      </c>
      <c r="P158" s="144">
        <v>0</v>
      </c>
      <c r="Q158" s="144">
        <v>0</v>
      </c>
      <c r="R158" s="144">
        <v>0</v>
      </c>
      <c r="S158" s="144">
        <v>0</v>
      </c>
      <c r="T158" s="144">
        <v>0</v>
      </c>
      <c r="U158" s="144">
        <v>0</v>
      </c>
      <c r="V158" s="144">
        <v>0</v>
      </c>
      <c r="W158" s="144">
        <v>0</v>
      </c>
      <c r="X158" s="144">
        <v>0</v>
      </c>
      <c r="Y158" s="144">
        <v>0.25</v>
      </c>
      <c r="Z158" s="144">
        <v>1</v>
      </c>
      <c r="AA158" s="144">
        <v>0.78289473684210531</v>
      </c>
      <c r="AB158" s="144">
        <v>0.82894736842105265</v>
      </c>
      <c r="AC158" s="144">
        <v>0.95</v>
      </c>
      <c r="AD158" s="144">
        <v>0.75</v>
      </c>
      <c r="AE158" s="144">
        <v>0.9</v>
      </c>
      <c r="AF158" s="144">
        <v>0.9</v>
      </c>
      <c r="AG158" s="144">
        <v>0.85</v>
      </c>
      <c r="AH158" s="144">
        <v>0.8</v>
      </c>
      <c r="AI158" s="144">
        <v>1.5333333333333334</v>
      </c>
      <c r="AJ158" s="144">
        <v>0.8</v>
      </c>
      <c r="AK158" s="144">
        <v>0.8</v>
      </c>
      <c r="AL158" s="144">
        <v>1.2666666666666666</v>
      </c>
      <c r="AM158" s="144">
        <v>0.82894736842105265</v>
      </c>
      <c r="AN158" s="144">
        <v>0.78289473684210531</v>
      </c>
      <c r="AO158" s="144">
        <v>0.9</v>
      </c>
      <c r="AP158" s="144">
        <v>0.85</v>
      </c>
      <c r="AQ158" s="144">
        <v>0.9</v>
      </c>
      <c r="AR158" s="144">
        <v>0.9</v>
      </c>
      <c r="AS158" s="144">
        <v>0.85</v>
      </c>
      <c r="AT158" s="144">
        <v>1.0666666666666667</v>
      </c>
      <c r="AU158" s="144">
        <v>1.2666666666666666</v>
      </c>
      <c r="AV158" s="144">
        <v>0.8</v>
      </c>
      <c r="AW158" s="144">
        <v>0.95</v>
      </c>
      <c r="AX158" s="144">
        <v>1.0666666666666667</v>
      </c>
      <c r="AY158" s="144">
        <v>0.875</v>
      </c>
      <c r="AZ158" s="144">
        <v>0.875</v>
      </c>
      <c r="BA158" s="144">
        <v>0.8</v>
      </c>
      <c r="BB158" s="144">
        <v>0.9</v>
      </c>
      <c r="BC158" s="144">
        <v>0.85</v>
      </c>
      <c r="BD158" s="144">
        <v>0.9</v>
      </c>
      <c r="BE158" s="144">
        <v>5.2071428571428573</v>
      </c>
      <c r="BF158" s="144">
        <v>0</v>
      </c>
      <c r="BG158" s="144">
        <v>0</v>
      </c>
      <c r="BH158" s="144">
        <v>0</v>
      </c>
      <c r="BI158" s="144">
        <v>0</v>
      </c>
      <c r="BJ158" s="144">
        <v>0</v>
      </c>
      <c r="BK158" s="144">
        <v>0</v>
      </c>
      <c r="BL158" s="144">
        <v>0</v>
      </c>
      <c r="BM158" s="144">
        <v>0</v>
      </c>
      <c r="BN158" s="144">
        <v>0</v>
      </c>
      <c r="BO158" s="144">
        <v>0</v>
      </c>
      <c r="BP158" s="144">
        <v>0</v>
      </c>
      <c r="BQ158" s="144">
        <v>0</v>
      </c>
      <c r="BR158" s="144">
        <v>0</v>
      </c>
      <c r="BS158" s="144">
        <v>0</v>
      </c>
      <c r="BT158" s="144">
        <v>0</v>
      </c>
      <c r="BU158" s="144">
        <v>0</v>
      </c>
      <c r="BV158" s="144">
        <v>0</v>
      </c>
      <c r="BW158" s="144">
        <v>0</v>
      </c>
      <c r="BX158" s="144">
        <v>0</v>
      </c>
      <c r="BY158" s="144">
        <v>0</v>
      </c>
      <c r="BZ158" s="144">
        <v>0</v>
      </c>
      <c r="CA158" s="144">
        <v>0</v>
      </c>
      <c r="CB158" s="144">
        <v>0</v>
      </c>
      <c r="CC158" s="144">
        <v>0</v>
      </c>
      <c r="CD158" s="144">
        <v>0</v>
      </c>
      <c r="CE158" s="144">
        <v>0</v>
      </c>
      <c r="CF158" s="144">
        <v>0</v>
      </c>
      <c r="CG158" s="144">
        <v>0</v>
      </c>
      <c r="CH158" s="144">
        <v>0</v>
      </c>
      <c r="CI158" s="144">
        <v>0</v>
      </c>
      <c r="CJ158" s="144">
        <v>0</v>
      </c>
      <c r="CK158" s="144">
        <v>0</v>
      </c>
      <c r="CL158" s="144">
        <v>0</v>
      </c>
      <c r="CM158" s="144">
        <v>0</v>
      </c>
      <c r="CN158" s="144">
        <v>0</v>
      </c>
      <c r="CO158" s="144">
        <v>0</v>
      </c>
      <c r="CP158" s="144">
        <v>0</v>
      </c>
      <c r="CQ158" s="143">
        <v>0</v>
      </c>
      <c r="CR158" s="145">
        <v>0</v>
      </c>
      <c r="CS158" s="145">
        <v>0</v>
      </c>
      <c r="CT158" s="145">
        <v>0</v>
      </c>
      <c r="CU158" s="145">
        <v>0</v>
      </c>
      <c r="CV158" s="145">
        <v>0</v>
      </c>
      <c r="CW158" s="145">
        <v>0</v>
      </c>
      <c r="CX158" s="145">
        <v>0</v>
      </c>
      <c r="CY158" s="145">
        <v>0</v>
      </c>
      <c r="CZ158" s="145">
        <v>0</v>
      </c>
      <c r="DA158" s="145">
        <v>0</v>
      </c>
      <c r="DB158" s="145">
        <v>0</v>
      </c>
      <c r="DC158" s="145">
        <v>0</v>
      </c>
      <c r="DD158" s="145">
        <v>0</v>
      </c>
      <c r="DE158" s="145">
        <v>0</v>
      </c>
      <c r="DF158" s="145">
        <v>7519.05</v>
      </c>
      <c r="DG158" s="145">
        <v>22557.15</v>
      </c>
      <c r="DH158" s="145">
        <v>25564.77</v>
      </c>
      <c r="DI158" s="145">
        <v>27068.58</v>
      </c>
      <c r="DJ158" s="145">
        <v>28572.390000000003</v>
      </c>
      <c r="DK158" s="145">
        <v>22557.15</v>
      </c>
      <c r="DL158" s="145">
        <v>27068.58</v>
      </c>
      <c r="DM158" s="145">
        <v>27068.58</v>
      </c>
      <c r="DN158" s="145">
        <v>25564.77</v>
      </c>
      <c r="DO158" s="145">
        <v>18045.72</v>
      </c>
      <c r="DP158" s="145">
        <v>34587.630000000005</v>
      </c>
      <c r="DQ158" s="145">
        <v>24060.960000000003</v>
      </c>
      <c r="DR158" s="145">
        <v>24776.639999999999</v>
      </c>
      <c r="DS158" s="145">
        <v>29422.26</v>
      </c>
      <c r="DT158" s="145">
        <v>27873.72</v>
      </c>
      <c r="DU158" s="145">
        <v>26325.18</v>
      </c>
      <c r="DV158" s="145">
        <v>27873.72</v>
      </c>
      <c r="DW158" s="145">
        <v>26325.18</v>
      </c>
      <c r="DX158" s="145">
        <v>27873.72</v>
      </c>
      <c r="DY158" s="145">
        <v>27873.72</v>
      </c>
      <c r="DZ158" s="145">
        <v>26325.18</v>
      </c>
      <c r="EA158" s="145">
        <v>24776.639999999999</v>
      </c>
      <c r="EB158" s="145">
        <v>29422.26</v>
      </c>
      <c r="EC158" s="145">
        <v>24776.639999999999</v>
      </c>
      <c r="ED158" s="145">
        <v>30302.720000000001</v>
      </c>
      <c r="EE158" s="145">
        <v>25518.080000000002</v>
      </c>
      <c r="EF158" s="145">
        <v>30302.720000000001</v>
      </c>
      <c r="EG158" s="145">
        <v>30302.720000000001</v>
      </c>
      <c r="EH158" s="145">
        <v>25518.080000000002</v>
      </c>
      <c r="EI158" s="145">
        <v>28707.84</v>
      </c>
      <c r="EJ158" s="145">
        <v>27112.959999999999</v>
      </c>
      <c r="EK158" s="145">
        <v>28707.84</v>
      </c>
      <c r="EL158" s="145">
        <v>166095.36000000002</v>
      </c>
      <c r="EM158" s="145">
        <v>0</v>
      </c>
      <c r="EN158" s="145">
        <v>0</v>
      </c>
      <c r="EO158" s="145">
        <v>0</v>
      </c>
      <c r="EP158" s="145">
        <v>0</v>
      </c>
      <c r="EQ158" s="145">
        <v>0</v>
      </c>
      <c r="ER158" s="145">
        <v>0</v>
      </c>
      <c r="ES158" s="145">
        <v>0</v>
      </c>
      <c r="ET158" s="145">
        <v>0</v>
      </c>
      <c r="EU158" s="145">
        <v>0</v>
      </c>
      <c r="EV158" s="145">
        <v>0</v>
      </c>
      <c r="EW158" s="145">
        <v>0</v>
      </c>
      <c r="EX158" s="145">
        <v>0</v>
      </c>
      <c r="EY158" s="145">
        <v>0</v>
      </c>
      <c r="EZ158" s="145">
        <v>0</v>
      </c>
      <c r="FA158" s="145">
        <v>0</v>
      </c>
      <c r="FB158" s="145">
        <v>0</v>
      </c>
      <c r="FC158" s="145">
        <v>0</v>
      </c>
      <c r="FD158" s="145">
        <v>0</v>
      </c>
      <c r="FE158" s="145">
        <v>0</v>
      </c>
      <c r="FF158" s="145">
        <v>0</v>
      </c>
      <c r="FG158" s="145">
        <v>0</v>
      </c>
      <c r="FH158" s="145">
        <v>0</v>
      </c>
      <c r="FI158" s="145">
        <v>0</v>
      </c>
      <c r="FJ158" s="145">
        <v>0</v>
      </c>
      <c r="FK158" s="145">
        <v>0</v>
      </c>
      <c r="FL158" s="145">
        <v>0</v>
      </c>
      <c r="FM158" s="145">
        <v>0</v>
      </c>
      <c r="FN158" s="145">
        <v>0</v>
      </c>
      <c r="FO158" s="145">
        <v>0</v>
      </c>
      <c r="FP158" s="145">
        <v>0</v>
      </c>
      <c r="FQ158" s="145">
        <v>0</v>
      </c>
      <c r="FR158" s="145">
        <v>0</v>
      </c>
      <c r="FS158" s="145">
        <v>0</v>
      </c>
      <c r="FT158" s="145">
        <v>0</v>
      </c>
      <c r="FU158" s="145">
        <v>0</v>
      </c>
      <c r="FV158" s="145">
        <v>0</v>
      </c>
      <c r="FW158" s="145">
        <v>0</v>
      </c>
      <c r="FX158" s="143"/>
      <c r="FY158" s="146" t="str">
        <f>_xlfn.XLOOKUP($E158,'Key assumptions'!$B$112:$B$120,'Key assumptions'!$C$112:$C$120,0)</f>
        <v>Nominal</v>
      </c>
      <c r="FZ158" s="146" cm="1">
        <f t="array" ref="FZ158">IF($FY158=0,0,_xlfn.IFS($FY158='Key assumptions'!$C$120,_xlfn.XLOOKUP(LEFT(FZ$7,6),Inflation_Year,Inflation_NominaltoReal),TRUE,_xlfn.XLOOKUP($FY158,Inflation_Year,NominaltoReal)))</f>
        <v>1.0197075870962191</v>
      </c>
      <c r="GA158" s="146" cm="1">
        <f t="array" ref="GA158">IF($FY158=0,0,_xlfn.IFS($FY158='Key assumptions'!$C$120,_xlfn.XLOOKUP(LEFT(GA$7,6),Inflation_Year,Inflation_NominaltoReal),TRUE,_xlfn.XLOOKUP($FY158,Inflation_Year,NominaltoReal)))</f>
        <v>0.98700804022984445</v>
      </c>
      <c r="GB158" s="146" cm="1">
        <f t="array" ref="GB158">IF($FY158=0,0,_xlfn.IFS($FY158='Key assumptions'!$C$120,_xlfn.XLOOKUP(LEFT(GB$7,6),Inflation_Year,Inflation_NominaltoReal),TRUE,_xlfn.XLOOKUP($FY158,Inflation_Year,NominaltoReal)))</f>
        <v>0.96152830081941731</v>
      </c>
      <c r="GC158" s="146" cm="1">
        <f t="array" ref="GC158">IF($FY158=0,0,_xlfn.IFS($FY158='Key assumptions'!$C$120,_xlfn.XLOOKUP(LEFT(GC$7,6),Inflation_Year,Inflation_NominaltoReal),TRUE,_xlfn.XLOOKUP($FY158,Inflation_Year,NominaltoReal)))</f>
        <v>0.93670632415656829</v>
      </c>
      <c r="GD158" s="146" cm="1">
        <f t="array" ref="GD158">IF($FY158=0,0,_xlfn.IFS($FY158='Key assumptions'!$C$120,_xlfn.XLOOKUP(LEFT(GD$7,6),Inflation_Year,Inflation_NominaltoReal),TRUE,_xlfn.XLOOKUP($FY158,Inflation_Year,NominaltoReal)))</f>
        <v>0.91252513001143176</v>
      </c>
      <c r="GE158" s="146" cm="1">
        <f t="array" ref="GE158">IF($FY158=0,0,_xlfn.IFS($FY158='Key assumptions'!$C$120,_xlfn.XLOOKUP(LEFT(GE$7,6),Inflation_Year,Inflation_NominaltoReal),TRUE,_xlfn.XLOOKUP($FY158,Inflation_Year,NominaltoReal)))</f>
        <v>0.88896817650095872</v>
      </c>
      <c r="GF158" s="146" cm="1">
        <f t="array" ref="GF158">IF($FY158=0,0,_xlfn.IFS($FY158='Key assumptions'!$C$120,_xlfn.XLOOKUP(LEFT(GF$7,6),Inflation_Year,Inflation_NominaltoReal),TRUE,_xlfn.XLOOKUP($FY158,Inflation_Year,NominaltoReal)))</f>
        <v>0.86601934877293718</v>
      </c>
      <c r="GG158" s="143"/>
      <c r="GH158" s="145" cm="1">
        <f t="array" ref="GH158">SUMPRODUCT(--($CR$7:$FW$7&gt;=GH$5),--($CR$7:$FW$7&lt;=GH$6),$CR158:$FW158)*FZ158</f>
        <v>164078.77192097466</v>
      </c>
      <c r="GI158" s="145" cm="1">
        <f t="array" ref="GI158">SUMPRODUCT(--($CR$7:$FW$7&gt;=GI$5),--($CR$7:$FW$7&lt;=GI$6),$CR158:$FW158)*GA158</f>
        <v>315643.2762100671</v>
      </c>
      <c r="GJ158" s="145" cm="1">
        <f t="array" ref="GJ158">SUMPRODUCT(--($CR$7:$FW$7&gt;=GJ$5),--($CR$7:$FW$7&lt;=GJ$6),$CR158:$FW158)*GB158</f>
        <v>318207.75280072563</v>
      </c>
      <c r="GK158" s="145" cm="1">
        <f t="array" ref="GK158">SUMPRODUCT(--($CR$7:$FW$7&gt;=GK$5),--($CR$7:$FW$7&lt;=GK$6),$CR158:$FW158)*GC158</f>
        <v>182473.38940593682</v>
      </c>
      <c r="GL158" s="145" cm="1">
        <f t="array" ref="GL158">SUMPRODUCT(--($CR$7:$FW$7&gt;=GL$5),--($CR$7:$FW$7&lt;=GL$6),$CR158:$FW158)*GD158</f>
        <v>0</v>
      </c>
      <c r="GM158" s="145" cm="1">
        <f t="array" ref="GM158">SUMPRODUCT(--($CR$7:$FW$7&gt;=GM$5),--($CR$7:$FW$7&lt;=GM$6),$CR158:$FW158)*GE158</f>
        <v>0</v>
      </c>
      <c r="GN158" s="145" cm="1">
        <f t="array" ref="GN158">SUMPRODUCT(--($CR$7:$FW$7&gt;=GN$5),--($CR$7:$FW$7&lt;=GN$6),$CR158:$FW158)*GF158</f>
        <v>0</v>
      </c>
      <c r="GO158" s="145">
        <f t="shared" si="46"/>
        <v>980403.19033770415</v>
      </c>
      <c r="GP158" s="87"/>
      <c r="GR158" s="145" cm="1">
        <f t="array" ref="GR158">SUMPRODUCT(--($CR$7:$FW$7&gt;=GR$5),--($CR$7:$FW$7&lt;=GR$6),$CR158:$FW158)</f>
        <v>82709.55</v>
      </c>
      <c r="GT158" s="214" cm="1">
        <f t="array" ref="GT158">--AND(MIN(IF($K158:$CP158&lt;&gt;0,$K$7:$CP$7))&gt;=GT$5,MIN(IF($K158:$CP158&lt;&gt;0,$K$7:$CP$7))&lt;=GT$6)</f>
        <v>1</v>
      </c>
      <c r="GU158" s="214" cm="1">
        <f t="array" ref="GU158">--AND(MIN(IF($K158:$CP158&lt;&gt;0,$K$7:$CP$7))&gt;=GU$5,MIN(IF($K158:$CP158&lt;&gt;0,$K$7:$CP$7))&lt;=GU$6)</f>
        <v>0</v>
      </c>
      <c r="GV158" s="214" cm="1">
        <f t="array" ref="GV158">--AND(MIN(IF($K158:$CP158&lt;&gt;0,$K$7:$CP$7))&gt;=GV$5,MIN(IF($K158:$CP158&lt;&gt;0,$K$7:$CP$7))&lt;=GV$6)</f>
        <v>0</v>
      </c>
      <c r="GW158" s="214" cm="1">
        <f t="array" ref="GW158">--AND(MIN(IF($K158:$CP158&lt;&gt;0,$K$7:$CP$7))&gt;=GW$5,MIN(IF($K158:$CP158&lt;&gt;0,$K$7:$CP$7))&lt;=GW$6)</f>
        <v>0</v>
      </c>
      <c r="GX158" s="214" cm="1">
        <f t="array" ref="GX158">--AND(MIN(IF($K158:$CP158&lt;&gt;0,$K$7:$CP$7))&gt;=GX$5,MIN(IF($K158:$CP158&lt;&gt;0,$K$7:$CP$7))&lt;=GX$6)</f>
        <v>0</v>
      </c>
      <c r="GY158" s="214" cm="1">
        <f t="array" ref="GY158">--AND(MIN(IF($K158:$CP158&lt;&gt;0,$K$7:$CP$7))&gt;=GY$5,MIN(IF($K158:$CP158&lt;&gt;0,$K$7:$CP$7))&lt;=GY$6)</f>
        <v>0</v>
      </c>
      <c r="GZ158" s="214" cm="1">
        <f t="array" ref="GZ158">--AND(MIN(IF($K158:$CP158&lt;&gt;0,$K$7:$CP$7))&gt;=GZ$5,MIN(IF($K158:$CP158&lt;&gt;0,$K$7:$CP$7))&lt;=GZ$6)</f>
        <v>0</v>
      </c>
      <c r="HA158" s="214">
        <f t="shared" si="47"/>
        <v>1</v>
      </c>
      <c r="HC158" s="214" cm="1">
        <f t="array" ref="HC158">--AND(MIN(IF($K158:$CP158&lt;&gt;0,$K$7:$CP$7))&gt;=HC$5,MIN(IF($K158:$CP158&lt;&gt;0,$K$7:$CP$7))&lt;=HC$6)</f>
        <v>1</v>
      </c>
      <c r="HE158" s="147" t="str">
        <f t="shared" si="66"/>
        <v>No</v>
      </c>
      <c r="HF158" s="147" t="str">
        <f t="shared" si="67"/>
        <v>No</v>
      </c>
      <c r="HG158" s="147">
        <f>IF($HF158="Yes",0,$H158*avg_hrs*12*'Key assumptions'!$D$87)</f>
        <v>384173.83131128055</v>
      </c>
      <c r="HH158" s="147">
        <f>IF(HE158="Yes",'Key assumptions'!$D$84*HG158,0)</f>
        <v>0</v>
      </c>
      <c r="HI158" s="144">
        <f>IFERROR(AVERAGEIFS($K158:$CP158,$K$7:$CP$7,"&gt;="&amp;'Key assumptions'!$D$24,$K$7:$CP$7,"&lt;="&amp;'Key assumptions'!$D$25),0)</f>
        <v>0.77229152426520831</v>
      </c>
      <c r="HJ158" s="148">
        <f t="shared" si="48"/>
        <v>0</v>
      </c>
      <c r="HK158" s="148">
        <f t="shared" si="49"/>
        <v>0</v>
      </c>
      <c r="HL158" s="148">
        <f t="shared" si="50"/>
        <v>0</v>
      </c>
      <c r="HM158" s="148">
        <f t="shared" si="51"/>
        <v>0</v>
      </c>
      <c r="HN158" s="148">
        <f t="shared" si="52"/>
        <v>0</v>
      </c>
      <c r="HO158" s="148">
        <f t="shared" si="53"/>
        <v>0</v>
      </c>
      <c r="HP158" s="148">
        <f t="shared" si="54"/>
        <v>0</v>
      </c>
      <c r="HQ158" s="148">
        <f t="shared" si="55"/>
        <v>0</v>
      </c>
      <c r="HR158" s="147">
        <f t="shared" si="56"/>
        <v>0</v>
      </c>
      <c r="HU158" s="147">
        <f>$HJ158*HC158/(1+'Key assumptions'!G180)^0.75</f>
        <v>0</v>
      </c>
      <c r="HW158" s="216">
        <f t="shared" si="57"/>
        <v>0.77229152426520831</v>
      </c>
      <c r="HX158" s="216">
        <f t="shared" si="58"/>
        <v>0</v>
      </c>
      <c r="HY158" s="216">
        <f t="shared" si="59"/>
        <v>0</v>
      </c>
      <c r="HZ158" s="216">
        <f t="shared" si="60"/>
        <v>0</v>
      </c>
      <c r="IA158" s="216">
        <f t="shared" si="61"/>
        <v>0</v>
      </c>
      <c r="IB158" s="216">
        <f t="shared" si="62"/>
        <v>0</v>
      </c>
      <c r="IC158" s="216">
        <f t="shared" si="63"/>
        <v>0</v>
      </c>
      <c r="ID158" s="216">
        <f t="shared" si="64"/>
        <v>0.77229152426520831</v>
      </c>
      <c r="IF158" s="216">
        <f t="shared" si="65"/>
        <v>0.77229152426520831</v>
      </c>
    </row>
    <row r="159" spans="2:240" x14ac:dyDescent="0.2">
      <c r="B159" s="141" t="str">
        <v>Project Delivery Management - Construction Management</v>
      </c>
      <c r="C159" s="141" t="str">
        <v>Substation Site Manager - Senior (Construction)</v>
      </c>
      <c r="D159" s="141" t="str">
        <v>Internal Labour</v>
      </c>
      <c r="E159" s="141" t="str">
        <v>$ Nominal</v>
      </c>
      <c r="F159" s="141">
        <v>0</v>
      </c>
      <c r="G159" s="141" t="str">
        <v>Overtime</v>
      </c>
      <c r="H159" s="142">
        <v>214.83</v>
      </c>
      <c r="I159" s="126">
        <v>1398637.59</v>
      </c>
      <c r="J159" s="143">
        <v>0</v>
      </c>
      <c r="K159" s="144">
        <v>0</v>
      </c>
      <c r="L159" s="144">
        <v>0</v>
      </c>
      <c r="M159" s="144">
        <v>0</v>
      </c>
      <c r="N159" s="144">
        <v>0</v>
      </c>
      <c r="O159" s="144">
        <v>0</v>
      </c>
      <c r="P159" s="144">
        <v>0</v>
      </c>
      <c r="Q159" s="144">
        <v>0</v>
      </c>
      <c r="R159" s="144">
        <v>0</v>
      </c>
      <c r="S159" s="144">
        <v>0</v>
      </c>
      <c r="T159" s="144">
        <v>0</v>
      </c>
      <c r="U159" s="144">
        <v>0</v>
      </c>
      <c r="V159" s="144">
        <v>0</v>
      </c>
      <c r="W159" s="144">
        <v>0</v>
      </c>
      <c r="X159" s="144">
        <v>0</v>
      </c>
      <c r="Y159" s="144">
        <v>7.1428571428571425E-2</v>
      </c>
      <c r="Z159" s="144">
        <v>0</v>
      </c>
      <c r="AA159" s="144">
        <v>0.65131578947368418</v>
      </c>
      <c r="AB159" s="144">
        <v>0.67105263157894735</v>
      </c>
      <c r="AC159" s="144">
        <v>0.92142857142857137</v>
      </c>
      <c r="AD159" s="144">
        <v>0.66428571428571426</v>
      </c>
      <c r="AE159" s="144">
        <v>0.72857142857142854</v>
      </c>
      <c r="AF159" s="144">
        <v>0.72857142857142854</v>
      </c>
      <c r="AG159" s="144">
        <v>0.70714285714285718</v>
      </c>
      <c r="AH159" s="144">
        <v>0.8</v>
      </c>
      <c r="AI159" s="144">
        <v>1.3428571428571427</v>
      </c>
      <c r="AJ159" s="144">
        <v>0.68571428571428572</v>
      </c>
      <c r="AK159" s="144">
        <v>0.68571428571428572</v>
      </c>
      <c r="AL159" s="144">
        <v>1</v>
      </c>
      <c r="AM159" s="144">
        <v>0.75</v>
      </c>
      <c r="AN159" s="144">
        <v>0.73026315789473684</v>
      </c>
      <c r="AO159" s="144">
        <v>0.72857142857142854</v>
      </c>
      <c r="AP159" s="144">
        <v>0.70714285714285718</v>
      </c>
      <c r="AQ159" s="144">
        <v>0.72857142857142854</v>
      </c>
      <c r="AR159" s="144">
        <v>0.72857142857142854</v>
      </c>
      <c r="AS159" s="144">
        <v>0.87857142857142856</v>
      </c>
      <c r="AT159" s="144">
        <v>0.68571428571428572</v>
      </c>
      <c r="AU159" s="144">
        <v>1.2285714285714286</v>
      </c>
      <c r="AV159" s="144">
        <v>0.68571428571428572</v>
      </c>
      <c r="AW159" s="144">
        <v>0.75</v>
      </c>
      <c r="AX159" s="144">
        <v>0.91428571428571426</v>
      </c>
      <c r="AY159" s="144">
        <v>0.84868421052631582</v>
      </c>
      <c r="AZ159" s="144">
        <v>0.84868421052631582</v>
      </c>
      <c r="BA159" s="144">
        <v>0.68571428571428572</v>
      </c>
      <c r="BB159" s="144">
        <v>0.72857142857142854</v>
      </c>
      <c r="BC159" s="144">
        <v>0.70714285714285718</v>
      </c>
      <c r="BD159" s="144">
        <v>0.72857142857142854</v>
      </c>
      <c r="BE159" s="144">
        <v>0</v>
      </c>
      <c r="BF159" s="144">
        <v>0</v>
      </c>
      <c r="BG159" s="144">
        <v>0</v>
      </c>
      <c r="BH159" s="144">
        <v>0</v>
      </c>
      <c r="BI159" s="144">
        <v>0</v>
      </c>
      <c r="BJ159" s="144">
        <v>0</v>
      </c>
      <c r="BK159" s="144">
        <v>0</v>
      </c>
      <c r="BL159" s="144">
        <v>0</v>
      </c>
      <c r="BM159" s="144">
        <v>0</v>
      </c>
      <c r="BN159" s="144">
        <v>0</v>
      </c>
      <c r="BO159" s="144">
        <v>0</v>
      </c>
      <c r="BP159" s="144">
        <v>0</v>
      </c>
      <c r="BQ159" s="144">
        <v>0</v>
      </c>
      <c r="BR159" s="144">
        <v>0</v>
      </c>
      <c r="BS159" s="144">
        <v>0</v>
      </c>
      <c r="BT159" s="144">
        <v>0</v>
      </c>
      <c r="BU159" s="144">
        <v>0</v>
      </c>
      <c r="BV159" s="144">
        <v>0</v>
      </c>
      <c r="BW159" s="144">
        <v>0</v>
      </c>
      <c r="BX159" s="144">
        <v>0</v>
      </c>
      <c r="BY159" s="144">
        <v>0</v>
      </c>
      <c r="BZ159" s="144">
        <v>0</v>
      </c>
      <c r="CA159" s="144">
        <v>0</v>
      </c>
      <c r="CB159" s="144">
        <v>0</v>
      </c>
      <c r="CC159" s="144">
        <v>0</v>
      </c>
      <c r="CD159" s="144">
        <v>0</v>
      </c>
      <c r="CE159" s="144">
        <v>0</v>
      </c>
      <c r="CF159" s="144">
        <v>0</v>
      </c>
      <c r="CG159" s="144">
        <v>0</v>
      </c>
      <c r="CH159" s="144">
        <v>0</v>
      </c>
      <c r="CI159" s="144">
        <v>0</v>
      </c>
      <c r="CJ159" s="144">
        <v>0</v>
      </c>
      <c r="CK159" s="144">
        <v>0</v>
      </c>
      <c r="CL159" s="144">
        <v>0</v>
      </c>
      <c r="CM159" s="144">
        <v>0</v>
      </c>
      <c r="CN159" s="144">
        <v>0</v>
      </c>
      <c r="CO159" s="144">
        <v>0</v>
      </c>
      <c r="CP159" s="144">
        <v>0</v>
      </c>
      <c r="CQ159" s="143">
        <v>0</v>
      </c>
      <c r="CR159" s="145">
        <v>0</v>
      </c>
      <c r="CS159" s="145">
        <v>0</v>
      </c>
      <c r="CT159" s="145">
        <v>0</v>
      </c>
      <c r="CU159" s="145">
        <v>0</v>
      </c>
      <c r="CV159" s="145">
        <v>0</v>
      </c>
      <c r="CW159" s="145">
        <v>0</v>
      </c>
      <c r="CX159" s="145">
        <v>0</v>
      </c>
      <c r="CY159" s="145">
        <v>0</v>
      </c>
      <c r="CZ159" s="145">
        <v>0</v>
      </c>
      <c r="DA159" s="145">
        <v>0</v>
      </c>
      <c r="DB159" s="145">
        <v>0</v>
      </c>
      <c r="DC159" s="145">
        <v>0</v>
      </c>
      <c r="DD159" s="145">
        <v>0</v>
      </c>
      <c r="DE159" s="145">
        <v>0</v>
      </c>
      <c r="DF159" s="145">
        <v>4296.6000000000004</v>
      </c>
      <c r="DG159" s="145">
        <v>0</v>
      </c>
      <c r="DH159" s="145">
        <v>42536.340000000004</v>
      </c>
      <c r="DI159" s="145">
        <v>43825.32</v>
      </c>
      <c r="DJ159" s="145">
        <v>55426.140000000007</v>
      </c>
      <c r="DK159" s="145">
        <v>39958.380000000005</v>
      </c>
      <c r="DL159" s="145">
        <v>43825.32</v>
      </c>
      <c r="DM159" s="145">
        <v>43825.32</v>
      </c>
      <c r="DN159" s="145">
        <v>42536.340000000004</v>
      </c>
      <c r="DO159" s="145">
        <v>36091.440000000002</v>
      </c>
      <c r="DP159" s="145">
        <v>60582.060000000005</v>
      </c>
      <c r="DQ159" s="145">
        <v>41247.360000000001</v>
      </c>
      <c r="DR159" s="145">
        <v>42475.199999999997</v>
      </c>
      <c r="DS159" s="145">
        <v>46457.25</v>
      </c>
      <c r="DT159" s="145">
        <v>50439.299999999996</v>
      </c>
      <c r="DU159" s="145">
        <v>49111.95</v>
      </c>
      <c r="DV159" s="145">
        <v>45129.9</v>
      </c>
      <c r="DW159" s="145">
        <v>43802.549999999996</v>
      </c>
      <c r="DX159" s="145">
        <v>45129.9</v>
      </c>
      <c r="DY159" s="145">
        <v>45129.9</v>
      </c>
      <c r="DZ159" s="145">
        <v>54421.35</v>
      </c>
      <c r="EA159" s="145">
        <v>31856.399999999998</v>
      </c>
      <c r="EB159" s="145">
        <v>57076.049999999996</v>
      </c>
      <c r="EC159" s="145">
        <v>42475.199999999997</v>
      </c>
      <c r="ED159" s="145">
        <v>47847.45</v>
      </c>
      <c r="EE159" s="145">
        <v>43746.239999999998</v>
      </c>
      <c r="EF159" s="145">
        <v>58784.01</v>
      </c>
      <c r="EG159" s="145">
        <v>58784.01</v>
      </c>
      <c r="EH159" s="145">
        <v>43746.239999999998</v>
      </c>
      <c r="EI159" s="145">
        <v>46480.38</v>
      </c>
      <c r="EJ159" s="145">
        <v>45113.31</v>
      </c>
      <c r="EK159" s="145">
        <v>46480.38</v>
      </c>
      <c r="EL159" s="145">
        <v>0</v>
      </c>
      <c r="EM159" s="145">
        <v>0</v>
      </c>
      <c r="EN159" s="145">
        <v>0</v>
      </c>
      <c r="EO159" s="145">
        <v>0</v>
      </c>
      <c r="EP159" s="145">
        <v>0</v>
      </c>
      <c r="EQ159" s="145">
        <v>0</v>
      </c>
      <c r="ER159" s="145">
        <v>0</v>
      </c>
      <c r="ES159" s="145">
        <v>0</v>
      </c>
      <c r="ET159" s="145">
        <v>0</v>
      </c>
      <c r="EU159" s="145">
        <v>0</v>
      </c>
      <c r="EV159" s="145">
        <v>0</v>
      </c>
      <c r="EW159" s="145">
        <v>0</v>
      </c>
      <c r="EX159" s="145">
        <v>0</v>
      </c>
      <c r="EY159" s="145">
        <v>0</v>
      </c>
      <c r="EZ159" s="145">
        <v>0</v>
      </c>
      <c r="FA159" s="145">
        <v>0</v>
      </c>
      <c r="FB159" s="145">
        <v>0</v>
      </c>
      <c r="FC159" s="145">
        <v>0</v>
      </c>
      <c r="FD159" s="145">
        <v>0</v>
      </c>
      <c r="FE159" s="145">
        <v>0</v>
      </c>
      <c r="FF159" s="145">
        <v>0</v>
      </c>
      <c r="FG159" s="145">
        <v>0</v>
      </c>
      <c r="FH159" s="145">
        <v>0</v>
      </c>
      <c r="FI159" s="145">
        <v>0</v>
      </c>
      <c r="FJ159" s="145">
        <v>0</v>
      </c>
      <c r="FK159" s="145">
        <v>0</v>
      </c>
      <c r="FL159" s="145">
        <v>0</v>
      </c>
      <c r="FM159" s="145">
        <v>0</v>
      </c>
      <c r="FN159" s="145">
        <v>0</v>
      </c>
      <c r="FO159" s="145">
        <v>0</v>
      </c>
      <c r="FP159" s="145">
        <v>0</v>
      </c>
      <c r="FQ159" s="145">
        <v>0</v>
      </c>
      <c r="FR159" s="145">
        <v>0</v>
      </c>
      <c r="FS159" s="145">
        <v>0</v>
      </c>
      <c r="FT159" s="145">
        <v>0</v>
      </c>
      <c r="FU159" s="145">
        <v>0</v>
      </c>
      <c r="FV159" s="145">
        <v>0</v>
      </c>
      <c r="FW159" s="145">
        <v>0</v>
      </c>
      <c r="FX159" s="143"/>
      <c r="FY159" s="146" t="str">
        <f>_xlfn.XLOOKUP($E159,'Key assumptions'!$B$112:$B$120,'Key assumptions'!$C$112:$C$120,0)</f>
        <v>Nominal</v>
      </c>
      <c r="FZ159" s="146" cm="1">
        <f t="array" ref="FZ159">IF($FY159=0,0,_xlfn.IFS($FY159='Key assumptions'!$C$120,_xlfn.XLOOKUP(LEFT(FZ$7,6),Inflation_Year,Inflation_NominaltoReal),TRUE,_xlfn.XLOOKUP($FY159,Inflation_Year,NominaltoReal)))</f>
        <v>1.0197075870962191</v>
      </c>
      <c r="GA159" s="146" cm="1">
        <f t="array" ref="GA159">IF($FY159=0,0,_xlfn.IFS($FY159='Key assumptions'!$C$120,_xlfn.XLOOKUP(LEFT(GA$7,6),Inflation_Year,Inflation_NominaltoReal),TRUE,_xlfn.XLOOKUP($FY159,Inflation_Year,NominaltoReal)))</f>
        <v>0.98700804022984445</v>
      </c>
      <c r="GB159" s="146" cm="1">
        <f t="array" ref="GB159">IF($FY159=0,0,_xlfn.IFS($FY159='Key assumptions'!$C$120,_xlfn.XLOOKUP(LEFT(GB$7,6),Inflation_Year,Inflation_NominaltoReal),TRUE,_xlfn.XLOOKUP($FY159,Inflation_Year,NominaltoReal)))</f>
        <v>0.96152830081941731</v>
      </c>
      <c r="GC159" s="146" cm="1">
        <f t="array" ref="GC159">IF($FY159=0,0,_xlfn.IFS($FY159='Key assumptions'!$C$120,_xlfn.XLOOKUP(LEFT(GC$7,6),Inflation_Year,Inflation_NominaltoReal),TRUE,_xlfn.XLOOKUP($FY159,Inflation_Year,NominaltoReal)))</f>
        <v>0.93670632415656829</v>
      </c>
      <c r="GD159" s="146" cm="1">
        <f t="array" ref="GD159">IF($FY159=0,0,_xlfn.IFS($FY159='Key assumptions'!$C$120,_xlfn.XLOOKUP(LEFT(GD$7,6),Inflation_Year,Inflation_NominaltoReal),TRUE,_xlfn.XLOOKUP($FY159,Inflation_Year,NominaltoReal)))</f>
        <v>0.91252513001143176</v>
      </c>
      <c r="GE159" s="146" cm="1">
        <f t="array" ref="GE159">IF($FY159=0,0,_xlfn.IFS($FY159='Key assumptions'!$C$120,_xlfn.XLOOKUP(LEFT(GE$7,6),Inflation_Year,Inflation_NominaltoReal),TRUE,_xlfn.XLOOKUP($FY159,Inflation_Year,NominaltoReal)))</f>
        <v>0.88896817650095872</v>
      </c>
      <c r="GF159" s="146" cm="1">
        <f t="array" ref="GF159">IF($FY159=0,0,_xlfn.IFS($FY159='Key assumptions'!$C$120,_xlfn.XLOOKUP(LEFT(GF$7,6),Inflation_Year,Inflation_NominaltoReal),TRUE,_xlfn.XLOOKUP($FY159,Inflation_Year,NominaltoReal)))</f>
        <v>0.86601934877293718</v>
      </c>
      <c r="GG159" s="143"/>
      <c r="GH159" s="145" cm="1">
        <f t="array" ref="GH159">SUMPRODUCT(--($CR$7:$FW$7&gt;=GH$5),--($CR$7:$FW$7&lt;=GH$6),$CR159:$FW159)*FZ159</f>
        <v>234398.24560139244</v>
      </c>
      <c r="GI159" s="145" cm="1">
        <f t="array" ref="GI159">SUMPRODUCT(--($CR$7:$FW$7&gt;=GI$5),--($CR$7:$FW$7&lt;=GI$6),$CR159:$FW159)*GA159</f>
        <v>539724.19521738833</v>
      </c>
      <c r="GJ159" s="145" cm="1">
        <f t="array" ref="GJ159">SUMPRODUCT(--($CR$7:$FW$7&gt;=GJ$5),--($CR$7:$FW$7&lt;=GJ$6),$CR159:$FW159)*GB159</f>
        <v>553321.59521482431</v>
      </c>
      <c r="GK159" s="145" cm="1">
        <f t="array" ref="GK159">SUMPRODUCT(--($CR$7:$FW$7&gt;=GK$5),--($CR$7:$FW$7&lt;=GK$6),$CR159:$FW159)*GC159</f>
        <v>43538.465895200468</v>
      </c>
      <c r="GL159" s="145" cm="1">
        <f t="array" ref="GL159">SUMPRODUCT(--($CR$7:$FW$7&gt;=GL$5),--($CR$7:$FW$7&lt;=GL$6),$CR159:$FW159)*GD159</f>
        <v>0</v>
      </c>
      <c r="GM159" s="145" cm="1">
        <f t="array" ref="GM159">SUMPRODUCT(--($CR$7:$FW$7&gt;=GM$5),--($CR$7:$FW$7&lt;=GM$6),$CR159:$FW159)*GE159</f>
        <v>0</v>
      </c>
      <c r="GN159" s="145" cm="1">
        <f t="array" ref="GN159">SUMPRODUCT(--($CR$7:$FW$7&gt;=GN$5),--($CR$7:$FW$7&lt;=GN$6),$CR159:$FW159)*GF159</f>
        <v>0</v>
      </c>
      <c r="GO159" s="145">
        <f t="shared" si="46"/>
        <v>1370982.5019288056</v>
      </c>
      <c r="GP159" s="87"/>
      <c r="GR159" s="145" cm="1">
        <f t="array" ref="GR159">SUMPRODUCT(--($CR$7:$FW$7&gt;=GR$5),--($CR$7:$FW$7&lt;=GR$6),$CR159:$FW159)</f>
        <v>90658.260000000009</v>
      </c>
      <c r="GT159" s="214" cm="1">
        <f t="array" ref="GT159">--AND(MIN(IF($K159:$CP159&lt;&gt;0,$K$7:$CP$7))&gt;=GT$5,MIN(IF($K159:$CP159&lt;&gt;0,$K$7:$CP$7))&lt;=GT$6)</f>
        <v>1</v>
      </c>
      <c r="GU159" s="214" cm="1">
        <f t="array" ref="GU159">--AND(MIN(IF($K159:$CP159&lt;&gt;0,$K$7:$CP$7))&gt;=GU$5,MIN(IF($K159:$CP159&lt;&gt;0,$K$7:$CP$7))&lt;=GU$6)</f>
        <v>0</v>
      </c>
      <c r="GV159" s="214" cm="1">
        <f t="array" ref="GV159">--AND(MIN(IF($K159:$CP159&lt;&gt;0,$K$7:$CP$7))&gt;=GV$5,MIN(IF($K159:$CP159&lt;&gt;0,$K$7:$CP$7))&lt;=GV$6)</f>
        <v>0</v>
      </c>
      <c r="GW159" s="214" cm="1">
        <f t="array" ref="GW159">--AND(MIN(IF($K159:$CP159&lt;&gt;0,$K$7:$CP$7))&gt;=GW$5,MIN(IF($K159:$CP159&lt;&gt;0,$K$7:$CP$7))&lt;=GW$6)</f>
        <v>0</v>
      </c>
      <c r="GX159" s="214" cm="1">
        <f t="array" ref="GX159">--AND(MIN(IF($K159:$CP159&lt;&gt;0,$K$7:$CP$7))&gt;=GX$5,MIN(IF($K159:$CP159&lt;&gt;0,$K$7:$CP$7))&lt;=GX$6)</f>
        <v>0</v>
      </c>
      <c r="GY159" s="214" cm="1">
        <f t="array" ref="GY159">--AND(MIN(IF($K159:$CP159&lt;&gt;0,$K$7:$CP$7))&gt;=GY$5,MIN(IF($K159:$CP159&lt;&gt;0,$K$7:$CP$7))&lt;=GY$6)</f>
        <v>0</v>
      </c>
      <c r="GZ159" s="214" cm="1">
        <f t="array" ref="GZ159">--AND(MIN(IF($K159:$CP159&lt;&gt;0,$K$7:$CP$7))&gt;=GZ$5,MIN(IF($K159:$CP159&lt;&gt;0,$K$7:$CP$7))&lt;=GZ$6)</f>
        <v>0</v>
      </c>
      <c r="HA159" s="214">
        <f t="shared" si="47"/>
        <v>1</v>
      </c>
      <c r="HC159" s="214" cm="1">
        <f t="array" ref="HC159">--AND(MIN(IF($K159:$CP159&lt;&gt;0,$K$7:$CP$7))&gt;=HC$5,MIN(IF($K159:$CP159&lt;&gt;0,$K$7:$CP$7))&lt;=HC$6)</f>
        <v>1</v>
      </c>
      <c r="HE159" s="147" t="str">
        <f t="shared" si="66"/>
        <v>No</v>
      </c>
      <c r="HF159" s="147" t="str">
        <f t="shared" si="67"/>
        <v>Yes</v>
      </c>
      <c r="HG159" s="147">
        <f>IF($HF159="Yes",0,$H159*avg_hrs*12*'Key assumptions'!$D$87)</f>
        <v>0</v>
      </c>
      <c r="HH159" s="147">
        <f>IF(HE159="Yes",'Key assumptions'!$D$84*HG159,0)</f>
        <v>0</v>
      </c>
      <c r="HI159" s="144">
        <f>IFERROR(AVERAGEIFS($K159:$CP159,$K$7:$CP$7,"&gt;="&amp;'Key assumptions'!$D$24,$K$7:$CP$7,"&lt;="&amp;'Key assumptions'!$D$25),0)</f>
        <v>0.5391233766233765</v>
      </c>
      <c r="HJ159" s="148">
        <f t="shared" si="48"/>
        <v>0</v>
      </c>
      <c r="HK159" s="148">
        <f t="shared" si="49"/>
        <v>0</v>
      </c>
      <c r="HL159" s="148">
        <f t="shared" si="50"/>
        <v>0</v>
      </c>
      <c r="HM159" s="148">
        <f t="shared" si="51"/>
        <v>0</v>
      </c>
      <c r="HN159" s="148">
        <f t="shared" si="52"/>
        <v>0</v>
      </c>
      <c r="HO159" s="148">
        <f t="shared" si="53"/>
        <v>0</v>
      </c>
      <c r="HP159" s="148">
        <f t="shared" si="54"/>
        <v>0</v>
      </c>
      <c r="HQ159" s="148">
        <f t="shared" si="55"/>
        <v>0</v>
      </c>
      <c r="HR159" s="147">
        <f t="shared" si="56"/>
        <v>0</v>
      </c>
      <c r="HU159" s="147">
        <f>$HJ159*HC159/(1+'Key assumptions'!G181)^0.75</f>
        <v>0</v>
      </c>
      <c r="HW159" s="216">
        <f t="shared" si="57"/>
        <v>0.5391233766233765</v>
      </c>
      <c r="HX159" s="216">
        <f t="shared" si="58"/>
        <v>0</v>
      </c>
      <c r="HY159" s="216">
        <f t="shared" si="59"/>
        <v>0</v>
      </c>
      <c r="HZ159" s="216">
        <f t="shared" si="60"/>
        <v>0</v>
      </c>
      <c r="IA159" s="216">
        <f t="shared" si="61"/>
        <v>0</v>
      </c>
      <c r="IB159" s="216">
        <f t="shared" si="62"/>
        <v>0</v>
      </c>
      <c r="IC159" s="216">
        <f t="shared" si="63"/>
        <v>0</v>
      </c>
      <c r="ID159" s="216">
        <f t="shared" si="64"/>
        <v>0.5391233766233765</v>
      </c>
      <c r="IF159" s="216">
        <f t="shared" si="65"/>
        <v>0.5391233766233765</v>
      </c>
    </row>
    <row r="160" spans="2:240" x14ac:dyDescent="0.2">
      <c r="B160" s="141" t="str">
        <v>Project Delivery Management - Construction Management</v>
      </c>
      <c r="C160" s="141" t="str">
        <v>Safety Officer (Safety and Environmental Delivery)</v>
      </c>
      <c r="D160" s="141" t="str">
        <v>Internal Labour</v>
      </c>
      <c r="E160" s="141" t="str">
        <v>$ Nominal</v>
      </c>
      <c r="F160" s="141" t="str">
        <v>Existing</v>
      </c>
      <c r="G160" s="141" t="str">
        <v>Normal time</v>
      </c>
      <c r="H160" s="142">
        <v>205.24</v>
      </c>
      <c r="I160" s="126">
        <v>160613.05400000006</v>
      </c>
      <c r="J160" s="143">
        <v>0</v>
      </c>
      <c r="K160" s="144">
        <v>0</v>
      </c>
      <c r="L160" s="144">
        <v>0</v>
      </c>
      <c r="M160" s="144">
        <v>0</v>
      </c>
      <c r="N160" s="144">
        <v>0</v>
      </c>
      <c r="O160" s="144">
        <v>0</v>
      </c>
      <c r="P160" s="144">
        <v>0</v>
      </c>
      <c r="Q160" s="144">
        <v>0</v>
      </c>
      <c r="R160" s="144">
        <v>0</v>
      </c>
      <c r="S160" s="144">
        <v>0</v>
      </c>
      <c r="T160" s="144">
        <v>0</v>
      </c>
      <c r="U160" s="144">
        <v>0</v>
      </c>
      <c r="V160" s="144">
        <v>0</v>
      </c>
      <c r="W160" s="144">
        <v>0</v>
      </c>
      <c r="X160" s="144">
        <v>0</v>
      </c>
      <c r="Y160" s="144">
        <v>0.1</v>
      </c>
      <c r="Z160" s="144">
        <v>0.13333333333333333</v>
      </c>
      <c r="AA160" s="144">
        <v>0.15657894736842107</v>
      </c>
      <c r="AB160" s="144">
        <v>0.16578947368421051</v>
      </c>
      <c r="AC160" s="144">
        <v>0.19</v>
      </c>
      <c r="AD160" s="144">
        <v>0.15</v>
      </c>
      <c r="AE160" s="144">
        <v>0.18</v>
      </c>
      <c r="AF160" s="144">
        <v>0.18</v>
      </c>
      <c r="AG160" s="144">
        <v>0.17</v>
      </c>
      <c r="AH160" s="144">
        <v>0.16</v>
      </c>
      <c r="AI160" s="144">
        <v>0.3066666666666667</v>
      </c>
      <c r="AJ160" s="144">
        <v>0.16</v>
      </c>
      <c r="AK160" s="144">
        <v>0.16</v>
      </c>
      <c r="AL160" s="144">
        <v>0.25333333333333335</v>
      </c>
      <c r="AM160" s="144">
        <v>0.16578947368421051</v>
      </c>
      <c r="AN160" s="144">
        <v>0.15657894736842107</v>
      </c>
      <c r="AO160" s="144">
        <v>0.18</v>
      </c>
      <c r="AP160" s="144">
        <v>0.17</v>
      </c>
      <c r="AQ160" s="144">
        <v>0.18</v>
      </c>
      <c r="AR160" s="144">
        <v>0.18</v>
      </c>
      <c r="AS160" s="144">
        <v>0.17</v>
      </c>
      <c r="AT160" s="144">
        <v>0.21333333333333332</v>
      </c>
      <c r="AU160" s="144">
        <v>0.25333333333333335</v>
      </c>
      <c r="AV160" s="144">
        <v>0.16</v>
      </c>
      <c r="AW160" s="144">
        <v>0.19</v>
      </c>
      <c r="AX160" s="144">
        <v>0.21333333333333332</v>
      </c>
      <c r="AY160" s="144">
        <v>0.17500000000000002</v>
      </c>
      <c r="AZ160" s="144">
        <v>0.17500000000000002</v>
      </c>
      <c r="BA160" s="144">
        <v>0.16</v>
      </c>
      <c r="BB160" s="144">
        <v>0.18</v>
      </c>
      <c r="BC160" s="144">
        <v>0.17</v>
      </c>
      <c r="BD160" s="144">
        <v>0.18</v>
      </c>
      <c r="BE160" s="144">
        <v>0</v>
      </c>
      <c r="BF160" s="144">
        <v>0</v>
      </c>
      <c r="BG160" s="144">
        <v>0</v>
      </c>
      <c r="BH160" s="144">
        <v>0</v>
      </c>
      <c r="BI160" s="144">
        <v>0</v>
      </c>
      <c r="BJ160" s="144">
        <v>0</v>
      </c>
      <c r="BK160" s="144">
        <v>0</v>
      </c>
      <c r="BL160" s="144">
        <v>0</v>
      </c>
      <c r="BM160" s="144">
        <v>0</v>
      </c>
      <c r="BN160" s="144">
        <v>0</v>
      </c>
      <c r="BO160" s="144">
        <v>0</v>
      </c>
      <c r="BP160" s="144">
        <v>0</v>
      </c>
      <c r="BQ160" s="144">
        <v>0</v>
      </c>
      <c r="BR160" s="144">
        <v>0</v>
      </c>
      <c r="BS160" s="144">
        <v>0</v>
      </c>
      <c r="BT160" s="144">
        <v>0</v>
      </c>
      <c r="BU160" s="144">
        <v>0</v>
      </c>
      <c r="BV160" s="144">
        <v>0</v>
      </c>
      <c r="BW160" s="144">
        <v>0</v>
      </c>
      <c r="BX160" s="144">
        <v>0</v>
      </c>
      <c r="BY160" s="144">
        <v>0</v>
      </c>
      <c r="BZ160" s="144">
        <v>0</v>
      </c>
      <c r="CA160" s="144">
        <v>0</v>
      </c>
      <c r="CB160" s="144">
        <v>0</v>
      </c>
      <c r="CC160" s="144">
        <v>0</v>
      </c>
      <c r="CD160" s="144">
        <v>0</v>
      </c>
      <c r="CE160" s="144">
        <v>0</v>
      </c>
      <c r="CF160" s="144">
        <v>0</v>
      </c>
      <c r="CG160" s="144">
        <v>0</v>
      </c>
      <c r="CH160" s="144">
        <v>0</v>
      </c>
      <c r="CI160" s="144">
        <v>0</v>
      </c>
      <c r="CJ160" s="144">
        <v>0</v>
      </c>
      <c r="CK160" s="144">
        <v>0</v>
      </c>
      <c r="CL160" s="144">
        <v>0</v>
      </c>
      <c r="CM160" s="144">
        <v>0</v>
      </c>
      <c r="CN160" s="144">
        <v>0</v>
      </c>
      <c r="CO160" s="144">
        <v>0</v>
      </c>
      <c r="CP160" s="144">
        <v>0</v>
      </c>
      <c r="CQ160" s="143">
        <v>0</v>
      </c>
      <c r="CR160" s="145">
        <v>0</v>
      </c>
      <c r="CS160" s="145">
        <v>0</v>
      </c>
      <c r="CT160" s="145">
        <v>0</v>
      </c>
      <c r="CU160" s="145">
        <v>0</v>
      </c>
      <c r="CV160" s="145">
        <v>0</v>
      </c>
      <c r="CW160" s="145">
        <v>0</v>
      </c>
      <c r="CX160" s="145">
        <v>0</v>
      </c>
      <c r="CY160" s="145">
        <v>0</v>
      </c>
      <c r="CZ160" s="145">
        <v>0</v>
      </c>
      <c r="DA160" s="145">
        <v>0</v>
      </c>
      <c r="DB160" s="145">
        <v>0</v>
      </c>
      <c r="DC160" s="145">
        <v>0</v>
      </c>
      <c r="DD160" s="145">
        <v>0</v>
      </c>
      <c r="DE160" s="145">
        <v>0</v>
      </c>
      <c r="DF160" s="145">
        <v>2873.36</v>
      </c>
      <c r="DG160" s="145">
        <v>2873.36</v>
      </c>
      <c r="DH160" s="145">
        <v>4884.7120000000004</v>
      </c>
      <c r="DI160" s="145">
        <v>5172.0479999999998</v>
      </c>
      <c r="DJ160" s="145">
        <v>5459.3840000000009</v>
      </c>
      <c r="DK160" s="145">
        <v>4310.04</v>
      </c>
      <c r="DL160" s="145">
        <v>5172.0479999999998</v>
      </c>
      <c r="DM160" s="145">
        <v>5172.0479999999998</v>
      </c>
      <c r="DN160" s="145">
        <v>4884.7120000000004</v>
      </c>
      <c r="DO160" s="145">
        <v>3448.0320000000002</v>
      </c>
      <c r="DP160" s="145">
        <v>6608.728000000001</v>
      </c>
      <c r="DQ160" s="145">
        <v>4597.3760000000002</v>
      </c>
      <c r="DR160" s="145">
        <v>4735.5839999999998</v>
      </c>
      <c r="DS160" s="145">
        <v>5623.5060000000003</v>
      </c>
      <c r="DT160" s="145">
        <v>5327.5320000000002</v>
      </c>
      <c r="DU160" s="145">
        <v>5031.558</v>
      </c>
      <c r="DV160" s="145">
        <v>5327.5320000000002</v>
      </c>
      <c r="DW160" s="145">
        <v>5031.558</v>
      </c>
      <c r="DX160" s="145">
        <v>5327.5320000000002</v>
      </c>
      <c r="DY160" s="145">
        <v>5327.5320000000002</v>
      </c>
      <c r="DZ160" s="145">
        <v>5031.558</v>
      </c>
      <c r="EA160" s="145">
        <v>4735.5839999999998</v>
      </c>
      <c r="EB160" s="145">
        <v>5623.5060000000003</v>
      </c>
      <c r="EC160" s="145">
        <v>4735.5839999999998</v>
      </c>
      <c r="ED160" s="145">
        <v>5793.4800000000005</v>
      </c>
      <c r="EE160" s="145">
        <v>4878.72</v>
      </c>
      <c r="EF160" s="145">
        <v>5793.4800000000005</v>
      </c>
      <c r="EG160" s="145">
        <v>5793.4800000000005</v>
      </c>
      <c r="EH160" s="145">
        <v>4878.72</v>
      </c>
      <c r="EI160" s="145">
        <v>5488.56</v>
      </c>
      <c r="EJ160" s="145">
        <v>5183.6400000000003</v>
      </c>
      <c r="EK160" s="145">
        <v>5488.56</v>
      </c>
      <c r="EL160" s="145">
        <v>0</v>
      </c>
      <c r="EM160" s="145">
        <v>0</v>
      </c>
      <c r="EN160" s="145">
        <v>0</v>
      </c>
      <c r="EO160" s="145">
        <v>0</v>
      </c>
      <c r="EP160" s="145">
        <v>0</v>
      </c>
      <c r="EQ160" s="145">
        <v>0</v>
      </c>
      <c r="ER160" s="145">
        <v>0</v>
      </c>
      <c r="ES160" s="145">
        <v>0</v>
      </c>
      <c r="ET160" s="145">
        <v>0</v>
      </c>
      <c r="EU160" s="145">
        <v>0</v>
      </c>
      <c r="EV160" s="145">
        <v>0</v>
      </c>
      <c r="EW160" s="145">
        <v>0</v>
      </c>
      <c r="EX160" s="145">
        <v>0</v>
      </c>
      <c r="EY160" s="145">
        <v>0</v>
      </c>
      <c r="EZ160" s="145">
        <v>0</v>
      </c>
      <c r="FA160" s="145">
        <v>0</v>
      </c>
      <c r="FB160" s="145">
        <v>0</v>
      </c>
      <c r="FC160" s="145">
        <v>0</v>
      </c>
      <c r="FD160" s="145">
        <v>0</v>
      </c>
      <c r="FE160" s="145">
        <v>0</v>
      </c>
      <c r="FF160" s="145">
        <v>0</v>
      </c>
      <c r="FG160" s="145">
        <v>0</v>
      </c>
      <c r="FH160" s="145">
        <v>0</v>
      </c>
      <c r="FI160" s="145">
        <v>0</v>
      </c>
      <c r="FJ160" s="145">
        <v>0</v>
      </c>
      <c r="FK160" s="145">
        <v>0</v>
      </c>
      <c r="FL160" s="145">
        <v>0</v>
      </c>
      <c r="FM160" s="145">
        <v>0</v>
      </c>
      <c r="FN160" s="145">
        <v>0</v>
      </c>
      <c r="FO160" s="145">
        <v>0</v>
      </c>
      <c r="FP160" s="145">
        <v>0</v>
      </c>
      <c r="FQ160" s="145">
        <v>0</v>
      </c>
      <c r="FR160" s="145">
        <v>0</v>
      </c>
      <c r="FS160" s="145">
        <v>0</v>
      </c>
      <c r="FT160" s="145">
        <v>0</v>
      </c>
      <c r="FU160" s="145">
        <v>0</v>
      </c>
      <c r="FV160" s="145">
        <v>0</v>
      </c>
      <c r="FW160" s="145">
        <v>0</v>
      </c>
      <c r="FX160" s="143"/>
      <c r="FY160" s="146" t="str">
        <f>_xlfn.XLOOKUP($E160,'Key assumptions'!$B$112:$B$120,'Key assumptions'!$C$112:$C$120,0)</f>
        <v>Nominal</v>
      </c>
      <c r="FZ160" s="146" cm="1">
        <f t="array" ref="FZ160">IF($FY160=0,0,_xlfn.IFS($FY160='Key assumptions'!$C$120,_xlfn.XLOOKUP(LEFT(FZ$7,6),Inflation_Year,Inflation_NominaltoReal),TRUE,_xlfn.XLOOKUP($FY160,Inflation_Year,NominaltoReal)))</f>
        <v>1.0197075870962191</v>
      </c>
      <c r="GA160" s="146" cm="1">
        <f t="array" ref="GA160">IF($FY160=0,0,_xlfn.IFS($FY160='Key assumptions'!$C$120,_xlfn.XLOOKUP(LEFT(GA$7,6),Inflation_Year,Inflation_NominaltoReal),TRUE,_xlfn.XLOOKUP($FY160,Inflation_Year,NominaltoReal)))</f>
        <v>0.98700804022984445</v>
      </c>
      <c r="GB160" s="146" cm="1">
        <f t="array" ref="GB160">IF($FY160=0,0,_xlfn.IFS($FY160='Key assumptions'!$C$120,_xlfn.XLOOKUP(LEFT(GB$7,6),Inflation_Year,Inflation_NominaltoReal),TRUE,_xlfn.XLOOKUP($FY160,Inflation_Year,NominaltoReal)))</f>
        <v>0.96152830081941731</v>
      </c>
      <c r="GC160" s="146" cm="1">
        <f t="array" ref="GC160">IF($FY160=0,0,_xlfn.IFS($FY160='Key assumptions'!$C$120,_xlfn.XLOOKUP(LEFT(GC$7,6),Inflation_Year,Inflation_NominaltoReal),TRUE,_xlfn.XLOOKUP($FY160,Inflation_Year,NominaltoReal)))</f>
        <v>0.93670632415656829</v>
      </c>
      <c r="GD160" s="146" cm="1">
        <f t="array" ref="GD160">IF($FY160=0,0,_xlfn.IFS($FY160='Key assumptions'!$C$120,_xlfn.XLOOKUP(LEFT(GD$7,6),Inflation_Year,Inflation_NominaltoReal),TRUE,_xlfn.XLOOKUP($FY160,Inflation_Year,NominaltoReal)))</f>
        <v>0.91252513001143176</v>
      </c>
      <c r="GE160" s="146" cm="1">
        <f t="array" ref="GE160">IF($FY160=0,0,_xlfn.IFS($FY160='Key assumptions'!$C$120,_xlfn.XLOOKUP(LEFT(GE$7,6),Inflation_Year,Inflation_NominaltoReal),TRUE,_xlfn.XLOOKUP($FY160,Inflation_Year,NominaltoReal)))</f>
        <v>0.88896817650095872</v>
      </c>
      <c r="GF160" s="146" cm="1">
        <f t="array" ref="GF160">IF($FY160=0,0,_xlfn.IFS($FY160='Key assumptions'!$C$120,_xlfn.XLOOKUP(LEFT(GF$7,6),Inflation_Year,Inflation_NominaltoReal),TRUE,_xlfn.XLOOKUP($FY160,Inflation_Year,NominaltoReal)))</f>
        <v>0.86601934877293718</v>
      </c>
      <c r="GG160" s="143"/>
      <c r="GH160" s="145" cm="1">
        <f t="array" ref="GH160">SUMPRODUCT(--($CR$7:$FW$7&gt;=GH$5),--($CR$7:$FW$7&lt;=GH$6),$CR160:$FW160)*FZ160</f>
        <v>31350.860819309077</v>
      </c>
      <c r="GI160" s="145" cm="1">
        <f t="array" ref="GI160">SUMPRODUCT(--($CR$7:$FW$7&gt;=GI$5),--($CR$7:$FW$7&lt;=GI$6),$CR160:$FW160)*GA160</f>
        <v>60321.685310259018</v>
      </c>
      <c r="GJ160" s="145" cm="1">
        <f t="array" ref="GJ160">SUMPRODUCT(--($CR$7:$FW$7&gt;=GJ$5),--($CR$7:$FW$7&lt;=GJ$6),$CR160:$FW160)*GB160</f>
        <v>60829.976424624692</v>
      </c>
      <c r="GK160" s="145" cm="1">
        <f t="array" ref="GK160">SUMPRODUCT(--($CR$7:$FW$7&gt;=GK$5),--($CR$7:$FW$7&lt;=GK$6),$CR160:$FW160)*GC160</f>
        <v>5141.1688625127745</v>
      </c>
      <c r="GL160" s="145" cm="1">
        <f t="array" ref="GL160">SUMPRODUCT(--($CR$7:$FW$7&gt;=GL$5),--($CR$7:$FW$7&lt;=GL$6),$CR160:$FW160)*GD160</f>
        <v>0</v>
      </c>
      <c r="GM160" s="145" cm="1">
        <f t="array" ref="GM160">SUMPRODUCT(--($CR$7:$FW$7&gt;=GM$5),--($CR$7:$FW$7&lt;=GM$6),$CR160:$FW160)*GE160</f>
        <v>0</v>
      </c>
      <c r="GN160" s="145" cm="1">
        <f t="array" ref="GN160">SUMPRODUCT(--($CR$7:$FW$7&gt;=GN$5),--($CR$7:$FW$7&lt;=GN$6),$CR160:$FW160)*GF160</f>
        <v>0</v>
      </c>
      <c r="GO160" s="145">
        <f t="shared" si="46"/>
        <v>157643.69141670558</v>
      </c>
      <c r="GP160" s="87"/>
      <c r="GR160" s="145" cm="1">
        <f t="array" ref="GR160">SUMPRODUCT(--($CR$7:$FW$7&gt;=GR$5),--($CR$7:$FW$7&lt;=GR$6),$CR160:$FW160)</f>
        <v>15803.48</v>
      </c>
      <c r="GT160" s="214" cm="1">
        <f t="array" ref="GT160">--AND(MIN(IF($K160:$CP160&lt;&gt;0,$K$7:$CP$7))&gt;=GT$5,MIN(IF($K160:$CP160&lt;&gt;0,$K$7:$CP$7))&lt;=GT$6)</f>
        <v>1</v>
      </c>
      <c r="GU160" s="214" cm="1">
        <f t="array" ref="GU160">--AND(MIN(IF($K160:$CP160&lt;&gt;0,$K$7:$CP$7))&gt;=GU$5,MIN(IF($K160:$CP160&lt;&gt;0,$K$7:$CP$7))&lt;=GU$6)</f>
        <v>0</v>
      </c>
      <c r="GV160" s="214" cm="1">
        <f t="array" ref="GV160">--AND(MIN(IF($K160:$CP160&lt;&gt;0,$K$7:$CP$7))&gt;=GV$5,MIN(IF($K160:$CP160&lt;&gt;0,$K$7:$CP$7))&lt;=GV$6)</f>
        <v>0</v>
      </c>
      <c r="GW160" s="214" cm="1">
        <f t="array" ref="GW160">--AND(MIN(IF($K160:$CP160&lt;&gt;0,$K$7:$CP$7))&gt;=GW$5,MIN(IF($K160:$CP160&lt;&gt;0,$K$7:$CP$7))&lt;=GW$6)</f>
        <v>0</v>
      </c>
      <c r="GX160" s="214" cm="1">
        <f t="array" ref="GX160">--AND(MIN(IF($K160:$CP160&lt;&gt;0,$K$7:$CP$7))&gt;=GX$5,MIN(IF($K160:$CP160&lt;&gt;0,$K$7:$CP$7))&lt;=GX$6)</f>
        <v>0</v>
      </c>
      <c r="GY160" s="214" cm="1">
        <f t="array" ref="GY160">--AND(MIN(IF($K160:$CP160&lt;&gt;0,$K$7:$CP$7))&gt;=GY$5,MIN(IF($K160:$CP160&lt;&gt;0,$K$7:$CP$7))&lt;=GY$6)</f>
        <v>0</v>
      </c>
      <c r="GZ160" s="214" cm="1">
        <f t="array" ref="GZ160">--AND(MIN(IF($K160:$CP160&lt;&gt;0,$K$7:$CP$7))&gt;=GZ$5,MIN(IF($K160:$CP160&lt;&gt;0,$K$7:$CP$7))&lt;=GZ$6)</f>
        <v>0</v>
      </c>
      <c r="HA160" s="214">
        <f t="shared" si="47"/>
        <v>1</v>
      </c>
      <c r="HC160" s="214" cm="1">
        <f t="array" ref="HC160">--AND(MIN(IF($K160:$CP160&lt;&gt;0,$K$7:$CP$7))&gt;=HC$5,MIN(IF($K160:$CP160&lt;&gt;0,$K$7:$CP$7))&lt;=HC$6)</f>
        <v>1</v>
      </c>
      <c r="HE160" s="147" t="str">
        <f t="shared" si="66"/>
        <v>No</v>
      </c>
      <c r="HF160" s="147" t="str">
        <f t="shared" si="67"/>
        <v>No</v>
      </c>
      <c r="HG160" s="147">
        <f>IF($HF160="Yes",0,$H160*avg_hrs*12*'Key assumptions'!$D$87)</f>
        <v>367024.33151015785</v>
      </c>
      <c r="HH160" s="147">
        <f>IF(HE160="Yes",'Key assumptions'!$D$84*HG160,0)</f>
        <v>0</v>
      </c>
      <c r="HI160" s="144">
        <f>IFERROR(AVERAGEIFS($K160:$CP160,$K$7:$CP$7,"&gt;="&amp;'Key assumptions'!$D$24,$K$7:$CP$7,"&lt;="&amp;'Key assumptions'!$D$25),0)</f>
        <v>0.13041068580542264</v>
      </c>
      <c r="HJ160" s="148">
        <f t="shared" si="48"/>
        <v>0</v>
      </c>
      <c r="HK160" s="148">
        <f t="shared" si="49"/>
        <v>0</v>
      </c>
      <c r="HL160" s="148">
        <f t="shared" si="50"/>
        <v>0</v>
      </c>
      <c r="HM160" s="148">
        <f t="shared" si="51"/>
        <v>0</v>
      </c>
      <c r="HN160" s="148">
        <f t="shared" si="52"/>
        <v>0</v>
      </c>
      <c r="HO160" s="148">
        <f t="shared" si="53"/>
        <v>0</v>
      </c>
      <c r="HP160" s="148">
        <f t="shared" si="54"/>
        <v>0</v>
      </c>
      <c r="HQ160" s="148">
        <f t="shared" si="55"/>
        <v>0</v>
      </c>
      <c r="HR160" s="147">
        <f t="shared" si="56"/>
        <v>0</v>
      </c>
      <c r="HU160" s="147">
        <f>$HJ160*HC160/(1+'Key assumptions'!G182)^0.75</f>
        <v>0</v>
      </c>
      <c r="HW160" s="216">
        <f t="shared" si="57"/>
        <v>0.13041068580542264</v>
      </c>
      <c r="HX160" s="216">
        <f t="shared" si="58"/>
        <v>0</v>
      </c>
      <c r="HY160" s="216">
        <f t="shared" si="59"/>
        <v>0</v>
      </c>
      <c r="HZ160" s="216">
        <f t="shared" si="60"/>
        <v>0</v>
      </c>
      <c r="IA160" s="216">
        <f t="shared" si="61"/>
        <v>0</v>
      </c>
      <c r="IB160" s="216">
        <f t="shared" si="62"/>
        <v>0</v>
      </c>
      <c r="IC160" s="216">
        <f t="shared" si="63"/>
        <v>0</v>
      </c>
      <c r="ID160" s="216">
        <f t="shared" si="64"/>
        <v>0.13041068580542264</v>
      </c>
      <c r="IF160" s="216">
        <f t="shared" si="65"/>
        <v>0.13041068580542264</v>
      </c>
    </row>
    <row r="161" spans="2:240" x14ac:dyDescent="0.2">
      <c r="B161" s="141" t="str">
        <v>Project Delivery Management - Construction Management</v>
      </c>
      <c r="C161" s="141" t="str">
        <v>Safety Officer (Safety and Environmental Delivery)</v>
      </c>
      <c r="D161" s="141" t="str">
        <v>Internal Labour</v>
      </c>
      <c r="E161" s="141" t="str">
        <v>$ Nominal</v>
      </c>
      <c r="F161" s="141">
        <v>0</v>
      </c>
      <c r="G161" s="141" t="str">
        <v>Overtime</v>
      </c>
      <c r="H161" s="142">
        <v>205.24</v>
      </c>
      <c r="I161" s="126">
        <v>266490.53399999999</v>
      </c>
      <c r="J161" s="143">
        <v>0</v>
      </c>
      <c r="K161" s="144">
        <v>0</v>
      </c>
      <c r="L161" s="144">
        <v>0</v>
      </c>
      <c r="M161" s="144">
        <v>0</v>
      </c>
      <c r="N161" s="144">
        <v>0</v>
      </c>
      <c r="O161" s="144">
        <v>0</v>
      </c>
      <c r="P161" s="144">
        <v>0</v>
      </c>
      <c r="Q161" s="144">
        <v>0</v>
      </c>
      <c r="R161" s="144">
        <v>0</v>
      </c>
      <c r="S161" s="144">
        <v>0</v>
      </c>
      <c r="T161" s="144">
        <v>0</v>
      </c>
      <c r="U161" s="144">
        <v>0</v>
      </c>
      <c r="V161" s="144">
        <v>0</v>
      </c>
      <c r="W161" s="144">
        <v>0</v>
      </c>
      <c r="X161" s="144">
        <v>0</v>
      </c>
      <c r="Y161" s="144">
        <v>0</v>
      </c>
      <c r="Z161" s="144">
        <v>0</v>
      </c>
      <c r="AA161" s="144">
        <v>0.13026315789473686</v>
      </c>
      <c r="AB161" s="144">
        <v>0.13421052631578947</v>
      </c>
      <c r="AC161" s="144">
        <v>0.1842857142857143</v>
      </c>
      <c r="AD161" s="144">
        <v>0.13285714285714287</v>
      </c>
      <c r="AE161" s="144">
        <v>0.14571428571428571</v>
      </c>
      <c r="AF161" s="144">
        <v>0.14571428571428571</v>
      </c>
      <c r="AG161" s="144">
        <v>0.14142857142857143</v>
      </c>
      <c r="AH161" s="144">
        <v>0.16</v>
      </c>
      <c r="AI161" s="144">
        <v>0.26857142857142857</v>
      </c>
      <c r="AJ161" s="144">
        <v>0.13714285714285715</v>
      </c>
      <c r="AK161" s="144">
        <v>0.13714285714285715</v>
      </c>
      <c r="AL161" s="144">
        <v>0.2</v>
      </c>
      <c r="AM161" s="144">
        <v>0.15</v>
      </c>
      <c r="AN161" s="144">
        <v>0.14605263157894735</v>
      </c>
      <c r="AO161" s="144">
        <v>0.14571428571428571</v>
      </c>
      <c r="AP161" s="144">
        <v>0.14142857142857143</v>
      </c>
      <c r="AQ161" s="144">
        <v>0.14571428571428571</v>
      </c>
      <c r="AR161" s="144">
        <v>0.14571428571428571</v>
      </c>
      <c r="AS161" s="144">
        <v>0.17571428571428571</v>
      </c>
      <c r="AT161" s="144">
        <v>0.13714285714285715</v>
      </c>
      <c r="AU161" s="144">
        <v>0.24571428571428572</v>
      </c>
      <c r="AV161" s="144">
        <v>0.13714285714285715</v>
      </c>
      <c r="AW161" s="144">
        <v>0.15</v>
      </c>
      <c r="AX161" s="144">
        <v>0.18285714285714286</v>
      </c>
      <c r="AY161" s="144">
        <v>0.16973684210526316</v>
      </c>
      <c r="AZ161" s="144">
        <v>0.16973684210526316</v>
      </c>
      <c r="BA161" s="144">
        <v>0.13714285714285715</v>
      </c>
      <c r="BB161" s="144">
        <v>0.14571428571428571</v>
      </c>
      <c r="BC161" s="144">
        <v>0.14142857142857143</v>
      </c>
      <c r="BD161" s="144">
        <v>0.14571428571428571</v>
      </c>
      <c r="BE161" s="144">
        <v>0</v>
      </c>
      <c r="BF161" s="144">
        <v>0</v>
      </c>
      <c r="BG161" s="144">
        <v>0</v>
      </c>
      <c r="BH161" s="144">
        <v>0</v>
      </c>
      <c r="BI161" s="144">
        <v>0</v>
      </c>
      <c r="BJ161" s="144">
        <v>0</v>
      </c>
      <c r="BK161" s="144">
        <v>0</v>
      </c>
      <c r="BL161" s="144">
        <v>0</v>
      </c>
      <c r="BM161" s="144">
        <v>0</v>
      </c>
      <c r="BN161" s="144">
        <v>0</v>
      </c>
      <c r="BO161" s="144">
        <v>0</v>
      </c>
      <c r="BP161" s="144">
        <v>0</v>
      </c>
      <c r="BQ161" s="144">
        <v>0</v>
      </c>
      <c r="BR161" s="144">
        <v>0</v>
      </c>
      <c r="BS161" s="144">
        <v>0</v>
      </c>
      <c r="BT161" s="144">
        <v>0</v>
      </c>
      <c r="BU161" s="144">
        <v>0</v>
      </c>
      <c r="BV161" s="144">
        <v>0</v>
      </c>
      <c r="BW161" s="144">
        <v>0</v>
      </c>
      <c r="BX161" s="144">
        <v>0</v>
      </c>
      <c r="BY161" s="144">
        <v>0</v>
      </c>
      <c r="BZ161" s="144">
        <v>0</v>
      </c>
      <c r="CA161" s="144">
        <v>0</v>
      </c>
      <c r="CB161" s="144">
        <v>0</v>
      </c>
      <c r="CC161" s="144">
        <v>0</v>
      </c>
      <c r="CD161" s="144">
        <v>0</v>
      </c>
      <c r="CE161" s="144">
        <v>0</v>
      </c>
      <c r="CF161" s="144">
        <v>0</v>
      </c>
      <c r="CG161" s="144">
        <v>0</v>
      </c>
      <c r="CH161" s="144">
        <v>0</v>
      </c>
      <c r="CI161" s="144">
        <v>0</v>
      </c>
      <c r="CJ161" s="144">
        <v>0</v>
      </c>
      <c r="CK161" s="144">
        <v>0</v>
      </c>
      <c r="CL161" s="144">
        <v>0</v>
      </c>
      <c r="CM161" s="144">
        <v>0</v>
      </c>
      <c r="CN161" s="144">
        <v>0</v>
      </c>
      <c r="CO161" s="144">
        <v>0</v>
      </c>
      <c r="CP161" s="144">
        <v>0</v>
      </c>
      <c r="CQ161" s="143">
        <v>0</v>
      </c>
      <c r="CR161" s="145">
        <v>0</v>
      </c>
      <c r="CS161" s="145">
        <v>0</v>
      </c>
      <c r="CT161" s="145">
        <v>0</v>
      </c>
      <c r="CU161" s="145">
        <v>0</v>
      </c>
      <c r="CV161" s="145">
        <v>0</v>
      </c>
      <c r="CW161" s="145">
        <v>0</v>
      </c>
      <c r="CX161" s="145">
        <v>0</v>
      </c>
      <c r="CY161" s="145">
        <v>0</v>
      </c>
      <c r="CZ161" s="145">
        <v>0</v>
      </c>
      <c r="DA161" s="145">
        <v>0</v>
      </c>
      <c r="DB161" s="145">
        <v>0</v>
      </c>
      <c r="DC161" s="145">
        <v>0</v>
      </c>
      <c r="DD161" s="145">
        <v>0</v>
      </c>
      <c r="DE161" s="145">
        <v>0</v>
      </c>
      <c r="DF161" s="145">
        <v>0</v>
      </c>
      <c r="DG161" s="145">
        <v>0</v>
      </c>
      <c r="DH161" s="145">
        <v>8127.5040000000008</v>
      </c>
      <c r="DI161" s="145">
        <v>8373.7919999999995</v>
      </c>
      <c r="DJ161" s="145">
        <v>10590.384</v>
      </c>
      <c r="DK161" s="145">
        <v>7634.9280000000008</v>
      </c>
      <c r="DL161" s="145">
        <v>8373.7919999999995</v>
      </c>
      <c r="DM161" s="145">
        <v>8373.7919999999995</v>
      </c>
      <c r="DN161" s="145">
        <v>8127.5040000000008</v>
      </c>
      <c r="DO161" s="145">
        <v>6896.0640000000003</v>
      </c>
      <c r="DP161" s="145">
        <v>11575.536</v>
      </c>
      <c r="DQ161" s="145">
        <v>7881.2160000000003</v>
      </c>
      <c r="DR161" s="145">
        <v>8117.9519999999993</v>
      </c>
      <c r="DS161" s="145">
        <v>8879.01</v>
      </c>
      <c r="DT161" s="145">
        <v>9640.0680000000011</v>
      </c>
      <c r="DU161" s="145">
        <v>9386.3819999999996</v>
      </c>
      <c r="DV161" s="145">
        <v>8625.3239999999987</v>
      </c>
      <c r="DW161" s="145">
        <v>8371.6380000000008</v>
      </c>
      <c r="DX161" s="145">
        <v>8625.3239999999987</v>
      </c>
      <c r="DY161" s="145">
        <v>8625.3239999999987</v>
      </c>
      <c r="DZ161" s="145">
        <v>10401.126</v>
      </c>
      <c r="EA161" s="145">
        <v>6088.4639999999999</v>
      </c>
      <c r="EB161" s="145">
        <v>10908.498</v>
      </c>
      <c r="EC161" s="145">
        <v>8117.9519999999993</v>
      </c>
      <c r="ED161" s="145">
        <v>9147.6</v>
      </c>
      <c r="EE161" s="145">
        <v>8363.52</v>
      </c>
      <c r="EF161" s="145">
        <v>11238.480000000001</v>
      </c>
      <c r="EG161" s="145">
        <v>11238.480000000001</v>
      </c>
      <c r="EH161" s="145">
        <v>8363.52</v>
      </c>
      <c r="EI161" s="145">
        <v>8886.24</v>
      </c>
      <c r="EJ161" s="145">
        <v>8624.880000000001</v>
      </c>
      <c r="EK161" s="145">
        <v>8886.24</v>
      </c>
      <c r="EL161" s="145">
        <v>0</v>
      </c>
      <c r="EM161" s="145">
        <v>0</v>
      </c>
      <c r="EN161" s="145">
        <v>0</v>
      </c>
      <c r="EO161" s="145">
        <v>0</v>
      </c>
      <c r="EP161" s="145">
        <v>0</v>
      </c>
      <c r="EQ161" s="145">
        <v>0</v>
      </c>
      <c r="ER161" s="145">
        <v>0</v>
      </c>
      <c r="ES161" s="145">
        <v>0</v>
      </c>
      <c r="ET161" s="145">
        <v>0</v>
      </c>
      <c r="EU161" s="145">
        <v>0</v>
      </c>
      <c r="EV161" s="145">
        <v>0</v>
      </c>
      <c r="EW161" s="145">
        <v>0</v>
      </c>
      <c r="EX161" s="145">
        <v>0</v>
      </c>
      <c r="EY161" s="145">
        <v>0</v>
      </c>
      <c r="EZ161" s="145">
        <v>0</v>
      </c>
      <c r="FA161" s="145">
        <v>0</v>
      </c>
      <c r="FB161" s="145">
        <v>0</v>
      </c>
      <c r="FC161" s="145">
        <v>0</v>
      </c>
      <c r="FD161" s="145">
        <v>0</v>
      </c>
      <c r="FE161" s="145">
        <v>0</v>
      </c>
      <c r="FF161" s="145">
        <v>0</v>
      </c>
      <c r="FG161" s="145">
        <v>0</v>
      </c>
      <c r="FH161" s="145">
        <v>0</v>
      </c>
      <c r="FI161" s="145">
        <v>0</v>
      </c>
      <c r="FJ161" s="145">
        <v>0</v>
      </c>
      <c r="FK161" s="145">
        <v>0</v>
      </c>
      <c r="FL161" s="145">
        <v>0</v>
      </c>
      <c r="FM161" s="145">
        <v>0</v>
      </c>
      <c r="FN161" s="145">
        <v>0</v>
      </c>
      <c r="FO161" s="145">
        <v>0</v>
      </c>
      <c r="FP161" s="145">
        <v>0</v>
      </c>
      <c r="FQ161" s="145">
        <v>0</v>
      </c>
      <c r="FR161" s="145">
        <v>0</v>
      </c>
      <c r="FS161" s="145">
        <v>0</v>
      </c>
      <c r="FT161" s="145">
        <v>0</v>
      </c>
      <c r="FU161" s="145">
        <v>0</v>
      </c>
      <c r="FV161" s="145">
        <v>0</v>
      </c>
      <c r="FW161" s="145">
        <v>0</v>
      </c>
      <c r="FX161" s="143"/>
      <c r="FY161" s="146" t="str">
        <f>_xlfn.XLOOKUP($E161,'Key assumptions'!$B$112:$B$120,'Key assumptions'!$C$112:$C$120,0)</f>
        <v>Nominal</v>
      </c>
      <c r="FZ161" s="146" cm="1">
        <f t="array" ref="FZ161">IF($FY161=0,0,_xlfn.IFS($FY161='Key assumptions'!$C$120,_xlfn.XLOOKUP(LEFT(FZ$7,6),Inflation_Year,Inflation_NominaltoReal),TRUE,_xlfn.XLOOKUP($FY161,Inflation_Year,NominaltoReal)))</f>
        <v>1.0197075870962191</v>
      </c>
      <c r="GA161" s="146" cm="1">
        <f t="array" ref="GA161">IF($FY161=0,0,_xlfn.IFS($FY161='Key assumptions'!$C$120,_xlfn.XLOOKUP(LEFT(GA$7,6),Inflation_Year,Inflation_NominaltoReal),TRUE,_xlfn.XLOOKUP($FY161,Inflation_Year,NominaltoReal)))</f>
        <v>0.98700804022984445</v>
      </c>
      <c r="GB161" s="146" cm="1">
        <f t="array" ref="GB161">IF($FY161=0,0,_xlfn.IFS($FY161='Key assumptions'!$C$120,_xlfn.XLOOKUP(LEFT(GB$7,6),Inflation_Year,Inflation_NominaltoReal),TRUE,_xlfn.XLOOKUP($FY161,Inflation_Year,NominaltoReal)))</f>
        <v>0.96152830081941731</v>
      </c>
      <c r="GC161" s="146" cm="1">
        <f t="array" ref="GC161">IF($FY161=0,0,_xlfn.IFS($FY161='Key assumptions'!$C$120,_xlfn.XLOOKUP(LEFT(GC$7,6),Inflation_Year,Inflation_NominaltoReal),TRUE,_xlfn.XLOOKUP($FY161,Inflation_Year,NominaltoReal)))</f>
        <v>0.93670632415656829</v>
      </c>
      <c r="GD161" s="146" cm="1">
        <f t="array" ref="GD161">IF($FY161=0,0,_xlfn.IFS($FY161='Key assumptions'!$C$120,_xlfn.XLOOKUP(LEFT(GD$7,6),Inflation_Year,Inflation_NominaltoReal),TRUE,_xlfn.XLOOKUP($FY161,Inflation_Year,NominaltoReal)))</f>
        <v>0.91252513001143176</v>
      </c>
      <c r="GE161" s="146" cm="1">
        <f t="array" ref="GE161">IF($FY161=0,0,_xlfn.IFS($FY161='Key assumptions'!$C$120,_xlfn.XLOOKUP(LEFT(GE$7,6),Inflation_Year,Inflation_NominaltoReal),TRUE,_xlfn.XLOOKUP($FY161,Inflation_Year,NominaltoReal)))</f>
        <v>0.88896817650095872</v>
      </c>
      <c r="GF161" s="146" cm="1">
        <f t="array" ref="GF161">IF($FY161=0,0,_xlfn.IFS($FY161='Key assumptions'!$C$120,_xlfn.XLOOKUP(LEFT(GF$7,6),Inflation_Year,Inflation_NominaltoReal),TRUE,_xlfn.XLOOKUP($FY161,Inflation_Year,NominaltoReal)))</f>
        <v>0.86601934877293718</v>
      </c>
      <c r="GG161" s="143"/>
      <c r="GH161" s="145" cm="1">
        <f t="array" ref="GH161">SUMPRODUCT(--($CR$7:$FW$7&gt;=GH$5),--($CR$7:$FW$7&lt;=GH$6),$CR161:$FW161)*FZ161</f>
        <v>43949.804886881881</v>
      </c>
      <c r="GI161" s="145" cm="1">
        <f t="array" ref="GI161">SUMPRODUCT(--($CR$7:$FW$7&gt;=GI$5),--($CR$7:$FW$7&lt;=GI$6),$CR161:$FW161)*GA161</f>
        <v>103142.15267249109</v>
      </c>
      <c r="GJ161" s="145" cm="1">
        <f t="array" ref="GJ161">SUMPRODUCT(--($CR$7:$FW$7&gt;=GJ$5),--($CR$7:$FW$7&lt;=GJ$6),$CR161:$FW161)*GB161</f>
        <v>105772.03997171645</v>
      </c>
      <c r="GK161" s="145" cm="1">
        <f t="array" ref="GK161">SUMPRODUCT(--($CR$7:$FW$7&gt;=GK$5),--($CR$7:$FW$7&lt;=GK$6),$CR161:$FW161)*GC161</f>
        <v>8323.7972059730637</v>
      </c>
      <c r="GL161" s="145" cm="1">
        <f t="array" ref="GL161">SUMPRODUCT(--($CR$7:$FW$7&gt;=GL$5),--($CR$7:$FW$7&lt;=GL$6),$CR161:$FW161)*GD161</f>
        <v>0</v>
      </c>
      <c r="GM161" s="145" cm="1">
        <f t="array" ref="GM161">SUMPRODUCT(--($CR$7:$FW$7&gt;=GM$5),--($CR$7:$FW$7&lt;=GM$6),$CR161:$FW161)*GE161</f>
        <v>0</v>
      </c>
      <c r="GN161" s="145" cm="1">
        <f t="array" ref="GN161">SUMPRODUCT(--($CR$7:$FW$7&gt;=GN$5),--($CR$7:$FW$7&lt;=GN$6),$CR161:$FW161)*GF161</f>
        <v>0</v>
      </c>
      <c r="GO161" s="145">
        <f t="shared" si="46"/>
        <v>261187.79473706248</v>
      </c>
      <c r="GP161" s="87"/>
      <c r="GR161" s="145" cm="1">
        <f t="array" ref="GR161">SUMPRODUCT(--($CR$7:$FW$7&gt;=GR$5),--($CR$7:$FW$7&lt;=GR$6),$CR161:$FW161)</f>
        <v>16501.296000000002</v>
      </c>
      <c r="GT161" s="214" cm="1">
        <f t="array" ref="GT161">--AND(MIN(IF($K161:$CP161&lt;&gt;0,$K$7:$CP$7))&gt;=GT$5,MIN(IF($K161:$CP161&lt;&gt;0,$K$7:$CP$7))&lt;=GT$6)</f>
        <v>1</v>
      </c>
      <c r="GU161" s="214" cm="1">
        <f t="array" ref="GU161">--AND(MIN(IF($K161:$CP161&lt;&gt;0,$K$7:$CP$7))&gt;=GU$5,MIN(IF($K161:$CP161&lt;&gt;0,$K$7:$CP$7))&lt;=GU$6)</f>
        <v>0</v>
      </c>
      <c r="GV161" s="214" cm="1">
        <f t="array" ref="GV161">--AND(MIN(IF($K161:$CP161&lt;&gt;0,$K$7:$CP$7))&gt;=GV$5,MIN(IF($K161:$CP161&lt;&gt;0,$K$7:$CP$7))&lt;=GV$6)</f>
        <v>0</v>
      </c>
      <c r="GW161" s="214" cm="1">
        <f t="array" ref="GW161">--AND(MIN(IF($K161:$CP161&lt;&gt;0,$K$7:$CP$7))&gt;=GW$5,MIN(IF($K161:$CP161&lt;&gt;0,$K$7:$CP$7))&lt;=GW$6)</f>
        <v>0</v>
      </c>
      <c r="GX161" s="214" cm="1">
        <f t="array" ref="GX161">--AND(MIN(IF($K161:$CP161&lt;&gt;0,$K$7:$CP$7))&gt;=GX$5,MIN(IF($K161:$CP161&lt;&gt;0,$K$7:$CP$7))&lt;=GX$6)</f>
        <v>0</v>
      </c>
      <c r="GY161" s="214" cm="1">
        <f t="array" ref="GY161">--AND(MIN(IF($K161:$CP161&lt;&gt;0,$K$7:$CP$7))&gt;=GY$5,MIN(IF($K161:$CP161&lt;&gt;0,$K$7:$CP$7))&lt;=GY$6)</f>
        <v>0</v>
      </c>
      <c r="GZ161" s="214" cm="1">
        <f t="array" ref="GZ161">--AND(MIN(IF($K161:$CP161&lt;&gt;0,$K$7:$CP$7))&gt;=GZ$5,MIN(IF($K161:$CP161&lt;&gt;0,$K$7:$CP$7))&lt;=GZ$6)</f>
        <v>0</v>
      </c>
      <c r="HA161" s="214">
        <f t="shared" si="47"/>
        <v>1</v>
      </c>
      <c r="HC161" s="214" cm="1">
        <f t="array" ref="HC161">--AND(MIN(IF($K161:$CP161&lt;&gt;0,$K$7:$CP$7))&gt;=HC$5,MIN(IF($K161:$CP161&lt;&gt;0,$K$7:$CP$7))&lt;=HC$6)</f>
        <v>1</v>
      </c>
      <c r="HE161" s="147" t="str">
        <f t="shared" si="66"/>
        <v>No</v>
      </c>
      <c r="HF161" s="147" t="str">
        <f t="shared" si="67"/>
        <v>Yes</v>
      </c>
      <c r="HG161" s="147">
        <f>IF($HF161="Yes",0,$H161*avg_hrs*12*'Key assumptions'!$D$87)</f>
        <v>0</v>
      </c>
      <c r="HH161" s="147">
        <f>IF(HE161="Yes",'Key assumptions'!$D$84*HG161,0)</f>
        <v>0</v>
      </c>
      <c r="HI161" s="144">
        <f>IFERROR(AVERAGEIFS($K161:$CP161,$K$7:$CP$7,"&gt;="&amp;'Key assumptions'!$D$24,$K$7:$CP$7,"&lt;="&amp;'Key assumptions'!$D$25),0)</f>
        <v>0.10750000000000001</v>
      </c>
      <c r="HJ161" s="148">
        <f t="shared" si="48"/>
        <v>0</v>
      </c>
      <c r="HK161" s="148">
        <f t="shared" si="49"/>
        <v>0</v>
      </c>
      <c r="HL161" s="148">
        <f t="shared" si="50"/>
        <v>0</v>
      </c>
      <c r="HM161" s="148">
        <f t="shared" si="51"/>
        <v>0</v>
      </c>
      <c r="HN161" s="148">
        <f t="shared" si="52"/>
        <v>0</v>
      </c>
      <c r="HO161" s="148">
        <f t="shared" si="53"/>
        <v>0</v>
      </c>
      <c r="HP161" s="148">
        <f t="shared" si="54"/>
        <v>0</v>
      </c>
      <c r="HQ161" s="148">
        <f t="shared" si="55"/>
        <v>0</v>
      </c>
      <c r="HR161" s="147">
        <f t="shared" si="56"/>
        <v>0</v>
      </c>
      <c r="HU161" s="147">
        <f>$HJ161*HC161/(1+'Key assumptions'!G183)^0.75</f>
        <v>0</v>
      </c>
      <c r="HW161" s="216">
        <f t="shared" si="57"/>
        <v>0.10750000000000001</v>
      </c>
      <c r="HX161" s="216">
        <f t="shared" si="58"/>
        <v>0</v>
      </c>
      <c r="HY161" s="216">
        <f t="shared" si="59"/>
        <v>0</v>
      </c>
      <c r="HZ161" s="216">
        <f t="shared" si="60"/>
        <v>0</v>
      </c>
      <c r="IA161" s="216">
        <f t="shared" si="61"/>
        <v>0</v>
      </c>
      <c r="IB161" s="216">
        <f t="shared" si="62"/>
        <v>0</v>
      </c>
      <c r="IC161" s="216">
        <f t="shared" si="63"/>
        <v>0</v>
      </c>
      <c r="ID161" s="216">
        <f t="shared" si="64"/>
        <v>0.10750000000000001</v>
      </c>
      <c r="IF161" s="216">
        <f t="shared" si="65"/>
        <v>0.10750000000000001</v>
      </c>
    </row>
    <row r="162" spans="2:240" x14ac:dyDescent="0.2">
      <c r="B162" s="141" t="str">
        <v>Project Delivery Management - Construction Management</v>
      </c>
      <c r="C162" s="141" t="str">
        <v>Safety Officer (Safety and Environmental Delivery)</v>
      </c>
      <c r="D162" s="141" t="str">
        <v>Internal Labour</v>
      </c>
      <c r="E162" s="141" t="str">
        <v>$ Nominal</v>
      </c>
      <c r="F162" s="141" t="str">
        <v>Existing</v>
      </c>
      <c r="G162" s="141" t="str">
        <v>Normal time</v>
      </c>
      <c r="H162" s="142">
        <v>205.24</v>
      </c>
      <c r="I162" s="126">
        <v>258110.5566666667</v>
      </c>
      <c r="J162" s="143">
        <v>0</v>
      </c>
      <c r="K162" s="144">
        <v>0</v>
      </c>
      <c r="L162" s="144">
        <v>0</v>
      </c>
      <c r="M162" s="144">
        <v>0</v>
      </c>
      <c r="N162" s="144">
        <v>0</v>
      </c>
      <c r="O162" s="144">
        <v>0</v>
      </c>
      <c r="P162" s="144">
        <v>0</v>
      </c>
      <c r="Q162" s="144">
        <v>0</v>
      </c>
      <c r="R162" s="144">
        <v>0</v>
      </c>
      <c r="S162" s="144">
        <v>0</v>
      </c>
      <c r="T162" s="144">
        <v>0</v>
      </c>
      <c r="U162" s="144">
        <v>0</v>
      </c>
      <c r="V162" s="144">
        <v>0</v>
      </c>
      <c r="W162" s="144">
        <v>0</v>
      </c>
      <c r="X162" s="144">
        <v>0</v>
      </c>
      <c r="Y162" s="144">
        <v>0</v>
      </c>
      <c r="Z162" s="144">
        <v>0</v>
      </c>
      <c r="AA162" s="144">
        <v>0.26096491228070173</v>
      </c>
      <c r="AB162" s="144">
        <v>0.27631578947368424</v>
      </c>
      <c r="AC162" s="144">
        <v>0.31666666666666671</v>
      </c>
      <c r="AD162" s="144">
        <v>0.25</v>
      </c>
      <c r="AE162" s="144">
        <v>0.3</v>
      </c>
      <c r="AF162" s="144">
        <v>0.3</v>
      </c>
      <c r="AG162" s="144">
        <v>0.28333333333333333</v>
      </c>
      <c r="AH162" s="144">
        <v>0.26666666666666666</v>
      </c>
      <c r="AI162" s="144">
        <v>0.51111111111111107</v>
      </c>
      <c r="AJ162" s="144">
        <v>0.26666666666666666</v>
      </c>
      <c r="AK162" s="144">
        <v>0.26666666666666666</v>
      </c>
      <c r="AL162" s="144">
        <v>0.42222222222222222</v>
      </c>
      <c r="AM162" s="144">
        <v>0.27631578947368424</v>
      </c>
      <c r="AN162" s="144">
        <v>0.26096491228070173</v>
      </c>
      <c r="AO162" s="144">
        <v>0.3</v>
      </c>
      <c r="AP162" s="144">
        <v>0.28333333333333333</v>
      </c>
      <c r="AQ162" s="144">
        <v>0.3</v>
      </c>
      <c r="AR162" s="144">
        <v>0.3</v>
      </c>
      <c r="AS162" s="144">
        <v>0.28333333333333333</v>
      </c>
      <c r="AT162" s="144">
        <v>0.35555555555555557</v>
      </c>
      <c r="AU162" s="144">
        <v>0.42222222222222222</v>
      </c>
      <c r="AV162" s="144">
        <v>0.26666666666666666</v>
      </c>
      <c r="AW162" s="144">
        <v>0.31666666666666671</v>
      </c>
      <c r="AX162" s="144">
        <v>0.35555555555555557</v>
      </c>
      <c r="AY162" s="144">
        <v>0.29166666666666669</v>
      </c>
      <c r="AZ162" s="144">
        <v>0.29166666666666669</v>
      </c>
      <c r="BA162" s="144">
        <v>0.26666666666666666</v>
      </c>
      <c r="BB162" s="144">
        <v>0.3</v>
      </c>
      <c r="BC162" s="144">
        <v>0.28333333333333333</v>
      </c>
      <c r="BD162" s="144">
        <v>0.3</v>
      </c>
      <c r="BE162" s="144">
        <v>0</v>
      </c>
      <c r="BF162" s="144">
        <v>0</v>
      </c>
      <c r="BG162" s="144">
        <v>0</v>
      </c>
      <c r="BH162" s="144">
        <v>0</v>
      </c>
      <c r="BI162" s="144">
        <v>0</v>
      </c>
      <c r="BJ162" s="144">
        <v>0</v>
      </c>
      <c r="BK162" s="144">
        <v>0</v>
      </c>
      <c r="BL162" s="144">
        <v>0</v>
      </c>
      <c r="BM162" s="144">
        <v>0</v>
      </c>
      <c r="BN162" s="144">
        <v>0</v>
      </c>
      <c r="BO162" s="144">
        <v>0</v>
      </c>
      <c r="BP162" s="144">
        <v>0</v>
      </c>
      <c r="BQ162" s="144">
        <v>0</v>
      </c>
      <c r="BR162" s="144">
        <v>0</v>
      </c>
      <c r="BS162" s="144">
        <v>0</v>
      </c>
      <c r="BT162" s="144">
        <v>0</v>
      </c>
      <c r="BU162" s="144">
        <v>0</v>
      </c>
      <c r="BV162" s="144">
        <v>0</v>
      </c>
      <c r="BW162" s="144">
        <v>0</v>
      </c>
      <c r="BX162" s="144">
        <v>0</v>
      </c>
      <c r="BY162" s="144">
        <v>0</v>
      </c>
      <c r="BZ162" s="144">
        <v>0</v>
      </c>
      <c r="CA162" s="144">
        <v>0</v>
      </c>
      <c r="CB162" s="144">
        <v>0</v>
      </c>
      <c r="CC162" s="144">
        <v>0</v>
      </c>
      <c r="CD162" s="144">
        <v>0</v>
      </c>
      <c r="CE162" s="144">
        <v>0</v>
      </c>
      <c r="CF162" s="144">
        <v>0</v>
      </c>
      <c r="CG162" s="144">
        <v>0</v>
      </c>
      <c r="CH162" s="144">
        <v>0</v>
      </c>
      <c r="CI162" s="144">
        <v>0</v>
      </c>
      <c r="CJ162" s="144">
        <v>0</v>
      </c>
      <c r="CK162" s="144">
        <v>0</v>
      </c>
      <c r="CL162" s="144">
        <v>0</v>
      </c>
      <c r="CM162" s="144">
        <v>0</v>
      </c>
      <c r="CN162" s="144">
        <v>0</v>
      </c>
      <c r="CO162" s="144">
        <v>0</v>
      </c>
      <c r="CP162" s="144">
        <v>0</v>
      </c>
      <c r="CQ162" s="143">
        <v>0</v>
      </c>
      <c r="CR162" s="145">
        <v>0</v>
      </c>
      <c r="CS162" s="145">
        <v>0</v>
      </c>
      <c r="CT162" s="145">
        <v>0</v>
      </c>
      <c r="CU162" s="145">
        <v>0</v>
      </c>
      <c r="CV162" s="145">
        <v>0</v>
      </c>
      <c r="CW162" s="145">
        <v>0</v>
      </c>
      <c r="CX162" s="145">
        <v>0</v>
      </c>
      <c r="CY162" s="145">
        <v>0</v>
      </c>
      <c r="CZ162" s="145">
        <v>0</v>
      </c>
      <c r="DA162" s="145">
        <v>0</v>
      </c>
      <c r="DB162" s="145">
        <v>0</v>
      </c>
      <c r="DC162" s="145">
        <v>0</v>
      </c>
      <c r="DD162" s="145">
        <v>0</v>
      </c>
      <c r="DE162" s="145">
        <v>0</v>
      </c>
      <c r="DF162" s="145">
        <v>0</v>
      </c>
      <c r="DG162" s="145">
        <v>0</v>
      </c>
      <c r="DH162" s="145">
        <v>8141.1866666666665</v>
      </c>
      <c r="DI162" s="145">
        <v>8620.08</v>
      </c>
      <c r="DJ162" s="145">
        <v>9098.9733333333334</v>
      </c>
      <c r="DK162" s="145">
        <v>7183.4000000000005</v>
      </c>
      <c r="DL162" s="145">
        <v>8620.08</v>
      </c>
      <c r="DM162" s="145">
        <v>8620.08</v>
      </c>
      <c r="DN162" s="145">
        <v>8141.1866666666665</v>
      </c>
      <c r="DO162" s="145">
        <v>5746.72</v>
      </c>
      <c r="DP162" s="145">
        <v>11014.546666666667</v>
      </c>
      <c r="DQ162" s="145">
        <v>7662.293333333334</v>
      </c>
      <c r="DR162" s="145">
        <v>7892.64</v>
      </c>
      <c r="DS162" s="145">
        <v>9372.51</v>
      </c>
      <c r="DT162" s="145">
        <v>8879.2199999999993</v>
      </c>
      <c r="DU162" s="145">
        <v>8385.9299999999985</v>
      </c>
      <c r="DV162" s="145">
        <v>8879.2199999999993</v>
      </c>
      <c r="DW162" s="145">
        <v>8385.9299999999985</v>
      </c>
      <c r="DX162" s="145">
        <v>8879.2199999999993</v>
      </c>
      <c r="DY162" s="145">
        <v>8879.2199999999993</v>
      </c>
      <c r="DZ162" s="145">
        <v>8385.9299999999985</v>
      </c>
      <c r="EA162" s="145">
        <v>7892.64</v>
      </c>
      <c r="EB162" s="145">
        <v>9372.51</v>
      </c>
      <c r="EC162" s="145">
        <v>7892.64</v>
      </c>
      <c r="ED162" s="145">
        <v>9655.8000000000011</v>
      </c>
      <c r="EE162" s="145">
        <v>8131.2000000000007</v>
      </c>
      <c r="EF162" s="145">
        <v>9655.8000000000011</v>
      </c>
      <c r="EG162" s="145">
        <v>9655.8000000000011</v>
      </c>
      <c r="EH162" s="145">
        <v>8131.2000000000007</v>
      </c>
      <c r="EI162" s="145">
        <v>9147.6</v>
      </c>
      <c r="EJ162" s="145">
        <v>8639.4</v>
      </c>
      <c r="EK162" s="145">
        <v>9147.6</v>
      </c>
      <c r="EL162" s="145">
        <v>0</v>
      </c>
      <c r="EM162" s="145">
        <v>0</v>
      </c>
      <c r="EN162" s="145">
        <v>0</v>
      </c>
      <c r="EO162" s="145">
        <v>0</v>
      </c>
      <c r="EP162" s="145">
        <v>0</v>
      </c>
      <c r="EQ162" s="145">
        <v>0</v>
      </c>
      <c r="ER162" s="145">
        <v>0</v>
      </c>
      <c r="ES162" s="145">
        <v>0</v>
      </c>
      <c r="ET162" s="145">
        <v>0</v>
      </c>
      <c r="EU162" s="145">
        <v>0</v>
      </c>
      <c r="EV162" s="145">
        <v>0</v>
      </c>
      <c r="EW162" s="145">
        <v>0</v>
      </c>
      <c r="EX162" s="145">
        <v>0</v>
      </c>
      <c r="EY162" s="145">
        <v>0</v>
      </c>
      <c r="EZ162" s="145">
        <v>0</v>
      </c>
      <c r="FA162" s="145">
        <v>0</v>
      </c>
      <c r="FB162" s="145">
        <v>0</v>
      </c>
      <c r="FC162" s="145">
        <v>0</v>
      </c>
      <c r="FD162" s="145">
        <v>0</v>
      </c>
      <c r="FE162" s="145">
        <v>0</v>
      </c>
      <c r="FF162" s="145">
        <v>0</v>
      </c>
      <c r="FG162" s="145">
        <v>0</v>
      </c>
      <c r="FH162" s="145">
        <v>0</v>
      </c>
      <c r="FI162" s="145">
        <v>0</v>
      </c>
      <c r="FJ162" s="145">
        <v>0</v>
      </c>
      <c r="FK162" s="145">
        <v>0</v>
      </c>
      <c r="FL162" s="145">
        <v>0</v>
      </c>
      <c r="FM162" s="145">
        <v>0</v>
      </c>
      <c r="FN162" s="145">
        <v>0</v>
      </c>
      <c r="FO162" s="145">
        <v>0</v>
      </c>
      <c r="FP162" s="145">
        <v>0</v>
      </c>
      <c r="FQ162" s="145">
        <v>0</v>
      </c>
      <c r="FR162" s="145">
        <v>0</v>
      </c>
      <c r="FS162" s="145">
        <v>0</v>
      </c>
      <c r="FT162" s="145">
        <v>0</v>
      </c>
      <c r="FU162" s="145">
        <v>0</v>
      </c>
      <c r="FV162" s="145">
        <v>0</v>
      </c>
      <c r="FW162" s="145">
        <v>0</v>
      </c>
      <c r="FX162" s="143"/>
      <c r="FY162" s="146" t="str">
        <f>_xlfn.XLOOKUP($E162,'Key assumptions'!$B$112:$B$120,'Key assumptions'!$C$112:$C$120,0)</f>
        <v>Nominal</v>
      </c>
      <c r="FZ162" s="146" cm="1">
        <f t="array" ref="FZ162">IF($FY162=0,0,_xlfn.IFS($FY162='Key assumptions'!$C$120,_xlfn.XLOOKUP(LEFT(FZ$7,6),Inflation_Year,Inflation_NominaltoReal),TRUE,_xlfn.XLOOKUP($FY162,Inflation_Year,NominaltoReal)))</f>
        <v>1.0197075870962191</v>
      </c>
      <c r="GA162" s="146" cm="1">
        <f t="array" ref="GA162">IF($FY162=0,0,_xlfn.IFS($FY162='Key assumptions'!$C$120,_xlfn.XLOOKUP(LEFT(GA$7,6),Inflation_Year,Inflation_NominaltoReal),TRUE,_xlfn.XLOOKUP($FY162,Inflation_Year,NominaltoReal)))</f>
        <v>0.98700804022984445</v>
      </c>
      <c r="GB162" s="146" cm="1">
        <f t="array" ref="GB162">IF($FY162=0,0,_xlfn.IFS($FY162='Key assumptions'!$C$120,_xlfn.XLOOKUP(LEFT(GB$7,6),Inflation_Year,Inflation_NominaltoReal),TRUE,_xlfn.XLOOKUP($FY162,Inflation_Year,NominaltoReal)))</f>
        <v>0.96152830081941731</v>
      </c>
      <c r="GC162" s="146" cm="1">
        <f t="array" ref="GC162">IF($FY162=0,0,_xlfn.IFS($FY162='Key assumptions'!$C$120,_xlfn.XLOOKUP(LEFT(GC$7,6),Inflation_Year,Inflation_NominaltoReal),TRUE,_xlfn.XLOOKUP($FY162,Inflation_Year,NominaltoReal)))</f>
        <v>0.93670632415656829</v>
      </c>
      <c r="GD162" s="146" cm="1">
        <f t="array" ref="GD162">IF($FY162=0,0,_xlfn.IFS($FY162='Key assumptions'!$C$120,_xlfn.XLOOKUP(LEFT(GD$7,6),Inflation_Year,Inflation_NominaltoReal),TRUE,_xlfn.XLOOKUP($FY162,Inflation_Year,NominaltoReal)))</f>
        <v>0.91252513001143176</v>
      </c>
      <c r="GE162" s="146" cm="1">
        <f t="array" ref="GE162">IF($FY162=0,0,_xlfn.IFS($FY162='Key assumptions'!$C$120,_xlfn.XLOOKUP(LEFT(GE$7,6),Inflation_Year,Inflation_NominaltoReal),TRUE,_xlfn.XLOOKUP($FY162,Inflation_Year,NominaltoReal)))</f>
        <v>0.88896817650095872</v>
      </c>
      <c r="GF162" s="146" cm="1">
        <f t="array" ref="GF162">IF($FY162=0,0,_xlfn.IFS($FY162='Key assumptions'!$C$120,_xlfn.XLOOKUP(LEFT(GF$7,6),Inflation_Year,Inflation_NominaltoReal),TRUE,_xlfn.XLOOKUP($FY162,Inflation_Year,NominaltoReal)))</f>
        <v>0.86601934877293718</v>
      </c>
      <c r="GG162" s="143"/>
      <c r="GH162" s="145" cm="1">
        <f t="array" ref="GH162">SUMPRODUCT(--($CR$7:$FW$7&gt;=GH$5),--($CR$7:$FW$7&lt;=GH$6),$CR162:$FW162)*FZ162</f>
        <v>42484.811390652489</v>
      </c>
      <c r="GI162" s="145" cm="1">
        <f t="array" ref="GI162">SUMPRODUCT(--($CR$7:$FW$7&gt;=GI$5),--($CR$7:$FW$7&lt;=GI$6),$CR162:$FW162)*GA162</f>
        <v>100536.14218376503</v>
      </c>
      <c r="GJ162" s="145" cm="1">
        <f t="array" ref="GJ162">SUMPRODUCT(--($CR$7:$FW$7&gt;=GJ$5),--($CR$7:$FW$7&lt;=GJ$6),$CR162:$FW162)*GB162</f>
        <v>101383.29404104115</v>
      </c>
      <c r="GK162" s="145" cm="1">
        <f t="array" ref="GK162">SUMPRODUCT(--($CR$7:$FW$7&gt;=GK$5),--($CR$7:$FW$7&lt;=GK$6),$CR162:$FW162)*GC162</f>
        <v>8568.614770854625</v>
      </c>
      <c r="GL162" s="145" cm="1">
        <f t="array" ref="GL162">SUMPRODUCT(--($CR$7:$FW$7&gt;=GL$5),--($CR$7:$FW$7&lt;=GL$6),$CR162:$FW162)*GD162</f>
        <v>0</v>
      </c>
      <c r="GM162" s="145" cm="1">
        <f t="array" ref="GM162">SUMPRODUCT(--($CR$7:$FW$7&gt;=GM$5),--($CR$7:$FW$7&lt;=GM$6),$CR162:$FW162)*GE162</f>
        <v>0</v>
      </c>
      <c r="GN162" s="145" cm="1">
        <f t="array" ref="GN162">SUMPRODUCT(--($CR$7:$FW$7&gt;=GN$5),--($CR$7:$FW$7&lt;=GN$6),$CR162:$FW162)*GF162</f>
        <v>0</v>
      </c>
      <c r="GO162" s="145">
        <f t="shared" si="46"/>
        <v>252972.8623863133</v>
      </c>
      <c r="GP162" s="87"/>
      <c r="GR162" s="145" cm="1">
        <f t="array" ref="GR162">SUMPRODUCT(--($CR$7:$FW$7&gt;=GR$5),--($CR$7:$FW$7&lt;=GR$6),$CR162:$FW162)</f>
        <v>16761.266666666666</v>
      </c>
      <c r="GT162" s="214" cm="1">
        <f t="array" ref="GT162">--AND(MIN(IF($K162:$CP162&lt;&gt;0,$K$7:$CP$7))&gt;=GT$5,MIN(IF($K162:$CP162&lt;&gt;0,$K$7:$CP$7))&lt;=GT$6)</f>
        <v>1</v>
      </c>
      <c r="GU162" s="214" cm="1">
        <f t="array" ref="GU162">--AND(MIN(IF($K162:$CP162&lt;&gt;0,$K$7:$CP$7))&gt;=GU$5,MIN(IF($K162:$CP162&lt;&gt;0,$K$7:$CP$7))&lt;=GU$6)</f>
        <v>0</v>
      </c>
      <c r="GV162" s="214" cm="1">
        <f t="array" ref="GV162">--AND(MIN(IF($K162:$CP162&lt;&gt;0,$K$7:$CP$7))&gt;=GV$5,MIN(IF($K162:$CP162&lt;&gt;0,$K$7:$CP$7))&lt;=GV$6)</f>
        <v>0</v>
      </c>
      <c r="GW162" s="214" cm="1">
        <f t="array" ref="GW162">--AND(MIN(IF($K162:$CP162&lt;&gt;0,$K$7:$CP$7))&gt;=GW$5,MIN(IF($K162:$CP162&lt;&gt;0,$K$7:$CP$7))&lt;=GW$6)</f>
        <v>0</v>
      </c>
      <c r="GX162" s="214" cm="1">
        <f t="array" ref="GX162">--AND(MIN(IF($K162:$CP162&lt;&gt;0,$K$7:$CP$7))&gt;=GX$5,MIN(IF($K162:$CP162&lt;&gt;0,$K$7:$CP$7))&lt;=GX$6)</f>
        <v>0</v>
      </c>
      <c r="GY162" s="214" cm="1">
        <f t="array" ref="GY162">--AND(MIN(IF($K162:$CP162&lt;&gt;0,$K$7:$CP$7))&gt;=GY$5,MIN(IF($K162:$CP162&lt;&gt;0,$K$7:$CP$7))&lt;=GY$6)</f>
        <v>0</v>
      </c>
      <c r="GZ162" s="214" cm="1">
        <f t="array" ref="GZ162">--AND(MIN(IF($K162:$CP162&lt;&gt;0,$K$7:$CP$7))&gt;=GZ$5,MIN(IF($K162:$CP162&lt;&gt;0,$K$7:$CP$7))&lt;=GZ$6)</f>
        <v>0</v>
      </c>
      <c r="HA162" s="214">
        <f t="shared" si="47"/>
        <v>1</v>
      </c>
      <c r="HC162" s="214" cm="1">
        <f t="array" ref="HC162">--AND(MIN(IF($K162:$CP162&lt;&gt;0,$K$7:$CP$7))&gt;=HC$5,MIN(IF($K162:$CP162&lt;&gt;0,$K$7:$CP$7))&lt;=HC$6)</f>
        <v>1</v>
      </c>
      <c r="HE162" s="147" t="str">
        <f t="shared" si="66"/>
        <v>No</v>
      </c>
      <c r="HF162" s="147" t="str">
        <f t="shared" si="67"/>
        <v>No</v>
      </c>
      <c r="HG162" s="147">
        <f>IF($HF162="Yes",0,$H162*avg_hrs*12*'Key assumptions'!$D$87)</f>
        <v>367024.33151015785</v>
      </c>
      <c r="HH162" s="147">
        <f>IF(HE162="Yes",'Key assumptions'!$D$84*HG162,0)</f>
        <v>0</v>
      </c>
      <c r="HI162" s="144">
        <f>IFERROR(AVERAGEIFS($K162:$CP162,$K$7:$CP$7,"&gt;="&amp;'Key assumptions'!$D$24,$K$7:$CP$7,"&lt;="&amp;'Key assumptions'!$D$25),0)</f>
        <v>0.2085127591706539</v>
      </c>
      <c r="HJ162" s="148">
        <f t="shared" si="48"/>
        <v>0</v>
      </c>
      <c r="HK162" s="148">
        <f t="shared" si="49"/>
        <v>0</v>
      </c>
      <c r="HL162" s="148">
        <f t="shared" si="50"/>
        <v>0</v>
      </c>
      <c r="HM162" s="148">
        <f t="shared" si="51"/>
        <v>0</v>
      </c>
      <c r="HN162" s="148">
        <f t="shared" si="52"/>
        <v>0</v>
      </c>
      <c r="HO162" s="148">
        <f t="shared" si="53"/>
        <v>0</v>
      </c>
      <c r="HP162" s="148">
        <f t="shared" si="54"/>
        <v>0</v>
      </c>
      <c r="HQ162" s="148">
        <f t="shared" si="55"/>
        <v>0</v>
      </c>
      <c r="HR162" s="147">
        <f t="shared" si="56"/>
        <v>0</v>
      </c>
      <c r="HU162" s="147">
        <f>$HJ162*HC162/(1+'Key assumptions'!G184)^0.75</f>
        <v>0</v>
      </c>
      <c r="HW162" s="216">
        <f t="shared" si="57"/>
        <v>0.2085127591706539</v>
      </c>
      <c r="HX162" s="216">
        <f t="shared" si="58"/>
        <v>0</v>
      </c>
      <c r="HY162" s="216">
        <f t="shared" si="59"/>
        <v>0</v>
      </c>
      <c r="HZ162" s="216">
        <f t="shared" si="60"/>
        <v>0</v>
      </c>
      <c r="IA162" s="216">
        <f t="shared" si="61"/>
        <v>0</v>
      </c>
      <c r="IB162" s="216">
        <f t="shared" si="62"/>
        <v>0</v>
      </c>
      <c r="IC162" s="216">
        <f t="shared" si="63"/>
        <v>0</v>
      </c>
      <c r="ID162" s="216">
        <f t="shared" si="64"/>
        <v>0.2085127591706539</v>
      </c>
      <c r="IF162" s="216">
        <f t="shared" si="65"/>
        <v>0.2085127591706539</v>
      </c>
    </row>
    <row r="163" spans="2:240" x14ac:dyDescent="0.2">
      <c r="B163" s="141" t="str">
        <v>Project Delivery Management - Construction Management</v>
      </c>
      <c r="C163" s="141" t="str">
        <v>Safety Officer (Safety and Environmental Delivery)</v>
      </c>
      <c r="D163" s="141" t="str">
        <v>Internal Labour</v>
      </c>
      <c r="E163" s="141" t="str">
        <v>$ Nominal</v>
      </c>
      <c r="F163" s="141">
        <v>0</v>
      </c>
      <c r="G163" s="141" t="str">
        <v>Overtime</v>
      </c>
      <c r="H163" s="142">
        <v>205.24</v>
      </c>
      <c r="I163" s="126">
        <v>444150.89000000013</v>
      </c>
      <c r="J163" s="143">
        <v>0</v>
      </c>
      <c r="K163" s="144">
        <v>0</v>
      </c>
      <c r="L163" s="144">
        <v>0</v>
      </c>
      <c r="M163" s="144">
        <v>0</v>
      </c>
      <c r="N163" s="144">
        <v>0</v>
      </c>
      <c r="O163" s="144">
        <v>0</v>
      </c>
      <c r="P163" s="144">
        <v>0</v>
      </c>
      <c r="Q163" s="144">
        <v>0</v>
      </c>
      <c r="R163" s="144">
        <v>0</v>
      </c>
      <c r="S163" s="144">
        <v>0</v>
      </c>
      <c r="T163" s="144">
        <v>0</v>
      </c>
      <c r="U163" s="144">
        <v>0</v>
      </c>
      <c r="V163" s="144">
        <v>0</v>
      </c>
      <c r="W163" s="144">
        <v>0</v>
      </c>
      <c r="X163" s="144">
        <v>0</v>
      </c>
      <c r="Y163" s="144">
        <v>0</v>
      </c>
      <c r="Z163" s="144">
        <v>0</v>
      </c>
      <c r="AA163" s="144">
        <v>0.21710526315789475</v>
      </c>
      <c r="AB163" s="144">
        <v>0.22368421052631579</v>
      </c>
      <c r="AC163" s="144">
        <v>0.30714285714285716</v>
      </c>
      <c r="AD163" s="144">
        <v>0.22142857142857142</v>
      </c>
      <c r="AE163" s="144">
        <v>0.24285714285714285</v>
      </c>
      <c r="AF163" s="144">
        <v>0.24285714285714285</v>
      </c>
      <c r="AG163" s="144">
        <v>0.23571428571428571</v>
      </c>
      <c r="AH163" s="144">
        <v>0.26666666666666666</v>
      </c>
      <c r="AI163" s="144">
        <v>0.44761904761904764</v>
      </c>
      <c r="AJ163" s="144">
        <v>0.22857142857142856</v>
      </c>
      <c r="AK163" s="144">
        <v>0.22857142857142856</v>
      </c>
      <c r="AL163" s="144">
        <v>0.33333333333333331</v>
      </c>
      <c r="AM163" s="144">
        <v>0.25</v>
      </c>
      <c r="AN163" s="144">
        <v>0.24342105263157895</v>
      </c>
      <c r="AO163" s="144">
        <v>0.24285714285714285</v>
      </c>
      <c r="AP163" s="144">
        <v>0.23571428571428571</v>
      </c>
      <c r="AQ163" s="144">
        <v>0.24285714285714285</v>
      </c>
      <c r="AR163" s="144">
        <v>0.24285714285714285</v>
      </c>
      <c r="AS163" s="144">
        <v>0.29285714285714287</v>
      </c>
      <c r="AT163" s="144">
        <v>0.22857142857142856</v>
      </c>
      <c r="AU163" s="144">
        <v>0.40952380952380951</v>
      </c>
      <c r="AV163" s="144">
        <v>0.22857142857142856</v>
      </c>
      <c r="AW163" s="144">
        <v>0.25</v>
      </c>
      <c r="AX163" s="144">
        <v>0.30476190476190479</v>
      </c>
      <c r="AY163" s="144">
        <v>0.28289473684210525</v>
      </c>
      <c r="AZ163" s="144">
        <v>0.28289473684210525</v>
      </c>
      <c r="BA163" s="144">
        <v>0.22857142857142856</v>
      </c>
      <c r="BB163" s="144">
        <v>0.24285714285714285</v>
      </c>
      <c r="BC163" s="144">
        <v>0.23571428571428571</v>
      </c>
      <c r="BD163" s="144">
        <v>0.24285714285714285</v>
      </c>
      <c r="BE163" s="144">
        <v>0</v>
      </c>
      <c r="BF163" s="144">
        <v>0</v>
      </c>
      <c r="BG163" s="144">
        <v>0</v>
      </c>
      <c r="BH163" s="144">
        <v>0</v>
      </c>
      <c r="BI163" s="144">
        <v>0</v>
      </c>
      <c r="BJ163" s="144">
        <v>0</v>
      </c>
      <c r="BK163" s="144">
        <v>0</v>
      </c>
      <c r="BL163" s="144">
        <v>0</v>
      </c>
      <c r="BM163" s="144">
        <v>0</v>
      </c>
      <c r="BN163" s="144">
        <v>0</v>
      </c>
      <c r="BO163" s="144">
        <v>0</v>
      </c>
      <c r="BP163" s="144">
        <v>0</v>
      </c>
      <c r="BQ163" s="144">
        <v>0</v>
      </c>
      <c r="BR163" s="144">
        <v>0</v>
      </c>
      <c r="BS163" s="144">
        <v>0</v>
      </c>
      <c r="BT163" s="144">
        <v>0</v>
      </c>
      <c r="BU163" s="144">
        <v>0</v>
      </c>
      <c r="BV163" s="144">
        <v>0</v>
      </c>
      <c r="BW163" s="144">
        <v>0</v>
      </c>
      <c r="BX163" s="144">
        <v>0</v>
      </c>
      <c r="BY163" s="144">
        <v>0</v>
      </c>
      <c r="BZ163" s="144">
        <v>0</v>
      </c>
      <c r="CA163" s="144">
        <v>0</v>
      </c>
      <c r="CB163" s="144">
        <v>0</v>
      </c>
      <c r="CC163" s="144">
        <v>0</v>
      </c>
      <c r="CD163" s="144">
        <v>0</v>
      </c>
      <c r="CE163" s="144">
        <v>0</v>
      </c>
      <c r="CF163" s="144">
        <v>0</v>
      </c>
      <c r="CG163" s="144">
        <v>0</v>
      </c>
      <c r="CH163" s="144">
        <v>0</v>
      </c>
      <c r="CI163" s="144">
        <v>0</v>
      </c>
      <c r="CJ163" s="144">
        <v>0</v>
      </c>
      <c r="CK163" s="144">
        <v>0</v>
      </c>
      <c r="CL163" s="144">
        <v>0</v>
      </c>
      <c r="CM163" s="144">
        <v>0</v>
      </c>
      <c r="CN163" s="144">
        <v>0</v>
      </c>
      <c r="CO163" s="144">
        <v>0</v>
      </c>
      <c r="CP163" s="144">
        <v>0</v>
      </c>
      <c r="CQ163" s="143">
        <v>0</v>
      </c>
      <c r="CR163" s="145">
        <v>0</v>
      </c>
      <c r="CS163" s="145">
        <v>0</v>
      </c>
      <c r="CT163" s="145">
        <v>0</v>
      </c>
      <c r="CU163" s="145">
        <v>0</v>
      </c>
      <c r="CV163" s="145">
        <v>0</v>
      </c>
      <c r="CW163" s="145">
        <v>0</v>
      </c>
      <c r="CX163" s="145">
        <v>0</v>
      </c>
      <c r="CY163" s="145">
        <v>0</v>
      </c>
      <c r="CZ163" s="145">
        <v>0</v>
      </c>
      <c r="DA163" s="145">
        <v>0</v>
      </c>
      <c r="DB163" s="145">
        <v>0</v>
      </c>
      <c r="DC163" s="145">
        <v>0</v>
      </c>
      <c r="DD163" s="145">
        <v>0</v>
      </c>
      <c r="DE163" s="145">
        <v>0</v>
      </c>
      <c r="DF163" s="145">
        <v>0</v>
      </c>
      <c r="DG163" s="145">
        <v>0</v>
      </c>
      <c r="DH163" s="145">
        <v>13545.84</v>
      </c>
      <c r="DI163" s="145">
        <v>13956.32</v>
      </c>
      <c r="DJ163" s="145">
        <v>17650.64</v>
      </c>
      <c r="DK163" s="145">
        <v>12724.880000000001</v>
      </c>
      <c r="DL163" s="145">
        <v>13956.32</v>
      </c>
      <c r="DM163" s="145">
        <v>13956.32</v>
      </c>
      <c r="DN163" s="145">
        <v>13545.84</v>
      </c>
      <c r="DO163" s="145">
        <v>11493.44</v>
      </c>
      <c r="DP163" s="145">
        <v>19292.560000000001</v>
      </c>
      <c r="DQ163" s="145">
        <v>13135.36</v>
      </c>
      <c r="DR163" s="145">
        <v>13529.92</v>
      </c>
      <c r="DS163" s="145">
        <v>14798.35</v>
      </c>
      <c r="DT163" s="145">
        <v>16066.78</v>
      </c>
      <c r="DU163" s="145">
        <v>15643.97</v>
      </c>
      <c r="DV163" s="145">
        <v>14375.54</v>
      </c>
      <c r="DW163" s="145">
        <v>13952.73</v>
      </c>
      <c r="DX163" s="145">
        <v>14375.54</v>
      </c>
      <c r="DY163" s="145">
        <v>14375.54</v>
      </c>
      <c r="DZ163" s="145">
        <v>17335.21</v>
      </c>
      <c r="EA163" s="145">
        <v>10147.44</v>
      </c>
      <c r="EB163" s="145">
        <v>18180.830000000002</v>
      </c>
      <c r="EC163" s="145">
        <v>13529.92</v>
      </c>
      <c r="ED163" s="145">
        <v>15246</v>
      </c>
      <c r="EE163" s="145">
        <v>13939.2</v>
      </c>
      <c r="EF163" s="145">
        <v>18730.8</v>
      </c>
      <c r="EG163" s="145">
        <v>18730.8</v>
      </c>
      <c r="EH163" s="145">
        <v>13939.2</v>
      </c>
      <c r="EI163" s="145">
        <v>14810.400000000001</v>
      </c>
      <c r="EJ163" s="145">
        <v>14374.800000000001</v>
      </c>
      <c r="EK163" s="145">
        <v>14810.400000000001</v>
      </c>
      <c r="EL163" s="145">
        <v>0</v>
      </c>
      <c r="EM163" s="145">
        <v>0</v>
      </c>
      <c r="EN163" s="145">
        <v>0</v>
      </c>
      <c r="EO163" s="145">
        <v>0</v>
      </c>
      <c r="EP163" s="145">
        <v>0</v>
      </c>
      <c r="EQ163" s="145">
        <v>0</v>
      </c>
      <c r="ER163" s="145">
        <v>0</v>
      </c>
      <c r="ES163" s="145">
        <v>0</v>
      </c>
      <c r="ET163" s="145">
        <v>0</v>
      </c>
      <c r="EU163" s="145">
        <v>0</v>
      </c>
      <c r="EV163" s="145">
        <v>0</v>
      </c>
      <c r="EW163" s="145">
        <v>0</v>
      </c>
      <c r="EX163" s="145">
        <v>0</v>
      </c>
      <c r="EY163" s="145">
        <v>0</v>
      </c>
      <c r="EZ163" s="145">
        <v>0</v>
      </c>
      <c r="FA163" s="145">
        <v>0</v>
      </c>
      <c r="FB163" s="145">
        <v>0</v>
      </c>
      <c r="FC163" s="145">
        <v>0</v>
      </c>
      <c r="FD163" s="145">
        <v>0</v>
      </c>
      <c r="FE163" s="145">
        <v>0</v>
      </c>
      <c r="FF163" s="145">
        <v>0</v>
      </c>
      <c r="FG163" s="145">
        <v>0</v>
      </c>
      <c r="FH163" s="145">
        <v>0</v>
      </c>
      <c r="FI163" s="145">
        <v>0</v>
      </c>
      <c r="FJ163" s="145">
        <v>0</v>
      </c>
      <c r="FK163" s="145">
        <v>0</v>
      </c>
      <c r="FL163" s="145">
        <v>0</v>
      </c>
      <c r="FM163" s="145">
        <v>0</v>
      </c>
      <c r="FN163" s="145">
        <v>0</v>
      </c>
      <c r="FO163" s="145">
        <v>0</v>
      </c>
      <c r="FP163" s="145">
        <v>0</v>
      </c>
      <c r="FQ163" s="145">
        <v>0</v>
      </c>
      <c r="FR163" s="145">
        <v>0</v>
      </c>
      <c r="FS163" s="145">
        <v>0</v>
      </c>
      <c r="FT163" s="145">
        <v>0</v>
      </c>
      <c r="FU163" s="145">
        <v>0</v>
      </c>
      <c r="FV163" s="145">
        <v>0</v>
      </c>
      <c r="FW163" s="145">
        <v>0</v>
      </c>
      <c r="FX163" s="143"/>
      <c r="FY163" s="146" t="str">
        <f>_xlfn.XLOOKUP($E163,'Key assumptions'!$B$112:$B$120,'Key assumptions'!$C$112:$C$120,0)</f>
        <v>Nominal</v>
      </c>
      <c r="FZ163" s="146" cm="1">
        <f t="array" ref="FZ163">IF($FY163=0,0,_xlfn.IFS($FY163='Key assumptions'!$C$120,_xlfn.XLOOKUP(LEFT(FZ$7,6),Inflation_Year,Inflation_NominaltoReal),TRUE,_xlfn.XLOOKUP($FY163,Inflation_Year,NominaltoReal)))</f>
        <v>1.0197075870962191</v>
      </c>
      <c r="GA163" s="146" cm="1">
        <f t="array" ref="GA163">IF($FY163=0,0,_xlfn.IFS($FY163='Key assumptions'!$C$120,_xlfn.XLOOKUP(LEFT(GA$7,6),Inflation_Year,Inflation_NominaltoReal),TRUE,_xlfn.XLOOKUP($FY163,Inflation_Year,NominaltoReal)))</f>
        <v>0.98700804022984445</v>
      </c>
      <c r="GB163" s="146" cm="1">
        <f t="array" ref="GB163">IF($FY163=0,0,_xlfn.IFS($FY163='Key assumptions'!$C$120,_xlfn.XLOOKUP(LEFT(GB$7,6),Inflation_Year,Inflation_NominaltoReal),TRUE,_xlfn.XLOOKUP($FY163,Inflation_Year,NominaltoReal)))</f>
        <v>0.96152830081941731</v>
      </c>
      <c r="GC163" s="146" cm="1">
        <f t="array" ref="GC163">IF($FY163=0,0,_xlfn.IFS($FY163='Key assumptions'!$C$120,_xlfn.XLOOKUP(LEFT(GC$7,6),Inflation_Year,Inflation_NominaltoReal),TRUE,_xlfn.XLOOKUP($FY163,Inflation_Year,NominaltoReal)))</f>
        <v>0.93670632415656829</v>
      </c>
      <c r="GD163" s="146" cm="1">
        <f t="array" ref="GD163">IF($FY163=0,0,_xlfn.IFS($FY163='Key assumptions'!$C$120,_xlfn.XLOOKUP(LEFT(GD$7,6),Inflation_Year,Inflation_NominaltoReal),TRUE,_xlfn.XLOOKUP($FY163,Inflation_Year,NominaltoReal)))</f>
        <v>0.91252513001143176</v>
      </c>
      <c r="GE163" s="146" cm="1">
        <f t="array" ref="GE163">IF($FY163=0,0,_xlfn.IFS($FY163='Key assumptions'!$C$120,_xlfn.XLOOKUP(LEFT(GE$7,6),Inflation_Year,Inflation_NominaltoReal),TRUE,_xlfn.XLOOKUP($FY163,Inflation_Year,NominaltoReal)))</f>
        <v>0.88896817650095872</v>
      </c>
      <c r="GF163" s="146" cm="1">
        <f t="array" ref="GF163">IF($FY163=0,0,_xlfn.IFS($FY163='Key assumptions'!$C$120,_xlfn.XLOOKUP(LEFT(GF$7,6),Inflation_Year,Inflation_NominaltoReal),TRUE,_xlfn.XLOOKUP($FY163,Inflation_Year,NominaltoReal)))</f>
        <v>0.86601934877293718</v>
      </c>
      <c r="GG163" s="143"/>
      <c r="GH163" s="145" cm="1">
        <f t="array" ref="GH163">SUMPRODUCT(--($CR$7:$FW$7&gt;=GH$5),--($CR$7:$FW$7&lt;=GH$6),$CR163:$FW163)*FZ163</f>
        <v>73249.674811469798</v>
      </c>
      <c r="GI163" s="145" cm="1">
        <f t="array" ref="GI163">SUMPRODUCT(--($CR$7:$FW$7&gt;=GI$5),--($CR$7:$FW$7&lt;=GI$6),$CR163:$FW163)*GA163</f>
        <v>171903.58778748522</v>
      </c>
      <c r="GJ163" s="145" cm="1">
        <f t="array" ref="GJ163">SUMPRODUCT(--($CR$7:$FW$7&gt;=GJ$5),--($CR$7:$FW$7&lt;=GJ$6),$CR163:$FW163)*GB163</f>
        <v>176286.73328619407</v>
      </c>
      <c r="GK163" s="145" cm="1">
        <f t="array" ref="GK163">SUMPRODUCT(--($CR$7:$FW$7&gt;=GK$5),--($CR$7:$FW$7&lt;=GK$6),$CR163:$FW163)*GC163</f>
        <v>13872.995343288441</v>
      </c>
      <c r="GL163" s="145" cm="1">
        <f t="array" ref="GL163">SUMPRODUCT(--($CR$7:$FW$7&gt;=GL$5),--($CR$7:$FW$7&lt;=GL$6),$CR163:$FW163)*GD163</f>
        <v>0</v>
      </c>
      <c r="GM163" s="145" cm="1">
        <f t="array" ref="GM163">SUMPRODUCT(--($CR$7:$FW$7&gt;=GM$5),--($CR$7:$FW$7&lt;=GM$6),$CR163:$FW163)*GE163</f>
        <v>0</v>
      </c>
      <c r="GN163" s="145" cm="1">
        <f t="array" ref="GN163">SUMPRODUCT(--($CR$7:$FW$7&gt;=GN$5),--($CR$7:$FW$7&lt;=GN$6),$CR163:$FW163)*GF163</f>
        <v>0</v>
      </c>
      <c r="GO163" s="145">
        <f t="shared" si="46"/>
        <v>435312.99122843758</v>
      </c>
      <c r="GP163" s="87"/>
      <c r="GR163" s="145" cm="1">
        <f t="array" ref="GR163">SUMPRODUCT(--($CR$7:$FW$7&gt;=GR$5),--($CR$7:$FW$7&lt;=GR$6),$CR163:$FW163)</f>
        <v>27502.16</v>
      </c>
      <c r="GT163" s="214" cm="1">
        <f t="array" ref="GT163">--AND(MIN(IF($K163:$CP163&lt;&gt;0,$K$7:$CP$7))&gt;=GT$5,MIN(IF($K163:$CP163&lt;&gt;0,$K$7:$CP$7))&lt;=GT$6)</f>
        <v>1</v>
      </c>
      <c r="GU163" s="214" cm="1">
        <f t="array" ref="GU163">--AND(MIN(IF($K163:$CP163&lt;&gt;0,$K$7:$CP$7))&gt;=GU$5,MIN(IF($K163:$CP163&lt;&gt;0,$K$7:$CP$7))&lt;=GU$6)</f>
        <v>0</v>
      </c>
      <c r="GV163" s="214" cm="1">
        <f t="array" ref="GV163">--AND(MIN(IF($K163:$CP163&lt;&gt;0,$K$7:$CP$7))&gt;=GV$5,MIN(IF($K163:$CP163&lt;&gt;0,$K$7:$CP$7))&lt;=GV$6)</f>
        <v>0</v>
      </c>
      <c r="GW163" s="214" cm="1">
        <f t="array" ref="GW163">--AND(MIN(IF($K163:$CP163&lt;&gt;0,$K$7:$CP$7))&gt;=GW$5,MIN(IF($K163:$CP163&lt;&gt;0,$K$7:$CP$7))&lt;=GW$6)</f>
        <v>0</v>
      </c>
      <c r="GX163" s="214" cm="1">
        <f t="array" ref="GX163">--AND(MIN(IF($K163:$CP163&lt;&gt;0,$K$7:$CP$7))&gt;=GX$5,MIN(IF($K163:$CP163&lt;&gt;0,$K$7:$CP$7))&lt;=GX$6)</f>
        <v>0</v>
      </c>
      <c r="GY163" s="214" cm="1">
        <f t="array" ref="GY163">--AND(MIN(IF($K163:$CP163&lt;&gt;0,$K$7:$CP$7))&gt;=GY$5,MIN(IF($K163:$CP163&lt;&gt;0,$K$7:$CP$7))&lt;=GY$6)</f>
        <v>0</v>
      </c>
      <c r="GZ163" s="214" cm="1">
        <f t="array" ref="GZ163">--AND(MIN(IF($K163:$CP163&lt;&gt;0,$K$7:$CP$7))&gt;=GZ$5,MIN(IF($K163:$CP163&lt;&gt;0,$K$7:$CP$7))&lt;=GZ$6)</f>
        <v>0</v>
      </c>
      <c r="HA163" s="214">
        <f t="shared" si="47"/>
        <v>1</v>
      </c>
      <c r="HC163" s="214" cm="1">
        <f t="array" ref="HC163">--AND(MIN(IF($K163:$CP163&lt;&gt;0,$K$7:$CP$7))&gt;=HC$5,MIN(IF($K163:$CP163&lt;&gt;0,$K$7:$CP$7))&lt;=HC$6)</f>
        <v>1</v>
      </c>
      <c r="HE163" s="147" t="str">
        <f t="shared" si="66"/>
        <v>No</v>
      </c>
      <c r="HF163" s="147" t="str">
        <f t="shared" si="67"/>
        <v>Yes</v>
      </c>
      <c r="HG163" s="147">
        <f>IF($HF163="Yes",0,$H163*avg_hrs*12*'Key assumptions'!$D$87)</f>
        <v>0</v>
      </c>
      <c r="HH163" s="147">
        <f>IF(HE163="Yes",'Key assumptions'!$D$84*HG163,0)</f>
        <v>0</v>
      </c>
      <c r="HI163" s="144">
        <f>IFERROR(AVERAGEIFS($K163:$CP163,$K$7:$CP$7,"&gt;="&amp;'Key assumptions'!$D$24,$K$7:$CP$7,"&lt;="&amp;'Key assumptions'!$D$25),0)</f>
        <v>0.17916666666666667</v>
      </c>
      <c r="HJ163" s="148">
        <f t="shared" si="48"/>
        <v>0</v>
      </c>
      <c r="HK163" s="148">
        <f t="shared" si="49"/>
        <v>0</v>
      </c>
      <c r="HL163" s="148">
        <f t="shared" si="50"/>
        <v>0</v>
      </c>
      <c r="HM163" s="148">
        <f t="shared" si="51"/>
        <v>0</v>
      </c>
      <c r="HN163" s="148">
        <f t="shared" si="52"/>
        <v>0</v>
      </c>
      <c r="HO163" s="148">
        <f t="shared" si="53"/>
        <v>0</v>
      </c>
      <c r="HP163" s="148">
        <f t="shared" si="54"/>
        <v>0</v>
      </c>
      <c r="HQ163" s="148">
        <f t="shared" si="55"/>
        <v>0</v>
      </c>
      <c r="HR163" s="147">
        <f t="shared" si="56"/>
        <v>0</v>
      </c>
      <c r="HU163" s="147">
        <f>$HJ163*HC163/(1+'Key assumptions'!G185)^0.75</f>
        <v>0</v>
      </c>
      <c r="HW163" s="216">
        <f t="shared" si="57"/>
        <v>0.17916666666666667</v>
      </c>
      <c r="HX163" s="216">
        <f t="shared" si="58"/>
        <v>0</v>
      </c>
      <c r="HY163" s="216">
        <f t="shared" si="59"/>
        <v>0</v>
      </c>
      <c r="HZ163" s="216">
        <f t="shared" si="60"/>
        <v>0</v>
      </c>
      <c r="IA163" s="216">
        <f t="shared" si="61"/>
        <v>0</v>
      </c>
      <c r="IB163" s="216">
        <f t="shared" si="62"/>
        <v>0</v>
      </c>
      <c r="IC163" s="216">
        <f t="shared" si="63"/>
        <v>0</v>
      </c>
      <c r="ID163" s="216">
        <f t="shared" si="64"/>
        <v>0.17916666666666667</v>
      </c>
      <c r="IF163" s="216">
        <f t="shared" si="65"/>
        <v>0.17916666666666667</v>
      </c>
    </row>
    <row r="164" spans="2:240" x14ac:dyDescent="0.2">
      <c r="B164" s="141" t="str">
        <v>Land and Environment</v>
      </c>
      <c r="C164" s="141" t="str">
        <v>Environment Officer (Safety and Environmental Delivery)</v>
      </c>
      <c r="D164" s="141" t="str">
        <v>Internal Labour</v>
      </c>
      <c r="E164" s="141" t="str">
        <v>$ Nominal</v>
      </c>
      <c r="F164" s="141" t="str">
        <v>Existing</v>
      </c>
      <c r="G164" s="141" t="str">
        <v>Normal time</v>
      </c>
      <c r="H164" s="142">
        <v>210.04</v>
      </c>
      <c r="I164" s="126">
        <v>164376.84200000003</v>
      </c>
      <c r="J164" s="143">
        <v>0</v>
      </c>
      <c r="K164" s="144">
        <v>0</v>
      </c>
      <c r="L164" s="144">
        <v>0</v>
      </c>
      <c r="M164" s="144">
        <v>0</v>
      </c>
      <c r="N164" s="144">
        <v>0</v>
      </c>
      <c r="O164" s="144">
        <v>0</v>
      </c>
      <c r="P164" s="144">
        <v>0</v>
      </c>
      <c r="Q164" s="144">
        <v>0</v>
      </c>
      <c r="R164" s="144">
        <v>0</v>
      </c>
      <c r="S164" s="144">
        <v>0</v>
      </c>
      <c r="T164" s="144">
        <v>0</v>
      </c>
      <c r="U164" s="144">
        <v>0</v>
      </c>
      <c r="V164" s="144">
        <v>0</v>
      </c>
      <c r="W164" s="144">
        <v>0</v>
      </c>
      <c r="X164" s="144">
        <v>0</v>
      </c>
      <c r="Y164" s="144">
        <v>0.1</v>
      </c>
      <c r="Z164" s="144">
        <v>0.13333333333333333</v>
      </c>
      <c r="AA164" s="144">
        <v>0.15657894736842107</v>
      </c>
      <c r="AB164" s="144">
        <v>0.16578947368421051</v>
      </c>
      <c r="AC164" s="144">
        <v>0.19</v>
      </c>
      <c r="AD164" s="144">
        <v>0.15</v>
      </c>
      <c r="AE164" s="144">
        <v>0.18</v>
      </c>
      <c r="AF164" s="144">
        <v>0.18</v>
      </c>
      <c r="AG164" s="144">
        <v>0.17</v>
      </c>
      <c r="AH164" s="144">
        <v>0.16</v>
      </c>
      <c r="AI164" s="144">
        <v>0.3066666666666667</v>
      </c>
      <c r="AJ164" s="144">
        <v>0.16</v>
      </c>
      <c r="AK164" s="144">
        <v>0.16</v>
      </c>
      <c r="AL164" s="144">
        <v>0.25333333333333335</v>
      </c>
      <c r="AM164" s="144">
        <v>0.16578947368421051</v>
      </c>
      <c r="AN164" s="144">
        <v>0.15657894736842107</v>
      </c>
      <c r="AO164" s="144">
        <v>0.18</v>
      </c>
      <c r="AP164" s="144">
        <v>0.17</v>
      </c>
      <c r="AQ164" s="144">
        <v>0.18</v>
      </c>
      <c r="AR164" s="144">
        <v>0.18</v>
      </c>
      <c r="AS164" s="144">
        <v>0.17</v>
      </c>
      <c r="AT164" s="144">
        <v>0.21333333333333332</v>
      </c>
      <c r="AU164" s="144">
        <v>0.25333333333333335</v>
      </c>
      <c r="AV164" s="144">
        <v>0.16</v>
      </c>
      <c r="AW164" s="144">
        <v>0.19</v>
      </c>
      <c r="AX164" s="144">
        <v>0.21333333333333332</v>
      </c>
      <c r="AY164" s="144">
        <v>0.17500000000000002</v>
      </c>
      <c r="AZ164" s="144">
        <v>0.17500000000000002</v>
      </c>
      <c r="BA164" s="144">
        <v>0.16</v>
      </c>
      <c r="BB164" s="144">
        <v>0.18</v>
      </c>
      <c r="BC164" s="144">
        <v>0.17</v>
      </c>
      <c r="BD164" s="144">
        <v>0.18</v>
      </c>
      <c r="BE164" s="144">
        <v>0</v>
      </c>
      <c r="BF164" s="144">
        <v>0</v>
      </c>
      <c r="BG164" s="144">
        <v>0</v>
      </c>
      <c r="BH164" s="144">
        <v>0</v>
      </c>
      <c r="BI164" s="144">
        <v>0</v>
      </c>
      <c r="BJ164" s="144">
        <v>0</v>
      </c>
      <c r="BK164" s="144">
        <v>0</v>
      </c>
      <c r="BL164" s="144">
        <v>0</v>
      </c>
      <c r="BM164" s="144">
        <v>0</v>
      </c>
      <c r="BN164" s="144">
        <v>0</v>
      </c>
      <c r="BO164" s="144">
        <v>0</v>
      </c>
      <c r="BP164" s="144">
        <v>0</v>
      </c>
      <c r="BQ164" s="144">
        <v>0</v>
      </c>
      <c r="BR164" s="144">
        <v>0</v>
      </c>
      <c r="BS164" s="144">
        <v>0</v>
      </c>
      <c r="BT164" s="144">
        <v>0</v>
      </c>
      <c r="BU164" s="144">
        <v>0</v>
      </c>
      <c r="BV164" s="144">
        <v>0</v>
      </c>
      <c r="BW164" s="144">
        <v>0</v>
      </c>
      <c r="BX164" s="144">
        <v>0</v>
      </c>
      <c r="BY164" s="144">
        <v>0</v>
      </c>
      <c r="BZ164" s="144">
        <v>0</v>
      </c>
      <c r="CA164" s="144">
        <v>0</v>
      </c>
      <c r="CB164" s="144">
        <v>0</v>
      </c>
      <c r="CC164" s="144">
        <v>0</v>
      </c>
      <c r="CD164" s="144">
        <v>0</v>
      </c>
      <c r="CE164" s="144">
        <v>0</v>
      </c>
      <c r="CF164" s="144">
        <v>0</v>
      </c>
      <c r="CG164" s="144">
        <v>0</v>
      </c>
      <c r="CH164" s="144">
        <v>0</v>
      </c>
      <c r="CI164" s="144">
        <v>0</v>
      </c>
      <c r="CJ164" s="144">
        <v>0</v>
      </c>
      <c r="CK164" s="144">
        <v>0</v>
      </c>
      <c r="CL164" s="144">
        <v>0</v>
      </c>
      <c r="CM164" s="144">
        <v>0</v>
      </c>
      <c r="CN164" s="144">
        <v>0</v>
      </c>
      <c r="CO164" s="144">
        <v>0</v>
      </c>
      <c r="CP164" s="144">
        <v>0</v>
      </c>
      <c r="CQ164" s="143">
        <v>0</v>
      </c>
      <c r="CR164" s="145">
        <v>0</v>
      </c>
      <c r="CS164" s="145">
        <v>0</v>
      </c>
      <c r="CT164" s="145">
        <v>0</v>
      </c>
      <c r="CU164" s="145">
        <v>0</v>
      </c>
      <c r="CV164" s="145">
        <v>0</v>
      </c>
      <c r="CW164" s="145">
        <v>0</v>
      </c>
      <c r="CX164" s="145">
        <v>0</v>
      </c>
      <c r="CY164" s="145">
        <v>0</v>
      </c>
      <c r="CZ164" s="145">
        <v>0</v>
      </c>
      <c r="DA164" s="145">
        <v>0</v>
      </c>
      <c r="DB164" s="145">
        <v>0</v>
      </c>
      <c r="DC164" s="145">
        <v>0</v>
      </c>
      <c r="DD164" s="145">
        <v>0</v>
      </c>
      <c r="DE164" s="145">
        <v>0</v>
      </c>
      <c r="DF164" s="145">
        <v>2940.56</v>
      </c>
      <c r="DG164" s="145">
        <v>2940.56</v>
      </c>
      <c r="DH164" s="145">
        <v>4998.9520000000002</v>
      </c>
      <c r="DI164" s="145">
        <v>5293.0079999999998</v>
      </c>
      <c r="DJ164" s="145">
        <v>5587.0640000000003</v>
      </c>
      <c r="DK164" s="145">
        <v>4410.84</v>
      </c>
      <c r="DL164" s="145">
        <v>5293.0079999999998</v>
      </c>
      <c r="DM164" s="145">
        <v>5293.0079999999998</v>
      </c>
      <c r="DN164" s="145">
        <v>4998.9520000000002</v>
      </c>
      <c r="DO164" s="145">
        <v>3528.672</v>
      </c>
      <c r="DP164" s="145">
        <v>6763.2880000000005</v>
      </c>
      <c r="DQ164" s="145">
        <v>4704.8959999999997</v>
      </c>
      <c r="DR164" s="145">
        <v>4848.0320000000002</v>
      </c>
      <c r="DS164" s="145">
        <v>5757.0380000000005</v>
      </c>
      <c r="DT164" s="145">
        <v>5454.0360000000001</v>
      </c>
      <c r="DU164" s="145">
        <v>5151.0340000000006</v>
      </c>
      <c r="DV164" s="145">
        <v>5454.0360000000001</v>
      </c>
      <c r="DW164" s="145">
        <v>5151.0340000000006</v>
      </c>
      <c r="DX164" s="145">
        <v>5454.0360000000001</v>
      </c>
      <c r="DY164" s="145">
        <v>5454.0360000000001</v>
      </c>
      <c r="DZ164" s="145">
        <v>5151.0340000000006</v>
      </c>
      <c r="EA164" s="145">
        <v>4848.0320000000002</v>
      </c>
      <c r="EB164" s="145">
        <v>5757.0380000000005</v>
      </c>
      <c r="EC164" s="145">
        <v>4848.0320000000002</v>
      </c>
      <c r="ED164" s="145">
        <v>5927.0119999999997</v>
      </c>
      <c r="EE164" s="145">
        <v>4991.1679999999997</v>
      </c>
      <c r="EF164" s="145">
        <v>5927.0119999999997</v>
      </c>
      <c r="EG164" s="145">
        <v>5927.0119999999997</v>
      </c>
      <c r="EH164" s="145">
        <v>4991.1679999999997</v>
      </c>
      <c r="EI164" s="145">
        <v>5615.0639999999994</v>
      </c>
      <c r="EJ164" s="145">
        <v>5303.116</v>
      </c>
      <c r="EK164" s="145">
        <v>5615.0639999999994</v>
      </c>
      <c r="EL164" s="145">
        <v>0</v>
      </c>
      <c r="EM164" s="145">
        <v>0</v>
      </c>
      <c r="EN164" s="145">
        <v>0</v>
      </c>
      <c r="EO164" s="145">
        <v>0</v>
      </c>
      <c r="EP164" s="145">
        <v>0</v>
      </c>
      <c r="EQ164" s="145">
        <v>0</v>
      </c>
      <c r="ER164" s="145">
        <v>0</v>
      </c>
      <c r="ES164" s="145">
        <v>0</v>
      </c>
      <c r="ET164" s="145">
        <v>0</v>
      </c>
      <c r="EU164" s="145">
        <v>0</v>
      </c>
      <c r="EV164" s="145">
        <v>0</v>
      </c>
      <c r="EW164" s="145">
        <v>0</v>
      </c>
      <c r="EX164" s="145">
        <v>0</v>
      </c>
      <c r="EY164" s="145">
        <v>0</v>
      </c>
      <c r="EZ164" s="145">
        <v>0</v>
      </c>
      <c r="FA164" s="145">
        <v>0</v>
      </c>
      <c r="FB164" s="145">
        <v>0</v>
      </c>
      <c r="FC164" s="145">
        <v>0</v>
      </c>
      <c r="FD164" s="145">
        <v>0</v>
      </c>
      <c r="FE164" s="145">
        <v>0</v>
      </c>
      <c r="FF164" s="145">
        <v>0</v>
      </c>
      <c r="FG164" s="145">
        <v>0</v>
      </c>
      <c r="FH164" s="145">
        <v>0</v>
      </c>
      <c r="FI164" s="145">
        <v>0</v>
      </c>
      <c r="FJ164" s="145">
        <v>0</v>
      </c>
      <c r="FK164" s="145">
        <v>0</v>
      </c>
      <c r="FL164" s="145">
        <v>0</v>
      </c>
      <c r="FM164" s="145">
        <v>0</v>
      </c>
      <c r="FN164" s="145">
        <v>0</v>
      </c>
      <c r="FO164" s="145">
        <v>0</v>
      </c>
      <c r="FP164" s="145">
        <v>0</v>
      </c>
      <c r="FQ164" s="145">
        <v>0</v>
      </c>
      <c r="FR164" s="145">
        <v>0</v>
      </c>
      <c r="FS164" s="145">
        <v>0</v>
      </c>
      <c r="FT164" s="145">
        <v>0</v>
      </c>
      <c r="FU164" s="145">
        <v>0</v>
      </c>
      <c r="FV164" s="145">
        <v>0</v>
      </c>
      <c r="FW164" s="145">
        <v>0</v>
      </c>
      <c r="FX164" s="143"/>
      <c r="FY164" s="146" t="str">
        <f>_xlfn.XLOOKUP($E164,'Key assumptions'!$B$112:$B$120,'Key assumptions'!$C$112:$C$120,0)</f>
        <v>Nominal</v>
      </c>
      <c r="FZ164" s="146" cm="1">
        <f t="array" ref="FZ164">IF($FY164=0,0,_xlfn.IFS($FY164='Key assumptions'!$C$120,_xlfn.XLOOKUP(LEFT(FZ$7,6),Inflation_Year,Inflation_NominaltoReal),TRUE,_xlfn.XLOOKUP($FY164,Inflation_Year,NominaltoReal)))</f>
        <v>1.0197075870962191</v>
      </c>
      <c r="GA164" s="146" cm="1">
        <f t="array" ref="GA164">IF($FY164=0,0,_xlfn.IFS($FY164='Key assumptions'!$C$120,_xlfn.XLOOKUP(LEFT(GA$7,6),Inflation_Year,Inflation_NominaltoReal),TRUE,_xlfn.XLOOKUP($FY164,Inflation_Year,NominaltoReal)))</f>
        <v>0.98700804022984445</v>
      </c>
      <c r="GB164" s="146" cm="1">
        <f t="array" ref="GB164">IF($FY164=0,0,_xlfn.IFS($FY164='Key assumptions'!$C$120,_xlfn.XLOOKUP(LEFT(GB$7,6),Inflation_Year,Inflation_NominaltoReal),TRUE,_xlfn.XLOOKUP($FY164,Inflation_Year,NominaltoReal)))</f>
        <v>0.96152830081941731</v>
      </c>
      <c r="GC164" s="146" cm="1">
        <f t="array" ref="GC164">IF($FY164=0,0,_xlfn.IFS($FY164='Key assumptions'!$C$120,_xlfn.XLOOKUP(LEFT(GC$7,6),Inflation_Year,Inflation_NominaltoReal),TRUE,_xlfn.XLOOKUP($FY164,Inflation_Year,NominaltoReal)))</f>
        <v>0.93670632415656829</v>
      </c>
      <c r="GD164" s="146" cm="1">
        <f t="array" ref="GD164">IF($FY164=0,0,_xlfn.IFS($FY164='Key assumptions'!$C$120,_xlfn.XLOOKUP(LEFT(GD$7,6),Inflation_Year,Inflation_NominaltoReal),TRUE,_xlfn.XLOOKUP($FY164,Inflation_Year,NominaltoReal)))</f>
        <v>0.91252513001143176</v>
      </c>
      <c r="GE164" s="146" cm="1">
        <f t="array" ref="GE164">IF($FY164=0,0,_xlfn.IFS($FY164='Key assumptions'!$C$120,_xlfn.XLOOKUP(LEFT(GE$7,6),Inflation_Year,Inflation_NominaltoReal),TRUE,_xlfn.XLOOKUP($FY164,Inflation_Year,NominaltoReal)))</f>
        <v>0.88896817650095872</v>
      </c>
      <c r="GF164" s="146" cm="1">
        <f t="array" ref="GF164">IF($FY164=0,0,_xlfn.IFS($FY164='Key assumptions'!$C$120,_xlfn.XLOOKUP(LEFT(GF$7,6),Inflation_Year,Inflation_NominaltoReal),TRUE,_xlfn.XLOOKUP($FY164,Inflation_Year,NominaltoReal)))</f>
        <v>0.86601934877293718</v>
      </c>
      <c r="GG164" s="143"/>
      <c r="GH164" s="145" cm="1">
        <f t="array" ref="GH164">SUMPRODUCT(--($CR$7:$FW$7&gt;=GH$5),--($CR$7:$FW$7&lt;=GH$6),$CR164:$FW164)*FZ164</f>
        <v>32084.07136273474</v>
      </c>
      <c r="GI164" s="145" cm="1">
        <f t="array" ref="GI164">SUMPRODUCT(--($CR$7:$FW$7&gt;=GI$5),--($CR$7:$FW$7&lt;=GI$6),$CR164:$FW164)*GA164</f>
        <v>61745.310175197104</v>
      </c>
      <c r="GJ164" s="145" cm="1">
        <f t="array" ref="GJ164">SUMPRODUCT(--($CR$7:$FW$7&gt;=GJ$5),--($CR$7:$FW$7&lt;=GJ$6),$CR164:$FW164)*GB164</f>
        <v>62249.076813238054</v>
      </c>
      <c r="GK164" s="145" cm="1">
        <f t="array" ref="GK164">SUMPRODUCT(--($CR$7:$FW$7&gt;=GK$5),--($CR$7:$FW$7&lt;=GK$6),$CR164:$FW164)*GC164</f>
        <v>5259.6659593438762</v>
      </c>
      <c r="GL164" s="145" cm="1">
        <f t="array" ref="GL164">SUMPRODUCT(--($CR$7:$FW$7&gt;=GL$5),--($CR$7:$FW$7&lt;=GL$6),$CR164:$FW164)*GD164</f>
        <v>0</v>
      </c>
      <c r="GM164" s="145" cm="1">
        <f t="array" ref="GM164">SUMPRODUCT(--($CR$7:$FW$7&gt;=GM$5),--($CR$7:$FW$7&lt;=GM$6),$CR164:$FW164)*GE164</f>
        <v>0</v>
      </c>
      <c r="GN164" s="145" cm="1">
        <f t="array" ref="GN164">SUMPRODUCT(--($CR$7:$FW$7&gt;=GN$5),--($CR$7:$FW$7&lt;=GN$6),$CR164:$FW164)*GF164</f>
        <v>0</v>
      </c>
      <c r="GO164" s="145">
        <f t="shared" si="46"/>
        <v>161338.12431051375</v>
      </c>
      <c r="GP164" s="87"/>
      <c r="GR164" s="145" cm="1">
        <f t="array" ref="GR164">SUMPRODUCT(--($CR$7:$FW$7&gt;=GR$5),--($CR$7:$FW$7&lt;=GR$6),$CR164:$FW164)</f>
        <v>16173.08</v>
      </c>
      <c r="GT164" s="214" cm="1">
        <f t="array" ref="GT164">--AND(MIN(IF($K164:$CP164&lt;&gt;0,$K$7:$CP$7))&gt;=GT$5,MIN(IF($K164:$CP164&lt;&gt;0,$K$7:$CP$7))&lt;=GT$6)</f>
        <v>1</v>
      </c>
      <c r="GU164" s="214" cm="1">
        <f t="array" ref="GU164">--AND(MIN(IF($K164:$CP164&lt;&gt;0,$K$7:$CP$7))&gt;=GU$5,MIN(IF($K164:$CP164&lt;&gt;0,$K$7:$CP$7))&lt;=GU$6)</f>
        <v>0</v>
      </c>
      <c r="GV164" s="214" cm="1">
        <f t="array" ref="GV164">--AND(MIN(IF($K164:$CP164&lt;&gt;0,$K$7:$CP$7))&gt;=GV$5,MIN(IF($K164:$CP164&lt;&gt;0,$K$7:$CP$7))&lt;=GV$6)</f>
        <v>0</v>
      </c>
      <c r="GW164" s="214" cm="1">
        <f t="array" ref="GW164">--AND(MIN(IF($K164:$CP164&lt;&gt;0,$K$7:$CP$7))&gt;=GW$5,MIN(IF($K164:$CP164&lt;&gt;0,$K$7:$CP$7))&lt;=GW$6)</f>
        <v>0</v>
      </c>
      <c r="GX164" s="214" cm="1">
        <f t="array" ref="GX164">--AND(MIN(IF($K164:$CP164&lt;&gt;0,$K$7:$CP$7))&gt;=GX$5,MIN(IF($K164:$CP164&lt;&gt;0,$K$7:$CP$7))&lt;=GX$6)</f>
        <v>0</v>
      </c>
      <c r="GY164" s="214" cm="1">
        <f t="array" ref="GY164">--AND(MIN(IF($K164:$CP164&lt;&gt;0,$K$7:$CP$7))&gt;=GY$5,MIN(IF($K164:$CP164&lt;&gt;0,$K$7:$CP$7))&lt;=GY$6)</f>
        <v>0</v>
      </c>
      <c r="GZ164" s="214" cm="1">
        <f t="array" ref="GZ164">--AND(MIN(IF($K164:$CP164&lt;&gt;0,$K$7:$CP$7))&gt;=GZ$5,MIN(IF($K164:$CP164&lt;&gt;0,$K$7:$CP$7))&lt;=GZ$6)</f>
        <v>0</v>
      </c>
      <c r="HA164" s="214">
        <f t="shared" si="47"/>
        <v>1</v>
      </c>
      <c r="HC164" s="214" cm="1">
        <f t="array" ref="HC164">--AND(MIN(IF($K164:$CP164&lt;&gt;0,$K$7:$CP$7))&gt;=HC$5,MIN(IF($K164:$CP164&lt;&gt;0,$K$7:$CP$7))&lt;=HC$6)</f>
        <v>1</v>
      </c>
      <c r="HE164" s="147" t="str">
        <f t="shared" si="66"/>
        <v>No</v>
      </c>
      <c r="HF164" s="147" t="str">
        <f t="shared" si="67"/>
        <v>No</v>
      </c>
      <c r="HG164" s="147">
        <f>IF($HF164="Yes",0,$H164*avg_hrs*12*'Key assumptions'!$D$87)</f>
        <v>375608.02275576669</v>
      </c>
      <c r="HH164" s="147">
        <f>IF(HE164="Yes",'Key assumptions'!$D$84*HG164,0)</f>
        <v>0</v>
      </c>
      <c r="HI164" s="144">
        <f>IFERROR(AVERAGEIFS($K164:$CP164,$K$7:$CP$7,"&gt;="&amp;'Key assumptions'!$D$24,$K$7:$CP$7,"&lt;="&amp;'Key assumptions'!$D$25),0)</f>
        <v>0.13041068580542264</v>
      </c>
      <c r="HJ164" s="148">
        <f t="shared" si="48"/>
        <v>0</v>
      </c>
      <c r="HK164" s="148">
        <f t="shared" si="49"/>
        <v>0</v>
      </c>
      <c r="HL164" s="148">
        <f t="shared" si="50"/>
        <v>0</v>
      </c>
      <c r="HM164" s="148">
        <f t="shared" si="51"/>
        <v>0</v>
      </c>
      <c r="HN164" s="148">
        <f t="shared" si="52"/>
        <v>0</v>
      </c>
      <c r="HO164" s="148">
        <f t="shared" si="53"/>
        <v>0</v>
      </c>
      <c r="HP164" s="148">
        <f t="shared" si="54"/>
        <v>0</v>
      </c>
      <c r="HQ164" s="148">
        <f t="shared" si="55"/>
        <v>0</v>
      </c>
      <c r="HR164" s="147">
        <f t="shared" si="56"/>
        <v>0</v>
      </c>
      <c r="HU164" s="147">
        <f>$HJ164*HC164/(1+'Key assumptions'!G186)^0.75</f>
        <v>0</v>
      </c>
      <c r="HW164" s="216">
        <f t="shared" si="57"/>
        <v>0.13041068580542264</v>
      </c>
      <c r="HX164" s="216">
        <f t="shared" si="58"/>
        <v>0</v>
      </c>
      <c r="HY164" s="216">
        <f t="shared" si="59"/>
        <v>0</v>
      </c>
      <c r="HZ164" s="216">
        <f t="shared" si="60"/>
        <v>0</v>
      </c>
      <c r="IA164" s="216">
        <f t="shared" si="61"/>
        <v>0</v>
      </c>
      <c r="IB164" s="216">
        <f t="shared" si="62"/>
        <v>0</v>
      </c>
      <c r="IC164" s="216">
        <f t="shared" si="63"/>
        <v>0</v>
      </c>
      <c r="ID164" s="216">
        <f t="shared" si="64"/>
        <v>0.13041068580542264</v>
      </c>
      <c r="IF164" s="216">
        <f t="shared" si="65"/>
        <v>0.13041068580542264</v>
      </c>
    </row>
    <row r="165" spans="2:240" x14ac:dyDescent="0.2">
      <c r="B165" s="141" t="str">
        <v>Land and Environment</v>
      </c>
      <c r="C165" s="141" t="str">
        <v>Environment Officer (Safety and Environmental Delivery)</v>
      </c>
      <c r="D165" s="141" t="str">
        <v>Internal Labour</v>
      </c>
      <c r="E165" s="141" t="str">
        <v>$ Nominal</v>
      </c>
      <c r="F165" s="141">
        <v>0</v>
      </c>
      <c r="G165" s="141" t="str">
        <v>Overtime</v>
      </c>
      <c r="H165" s="142">
        <v>210.04</v>
      </c>
      <c r="I165" s="126">
        <v>272736.054</v>
      </c>
      <c r="J165" s="143">
        <v>0</v>
      </c>
      <c r="K165" s="144">
        <v>0</v>
      </c>
      <c r="L165" s="144">
        <v>0</v>
      </c>
      <c r="M165" s="144">
        <v>0</v>
      </c>
      <c r="N165" s="144">
        <v>0</v>
      </c>
      <c r="O165" s="144">
        <v>0</v>
      </c>
      <c r="P165" s="144">
        <v>0</v>
      </c>
      <c r="Q165" s="144">
        <v>0</v>
      </c>
      <c r="R165" s="144">
        <v>0</v>
      </c>
      <c r="S165" s="144">
        <v>0</v>
      </c>
      <c r="T165" s="144">
        <v>0</v>
      </c>
      <c r="U165" s="144">
        <v>0</v>
      </c>
      <c r="V165" s="144">
        <v>0</v>
      </c>
      <c r="W165" s="144">
        <v>0</v>
      </c>
      <c r="X165" s="144">
        <v>0</v>
      </c>
      <c r="Y165" s="144">
        <v>0</v>
      </c>
      <c r="Z165" s="144">
        <v>0</v>
      </c>
      <c r="AA165" s="144">
        <v>0.13026315789473686</v>
      </c>
      <c r="AB165" s="144">
        <v>0.13421052631578947</v>
      </c>
      <c r="AC165" s="144">
        <v>0.1842857142857143</v>
      </c>
      <c r="AD165" s="144">
        <v>0.13285714285714287</v>
      </c>
      <c r="AE165" s="144">
        <v>0.14571428571428571</v>
      </c>
      <c r="AF165" s="144">
        <v>0.14571428571428571</v>
      </c>
      <c r="AG165" s="144">
        <v>0.14142857142857143</v>
      </c>
      <c r="AH165" s="144">
        <v>0.16</v>
      </c>
      <c r="AI165" s="144">
        <v>0.26857142857142857</v>
      </c>
      <c r="AJ165" s="144">
        <v>0.13714285714285715</v>
      </c>
      <c r="AK165" s="144">
        <v>0.13714285714285715</v>
      </c>
      <c r="AL165" s="144">
        <v>0.2</v>
      </c>
      <c r="AM165" s="144">
        <v>0.15</v>
      </c>
      <c r="AN165" s="144">
        <v>0.14605263157894735</v>
      </c>
      <c r="AO165" s="144">
        <v>0.14571428571428571</v>
      </c>
      <c r="AP165" s="144">
        <v>0.14142857142857143</v>
      </c>
      <c r="AQ165" s="144">
        <v>0.14571428571428571</v>
      </c>
      <c r="AR165" s="144">
        <v>0.14571428571428571</v>
      </c>
      <c r="AS165" s="144">
        <v>0.17571428571428571</v>
      </c>
      <c r="AT165" s="144">
        <v>0.13714285714285715</v>
      </c>
      <c r="AU165" s="144">
        <v>0.24571428571428572</v>
      </c>
      <c r="AV165" s="144">
        <v>0.13714285714285715</v>
      </c>
      <c r="AW165" s="144">
        <v>0.15</v>
      </c>
      <c r="AX165" s="144">
        <v>0.18285714285714286</v>
      </c>
      <c r="AY165" s="144">
        <v>0.16973684210526316</v>
      </c>
      <c r="AZ165" s="144">
        <v>0.16973684210526316</v>
      </c>
      <c r="BA165" s="144">
        <v>0.13714285714285715</v>
      </c>
      <c r="BB165" s="144">
        <v>0.14571428571428571</v>
      </c>
      <c r="BC165" s="144">
        <v>0.14142857142857143</v>
      </c>
      <c r="BD165" s="144">
        <v>0.14571428571428571</v>
      </c>
      <c r="BE165" s="144">
        <v>0</v>
      </c>
      <c r="BF165" s="144">
        <v>0</v>
      </c>
      <c r="BG165" s="144">
        <v>0</v>
      </c>
      <c r="BH165" s="144">
        <v>0</v>
      </c>
      <c r="BI165" s="144">
        <v>0</v>
      </c>
      <c r="BJ165" s="144">
        <v>0</v>
      </c>
      <c r="BK165" s="144">
        <v>0</v>
      </c>
      <c r="BL165" s="144">
        <v>0</v>
      </c>
      <c r="BM165" s="144">
        <v>0</v>
      </c>
      <c r="BN165" s="144">
        <v>0</v>
      </c>
      <c r="BO165" s="144">
        <v>0</v>
      </c>
      <c r="BP165" s="144">
        <v>0</v>
      </c>
      <c r="BQ165" s="144">
        <v>0</v>
      </c>
      <c r="BR165" s="144">
        <v>0</v>
      </c>
      <c r="BS165" s="144">
        <v>0</v>
      </c>
      <c r="BT165" s="144">
        <v>0</v>
      </c>
      <c r="BU165" s="144">
        <v>0</v>
      </c>
      <c r="BV165" s="144">
        <v>0</v>
      </c>
      <c r="BW165" s="144">
        <v>0</v>
      </c>
      <c r="BX165" s="144">
        <v>0</v>
      </c>
      <c r="BY165" s="144">
        <v>0</v>
      </c>
      <c r="BZ165" s="144">
        <v>0</v>
      </c>
      <c r="CA165" s="144">
        <v>0</v>
      </c>
      <c r="CB165" s="144">
        <v>0</v>
      </c>
      <c r="CC165" s="144">
        <v>0</v>
      </c>
      <c r="CD165" s="144">
        <v>0</v>
      </c>
      <c r="CE165" s="144">
        <v>0</v>
      </c>
      <c r="CF165" s="144">
        <v>0</v>
      </c>
      <c r="CG165" s="144">
        <v>0</v>
      </c>
      <c r="CH165" s="144">
        <v>0</v>
      </c>
      <c r="CI165" s="144">
        <v>0</v>
      </c>
      <c r="CJ165" s="144">
        <v>0</v>
      </c>
      <c r="CK165" s="144">
        <v>0</v>
      </c>
      <c r="CL165" s="144">
        <v>0</v>
      </c>
      <c r="CM165" s="144">
        <v>0</v>
      </c>
      <c r="CN165" s="144">
        <v>0</v>
      </c>
      <c r="CO165" s="144">
        <v>0</v>
      </c>
      <c r="CP165" s="144">
        <v>0</v>
      </c>
      <c r="CQ165" s="143">
        <v>0</v>
      </c>
      <c r="CR165" s="145">
        <v>0</v>
      </c>
      <c r="CS165" s="145">
        <v>0</v>
      </c>
      <c r="CT165" s="145">
        <v>0</v>
      </c>
      <c r="CU165" s="145">
        <v>0</v>
      </c>
      <c r="CV165" s="145">
        <v>0</v>
      </c>
      <c r="CW165" s="145">
        <v>0</v>
      </c>
      <c r="CX165" s="145">
        <v>0</v>
      </c>
      <c r="CY165" s="145">
        <v>0</v>
      </c>
      <c r="CZ165" s="145">
        <v>0</v>
      </c>
      <c r="DA165" s="145">
        <v>0</v>
      </c>
      <c r="DB165" s="145">
        <v>0</v>
      </c>
      <c r="DC165" s="145">
        <v>0</v>
      </c>
      <c r="DD165" s="145">
        <v>0</v>
      </c>
      <c r="DE165" s="145">
        <v>0</v>
      </c>
      <c r="DF165" s="145">
        <v>0</v>
      </c>
      <c r="DG165" s="145">
        <v>0</v>
      </c>
      <c r="DH165" s="145">
        <v>8317.3860000000004</v>
      </c>
      <c r="DI165" s="145">
        <v>8569.4279999999999</v>
      </c>
      <c r="DJ165" s="145">
        <v>10837.806</v>
      </c>
      <c r="DK165" s="145">
        <v>7813.3020000000006</v>
      </c>
      <c r="DL165" s="145">
        <v>8569.4279999999999</v>
      </c>
      <c r="DM165" s="145">
        <v>8569.4279999999999</v>
      </c>
      <c r="DN165" s="145">
        <v>8317.3860000000004</v>
      </c>
      <c r="DO165" s="145">
        <v>7057.1760000000004</v>
      </c>
      <c r="DP165" s="145">
        <v>11845.974</v>
      </c>
      <c r="DQ165" s="145">
        <v>8065.3439999999991</v>
      </c>
      <c r="DR165" s="145">
        <v>8310.9120000000003</v>
      </c>
      <c r="DS165" s="145">
        <v>9090.06</v>
      </c>
      <c r="DT165" s="145">
        <v>9869.2080000000005</v>
      </c>
      <c r="DU165" s="145">
        <v>9609.4920000000002</v>
      </c>
      <c r="DV165" s="145">
        <v>8830.3439999999991</v>
      </c>
      <c r="DW165" s="145">
        <v>8570.6280000000006</v>
      </c>
      <c r="DX165" s="145">
        <v>8830.3439999999991</v>
      </c>
      <c r="DY165" s="145">
        <v>8830.3439999999991</v>
      </c>
      <c r="DZ165" s="145">
        <v>10648.356000000002</v>
      </c>
      <c r="EA165" s="145">
        <v>6233.1840000000002</v>
      </c>
      <c r="EB165" s="145">
        <v>11167.788</v>
      </c>
      <c r="EC165" s="145">
        <v>8310.9120000000003</v>
      </c>
      <c r="ED165" s="145">
        <v>9358.44</v>
      </c>
      <c r="EE165" s="145">
        <v>8556.2879999999986</v>
      </c>
      <c r="EF165" s="145">
        <v>11497.512000000001</v>
      </c>
      <c r="EG165" s="145">
        <v>11497.512000000001</v>
      </c>
      <c r="EH165" s="145">
        <v>8556.2879999999986</v>
      </c>
      <c r="EI165" s="145">
        <v>9091.0559999999987</v>
      </c>
      <c r="EJ165" s="145">
        <v>8823.6720000000005</v>
      </c>
      <c r="EK165" s="145">
        <v>9091.0559999999987</v>
      </c>
      <c r="EL165" s="145">
        <v>0</v>
      </c>
      <c r="EM165" s="145">
        <v>0</v>
      </c>
      <c r="EN165" s="145">
        <v>0</v>
      </c>
      <c r="EO165" s="145">
        <v>0</v>
      </c>
      <c r="EP165" s="145">
        <v>0</v>
      </c>
      <c r="EQ165" s="145">
        <v>0</v>
      </c>
      <c r="ER165" s="145">
        <v>0</v>
      </c>
      <c r="ES165" s="145">
        <v>0</v>
      </c>
      <c r="ET165" s="145">
        <v>0</v>
      </c>
      <c r="EU165" s="145">
        <v>0</v>
      </c>
      <c r="EV165" s="145">
        <v>0</v>
      </c>
      <c r="EW165" s="145">
        <v>0</v>
      </c>
      <c r="EX165" s="145">
        <v>0</v>
      </c>
      <c r="EY165" s="145">
        <v>0</v>
      </c>
      <c r="EZ165" s="145">
        <v>0</v>
      </c>
      <c r="FA165" s="145">
        <v>0</v>
      </c>
      <c r="FB165" s="145">
        <v>0</v>
      </c>
      <c r="FC165" s="145">
        <v>0</v>
      </c>
      <c r="FD165" s="145">
        <v>0</v>
      </c>
      <c r="FE165" s="145">
        <v>0</v>
      </c>
      <c r="FF165" s="145">
        <v>0</v>
      </c>
      <c r="FG165" s="145">
        <v>0</v>
      </c>
      <c r="FH165" s="145">
        <v>0</v>
      </c>
      <c r="FI165" s="145">
        <v>0</v>
      </c>
      <c r="FJ165" s="145">
        <v>0</v>
      </c>
      <c r="FK165" s="145">
        <v>0</v>
      </c>
      <c r="FL165" s="145">
        <v>0</v>
      </c>
      <c r="FM165" s="145">
        <v>0</v>
      </c>
      <c r="FN165" s="145">
        <v>0</v>
      </c>
      <c r="FO165" s="145">
        <v>0</v>
      </c>
      <c r="FP165" s="145">
        <v>0</v>
      </c>
      <c r="FQ165" s="145">
        <v>0</v>
      </c>
      <c r="FR165" s="145">
        <v>0</v>
      </c>
      <c r="FS165" s="145">
        <v>0</v>
      </c>
      <c r="FT165" s="145">
        <v>0</v>
      </c>
      <c r="FU165" s="145">
        <v>0</v>
      </c>
      <c r="FV165" s="145">
        <v>0</v>
      </c>
      <c r="FW165" s="145">
        <v>0</v>
      </c>
      <c r="FX165" s="143"/>
      <c r="FY165" s="146" t="str">
        <f>_xlfn.XLOOKUP($E165,'Key assumptions'!$B$112:$B$120,'Key assumptions'!$C$112:$C$120,0)</f>
        <v>Nominal</v>
      </c>
      <c r="FZ165" s="146" cm="1">
        <f t="array" ref="FZ165">IF($FY165=0,0,_xlfn.IFS($FY165='Key assumptions'!$C$120,_xlfn.XLOOKUP(LEFT(FZ$7,6),Inflation_Year,Inflation_NominaltoReal),TRUE,_xlfn.XLOOKUP($FY165,Inflation_Year,NominaltoReal)))</f>
        <v>1.0197075870962191</v>
      </c>
      <c r="GA165" s="146" cm="1">
        <f t="array" ref="GA165">IF($FY165=0,0,_xlfn.IFS($FY165='Key assumptions'!$C$120,_xlfn.XLOOKUP(LEFT(GA$7,6),Inflation_Year,Inflation_NominaltoReal),TRUE,_xlfn.XLOOKUP($FY165,Inflation_Year,NominaltoReal)))</f>
        <v>0.98700804022984445</v>
      </c>
      <c r="GB165" s="146" cm="1">
        <f t="array" ref="GB165">IF($FY165=0,0,_xlfn.IFS($FY165='Key assumptions'!$C$120,_xlfn.XLOOKUP(LEFT(GB$7,6),Inflation_Year,Inflation_NominaltoReal),TRUE,_xlfn.XLOOKUP($FY165,Inflation_Year,NominaltoReal)))</f>
        <v>0.96152830081941731</v>
      </c>
      <c r="GC165" s="146" cm="1">
        <f t="array" ref="GC165">IF($FY165=0,0,_xlfn.IFS($FY165='Key assumptions'!$C$120,_xlfn.XLOOKUP(LEFT(GC$7,6),Inflation_Year,Inflation_NominaltoReal),TRUE,_xlfn.XLOOKUP($FY165,Inflation_Year,NominaltoReal)))</f>
        <v>0.93670632415656829</v>
      </c>
      <c r="GD165" s="146" cm="1">
        <f t="array" ref="GD165">IF($FY165=0,0,_xlfn.IFS($FY165='Key assumptions'!$C$120,_xlfn.XLOOKUP(LEFT(GD$7,6),Inflation_Year,Inflation_NominaltoReal),TRUE,_xlfn.XLOOKUP($FY165,Inflation_Year,NominaltoReal)))</f>
        <v>0.91252513001143176</v>
      </c>
      <c r="GE165" s="146" cm="1">
        <f t="array" ref="GE165">IF($FY165=0,0,_xlfn.IFS($FY165='Key assumptions'!$C$120,_xlfn.XLOOKUP(LEFT(GE$7,6),Inflation_Year,Inflation_NominaltoReal),TRUE,_xlfn.XLOOKUP($FY165,Inflation_Year,NominaltoReal)))</f>
        <v>0.88896817650095872</v>
      </c>
      <c r="GF165" s="146" cm="1">
        <f t="array" ref="GF165">IF($FY165=0,0,_xlfn.IFS($FY165='Key assumptions'!$C$120,_xlfn.XLOOKUP(LEFT(GF$7,6),Inflation_Year,Inflation_NominaltoReal),TRUE,_xlfn.XLOOKUP($FY165,Inflation_Year,NominaltoReal)))</f>
        <v>0.86601934877293718</v>
      </c>
      <c r="GG165" s="143"/>
      <c r="GH165" s="145" cm="1">
        <f t="array" ref="GH165">SUMPRODUCT(--($CR$7:$FW$7&gt;=GH$5),--($CR$7:$FW$7&lt;=GH$6),$CR165:$FW165)*FZ165</f>
        <v>44976.599441708422</v>
      </c>
      <c r="GI165" s="145" cm="1">
        <f t="array" ref="GI165">SUMPRODUCT(--($CR$7:$FW$7&gt;=GI$5),--($CR$7:$FW$7&lt;=GI$6),$CR165:$FW165)*GA165</f>
        <v>105576.59418560544</v>
      </c>
      <c r="GJ165" s="145" cm="1">
        <f t="array" ref="GJ165">SUMPRODUCT(--($CR$7:$FW$7&gt;=GJ$5),--($CR$7:$FW$7&lt;=GJ$6),$CR165:$FW165)*GB165</f>
        <v>108240.54080950453</v>
      </c>
      <c r="GK165" s="145" cm="1">
        <f t="array" ref="GK165">SUMPRODUCT(--($CR$7:$FW$7&gt;=GK$5),--($CR$7:$FW$7&lt;=GK$6),$CR165:$FW165)*GC165</f>
        <v>8515.6496484615145</v>
      </c>
      <c r="GL165" s="145" cm="1">
        <f t="array" ref="GL165">SUMPRODUCT(--($CR$7:$FW$7&gt;=GL$5),--($CR$7:$FW$7&lt;=GL$6),$CR165:$FW165)*GD165</f>
        <v>0</v>
      </c>
      <c r="GM165" s="145" cm="1">
        <f t="array" ref="GM165">SUMPRODUCT(--($CR$7:$FW$7&gt;=GM$5),--($CR$7:$FW$7&lt;=GM$6),$CR165:$FW165)*GE165</f>
        <v>0</v>
      </c>
      <c r="GN165" s="145" cm="1">
        <f t="array" ref="GN165">SUMPRODUCT(--($CR$7:$FW$7&gt;=GN$5),--($CR$7:$FW$7&lt;=GN$6),$CR165:$FW165)*GF165</f>
        <v>0</v>
      </c>
      <c r="GO165" s="145">
        <f t="shared" si="46"/>
        <v>267309.38408527989</v>
      </c>
      <c r="GP165" s="87"/>
      <c r="GR165" s="145" cm="1">
        <f t="array" ref="GR165">SUMPRODUCT(--($CR$7:$FW$7&gt;=GR$5),--($CR$7:$FW$7&lt;=GR$6),$CR165:$FW165)</f>
        <v>16886.813999999998</v>
      </c>
      <c r="GT165" s="214" cm="1">
        <f t="array" ref="GT165">--AND(MIN(IF($K165:$CP165&lt;&gt;0,$K$7:$CP$7))&gt;=GT$5,MIN(IF($K165:$CP165&lt;&gt;0,$K$7:$CP$7))&lt;=GT$6)</f>
        <v>1</v>
      </c>
      <c r="GU165" s="214" cm="1">
        <f t="array" ref="GU165">--AND(MIN(IF($K165:$CP165&lt;&gt;0,$K$7:$CP$7))&gt;=GU$5,MIN(IF($K165:$CP165&lt;&gt;0,$K$7:$CP$7))&lt;=GU$6)</f>
        <v>0</v>
      </c>
      <c r="GV165" s="214" cm="1">
        <f t="array" ref="GV165">--AND(MIN(IF($K165:$CP165&lt;&gt;0,$K$7:$CP$7))&gt;=GV$5,MIN(IF($K165:$CP165&lt;&gt;0,$K$7:$CP$7))&lt;=GV$6)</f>
        <v>0</v>
      </c>
      <c r="GW165" s="214" cm="1">
        <f t="array" ref="GW165">--AND(MIN(IF($K165:$CP165&lt;&gt;0,$K$7:$CP$7))&gt;=GW$5,MIN(IF($K165:$CP165&lt;&gt;0,$K$7:$CP$7))&lt;=GW$6)</f>
        <v>0</v>
      </c>
      <c r="GX165" s="214" cm="1">
        <f t="array" ref="GX165">--AND(MIN(IF($K165:$CP165&lt;&gt;0,$K$7:$CP$7))&gt;=GX$5,MIN(IF($K165:$CP165&lt;&gt;0,$K$7:$CP$7))&lt;=GX$6)</f>
        <v>0</v>
      </c>
      <c r="GY165" s="214" cm="1">
        <f t="array" ref="GY165">--AND(MIN(IF($K165:$CP165&lt;&gt;0,$K$7:$CP$7))&gt;=GY$5,MIN(IF($K165:$CP165&lt;&gt;0,$K$7:$CP$7))&lt;=GY$6)</f>
        <v>0</v>
      </c>
      <c r="GZ165" s="214" cm="1">
        <f t="array" ref="GZ165">--AND(MIN(IF($K165:$CP165&lt;&gt;0,$K$7:$CP$7))&gt;=GZ$5,MIN(IF($K165:$CP165&lt;&gt;0,$K$7:$CP$7))&lt;=GZ$6)</f>
        <v>0</v>
      </c>
      <c r="HA165" s="214">
        <f t="shared" si="47"/>
        <v>1</v>
      </c>
      <c r="HC165" s="214" cm="1">
        <f t="array" ref="HC165">--AND(MIN(IF($K165:$CP165&lt;&gt;0,$K$7:$CP$7))&gt;=HC$5,MIN(IF($K165:$CP165&lt;&gt;0,$K$7:$CP$7))&lt;=HC$6)</f>
        <v>1</v>
      </c>
      <c r="HE165" s="147" t="str">
        <f t="shared" si="66"/>
        <v>No</v>
      </c>
      <c r="HF165" s="147" t="str">
        <f t="shared" si="67"/>
        <v>Yes</v>
      </c>
      <c r="HG165" s="147">
        <f>IF($HF165="Yes",0,$H165*avg_hrs*12*'Key assumptions'!$D$87)</f>
        <v>0</v>
      </c>
      <c r="HH165" s="147">
        <f>IF(HE165="Yes",'Key assumptions'!$D$84*HG165,0)</f>
        <v>0</v>
      </c>
      <c r="HI165" s="144">
        <f>IFERROR(AVERAGEIFS($K165:$CP165,$K$7:$CP$7,"&gt;="&amp;'Key assumptions'!$D$24,$K$7:$CP$7,"&lt;="&amp;'Key assumptions'!$D$25),0)</f>
        <v>0.10750000000000001</v>
      </c>
      <c r="HJ165" s="148">
        <f t="shared" si="48"/>
        <v>0</v>
      </c>
      <c r="HK165" s="148">
        <f t="shared" si="49"/>
        <v>0</v>
      </c>
      <c r="HL165" s="148">
        <f t="shared" si="50"/>
        <v>0</v>
      </c>
      <c r="HM165" s="148">
        <f t="shared" si="51"/>
        <v>0</v>
      </c>
      <c r="HN165" s="148">
        <f t="shared" si="52"/>
        <v>0</v>
      </c>
      <c r="HO165" s="148">
        <f t="shared" si="53"/>
        <v>0</v>
      </c>
      <c r="HP165" s="148">
        <f t="shared" si="54"/>
        <v>0</v>
      </c>
      <c r="HQ165" s="148">
        <f t="shared" si="55"/>
        <v>0</v>
      </c>
      <c r="HR165" s="147">
        <f t="shared" si="56"/>
        <v>0</v>
      </c>
      <c r="HU165" s="147">
        <f>$HJ165*HC165/(1+'Key assumptions'!G187)^0.75</f>
        <v>0</v>
      </c>
      <c r="HW165" s="216">
        <f t="shared" si="57"/>
        <v>0.10750000000000001</v>
      </c>
      <c r="HX165" s="216">
        <f t="shared" si="58"/>
        <v>0</v>
      </c>
      <c r="HY165" s="216">
        <f t="shared" si="59"/>
        <v>0</v>
      </c>
      <c r="HZ165" s="216">
        <f t="shared" si="60"/>
        <v>0</v>
      </c>
      <c r="IA165" s="216">
        <f t="shared" si="61"/>
        <v>0</v>
      </c>
      <c r="IB165" s="216">
        <f t="shared" si="62"/>
        <v>0</v>
      </c>
      <c r="IC165" s="216">
        <f t="shared" si="63"/>
        <v>0</v>
      </c>
      <c r="ID165" s="216">
        <f t="shared" si="64"/>
        <v>0.10750000000000001</v>
      </c>
      <c r="IF165" s="216">
        <f t="shared" si="65"/>
        <v>0.10750000000000001</v>
      </c>
    </row>
    <row r="166" spans="2:240" x14ac:dyDescent="0.2">
      <c r="B166" s="141" t="str">
        <v>Land and Environment</v>
      </c>
      <c r="C166" s="141" t="str">
        <v>Environment Officer (Safety and Environmental Delivery)</v>
      </c>
      <c r="D166" s="141" t="str">
        <v>Internal Labour</v>
      </c>
      <c r="E166" s="141" t="str">
        <v>$ Nominal</v>
      </c>
      <c r="F166" s="141" t="str">
        <v>New</v>
      </c>
      <c r="G166" s="141" t="str">
        <v>Normal time</v>
      </c>
      <c r="H166" s="142">
        <v>210.04</v>
      </c>
      <c r="I166" s="126">
        <v>158495.72200000007</v>
      </c>
      <c r="J166" s="143">
        <v>0</v>
      </c>
      <c r="K166" s="144">
        <v>0</v>
      </c>
      <c r="L166" s="144">
        <v>0</v>
      </c>
      <c r="M166" s="144">
        <v>0</v>
      </c>
      <c r="N166" s="144">
        <v>0</v>
      </c>
      <c r="O166" s="144">
        <v>0</v>
      </c>
      <c r="P166" s="144">
        <v>0</v>
      </c>
      <c r="Q166" s="144">
        <v>0</v>
      </c>
      <c r="R166" s="144">
        <v>0</v>
      </c>
      <c r="S166" s="144">
        <v>0</v>
      </c>
      <c r="T166" s="144">
        <v>0</v>
      </c>
      <c r="U166" s="144">
        <v>0</v>
      </c>
      <c r="V166" s="144">
        <v>0</v>
      </c>
      <c r="W166" s="144">
        <v>0</v>
      </c>
      <c r="X166" s="144">
        <v>0</v>
      </c>
      <c r="Y166" s="144">
        <v>0</v>
      </c>
      <c r="Z166" s="144">
        <v>0</v>
      </c>
      <c r="AA166" s="144">
        <v>0.15657894736842107</v>
      </c>
      <c r="AB166" s="144">
        <v>0.16578947368421051</v>
      </c>
      <c r="AC166" s="144">
        <v>0.19</v>
      </c>
      <c r="AD166" s="144">
        <v>0.15</v>
      </c>
      <c r="AE166" s="144">
        <v>0.18</v>
      </c>
      <c r="AF166" s="144">
        <v>0.18</v>
      </c>
      <c r="AG166" s="144">
        <v>0.17</v>
      </c>
      <c r="AH166" s="144">
        <v>0.16</v>
      </c>
      <c r="AI166" s="144">
        <v>0.3066666666666667</v>
      </c>
      <c r="AJ166" s="144">
        <v>0.16</v>
      </c>
      <c r="AK166" s="144">
        <v>0.16</v>
      </c>
      <c r="AL166" s="144">
        <v>0.25333333333333335</v>
      </c>
      <c r="AM166" s="144">
        <v>0.16578947368421051</v>
      </c>
      <c r="AN166" s="144">
        <v>0.15657894736842107</v>
      </c>
      <c r="AO166" s="144">
        <v>0.18</v>
      </c>
      <c r="AP166" s="144">
        <v>0.17</v>
      </c>
      <c r="AQ166" s="144">
        <v>0.18</v>
      </c>
      <c r="AR166" s="144">
        <v>0.18</v>
      </c>
      <c r="AS166" s="144">
        <v>0.17</v>
      </c>
      <c r="AT166" s="144">
        <v>0.21333333333333332</v>
      </c>
      <c r="AU166" s="144">
        <v>0.25333333333333335</v>
      </c>
      <c r="AV166" s="144">
        <v>0.16</v>
      </c>
      <c r="AW166" s="144">
        <v>0.19</v>
      </c>
      <c r="AX166" s="144">
        <v>0.21333333333333332</v>
      </c>
      <c r="AY166" s="144">
        <v>0.17500000000000002</v>
      </c>
      <c r="AZ166" s="144">
        <v>0.17500000000000002</v>
      </c>
      <c r="BA166" s="144">
        <v>0.16</v>
      </c>
      <c r="BB166" s="144">
        <v>0.18</v>
      </c>
      <c r="BC166" s="144">
        <v>0.17</v>
      </c>
      <c r="BD166" s="144">
        <v>0.18</v>
      </c>
      <c r="BE166" s="144">
        <v>0</v>
      </c>
      <c r="BF166" s="144">
        <v>0</v>
      </c>
      <c r="BG166" s="144">
        <v>0</v>
      </c>
      <c r="BH166" s="144">
        <v>0</v>
      </c>
      <c r="BI166" s="144">
        <v>0</v>
      </c>
      <c r="BJ166" s="144">
        <v>0</v>
      </c>
      <c r="BK166" s="144">
        <v>0</v>
      </c>
      <c r="BL166" s="144">
        <v>0</v>
      </c>
      <c r="BM166" s="144">
        <v>0</v>
      </c>
      <c r="BN166" s="144">
        <v>0</v>
      </c>
      <c r="BO166" s="144">
        <v>0</v>
      </c>
      <c r="BP166" s="144">
        <v>0</v>
      </c>
      <c r="BQ166" s="144">
        <v>0</v>
      </c>
      <c r="BR166" s="144">
        <v>0</v>
      </c>
      <c r="BS166" s="144">
        <v>0</v>
      </c>
      <c r="BT166" s="144">
        <v>0</v>
      </c>
      <c r="BU166" s="144">
        <v>0</v>
      </c>
      <c r="BV166" s="144">
        <v>0</v>
      </c>
      <c r="BW166" s="144">
        <v>0</v>
      </c>
      <c r="BX166" s="144">
        <v>0</v>
      </c>
      <c r="BY166" s="144">
        <v>0</v>
      </c>
      <c r="BZ166" s="144">
        <v>0</v>
      </c>
      <c r="CA166" s="144">
        <v>0</v>
      </c>
      <c r="CB166" s="144">
        <v>0</v>
      </c>
      <c r="CC166" s="144">
        <v>0</v>
      </c>
      <c r="CD166" s="144">
        <v>0</v>
      </c>
      <c r="CE166" s="144">
        <v>0</v>
      </c>
      <c r="CF166" s="144">
        <v>0</v>
      </c>
      <c r="CG166" s="144">
        <v>0</v>
      </c>
      <c r="CH166" s="144">
        <v>0</v>
      </c>
      <c r="CI166" s="144">
        <v>0</v>
      </c>
      <c r="CJ166" s="144">
        <v>0</v>
      </c>
      <c r="CK166" s="144">
        <v>0</v>
      </c>
      <c r="CL166" s="144">
        <v>0</v>
      </c>
      <c r="CM166" s="144">
        <v>0</v>
      </c>
      <c r="CN166" s="144">
        <v>0</v>
      </c>
      <c r="CO166" s="144">
        <v>0</v>
      </c>
      <c r="CP166" s="144">
        <v>0</v>
      </c>
      <c r="CQ166" s="143">
        <v>0</v>
      </c>
      <c r="CR166" s="145">
        <v>0</v>
      </c>
      <c r="CS166" s="145">
        <v>0</v>
      </c>
      <c r="CT166" s="145">
        <v>0</v>
      </c>
      <c r="CU166" s="145">
        <v>0</v>
      </c>
      <c r="CV166" s="145">
        <v>0</v>
      </c>
      <c r="CW166" s="145">
        <v>0</v>
      </c>
      <c r="CX166" s="145">
        <v>0</v>
      </c>
      <c r="CY166" s="145">
        <v>0</v>
      </c>
      <c r="CZ166" s="145">
        <v>0</v>
      </c>
      <c r="DA166" s="145">
        <v>0</v>
      </c>
      <c r="DB166" s="145">
        <v>0</v>
      </c>
      <c r="DC166" s="145">
        <v>0</v>
      </c>
      <c r="DD166" s="145">
        <v>0</v>
      </c>
      <c r="DE166" s="145">
        <v>0</v>
      </c>
      <c r="DF166" s="145">
        <v>0</v>
      </c>
      <c r="DG166" s="145">
        <v>0</v>
      </c>
      <c r="DH166" s="145">
        <v>4998.9520000000002</v>
      </c>
      <c r="DI166" s="145">
        <v>5293.0079999999998</v>
      </c>
      <c r="DJ166" s="145">
        <v>5587.0640000000003</v>
      </c>
      <c r="DK166" s="145">
        <v>4410.84</v>
      </c>
      <c r="DL166" s="145">
        <v>5293.0079999999998</v>
      </c>
      <c r="DM166" s="145">
        <v>5293.0079999999998</v>
      </c>
      <c r="DN166" s="145">
        <v>4998.9520000000002</v>
      </c>
      <c r="DO166" s="145">
        <v>3528.672</v>
      </c>
      <c r="DP166" s="145">
        <v>6763.2880000000005</v>
      </c>
      <c r="DQ166" s="145">
        <v>4704.8959999999997</v>
      </c>
      <c r="DR166" s="145">
        <v>4848.0320000000002</v>
      </c>
      <c r="DS166" s="145">
        <v>5757.0380000000005</v>
      </c>
      <c r="DT166" s="145">
        <v>5454.0360000000001</v>
      </c>
      <c r="DU166" s="145">
        <v>5151.0340000000006</v>
      </c>
      <c r="DV166" s="145">
        <v>5454.0360000000001</v>
      </c>
      <c r="DW166" s="145">
        <v>5151.0340000000006</v>
      </c>
      <c r="DX166" s="145">
        <v>5454.0360000000001</v>
      </c>
      <c r="DY166" s="145">
        <v>5454.0360000000001</v>
      </c>
      <c r="DZ166" s="145">
        <v>5151.0340000000006</v>
      </c>
      <c r="EA166" s="145">
        <v>4848.0320000000002</v>
      </c>
      <c r="EB166" s="145">
        <v>5757.0380000000005</v>
      </c>
      <c r="EC166" s="145">
        <v>4848.0320000000002</v>
      </c>
      <c r="ED166" s="145">
        <v>5927.0119999999997</v>
      </c>
      <c r="EE166" s="145">
        <v>4991.1679999999997</v>
      </c>
      <c r="EF166" s="145">
        <v>5927.0119999999997</v>
      </c>
      <c r="EG166" s="145">
        <v>5927.0119999999997</v>
      </c>
      <c r="EH166" s="145">
        <v>4991.1679999999997</v>
      </c>
      <c r="EI166" s="145">
        <v>5615.0639999999994</v>
      </c>
      <c r="EJ166" s="145">
        <v>5303.116</v>
      </c>
      <c r="EK166" s="145">
        <v>5615.0639999999994</v>
      </c>
      <c r="EL166" s="145">
        <v>0</v>
      </c>
      <c r="EM166" s="145">
        <v>0</v>
      </c>
      <c r="EN166" s="145">
        <v>0</v>
      </c>
      <c r="EO166" s="145">
        <v>0</v>
      </c>
      <c r="EP166" s="145">
        <v>0</v>
      </c>
      <c r="EQ166" s="145">
        <v>0</v>
      </c>
      <c r="ER166" s="145">
        <v>0</v>
      </c>
      <c r="ES166" s="145">
        <v>0</v>
      </c>
      <c r="ET166" s="145">
        <v>0</v>
      </c>
      <c r="EU166" s="145">
        <v>0</v>
      </c>
      <c r="EV166" s="145">
        <v>0</v>
      </c>
      <c r="EW166" s="145">
        <v>0</v>
      </c>
      <c r="EX166" s="145">
        <v>0</v>
      </c>
      <c r="EY166" s="145">
        <v>0</v>
      </c>
      <c r="EZ166" s="145">
        <v>0</v>
      </c>
      <c r="FA166" s="145">
        <v>0</v>
      </c>
      <c r="FB166" s="145">
        <v>0</v>
      </c>
      <c r="FC166" s="145">
        <v>0</v>
      </c>
      <c r="FD166" s="145">
        <v>0</v>
      </c>
      <c r="FE166" s="145">
        <v>0</v>
      </c>
      <c r="FF166" s="145">
        <v>0</v>
      </c>
      <c r="FG166" s="145">
        <v>0</v>
      </c>
      <c r="FH166" s="145">
        <v>0</v>
      </c>
      <c r="FI166" s="145">
        <v>0</v>
      </c>
      <c r="FJ166" s="145">
        <v>0</v>
      </c>
      <c r="FK166" s="145">
        <v>0</v>
      </c>
      <c r="FL166" s="145">
        <v>0</v>
      </c>
      <c r="FM166" s="145">
        <v>0</v>
      </c>
      <c r="FN166" s="145">
        <v>0</v>
      </c>
      <c r="FO166" s="145">
        <v>0</v>
      </c>
      <c r="FP166" s="145">
        <v>0</v>
      </c>
      <c r="FQ166" s="145">
        <v>0</v>
      </c>
      <c r="FR166" s="145">
        <v>0</v>
      </c>
      <c r="FS166" s="145">
        <v>0</v>
      </c>
      <c r="FT166" s="145">
        <v>0</v>
      </c>
      <c r="FU166" s="145">
        <v>0</v>
      </c>
      <c r="FV166" s="145">
        <v>0</v>
      </c>
      <c r="FW166" s="145">
        <v>0</v>
      </c>
      <c r="FX166" s="143"/>
      <c r="FY166" s="146" t="str">
        <f>_xlfn.XLOOKUP($E166,'Key assumptions'!$B$112:$B$120,'Key assumptions'!$C$112:$C$120,0)</f>
        <v>Nominal</v>
      </c>
      <c r="FZ166" s="146" cm="1">
        <f t="array" ref="FZ166">IF($FY166=0,0,_xlfn.IFS($FY166='Key assumptions'!$C$120,_xlfn.XLOOKUP(LEFT(FZ$7,6),Inflation_Year,Inflation_NominaltoReal),TRUE,_xlfn.XLOOKUP($FY166,Inflation_Year,NominaltoReal)))</f>
        <v>1.0197075870962191</v>
      </c>
      <c r="GA166" s="146" cm="1">
        <f t="array" ref="GA166">IF($FY166=0,0,_xlfn.IFS($FY166='Key assumptions'!$C$120,_xlfn.XLOOKUP(LEFT(GA$7,6),Inflation_Year,Inflation_NominaltoReal),TRUE,_xlfn.XLOOKUP($FY166,Inflation_Year,NominaltoReal)))</f>
        <v>0.98700804022984445</v>
      </c>
      <c r="GB166" s="146" cm="1">
        <f t="array" ref="GB166">IF($FY166=0,0,_xlfn.IFS($FY166='Key assumptions'!$C$120,_xlfn.XLOOKUP(LEFT(GB$7,6),Inflation_Year,Inflation_NominaltoReal),TRUE,_xlfn.XLOOKUP($FY166,Inflation_Year,NominaltoReal)))</f>
        <v>0.96152830081941731</v>
      </c>
      <c r="GC166" s="146" cm="1">
        <f t="array" ref="GC166">IF($FY166=0,0,_xlfn.IFS($FY166='Key assumptions'!$C$120,_xlfn.XLOOKUP(LEFT(GC$7,6),Inflation_Year,Inflation_NominaltoReal),TRUE,_xlfn.XLOOKUP($FY166,Inflation_Year,NominaltoReal)))</f>
        <v>0.93670632415656829</v>
      </c>
      <c r="GD166" s="146" cm="1">
        <f t="array" ref="GD166">IF($FY166=0,0,_xlfn.IFS($FY166='Key assumptions'!$C$120,_xlfn.XLOOKUP(LEFT(GD$7,6),Inflation_Year,Inflation_NominaltoReal),TRUE,_xlfn.XLOOKUP($FY166,Inflation_Year,NominaltoReal)))</f>
        <v>0.91252513001143176</v>
      </c>
      <c r="GE166" s="146" cm="1">
        <f t="array" ref="GE166">IF($FY166=0,0,_xlfn.IFS($FY166='Key assumptions'!$C$120,_xlfn.XLOOKUP(LEFT(GE$7,6),Inflation_Year,Inflation_NominaltoReal),TRUE,_xlfn.XLOOKUP($FY166,Inflation_Year,NominaltoReal)))</f>
        <v>0.88896817650095872</v>
      </c>
      <c r="GF166" s="146" cm="1">
        <f t="array" ref="GF166">IF($FY166=0,0,_xlfn.IFS($FY166='Key assumptions'!$C$120,_xlfn.XLOOKUP(LEFT(GF$7,6),Inflation_Year,Inflation_NominaltoReal),TRUE,_xlfn.XLOOKUP($FY166,Inflation_Year,NominaltoReal)))</f>
        <v>0.86601934877293718</v>
      </c>
      <c r="GG166" s="143"/>
      <c r="GH166" s="145" cm="1">
        <f t="array" ref="GH166">SUMPRODUCT(--($CR$7:$FW$7&gt;=GH$5),--($CR$7:$FW$7&lt;=GH$6),$CR166:$FW166)*FZ166</f>
        <v>26087.048678111427</v>
      </c>
      <c r="GI166" s="145" cm="1">
        <f t="array" ref="GI166">SUMPRODUCT(--($CR$7:$FW$7&gt;=GI$5),--($CR$7:$FW$7&lt;=GI$6),$CR166:$FW166)*GA166</f>
        <v>61745.310175197104</v>
      </c>
      <c r="GJ166" s="145" cm="1">
        <f t="array" ref="GJ166">SUMPRODUCT(--($CR$7:$FW$7&gt;=GJ$5),--($CR$7:$FW$7&lt;=GJ$6),$CR166:$FW166)*GB166</f>
        <v>62249.076813238054</v>
      </c>
      <c r="GK166" s="145" cm="1">
        <f t="array" ref="GK166">SUMPRODUCT(--($CR$7:$FW$7&gt;=GK$5),--($CR$7:$FW$7&lt;=GK$6),$CR166:$FW166)*GC166</f>
        <v>5259.6659593438762</v>
      </c>
      <c r="GL166" s="145" cm="1">
        <f t="array" ref="GL166">SUMPRODUCT(--($CR$7:$FW$7&gt;=GL$5),--($CR$7:$FW$7&lt;=GL$6),$CR166:$FW166)*GD166</f>
        <v>0</v>
      </c>
      <c r="GM166" s="145" cm="1">
        <f t="array" ref="GM166">SUMPRODUCT(--($CR$7:$FW$7&gt;=GM$5),--($CR$7:$FW$7&lt;=GM$6),$CR166:$FW166)*GE166</f>
        <v>0</v>
      </c>
      <c r="GN166" s="145" cm="1">
        <f t="array" ref="GN166">SUMPRODUCT(--($CR$7:$FW$7&gt;=GN$5),--($CR$7:$FW$7&lt;=GN$6),$CR166:$FW166)*GF166</f>
        <v>0</v>
      </c>
      <c r="GO166" s="145">
        <f t="shared" si="46"/>
        <v>155341.10162589044</v>
      </c>
      <c r="GP166" s="87"/>
      <c r="GR166" s="145" cm="1">
        <f t="array" ref="GR166">SUMPRODUCT(--($CR$7:$FW$7&gt;=GR$5),--($CR$7:$FW$7&lt;=GR$6),$CR166:$FW166)</f>
        <v>10291.959999999999</v>
      </c>
      <c r="GT166" s="214" cm="1">
        <f t="array" ref="GT166">--AND(MIN(IF($K166:$CP166&lt;&gt;0,$K$7:$CP$7))&gt;=GT$5,MIN(IF($K166:$CP166&lt;&gt;0,$K$7:$CP$7))&lt;=GT$6)</f>
        <v>1</v>
      </c>
      <c r="GU166" s="214" cm="1">
        <f t="array" ref="GU166">--AND(MIN(IF($K166:$CP166&lt;&gt;0,$K$7:$CP$7))&gt;=GU$5,MIN(IF($K166:$CP166&lt;&gt;0,$K$7:$CP$7))&lt;=GU$6)</f>
        <v>0</v>
      </c>
      <c r="GV166" s="214" cm="1">
        <f t="array" ref="GV166">--AND(MIN(IF($K166:$CP166&lt;&gt;0,$K$7:$CP$7))&gt;=GV$5,MIN(IF($K166:$CP166&lt;&gt;0,$K$7:$CP$7))&lt;=GV$6)</f>
        <v>0</v>
      </c>
      <c r="GW166" s="214" cm="1">
        <f t="array" ref="GW166">--AND(MIN(IF($K166:$CP166&lt;&gt;0,$K$7:$CP$7))&gt;=GW$5,MIN(IF($K166:$CP166&lt;&gt;0,$K$7:$CP$7))&lt;=GW$6)</f>
        <v>0</v>
      </c>
      <c r="GX166" s="214" cm="1">
        <f t="array" ref="GX166">--AND(MIN(IF($K166:$CP166&lt;&gt;0,$K$7:$CP$7))&gt;=GX$5,MIN(IF($K166:$CP166&lt;&gt;0,$K$7:$CP$7))&lt;=GX$6)</f>
        <v>0</v>
      </c>
      <c r="GY166" s="214" cm="1">
        <f t="array" ref="GY166">--AND(MIN(IF($K166:$CP166&lt;&gt;0,$K$7:$CP$7))&gt;=GY$5,MIN(IF($K166:$CP166&lt;&gt;0,$K$7:$CP$7))&lt;=GY$6)</f>
        <v>0</v>
      </c>
      <c r="GZ166" s="214" cm="1">
        <f t="array" ref="GZ166">--AND(MIN(IF($K166:$CP166&lt;&gt;0,$K$7:$CP$7))&gt;=GZ$5,MIN(IF($K166:$CP166&lt;&gt;0,$K$7:$CP$7))&lt;=GZ$6)</f>
        <v>0</v>
      </c>
      <c r="HA166" s="214">
        <f t="shared" si="47"/>
        <v>1</v>
      </c>
      <c r="HC166" s="214" cm="1">
        <f t="array" ref="HC166">--AND(MIN(IF($K166:$CP166&lt;&gt;0,$K$7:$CP$7))&gt;=HC$5,MIN(IF($K166:$CP166&lt;&gt;0,$K$7:$CP$7))&lt;=HC$6)</f>
        <v>1</v>
      </c>
      <c r="HE166" s="147" t="str">
        <f t="shared" si="66"/>
        <v>Yes</v>
      </c>
      <c r="HF166" s="147" t="str">
        <f t="shared" si="67"/>
        <v>No</v>
      </c>
      <c r="HG166" s="147">
        <f>IF($HF166="Yes",0,$H166*avg_hrs*12*'Key assumptions'!$D$87)</f>
        <v>375608.02275576669</v>
      </c>
      <c r="HH166" s="147">
        <f>IF(HE166="Yes",'Key assumptions'!$D$84*HG166,0)</f>
        <v>56341.203413365001</v>
      </c>
      <c r="HI166" s="144">
        <f>IFERROR(AVERAGEIFS($K166:$CP166,$K$7:$CP$7,"&gt;="&amp;'Key assumptions'!$D$24,$K$7:$CP$7,"&lt;="&amp;'Key assumptions'!$D$25),0)</f>
        <v>0.12510765550239233</v>
      </c>
      <c r="HJ166" s="148">
        <f t="shared" si="48"/>
        <v>7048.71586722948</v>
      </c>
      <c r="HK166" s="148">
        <f t="shared" si="49"/>
        <v>7048.71586722948</v>
      </c>
      <c r="HL166" s="148">
        <f t="shared" si="50"/>
        <v>0</v>
      </c>
      <c r="HM166" s="148">
        <f t="shared" si="51"/>
        <v>0</v>
      </c>
      <c r="HN166" s="148">
        <f t="shared" si="52"/>
        <v>0</v>
      </c>
      <c r="HO166" s="148">
        <f t="shared" si="53"/>
        <v>0</v>
      </c>
      <c r="HP166" s="148">
        <f t="shared" si="54"/>
        <v>0</v>
      </c>
      <c r="HQ166" s="148">
        <f t="shared" si="55"/>
        <v>0</v>
      </c>
      <c r="HR166" s="147">
        <f t="shared" si="56"/>
        <v>7048.71586722948</v>
      </c>
      <c r="HU166" s="147">
        <f>$HJ166*HC166/(1+'Key assumptions'!G188)^0.75</f>
        <v>7048.71586722948</v>
      </c>
      <c r="HW166" s="216">
        <f t="shared" si="57"/>
        <v>0.12510765550239233</v>
      </c>
      <c r="HX166" s="216">
        <f t="shared" si="58"/>
        <v>0</v>
      </c>
      <c r="HY166" s="216">
        <f t="shared" si="59"/>
        <v>0</v>
      </c>
      <c r="HZ166" s="216">
        <f t="shared" si="60"/>
        <v>0</v>
      </c>
      <c r="IA166" s="216">
        <f t="shared" si="61"/>
        <v>0</v>
      </c>
      <c r="IB166" s="216">
        <f t="shared" si="62"/>
        <v>0</v>
      </c>
      <c r="IC166" s="216">
        <f t="shared" si="63"/>
        <v>0</v>
      </c>
      <c r="ID166" s="216">
        <f t="shared" si="64"/>
        <v>0.12510765550239233</v>
      </c>
      <c r="IF166" s="216">
        <f t="shared" si="65"/>
        <v>0.12510765550239233</v>
      </c>
    </row>
    <row r="167" spans="2:240" x14ac:dyDescent="0.2">
      <c r="B167" s="141" t="str">
        <v>Land and Environment</v>
      </c>
      <c r="C167" s="141" t="str">
        <v>Environment Officer (Safety and Environmental Delivery)</v>
      </c>
      <c r="D167" s="141" t="str">
        <v>Internal Labour</v>
      </c>
      <c r="E167" s="141" t="str">
        <v>$ Nominal</v>
      </c>
      <c r="F167" s="141">
        <v>0</v>
      </c>
      <c r="G167" s="141" t="str">
        <v>Overtime</v>
      </c>
      <c r="H167" s="142">
        <v>210.04</v>
      </c>
      <c r="I167" s="126">
        <v>272736.054</v>
      </c>
      <c r="J167" s="143">
        <v>0</v>
      </c>
      <c r="K167" s="144">
        <v>0</v>
      </c>
      <c r="L167" s="144">
        <v>0</v>
      </c>
      <c r="M167" s="144">
        <v>0</v>
      </c>
      <c r="N167" s="144">
        <v>0</v>
      </c>
      <c r="O167" s="144">
        <v>0</v>
      </c>
      <c r="P167" s="144">
        <v>0</v>
      </c>
      <c r="Q167" s="144">
        <v>0</v>
      </c>
      <c r="R167" s="144">
        <v>0</v>
      </c>
      <c r="S167" s="144">
        <v>0</v>
      </c>
      <c r="T167" s="144">
        <v>0</v>
      </c>
      <c r="U167" s="144">
        <v>0</v>
      </c>
      <c r="V167" s="144">
        <v>0</v>
      </c>
      <c r="W167" s="144">
        <v>0</v>
      </c>
      <c r="X167" s="144">
        <v>0</v>
      </c>
      <c r="Y167" s="144">
        <v>0</v>
      </c>
      <c r="Z167" s="144">
        <v>0</v>
      </c>
      <c r="AA167" s="144">
        <v>0.13026315789473686</v>
      </c>
      <c r="AB167" s="144">
        <v>0.13421052631578947</v>
      </c>
      <c r="AC167" s="144">
        <v>0.1842857142857143</v>
      </c>
      <c r="AD167" s="144">
        <v>0.13285714285714287</v>
      </c>
      <c r="AE167" s="144">
        <v>0.14571428571428571</v>
      </c>
      <c r="AF167" s="144">
        <v>0.14571428571428571</v>
      </c>
      <c r="AG167" s="144">
        <v>0.14142857142857143</v>
      </c>
      <c r="AH167" s="144">
        <v>0.16</v>
      </c>
      <c r="AI167" s="144">
        <v>0.26857142857142857</v>
      </c>
      <c r="AJ167" s="144">
        <v>0.13714285714285715</v>
      </c>
      <c r="AK167" s="144">
        <v>0.13714285714285715</v>
      </c>
      <c r="AL167" s="144">
        <v>0.2</v>
      </c>
      <c r="AM167" s="144">
        <v>0.15</v>
      </c>
      <c r="AN167" s="144">
        <v>0.14605263157894735</v>
      </c>
      <c r="AO167" s="144">
        <v>0.14571428571428571</v>
      </c>
      <c r="AP167" s="144">
        <v>0.14142857142857143</v>
      </c>
      <c r="AQ167" s="144">
        <v>0.14571428571428571</v>
      </c>
      <c r="AR167" s="144">
        <v>0.14571428571428571</v>
      </c>
      <c r="AS167" s="144">
        <v>0.17571428571428571</v>
      </c>
      <c r="AT167" s="144">
        <v>0.13714285714285715</v>
      </c>
      <c r="AU167" s="144">
        <v>0.24571428571428572</v>
      </c>
      <c r="AV167" s="144">
        <v>0.13714285714285715</v>
      </c>
      <c r="AW167" s="144">
        <v>0.15</v>
      </c>
      <c r="AX167" s="144">
        <v>0.18285714285714286</v>
      </c>
      <c r="AY167" s="144">
        <v>0.16973684210526316</v>
      </c>
      <c r="AZ167" s="144">
        <v>0.16973684210526316</v>
      </c>
      <c r="BA167" s="144">
        <v>0.13714285714285715</v>
      </c>
      <c r="BB167" s="144">
        <v>0.14571428571428571</v>
      </c>
      <c r="BC167" s="144">
        <v>0.14142857142857143</v>
      </c>
      <c r="BD167" s="144">
        <v>0.14571428571428571</v>
      </c>
      <c r="BE167" s="144">
        <v>0</v>
      </c>
      <c r="BF167" s="144">
        <v>0</v>
      </c>
      <c r="BG167" s="144">
        <v>0</v>
      </c>
      <c r="BH167" s="144">
        <v>0</v>
      </c>
      <c r="BI167" s="144">
        <v>0</v>
      </c>
      <c r="BJ167" s="144">
        <v>0</v>
      </c>
      <c r="BK167" s="144">
        <v>0</v>
      </c>
      <c r="BL167" s="144">
        <v>0</v>
      </c>
      <c r="BM167" s="144">
        <v>0</v>
      </c>
      <c r="BN167" s="144">
        <v>0</v>
      </c>
      <c r="BO167" s="144">
        <v>0</v>
      </c>
      <c r="BP167" s="144">
        <v>0</v>
      </c>
      <c r="BQ167" s="144">
        <v>0</v>
      </c>
      <c r="BR167" s="144">
        <v>0</v>
      </c>
      <c r="BS167" s="144">
        <v>0</v>
      </c>
      <c r="BT167" s="144">
        <v>0</v>
      </c>
      <c r="BU167" s="144">
        <v>0</v>
      </c>
      <c r="BV167" s="144">
        <v>0</v>
      </c>
      <c r="BW167" s="144">
        <v>0</v>
      </c>
      <c r="BX167" s="144">
        <v>0</v>
      </c>
      <c r="BY167" s="144">
        <v>0</v>
      </c>
      <c r="BZ167" s="144">
        <v>0</v>
      </c>
      <c r="CA167" s="144">
        <v>0</v>
      </c>
      <c r="CB167" s="144">
        <v>0</v>
      </c>
      <c r="CC167" s="144">
        <v>0</v>
      </c>
      <c r="CD167" s="144">
        <v>0</v>
      </c>
      <c r="CE167" s="144">
        <v>0</v>
      </c>
      <c r="CF167" s="144">
        <v>0</v>
      </c>
      <c r="CG167" s="144">
        <v>0</v>
      </c>
      <c r="CH167" s="144">
        <v>0</v>
      </c>
      <c r="CI167" s="144">
        <v>0</v>
      </c>
      <c r="CJ167" s="144">
        <v>0</v>
      </c>
      <c r="CK167" s="144">
        <v>0</v>
      </c>
      <c r="CL167" s="144">
        <v>0</v>
      </c>
      <c r="CM167" s="144">
        <v>0</v>
      </c>
      <c r="CN167" s="144">
        <v>0</v>
      </c>
      <c r="CO167" s="144">
        <v>0</v>
      </c>
      <c r="CP167" s="144">
        <v>0</v>
      </c>
      <c r="CQ167" s="143">
        <v>0</v>
      </c>
      <c r="CR167" s="145">
        <v>0</v>
      </c>
      <c r="CS167" s="145">
        <v>0</v>
      </c>
      <c r="CT167" s="145">
        <v>0</v>
      </c>
      <c r="CU167" s="145">
        <v>0</v>
      </c>
      <c r="CV167" s="145">
        <v>0</v>
      </c>
      <c r="CW167" s="145">
        <v>0</v>
      </c>
      <c r="CX167" s="145">
        <v>0</v>
      </c>
      <c r="CY167" s="145">
        <v>0</v>
      </c>
      <c r="CZ167" s="145">
        <v>0</v>
      </c>
      <c r="DA167" s="145">
        <v>0</v>
      </c>
      <c r="DB167" s="145">
        <v>0</v>
      </c>
      <c r="DC167" s="145">
        <v>0</v>
      </c>
      <c r="DD167" s="145">
        <v>0</v>
      </c>
      <c r="DE167" s="145">
        <v>0</v>
      </c>
      <c r="DF167" s="145">
        <v>0</v>
      </c>
      <c r="DG167" s="145">
        <v>0</v>
      </c>
      <c r="DH167" s="145">
        <v>8317.3860000000004</v>
      </c>
      <c r="DI167" s="145">
        <v>8569.4279999999999</v>
      </c>
      <c r="DJ167" s="145">
        <v>10837.806</v>
      </c>
      <c r="DK167" s="145">
        <v>7813.3020000000006</v>
      </c>
      <c r="DL167" s="145">
        <v>8569.4279999999999</v>
      </c>
      <c r="DM167" s="145">
        <v>8569.4279999999999</v>
      </c>
      <c r="DN167" s="145">
        <v>8317.3860000000004</v>
      </c>
      <c r="DO167" s="145">
        <v>7057.1760000000004</v>
      </c>
      <c r="DP167" s="145">
        <v>11845.974</v>
      </c>
      <c r="DQ167" s="145">
        <v>8065.3439999999991</v>
      </c>
      <c r="DR167" s="145">
        <v>8310.9120000000003</v>
      </c>
      <c r="DS167" s="145">
        <v>9090.06</v>
      </c>
      <c r="DT167" s="145">
        <v>9869.2080000000005</v>
      </c>
      <c r="DU167" s="145">
        <v>9609.4920000000002</v>
      </c>
      <c r="DV167" s="145">
        <v>8830.3439999999991</v>
      </c>
      <c r="DW167" s="145">
        <v>8570.6280000000006</v>
      </c>
      <c r="DX167" s="145">
        <v>8830.3439999999991</v>
      </c>
      <c r="DY167" s="145">
        <v>8830.3439999999991</v>
      </c>
      <c r="DZ167" s="145">
        <v>10648.356000000002</v>
      </c>
      <c r="EA167" s="145">
        <v>6233.1840000000002</v>
      </c>
      <c r="EB167" s="145">
        <v>11167.788</v>
      </c>
      <c r="EC167" s="145">
        <v>8310.9120000000003</v>
      </c>
      <c r="ED167" s="145">
        <v>9358.44</v>
      </c>
      <c r="EE167" s="145">
        <v>8556.2879999999986</v>
      </c>
      <c r="EF167" s="145">
        <v>11497.512000000001</v>
      </c>
      <c r="EG167" s="145">
        <v>11497.512000000001</v>
      </c>
      <c r="EH167" s="145">
        <v>8556.2879999999986</v>
      </c>
      <c r="EI167" s="145">
        <v>9091.0559999999987</v>
      </c>
      <c r="EJ167" s="145">
        <v>8823.6720000000005</v>
      </c>
      <c r="EK167" s="145">
        <v>9091.0559999999987</v>
      </c>
      <c r="EL167" s="145">
        <v>0</v>
      </c>
      <c r="EM167" s="145">
        <v>0</v>
      </c>
      <c r="EN167" s="145">
        <v>0</v>
      </c>
      <c r="EO167" s="145">
        <v>0</v>
      </c>
      <c r="EP167" s="145">
        <v>0</v>
      </c>
      <c r="EQ167" s="145">
        <v>0</v>
      </c>
      <c r="ER167" s="145">
        <v>0</v>
      </c>
      <c r="ES167" s="145">
        <v>0</v>
      </c>
      <c r="ET167" s="145">
        <v>0</v>
      </c>
      <c r="EU167" s="145">
        <v>0</v>
      </c>
      <c r="EV167" s="145">
        <v>0</v>
      </c>
      <c r="EW167" s="145">
        <v>0</v>
      </c>
      <c r="EX167" s="145">
        <v>0</v>
      </c>
      <c r="EY167" s="145">
        <v>0</v>
      </c>
      <c r="EZ167" s="145">
        <v>0</v>
      </c>
      <c r="FA167" s="145">
        <v>0</v>
      </c>
      <c r="FB167" s="145">
        <v>0</v>
      </c>
      <c r="FC167" s="145">
        <v>0</v>
      </c>
      <c r="FD167" s="145">
        <v>0</v>
      </c>
      <c r="FE167" s="145">
        <v>0</v>
      </c>
      <c r="FF167" s="145">
        <v>0</v>
      </c>
      <c r="FG167" s="145">
        <v>0</v>
      </c>
      <c r="FH167" s="145">
        <v>0</v>
      </c>
      <c r="FI167" s="145">
        <v>0</v>
      </c>
      <c r="FJ167" s="145">
        <v>0</v>
      </c>
      <c r="FK167" s="145">
        <v>0</v>
      </c>
      <c r="FL167" s="145">
        <v>0</v>
      </c>
      <c r="FM167" s="145">
        <v>0</v>
      </c>
      <c r="FN167" s="145">
        <v>0</v>
      </c>
      <c r="FO167" s="145">
        <v>0</v>
      </c>
      <c r="FP167" s="145">
        <v>0</v>
      </c>
      <c r="FQ167" s="145">
        <v>0</v>
      </c>
      <c r="FR167" s="145">
        <v>0</v>
      </c>
      <c r="FS167" s="145">
        <v>0</v>
      </c>
      <c r="FT167" s="145">
        <v>0</v>
      </c>
      <c r="FU167" s="145">
        <v>0</v>
      </c>
      <c r="FV167" s="145">
        <v>0</v>
      </c>
      <c r="FW167" s="145">
        <v>0</v>
      </c>
      <c r="FX167" s="143"/>
      <c r="FY167" s="146" t="str">
        <f>_xlfn.XLOOKUP($E167,'Key assumptions'!$B$112:$B$120,'Key assumptions'!$C$112:$C$120,0)</f>
        <v>Nominal</v>
      </c>
      <c r="FZ167" s="146" cm="1">
        <f t="array" ref="FZ167">IF($FY167=0,0,_xlfn.IFS($FY167='Key assumptions'!$C$120,_xlfn.XLOOKUP(LEFT(FZ$7,6),Inflation_Year,Inflation_NominaltoReal),TRUE,_xlfn.XLOOKUP($FY167,Inflation_Year,NominaltoReal)))</f>
        <v>1.0197075870962191</v>
      </c>
      <c r="GA167" s="146" cm="1">
        <f t="array" ref="GA167">IF($FY167=0,0,_xlfn.IFS($FY167='Key assumptions'!$C$120,_xlfn.XLOOKUP(LEFT(GA$7,6),Inflation_Year,Inflation_NominaltoReal),TRUE,_xlfn.XLOOKUP($FY167,Inflation_Year,NominaltoReal)))</f>
        <v>0.98700804022984445</v>
      </c>
      <c r="GB167" s="146" cm="1">
        <f t="array" ref="GB167">IF($FY167=0,0,_xlfn.IFS($FY167='Key assumptions'!$C$120,_xlfn.XLOOKUP(LEFT(GB$7,6),Inflation_Year,Inflation_NominaltoReal),TRUE,_xlfn.XLOOKUP($FY167,Inflation_Year,NominaltoReal)))</f>
        <v>0.96152830081941731</v>
      </c>
      <c r="GC167" s="146" cm="1">
        <f t="array" ref="GC167">IF($FY167=0,0,_xlfn.IFS($FY167='Key assumptions'!$C$120,_xlfn.XLOOKUP(LEFT(GC$7,6),Inflation_Year,Inflation_NominaltoReal),TRUE,_xlfn.XLOOKUP($FY167,Inflation_Year,NominaltoReal)))</f>
        <v>0.93670632415656829</v>
      </c>
      <c r="GD167" s="146" cm="1">
        <f t="array" ref="GD167">IF($FY167=0,0,_xlfn.IFS($FY167='Key assumptions'!$C$120,_xlfn.XLOOKUP(LEFT(GD$7,6),Inflation_Year,Inflation_NominaltoReal),TRUE,_xlfn.XLOOKUP($FY167,Inflation_Year,NominaltoReal)))</f>
        <v>0.91252513001143176</v>
      </c>
      <c r="GE167" s="146" cm="1">
        <f t="array" ref="GE167">IF($FY167=0,0,_xlfn.IFS($FY167='Key assumptions'!$C$120,_xlfn.XLOOKUP(LEFT(GE$7,6),Inflation_Year,Inflation_NominaltoReal),TRUE,_xlfn.XLOOKUP($FY167,Inflation_Year,NominaltoReal)))</f>
        <v>0.88896817650095872</v>
      </c>
      <c r="GF167" s="146" cm="1">
        <f t="array" ref="GF167">IF($FY167=0,0,_xlfn.IFS($FY167='Key assumptions'!$C$120,_xlfn.XLOOKUP(LEFT(GF$7,6),Inflation_Year,Inflation_NominaltoReal),TRUE,_xlfn.XLOOKUP($FY167,Inflation_Year,NominaltoReal)))</f>
        <v>0.86601934877293718</v>
      </c>
      <c r="GG167" s="143"/>
      <c r="GH167" s="145" cm="1">
        <f t="array" ref="GH167">SUMPRODUCT(--($CR$7:$FW$7&gt;=GH$5),--($CR$7:$FW$7&lt;=GH$6),$CR167:$FW167)*FZ167</f>
        <v>44976.599441708422</v>
      </c>
      <c r="GI167" s="145" cm="1">
        <f t="array" ref="GI167">SUMPRODUCT(--($CR$7:$FW$7&gt;=GI$5),--($CR$7:$FW$7&lt;=GI$6),$CR167:$FW167)*GA167</f>
        <v>105576.59418560544</v>
      </c>
      <c r="GJ167" s="145" cm="1">
        <f t="array" ref="GJ167">SUMPRODUCT(--($CR$7:$FW$7&gt;=GJ$5),--($CR$7:$FW$7&lt;=GJ$6),$CR167:$FW167)*GB167</f>
        <v>108240.54080950453</v>
      </c>
      <c r="GK167" s="145" cm="1">
        <f t="array" ref="GK167">SUMPRODUCT(--($CR$7:$FW$7&gt;=GK$5),--($CR$7:$FW$7&lt;=GK$6),$CR167:$FW167)*GC167</f>
        <v>8515.6496484615145</v>
      </c>
      <c r="GL167" s="145" cm="1">
        <f t="array" ref="GL167">SUMPRODUCT(--($CR$7:$FW$7&gt;=GL$5),--($CR$7:$FW$7&lt;=GL$6),$CR167:$FW167)*GD167</f>
        <v>0</v>
      </c>
      <c r="GM167" s="145" cm="1">
        <f t="array" ref="GM167">SUMPRODUCT(--($CR$7:$FW$7&gt;=GM$5),--($CR$7:$FW$7&lt;=GM$6),$CR167:$FW167)*GE167</f>
        <v>0</v>
      </c>
      <c r="GN167" s="145" cm="1">
        <f t="array" ref="GN167">SUMPRODUCT(--($CR$7:$FW$7&gt;=GN$5),--($CR$7:$FW$7&lt;=GN$6),$CR167:$FW167)*GF167</f>
        <v>0</v>
      </c>
      <c r="GO167" s="145">
        <f t="shared" si="46"/>
        <v>267309.38408527989</v>
      </c>
      <c r="GP167" s="87"/>
      <c r="GR167" s="145" cm="1">
        <f t="array" ref="GR167">SUMPRODUCT(--($CR$7:$FW$7&gt;=GR$5),--($CR$7:$FW$7&lt;=GR$6),$CR167:$FW167)</f>
        <v>16886.813999999998</v>
      </c>
      <c r="GT167" s="214" cm="1">
        <f t="array" ref="GT167">--AND(MIN(IF($K167:$CP167&lt;&gt;0,$K$7:$CP$7))&gt;=GT$5,MIN(IF($K167:$CP167&lt;&gt;0,$K$7:$CP$7))&lt;=GT$6)</f>
        <v>1</v>
      </c>
      <c r="GU167" s="214" cm="1">
        <f t="array" ref="GU167">--AND(MIN(IF($K167:$CP167&lt;&gt;0,$K$7:$CP$7))&gt;=GU$5,MIN(IF($K167:$CP167&lt;&gt;0,$K$7:$CP$7))&lt;=GU$6)</f>
        <v>0</v>
      </c>
      <c r="GV167" s="214" cm="1">
        <f t="array" ref="GV167">--AND(MIN(IF($K167:$CP167&lt;&gt;0,$K$7:$CP$7))&gt;=GV$5,MIN(IF($K167:$CP167&lt;&gt;0,$K$7:$CP$7))&lt;=GV$6)</f>
        <v>0</v>
      </c>
      <c r="GW167" s="214" cm="1">
        <f t="array" ref="GW167">--AND(MIN(IF($K167:$CP167&lt;&gt;0,$K$7:$CP$7))&gt;=GW$5,MIN(IF($K167:$CP167&lt;&gt;0,$K$7:$CP$7))&lt;=GW$6)</f>
        <v>0</v>
      </c>
      <c r="GX167" s="214" cm="1">
        <f t="array" ref="GX167">--AND(MIN(IF($K167:$CP167&lt;&gt;0,$K$7:$CP$7))&gt;=GX$5,MIN(IF($K167:$CP167&lt;&gt;0,$K$7:$CP$7))&lt;=GX$6)</f>
        <v>0</v>
      </c>
      <c r="GY167" s="214" cm="1">
        <f t="array" ref="GY167">--AND(MIN(IF($K167:$CP167&lt;&gt;0,$K$7:$CP$7))&gt;=GY$5,MIN(IF($K167:$CP167&lt;&gt;0,$K$7:$CP$7))&lt;=GY$6)</f>
        <v>0</v>
      </c>
      <c r="GZ167" s="214" cm="1">
        <f t="array" ref="GZ167">--AND(MIN(IF($K167:$CP167&lt;&gt;0,$K$7:$CP$7))&gt;=GZ$5,MIN(IF($K167:$CP167&lt;&gt;0,$K$7:$CP$7))&lt;=GZ$6)</f>
        <v>0</v>
      </c>
      <c r="HA167" s="214">
        <f t="shared" si="47"/>
        <v>1</v>
      </c>
      <c r="HC167" s="214" cm="1">
        <f t="array" ref="HC167">--AND(MIN(IF($K167:$CP167&lt;&gt;0,$K$7:$CP$7))&gt;=HC$5,MIN(IF($K167:$CP167&lt;&gt;0,$K$7:$CP$7))&lt;=HC$6)</f>
        <v>1</v>
      </c>
      <c r="HE167" s="147" t="str">
        <f t="shared" si="66"/>
        <v>No</v>
      </c>
      <c r="HF167" s="147" t="str">
        <f t="shared" si="67"/>
        <v>Yes</v>
      </c>
      <c r="HG167" s="147">
        <f>IF($HF167="Yes",0,$H167*avg_hrs*12*'Key assumptions'!$D$87)</f>
        <v>0</v>
      </c>
      <c r="HH167" s="147">
        <f>IF(HE167="Yes",'Key assumptions'!$D$84*HG167,0)</f>
        <v>0</v>
      </c>
      <c r="HI167" s="144">
        <f>IFERROR(AVERAGEIFS($K167:$CP167,$K$7:$CP$7,"&gt;="&amp;'Key assumptions'!$D$24,$K$7:$CP$7,"&lt;="&amp;'Key assumptions'!$D$25),0)</f>
        <v>0.10750000000000001</v>
      </c>
      <c r="HJ167" s="148">
        <f t="shared" si="48"/>
        <v>0</v>
      </c>
      <c r="HK167" s="148">
        <f t="shared" si="49"/>
        <v>0</v>
      </c>
      <c r="HL167" s="148">
        <f t="shared" si="50"/>
        <v>0</v>
      </c>
      <c r="HM167" s="148">
        <f t="shared" si="51"/>
        <v>0</v>
      </c>
      <c r="HN167" s="148">
        <f t="shared" si="52"/>
        <v>0</v>
      </c>
      <c r="HO167" s="148">
        <f t="shared" si="53"/>
        <v>0</v>
      </c>
      <c r="HP167" s="148">
        <f t="shared" si="54"/>
        <v>0</v>
      </c>
      <c r="HQ167" s="148">
        <f t="shared" si="55"/>
        <v>0</v>
      </c>
      <c r="HR167" s="147">
        <f t="shared" si="56"/>
        <v>0</v>
      </c>
      <c r="HU167" s="147">
        <f>$HJ167*HC167/(1+'Key assumptions'!G189)^0.75</f>
        <v>0</v>
      </c>
      <c r="HW167" s="216">
        <f t="shared" si="57"/>
        <v>0.10750000000000001</v>
      </c>
      <c r="HX167" s="216">
        <f t="shared" si="58"/>
        <v>0</v>
      </c>
      <c r="HY167" s="216">
        <f t="shared" si="59"/>
        <v>0</v>
      </c>
      <c r="HZ167" s="216">
        <f t="shared" si="60"/>
        <v>0</v>
      </c>
      <c r="IA167" s="216">
        <f t="shared" si="61"/>
        <v>0</v>
      </c>
      <c r="IB167" s="216">
        <f t="shared" si="62"/>
        <v>0</v>
      </c>
      <c r="IC167" s="216">
        <f t="shared" si="63"/>
        <v>0</v>
      </c>
      <c r="ID167" s="216">
        <f t="shared" si="64"/>
        <v>0.10750000000000001</v>
      </c>
      <c r="IF167" s="216">
        <f t="shared" si="65"/>
        <v>0.10750000000000001</v>
      </c>
    </row>
    <row r="168" spans="2:240" x14ac:dyDescent="0.2">
      <c r="B168" s="141" t="str">
        <v>Project Delivery Management - Commissioning</v>
      </c>
      <c r="C168" s="141" t="str">
        <v>Commissioning Engineer (Construction)</v>
      </c>
      <c r="D168" s="141" t="str">
        <v>Internal Labour</v>
      </c>
      <c r="E168" s="141" t="str">
        <v>$ Nominal</v>
      </c>
      <c r="F168" s="141" t="str">
        <v>Existing</v>
      </c>
      <c r="G168" s="141" t="str">
        <v>Normal time</v>
      </c>
      <c r="H168" s="142">
        <v>210.04</v>
      </c>
      <c r="I168" s="126">
        <v>85684.62000000001</v>
      </c>
      <c r="J168" s="143">
        <v>0</v>
      </c>
      <c r="K168" s="144">
        <v>0</v>
      </c>
      <c r="L168" s="144">
        <v>0</v>
      </c>
      <c r="M168" s="144">
        <v>0</v>
      </c>
      <c r="N168" s="144">
        <v>0</v>
      </c>
      <c r="O168" s="144">
        <v>0</v>
      </c>
      <c r="P168" s="144">
        <v>0</v>
      </c>
      <c r="Q168" s="144">
        <v>0</v>
      </c>
      <c r="R168" s="144">
        <v>0</v>
      </c>
      <c r="S168" s="144">
        <v>0</v>
      </c>
      <c r="T168" s="144">
        <v>0</v>
      </c>
      <c r="U168" s="144">
        <v>0</v>
      </c>
      <c r="V168" s="144">
        <v>0</v>
      </c>
      <c r="W168" s="144">
        <v>0</v>
      </c>
      <c r="X168" s="144">
        <v>0</v>
      </c>
      <c r="Y168" s="144">
        <v>0</v>
      </c>
      <c r="Z168" s="144">
        <v>0</v>
      </c>
      <c r="AA168" s="144">
        <v>0</v>
      </c>
      <c r="AB168" s="144">
        <v>0</v>
      </c>
      <c r="AC168" s="144">
        <v>0</v>
      </c>
      <c r="AD168" s="144">
        <v>0</v>
      </c>
      <c r="AE168" s="144">
        <v>0</v>
      </c>
      <c r="AF168" s="144">
        <v>0.5</v>
      </c>
      <c r="AG168" s="144">
        <v>0.25</v>
      </c>
      <c r="AH168" s="144">
        <v>0</v>
      </c>
      <c r="AI168" s="144">
        <v>0</v>
      </c>
      <c r="AJ168" s="144">
        <v>0</v>
      </c>
      <c r="AK168" s="144">
        <v>0</v>
      </c>
      <c r="AL168" s="144">
        <v>0</v>
      </c>
      <c r="AM168" s="144">
        <v>0</v>
      </c>
      <c r="AN168" s="144">
        <v>0</v>
      </c>
      <c r="AO168" s="144">
        <v>0</v>
      </c>
      <c r="AP168" s="144">
        <v>0</v>
      </c>
      <c r="AQ168" s="144">
        <v>0</v>
      </c>
      <c r="AR168" s="144">
        <v>1.1000000000000001</v>
      </c>
      <c r="AS168" s="144">
        <v>0</v>
      </c>
      <c r="AT168" s="144">
        <v>0</v>
      </c>
      <c r="AU168" s="144">
        <v>0.66666666666666663</v>
      </c>
      <c r="AV168" s="144">
        <v>0.5</v>
      </c>
      <c r="AW168" s="144">
        <v>0</v>
      </c>
      <c r="AX168" s="144">
        <v>0</v>
      </c>
      <c r="AY168" s="144">
        <v>0</v>
      </c>
      <c r="AZ168" s="144">
        <v>0</v>
      </c>
      <c r="BA168" s="144">
        <v>0</v>
      </c>
      <c r="BB168" s="144">
        <v>0</v>
      </c>
      <c r="BC168" s="144">
        <v>0</v>
      </c>
      <c r="BD168" s="144">
        <v>0</v>
      </c>
      <c r="BE168" s="144">
        <v>0</v>
      </c>
      <c r="BF168" s="144">
        <v>0</v>
      </c>
      <c r="BG168" s="144">
        <v>0</v>
      </c>
      <c r="BH168" s="144">
        <v>0</v>
      </c>
      <c r="BI168" s="144">
        <v>0</v>
      </c>
      <c r="BJ168" s="144">
        <v>0</v>
      </c>
      <c r="BK168" s="144">
        <v>0</v>
      </c>
      <c r="BL168" s="144">
        <v>0</v>
      </c>
      <c r="BM168" s="144">
        <v>0</v>
      </c>
      <c r="BN168" s="144">
        <v>0</v>
      </c>
      <c r="BO168" s="144">
        <v>0</v>
      </c>
      <c r="BP168" s="144">
        <v>0</v>
      </c>
      <c r="BQ168" s="144">
        <v>0</v>
      </c>
      <c r="BR168" s="144">
        <v>0</v>
      </c>
      <c r="BS168" s="144">
        <v>0</v>
      </c>
      <c r="BT168" s="144">
        <v>0</v>
      </c>
      <c r="BU168" s="144">
        <v>0</v>
      </c>
      <c r="BV168" s="144">
        <v>0</v>
      </c>
      <c r="BW168" s="144">
        <v>0</v>
      </c>
      <c r="BX168" s="144">
        <v>0</v>
      </c>
      <c r="BY168" s="144">
        <v>0</v>
      </c>
      <c r="BZ168" s="144">
        <v>0</v>
      </c>
      <c r="CA168" s="144">
        <v>0</v>
      </c>
      <c r="CB168" s="144">
        <v>0</v>
      </c>
      <c r="CC168" s="144">
        <v>0</v>
      </c>
      <c r="CD168" s="144">
        <v>0</v>
      </c>
      <c r="CE168" s="144">
        <v>0</v>
      </c>
      <c r="CF168" s="144">
        <v>0</v>
      </c>
      <c r="CG168" s="144">
        <v>0</v>
      </c>
      <c r="CH168" s="144">
        <v>0</v>
      </c>
      <c r="CI168" s="144">
        <v>0</v>
      </c>
      <c r="CJ168" s="144">
        <v>0</v>
      </c>
      <c r="CK168" s="144">
        <v>0</v>
      </c>
      <c r="CL168" s="144">
        <v>0</v>
      </c>
      <c r="CM168" s="144">
        <v>0</v>
      </c>
      <c r="CN168" s="144">
        <v>0</v>
      </c>
      <c r="CO168" s="144">
        <v>0</v>
      </c>
      <c r="CP168" s="144">
        <v>0</v>
      </c>
      <c r="CQ168" s="143">
        <v>0</v>
      </c>
      <c r="CR168" s="145">
        <v>0</v>
      </c>
      <c r="CS168" s="145">
        <v>0</v>
      </c>
      <c r="CT168" s="145">
        <v>0</v>
      </c>
      <c r="CU168" s="145">
        <v>0</v>
      </c>
      <c r="CV168" s="145">
        <v>0</v>
      </c>
      <c r="CW168" s="145">
        <v>0</v>
      </c>
      <c r="CX168" s="145">
        <v>0</v>
      </c>
      <c r="CY168" s="145">
        <v>0</v>
      </c>
      <c r="CZ168" s="145">
        <v>0</v>
      </c>
      <c r="DA168" s="145">
        <v>0</v>
      </c>
      <c r="DB168" s="145">
        <v>0</v>
      </c>
      <c r="DC168" s="145">
        <v>0</v>
      </c>
      <c r="DD168" s="145">
        <v>0</v>
      </c>
      <c r="DE168" s="145">
        <v>0</v>
      </c>
      <c r="DF168" s="145">
        <v>0</v>
      </c>
      <c r="DG168" s="145">
        <v>0</v>
      </c>
      <c r="DH168" s="145">
        <v>0</v>
      </c>
      <c r="DI168" s="145">
        <v>0</v>
      </c>
      <c r="DJ168" s="145">
        <v>0</v>
      </c>
      <c r="DK168" s="145">
        <v>0</v>
      </c>
      <c r="DL168" s="145">
        <v>0</v>
      </c>
      <c r="DM168" s="145">
        <v>14702.8</v>
      </c>
      <c r="DN168" s="145">
        <v>7351.4</v>
      </c>
      <c r="DO168" s="145">
        <v>0</v>
      </c>
      <c r="DP168" s="145">
        <v>0</v>
      </c>
      <c r="DQ168" s="145">
        <v>0</v>
      </c>
      <c r="DR168" s="145">
        <v>0</v>
      </c>
      <c r="DS168" s="145">
        <v>0</v>
      </c>
      <c r="DT168" s="145">
        <v>0</v>
      </c>
      <c r="DU168" s="145">
        <v>0</v>
      </c>
      <c r="DV168" s="145">
        <v>0</v>
      </c>
      <c r="DW168" s="145">
        <v>0</v>
      </c>
      <c r="DX168" s="145">
        <v>0</v>
      </c>
      <c r="DY168" s="145">
        <v>33330.22</v>
      </c>
      <c r="DZ168" s="145">
        <v>0</v>
      </c>
      <c r="EA168" s="145">
        <v>0</v>
      </c>
      <c r="EB168" s="145">
        <v>15150.1</v>
      </c>
      <c r="EC168" s="145">
        <v>15150.1</v>
      </c>
      <c r="ED168" s="145">
        <v>0</v>
      </c>
      <c r="EE168" s="145">
        <v>0</v>
      </c>
      <c r="EF168" s="145">
        <v>0</v>
      </c>
      <c r="EG168" s="145">
        <v>0</v>
      </c>
      <c r="EH168" s="145">
        <v>0</v>
      </c>
      <c r="EI168" s="145">
        <v>0</v>
      </c>
      <c r="EJ168" s="145">
        <v>0</v>
      </c>
      <c r="EK168" s="145">
        <v>0</v>
      </c>
      <c r="EL168" s="145">
        <v>0</v>
      </c>
      <c r="EM168" s="145">
        <v>0</v>
      </c>
      <c r="EN168" s="145">
        <v>0</v>
      </c>
      <c r="EO168" s="145">
        <v>0</v>
      </c>
      <c r="EP168" s="145">
        <v>0</v>
      </c>
      <c r="EQ168" s="145">
        <v>0</v>
      </c>
      <c r="ER168" s="145">
        <v>0</v>
      </c>
      <c r="ES168" s="145">
        <v>0</v>
      </c>
      <c r="ET168" s="145">
        <v>0</v>
      </c>
      <c r="EU168" s="145">
        <v>0</v>
      </c>
      <c r="EV168" s="145">
        <v>0</v>
      </c>
      <c r="EW168" s="145">
        <v>0</v>
      </c>
      <c r="EX168" s="145">
        <v>0</v>
      </c>
      <c r="EY168" s="145">
        <v>0</v>
      </c>
      <c r="EZ168" s="145">
        <v>0</v>
      </c>
      <c r="FA168" s="145">
        <v>0</v>
      </c>
      <c r="FB168" s="145">
        <v>0</v>
      </c>
      <c r="FC168" s="145">
        <v>0</v>
      </c>
      <c r="FD168" s="145">
        <v>0</v>
      </c>
      <c r="FE168" s="145">
        <v>0</v>
      </c>
      <c r="FF168" s="145">
        <v>0</v>
      </c>
      <c r="FG168" s="145">
        <v>0</v>
      </c>
      <c r="FH168" s="145">
        <v>0</v>
      </c>
      <c r="FI168" s="145">
        <v>0</v>
      </c>
      <c r="FJ168" s="145">
        <v>0</v>
      </c>
      <c r="FK168" s="145">
        <v>0</v>
      </c>
      <c r="FL168" s="145">
        <v>0</v>
      </c>
      <c r="FM168" s="145">
        <v>0</v>
      </c>
      <c r="FN168" s="145">
        <v>0</v>
      </c>
      <c r="FO168" s="145">
        <v>0</v>
      </c>
      <c r="FP168" s="145">
        <v>0</v>
      </c>
      <c r="FQ168" s="145">
        <v>0</v>
      </c>
      <c r="FR168" s="145">
        <v>0</v>
      </c>
      <c r="FS168" s="145">
        <v>0</v>
      </c>
      <c r="FT168" s="145">
        <v>0</v>
      </c>
      <c r="FU168" s="145">
        <v>0</v>
      </c>
      <c r="FV168" s="145">
        <v>0</v>
      </c>
      <c r="FW168" s="145">
        <v>0</v>
      </c>
      <c r="FX168" s="143"/>
      <c r="FY168" s="146" t="str">
        <f>_xlfn.XLOOKUP($E168,'Key assumptions'!$B$112:$B$120,'Key assumptions'!$C$112:$C$120,0)</f>
        <v>Nominal</v>
      </c>
      <c r="FZ168" s="146" cm="1">
        <f t="array" ref="FZ168">IF($FY168=0,0,_xlfn.IFS($FY168='Key assumptions'!$C$120,_xlfn.XLOOKUP(LEFT(FZ$7,6),Inflation_Year,Inflation_NominaltoReal),TRUE,_xlfn.XLOOKUP($FY168,Inflation_Year,NominaltoReal)))</f>
        <v>1.0197075870962191</v>
      </c>
      <c r="GA168" s="146" cm="1">
        <f t="array" ref="GA168">IF($FY168=0,0,_xlfn.IFS($FY168='Key assumptions'!$C$120,_xlfn.XLOOKUP(LEFT(GA$7,6),Inflation_Year,Inflation_NominaltoReal),TRUE,_xlfn.XLOOKUP($FY168,Inflation_Year,NominaltoReal)))</f>
        <v>0.98700804022984445</v>
      </c>
      <c r="GB168" s="146" cm="1">
        <f t="array" ref="GB168">IF($FY168=0,0,_xlfn.IFS($FY168='Key assumptions'!$C$120,_xlfn.XLOOKUP(LEFT(GB$7,6),Inflation_Year,Inflation_NominaltoReal),TRUE,_xlfn.XLOOKUP($FY168,Inflation_Year,NominaltoReal)))</f>
        <v>0.96152830081941731</v>
      </c>
      <c r="GC168" s="146" cm="1">
        <f t="array" ref="GC168">IF($FY168=0,0,_xlfn.IFS($FY168='Key assumptions'!$C$120,_xlfn.XLOOKUP(LEFT(GC$7,6),Inflation_Year,Inflation_NominaltoReal),TRUE,_xlfn.XLOOKUP($FY168,Inflation_Year,NominaltoReal)))</f>
        <v>0.93670632415656829</v>
      </c>
      <c r="GD168" s="146" cm="1">
        <f t="array" ref="GD168">IF($FY168=0,0,_xlfn.IFS($FY168='Key assumptions'!$C$120,_xlfn.XLOOKUP(LEFT(GD$7,6),Inflation_Year,Inflation_NominaltoReal),TRUE,_xlfn.XLOOKUP($FY168,Inflation_Year,NominaltoReal)))</f>
        <v>0.91252513001143176</v>
      </c>
      <c r="GE168" s="146" cm="1">
        <f t="array" ref="GE168">IF($FY168=0,0,_xlfn.IFS($FY168='Key assumptions'!$C$120,_xlfn.XLOOKUP(LEFT(GE$7,6),Inflation_Year,Inflation_NominaltoReal),TRUE,_xlfn.XLOOKUP($FY168,Inflation_Year,NominaltoReal)))</f>
        <v>0.88896817650095872</v>
      </c>
      <c r="GF168" s="146" cm="1">
        <f t="array" ref="GF168">IF($FY168=0,0,_xlfn.IFS($FY168='Key assumptions'!$C$120,_xlfn.XLOOKUP(LEFT(GF$7,6),Inflation_Year,Inflation_NominaltoReal),TRUE,_xlfn.XLOOKUP($FY168,Inflation_Year,NominaltoReal)))</f>
        <v>0.86601934877293718</v>
      </c>
      <c r="GG168" s="143"/>
      <c r="GH168" s="145" cm="1">
        <f t="array" ref="GH168">SUMPRODUCT(--($CR$7:$FW$7&gt;=GH$5),--($CR$7:$FW$7&lt;=GH$6),$CR168:$FW168)*FZ168</f>
        <v>0</v>
      </c>
      <c r="GI168" s="145" cm="1">
        <f t="array" ref="GI168">SUMPRODUCT(--($CR$7:$FW$7&gt;=GI$5),--($CR$7:$FW$7&lt;=GI$6),$CR168:$FW168)*GA168</f>
        <v>21767.672720837032</v>
      </c>
      <c r="GJ168" s="145" cm="1">
        <f t="array" ref="GJ168">SUMPRODUCT(--($CR$7:$FW$7&gt;=GJ$5),--($CR$7:$FW$7&lt;=GJ$6),$CR168:$FW168)*GB168</f>
        <v>61182.449623025866</v>
      </c>
      <c r="GK168" s="145" cm="1">
        <f t="array" ref="GK168">SUMPRODUCT(--($CR$7:$FW$7&gt;=GK$5),--($CR$7:$FW$7&lt;=GK$6),$CR168:$FW168)*GC168</f>
        <v>0</v>
      </c>
      <c r="GL168" s="145" cm="1">
        <f t="array" ref="GL168">SUMPRODUCT(--($CR$7:$FW$7&gt;=GL$5),--($CR$7:$FW$7&lt;=GL$6),$CR168:$FW168)*GD168</f>
        <v>0</v>
      </c>
      <c r="GM168" s="145" cm="1">
        <f t="array" ref="GM168">SUMPRODUCT(--($CR$7:$FW$7&gt;=GM$5),--($CR$7:$FW$7&lt;=GM$6),$CR168:$FW168)*GE168</f>
        <v>0</v>
      </c>
      <c r="GN168" s="145" cm="1">
        <f t="array" ref="GN168">SUMPRODUCT(--($CR$7:$FW$7&gt;=GN$5),--($CR$7:$FW$7&lt;=GN$6),$CR168:$FW168)*GF168</f>
        <v>0</v>
      </c>
      <c r="GO168" s="145">
        <f t="shared" si="46"/>
        <v>82950.122343862895</v>
      </c>
      <c r="GP168" s="87"/>
      <c r="GR168" s="145" cm="1">
        <f t="array" ref="GR168">SUMPRODUCT(--($CR$7:$FW$7&gt;=GR$5),--($CR$7:$FW$7&lt;=GR$6),$CR168:$FW168)</f>
        <v>0</v>
      </c>
      <c r="GT168" s="214" cm="1">
        <f t="array" ref="GT168">--AND(MIN(IF($K168:$CP168&lt;&gt;0,$K$7:$CP$7))&gt;=GT$5,MIN(IF($K168:$CP168&lt;&gt;0,$K$7:$CP$7))&lt;=GT$6)</f>
        <v>0</v>
      </c>
      <c r="GU168" s="214" cm="1">
        <f t="array" ref="GU168">--AND(MIN(IF($K168:$CP168&lt;&gt;0,$K$7:$CP$7))&gt;=GU$5,MIN(IF($K168:$CP168&lt;&gt;0,$K$7:$CP$7))&lt;=GU$6)</f>
        <v>1</v>
      </c>
      <c r="GV168" s="214" cm="1">
        <f t="array" ref="GV168">--AND(MIN(IF($K168:$CP168&lt;&gt;0,$K$7:$CP$7))&gt;=GV$5,MIN(IF($K168:$CP168&lt;&gt;0,$K$7:$CP$7))&lt;=GV$6)</f>
        <v>0</v>
      </c>
      <c r="GW168" s="214" cm="1">
        <f t="array" ref="GW168">--AND(MIN(IF($K168:$CP168&lt;&gt;0,$K$7:$CP$7))&gt;=GW$5,MIN(IF($K168:$CP168&lt;&gt;0,$K$7:$CP$7))&lt;=GW$6)</f>
        <v>0</v>
      </c>
      <c r="GX168" s="214" cm="1">
        <f t="array" ref="GX168">--AND(MIN(IF($K168:$CP168&lt;&gt;0,$K$7:$CP$7))&gt;=GX$5,MIN(IF($K168:$CP168&lt;&gt;0,$K$7:$CP$7))&lt;=GX$6)</f>
        <v>0</v>
      </c>
      <c r="GY168" s="214" cm="1">
        <f t="array" ref="GY168">--AND(MIN(IF($K168:$CP168&lt;&gt;0,$K$7:$CP$7))&gt;=GY$5,MIN(IF($K168:$CP168&lt;&gt;0,$K$7:$CP$7))&lt;=GY$6)</f>
        <v>0</v>
      </c>
      <c r="GZ168" s="214" cm="1">
        <f t="array" ref="GZ168">--AND(MIN(IF($K168:$CP168&lt;&gt;0,$K$7:$CP$7))&gt;=GZ$5,MIN(IF($K168:$CP168&lt;&gt;0,$K$7:$CP$7))&lt;=GZ$6)</f>
        <v>0</v>
      </c>
      <c r="HA168" s="214">
        <f t="shared" si="47"/>
        <v>1</v>
      </c>
      <c r="HC168" s="214" cm="1">
        <f t="array" ref="HC168">--AND(MIN(IF($K168:$CP168&lt;&gt;0,$K$7:$CP$7))&gt;=HC$5,MIN(IF($K168:$CP168&lt;&gt;0,$K$7:$CP$7))&lt;=HC$6)</f>
        <v>0</v>
      </c>
      <c r="HE168" s="147" t="str">
        <f t="shared" si="66"/>
        <v>No</v>
      </c>
      <c r="HF168" s="147" t="str">
        <f t="shared" si="67"/>
        <v>No</v>
      </c>
      <c r="HG168" s="147">
        <f>IF($HF168="Yes",0,$H168*avg_hrs*12*'Key assumptions'!$D$87)</f>
        <v>375608.02275576669</v>
      </c>
      <c r="HH168" s="147">
        <f>IF(HE168="Yes",'Key assumptions'!$D$84*HG168,0)</f>
        <v>0</v>
      </c>
      <c r="HI168" s="144">
        <f>IFERROR(AVERAGEIFS($K168:$CP168,$K$7:$CP$7,"&gt;="&amp;'Key assumptions'!$D$24,$K$7:$CP$7,"&lt;="&amp;'Key assumptions'!$D$25),0)</f>
        <v>6.8560606060606058E-2</v>
      </c>
      <c r="HJ168" s="148">
        <f t="shared" ref="HJ168:HJ199" si="68">HH168*HI168</f>
        <v>0</v>
      </c>
      <c r="HK168" s="148">
        <f t="shared" si="49"/>
        <v>0</v>
      </c>
      <c r="HL168" s="148">
        <f t="shared" si="50"/>
        <v>0</v>
      </c>
      <c r="HM168" s="148">
        <f t="shared" si="51"/>
        <v>0</v>
      </c>
      <c r="HN168" s="148">
        <f t="shared" si="52"/>
        <v>0</v>
      </c>
      <c r="HO168" s="148">
        <f t="shared" si="53"/>
        <v>0</v>
      </c>
      <c r="HP168" s="148">
        <f t="shared" si="54"/>
        <v>0</v>
      </c>
      <c r="HQ168" s="148">
        <f t="shared" si="55"/>
        <v>0</v>
      </c>
      <c r="HR168" s="147">
        <f t="shared" si="56"/>
        <v>0</v>
      </c>
      <c r="HU168" s="147">
        <f>$HJ168*HC168/(1+'Key assumptions'!G190)^0.75</f>
        <v>0</v>
      </c>
      <c r="HW168" s="216">
        <f t="shared" si="57"/>
        <v>0</v>
      </c>
      <c r="HX168" s="216">
        <f t="shared" si="58"/>
        <v>6.8560606060606058E-2</v>
      </c>
      <c r="HY168" s="216">
        <f t="shared" si="59"/>
        <v>0</v>
      </c>
      <c r="HZ168" s="216">
        <f t="shared" si="60"/>
        <v>0</v>
      </c>
      <c r="IA168" s="216">
        <f t="shared" si="61"/>
        <v>0</v>
      </c>
      <c r="IB168" s="216">
        <f t="shared" si="62"/>
        <v>0</v>
      </c>
      <c r="IC168" s="216">
        <f t="shared" si="63"/>
        <v>0</v>
      </c>
      <c r="ID168" s="216">
        <f t="shared" si="64"/>
        <v>6.8560606060606058E-2</v>
      </c>
      <c r="IF168" s="216">
        <f t="shared" si="65"/>
        <v>0</v>
      </c>
    </row>
    <row r="169" spans="2:240" x14ac:dyDescent="0.2">
      <c r="B169" s="141" t="str">
        <v>Project Delivery Management - Commissioning</v>
      </c>
      <c r="C169" s="141" t="str">
        <v>Commissioning Engineer (Construction)</v>
      </c>
      <c r="D169" s="141" t="str">
        <v>Internal Labour</v>
      </c>
      <c r="E169" s="141" t="str">
        <v>$ Nominal</v>
      </c>
      <c r="F169" s="141">
        <v>0</v>
      </c>
      <c r="G169" s="141" t="str">
        <v>Overtime</v>
      </c>
      <c r="H169" s="142">
        <v>210.04</v>
      </c>
      <c r="I169" s="126">
        <v>64417.400000000009</v>
      </c>
      <c r="J169" s="143">
        <v>0</v>
      </c>
      <c r="K169" s="144">
        <v>0</v>
      </c>
      <c r="L169" s="144">
        <v>0</v>
      </c>
      <c r="M169" s="144">
        <v>0</v>
      </c>
      <c r="N169" s="144">
        <v>0</v>
      </c>
      <c r="O169" s="144">
        <v>0</v>
      </c>
      <c r="P169" s="144">
        <v>0</v>
      </c>
      <c r="Q169" s="144">
        <v>0</v>
      </c>
      <c r="R169" s="144">
        <v>0</v>
      </c>
      <c r="S169" s="144">
        <v>0</v>
      </c>
      <c r="T169" s="144">
        <v>0</v>
      </c>
      <c r="U169" s="144">
        <v>0</v>
      </c>
      <c r="V169" s="144">
        <v>0</v>
      </c>
      <c r="W169" s="144">
        <v>0</v>
      </c>
      <c r="X169" s="144">
        <v>0</v>
      </c>
      <c r="Y169" s="144">
        <v>0</v>
      </c>
      <c r="Z169" s="144">
        <v>0</v>
      </c>
      <c r="AA169" s="144">
        <v>0</v>
      </c>
      <c r="AB169" s="144">
        <v>0</v>
      </c>
      <c r="AC169" s="144">
        <v>0</v>
      </c>
      <c r="AD169" s="144">
        <v>0</v>
      </c>
      <c r="AE169" s="144">
        <v>0</v>
      </c>
      <c r="AF169" s="144">
        <v>0.21428571428571427</v>
      </c>
      <c r="AG169" s="144">
        <v>7.1428571428571425E-2</v>
      </c>
      <c r="AH169" s="144">
        <v>0</v>
      </c>
      <c r="AI169" s="144">
        <v>0</v>
      </c>
      <c r="AJ169" s="144">
        <v>0</v>
      </c>
      <c r="AK169" s="144">
        <v>0</v>
      </c>
      <c r="AL169" s="144">
        <v>0</v>
      </c>
      <c r="AM169" s="144">
        <v>0</v>
      </c>
      <c r="AN169" s="144">
        <v>0</v>
      </c>
      <c r="AO169" s="144">
        <v>0</v>
      </c>
      <c r="AP169" s="144">
        <v>0</v>
      </c>
      <c r="AQ169" s="144">
        <v>0</v>
      </c>
      <c r="AR169" s="144">
        <v>0.35714285714285715</v>
      </c>
      <c r="AS169" s="144">
        <v>0</v>
      </c>
      <c r="AT169" s="144">
        <v>0</v>
      </c>
      <c r="AU169" s="144">
        <v>0.2857142857142857</v>
      </c>
      <c r="AV169" s="144">
        <v>0.21428571428571427</v>
      </c>
      <c r="AW169" s="144">
        <v>0</v>
      </c>
      <c r="AX169" s="144">
        <v>0</v>
      </c>
      <c r="AY169" s="144">
        <v>0</v>
      </c>
      <c r="AZ169" s="144">
        <v>0</v>
      </c>
      <c r="BA169" s="144">
        <v>0</v>
      </c>
      <c r="BB169" s="144">
        <v>0</v>
      </c>
      <c r="BC169" s="144">
        <v>0</v>
      </c>
      <c r="BD169" s="144">
        <v>0</v>
      </c>
      <c r="BE169" s="144">
        <v>0</v>
      </c>
      <c r="BF169" s="144">
        <v>0</v>
      </c>
      <c r="BG169" s="144">
        <v>0</v>
      </c>
      <c r="BH169" s="144">
        <v>0</v>
      </c>
      <c r="BI169" s="144">
        <v>0</v>
      </c>
      <c r="BJ169" s="144">
        <v>0</v>
      </c>
      <c r="BK169" s="144">
        <v>0</v>
      </c>
      <c r="BL169" s="144">
        <v>0</v>
      </c>
      <c r="BM169" s="144">
        <v>0</v>
      </c>
      <c r="BN169" s="144">
        <v>0</v>
      </c>
      <c r="BO169" s="144">
        <v>0</v>
      </c>
      <c r="BP169" s="144">
        <v>0</v>
      </c>
      <c r="BQ169" s="144">
        <v>0</v>
      </c>
      <c r="BR169" s="144">
        <v>0</v>
      </c>
      <c r="BS169" s="144">
        <v>0</v>
      </c>
      <c r="BT169" s="144">
        <v>0</v>
      </c>
      <c r="BU169" s="144">
        <v>0</v>
      </c>
      <c r="BV169" s="144">
        <v>0</v>
      </c>
      <c r="BW169" s="144">
        <v>0</v>
      </c>
      <c r="BX169" s="144">
        <v>0</v>
      </c>
      <c r="BY169" s="144">
        <v>0</v>
      </c>
      <c r="BZ169" s="144">
        <v>0</v>
      </c>
      <c r="CA169" s="144">
        <v>0</v>
      </c>
      <c r="CB169" s="144">
        <v>0</v>
      </c>
      <c r="CC169" s="144">
        <v>0</v>
      </c>
      <c r="CD169" s="144">
        <v>0</v>
      </c>
      <c r="CE169" s="144">
        <v>0</v>
      </c>
      <c r="CF169" s="144">
        <v>0</v>
      </c>
      <c r="CG169" s="144">
        <v>0</v>
      </c>
      <c r="CH169" s="144">
        <v>0</v>
      </c>
      <c r="CI169" s="144">
        <v>0</v>
      </c>
      <c r="CJ169" s="144">
        <v>0</v>
      </c>
      <c r="CK169" s="144">
        <v>0</v>
      </c>
      <c r="CL169" s="144">
        <v>0</v>
      </c>
      <c r="CM169" s="144">
        <v>0</v>
      </c>
      <c r="CN169" s="144">
        <v>0</v>
      </c>
      <c r="CO169" s="144">
        <v>0</v>
      </c>
      <c r="CP169" s="144">
        <v>0</v>
      </c>
      <c r="CQ169" s="143">
        <v>0</v>
      </c>
      <c r="CR169" s="145">
        <v>0</v>
      </c>
      <c r="CS169" s="145">
        <v>0</v>
      </c>
      <c r="CT169" s="145">
        <v>0</v>
      </c>
      <c r="CU169" s="145">
        <v>0</v>
      </c>
      <c r="CV169" s="145">
        <v>0</v>
      </c>
      <c r="CW169" s="145">
        <v>0</v>
      </c>
      <c r="CX169" s="145">
        <v>0</v>
      </c>
      <c r="CY169" s="145">
        <v>0</v>
      </c>
      <c r="CZ169" s="145">
        <v>0</v>
      </c>
      <c r="DA169" s="145">
        <v>0</v>
      </c>
      <c r="DB169" s="145">
        <v>0</v>
      </c>
      <c r="DC169" s="145">
        <v>0</v>
      </c>
      <c r="DD169" s="145">
        <v>0</v>
      </c>
      <c r="DE169" s="145">
        <v>0</v>
      </c>
      <c r="DF169" s="145">
        <v>0</v>
      </c>
      <c r="DG169" s="145">
        <v>0</v>
      </c>
      <c r="DH169" s="145">
        <v>0</v>
      </c>
      <c r="DI169" s="145">
        <v>0</v>
      </c>
      <c r="DJ169" s="145">
        <v>0</v>
      </c>
      <c r="DK169" s="145">
        <v>0</v>
      </c>
      <c r="DL169" s="145">
        <v>0</v>
      </c>
      <c r="DM169" s="145">
        <v>12602.1</v>
      </c>
      <c r="DN169" s="145">
        <v>4200.7</v>
      </c>
      <c r="DO169" s="145">
        <v>0</v>
      </c>
      <c r="DP169" s="145">
        <v>0</v>
      </c>
      <c r="DQ169" s="145">
        <v>0</v>
      </c>
      <c r="DR169" s="145">
        <v>0</v>
      </c>
      <c r="DS169" s="145">
        <v>0</v>
      </c>
      <c r="DT169" s="145">
        <v>0</v>
      </c>
      <c r="DU169" s="145">
        <v>0</v>
      </c>
      <c r="DV169" s="145">
        <v>0</v>
      </c>
      <c r="DW169" s="145">
        <v>0</v>
      </c>
      <c r="DX169" s="145">
        <v>0</v>
      </c>
      <c r="DY169" s="145">
        <v>21643</v>
      </c>
      <c r="DZ169" s="145">
        <v>0</v>
      </c>
      <c r="EA169" s="145">
        <v>0</v>
      </c>
      <c r="EB169" s="145">
        <v>12985.800000000001</v>
      </c>
      <c r="EC169" s="145">
        <v>12985.800000000001</v>
      </c>
      <c r="ED169" s="145">
        <v>0</v>
      </c>
      <c r="EE169" s="145">
        <v>0</v>
      </c>
      <c r="EF169" s="145">
        <v>0</v>
      </c>
      <c r="EG169" s="145">
        <v>0</v>
      </c>
      <c r="EH169" s="145">
        <v>0</v>
      </c>
      <c r="EI169" s="145">
        <v>0</v>
      </c>
      <c r="EJ169" s="145">
        <v>0</v>
      </c>
      <c r="EK169" s="145">
        <v>0</v>
      </c>
      <c r="EL169" s="145">
        <v>0</v>
      </c>
      <c r="EM169" s="145">
        <v>0</v>
      </c>
      <c r="EN169" s="145">
        <v>0</v>
      </c>
      <c r="EO169" s="145">
        <v>0</v>
      </c>
      <c r="EP169" s="145">
        <v>0</v>
      </c>
      <c r="EQ169" s="145">
        <v>0</v>
      </c>
      <c r="ER169" s="145">
        <v>0</v>
      </c>
      <c r="ES169" s="145">
        <v>0</v>
      </c>
      <c r="ET169" s="145">
        <v>0</v>
      </c>
      <c r="EU169" s="145">
        <v>0</v>
      </c>
      <c r="EV169" s="145">
        <v>0</v>
      </c>
      <c r="EW169" s="145">
        <v>0</v>
      </c>
      <c r="EX169" s="145">
        <v>0</v>
      </c>
      <c r="EY169" s="145">
        <v>0</v>
      </c>
      <c r="EZ169" s="145">
        <v>0</v>
      </c>
      <c r="FA169" s="145">
        <v>0</v>
      </c>
      <c r="FB169" s="145">
        <v>0</v>
      </c>
      <c r="FC169" s="145">
        <v>0</v>
      </c>
      <c r="FD169" s="145">
        <v>0</v>
      </c>
      <c r="FE169" s="145">
        <v>0</v>
      </c>
      <c r="FF169" s="145">
        <v>0</v>
      </c>
      <c r="FG169" s="145">
        <v>0</v>
      </c>
      <c r="FH169" s="145">
        <v>0</v>
      </c>
      <c r="FI169" s="145">
        <v>0</v>
      </c>
      <c r="FJ169" s="145">
        <v>0</v>
      </c>
      <c r="FK169" s="145">
        <v>0</v>
      </c>
      <c r="FL169" s="145">
        <v>0</v>
      </c>
      <c r="FM169" s="145">
        <v>0</v>
      </c>
      <c r="FN169" s="145">
        <v>0</v>
      </c>
      <c r="FO169" s="145">
        <v>0</v>
      </c>
      <c r="FP169" s="145">
        <v>0</v>
      </c>
      <c r="FQ169" s="145">
        <v>0</v>
      </c>
      <c r="FR169" s="145">
        <v>0</v>
      </c>
      <c r="FS169" s="145">
        <v>0</v>
      </c>
      <c r="FT169" s="145">
        <v>0</v>
      </c>
      <c r="FU169" s="145">
        <v>0</v>
      </c>
      <c r="FV169" s="145">
        <v>0</v>
      </c>
      <c r="FW169" s="145">
        <v>0</v>
      </c>
      <c r="FX169" s="143"/>
      <c r="FY169" s="146" t="str">
        <f>_xlfn.XLOOKUP($E169,'Key assumptions'!$B$112:$B$120,'Key assumptions'!$C$112:$C$120,0)</f>
        <v>Nominal</v>
      </c>
      <c r="FZ169" s="146" cm="1">
        <f t="array" ref="FZ169">IF($FY169=0,0,_xlfn.IFS($FY169='Key assumptions'!$C$120,_xlfn.XLOOKUP(LEFT(FZ$7,6),Inflation_Year,Inflation_NominaltoReal),TRUE,_xlfn.XLOOKUP($FY169,Inflation_Year,NominaltoReal)))</f>
        <v>1.0197075870962191</v>
      </c>
      <c r="GA169" s="146" cm="1">
        <f t="array" ref="GA169">IF($FY169=0,0,_xlfn.IFS($FY169='Key assumptions'!$C$120,_xlfn.XLOOKUP(LEFT(GA$7,6),Inflation_Year,Inflation_NominaltoReal),TRUE,_xlfn.XLOOKUP($FY169,Inflation_Year,NominaltoReal)))</f>
        <v>0.98700804022984445</v>
      </c>
      <c r="GB169" s="146" cm="1">
        <f t="array" ref="GB169">IF($FY169=0,0,_xlfn.IFS($FY169='Key assumptions'!$C$120,_xlfn.XLOOKUP(LEFT(GB$7,6),Inflation_Year,Inflation_NominaltoReal),TRUE,_xlfn.XLOOKUP($FY169,Inflation_Year,NominaltoReal)))</f>
        <v>0.96152830081941731</v>
      </c>
      <c r="GC169" s="146" cm="1">
        <f t="array" ref="GC169">IF($FY169=0,0,_xlfn.IFS($FY169='Key assumptions'!$C$120,_xlfn.XLOOKUP(LEFT(GC$7,6),Inflation_Year,Inflation_NominaltoReal),TRUE,_xlfn.XLOOKUP($FY169,Inflation_Year,NominaltoReal)))</f>
        <v>0.93670632415656829</v>
      </c>
      <c r="GD169" s="146" cm="1">
        <f t="array" ref="GD169">IF($FY169=0,0,_xlfn.IFS($FY169='Key assumptions'!$C$120,_xlfn.XLOOKUP(LEFT(GD$7,6),Inflation_Year,Inflation_NominaltoReal),TRUE,_xlfn.XLOOKUP($FY169,Inflation_Year,NominaltoReal)))</f>
        <v>0.91252513001143176</v>
      </c>
      <c r="GE169" s="146" cm="1">
        <f t="array" ref="GE169">IF($FY169=0,0,_xlfn.IFS($FY169='Key assumptions'!$C$120,_xlfn.XLOOKUP(LEFT(GE$7,6),Inflation_Year,Inflation_NominaltoReal),TRUE,_xlfn.XLOOKUP($FY169,Inflation_Year,NominaltoReal)))</f>
        <v>0.88896817650095872</v>
      </c>
      <c r="GF169" s="146" cm="1">
        <f t="array" ref="GF169">IF($FY169=0,0,_xlfn.IFS($FY169='Key assumptions'!$C$120,_xlfn.XLOOKUP(LEFT(GF$7,6),Inflation_Year,Inflation_NominaltoReal),TRUE,_xlfn.XLOOKUP($FY169,Inflation_Year,NominaltoReal)))</f>
        <v>0.86601934877293718</v>
      </c>
      <c r="GG169" s="143"/>
      <c r="GH169" s="145" cm="1">
        <f t="array" ref="GH169">SUMPRODUCT(--($CR$7:$FW$7&gt;=GH$5),--($CR$7:$FW$7&lt;=GH$6),$CR169:$FW169)*FZ169</f>
        <v>0</v>
      </c>
      <c r="GI169" s="145" cm="1">
        <f t="array" ref="GI169">SUMPRODUCT(--($CR$7:$FW$7&gt;=GI$5),--($CR$7:$FW$7&lt;=GI$6),$CR169:$FW169)*GA169</f>
        <v>16584.498698374031</v>
      </c>
      <c r="GJ169" s="145" cm="1">
        <f t="array" ref="GJ169">SUMPRODUCT(--($CR$7:$FW$7&gt;=GJ$5),--($CR$7:$FW$7&lt;=GJ$6),$CR169:$FW169)*GB169</f>
        <v>45782.785432196237</v>
      </c>
      <c r="GK169" s="145" cm="1">
        <f t="array" ref="GK169">SUMPRODUCT(--($CR$7:$FW$7&gt;=GK$5),--($CR$7:$FW$7&lt;=GK$6),$CR169:$FW169)*GC169</f>
        <v>0</v>
      </c>
      <c r="GL169" s="145" cm="1">
        <f t="array" ref="GL169">SUMPRODUCT(--($CR$7:$FW$7&gt;=GL$5),--($CR$7:$FW$7&lt;=GL$6),$CR169:$FW169)*GD169</f>
        <v>0</v>
      </c>
      <c r="GM169" s="145" cm="1">
        <f t="array" ref="GM169">SUMPRODUCT(--($CR$7:$FW$7&gt;=GM$5),--($CR$7:$FW$7&lt;=GM$6),$CR169:$FW169)*GE169</f>
        <v>0</v>
      </c>
      <c r="GN169" s="145" cm="1">
        <f t="array" ref="GN169">SUMPRODUCT(--($CR$7:$FW$7&gt;=GN$5),--($CR$7:$FW$7&lt;=GN$6),$CR169:$FW169)*GF169</f>
        <v>0</v>
      </c>
      <c r="GO169" s="145">
        <f t="shared" si="46"/>
        <v>62367.284130570268</v>
      </c>
      <c r="GP169" s="87"/>
      <c r="GR169" s="145" cm="1">
        <f t="array" ref="GR169">SUMPRODUCT(--($CR$7:$FW$7&gt;=GR$5),--($CR$7:$FW$7&lt;=GR$6),$CR169:$FW169)</f>
        <v>0</v>
      </c>
      <c r="GT169" s="214" cm="1">
        <f t="array" ref="GT169">--AND(MIN(IF($K169:$CP169&lt;&gt;0,$K$7:$CP$7))&gt;=GT$5,MIN(IF($K169:$CP169&lt;&gt;0,$K$7:$CP$7))&lt;=GT$6)</f>
        <v>0</v>
      </c>
      <c r="GU169" s="214" cm="1">
        <f t="array" ref="GU169">--AND(MIN(IF($K169:$CP169&lt;&gt;0,$K$7:$CP$7))&gt;=GU$5,MIN(IF($K169:$CP169&lt;&gt;0,$K$7:$CP$7))&lt;=GU$6)</f>
        <v>1</v>
      </c>
      <c r="GV169" s="214" cm="1">
        <f t="array" ref="GV169">--AND(MIN(IF($K169:$CP169&lt;&gt;0,$K$7:$CP$7))&gt;=GV$5,MIN(IF($K169:$CP169&lt;&gt;0,$K$7:$CP$7))&lt;=GV$6)</f>
        <v>0</v>
      </c>
      <c r="GW169" s="214" cm="1">
        <f t="array" ref="GW169">--AND(MIN(IF($K169:$CP169&lt;&gt;0,$K$7:$CP$7))&gt;=GW$5,MIN(IF($K169:$CP169&lt;&gt;0,$K$7:$CP$7))&lt;=GW$6)</f>
        <v>0</v>
      </c>
      <c r="GX169" s="214" cm="1">
        <f t="array" ref="GX169">--AND(MIN(IF($K169:$CP169&lt;&gt;0,$K$7:$CP$7))&gt;=GX$5,MIN(IF($K169:$CP169&lt;&gt;0,$K$7:$CP$7))&lt;=GX$6)</f>
        <v>0</v>
      </c>
      <c r="GY169" s="214" cm="1">
        <f t="array" ref="GY169">--AND(MIN(IF($K169:$CP169&lt;&gt;0,$K$7:$CP$7))&gt;=GY$5,MIN(IF($K169:$CP169&lt;&gt;0,$K$7:$CP$7))&lt;=GY$6)</f>
        <v>0</v>
      </c>
      <c r="GZ169" s="214" cm="1">
        <f t="array" ref="GZ169">--AND(MIN(IF($K169:$CP169&lt;&gt;0,$K$7:$CP$7))&gt;=GZ$5,MIN(IF($K169:$CP169&lt;&gt;0,$K$7:$CP$7))&lt;=GZ$6)</f>
        <v>0</v>
      </c>
      <c r="HA169" s="214">
        <f t="shared" si="47"/>
        <v>1</v>
      </c>
      <c r="HC169" s="214" cm="1">
        <f t="array" ref="HC169">--AND(MIN(IF($K169:$CP169&lt;&gt;0,$K$7:$CP$7))&gt;=HC$5,MIN(IF($K169:$CP169&lt;&gt;0,$K$7:$CP$7))&lt;=HC$6)</f>
        <v>0</v>
      </c>
      <c r="HE169" s="147" t="str">
        <f t="shared" si="66"/>
        <v>No</v>
      </c>
      <c r="HF169" s="147" t="str">
        <f t="shared" si="67"/>
        <v>Yes</v>
      </c>
      <c r="HG169" s="147">
        <f>IF($HF169="Yes",0,$H169*avg_hrs*12*'Key assumptions'!$D$87)</f>
        <v>0</v>
      </c>
      <c r="HH169" s="147">
        <f>IF(HE169="Yes",'Key assumptions'!$D$84*HG169,0)</f>
        <v>0</v>
      </c>
      <c r="HI169" s="144">
        <f>IFERROR(AVERAGEIFS($K169:$CP169,$K$7:$CP$7,"&gt;="&amp;'Key assumptions'!$D$24,$K$7:$CP$7,"&lt;="&amp;'Key assumptions'!$D$25),0)</f>
        <v>2.5974025974025972E-2</v>
      </c>
      <c r="HJ169" s="148">
        <f t="shared" si="68"/>
        <v>0</v>
      </c>
      <c r="HK169" s="148">
        <f t="shared" si="49"/>
        <v>0</v>
      </c>
      <c r="HL169" s="148">
        <f t="shared" si="50"/>
        <v>0</v>
      </c>
      <c r="HM169" s="148">
        <f t="shared" si="51"/>
        <v>0</v>
      </c>
      <c r="HN169" s="148">
        <f t="shared" si="52"/>
        <v>0</v>
      </c>
      <c r="HO169" s="148">
        <f t="shared" si="53"/>
        <v>0</v>
      </c>
      <c r="HP169" s="148">
        <f t="shared" si="54"/>
        <v>0</v>
      </c>
      <c r="HQ169" s="148">
        <f t="shared" si="55"/>
        <v>0</v>
      </c>
      <c r="HR169" s="147">
        <f t="shared" si="56"/>
        <v>0</v>
      </c>
      <c r="HU169" s="147">
        <f>$HJ169*HC169/(1+'Key assumptions'!G191)^0.75</f>
        <v>0</v>
      </c>
      <c r="HW169" s="216">
        <f t="shared" si="57"/>
        <v>0</v>
      </c>
      <c r="HX169" s="216">
        <f t="shared" si="58"/>
        <v>2.5974025974025972E-2</v>
      </c>
      <c r="HY169" s="216">
        <f t="shared" si="59"/>
        <v>0</v>
      </c>
      <c r="HZ169" s="216">
        <f t="shared" si="60"/>
        <v>0</v>
      </c>
      <c r="IA169" s="216">
        <f t="shared" si="61"/>
        <v>0</v>
      </c>
      <c r="IB169" s="216">
        <f t="shared" si="62"/>
        <v>0</v>
      </c>
      <c r="IC169" s="216">
        <f t="shared" si="63"/>
        <v>0</v>
      </c>
      <c r="ID169" s="216">
        <f t="shared" si="64"/>
        <v>2.5974025974025972E-2</v>
      </c>
      <c r="IF169" s="216">
        <f t="shared" si="65"/>
        <v>0</v>
      </c>
    </row>
    <row r="170" spans="2:240" x14ac:dyDescent="0.2">
      <c r="B170" s="141" t="str">
        <v>Project Delivery Management - Commissioning</v>
      </c>
      <c r="C170" s="141" t="str">
        <v>Control Technician (Construction)</v>
      </c>
      <c r="D170" s="141" t="str">
        <v>Internal Labour</v>
      </c>
      <c r="E170" s="141" t="str">
        <v>$ Nominal</v>
      </c>
      <c r="F170" s="141" t="str">
        <v>Existing</v>
      </c>
      <c r="G170" s="141" t="str">
        <v>Normal time</v>
      </c>
      <c r="H170" s="142">
        <v>221.91</v>
      </c>
      <c r="I170" s="126">
        <v>322448.28000000003</v>
      </c>
      <c r="J170" s="143">
        <v>0</v>
      </c>
      <c r="K170" s="144">
        <v>0</v>
      </c>
      <c r="L170" s="144">
        <v>0</v>
      </c>
      <c r="M170" s="144">
        <v>0</v>
      </c>
      <c r="N170" s="144">
        <v>0</v>
      </c>
      <c r="O170" s="144">
        <v>0</v>
      </c>
      <c r="P170" s="144">
        <v>0</v>
      </c>
      <c r="Q170" s="144">
        <v>0</v>
      </c>
      <c r="R170" s="144">
        <v>0</v>
      </c>
      <c r="S170" s="144">
        <v>0</v>
      </c>
      <c r="T170" s="144">
        <v>0</v>
      </c>
      <c r="U170" s="144">
        <v>0</v>
      </c>
      <c r="V170" s="144">
        <v>0</v>
      </c>
      <c r="W170" s="144">
        <v>0</v>
      </c>
      <c r="X170" s="144">
        <v>0</v>
      </c>
      <c r="Y170" s="144">
        <v>0</v>
      </c>
      <c r="Z170" s="144">
        <v>0</v>
      </c>
      <c r="AA170" s="144">
        <v>0</v>
      </c>
      <c r="AB170" s="144">
        <v>0</v>
      </c>
      <c r="AC170" s="144">
        <v>0</v>
      </c>
      <c r="AD170" s="144">
        <v>0</v>
      </c>
      <c r="AE170" s="144">
        <v>0</v>
      </c>
      <c r="AF170" s="144">
        <v>0.5</v>
      </c>
      <c r="AG170" s="144">
        <v>0.5</v>
      </c>
      <c r="AH170" s="144">
        <v>1.5333333333333334</v>
      </c>
      <c r="AI170" s="144">
        <v>1.4</v>
      </c>
      <c r="AJ170" s="144">
        <v>1</v>
      </c>
      <c r="AK170" s="144">
        <v>0</v>
      </c>
      <c r="AL170" s="144">
        <v>0</v>
      </c>
      <c r="AM170" s="144">
        <v>0</v>
      </c>
      <c r="AN170" s="144">
        <v>0</v>
      </c>
      <c r="AO170" s="144">
        <v>0</v>
      </c>
      <c r="AP170" s="144">
        <v>0</v>
      </c>
      <c r="AQ170" s="144">
        <v>0</v>
      </c>
      <c r="AR170" s="144">
        <v>1.6</v>
      </c>
      <c r="AS170" s="144">
        <v>1.1000000000000001</v>
      </c>
      <c r="AT170" s="144">
        <v>1.4</v>
      </c>
      <c r="AU170" s="144">
        <v>1.4666666666666666</v>
      </c>
      <c r="AV170" s="144">
        <v>1.1499999999999999</v>
      </c>
      <c r="AW170" s="144">
        <v>0</v>
      </c>
      <c r="AX170" s="144">
        <v>0</v>
      </c>
      <c r="AY170" s="144">
        <v>0</v>
      </c>
      <c r="AZ170" s="144">
        <v>0</v>
      </c>
      <c r="BA170" s="144">
        <v>0</v>
      </c>
      <c r="BB170" s="144">
        <v>0</v>
      </c>
      <c r="BC170" s="144">
        <v>0</v>
      </c>
      <c r="BD170" s="144">
        <v>0</v>
      </c>
      <c r="BE170" s="144">
        <v>0</v>
      </c>
      <c r="BF170" s="144">
        <v>0</v>
      </c>
      <c r="BG170" s="144">
        <v>0</v>
      </c>
      <c r="BH170" s="144">
        <v>0</v>
      </c>
      <c r="BI170" s="144">
        <v>0</v>
      </c>
      <c r="BJ170" s="144">
        <v>0</v>
      </c>
      <c r="BK170" s="144">
        <v>0</v>
      </c>
      <c r="BL170" s="144">
        <v>0</v>
      </c>
      <c r="BM170" s="144">
        <v>0</v>
      </c>
      <c r="BN170" s="144">
        <v>0</v>
      </c>
      <c r="BO170" s="144">
        <v>0</v>
      </c>
      <c r="BP170" s="144">
        <v>0</v>
      </c>
      <c r="BQ170" s="144">
        <v>0</v>
      </c>
      <c r="BR170" s="144">
        <v>0</v>
      </c>
      <c r="BS170" s="144">
        <v>0</v>
      </c>
      <c r="BT170" s="144">
        <v>0</v>
      </c>
      <c r="BU170" s="144">
        <v>0</v>
      </c>
      <c r="BV170" s="144">
        <v>0</v>
      </c>
      <c r="BW170" s="144">
        <v>0</v>
      </c>
      <c r="BX170" s="144">
        <v>0</v>
      </c>
      <c r="BY170" s="144">
        <v>0</v>
      </c>
      <c r="BZ170" s="144">
        <v>0</v>
      </c>
      <c r="CA170" s="144">
        <v>0</v>
      </c>
      <c r="CB170" s="144">
        <v>0</v>
      </c>
      <c r="CC170" s="144">
        <v>0</v>
      </c>
      <c r="CD170" s="144">
        <v>0</v>
      </c>
      <c r="CE170" s="144">
        <v>0</v>
      </c>
      <c r="CF170" s="144">
        <v>0</v>
      </c>
      <c r="CG170" s="144">
        <v>0</v>
      </c>
      <c r="CH170" s="144">
        <v>0</v>
      </c>
      <c r="CI170" s="144">
        <v>0</v>
      </c>
      <c r="CJ170" s="144">
        <v>0</v>
      </c>
      <c r="CK170" s="144">
        <v>0</v>
      </c>
      <c r="CL170" s="144">
        <v>0</v>
      </c>
      <c r="CM170" s="144">
        <v>0</v>
      </c>
      <c r="CN170" s="144">
        <v>0</v>
      </c>
      <c r="CO170" s="144">
        <v>0</v>
      </c>
      <c r="CP170" s="144">
        <v>0</v>
      </c>
      <c r="CQ170" s="143">
        <v>0</v>
      </c>
      <c r="CR170" s="145">
        <v>0</v>
      </c>
      <c r="CS170" s="145">
        <v>0</v>
      </c>
      <c r="CT170" s="145">
        <v>0</v>
      </c>
      <c r="CU170" s="145">
        <v>0</v>
      </c>
      <c r="CV170" s="145">
        <v>0</v>
      </c>
      <c r="CW170" s="145">
        <v>0</v>
      </c>
      <c r="CX170" s="145">
        <v>0</v>
      </c>
      <c r="CY170" s="145">
        <v>0</v>
      </c>
      <c r="CZ170" s="145">
        <v>0</v>
      </c>
      <c r="DA170" s="145">
        <v>0</v>
      </c>
      <c r="DB170" s="145">
        <v>0</v>
      </c>
      <c r="DC170" s="145">
        <v>0</v>
      </c>
      <c r="DD170" s="145">
        <v>0</v>
      </c>
      <c r="DE170" s="145">
        <v>0</v>
      </c>
      <c r="DF170" s="145">
        <v>0</v>
      </c>
      <c r="DG170" s="145">
        <v>0</v>
      </c>
      <c r="DH170" s="145">
        <v>0</v>
      </c>
      <c r="DI170" s="145">
        <v>0</v>
      </c>
      <c r="DJ170" s="145">
        <v>0</v>
      </c>
      <c r="DK170" s="145">
        <v>0</v>
      </c>
      <c r="DL170" s="145">
        <v>0</v>
      </c>
      <c r="DM170" s="145">
        <v>15533.699999999999</v>
      </c>
      <c r="DN170" s="145">
        <v>15533.699999999999</v>
      </c>
      <c r="DO170" s="145">
        <v>35727.51</v>
      </c>
      <c r="DP170" s="145">
        <v>32620.77</v>
      </c>
      <c r="DQ170" s="145">
        <v>31067.399999999998</v>
      </c>
      <c r="DR170" s="145">
        <v>0</v>
      </c>
      <c r="DS170" s="145">
        <v>0</v>
      </c>
      <c r="DT170" s="145">
        <v>0</v>
      </c>
      <c r="DU170" s="145">
        <v>0</v>
      </c>
      <c r="DV170" s="145">
        <v>0</v>
      </c>
      <c r="DW170" s="145">
        <v>0</v>
      </c>
      <c r="DX170" s="145">
        <v>0</v>
      </c>
      <c r="DY170" s="145">
        <v>51190.720000000001</v>
      </c>
      <c r="DZ170" s="145">
        <v>35193.620000000003</v>
      </c>
      <c r="EA170" s="145">
        <v>33593.910000000003</v>
      </c>
      <c r="EB170" s="145">
        <v>35193.620000000003</v>
      </c>
      <c r="EC170" s="145">
        <v>36793.33</v>
      </c>
      <c r="ED170" s="145">
        <v>0</v>
      </c>
      <c r="EE170" s="145">
        <v>0</v>
      </c>
      <c r="EF170" s="145">
        <v>0</v>
      </c>
      <c r="EG170" s="145">
        <v>0</v>
      </c>
      <c r="EH170" s="145">
        <v>0</v>
      </c>
      <c r="EI170" s="145">
        <v>0</v>
      </c>
      <c r="EJ170" s="145">
        <v>0</v>
      </c>
      <c r="EK170" s="145">
        <v>0</v>
      </c>
      <c r="EL170" s="145">
        <v>0</v>
      </c>
      <c r="EM170" s="145">
        <v>0</v>
      </c>
      <c r="EN170" s="145">
        <v>0</v>
      </c>
      <c r="EO170" s="145">
        <v>0</v>
      </c>
      <c r="EP170" s="145">
        <v>0</v>
      </c>
      <c r="EQ170" s="145">
        <v>0</v>
      </c>
      <c r="ER170" s="145">
        <v>0</v>
      </c>
      <c r="ES170" s="145">
        <v>0</v>
      </c>
      <c r="ET170" s="145">
        <v>0</v>
      </c>
      <c r="EU170" s="145">
        <v>0</v>
      </c>
      <c r="EV170" s="145">
        <v>0</v>
      </c>
      <c r="EW170" s="145">
        <v>0</v>
      </c>
      <c r="EX170" s="145">
        <v>0</v>
      </c>
      <c r="EY170" s="145">
        <v>0</v>
      </c>
      <c r="EZ170" s="145">
        <v>0</v>
      </c>
      <c r="FA170" s="145">
        <v>0</v>
      </c>
      <c r="FB170" s="145">
        <v>0</v>
      </c>
      <c r="FC170" s="145">
        <v>0</v>
      </c>
      <c r="FD170" s="145">
        <v>0</v>
      </c>
      <c r="FE170" s="145">
        <v>0</v>
      </c>
      <c r="FF170" s="145">
        <v>0</v>
      </c>
      <c r="FG170" s="145">
        <v>0</v>
      </c>
      <c r="FH170" s="145">
        <v>0</v>
      </c>
      <c r="FI170" s="145">
        <v>0</v>
      </c>
      <c r="FJ170" s="145">
        <v>0</v>
      </c>
      <c r="FK170" s="145">
        <v>0</v>
      </c>
      <c r="FL170" s="145">
        <v>0</v>
      </c>
      <c r="FM170" s="145">
        <v>0</v>
      </c>
      <c r="FN170" s="145">
        <v>0</v>
      </c>
      <c r="FO170" s="145">
        <v>0</v>
      </c>
      <c r="FP170" s="145">
        <v>0</v>
      </c>
      <c r="FQ170" s="145">
        <v>0</v>
      </c>
      <c r="FR170" s="145">
        <v>0</v>
      </c>
      <c r="FS170" s="145">
        <v>0</v>
      </c>
      <c r="FT170" s="145">
        <v>0</v>
      </c>
      <c r="FU170" s="145">
        <v>0</v>
      </c>
      <c r="FV170" s="145">
        <v>0</v>
      </c>
      <c r="FW170" s="145">
        <v>0</v>
      </c>
      <c r="FX170" s="143"/>
      <c r="FY170" s="146" t="str">
        <f>_xlfn.XLOOKUP($E170,'Key assumptions'!$B$112:$B$120,'Key assumptions'!$C$112:$C$120,0)</f>
        <v>Nominal</v>
      </c>
      <c r="FZ170" s="146" cm="1">
        <f t="array" ref="FZ170">IF($FY170=0,0,_xlfn.IFS($FY170='Key assumptions'!$C$120,_xlfn.XLOOKUP(LEFT(FZ$7,6),Inflation_Year,Inflation_NominaltoReal),TRUE,_xlfn.XLOOKUP($FY170,Inflation_Year,NominaltoReal)))</f>
        <v>1.0197075870962191</v>
      </c>
      <c r="GA170" s="146" cm="1">
        <f t="array" ref="GA170">IF($FY170=0,0,_xlfn.IFS($FY170='Key assumptions'!$C$120,_xlfn.XLOOKUP(LEFT(GA$7,6),Inflation_Year,Inflation_NominaltoReal),TRUE,_xlfn.XLOOKUP($FY170,Inflation_Year,NominaltoReal)))</f>
        <v>0.98700804022984445</v>
      </c>
      <c r="GB170" s="146" cm="1">
        <f t="array" ref="GB170">IF($FY170=0,0,_xlfn.IFS($FY170='Key assumptions'!$C$120,_xlfn.XLOOKUP(LEFT(GB$7,6),Inflation_Year,Inflation_NominaltoReal),TRUE,_xlfn.XLOOKUP($FY170,Inflation_Year,NominaltoReal)))</f>
        <v>0.96152830081941731</v>
      </c>
      <c r="GC170" s="146" cm="1">
        <f t="array" ref="GC170">IF($FY170=0,0,_xlfn.IFS($FY170='Key assumptions'!$C$120,_xlfn.XLOOKUP(LEFT(GC$7,6),Inflation_Year,Inflation_NominaltoReal),TRUE,_xlfn.XLOOKUP($FY170,Inflation_Year,NominaltoReal)))</f>
        <v>0.93670632415656829</v>
      </c>
      <c r="GD170" s="146" cm="1">
        <f t="array" ref="GD170">IF($FY170=0,0,_xlfn.IFS($FY170='Key assumptions'!$C$120,_xlfn.XLOOKUP(LEFT(GD$7,6),Inflation_Year,Inflation_NominaltoReal),TRUE,_xlfn.XLOOKUP($FY170,Inflation_Year,NominaltoReal)))</f>
        <v>0.91252513001143176</v>
      </c>
      <c r="GE170" s="146" cm="1">
        <f t="array" ref="GE170">IF($FY170=0,0,_xlfn.IFS($FY170='Key assumptions'!$C$120,_xlfn.XLOOKUP(LEFT(GE$7,6),Inflation_Year,Inflation_NominaltoReal),TRUE,_xlfn.XLOOKUP($FY170,Inflation_Year,NominaltoReal)))</f>
        <v>0.88896817650095872</v>
      </c>
      <c r="GF170" s="146" cm="1">
        <f t="array" ref="GF170">IF($FY170=0,0,_xlfn.IFS($FY170='Key assumptions'!$C$120,_xlfn.XLOOKUP(LEFT(GF$7,6),Inflation_Year,Inflation_NominaltoReal),TRUE,_xlfn.XLOOKUP($FY170,Inflation_Year,NominaltoReal)))</f>
        <v>0.86601934877293718</v>
      </c>
      <c r="GG170" s="143"/>
      <c r="GH170" s="145" cm="1">
        <f t="array" ref="GH170">SUMPRODUCT(--($CR$7:$FW$7&gt;=GH$5),--($CR$7:$FW$7&lt;=GH$6),$CR170:$FW170)*FZ170</f>
        <v>0</v>
      </c>
      <c r="GI170" s="145" cm="1">
        <f t="array" ref="GI170">SUMPRODUCT(--($CR$7:$FW$7&gt;=GI$5),--($CR$7:$FW$7&lt;=GI$6),$CR170:$FW170)*GA170</f>
        <v>128787.84907395401</v>
      </c>
      <c r="GJ170" s="145" cm="1">
        <f t="array" ref="GJ170">SUMPRODUCT(--($CR$7:$FW$7&gt;=GJ$5),--($CR$7:$FW$7&lt;=GJ$6),$CR170:$FW170)*GB170</f>
        <v>184579.97257245961</v>
      </c>
      <c r="GK170" s="145" cm="1">
        <f t="array" ref="GK170">SUMPRODUCT(--($CR$7:$FW$7&gt;=GK$5),--($CR$7:$FW$7&lt;=GK$6),$CR170:$FW170)*GC170</f>
        <v>0</v>
      </c>
      <c r="GL170" s="145" cm="1">
        <f t="array" ref="GL170">SUMPRODUCT(--($CR$7:$FW$7&gt;=GL$5),--($CR$7:$FW$7&lt;=GL$6),$CR170:$FW170)*GD170</f>
        <v>0</v>
      </c>
      <c r="GM170" s="145" cm="1">
        <f t="array" ref="GM170">SUMPRODUCT(--($CR$7:$FW$7&gt;=GM$5),--($CR$7:$FW$7&lt;=GM$6),$CR170:$FW170)*GE170</f>
        <v>0</v>
      </c>
      <c r="GN170" s="145" cm="1">
        <f t="array" ref="GN170">SUMPRODUCT(--($CR$7:$FW$7&gt;=GN$5),--($CR$7:$FW$7&lt;=GN$6),$CR170:$FW170)*GF170</f>
        <v>0</v>
      </c>
      <c r="GO170" s="145">
        <f t="shared" si="46"/>
        <v>313367.82164641365</v>
      </c>
      <c r="GP170" s="87"/>
      <c r="GR170" s="145" cm="1">
        <f t="array" ref="GR170">SUMPRODUCT(--($CR$7:$FW$7&gt;=GR$5),--($CR$7:$FW$7&lt;=GR$6),$CR170:$FW170)</f>
        <v>0</v>
      </c>
      <c r="GT170" s="214" cm="1">
        <f t="array" ref="GT170">--AND(MIN(IF($K170:$CP170&lt;&gt;0,$K$7:$CP$7))&gt;=GT$5,MIN(IF($K170:$CP170&lt;&gt;0,$K$7:$CP$7))&lt;=GT$6)</f>
        <v>0</v>
      </c>
      <c r="GU170" s="214" cm="1">
        <f t="array" ref="GU170">--AND(MIN(IF($K170:$CP170&lt;&gt;0,$K$7:$CP$7))&gt;=GU$5,MIN(IF($K170:$CP170&lt;&gt;0,$K$7:$CP$7))&lt;=GU$6)</f>
        <v>1</v>
      </c>
      <c r="GV170" s="214" cm="1">
        <f t="array" ref="GV170">--AND(MIN(IF($K170:$CP170&lt;&gt;0,$K$7:$CP$7))&gt;=GV$5,MIN(IF($K170:$CP170&lt;&gt;0,$K$7:$CP$7))&lt;=GV$6)</f>
        <v>0</v>
      </c>
      <c r="GW170" s="214" cm="1">
        <f t="array" ref="GW170">--AND(MIN(IF($K170:$CP170&lt;&gt;0,$K$7:$CP$7))&gt;=GW$5,MIN(IF($K170:$CP170&lt;&gt;0,$K$7:$CP$7))&lt;=GW$6)</f>
        <v>0</v>
      </c>
      <c r="GX170" s="214" cm="1">
        <f t="array" ref="GX170">--AND(MIN(IF($K170:$CP170&lt;&gt;0,$K$7:$CP$7))&gt;=GX$5,MIN(IF($K170:$CP170&lt;&gt;0,$K$7:$CP$7))&lt;=GX$6)</f>
        <v>0</v>
      </c>
      <c r="GY170" s="214" cm="1">
        <f t="array" ref="GY170">--AND(MIN(IF($K170:$CP170&lt;&gt;0,$K$7:$CP$7))&gt;=GY$5,MIN(IF($K170:$CP170&lt;&gt;0,$K$7:$CP$7))&lt;=GY$6)</f>
        <v>0</v>
      </c>
      <c r="GZ170" s="214" cm="1">
        <f t="array" ref="GZ170">--AND(MIN(IF($K170:$CP170&lt;&gt;0,$K$7:$CP$7))&gt;=GZ$5,MIN(IF($K170:$CP170&lt;&gt;0,$K$7:$CP$7))&lt;=GZ$6)</f>
        <v>0</v>
      </c>
      <c r="HA170" s="214">
        <f t="shared" si="47"/>
        <v>1</v>
      </c>
      <c r="HC170" s="214" cm="1">
        <f t="array" ref="HC170">--AND(MIN(IF($K170:$CP170&lt;&gt;0,$K$7:$CP$7))&gt;=HC$5,MIN(IF($K170:$CP170&lt;&gt;0,$K$7:$CP$7))&lt;=HC$6)</f>
        <v>0</v>
      </c>
      <c r="HE170" s="147" t="str">
        <f t="shared" si="66"/>
        <v>No</v>
      </c>
      <c r="HF170" s="147" t="str">
        <f t="shared" si="67"/>
        <v>No</v>
      </c>
      <c r="HG170" s="147">
        <f>IF($HF170="Yes",0,$H170*avg_hrs*12*'Key assumptions'!$D$87)</f>
        <v>396834.77589855355</v>
      </c>
      <c r="HH170" s="147">
        <f>IF(HE170="Yes",'Key assumptions'!$D$84*HG170,0)</f>
        <v>0</v>
      </c>
      <c r="HI170" s="144">
        <f>IFERROR(AVERAGEIFS($K170:$CP170,$K$7:$CP$7,"&gt;="&amp;'Key assumptions'!$D$24,$K$7:$CP$7,"&lt;="&amp;'Key assumptions'!$D$25),0)</f>
        <v>0.26477272727272727</v>
      </c>
      <c r="HJ170" s="148">
        <f t="shared" si="68"/>
        <v>0</v>
      </c>
      <c r="HK170" s="148">
        <f t="shared" si="49"/>
        <v>0</v>
      </c>
      <c r="HL170" s="148">
        <f t="shared" si="50"/>
        <v>0</v>
      </c>
      <c r="HM170" s="148">
        <f t="shared" si="51"/>
        <v>0</v>
      </c>
      <c r="HN170" s="148">
        <f t="shared" si="52"/>
        <v>0</v>
      </c>
      <c r="HO170" s="148">
        <f t="shared" si="53"/>
        <v>0</v>
      </c>
      <c r="HP170" s="148">
        <f t="shared" si="54"/>
        <v>0</v>
      </c>
      <c r="HQ170" s="148">
        <f t="shared" si="55"/>
        <v>0</v>
      </c>
      <c r="HR170" s="147">
        <f t="shared" si="56"/>
        <v>0</v>
      </c>
      <c r="HU170" s="147">
        <f>$HJ170*HC170/(1+'Key assumptions'!G192)^0.75</f>
        <v>0</v>
      </c>
      <c r="HW170" s="216">
        <f t="shared" si="57"/>
        <v>0</v>
      </c>
      <c r="HX170" s="216">
        <f t="shared" si="58"/>
        <v>0.26477272727272727</v>
      </c>
      <c r="HY170" s="216">
        <f t="shared" si="59"/>
        <v>0</v>
      </c>
      <c r="HZ170" s="216">
        <f t="shared" si="60"/>
        <v>0</v>
      </c>
      <c r="IA170" s="216">
        <f t="shared" si="61"/>
        <v>0</v>
      </c>
      <c r="IB170" s="216">
        <f t="shared" si="62"/>
        <v>0</v>
      </c>
      <c r="IC170" s="216">
        <f t="shared" si="63"/>
        <v>0</v>
      </c>
      <c r="ID170" s="216">
        <f t="shared" si="64"/>
        <v>0.26477272727272727</v>
      </c>
      <c r="IF170" s="216">
        <f t="shared" si="65"/>
        <v>0</v>
      </c>
    </row>
    <row r="171" spans="2:240" x14ac:dyDescent="0.2">
      <c r="B171" s="141" t="str">
        <v>Project Delivery Management - Commissioning</v>
      </c>
      <c r="C171" s="141" t="str">
        <v>Control Technician (Construction)</v>
      </c>
      <c r="D171" s="141" t="str">
        <v>Internal Labour</v>
      </c>
      <c r="E171" s="141" t="str">
        <v>$ Nominal</v>
      </c>
      <c r="F171" s="141">
        <v>0</v>
      </c>
      <c r="G171" s="141" t="str">
        <v>Overtime</v>
      </c>
      <c r="H171" s="142">
        <v>221.91</v>
      </c>
      <c r="I171" s="126">
        <v>221179</v>
      </c>
      <c r="J171" s="143">
        <v>0</v>
      </c>
      <c r="K171" s="144">
        <v>0</v>
      </c>
      <c r="L171" s="144">
        <v>0</v>
      </c>
      <c r="M171" s="144">
        <v>0</v>
      </c>
      <c r="N171" s="144">
        <v>0</v>
      </c>
      <c r="O171" s="144">
        <v>0</v>
      </c>
      <c r="P171" s="144">
        <v>0</v>
      </c>
      <c r="Q171" s="144">
        <v>0</v>
      </c>
      <c r="R171" s="144">
        <v>0</v>
      </c>
      <c r="S171" s="144">
        <v>0</v>
      </c>
      <c r="T171" s="144">
        <v>0</v>
      </c>
      <c r="U171" s="144">
        <v>0</v>
      </c>
      <c r="V171" s="144">
        <v>0</v>
      </c>
      <c r="W171" s="144">
        <v>0</v>
      </c>
      <c r="X171" s="144">
        <v>0</v>
      </c>
      <c r="Y171" s="144">
        <v>0</v>
      </c>
      <c r="Z171" s="144">
        <v>0</v>
      </c>
      <c r="AA171" s="144">
        <v>0</v>
      </c>
      <c r="AB171" s="144">
        <v>0</v>
      </c>
      <c r="AC171" s="144">
        <v>0</v>
      </c>
      <c r="AD171" s="144">
        <v>0</v>
      </c>
      <c r="AE171" s="144">
        <v>0</v>
      </c>
      <c r="AF171" s="144">
        <v>0.21428571428571427</v>
      </c>
      <c r="AG171" s="144">
        <v>0.21428571428571427</v>
      </c>
      <c r="AH171" s="144">
        <v>0.47619047619047616</v>
      </c>
      <c r="AI171" s="144">
        <v>0.47619047619047616</v>
      </c>
      <c r="AJ171" s="144">
        <v>0.35714285714285715</v>
      </c>
      <c r="AK171" s="144">
        <v>0</v>
      </c>
      <c r="AL171" s="144">
        <v>0</v>
      </c>
      <c r="AM171" s="144">
        <v>0</v>
      </c>
      <c r="AN171" s="144">
        <v>0</v>
      </c>
      <c r="AO171" s="144">
        <v>0</v>
      </c>
      <c r="AP171" s="144">
        <v>0</v>
      </c>
      <c r="AQ171" s="144">
        <v>0</v>
      </c>
      <c r="AR171" s="144">
        <v>0.5714285714285714</v>
      </c>
      <c r="AS171" s="144">
        <v>0.35714285714285715</v>
      </c>
      <c r="AT171" s="144">
        <v>0.47619047619047616</v>
      </c>
      <c r="AU171" s="144">
        <v>0.47619047619047616</v>
      </c>
      <c r="AV171" s="144">
        <v>0.35714285714285715</v>
      </c>
      <c r="AW171" s="144">
        <v>0</v>
      </c>
      <c r="AX171" s="144">
        <v>0</v>
      </c>
      <c r="AY171" s="144">
        <v>0</v>
      </c>
      <c r="AZ171" s="144">
        <v>0</v>
      </c>
      <c r="BA171" s="144">
        <v>0</v>
      </c>
      <c r="BB171" s="144">
        <v>0</v>
      </c>
      <c r="BC171" s="144">
        <v>0</v>
      </c>
      <c r="BD171" s="144">
        <v>0</v>
      </c>
      <c r="BE171" s="144">
        <v>0</v>
      </c>
      <c r="BF171" s="144">
        <v>0</v>
      </c>
      <c r="BG171" s="144">
        <v>0</v>
      </c>
      <c r="BH171" s="144">
        <v>0</v>
      </c>
      <c r="BI171" s="144">
        <v>0</v>
      </c>
      <c r="BJ171" s="144">
        <v>0</v>
      </c>
      <c r="BK171" s="144">
        <v>0</v>
      </c>
      <c r="BL171" s="144">
        <v>0</v>
      </c>
      <c r="BM171" s="144">
        <v>0</v>
      </c>
      <c r="BN171" s="144">
        <v>0</v>
      </c>
      <c r="BO171" s="144">
        <v>0</v>
      </c>
      <c r="BP171" s="144">
        <v>0</v>
      </c>
      <c r="BQ171" s="144">
        <v>0</v>
      </c>
      <c r="BR171" s="144">
        <v>0</v>
      </c>
      <c r="BS171" s="144">
        <v>0</v>
      </c>
      <c r="BT171" s="144">
        <v>0</v>
      </c>
      <c r="BU171" s="144">
        <v>0</v>
      </c>
      <c r="BV171" s="144">
        <v>0</v>
      </c>
      <c r="BW171" s="144">
        <v>0</v>
      </c>
      <c r="BX171" s="144">
        <v>0</v>
      </c>
      <c r="BY171" s="144">
        <v>0</v>
      </c>
      <c r="BZ171" s="144">
        <v>0</v>
      </c>
      <c r="CA171" s="144">
        <v>0</v>
      </c>
      <c r="CB171" s="144">
        <v>0</v>
      </c>
      <c r="CC171" s="144">
        <v>0</v>
      </c>
      <c r="CD171" s="144">
        <v>0</v>
      </c>
      <c r="CE171" s="144">
        <v>0</v>
      </c>
      <c r="CF171" s="144">
        <v>0</v>
      </c>
      <c r="CG171" s="144">
        <v>0</v>
      </c>
      <c r="CH171" s="144">
        <v>0</v>
      </c>
      <c r="CI171" s="144">
        <v>0</v>
      </c>
      <c r="CJ171" s="144">
        <v>0</v>
      </c>
      <c r="CK171" s="144">
        <v>0</v>
      </c>
      <c r="CL171" s="144">
        <v>0</v>
      </c>
      <c r="CM171" s="144">
        <v>0</v>
      </c>
      <c r="CN171" s="144">
        <v>0</v>
      </c>
      <c r="CO171" s="144">
        <v>0</v>
      </c>
      <c r="CP171" s="144">
        <v>0</v>
      </c>
      <c r="CQ171" s="143">
        <v>0</v>
      </c>
      <c r="CR171" s="145">
        <v>0</v>
      </c>
      <c r="CS171" s="145">
        <v>0</v>
      </c>
      <c r="CT171" s="145">
        <v>0</v>
      </c>
      <c r="CU171" s="145">
        <v>0</v>
      </c>
      <c r="CV171" s="145">
        <v>0</v>
      </c>
      <c r="CW171" s="145">
        <v>0</v>
      </c>
      <c r="CX171" s="145">
        <v>0</v>
      </c>
      <c r="CY171" s="145">
        <v>0</v>
      </c>
      <c r="CZ171" s="145">
        <v>0</v>
      </c>
      <c r="DA171" s="145">
        <v>0</v>
      </c>
      <c r="DB171" s="145">
        <v>0</v>
      </c>
      <c r="DC171" s="145">
        <v>0</v>
      </c>
      <c r="DD171" s="145">
        <v>0</v>
      </c>
      <c r="DE171" s="145">
        <v>0</v>
      </c>
      <c r="DF171" s="145">
        <v>0</v>
      </c>
      <c r="DG171" s="145">
        <v>0</v>
      </c>
      <c r="DH171" s="145">
        <v>0</v>
      </c>
      <c r="DI171" s="145">
        <v>0</v>
      </c>
      <c r="DJ171" s="145">
        <v>0</v>
      </c>
      <c r="DK171" s="145">
        <v>0</v>
      </c>
      <c r="DL171" s="145">
        <v>0</v>
      </c>
      <c r="DM171" s="145">
        <v>13314.6</v>
      </c>
      <c r="DN171" s="145">
        <v>13314.6</v>
      </c>
      <c r="DO171" s="145">
        <v>22191</v>
      </c>
      <c r="DP171" s="145">
        <v>22191</v>
      </c>
      <c r="DQ171" s="145">
        <v>22191</v>
      </c>
      <c r="DR171" s="145">
        <v>0</v>
      </c>
      <c r="DS171" s="145">
        <v>0</v>
      </c>
      <c r="DT171" s="145">
        <v>0</v>
      </c>
      <c r="DU171" s="145">
        <v>0</v>
      </c>
      <c r="DV171" s="145">
        <v>0</v>
      </c>
      <c r="DW171" s="145">
        <v>0</v>
      </c>
      <c r="DX171" s="145">
        <v>0</v>
      </c>
      <c r="DY171" s="145">
        <v>36564.800000000003</v>
      </c>
      <c r="DZ171" s="145">
        <v>22853</v>
      </c>
      <c r="EA171" s="145">
        <v>22853</v>
      </c>
      <c r="EB171" s="145">
        <v>22853</v>
      </c>
      <c r="EC171" s="145">
        <v>22853</v>
      </c>
      <c r="ED171" s="145">
        <v>0</v>
      </c>
      <c r="EE171" s="145">
        <v>0</v>
      </c>
      <c r="EF171" s="145">
        <v>0</v>
      </c>
      <c r="EG171" s="145">
        <v>0</v>
      </c>
      <c r="EH171" s="145">
        <v>0</v>
      </c>
      <c r="EI171" s="145">
        <v>0</v>
      </c>
      <c r="EJ171" s="145">
        <v>0</v>
      </c>
      <c r="EK171" s="145">
        <v>0</v>
      </c>
      <c r="EL171" s="145">
        <v>0</v>
      </c>
      <c r="EM171" s="145">
        <v>0</v>
      </c>
      <c r="EN171" s="145">
        <v>0</v>
      </c>
      <c r="EO171" s="145">
        <v>0</v>
      </c>
      <c r="EP171" s="145">
        <v>0</v>
      </c>
      <c r="EQ171" s="145">
        <v>0</v>
      </c>
      <c r="ER171" s="145">
        <v>0</v>
      </c>
      <c r="ES171" s="145">
        <v>0</v>
      </c>
      <c r="ET171" s="145">
        <v>0</v>
      </c>
      <c r="EU171" s="145">
        <v>0</v>
      </c>
      <c r="EV171" s="145">
        <v>0</v>
      </c>
      <c r="EW171" s="145">
        <v>0</v>
      </c>
      <c r="EX171" s="145">
        <v>0</v>
      </c>
      <c r="EY171" s="145">
        <v>0</v>
      </c>
      <c r="EZ171" s="145">
        <v>0</v>
      </c>
      <c r="FA171" s="145">
        <v>0</v>
      </c>
      <c r="FB171" s="145">
        <v>0</v>
      </c>
      <c r="FC171" s="145">
        <v>0</v>
      </c>
      <c r="FD171" s="145">
        <v>0</v>
      </c>
      <c r="FE171" s="145">
        <v>0</v>
      </c>
      <c r="FF171" s="145">
        <v>0</v>
      </c>
      <c r="FG171" s="145">
        <v>0</v>
      </c>
      <c r="FH171" s="145">
        <v>0</v>
      </c>
      <c r="FI171" s="145">
        <v>0</v>
      </c>
      <c r="FJ171" s="145">
        <v>0</v>
      </c>
      <c r="FK171" s="145">
        <v>0</v>
      </c>
      <c r="FL171" s="145">
        <v>0</v>
      </c>
      <c r="FM171" s="145">
        <v>0</v>
      </c>
      <c r="FN171" s="145">
        <v>0</v>
      </c>
      <c r="FO171" s="145">
        <v>0</v>
      </c>
      <c r="FP171" s="145">
        <v>0</v>
      </c>
      <c r="FQ171" s="145">
        <v>0</v>
      </c>
      <c r="FR171" s="145">
        <v>0</v>
      </c>
      <c r="FS171" s="145">
        <v>0</v>
      </c>
      <c r="FT171" s="145">
        <v>0</v>
      </c>
      <c r="FU171" s="145">
        <v>0</v>
      </c>
      <c r="FV171" s="145">
        <v>0</v>
      </c>
      <c r="FW171" s="145">
        <v>0</v>
      </c>
      <c r="FX171" s="143"/>
      <c r="FY171" s="146" t="str">
        <f>_xlfn.XLOOKUP($E171,'Key assumptions'!$B$112:$B$120,'Key assumptions'!$C$112:$C$120,0)</f>
        <v>Nominal</v>
      </c>
      <c r="FZ171" s="146" cm="1">
        <f t="array" ref="FZ171">IF($FY171=0,0,_xlfn.IFS($FY171='Key assumptions'!$C$120,_xlfn.XLOOKUP(LEFT(FZ$7,6),Inflation_Year,Inflation_NominaltoReal),TRUE,_xlfn.XLOOKUP($FY171,Inflation_Year,NominaltoReal)))</f>
        <v>1.0197075870962191</v>
      </c>
      <c r="GA171" s="146" cm="1">
        <f t="array" ref="GA171">IF($FY171=0,0,_xlfn.IFS($FY171='Key assumptions'!$C$120,_xlfn.XLOOKUP(LEFT(GA$7,6),Inflation_Year,Inflation_NominaltoReal),TRUE,_xlfn.XLOOKUP($FY171,Inflation_Year,NominaltoReal)))</f>
        <v>0.98700804022984445</v>
      </c>
      <c r="GB171" s="146" cm="1">
        <f t="array" ref="GB171">IF($FY171=0,0,_xlfn.IFS($FY171='Key assumptions'!$C$120,_xlfn.XLOOKUP(LEFT(GB$7,6),Inflation_Year,Inflation_NominaltoReal),TRUE,_xlfn.XLOOKUP($FY171,Inflation_Year,NominaltoReal)))</f>
        <v>0.96152830081941731</v>
      </c>
      <c r="GC171" s="146" cm="1">
        <f t="array" ref="GC171">IF($FY171=0,0,_xlfn.IFS($FY171='Key assumptions'!$C$120,_xlfn.XLOOKUP(LEFT(GC$7,6),Inflation_Year,Inflation_NominaltoReal),TRUE,_xlfn.XLOOKUP($FY171,Inflation_Year,NominaltoReal)))</f>
        <v>0.93670632415656829</v>
      </c>
      <c r="GD171" s="146" cm="1">
        <f t="array" ref="GD171">IF($FY171=0,0,_xlfn.IFS($FY171='Key assumptions'!$C$120,_xlfn.XLOOKUP(LEFT(GD$7,6),Inflation_Year,Inflation_NominaltoReal),TRUE,_xlfn.XLOOKUP($FY171,Inflation_Year,NominaltoReal)))</f>
        <v>0.91252513001143176</v>
      </c>
      <c r="GE171" s="146" cm="1">
        <f t="array" ref="GE171">IF($FY171=0,0,_xlfn.IFS($FY171='Key assumptions'!$C$120,_xlfn.XLOOKUP(LEFT(GE$7,6),Inflation_Year,Inflation_NominaltoReal),TRUE,_xlfn.XLOOKUP($FY171,Inflation_Year,NominaltoReal)))</f>
        <v>0.88896817650095872</v>
      </c>
      <c r="GF171" s="146" cm="1">
        <f t="array" ref="GF171">IF($FY171=0,0,_xlfn.IFS($FY171='Key assumptions'!$C$120,_xlfn.XLOOKUP(LEFT(GF$7,6),Inflation_Year,Inflation_NominaltoReal),TRUE,_xlfn.XLOOKUP($FY171,Inflation_Year,NominaltoReal)))</f>
        <v>0.86601934877293718</v>
      </c>
      <c r="GG171" s="143"/>
      <c r="GH171" s="145" cm="1">
        <f t="array" ref="GH171">SUMPRODUCT(--($CR$7:$FW$7&gt;=GH$5),--($CR$7:$FW$7&lt;=GH$6),$CR171:$FW171)*FZ171</f>
        <v>0</v>
      </c>
      <c r="GI171" s="145" cm="1">
        <f t="array" ref="GI171">SUMPRODUCT(--($CR$7:$FW$7&gt;=GI$5),--($CR$7:$FW$7&lt;=GI$6),$CR171:$FW171)*GA171</f>
        <v>91991.32076711001</v>
      </c>
      <c r="GJ171" s="145" cm="1">
        <f t="array" ref="GJ171">SUMPRODUCT(--($CR$7:$FW$7&gt;=GJ$5),--($CR$7:$FW$7&lt;=GJ$6),$CR171:$FW171)*GB171</f>
        <v>123053.31504830641</v>
      </c>
      <c r="GK171" s="145" cm="1">
        <f t="array" ref="GK171">SUMPRODUCT(--($CR$7:$FW$7&gt;=GK$5),--($CR$7:$FW$7&lt;=GK$6),$CR171:$FW171)*GC171</f>
        <v>0</v>
      </c>
      <c r="GL171" s="145" cm="1">
        <f t="array" ref="GL171">SUMPRODUCT(--($CR$7:$FW$7&gt;=GL$5),--($CR$7:$FW$7&lt;=GL$6),$CR171:$FW171)*GD171</f>
        <v>0</v>
      </c>
      <c r="GM171" s="145" cm="1">
        <f t="array" ref="GM171">SUMPRODUCT(--($CR$7:$FW$7&gt;=GM$5),--($CR$7:$FW$7&lt;=GM$6),$CR171:$FW171)*GE171</f>
        <v>0</v>
      </c>
      <c r="GN171" s="145" cm="1">
        <f t="array" ref="GN171">SUMPRODUCT(--($CR$7:$FW$7&gt;=GN$5),--($CR$7:$FW$7&lt;=GN$6),$CR171:$FW171)*GF171</f>
        <v>0</v>
      </c>
      <c r="GO171" s="145">
        <f t="shared" si="46"/>
        <v>215044.6358154164</v>
      </c>
      <c r="GP171" s="87"/>
      <c r="GR171" s="145" cm="1">
        <f t="array" ref="GR171">SUMPRODUCT(--($CR$7:$FW$7&gt;=GR$5),--($CR$7:$FW$7&lt;=GR$6),$CR171:$FW171)</f>
        <v>0</v>
      </c>
      <c r="GT171" s="214" cm="1">
        <f t="array" ref="GT171">--AND(MIN(IF($K171:$CP171&lt;&gt;0,$K$7:$CP$7))&gt;=GT$5,MIN(IF($K171:$CP171&lt;&gt;0,$K$7:$CP$7))&lt;=GT$6)</f>
        <v>0</v>
      </c>
      <c r="GU171" s="214" cm="1">
        <f t="array" ref="GU171">--AND(MIN(IF($K171:$CP171&lt;&gt;0,$K$7:$CP$7))&gt;=GU$5,MIN(IF($K171:$CP171&lt;&gt;0,$K$7:$CP$7))&lt;=GU$6)</f>
        <v>1</v>
      </c>
      <c r="GV171" s="214" cm="1">
        <f t="array" ref="GV171">--AND(MIN(IF($K171:$CP171&lt;&gt;0,$K$7:$CP$7))&gt;=GV$5,MIN(IF($K171:$CP171&lt;&gt;0,$K$7:$CP$7))&lt;=GV$6)</f>
        <v>0</v>
      </c>
      <c r="GW171" s="214" cm="1">
        <f t="array" ref="GW171">--AND(MIN(IF($K171:$CP171&lt;&gt;0,$K$7:$CP$7))&gt;=GW$5,MIN(IF($K171:$CP171&lt;&gt;0,$K$7:$CP$7))&lt;=GW$6)</f>
        <v>0</v>
      </c>
      <c r="GX171" s="214" cm="1">
        <f t="array" ref="GX171">--AND(MIN(IF($K171:$CP171&lt;&gt;0,$K$7:$CP$7))&gt;=GX$5,MIN(IF($K171:$CP171&lt;&gt;0,$K$7:$CP$7))&lt;=GX$6)</f>
        <v>0</v>
      </c>
      <c r="GY171" s="214" cm="1">
        <f t="array" ref="GY171">--AND(MIN(IF($K171:$CP171&lt;&gt;0,$K$7:$CP$7))&gt;=GY$5,MIN(IF($K171:$CP171&lt;&gt;0,$K$7:$CP$7))&lt;=GY$6)</f>
        <v>0</v>
      </c>
      <c r="GZ171" s="214" cm="1">
        <f t="array" ref="GZ171">--AND(MIN(IF($K171:$CP171&lt;&gt;0,$K$7:$CP$7))&gt;=GZ$5,MIN(IF($K171:$CP171&lt;&gt;0,$K$7:$CP$7))&lt;=GZ$6)</f>
        <v>0</v>
      </c>
      <c r="HA171" s="214">
        <f t="shared" si="47"/>
        <v>1</v>
      </c>
      <c r="HC171" s="214" cm="1">
        <f t="array" ref="HC171">--AND(MIN(IF($K171:$CP171&lt;&gt;0,$K$7:$CP$7))&gt;=HC$5,MIN(IF($K171:$CP171&lt;&gt;0,$K$7:$CP$7))&lt;=HC$6)</f>
        <v>0</v>
      </c>
      <c r="HE171" s="147" t="str">
        <f t="shared" si="66"/>
        <v>No</v>
      </c>
      <c r="HF171" s="147" t="str">
        <f t="shared" si="67"/>
        <v>Yes</v>
      </c>
      <c r="HG171" s="147">
        <f>IF($HF171="Yes",0,$H171*avg_hrs*12*'Key assumptions'!$D$87)</f>
        <v>0</v>
      </c>
      <c r="HH171" s="147">
        <f>IF(HE171="Yes",'Key assumptions'!$D$84*HG171,0)</f>
        <v>0</v>
      </c>
      <c r="HI171" s="144">
        <f>IFERROR(AVERAGEIFS($K171:$CP171,$K$7:$CP$7,"&gt;="&amp;'Key assumptions'!$D$24,$K$7:$CP$7,"&lt;="&amp;'Key assumptions'!$D$25),0)</f>
        <v>9.0367965367965375E-2</v>
      </c>
      <c r="HJ171" s="148">
        <f t="shared" si="68"/>
        <v>0</v>
      </c>
      <c r="HK171" s="148">
        <f t="shared" si="49"/>
        <v>0</v>
      </c>
      <c r="HL171" s="148">
        <f t="shared" si="50"/>
        <v>0</v>
      </c>
      <c r="HM171" s="148">
        <f t="shared" si="51"/>
        <v>0</v>
      </c>
      <c r="HN171" s="148">
        <f t="shared" si="52"/>
        <v>0</v>
      </c>
      <c r="HO171" s="148">
        <f t="shared" si="53"/>
        <v>0</v>
      </c>
      <c r="HP171" s="148">
        <f t="shared" si="54"/>
        <v>0</v>
      </c>
      <c r="HQ171" s="148">
        <f t="shared" si="55"/>
        <v>0</v>
      </c>
      <c r="HR171" s="147">
        <f t="shared" si="56"/>
        <v>0</v>
      </c>
      <c r="HU171" s="147">
        <f>$HJ171*HC171/(1+'Key assumptions'!G193)^0.75</f>
        <v>0</v>
      </c>
      <c r="HW171" s="216">
        <f t="shared" si="57"/>
        <v>0</v>
      </c>
      <c r="HX171" s="216">
        <f t="shared" si="58"/>
        <v>9.0367965367965375E-2</v>
      </c>
      <c r="HY171" s="216">
        <f t="shared" si="59"/>
        <v>0</v>
      </c>
      <c r="HZ171" s="216">
        <f t="shared" si="60"/>
        <v>0</v>
      </c>
      <c r="IA171" s="216">
        <f t="shared" si="61"/>
        <v>0</v>
      </c>
      <c r="IB171" s="216">
        <f t="shared" si="62"/>
        <v>0</v>
      </c>
      <c r="IC171" s="216">
        <f t="shared" si="63"/>
        <v>0</v>
      </c>
      <c r="ID171" s="216">
        <f t="shared" si="64"/>
        <v>9.0367965367965375E-2</v>
      </c>
      <c r="IF171" s="216">
        <f t="shared" si="65"/>
        <v>0</v>
      </c>
    </row>
    <row r="172" spans="2:240" x14ac:dyDescent="0.2">
      <c r="B172" s="141" t="str">
        <v>Project Delivery Management - Commissioning</v>
      </c>
      <c r="C172" s="141" t="str">
        <v>Resource Coordinator (Construction)</v>
      </c>
      <c r="D172" s="141" t="str">
        <v>Internal Labour</v>
      </c>
      <c r="E172" s="141" t="str">
        <v>$ Nominal</v>
      </c>
      <c r="F172" s="141" t="str">
        <v>Existing</v>
      </c>
      <c r="G172" s="141" t="str">
        <v>Normal time</v>
      </c>
      <c r="H172" s="142">
        <v>202.73</v>
      </c>
      <c r="I172" s="126">
        <v>72853.479999999981</v>
      </c>
      <c r="J172" s="143">
        <v>0</v>
      </c>
      <c r="K172" s="144">
        <v>0</v>
      </c>
      <c r="L172" s="144">
        <v>0</v>
      </c>
      <c r="M172" s="144">
        <v>0</v>
      </c>
      <c r="N172" s="144">
        <v>0</v>
      </c>
      <c r="O172" s="144">
        <v>0</v>
      </c>
      <c r="P172" s="144">
        <v>0</v>
      </c>
      <c r="Q172" s="144">
        <v>0</v>
      </c>
      <c r="R172" s="144">
        <v>0</v>
      </c>
      <c r="S172" s="144">
        <v>0</v>
      </c>
      <c r="T172" s="144">
        <v>0</v>
      </c>
      <c r="U172" s="144">
        <v>0</v>
      </c>
      <c r="V172" s="144">
        <v>0</v>
      </c>
      <c r="W172" s="144">
        <v>0</v>
      </c>
      <c r="X172" s="144">
        <v>0</v>
      </c>
      <c r="Y172" s="144">
        <v>0</v>
      </c>
      <c r="Z172" s="144">
        <v>0</v>
      </c>
      <c r="AA172" s="144">
        <v>0</v>
      </c>
      <c r="AB172" s="144">
        <v>0</v>
      </c>
      <c r="AC172" s="144">
        <v>0.1</v>
      </c>
      <c r="AD172" s="144">
        <v>0.1</v>
      </c>
      <c r="AE172" s="144">
        <v>0.1</v>
      </c>
      <c r="AF172" s="144">
        <v>0.1</v>
      </c>
      <c r="AG172" s="144">
        <v>0.1</v>
      </c>
      <c r="AH172" s="144">
        <v>0.13333333333333333</v>
      </c>
      <c r="AI172" s="144">
        <v>0.13333333333333333</v>
      </c>
      <c r="AJ172" s="144">
        <v>0.1</v>
      </c>
      <c r="AK172" s="144">
        <v>0.1</v>
      </c>
      <c r="AL172" s="144">
        <v>0.13333333333333333</v>
      </c>
      <c r="AM172" s="144">
        <v>9.2105263157894732E-2</v>
      </c>
      <c r="AN172" s="144">
        <v>9.2105263157894732E-2</v>
      </c>
      <c r="AO172" s="144">
        <v>0.1</v>
      </c>
      <c r="AP172" s="144">
        <v>0.1</v>
      </c>
      <c r="AQ172" s="144">
        <v>0.1</v>
      </c>
      <c r="AR172" s="144">
        <v>0.1</v>
      </c>
      <c r="AS172" s="144">
        <v>0.1</v>
      </c>
      <c r="AT172" s="144">
        <v>0.13333333333333333</v>
      </c>
      <c r="AU172" s="144">
        <v>0.13333333333333333</v>
      </c>
      <c r="AV172" s="144">
        <v>0.1</v>
      </c>
      <c r="AW172" s="144">
        <v>0.1</v>
      </c>
      <c r="AX172" s="144">
        <v>0.13333333333333333</v>
      </c>
      <c r="AY172" s="144">
        <v>9.2105263157894732E-2</v>
      </c>
      <c r="AZ172" s="144">
        <v>9.2105263157894732E-2</v>
      </c>
      <c r="BA172" s="144">
        <v>0.1</v>
      </c>
      <c r="BB172" s="144">
        <v>0</v>
      </c>
      <c r="BC172" s="144">
        <v>0</v>
      </c>
      <c r="BD172" s="144">
        <v>0</v>
      </c>
      <c r="BE172" s="144">
        <v>0</v>
      </c>
      <c r="BF172" s="144">
        <v>0</v>
      </c>
      <c r="BG172" s="144">
        <v>0</v>
      </c>
      <c r="BH172" s="144">
        <v>0</v>
      </c>
      <c r="BI172" s="144">
        <v>0</v>
      </c>
      <c r="BJ172" s="144">
        <v>0</v>
      </c>
      <c r="BK172" s="144">
        <v>0</v>
      </c>
      <c r="BL172" s="144">
        <v>0</v>
      </c>
      <c r="BM172" s="144">
        <v>0</v>
      </c>
      <c r="BN172" s="144">
        <v>0</v>
      </c>
      <c r="BO172" s="144">
        <v>0</v>
      </c>
      <c r="BP172" s="144">
        <v>0</v>
      </c>
      <c r="BQ172" s="144">
        <v>0</v>
      </c>
      <c r="BR172" s="144">
        <v>0</v>
      </c>
      <c r="BS172" s="144">
        <v>0</v>
      </c>
      <c r="BT172" s="144">
        <v>0</v>
      </c>
      <c r="BU172" s="144">
        <v>0</v>
      </c>
      <c r="BV172" s="144">
        <v>0</v>
      </c>
      <c r="BW172" s="144">
        <v>0</v>
      </c>
      <c r="BX172" s="144">
        <v>0</v>
      </c>
      <c r="BY172" s="144">
        <v>0</v>
      </c>
      <c r="BZ172" s="144">
        <v>0</v>
      </c>
      <c r="CA172" s="144">
        <v>0</v>
      </c>
      <c r="CB172" s="144">
        <v>0</v>
      </c>
      <c r="CC172" s="144">
        <v>0</v>
      </c>
      <c r="CD172" s="144">
        <v>0</v>
      </c>
      <c r="CE172" s="144">
        <v>0</v>
      </c>
      <c r="CF172" s="144">
        <v>0</v>
      </c>
      <c r="CG172" s="144">
        <v>0</v>
      </c>
      <c r="CH172" s="144">
        <v>0</v>
      </c>
      <c r="CI172" s="144">
        <v>0</v>
      </c>
      <c r="CJ172" s="144">
        <v>0</v>
      </c>
      <c r="CK172" s="144">
        <v>0</v>
      </c>
      <c r="CL172" s="144">
        <v>0</v>
      </c>
      <c r="CM172" s="144">
        <v>0</v>
      </c>
      <c r="CN172" s="144">
        <v>0</v>
      </c>
      <c r="CO172" s="144">
        <v>0</v>
      </c>
      <c r="CP172" s="144">
        <v>0</v>
      </c>
      <c r="CQ172" s="143">
        <v>0</v>
      </c>
      <c r="CR172" s="145">
        <v>0</v>
      </c>
      <c r="CS172" s="145">
        <v>0</v>
      </c>
      <c r="CT172" s="145">
        <v>0</v>
      </c>
      <c r="CU172" s="145">
        <v>0</v>
      </c>
      <c r="CV172" s="145">
        <v>0</v>
      </c>
      <c r="CW172" s="145">
        <v>0</v>
      </c>
      <c r="CX172" s="145">
        <v>0</v>
      </c>
      <c r="CY172" s="145">
        <v>0</v>
      </c>
      <c r="CZ172" s="145">
        <v>0</v>
      </c>
      <c r="DA172" s="145">
        <v>0</v>
      </c>
      <c r="DB172" s="145">
        <v>0</v>
      </c>
      <c r="DC172" s="145">
        <v>0</v>
      </c>
      <c r="DD172" s="145">
        <v>0</v>
      </c>
      <c r="DE172" s="145">
        <v>0</v>
      </c>
      <c r="DF172" s="145">
        <v>0</v>
      </c>
      <c r="DG172" s="145">
        <v>0</v>
      </c>
      <c r="DH172" s="145">
        <v>0</v>
      </c>
      <c r="DI172" s="145">
        <v>0</v>
      </c>
      <c r="DJ172" s="145">
        <v>2838.22</v>
      </c>
      <c r="DK172" s="145">
        <v>2838.22</v>
      </c>
      <c r="DL172" s="145">
        <v>2838.22</v>
      </c>
      <c r="DM172" s="145">
        <v>2838.22</v>
      </c>
      <c r="DN172" s="145">
        <v>2838.22</v>
      </c>
      <c r="DO172" s="145">
        <v>2838.22</v>
      </c>
      <c r="DP172" s="145">
        <v>2838.22</v>
      </c>
      <c r="DQ172" s="145">
        <v>2838.22</v>
      </c>
      <c r="DR172" s="145">
        <v>2924.46</v>
      </c>
      <c r="DS172" s="145">
        <v>2924.46</v>
      </c>
      <c r="DT172" s="145">
        <v>2924.46</v>
      </c>
      <c r="DU172" s="145">
        <v>2924.46</v>
      </c>
      <c r="DV172" s="145">
        <v>2924.46</v>
      </c>
      <c r="DW172" s="145">
        <v>2924.46</v>
      </c>
      <c r="DX172" s="145">
        <v>2924.46</v>
      </c>
      <c r="DY172" s="145">
        <v>2924.46</v>
      </c>
      <c r="DZ172" s="145">
        <v>2924.46</v>
      </c>
      <c r="EA172" s="145">
        <v>2924.46</v>
      </c>
      <c r="EB172" s="145">
        <v>2924.46</v>
      </c>
      <c r="EC172" s="145">
        <v>2924.46</v>
      </c>
      <c r="ED172" s="145">
        <v>3010.84</v>
      </c>
      <c r="EE172" s="145">
        <v>3010.84</v>
      </c>
      <c r="EF172" s="145">
        <v>3010.84</v>
      </c>
      <c r="EG172" s="145">
        <v>3010.84</v>
      </c>
      <c r="EH172" s="145">
        <v>3010.84</v>
      </c>
      <c r="EI172" s="145">
        <v>0</v>
      </c>
      <c r="EJ172" s="145">
        <v>0</v>
      </c>
      <c r="EK172" s="145">
        <v>0</v>
      </c>
      <c r="EL172" s="145">
        <v>0</v>
      </c>
      <c r="EM172" s="145">
        <v>0</v>
      </c>
      <c r="EN172" s="145">
        <v>0</v>
      </c>
      <c r="EO172" s="145">
        <v>0</v>
      </c>
      <c r="EP172" s="145">
        <v>0</v>
      </c>
      <c r="EQ172" s="145">
        <v>0</v>
      </c>
      <c r="ER172" s="145">
        <v>0</v>
      </c>
      <c r="ES172" s="145">
        <v>0</v>
      </c>
      <c r="ET172" s="145">
        <v>0</v>
      </c>
      <c r="EU172" s="145">
        <v>0</v>
      </c>
      <c r="EV172" s="145">
        <v>0</v>
      </c>
      <c r="EW172" s="145">
        <v>0</v>
      </c>
      <c r="EX172" s="145">
        <v>0</v>
      </c>
      <c r="EY172" s="145">
        <v>0</v>
      </c>
      <c r="EZ172" s="145">
        <v>0</v>
      </c>
      <c r="FA172" s="145">
        <v>0</v>
      </c>
      <c r="FB172" s="145">
        <v>0</v>
      </c>
      <c r="FC172" s="145">
        <v>0</v>
      </c>
      <c r="FD172" s="145">
        <v>0</v>
      </c>
      <c r="FE172" s="145">
        <v>0</v>
      </c>
      <c r="FF172" s="145">
        <v>0</v>
      </c>
      <c r="FG172" s="145">
        <v>0</v>
      </c>
      <c r="FH172" s="145">
        <v>0</v>
      </c>
      <c r="FI172" s="145">
        <v>0</v>
      </c>
      <c r="FJ172" s="145">
        <v>0</v>
      </c>
      <c r="FK172" s="145">
        <v>0</v>
      </c>
      <c r="FL172" s="145">
        <v>0</v>
      </c>
      <c r="FM172" s="145">
        <v>0</v>
      </c>
      <c r="FN172" s="145">
        <v>0</v>
      </c>
      <c r="FO172" s="145">
        <v>0</v>
      </c>
      <c r="FP172" s="145">
        <v>0</v>
      </c>
      <c r="FQ172" s="145">
        <v>0</v>
      </c>
      <c r="FR172" s="145">
        <v>0</v>
      </c>
      <c r="FS172" s="145">
        <v>0</v>
      </c>
      <c r="FT172" s="145">
        <v>0</v>
      </c>
      <c r="FU172" s="145">
        <v>0</v>
      </c>
      <c r="FV172" s="145">
        <v>0</v>
      </c>
      <c r="FW172" s="145">
        <v>0</v>
      </c>
      <c r="FX172" s="143"/>
      <c r="FY172" s="146" t="str">
        <f>_xlfn.XLOOKUP($E172,'Key assumptions'!$B$112:$B$120,'Key assumptions'!$C$112:$C$120,0)</f>
        <v>Nominal</v>
      </c>
      <c r="FZ172" s="146" cm="1">
        <f t="array" ref="FZ172">IF($FY172=0,0,_xlfn.IFS($FY172='Key assumptions'!$C$120,_xlfn.XLOOKUP(LEFT(FZ$7,6),Inflation_Year,Inflation_NominaltoReal),TRUE,_xlfn.XLOOKUP($FY172,Inflation_Year,NominaltoReal)))</f>
        <v>1.0197075870962191</v>
      </c>
      <c r="GA172" s="146" cm="1">
        <f t="array" ref="GA172">IF($FY172=0,0,_xlfn.IFS($FY172='Key assumptions'!$C$120,_xlfn.XLOOKUP(LEFT(GA$7,6),Inflation_Year,Inflation_NominaltoReal),TRUE,_xlfn.XLOOKUP($FY172,Inflation_Year,NominaltoReal)))</f>
        <v>0.98700804022984445</v>
      </c>
      <c r="GB172" s="146" cm="1">
        <f t="array" ref="GB172">IF($FY172=0,0,_xlfn.IFS($FY172='Key assumptions'!$C$120,_xlfn.XLOOKUP(LEFT(GB$7,6),Inflation_Year,Inflation_NominaltoReal),TRUE,_xlfn.XLOOKUP($FY172,Inflation_Year,NominaltoReal)))</f>
        <v>0.96152830081941731</v>
      </c>
      <c r="GC172" s="146" cm="1">
        <f t="array" ref="GC172">IF($FY172=0,0,_xlfn.IFS($FY172='Key assumptions'!$C$120,_xlfn.XLOOKUP(LEFT(GC$7,6),Inflation_Year,Inflation_NominaltoReal),TRUE,_xlfn.XLOOKUP($FY172,Inflation_Year,NominaltoReal)))</f>
        <v>0.93670632415656829</v>
      </c>
      <c r="GD172" s="146" cm="1">
        <f t="array" ref="GD172">IF($FY172=0,0,_xlfn.IFS($FY172='Key assumptions'!$C$120,_xlfn.XLOOKUP(LEFT(GD$7,6),Inflation_Year,Inflation_NominaltoReal),TRUE,_xlfn.XLOOKUP($FY172,Inflation_Year,NominaltoReal)))</f>
        <v>0.91252513001143176</v>
      </c>
      <c r="GE172" s="146" cm="1">
        <f t="array" ref="GE172">IF($FY172=0,0,_xlfn.IFS($FY172='Key assumptions'!$C$120,_xlfn.XLOOKUP(LEFT(GE$7,6),Inflation_Year,Inflation_NominaltoReal),TRUE,_xlfn.XLOOKUP($FY172,Inflation_Year,NominaltoReal)))</f>
        <v>0.88896817650095872</v>
      </c>
      <c r="GF172" s="146" cm="1">
        <f t="array" ref="GF172">IF($FY172=0,0,_xlfn.IFS($FY172='Key assumptions'!$C$120,_xlfn.XLOOKUP(LEFT(GF$7,6),Inflation_Year,Inflation_NominaltoReal),TRUE,_xlfn.XLOOKUP($FY172,Inflation_Year,NominaltoReal)))</f>
        <v>0.86601934877293718</v>
      </c>
      <c r="GG172" s="143"/>
      <c r="GH172" s="145" cm="1">
        <f t="array" ref="GH172">SUMPRODUCT(--($CR$7:$FW$7&gt;=GH$5),--($CR$7:$FW$7&lt;=GH$6),$CR172:$FW172)*FZ172</f>
        <v>8682.4634035446925</v>
      </c>
      <c r="GI172" s="145" cm="1">
        <f t="array" ref="GI172">SUMPRODUCT(--($CR$7:$FW$7&gt;=GI$5),--($CR$7:$FW$7&lt;=GI$6),$CR172:$FW172)*GA172</f>
        <v>34211.988533019736</v>
      </c>
      <c r="GJ172" s="145" cm="1">
        <f t="array" ref="GJ172">SUMPRODUCT(--($CR$7:$FW$7&gt;=GJ$5),--($CR$7:$FW$7&lt;=GJ$6),$CR172:$FW172)*GB172</f>
        <v>28534.794619267439</v>
      </c>
      <c r="GK172" s="145" cm="1">
        <f t="array" ref="GK172">SUMPRODUCT(--($CR$7:$FW$7&gt;=GK$5),--($CR$7:$FW$7&lt;=GK$6),$CR172:$FW172)*GC172</f>
        <v>0</v>
      </c>
      <c r="GL172" s="145" cm="1">
        <f t="array" ref="GL172">SUMPRODUCT(--($CR$7:$FW$7&gt;=GL$5),--($CR$7:$FW$7&lt;=GL$6),$CR172:$FW172)*GD172</f>
        <v>0</v>
      </c>
      <c r="GM172" s="145" cm="1">
        <f t="array" ref="GM172">SUMPRODUCT(--($CR$7:$FW$7&gt;=GM$5),--($CR$7:$FW$7&lt;=GM$6),$CR172:$FW172)*GE172</f>
        <v>0</v>
      </c>
      <c r="GN172" s="145" cm="1">
        <f t="array" ref="GN172">SUMPRODUCT(--($CR$7:$FW$7&gt;=GN$5),--($CR$7:$FW$7&lt;=GN$6),$CR172:$FW172)*GF172</f>
        <v>0</v>
      </c>
      <c r="GO172" s="145">
        <f t="shared" si="46"/>
        <v>71429.246555831865</v>
      </c>
      <c r="GP172" s="87"/>
      <c r="GR172" s="145" cm="1">
        <f t="array" ref="GR172">SUMPRODUCT(--($CR$7:$FW$7&gt;=GR$5),--($CR$7:$FW$7&lt;=GR$6),$CR172:$FW172)</f>
        <v>0</v>
      </c>
      <c r="GT172" s="214" cm="1">
        <f t="array" ref="GT172">--AND(MIN(IF($K172:$CP172&lt;&gt;0,$K$7:$CP$7))&gt;=GT$5,MIN(IF($K172:$CP172&lt;&gt;0,$K$7:$CP$7))&lt;=GT$6)</f>
        <v>1</v>
      </c>
      <c r="GU172" s="214" cm="1">
        <f t="array" ref="GU172">--AND(MIN(IF($K172:$CP172&lt;&gt;0,$K$7:$CP$7))&gt;=GU$5,MIN(IF($K172:$CP172&lt;&gt;0,$K$7:$CP$7))&lt;=GU$6)</f>
        <v>0</v>
      </c>
      <c r="GV172" s="214" cm="1">
        <f t="array" ref="GV172">--AND(MIN(IF($K172:$CP172&lt;&gt;0,$K$7:$CP$7))&gt;=GV$5,MIN(IF($K172:$CP172&lt;&gt;0,$K$7:$CP$7))&lt;=GV$6)</f>
        <v>0</v>
      </c>
      <c r="GW172" s="214" cm="1">
        <f t="array" ref="GW172">--AND(MIN(IF($K172:$CP172&lt;&gt;0,$K$7:$CP$7))&gt;=GW$5,MIN(IF($K172:$CP172&lt;&gt;0,$K$7:$CP$7))&lt;=GW$6)</f>
        <v>0</v>
      </c>
      <c r="GX172" s="214" cm="1">
        <f t="array" ref="GX172">--AND(MIN(IF($K172:$CP172&lt;&gt;0,$K$7:$CP$7))&gt;=GX$5,MIN(IF($K172:$CP172&lt;&gt;0,$K$7:$CP$7))&lt;=GX$6)</f>
        <v>0</v>
      </c>
      <c r="GY172" s="214" cm="1">
        <f t="array" ref="GY172">--AND(MIN(IF($K172:$CP172&lt;&gt;0,$K$7:$CP$7))&gt;=GY$5,MIN(IF($K172:$CP172&lt;&gt;0,$K$7:$CP$7))&lt;=GY$6)</f>
        <v>0</v>
      </c>
      <c r="GZ172" s="214" cm="1">
        <f t="array" ref="GZ172">--AND(MIN(IF($K172:$CP172&lt;&gt;0,$K$7:$CP$7))&gt;=GZ$5,MIN(IF($K172:$CP172&lt;&gt;0,$K$7:$CP$7))&lt;=GZ$6)</f>
        <v>0</v>
      </c>
      <c r="HA172" s="214">
        <f t="shared" si="47"/>
        <v>1</v>
      </c>
      <c r="HC172" s="214" cm="1">
        <f t="array" ref="HC172">--AND(MIN(IF($K172:$CP172&lt;&gt;0,$K$7:$CP$7))&gt;=HC$5,MIN(IF($K172:$CP172&lt;&gt;0,$K$7:$CP$7))&lt;=HC$6)</f>
        <v>0</v>
      </c>
      <c r="HE172" s="147" t="str">
        <f t="shared" si="66"/>
        <v>No</v>
      </c>
      <c r="HF172" s="147" t="str">
        <f t="shared" si="67"/>
        <v>No</v>
      </c>
      <c r="HG172" s="147">
        <f>IF($HF172="Yes",0,$H172*avg_hrs*12*'Key assumptions'!$D$87)</f>
        <v>362535.77629630821</v>
      </c>
      <c r="HH172" s="147">
        <f>IF(HE172="Yes",'Key assumptions'!$D$84*HG172,0)</f>
        <v>0</v>
      </c>
      <c r="HI172" s="144">
        <f>IFERROR(AVERAGEIFS($K172:$CP172,$K$7:$CP$7,"&gt;="&amp;'Key assumptions'!$D$24,$K$7:$CP$7,"&lt;="&amp;'Key assumptions'!$D$25),0)</f>
        <v>6.064593301435408E-2</v>
      </c>
      <c r="HJ172" s="148">
        <f t="shared" si="68"/>
        <v>0</v>
      </c>
      <c r="HK172" s="148">
        <f t="shared" si="49"/>
        <v>0</v>
      </c>
      <c r="HL172" s="148">
        <f t="shared" si="50"/>
        <v>0</v>
      </c>
      <c r="HM172" s="148">
        <f t="shared" si="51"/>
        <v>0</v>
      </c>
      <c r="HN172" s="148">
        <f t="shared" si="52"/>
        <v>0</v>
      </c>
      <c r="HO172" s="148">
        <f t="shared" si="53"/>
        <v>0</v>
      </c>
      <c r="HP172" s="148">
        <f t="shared" si="54"/>
        <v>0</v>
      </c>
      <c r="HQ172" s="148">
        <f t="shared" si="55"/>
        <v>0</v>
      </c>
      <c r="HR172" s="147">
        <f t="shared" si="56"/>
        <v>0</v>
      </c>
      <c r="HU172" s="147">
        <f>$HJ172*HC172/(1+'Key assumptions'!G194)^0.75</f>
        <v>0</v>
      </c>
      <c r="HW172" s="216">
        <f t="shared" si="57"/>
        <v>6.064593301435408E-2</v>
      </c>
      <c r="HX172" s="216">
        <f t="shared" si="58"/>
        <v>0</v>
      </c>
      <c r="HY172" s="216">
        <f t="shared" si="59"/>
        <v>0</v>
      </c>
      <c r="HZ172" s="216">
        <f t="shared" si="60"/>
        <v>0</v>
      </c>
      <c r="IA172" s="216">
        <f t="shared" si="61"/>
        <v>0</v>
      </c>
      <c r="IB172" s="216">
        <f t="shared" si="62"/>
        <v>0</v>
      </c>
      <c r="IC172" s="216">
        <f t="shared" si="63"/>
        <v>0</v>
      </c>
      <c r="ID172" s="216">
        <f t="shared" si="64"/>
        <v>6.064593301435408E-2</v>
      </c>
      <c r="IF172" s="216">
        <f t="shared" si="65"/>
        <v>0</v>
      </c>
    </row>
    <row r="173" spans="2:240" x14ac:dyDescent="0.2">
      <c r="B173" s="141" t="str">
        <v>Project Delivery Management - Commissioning</v>
      </c>
      <c r="C173" s="141" t="str">
        <v>SCADA Officer (Nwk Operations Tech)</v>
      </c>
      <c r="D173" s="141" t="str">
        <v>Internal Labour</v>
      </c>
      <c r="E173" s="141" t="str">
        <v>$ Nominal</v>
      </c>
      <c r="F173" s="141" t="str">
        <v>Existing</v>
      </c>
      <c r="G173" s="141" t="str">
        <v>Normal time</v>
      </c>
      <c r="H173" s="142">
        <v>202.73</v>
      </c>
      <c r="I173" s="126">
        <v>202340.59999999995</v>
      </c>
      <c r="J173" s="143">
        <v>0</v>
      </c>
      <c r="K173" s="144">
        <v>0</v>
      </c>
      <c r="L173" s="144">
        <v>0</v>
      </c>
      <c r="M173" s="144">
        <v>0</v>
      </c>
      <c r="N173" s="144">
        <v>0</v>
      </c>
      <c r="O173" s="144">
        <v>0</v>
      </c>
      <c r="P173" s="144">
        <v>0</v>
      </c>
      <c r="Q173" s="144">
        <v>0</v>
      </c>
      <c r="R173" s="144">
        <v>0</v>
      </c>
      <c r="S173" s="144">
        <v>0</v>
      </c>
      <c r="T173" s="144">
        <v>0</v>
      </c>
      <c r="U173" s="144">
        <v>0</v>
      </c>
      <c r="V173" s="144">
        <v>0</v>
      </c>
      <c r="W173" s="144">
        <v>0</v>
      </c>
      <c r="X173" s="144">
        <v>0</v>
      </c>
      <c r="Y173" s="144">
        <v>0</v>
      </c>
      <c r="Z173" s="144">
        <v>0</v>
      </c>
      <c r="AA173" s="144">
        <v>0</v>
      </c>
      <c r="AB173" s="144">
        <v>0</v>
      </c>
      <c r="AC173" s="144">
        <v>0.5</v>
      </c>
      <c r="AD173" s="144">
        <v>0.5</v>
      </c>
      <c r="AE173" s="144">
        <v>0.5</v>
      </c>
      <c r="AF173" s="144">
        <v>0.5</v>
      </c>
      <c r="AG173" s="144">
        <v>0</v>
      </c>
      <c r="AH173" s="144">
        <v>0.33333333333333331</v>
      </c>
      <c r="AI173" s="144">
        <v>0.33333333333333331</v>
      </c>
      <c r="AJ173" s="144">
        <v>0.25</v>
      </c>
      <c r="AK173" s="144">
        <v>0</v>
      </c>
      <c r="AL173" s="144">
        <v>0.66666666666666663</v>
      </c>
      <c r="AM173" s="144">
        <v>0.46052631578947367</v>
      </c>
      <c r="AN173" s="144">
        <v>0.46052631578947367</v>
      </c>
      <c r="AO173" s="144">
        <v>0.5</v>
      </c>
      <c r="AP173" s="144">
        <v>0.5</v>
      </c>
      <c r="AQ173" s="144">
        <v>0.5</v>
      </c>
      <c r="AR173" s="144">
        <v>0.25</v>
      </c>
      <c r="AS173" s="144">
        <v>0.25</v>
      </c>
      <c r="AT173" s="144">
        <v>0.33333333333333331</v>
      </c>
      <c r="AU173" s="144">
        <v>0.33333333333333331</v>
      </c>
      <c r="AV173" s="144">
        <v>0.25</v>
      </c>
      <c r="AW173" s="144">
        <v>0</v>
      </c>
      <c r="AX173" s="144">
        <v>0</v>
      </c>
      <c r="AY173" s="144">
        <v>0</v>
      </c>
      <c r="AZ173" s="144">
        <v>0</v>
      </c>
      <c r="BA173" s="144">
        <v>0</v>
      </c>
      <c r="BB173" s="144">
        <v>0</v>
      </c>
      <c r="BC173" s="144">
        <v>0</v>
      </c>
      <c r="BD173" s="144">
        <v>0</v>
      </c>
      <c r="BE173" s="144">
        <v>0</v>
      </c>
      <c r="BF173" s="144">
        <v>0</v>
      </c>
      <c r="BG173" s="144">
        <v>0</v>
      </c>
      <c r="BH173" s="144">
        <v>0</v>
      </c>
      <c r="BI173" s="144">
        <v>0</v>
      </c>
      <c r="BJ173" s="144">
        <v>0</v>
      </c>
      <c r="BK173" s="144">
        <v>0</v>
      </c>
      <c r="BL173" s="144">
        <v>0</v>
      </c>
      <c r="BM173" s="144">
        <v>0</v>
      </c>
      <c r="BN173" s="144">
        <v>0</v>
      </c>
      <c r="BO173" s="144">
        <v>0</v>
      </c>
      <c r="BP173" s="144">
        <v>0</v>
      </c>
      <c r="BQ173" s="144">
        <v>0</v>
      </c>
      <c r="BR173" s="144">
        <v>0</v>
      </c>
      <c r="BS173" s="144">
        <v>0</v>
      </c>
      <c r="BT173" s="144">
        <v>0</v>
      </c>
      <c r="BU173" s="144">
        <v>0</v>
      </c>
      <c r="BV173" s="144">
        <v>0</v>
      </c>
      <c r="BW173" s="144">
        <v>0</v>
      </c>
      <c r="BX173" s="144">
        <v>0</v>
      </c>
      <c r="BY173" s="144">
        <v>0</v>
      </c>
      <c r="BZ173" s="144">
        <v>0</v>
      </c>
      <c r="CA173" s="144">
        <v>0</v>
      </c>
      <c r="CB173" s="144">
        <v>0</v>
      </c>
      <c r="CC173" s="144">
        <v>0</v>
      </c>
      <c r="CD173" s="144">
        <v>0</v>
      </c>
      <c r="CE173" s="144">
        <v>0</v>
      </c>
      <c r="CF173" s="144">
        <v>0</v>
      </c>
      <c r="CG173" s="144">
        <v>0</v>
      </c>
      <c r="CH173" s="144">
        <v>0</v>
      </c>
      <c r="CI173" s="144">
        <v>0</v>
      </c>
      <c r="CJ173" s="144">
        <v>0</v>
      </c>
      <c r="CK173" s="144">
        <v>0</v>
      </c>
      <c r="CL173" s="144">
        <v>0</v>
      </c>
      <c r="CM173" s="144">
        <v>0</v>
      </c>
      <c r="CN173" s="144">
        <v>0</v>
      </c>
      <c r="CO173" s="144">
        <v>0</v>
      </c>
      <c r="CP173" s="144">
        <v>0</v>
      </c>
      <c r="CQ173" s="143">
        <v>0</v>
      </c>
      <c r="CR173" s="145">
        <v>0</v>
      </c>
      <c r="CS173" s="145">
        <v>0</v>
      </c>
      <c r="CT173" s="145">
        <v>0</v>
      </c>
      <c r="CU173" s="145">
        <v>0</v>
      </c>
      <c r="CV173" s="145">
        <v>0</v>
      </c>
      <c r="CW173" s="145">
        <v>0</v>
      </c>
      <c r="CX173" s="145">
        <v>0</v>
      </c>
      <c r="CY173" s="145">
        <v>0</v>
      </c>
      <c r="CZ173" s="145">
        <v>0</v>
      </c>
      <c r="DA173" s="145">
        <v>0</v>
      </c>
      <c r="DB173" s="145">
        <v>0</v>
      </c>
      <c r="DC173" s="145">
        <v>0</v>
      </c>
      <c r="DD173" s="145">
        <v>0</v>
      </c>
      <c r="DE173" s="145">
        <v>0</v>
      </c>
      <c r="DF173" s="145">
        <v>0</v>
      </c>
      <c r="DG173" s="145">
        <v>0</v>
      </c>
      <c r="DH173" s="145">
        <v>0</v>
      </c>
      <c r="DI173" s="145">
        <v>0</v>
      </c>
      <c r="DJ173" s="145">
        <v>14191.099999999999</v>
      </c>
      <c r="DK173" s="145">
        <v>14191.099999999999</v>
      </c>
      <c r="DL173" s="145">
        <v>14191.099999999999</v>
      </c>
      <c r="DM173" s="145">
        <v>14191.099999999999</v>
      </c>
      <c r="DN173" s="145">
        <v>0</v>
      </c>
      <c r="DO173" s="145">
        <v>7095.5499999999993</v>
      </c>
      <c r="DP173" s="145">
        <v>7095.5499999999993</v>
      </c>
      <c r="DQ173" s="145">
        <v>7095.5499999999993</v>
      </c>
      <c r="DR173" s="145">
        <v>0</v>
      </c>
      <c r="DS173" s="145">
        <v>14622.3</v>
      </c>
      <c r="DT173" s="145">
        <v>14622.3</v>
      </c>
      <c r="DU173" s="145">
        <v>14622.3</v>
      </c>
      <c r="DV173" s="145">
        <v>14622.3</v>
      </c>
      <c r="DW173" s="145">
        <v>14622.3</v>
      </c>
      <c r="DX173" s="145">
        <v>14622.3</v>
      </c>
      <c r="DY173" s="145">
        <v>7311.15</v>
      </c>
      <c r="DZ173" s="145">
        <v>7311.15</v>
      </c>
      <c r="EA173" s="145">
        <v>7311.15</v>
      </c>
      <c r="EB173" s="145">
        <v>7311.15</v>
      </c>
      <c r="EC173" s="145">
        <v>7311.15</v>
      </c>
      <c r="ED173" s="145">
        <v>0</v>
      </c>
      <c r="EE173" s="145">
        <v>0</v>
      </c>
      <c r="EF173" s="145">
        <v>0</v>
      </c>
      <c r="EG173" s="145">
        <v>0</v>
      </c>
      <c r="EH173" s="145">
        <v>0</v>
      </c>
      <c r="EI173" s="145">
        <v>0</v>
      </c>
      <c r="EJ173" s="145">
        <v>0</v>
      </c>
      <c r="EK173" s="145">
        <v>0</v>
      </c>
      <c r="EL173" s="145">
        <v>0</v>
      </c>
      <c r="EM173" s="145">
        <v>0</v>
      </c>
      <c r="EN173" s="145">
        <v>0</v>
      </c>
      <c r="EO173" s="145">
        <v>0</v>
      </c>
      <c r="EP173" s="145">
        <v>0</v>
      </c>
      <c r="EQ173" s="145">
        <v>0</v>
      </c>
      <c r="ER173" s="145">
        <v>0</v>
      </c>
      <c r="ES173" s="145">
        <v>0</v>
      </c>
      <c r="ET173" s="145">
        <v>0</v>
      </c>
      <c r="EU173" s="145">
        <v>0</v>
      </c>
      <c r="EV173" s="145">
        <v>0</v>
      </c>
      <c r="EW173" s="145">
        <v>0</v>
      </c>
      <c r="EX173" s="145">
        <v>0</v>
      </c>
      <c r="EY173" s="145">
        <v>0</v>
      </c>
      <c r="EZ173" s="145">
        <v>0</v>
      </c>
      <c r="FA173" s="145">
        <v>0</v>
      </c>
      <c r="FB173" s="145">
        <v>0</v>
      </c>
      <c r="FC173" s="145">
        <v>0</v>
      </c>
      <c r="FD173" s="145">
        <v>0</v>
      </c>
      <c r="FE173" s="145">
        <v>0</v>
      </c>
      <c r="FF173" s="145">
        <v>0</v>
      </c>
      <c r="FG173" s="145">
        <v>0</v>
      </c>
      <c r="FH173" s="145">
        <v>0</v>
      </c>
      <c r="FI173" s="145">
        <v>0</v>
      </c>
      <c r="FJ173" s="145">
        <v>0</v>
      </c>
      <c r="FK173" s="145">
        <v>0</v>
      </c>
      <c r="FL173" s="145">
        <v>0</v>
      </c>
      <c r="FM173" s="145">
        <v>0</v>
      </c>
      <c r="FN173" s="145">
        <v>0</v>
      </c>
      <c r="FO173" s="145">
        <v>0</v>
      </c>
      <c r="FP173" s="145">
        <v>0</v>
      </c>
      <c r="FQ173" s="145">
        <v>0</v>
      </c>
      <c r="FR173" s="145">
        <v>0</v>
      </c>
      <c r="FS173" s="145">
        <v>0</v>
      </c>
      <c r="FT173" s="145">
        <v>0</v>
      </c>
      <c r="FU173" s="145">
        <v>0</v>
      </c>
      <c r="FV173" s="145">
        <v>0</v>
      </c>
      <c r="FW173" s="145">
        <v>0</v>
      </c>
      <c r="FX173" s="143"/>
      <c r="FY173" s="146" t="str">
        <f>_xlfn.XLOOKUP($E173,'Key assumptions'!$B$112:$B$120,'Key assumptions'!$C$112:$C$120,0)</f>
        <v>Nominal</v>
      </c>
      <c r="FZ173" s="146" cm="1">
        <f t="array" ref="FZ173">IF($FY173=0,0,_xlfn.IFS($FY173='Key assumptions'!$C$120,_xlfn.XLOOKUP(LEFT(FZ$7,6),Inflation_Year,Inflation_NominaltoReal),TRUE,_xlfn.XLOOKUP($FY173,Inflation_Year,NominaltoReal)))</f>
        <v>1.0197075870962191</v>
      </c>
      <c r="GA173" s="146" cm="1">
        <f t="array" ref="GA173">IF($FY173=0,0,_xlfn.IFS($FY173='Key assumptions'!$C$120,_xlfn.XLOOKUP(LEFT(GA$7,6),Inflation_Year,Inflation_NominaltoReal),TRUE,_xlfn.XLOOKUP($FY173,Inflation_Year,NominaltoReal)))</f>
        <v>0.98700804022984445</v>
      </c>
      <c r="GB173" s="146" cm="1">
        <f t="array" ref="GB173">IF($FY173=0,0,_xlfn.IFS($FY173='Key assumptions'!$C$120,_xlfn.XLOOKUP(LEFT(GB$7,6),Inflation_Year,Inflation_NominaltoReal),TRUE,_xlfn.XLOOKUP($FY173,Inflation_Year,NominaltoReal)))</f>
        <v>0.96152830081941731</v>
      </c>
      <c r="GC173" s="146" cm="1">
        <f t="array" ref="GC173">IF($FY173=0,0,_xlfn.IFS($FY173='Key assumptions'!$C$120,_xlfn.XLOOKUP(LEFT(GC$7,6),Inflation_Year,Inflation_NominaltoReal),TRUE,_xlfn.XLOOKUP($FY173,Inflation_Year,NominaltoReal)))</f>
        <v>0.93670632415656829</v>
      </c>
      <c r="GD173" s="146" cm="1">
        <f t="array" ref="GD173">IF($FY173=0,0,_xlfn.IFS($FY173='Key assumptions'!$C$120,_xlfn.XLOOKUP(LEFT(GD$7,6),Inflation_Year,Inflation_NominaltoReal),TRUE,_xlfn.XLOOKUP($FY173,Inflation_Year,NominaltoReal)))</f>
        <v>0.91252513001143176</v>
      </c>
      <c r="GE173" s="146" cm="1">
        <f t="array" ref="GE173">IF($FY173=0,0,_xlfn.IFS($FY173='Key assumptions'!$C$120,_xlfn.XLOOKUP(LEFT(GE$7,6),Inflation_Year,Inflation_NominaltoReal),TRUE,_xlfn.XLOOKUP($FY173,Inflation_Year,NominaltoReal)))</f>
        <v>0.88896817650095872</v>
      </c>
      <c r="GF173" s="146" cm="1">
        <f t="array" ref="GF173">IF($FY173=0,0,_xlfn.IFS($FY173='Key assumptions'!$C$120,_xlfn.XLOOKUP(LEFT(GF$7,6),Inflation_Year,Inflation_NominaltoReal),TRUE,_xlfn.XLOOKUP($FY173,Inflation_Year,NominaltoReal)))</f>
        <v>0.86601934877293718</v>
      </c>
      <c r="GG173" s="143"/>
      <c r="GH173" s="145" cm="1">
        <f t="array" ref="GH173">SUMPRODUCT(--($CR$7:$FW$7&gt;=GH$5),--($CR$7:$FW$7&lt;=GH$6),$CR173:$FW173)*FZ173</f>
        <v>43412.317017723464</v>
      </c>
      <c r="GI173" s="145" cm="1">
        <f t="array" ref="GI173">SUMPRODUCT(--($CR$7:$FW$7&gt;=GI$5),--($CR$7:$FW$7&lt;=GI$6),$CR173:$FW173)*GA173</f>
        <v>121610.7904991815</v>
      </c>
      <c r="GJ173" s="145" cm="1">
        <f t="array" ref="GJ173">SUMPRODUCT(--($CR$7:$FW$7&gt;=GJ$5),--($CR$7:$FW$7&lt;=GJ$6),$CR173:$FW173)*GB173</f>
        <v>35149.388182679417</v>
      </c>
      <c r="GK173" s="145" cm="1">
        <f t="array" ref="GK173">SUMPRODUCT(--($CR$7:$FW$7&gt;=GK$5),--($CR$7:$FW$7&lt;=GK$6),$CR173:$FW173)*GC173</f>
        <v>0</v>
      </c>
      <c r="GL173" s="145" cm="1">
        <f t="array" ref="GL173">SUMPRODUCT(--($CR$7:$FW$7&gt;=GL$5),--($CR$7:$FW$7&lt;=GL$6),$CR173:$FW173)*GD173</f>
        <v>0</v>
      </c>
      <c r="GM173" s="145" cm="1">
        <f t="array" ref="GM173">SUMPRODUCT(--($CR$7:$FW$7&gt;=GM$5),--($CR$7:$FW$7&lt;=GM$6),$CR173:$FW173)*GE173</f>
        <v>0</v>
      </c>
      <c r="GN173" s="145" cm="1">
        <f t="array" ref="GN173">SUMPRODUCT(--($CR$7:$FW$7&gt;=GN$5),--($CR$7:$FW$7&lt;=GN$6),$CR173:$FW173)*GF173</f>
        <v>0</v>
      </c>
      <c r="GO173" s="145">
        <f t="shared" si="46"/>
        <v>200172.4956995844</v>
      </c>
      <c r="GP173" s="87"/>
      <c r="GR173" s="145" cm="1">
        <f t="array" ref="GR173">SUMPRODUCT(--($CR$7:$FW$7&gt;=GR$5),--($CR$7:$FW$7&lt;=GR$6),$CR173:$FW173)</f>
        <v>0</v>
      </c>
      <c r="GT173" s="214" cm="1">
        <f t="array" ref="GT173">--AND(MIN(IF($K173:$CP173&lt;&gt;0,$K$7:$CP$7))&gt;=GT$5,MIN(IF($K173:$CP173&lt;&gt;0,$K$7:$CP$7))&lt;=GT$6)</f>
        <v>1</v>
      </c>
      <c r="GU173" s="214" cm="1">
        <f t="array" ref="GU173">--AND(MIN(IF($K173:$CP173&lt;&gt;0,$K$7:$CP$7))&gt;=GU$5,MIN(IF($K173:$CP173&lt;&gt;0,$K$7:$CP$7))&lt;=GU$6)</f>
        <v>0</v>
      </c>
      <c r="GV173" s="214" cm="1">
        <f t="array" ref="GV173">--AND(MIN(IF($K173:$CP173&lt;&gt;0,$K$7:$CP$7))&gt;=GV$5,MIN(IF($K173:$CP173&lt;&gt;0,$K$7:$CP$7))&lt;=GV$6)</f>
        <v>0</v>
      </c>
      <c r="GW173" s="214" cm="1">
        <f t="array" ref="GW173">--AND(MIN(IF($K173:$CP173&lt;&gt;0,$K$7:$CP$7))&gt;=GW$5,MIN(IF($K173:$CP173&lt;&gt;0,$K$7:$CP$7))&lt;=GW$6)</f>
        <v>0</v>
      </c>
      <c r="GX173" s="214" cm="1">
        <f t="array" ref="GX173">--AND(MIN(IF($K173:$CP173&lt;&gt;0,$K$7:$CP$7))&gt;=GX$5,MIN(IF($K173:$CP173&lt;&gt;0,$K$7:$CP$7))&lt;=GX$6)</f>
        <v>0</v>
      </c>
      <c r="GY173" s="214" cm="1">
        <f t="array" ref="GY173">--AND(MIN(IF($K173:$CP173&lt;&gt;0,$K$7:$CP$7))&gt;=GY$5,MIN(IF($K173:$CP173&lt;&gt;0,$K$7:$CP$7))&lt;=GY$6)</f>
        <v>0</v>
      </c>
      <c r="GZ173" s="214" cm="1">
        <f t="array" ref="GZ173">--AND(MIN(IF($K173:$CP173&lt;&gt;0,$K$7:$CP$7))&gt;=GZ$5,MIN(IF($K173:$CP173&lt;&gt;0,$K$7:$CP$7))&lt;=GZ$6)</f>
        <v>0</v>
      </c>
      <c r="HA173" s="214">
        <f t="shared" si="47"/>
        <v>1</v>
      </c>
      <c r="HC173" s="214" cm="1">
        <f t="array" ref="HC173">--AND(MIN(IF($K173:$CP173&lt;&gt;0,$K$7:$CP$7))&gt;=HC$5,MIN(IF($K173:$CP173&lt;&gt;0,$K$7:$CP$7))&lt;=HC$6)</f>
        <v>0</v>
      </c>
      <c r="HE173" s="147" t="str">
        <f t="shared" si="66"/>
        <v>No</v>
      </c>
      <c r="HF173" s="147" t="str">
        <f t="shared" si="67"/>
        <v>No</v>
      </c>
      <c r="HG173" s="147">
        <f>IF($HF173="Yes",0,$H173*avg_hrs*12*'Key assumptions'!$D$87)</f>
        <v>362535.77629630821</v>
      </c>
      <c r="HH173" s="147">
        <f>IF(HE173="Yes",'Key assumptions'!$D$84*HG173,0)</f>
        <v>0</v>
      </c>
      <c r="HI173" s="144">
        <f>IFERROR(AVERAGEIFS($K173:$CP173,$K$7:$CP$7,"&gt;="&amp;'Key assumptions'!$D$24,$K$7:$CP$7,"&lt;="&amp;'Key assumptions'!$D$25),0)</f>
        <v>0.1686602870813397</v>
      </c>
      <c r="HJ173" s="148">
        <f t="shared" si="68"/>
        <v>0</v>
      </c>
      <c r="HK173" s="148">
        <f t="shared" si="49"/>
        <v>0</v>
      </c>
      <c r="HL173" s="148">
        <f t="shared" si="50"/>
        <v>0</v>
      </c>
      <c r="HM173" s="148">
        <f t="shared" si="51"/>
        <v>0</v>
      </c>
      <c r="HN173" s="148">
        <f t="shared" si="52"/>
        <v>0</v>
      </c>
      <c r="HO173" s="148">
        <f t="shared" si="53"/>
        <v>0</v>
      </c>
      <c r="HP173" s="148">
        <f t="shared" si="54"/>
        <v>0</v>
      </c>
      <c r="HQ173" s="148">
        <f t="shared" si="55"/>
        <v>0</v>
      </c>
      <c r="HR173" s="147">
        <f t="shared" si="56"/>
        <v>0</v>
      </c>
      <c r="HU173" s="147">
        <f>$HJ173*HC173/(1+'Key assumptions'!G195)^0.75</f>
        <v>0</v>
      </c>
      <c r="HW173" s="216">
        <f t="shared" si="57"/>
        <v>0.1686602870813397</v>
      </c>
      <c r="HX173" s="216">
        <f t="shared" si="58"/>
        <v>0</v>
      </c>
      <c r="HY173" s="216">
        <f t="shared" si="59"/>
        <v>0</v>
      </c>
      <c r="HZ173" s="216">
        <f t="shared" si="60"/>
        <v>0</v>
      </c>
      <c r="IA173" s="216">
        <f t="shared" si="61"/>
        <v>0</v>
      </c>
      <c r="IB173" s="216">
        <f t="shared" si="62"/>
        <v>0</v>
      </c>
      <c r="IC173" s="216">
        <f t="shared" si="63"/>
        <v>0</v>
      </c>
      <c r="ID173" s="216">
        <f t="shared" si="64"/>
        <v>0.1686602870813397</v>
      </c>
      <c r="IF173" s="216">
        <f t="shared" si="65"/>
        <v>0</v>
      </c>
    </row>
    <row r="174" spans="2:240" x14ac:dyDescent="0.2">
      <c r="B174" s="141" t="str">
        <v>Project Delivery Management - Commissioning</v>
      </c>
      <c r="C174" s="141" t="str">
        <v>Secondary Systems Technician (Construction)</v>
      </c>
      <c r="D174" s="141" t="str">
        <v>Internal Labour</v>
      </c>
      <c r="E174" s="141" t="str">
        <v>$ Nominal</v>
      </c>
      <c r="F174" s="141" t="str">
        <v>Existing</v>
      </c>
      <c r="G174" s="141" t="str">
        <v>Normal time</v>
      </c>
      <c r="H174" s="142">
        <v>195.66</v>
      </c>
      <c r="I174" s="126">
        <v>216765.70999999996</v>
      </c>
      <c r="J174" s="143">
        <v>0</v>
      </c>
      <c r="K174" s="144">
        <v>0</v>
      </c>
      <c r="L174" s="144">
        <v>0</v>
      </c>
      <c r="M174" s="144">
        <v>0</v>
      </c>
      <c r="N174" s="144">
        <v>0</v>
      </c>
      <c r="O174" s="144">
        <v>0</v>
      </c>
      <c r="P174" s="144">
        <v>0</v>
      </c>
      <c r="Q174" s="144">
        <v>0</v>
      </c>
      <c r="R174" s="144">
        <v>0</v>
      </c>
      <c r="S174" s="144">
        <v>0</v>
      </c>
      <c r="T174" s="144">
        <v>0</v>
      </c>
      <c r="U174" s="144">
        <v>0</v>
      </c>
      <c r="V174" s="144">
        <v>0</v>
      </c>
      <c r="W174" s="144">
        <v>0</v>
      </c>
      <c r="X174" s="144">
        <v>0</v>
      </c>
      <c r="Y174" s="144">
        <v>0.05</v>
      </c>
      <c r="Z174" s="144">
        <v>0</v>
      </c>
      <c r="AA174" s="144">
        <v>0</v>
      </c>
      <c r="AB174" s="144">
        <v>0</v>
      </c>
      <c r="AC174" s="144">
        <v>0</v>
      </c>
      <c r="AD174" s="144">
        <v>0</v>
      </c>
      <c r="AE174" s="144">
        <v>0</v>
      </c>
      <c r="AF174" s="144">
        <v>1.1000000000000001</v>
      </c>
      <c r="AG174" s="144">
        <v>1.55</v>
      </c>
      <c r="AH174" s="144">
        <v>0</v>
      </c>
      <c r="AI174" s="144">
        <v>2.0666666666666669</v>
      </c>
      <c r="AJ174" s="144">
        <v>1.5</v>
      </c>
      <c r="AK174" s="144">
        <v>0</v>
      </c>
      <c r="AL174" s="144">
        <v>0</v>
      </c>
      <c r="AM174" s="144">
        <v>0</v>
      </c>
      <c r="AN174" s="144">
        <v>0</v>
      </c>
      <c r="AO174" s="144">
        <v>0</v>
      </c>
      <c r="AP174" s="144">
        <v>0</v>
      </c>
      <c r="AQ174" s="144">
        <v>0</v>
      </c>
      <c r="AR174" s="144">
        <v>1.1000000000000001</v>
      </c>
      <c r="AS174" s="144">
        <v>0.5</v>
      </c>
      <c r="AT174" s="144">
        <v>0.66666666666666663</v>
      </c>
      <c r="AU174" s="144">
        <v>0</v>
      </c>
      <c r="AV174" s="144">
        <v>0</v>
      </c>
      <c r="AW174" s="144">
        <v>0</v>
      </c>
      <c r="AX174" s="144">
        <v>0</v>
      </c>
      <c r="AY174" s="144">
        <v>0</v>
      </c>
      <c r="AZ174" s="144">
        <v>0</v>
      </c>
      <c r="BA174" s="144">
        <v>0</v>
      </c>
      <c r="BB174" s="144">
        <v>0</v>
      </c>
      <c r="BC174" s="144">
        <v>0</v>
      </c>
      <c r="BD174" s="144">
        <v>0</v>
      </c>
      <c r="BE174" s="144">
        <v>0</v>
      </c>
      <c r="BF174" s="144">
        <v>0</v>
      </c>
      <c r="BG174" s="144">
        <v>0</v>
      </c>
      <c r="BH174" s="144">
        <v>0</v>
      </c>
      <c r="BI174" s="144">
        <v>0</v>
      </c>
      <c r="BJ174" s="144">
        <v>0</v>
      </c>
      <c r="BK174" s="144">
        <v>0</v>
      </c>
      <c r="BL174" s="144">
        <v>0</v>
      </c>
      <c r="BM174" s="144">
        <v>0</v>
      </c>
      <c r="BN174" s="144">
        <v>0</v>
      </c>
      <c r="BO174" s="144">
        <v>0</v>
      </c>
      <c r="BP174" s="144">
        <v>0</v>
      </c>
      <c r="BQ174" s="144">
        <v>0</v>
      </c>
      <c r="BR174" s="144">
        <v>0</v>
      </c>
      <c r="BS174" s="144">
        <v>0</v>
      </c>
      <c r="BT174" s="144">
        <v>0</v>
      </c>
      <c r="BU174" s="144">
        <v>0</v>
      </c>
      <c r="BV174" s="144">
        <v>0</v>
      </c>
      <c r="BW174" s="144">
        <v>0</v>
      </c>
      <c r="BX174" s="144">
        <v>0</v>
      </c>
      <c r="BY174" s="144">
        <v>0</v>
      </c>
      <c r="BZ174" s="144">
        <v>0</v>
      </c>
      <c r="CA174" s="144">
        <v>0</v>
      </c>
      <c r="CB174" s="144">
        <v>0</v>
      </c>
      <c r="CC174" s="144">
        <v>0</v>
      </c>
      <c r="CD174" s="144">
        <v>0</v>
      </c>
      <c r="CE174" s="144">
        <v>0</v>
      </c>
      <c r="CF174" s="144">
        <v>0</v>
      </c>
      <c r="CG174" s="144">
        <v>0</v>
      </c>
      <c r="CH174" s="144">
        <v>0</v>
      </c>
      <c r="CI174" s="144">
        <v>0</v>
      </c>
      <c r="CJ174" s="144">
        <v>0</v>
      </c>
      <c r="CK174" s="144">
        <v>0</v>
      </c>
      <c r="CL174" s="144">
        <v>0</v>
      </c>
      <c r="CM174" s="144">
        <v>0</v>
      </c>
      <c r="CN174" s="144">
        <v>0</v>
      </c>
      <c r="CO174" s="144">
        <v>0</v>
      </c>
      <c r="CP174" s="144">
        <v>0</v>
      </c>
      <c r="CQ174" s="143">
        <v>0</v>
      </c>
      <c r="CR174" s="145">
        <v>0</v>
      </c>
      <c r="CS174" s="145">
        <v>0</v>
      </c>
      <c r="CT174" s="145">
        <v>0</v>
      </c>
      <c r="CU174" s="145">
        <v>0</v>
      </c>
      <c r="CV174" s="145">
        <v>0</v>
      </c>
      <c r="CW174" s="145">
        <v>0</v>
      </c>
      <c r="CX174" s="145">
        <v>0</v>
      </c>
      <c r="CY174" s="145">
        <v>0</v>
      </c>
      <c r="CZ174" s="145">
        <v>0</v>
      </c>
      <c r="DA174" s="145">
        <v>0</v>
      </c>
      <c r="DB174" s="145">
        <v>0</v>
      </c>
      <c r="DC174" s="145">
        <v>0</v>
      </c>
      <c r="DD174" s="145">
        <v>0</v>
      </c>
      <c r="DE174" s="145">
        <v>0</v>
      </c>
      <c r="DF174" s="145">
        <v>1369.55</v>
      </c>
      <c r="DG174" s="145">
        <v>0</v>
      </c>
      <c r="DH174" s="145">
        <v>0</v>
      </c>
      <c r="DI174" s="145">
        <v>0</v>
      </c>
      <c r="DJ174" s="145">
        <v>0</v>
      </c>
      <c r="DK174" s="145">
        <v>0</v>
      </c>
      <c r="DL174" s="145">
        <v>0</v>
      </c>
      <c r="DM174" s="145">
        <v>30130.100000000002</v>
      </c>
      <c r="DN174" s="145">
        <v>42456.05</v>
      </c>
      <c r="DO174" s="145">
        <v>0</v>
      </c>
      <c r="DP174" s="145">
        <v>42456.05</v>
      </c>
      <c r="DQ174" s="145">
        <v>41086.5</v>
      </c>
      <c r="DR174" s="145">
        <v>0</v>
      </c>
      <c r="DS174" s="145">
        <v>0</v>
      </c>
      <c r="DT174" s="145">
        <v>0</v>
      </c>
      <c r="DU174" s="145">
        <v>0</v>
      </c>
      <c r="DV174" s="145">
        <v>0</v>
      </c>
      <c r="DW174" s="145">
        <v>0</v>
      </c>
      <c r="DX174" s="145">
        <v>0</v>
      </c>
      <c r="DY174" s="145">
        <v>31044.86</v>
      </c>
      <c r="DZ174" s="145">
        <v>14111.300000000001</v>
      </c>
      <c r="EA174" s="145">
        <v>14111.300000000001</v>
      </c>
      <c r="EB174" s="145">
        <v>0</v>
      </c>
      <c r="EC174" s="145">
        <v>0</v>
      </c>
      <c r="ED174" s="145">
        <v>0</v>
      </c>
      <c r="EE174" s="145">
        <v>0</v>
      </c>
      <c r="EF174" s="145">
        <v>0</v>
      </c>
      <c r="EG174" s="145">
        <v>0</v>
      </c>
      <c r="EH174" s="145">
        <v>0</v>
      </c>
      <c r="EI174" s="145">
        <v>0</v>
      </c>
      <c r="EJ174" s="145">
        <v>0</v>
      </c>
      <c r="EK174" s="145">
        <v>0</v>
      </c>
      <c r="EL174" s="145">
        <v>0</v>
      </c>
      <c r="EM174" s="145">
        <v>0</v>
      </c>
      <c r="EN174" s="145">
        <v>0</v>
      </c>
      <c r="EO174" s="145">
        <v>0</v>
      </c>
      <c r="EP174" s="145">
        <v>0</v>
      </c>
      <c r="EQ174" s="145">
        <v>0</v>
      </c>
      <c r="ER174" s="145">
        <v>0</v>
      </c>
      <c r="ES174" s="145">
        <v>0</v>
      </c>
      <c r="ET174" s="145">
        <v>0</v>
      </c>
      <c r="EU174" s="145">
        <v>0</v>
      </c>
      <c r="EV174" s="145">
        <v>0</v>
      </c>
      <c r="EW174" s="145">
        <v>0</v>
      </c>
      <c r="EX174" s="145">
        <v>0</v>
      </c>
      <c r="EY174" s="145">
        <v>0</v>
      </c>
      <c r="EZ174" s="145">
        <v>0</v>
      </c>
      <c r="FA174" s="145">
        <v>0</v>
      </c>
      <c r="FB174" s="145">
        <v>0</v>
      </c>
      <c r="FC174" s="145">
        <v>0</v>
      </c>
      <c r="FD174" s="145">
        <v>0</v>
      </c>
      <c r="FE174" s="145">
        <v>0</v>
      </c>
      <c r="FF174" s="145">
        <v>0</v>
      </c>
      <c r="FG174" s="145">
        <v>0</v>
      </c>
      <c r="FH174" s="145">
        <v>0</v>
      </c>
      <c r="FI174" s="145">
        <v>0</v>
      </c>
      <c r="FJ174" s="145">
        <v>0</v>
      </c>
      <c r="FK174" s="145">
        <v>0</v>
      </c>
      <c r="FL174" s="145">
        <v>0</v>
      </c>
      <c r="FM174" s="145">
        <v>0</v>
      </c>
      <c r="FN174" s="145">
        <v>0</v>
      </c>
      <c r="FO174" s="145">
        <v>0</v>
      </c>
      <c r="FP174" s="145">
        <v>0</v>
      </c>
      <c r="FQ174" s="145">
        <v>0</v>
      </c>
      <c r="FR174" s="145">
        <v>0</v>
      </c>
      <c r="FS174" s="145">
        <v>0</v>
      </c>
      <c r="FT174" s="145">
        <v>0</v>
      </c>
      <c r="FU174" s="145">
        <v>0</v>
      </c>
      <c r="FV174" s="145">
        <v>0</v>
      </c>
      <c r="FW174" s="145">
        <v>0</v>
      </c>
      <c r="FX174" s="143"/>
      <c r="FY174" s="146" t="str">
        <f>_xlfn.XLOOKUP($E174,'Key assumptions'!$B$112:$B$120,'Key assumptions'!$C$112:$C$120,0)</f>
        <v>Nominal</v>
      </c>
      <c r="FZ174" s="146" cm="1">
        <f t="array" ref="FZ174">IF($FY174=0,0,_xlfn.IFS($FY174='Key assumptions'!$C$120,_xlfn.XLOOKUP(LEFT(FZ$7,6),Inflation_Year,Inflation_NominaltoReal),TRUE,_xlfn.XLOOKUP($FY174,Inflation_Year,NominaltoReal)))</f>
        <v>1.0197075870962191</v>
      </c>
      <c r="GA174" s="146" cm="1">
        <f t="array" ref="GA174">IF($FY174=0,0,_xlfn.IFS($FY174='Key assumptions'!$C$120,_xlfn.XLOOKUP(LEFT(GA$7,6),Inflation_Year,Inflation_NominaltoReal),TRUE,_xlfn.XLOOKUP($FY174,Inflation_Year,NominaltoReal)))</f>
        <v>0.98700804022984445</v>
      </c>
      <c r="GB174" s="146" cm="1">
        <f t="array" ref="GB174">IF($FY174=0,0,_xlfn.IFS($FY174='Key assumptions'!$C$120,_xlfn.XLOOKUP(LEFT(GB$7,6),Inflation_Year,Inflation_NominaltoReal),TRUE,_xlfn.XLOOKUP($FY174,Inflation_Year,NominaltoReal)))</f>
        <v>0.96152830081941731</v>
      </c>
      <c r="GC174" s="146" cm="1">
        <f t="array" ref="GC174">IF($FY174=0,0,_xlfn.IFS($FY174='Key assumptions'!$C$120,_xlfn.XLOOKUP(LEFT(GC$7,6),Inflation_Year,Inflation_NominaltoReal),TRUE,_xlfn.XLOOKUP($FY174,Inflation_Year,NominaltoReal)))</f>
        <v>0.93670632415656829</v>
      </c>
      <c r="GD174" s="146" cm="1">
        <f t="array" ref="GD174">IF($FY174=0,0,_xlfn.IFS($FY174='Key assumptions'!$C$120,_xlfn.XLOOKUP(LEFT(GD$7,6),Inflation_Year,Inflation_NominaltoReal),TRUE,_xlfn.XLOOKUP($FY174,Inflation_Year,NominaltoReal)))</f>
        <v>0.91252513001143176</v>
      </c>
      <c r="GE174" s="146" cm="1">
        <f t="array" ref="GE174">IF($FY174=0,0,_xlfn.IFS($FY174='Key assumptions'!$C$120,_xlfn.XLOOKUP(LEFT(GE$7,6),Inflation_Year,Inflation_NominaltoReal),TRUE,_xlfn.XLOOKUP($FY174,Inflation_Year,NominaltoReal)))</f>
        <v>0.88896817650095872</v>
      </c>
      <c r="GF174" s="146" cm="1">
        <f t="array" ref="GF174">IF($FY174=0,0,_xlfn.IFS($FY174='Key assumptions'!$C$120,_xlfn.XLOOKUP(LEFT(GF$7,6),Inflation_Year,Inflation_NominaltoReal),TRUE,_xlfn.XLOOKUP($FY174,Inflation_Year,NominaltoReal)))</f>
        <v>0.86601934877293718</v>
      </c>
      <c r="GG174" s="143"/>
      <c r="GH174" s="145" cm="1">
        <f t="array" ref="GH174">SUMPRODUCT(--($CR$7:$FW$7&gt;=GH$5),--($CR$7:$FW$7&lt;=GH$6),$CR174:$FW174)*FZ174</f>
        <v>1396.5405259076269</v>
      </c>
      <c r="GI174" s="145" cm="1">
        <f t="array" ref="GI174">SUMPRODUCT(--($CR$7:$FW$7&gt;=GI$5),--($CR$7:$FW$7&lt;=GI$6),$CR174:$FW174)*GA174</f>
        <v>154100.28221063333</v>
      </c>
      <c r="GJ174" s="145" cm="1">
        <f t="array" ref="GJ174">SUMPRODUCT(--($CR$7:$FW$7&gt;=GJ$5),--($CR$7:$FW$7&lt;=GJ$6),$CR174:$FW174)*GB174</f>
        <v>56987.340107682787</v>
      </c>
      <c r="GK174" s="145" cm="1">
        <f t="array" ref="GK174">SUMPRODUCT(--($CR$7:$FW$7&gt;=GK$5),--($CR$7:$FW$7&lt;=GK$6),$CR174:$FW174)*GC174</f>
        <v>0</v>
      </c>
      <c r="GL174" s="145" cm="1">
        <f t="array" ref="GL174">SUMPRODUCT(--($CR$7:$FW$7&gt;=GL$5),--($CR$7:$FW$7&lt;=GL$6),$CR174:$FW174)*GD174</f>
        <v>0</v>
      </c>
      <c r="GM174" s="145" cm="1">
        <f t="array" ref="GM174">SUMPRODUCT(--($CR$7:$FW$7&gt;=GM$5),--($CR$7:$FW$7&lt;=GM$6),$CR174:$FW174)*GE174</f>
        <v>0</v>
      </c>
      <c r="GN174" s="145" cm="1">
        <f t="array" ref="GN174">SUMPRODUCT(--($CR$7:$FW$7&gt;=GN$5),--($CR$7:$FW$7&lt;=GN$6),$CR174:$FW174)*GF174</f>
        <v>0</v>
      </c>
      <c r="GO174" s="145">
        <f t="shared" si="46"/>
        <v>212484.16284422373</v>
      </c>
      <c r="GP174" s="87"/>
      <c r="GR174" s="145" cm="1">
        <f t="array" ref="GR174">SUMPRODUCT(--($CR$7:$FW$7&gt;=GR$5),--($CR$7:$FW$7&lt;=GR$6),$CR174:$FW174)</f>
        <v>1369.55</v>
      </c>
      <c r="GT174" s="214" cm="1">
        <f t="array" ref="GT174">--AND(MIN(IF($K174:$CP174&lt;&gt;0,$K$7:$CP$7))&gt;=GT$5,MIN(IF($K174:$CP174&lt;&gt;0,$K$7:$CP$7))&lt;=GT$6)</f>
        <v>1</v>
      </c>
      <c r="GU174" s="214" cm="1">
        <f t="array" ref="GU174">--AND(MIN(IF($K174:$CP174&lt;&gt;0,$K$7:$CP$7))&gt;=GU$5,MIN(IF($K174:$CP174&lt;&gt;0,$K$7:$CP$7))&lt;=GU$6)</f>
        <v>0</v>
      </c>
      <c r="GV174" s="214" cm="1">
        <f t="array" ref="GV174">--AND(MIN(IF($K174:$CP174&lt;&gt;0,$K$7:$CP$7))&gt;=GV$5,MIN(IF($K174:$CP174&lt;&gt;0,$K$7:$CP$7))&lt;=GV$6)</f>
        <v>0</v>
      </c>
      <c r="GW174" s="214" cm="1">
        <f t="array" ref="GW174">--AND(MIN(IF($K174:$CP174&lt;&gt;0,$K$7:$CP$7))&gt;=GW$5,MIN(IF($K174:$CP174&lt;&gt;0,$K$7:$CP$7))&lt;=GW$6)</f>
        <v>0</v>
      </c>
      <c r="GX174" s="214" cm="1">
        <f t="array" ref="GX174">--AND(MIN(IF($K174:$CP174&lt;&gt;0,$K$7:$CP$7))&gt;=GX$5,MIN(IF($K174:$CP174&lt;&gt;0,$K$7:$CP$7))&lt;=GX$6)</f>
        <v>0</v>
      </c>
      <c r="GY174" s="214" cm="1">
        <f t="array" ref="GY174">--AND(MIN(IF($K174:$CP174&lt;&gt;0,$K$7:$CP$7))&gt;=GY$5,MIN(IF($K174:$CP174&lt;&gt;0,$K$7:$CP$7))&lt;=GY$6)</f>
        <v>0</v>
      </c>
      <c r="GZ174" s="214" cm="1">
        <f t="array" ref="GZ174">--AND(MIN(IF($K174:$CP174&lt;&gt;0,$K$7:$CP$7))&gt;=GZ$5,MIN(IF($K174:$CP174&lt;&gt;0,$K$7:$CP$7))&lt;=GZ$6)</f>
        <v>0</v>
      </c>
      <c r="HA174" s="214">
        <f t="shared" si="47"/>
        <v>1</v>
      </c>
      <c r="HC174" s="214" cm="1">
        <f t="array" ref="HC174">--AND(MIN(IF($K174:$CP174&lt;&gt;0,$K$7:$CP$7))&gt;=HC$5,MIN(IF($K174:$CP174&lt;&gt;0,$K$7:$CP$7))&lt;=HC$6)</f>
        <v>1</v>
      </c>
      <c r="HE174" s="147" t="str">
        <f t="shared" si="66"/>
        <v>No</v>
      </c>
      <c r="HF174" s="147" t="str">
        <f t="shared" si="67"/>
        <v>No</v>
      </c>
      <c r="HG174" s="147">
        <f>IF($HF174="Yes",0,$H174*avg_hrs*12*'Key assumptions'!$D$87)</f>
        <v>349892.7143991302</v>
      </c>
      <c r="HH174" s="147">
        <f>IF(HE174="Yes",'Key assumptions'!$D$84*HG174,0)</f>
        <v>0</v>
      </c>
      <c r="HI174" s="144">
        <f>IFERROR(AVERAGEIFS($K174:$CP174,$K$7:$CP$7,"&gt;="&amp;'Key assumptions'!$D$24,$K$7:$CP$7,"&lt;="&amp;'Key assumptions'!$D$25),0)</f>
        <v>0.19393939393939394</v>
      </c>
      <c r="HJ174" s="148">
        <f t="shared" si="68"/>
        <v>0</v>
      </c>
      <c r="HK174" s="148">
        <f t="shared" si="49"/>
        <v>0</v>
      </c>
      <c r="HL174" s="148">
        <f t="shared" si="50"/>
        <v>0</v>
      </c>
      <c r="HM174" s="148">
        <f t="shared" si="51"/>
        <v>0</v>
      </c>
      <c r="HN174" s="148">
        <f t="shared" si="52"/>
        <v>0</v>
      </c>
      <c r="HO174" s="148">
        <f t="shared" si="53"/>
        <v>0</v>
      </c>
      <c r="HP174" s="148">
        <f t="shared" si="54"/>
        <v>0</v>
      </c>
      <c r="HQ174" s="148">
        <f t="shared" si="55"/>
        <v>0</v>
      </c>
      <c r="HR174" s="147">
        <f t="shared" si="56"/>
        <v>0</v>
      </c>
      <c r="HU174" s="147">
        <f>$HJ174*HC174/(1+'Key assumptions'!G196)^0.75</f>
        <v>0</v>
      </c>
      <c r="HW174" s="216">
        <f t="shared" si="57"/>
        <v>0.19393939393939394</v>
      </c>
      <c r="HX174" s="216">
        <f t="shared" si="58"/>
        <v>0</v>
      </c>
      <c r="HY174" s="216">
        <f t="shared" si="59"/>
        <v>0</v>
      </c>
      <c r="HZ174" s="216">
        <f t="shared" si="60"/>
        <v>0</v>
      </c>
      <c r="IA174" s="216">
        <f t="shared" si="61"/>
        <v>0</v>
      </c>
      <c r="IB174" s="216">
        <f t="shared" si="62"/>
        <v>0</v>
      </c>
      <c r="IC174" s="216">
        <f t="shared" si="63"/>
        <v>0</v>
      </c>
      <c r="ID174" s="216">
        <f t="shared" si="64"/>
        <v>0.19393939393939394</v>
      </c>
      <c r="IF174" s="216">
        <f t="shared" si="65"/>
        <v>0.19393939393939394</v>
      </c>
    </row>
    <row r="175" spans="2:240" x14ac:dyDescent="0.2">
      <c r="B175" s="141" t="str">
        <v>Project Delivery Management - Commissioning</v>
      </c>
      <c r="C175" s="141" t="str">
        <v>Secondary Systems Technician (Construction)</v>
      </c>
      <c r="D175" s="141" t="str">
        <v>Internal Labour</v>
      </c>
      <c r="E175" s="141" t="str">
        <v>$ Nominal</v>
      </c>
      <c r="F175" s="141">
        <v>0</v>
      </c>
      <c r="G175" s="141" t="str">
        <v>Overtime</v>
      </c>
      <c r="H175" s="142">
        <v>195.66</v>
      </c>
      <c r="I175" s="126">
        <v>130437.99999999999</v>
      </c>
      <c r="J175" s="143">
        <v>0</v>
      </c>
      <c r="K175" s="144">
        <v>0</v>
      </c>
      <c r="L175" s="144">
        <v>0</v>
      </c>
      <c r="M175" s="144">
        <v>0</v>
      </c>
      <c r="N175" s="144">
        <v>0</v>
      </c>
      <c r="O175" s="144">
        <v>0</v>
      </c>
      <c r="P175" s="144">
        <v>0</v>
      </c>
      <c r="Q175" s="144">
        <v>0</v>
      </c>
      <c r="R175" s="144">
        <v>0</v>
      </c>
      <c r="S175" s="144">
        <v>0</v>
      </c>
      <c r="T175" s="144">
        <v>0</v>
      </c>
      <c r="U175" s="144">
        <v>0</v>
      </c>
      <c r="V175" s="144">
        <v>0</v>
      </c>
      <c r="W175" s="144">
        <v>0</v>
      </c>
      <c r="X175" s="144">
        <v>0</v>
      </c>
      <c r="Y175" s="144">
        <v>0</v>
      </c>
      <c r="Z175" s="144">
        <v>0</v>
      </c>
      <c r="AA175" s="144">
        <v>0</v>
      </c>
      <c r="AB175" s="144">
        <v>0</v>
      </c>
      <c r="AC175" s="144">
        <v>0</v>
      </c>
      <c r="AD175" s="144">
        <v>0</v>
      </c>
      <c r="AE175" s="144">
        <v>0</v>
      </c>
      <c r="AF175" s="144">
        <v>0.35714285714285715</v>
      </c>
      <c r="AG175" s="144">
        <v>0.35714285714285715</v>
      </c>
      <c r="AH175" s="144">
        <v>0</v>
      </c>
      <c r="AI175" s="144">
        <v>0.5714285714285714</v>
      </c>
      <c r="AJ175" s="144">
        <v>0.42857142857142855</v>
      </c>
      <c r="AK175" s="144">
        <v>0</v>
      </c>
      <c r="AL175" s="144">
        <v>0</v>
      </c>
      <c r="AM175" s="144">
        <v>0</v>
      </c>
      <c r="AN175" s="144">
        <v>0</v>
      </c>
      <c r="AO175" s="144">
        <v>0</v>
      </c>
      <c r="AP175" s="144">
        <v>0</v>
      </c>
      <c r="AQ175" s="144">
        <v>0</v>
      </c>
      <c r="AR175" s="144">
        <v>0.35714285714285715</v>
      </c>
      <c r="AS175" s="144">
        <v>0.21428571428571427</v>
      </c>
      <c r="AT175" s="144">
        <v>0.2857142857142857</v>
      </c>
      <c r="AU175" s="144">
        <v>0</v>
      </c>
      <c r="AV175" s="144">
        <v>0</v>
      </c>
      <c r="AW175" s="144">
        <v>0</v>
      </c>
      <c r="AX175" s="144">
        <v>0</v>
      </c>
      <c r="AY175" s="144">
        <v>0</v>
      </c>
      <c r="AZ175" s="144">
        <v>0</v>
      </c>
      <c r="BA175" s="144">
        <v>0</v>
      </c>
      <c r="BB175" s="144">
        <v>0</v>
      </c>
      <c r="BC175" s="144">
        <v>0</v>
      </c>
      <c r="BD175" s="144">
        <v>0</v>
      </c>
      <c r="BE175" s="144">
        <v>0</v>
      </c>
      <c r="BF175" s="144">
        <v>0</v>
      </c>
      <c r="BG175" s="144">
        <v>0</v>
      </c>
      <c r="BH175" s="144">
        <v>0</v>
      </c>
      <c r="BI175" s="144">
        <v>0</v>
      </c>
      <c r="BJ175" s="144">
        <v>0</v>
      </c>
      <c r="BK175" s="144">
        <v>0</v>
      </c>
      <c r="BL175" s="144">
        <v>0</v>
      </c>
      <c r="BM175" s="144">
        <v>0</v>
      </c>
      <c r="BN175" s="144">
        <v>0</v>
      </c>
      <c r="BO175" s="144">
        <v>0</v>
      </c>
      <c r="BP175" s="144">
        <v>0</v>
      </c>
      <c r="BQ175" s="144">
        <v>0</v>
      </c>
      <c r="BR175" s="144">
        <v>0</v>
      </c>
      <c r="BS175" s="144">
        <v>0</v>
      </c>
      <c r="BT175" s="144">
        <v>0</v>
      </c>
      <c r="BU175" s="144">
        <v>0</v>
      </c>
      <c r="BV175" s="144">
        <v>0</v>
      </c>
      <c r="BW175" s="144">
        <v>0</v>
      </c>
      <c r="BX175" s="144">
        <v>0</v>
      </c>
      <c r="BY175" s="144">
        <v>0</v>
      </c>
      <c r="BZ175" s="144">
        <v>0</v>
      </c>
      <c r="CA175" s="144">
        <v>0</v>
      </c>
      <c r="CB175" s="144">
        <v>0</v>
      </c>
      <c r="CC175" s="144">
        <v>0</v>
      </c>
      <c r="CD175" s="144">
        <v>0</v>
      </c>
      <c r="CE175" s="144">
        <v>0</v>
      </c>
      <c r="CF175" s="144">
        <v>0</v>
      </c>
      <c r="CG175" s="144">
        <v>0</v>
      </c>
      <c r="CH175" s="144">
        <v>0</v>
      </c>
      <c r="CI175" s="144">
        <v>0</v>
      </c>
      <c r="CJ175" s="144">
        <v>0</v>
      </c>
      <c r="CK175" s="144">
        <v>0</v>
      </c>
      <c r="CL175" s="144">
        <v>0</v>
      </c>
      <c r="CM175" s="144">
        <v>0</v>
      </c>
      <c r="CN175" s="144">
        <v>0</v>
      </c>
      <c r="CO175" s="144">
        <v>0</v>
      </c>
      <c r="CP175" s="144">
        <v>0</v>
      </c>
      <c r="CQ175" s="143">
        <v>0</v>
      </c>
      <c r="CR175" s="145">
        <v>0</v>
      </c>
      <c r="CS175" s="145">
        <v>0</v>
      </c>
      <c r="CT175" s="145">
        <v>0</v>
      </c>
      <c r="CU175" s="145">
        <v>0</v>
      </c>
      <c r="CV175" s="145">
        <v>0</v>
      </c>
      <c r="CW175" s="145">
        <v>0</v>
      </c>
      <c r="CX175" s="145">
        <v>0</v>
      </c>
      <c r="CY175" s="145">
        <v>0</v>
      </c>
      <c r="CZ175" s="145">
        <v>0</v>
      </c>
      <c r="DA175" s="145">
        <v>0</v>
      </c>
      <c r="DB175" s="145">
        <v>0</v>
      </c>
      <c r="DC175" s="145">
        <v>0</v>
      </c>
      <c r="DD175" s="145">
        <v>0</v>
      </c>
      <c r="DE175" s="145">
        <v>0</v>
      </c>
      <c r="DF175" s="145">
        <v>0</v>
      </c>
      <c r="DG175" s="145">
        <v>0</v>
      </c>
      <c r="DH175" s="145">
        <v>0</v>
      </c>
      <c r="DI175" s="145">
        <v>0</v>
      </c>
      <c r="DJ175" s="145">
        <v>0</v>
      </c>
      <c r="DK175" s="145">
        <v>0</v>
      </c>
      <c r="DL175" s="145">
        <v>0</v>
      </c>
      <c r="DM175" s="145">
        <v>19565.5</v>
      </c>
      <c r="DN175" s="145">
        <v>19565.5</v>
      </c>
      <c r="DO175" s="145">
        <v>0</v>
      </c>
      <c r="DP175" s="145">
        <v>23478.6</v>
      </c>
      <c r="DQ175" s="145">
        <v>23478.6</v>
      </c>
      <c r="DR175" s="145">
        <v>0</v>
      </c>
      <c r="DS175" s="145">
        <v>0</v>
      </c>
      <c r="DT175" s="145">
        <v>0</v>
      </c>
      <c r="DU175" s="145">
        <v>0</v>
      </c>
      <c r="DV175" s="145">
        <v>0</v>
      </c>
      <c r="DW175" s="145">
        <v>0</v>
      </c>
      <c r="DX175" s="145">
        <v>0</v>
      </c>
      <c r="DY175" s="145">
        <v>20159</v>
      </c>
      <c r="DZ175" s="145">
        <v>12095.4</v>
      </c>
      <c r="EA175" s="145">
        <v>12095.4</v>
      </c>
      <c r="EB175" s="145">
        <v>0</v>
      </c>
      <c r="EC175" s="145">
        <v>0</v>
      </c>
      <c r="ED175" s="145">
        <v>0</v>
      </c>
      <c r="EE175" s="145">
        <v>0</v>
      </c>
      <c r="EF175" s="145">
        <v>0</v>
      </c>
      <c r="EG175" s="145">
        <v>0</v>
      </c>
      <c r="EH175" s="145">
        <v>0</v>
      </c>
      <c r="EI175" s="145">
        <v>0</v>
      </c>
      <c r="EJ175" s="145">
        <v>0</v>
      </c>
      <c r="EK175" s="145">
        <v>0</v>
      </c>
      <c r="EL175" s="145">
        <v>0</v>
      </c>
      <c r="EM175" s="145">
        <v>0</v>
      </c>
      <c r="EN175" s="145">
        <v>0</v>
      </c>
      <c r="EO175" s="145">
        <v>0</v>
      </c>
      <c r="EP175" s="145">
        <v>0</v>
      </c>
      <c r="EQ175" s="145">
        <v>0</v>
      </c>
      <c r="ER175" s="145">
        <v>0</v>
      </c>
      <c r="ES175" s="145">
        <v>0</v>
      </c>
      <c r="ET175" s="145">
        <v>0</v>
      </c>
      <c r="EU175" s="145">
        <v>0</v>
      </c>
      <c r="EV175" s="145">
        <v>0</v>
      </c>
      <c r="EW175" s="145">
        <v>0</v>
      </c>
      <c r="EX175" s="145">
        <v>0</v>
      </c>
      <c r="EY175" s="145">
        <v>0</v>
      </c>
      <c r="EZ175" s="145">
        <v>0</v>
      </c>
      <c r="FA175" s="145">
        <v>0</v>
      </c>
      <c r="FB175" s="145">
        <v>0</v>
      </c>
      <c r="FC175" s="145">
        <v>0</v>
      </c>
      <c r="FD175" s="145">
        <v>0</v>
      </c>
      <c r="FE175" s="145">
        <v>0</v>
      </c>
      <c r="FF175" s="145">
        <v>0</v>
      </c>
      <c r="FG175" s="145">
        <v>0</v>
      </c>
      <c r="FH175" s="145">
        <v>0</v>
      </c>
      <c r="FI175" s="145">
        <v>0</v>
      </c>
      <c r="FJ175" s="145">
        <v>0</v>
      </c>
      <c r="FK175" s="145">
        <v>0</v>
      </c>
      <c r="FL175" s="145">
        <v>0</v>
      </c>
      <c r="FM175" s="145">
        <v>0</v>
      </c>
      <c r="FN175" s="145">
        <v>0</v>
      </c>
      <c r="FO175" s="145">
        <v>0</v>
      </c>
      <c r="FP175" s="145">
        <v>0</v>
      </c>
      <c r="FQ175" s="145">
        <v>0</v>
      </c>
      <c r="FR175" s="145">
        <v>0</v>
      </c>
      <c r="FS175" s="145">
        <v>0</v>
      </c>
      <c r="FT175" s="145">
        <v>0</v>
      </c>
      <c r="FU175" s="145">
        <v>0</v>
      </c>
      <c r="FV175" s="145">
        <v>0</v>
      </c>
      <c r="FW175" s="145">
        <v>0</v>
      </c>
      <c r="FX175" s="143"/>
      <c r="FY175" s="146" t="str">
        <f>_xlfn.XLOOKUP($E175,'Key assumptions'!$B$112:$B$120,'Key assumptions'!$C$112:$C$120,0)</f>
        <v>Nominal</v>
      </c>
      <c r="FZ175" s="146" cm="1">
        <f t="array" ref="FZ175">IF($FY175=0,0,_xlfn.IFS($FY175='Key assumptions'!$C$120,_xlfn.XLOOKUP(LEFT(FZ$7,6),Inflation_Year,Inflation_NominaltoReal),TRUE,_xlfn.XLOOKUP($FY175,Inflation_Year,NominaltoReal)))</f>
        <v>1.0197075870962191</v>
      </c>
      <c r="GA175" s="146" cm="1">
        <f t="array" ref="GA175">IF($FY175=0,0,_xlfn.IFS($FY175='Key assumptions'!$C$120,_xlfn.XLOOKUP(LEFT(GA$7,6),Inflation_Year,Inflation_NominaltoReal),TRUE,_xlfn.XLOOKUP($FY175,Inflation_Year,NominaltoReal)))</f>
        <v>0.98700804022984445</v>
      </c>
      <c r="GB175" s="146" cm="1">
        <f t="array" ref="GB175">IF($FY175=0,0,_xlfn.IFS($FY175='Key assumptions'!$C$120,_xlfn.XLOOKUP(LEFT(GB$7,6),Inflation_Year,Inflation_NominaltoReal),TRUE,_xlfn.XLOOKUP($FY175,Inflation_Year,NominaltoReal)))</f>
        <v>0.96152830081941731</v>
      </c>
      <c r="GC175" s="146" cm="1">
        <f t="array" ref="GC175">IF($FY175=0,0,_xlfn.IFS($FY175='Key assumptions'!$C$120,_xlfn.XLOOKUP(LEFT(GC$7,6),Inflation_Year,Inflation_NominaltoReal),TRUE,_xlfn.XLOOKUP($FY175,Inflation_Year,NominaltoReal)))</f>
        <v>0.93670632415656829</v>
      </c>
      <c r="GD175" s="146" cm="1">
        <f t="array" ref="GD175">IF($FY175=0,0,_xlfn.IFS($FY175='Key assumptions'!$C$120,_xlfn.XLOOKUP(LEFT(GD$7,6),Inflation_Year,Inflation_NominaltoReal),TRUE,_xlfn.XLOOKUP($FY175,Inflation_Year,NominaltoReal)))</f>
        <v>0.91252513001143176</v>
      </c>
      <c r="GE175" s="146" cm="1">
        <f t="array" ref="GE175">IF($FY175=0,0,_xlfn.IFS($FY175='Key assumptions'!$C$120,_xlfn.XLOOKUP(LEFT(GE$7,6),Inflation_Year,Inflation_NominaltoReal),TRUE,_xlfn.XLOOKUP($FY175,Inflation_Year,NominaltoReal)))</f>
        <v>0.88896817650095872</v>
      </c>
      <c r="GF175" s="146" cm="1">
        <f t="array" ref="GF175">IF($FY175=0,0,_xlfn.IFS($FY175='Key assumptions'!$C$120,_xlfn.XLOOKUP(LEFT(GF$7,6),Inflation_Year,Inflation_NominaltoReal),TRUE,_xlfn.XLOOKUP($FY175,Inflation_Year,NominaltoReal)))</f>
        <v>0.86601934877293718</v>
      </c>
      <c r="GG175" s="143"/>
      <c r="GH175" s="145" cm="1">
        <f t="array" ref="GH175">SUMPRODUCT(--($CR$7:$FW$7&gt;=GH$5),--($CR$7:$FW$7&lt;=GH$6),$CR175:$FW175)*FZ175</f>
        <v>0</v>
      </c>
      <c r="GI175" s="145" cm="1">
        <f t="array" ref="GI175">SUMPRODUCT(--($CR$7:$FW$7&gt;=GI$5),--($CR$7:$FW$7&lt;=GI$6),$CR175:$FW175)*GA175</f>
        <v>84969.745568914892</v>
      </c>
      <c r="GJ175" s="145" cm="1">
        <f t="array" ref="GJ175">SUMPRODUCT(--($CR$7:$FW$7&gt;=GJ$5),--($CR$7:$FW$7&lt;=GJ$6),$CR175:$FW175)*GB175</f>
        <v>42643.587835680999</v>
      </c>
      <c r="GK175" s="145" cm="1">
        <f t="array" ref="GK175">SUMPRODUCT(--($CR$7:$FW$7&gt;=GK$5),--($CR$7:$FW$7&lt;=GK$6),$CR175:$FW175)*GC175</f>
        <v>0</v>
      </c>
      <c r="GL175" s="145" cm="1">
        <f t="array" ref="GL175">SUMPRODUCT(--($CR$7:$FW$7&gt;=GL$5),--($CR$7:$FW$7&lt;=GL$6),$CR175:$FW175)*GD175</f>
        <v>0</v>
      </c>
      <c r="GM175" s="145" cm="1">
        <f t="array" ref="GM175">SUMPRODUCT(--($CR$7:$FW$7&gt;=GM$5),--($CR$7:$FW$7&lt;=GM$6),$CR175:$FW175)*GE175</f>
        <v>0</v>
      </c>
      <c r="GN175" s="145" cm="1">
        <f t="array" ref="GN175">SUMPRODUCT(--($CR$7:$FW$7&gt;=GN$5),--($CR$7:$FW$7&lt;=GN$6),$CR175:$FW175)*GF175</f>
        <v>0</v>
      </c>
      <c r="GO175" s="145">
        <f t="shared" si="46"/>
        <v>127613.33340459589</v>
      </c>
      <c r="GP175" s="87"/>
      <c r="GR175" s="145" cm="1">
        <f t="array" ref="GR175">SUMPRODUCT(--($CR$7:$FW$7&gt;=GR$5),--($CR$7:$FW$7&lt;=GR$6),$CR175:$FW175)</f>
        <v>0</v>
      </c>
      <c r="GT175" s="214" cm="1">
        <f t="array" ref="GT175">--AND(MIN(IF($K175:$CP175&lt;&gt;0,$K$7:$CP$7))&gt;=GT$5,MIN(IF($K175:$CP175&lt;&gt;0,$K$7:$CP$7))&lt;=GT$6)</f>
        <v>0</v>
      </c>
      <c r="GU175" s="214" cm="1">
        <f t="array" ref="GU175">--AND(MIN(IF($K175:$CP175&lt;&gt;0,$K$7:$CP$7))&gt;=GU$5,MIN(IF($K175:$CP175&lt;&gt;0,$K$7:$CP$7))&lt;=GU$6)</f>
        <v>1</v>
      </c>
      <c r="GV175" s="214" cm="1">
        <f t="array" ref="GV175">--AND(MIN(IF($K175:$CP175&lt;&gt;0,$K$7:$CP$7))&gt;=GV$5,MIN(IF($K175:$CP175&lt;&gt;0,$K$7:$CP$7))&lt;=GV$6)</f>
        <v>0</v>
      </c>
      <c r="GW175" s="214" cm="1">
        <f t="array" ref="GW175">--AND(MIN(IF($K175:$CP175&lt;&gt;0,$K$7:$CP$7))&gt;=GW$5,MIN(IF($K175:$CP175&lt;&gt;0,$K$7:$CP$7))&lt;=GW$6)</f>
        <v>0</v>
      </c>
      <c r="GX175" s="214" cm="1">
        <f t="array" ref="GX175">--AND(MIN(IF($K175:$CP175&lt;&gt;0,$K$7:$CP$7))&gt;=GX$5,MIN(IF($K175:$CP175&lt;&gt;0,$K$7:$CP$7))&lt;=GX$6)</f>
        <v>0</v>
      </c>
      <c r="GY175" s="214" cm="1">
        <f t="array" ref="GY175">--AND(MIN(IF($K175:$CP175&lt;&gt;0,$K$7:$CP$7))&gt;=GY$5,MIN(IF($K175:$CP175&lt;&gt;0,$K$7:$CP$7))&lt;=GY$6)</f>
        <v>0</v>
      </c>
      <c r="GZ175" s="214" cm="1">
        <f t="array" ref="GZ175">--AND(MIN(IF($K175:$CP175&lt;&gt;0,$K$7:$CP$7))&gt;=GZ$5,MIN(IF($K175:$CP175&lt;&gt;0,$K$7:$CP$7))&lt;=GZ$6)</f>
        <v>0</v>
      </c>
      <c r="HA175" s="214">
        <f t="shared" si="47"/>
        <v>1</v>
      </c>
      <c r="HC175" s="214" cm="1">
        <f t="array" ref="HC175">--AND(MIN(IF($K175:$CP175&lt;&gt;0,$K$7:$CP$7))&gt;=HC$5,MIN(IF($K175:$CP175&lt;&gt;0,$K$7:$CP$7))&lt;=HC$6)</f>
        <v>0</v>
      </c>
      <c r="HE175" s="147" t="str">
        <f t="shared" si="66"/>
        <v>No</v>
      </c>
      <c r="HF175" s="147" t="str">
        <f t="shared" si="67"/>
        <v>Yes</v>
      </c>
      <c r="HG175" s="147">
        <f>IF($HF175="Yes",0,$H175*avg_hrs*12*'Key assumptions'!$D$87)</f>
        <v>0</v>
      </c>
      <c r="HH175" s="147">
        <f>IF(HE175="Yes",'Key assumptions'!$D$84*HG175,0)</f>
        <v>0</v>
      </c>
      <c r="HI175" s="144">
        <f>IFERROR(AVERAGEIFS($K175:$CP175,$K$7:$CP$7,"&gt;="&amp;'Key assumptions'!$D$24,$K$7:$CP$7,"&lt;="&amp;'Key assumptions'!$D$25),0)</f>
        <v>5.8441558441558433E-2</v>
      </c>
      <c r="HJ175" s="148">
        <f t="shared" si="68"/>
        <v>0</v>
      </c>
      <c r="HK175" s="148">
        <f t="shared" si="49"/>
        <v>0</v>
      </c>
      <c r="HL175" s="148">
        <f t="shared" si="50"/>
        <v>0</v>
      </c>
      <c r="HM175" s="148">
        <f t="shared" si="51"/>
        <v>0</v>
      </c>
      <c r="HN175" s="148">
        <f t="shared" si="52"/>
        <v>0</v>
      </c>
      <c r="HO175" s="148">
        <f t="shared" si="53"/>
        <v>0</v>
      </c>
      <c r="HP175" s="148">
        <f t="shared" si="54"/>
        <v>0</v>
      </c>
      <c r="HQ175" s="148">
        <f t="shared" si="55"/>
        <v>0</v>
      </c>
      <c r="HR175" s="147">
        <f t="shared" si="56"/>
        <v>0</v>
      </c>
      <c r="HU175" s="147">
        <f>$HJ175*HC175/(1+'Key assumptions'!G197)^0.75</f>
        <v>0</v>
      </c>
      <c r="HW175" s="216">
        <f t="shared" si="57"/>
        <v>0</v>
      </c>
      <c r="HX175" s="216">
        <f t="shared" si="58"/>
        <v>5.8441558441558433E-2</v>
      </c>
      <c r="HY175" s="216">
        <f t="shared" si="59"/>
        <v>0</v>
      </c>
      <c r="HZ175" s="216">
        <f t="shared" si="60"/>
        <v>0</v>
      </c>
      <c r="IA175" s="216">
        <f t="shared" si="61"/>
        <v>0</v>
      </c>
      <c r="IB175" s="216">
        <f t="shared" si="62"/>
        <v>0</v>
      </c>
      <c r="IC175" s="216">
        <f t="shared" si="63"/>
        <v>0</v>
      </c>
      <c r="ID175" s="216">
        <f t="shared" si="64"/>
        <v>5.8441558441558433E-2</v>
      </c>
      <c r="IF175" s="216">
        <f t="shared" si="65"/>
        <v>0</v>
      </c>
    </row>
    <row r="176" spans="2:240" x14ac:dyDescent="0.2">
      <c r="B176" s="141" t="str">
        <v>Project Delivery Management - Commissioning</v>
      </c>
      <c r="C176" s="141" t="str">
        <v>Substations Technician (Field Delivery)</v>
      </c>
      <c r="D176" s="141" t="str">
        <v>Internal Labour</v>
      </c>
      <c r="E176" s="141" t="str">
        <v>$ Nominal</v>
      </c>
      <c r="F176" s="141" t="str">
        <v>Existing</v>
      </c>
      <c r="G176" s="141" t="str">
        <v>Normal time</v>
      </c>
      <c r="H176" s="142">
        <v>157.53</v>
      </c>
      <c r="I176" s="126">
        <v>1017671.6500000001</v>
      </c>
      <c r="J176" s="143">
        <v>0</v>
      </c>
      <c r="K176" s="144">
        <v>0</v>
      </c>
      <c r="L176" s="144">
        <v>0</v>
      </c>
      <c r="M176" s="144">
        <v>0</v>
      </c>
      <c r="N176" s="144">
        <v>0</v>
      </c>
      <c r="O176" s="144">
        <v>0</v>
      </c>
      <c r="P176" s="144">
        <v>0</v>
      </c>
      <c r="Q176" s="144">
        <v>0</v>
      </c>
      <c r="R176" s="144">
        <v>0</v>
      </c>
      <c r="S176" s="144">
        <v>0</v>
      </c>
      <c r="T176" s="144">
        <v>0</v>
      </c>
      <c r="U176" s="144">
        <v>0</v>
      </c>
      <c r="V176" s="144">
        <v>0</v>
      </c>
      <c r="W176" s="144">
        <v>0</v>
      </c>
      <c r="X176" s="144">
        <v>0</v>
      </c>
      <c r="Y176" s="144">
        <v>0.25</v>
      </c>
      <c r="Z176" s="144">
        <v>0</v>
      </c>
      <c r="AA176" s="144">
        <v>0</v>
      </c>
      <c r="AB176" s="144">
        <v>1.243421052631579</v>
      </c>
      <c r="AC176" s="144">
        <v>1.425</v>
      </c>
      <c r="AD176" s="144">
        <v>1.125</v>
      </c>
      <c r="AE176" s="144">
        <v>1.35</v>
      </c>
      <c r="AF176" s="144">
        <v>1.35</v>
      </c>
      <c r="AG176" s="144">
        <v>1.2749999999999999</v>
      </c>
      <c r="AH176" s="144">
        <v>1.2</v>
      </c>
      <c r="AI176" s="144">
        <v>2.2999999999999998</v>
      </c>
      <c r="AJ176" s="144">
        <v>1.2</v>
      </c>
      <c r="AK176" s="144">
        <v>1.2</v>
      </c>
      <c r="AL176" s="144">
        <v>1.9</v>
      </c>
      <c r="AM176" s="144">
        <v>1.243421052631579</v>
      </c>
      <c r="AN176" s="144">
        <v>1.174342105263158</v>
      </c>
      <c r="AO176" s="144">
        <v>1.35</v>
      </c>
      <c r="AP176" s="144">
        <v>1.2749999999999999</v>
      </c>
      <c r="AQ176" s="144">
        <v>1.35</v>
      </c>
      <c r="AR176" s="144">
        <v>1.35</v>
      </c>
      <c r="AS176" s="144">
        <v>1.2749999999999999</v>
      </c>
      <c r="AT176" s="144">
        <v>1.6</v>
      </c>
      <c r="AU176" s="144">
        <v>1.9</v>
      </c>
      <c r="AV176" s="144">
        <v>1.2</v>
      </c>
      <c r="AW176" s="144">
        <v>1.425</v>
      </c>
      <c r="AX176" s="144">
        <v>1.6</v>
      </c>
      <c r="AY176" s="144">
        <v>1.3125</v>
      </c>
      <c r="AZ176" s="144">
        <v>1.3125</v>
      </c>
      <c r="BA176" s="144">
        <v>1.2</v>
      </c>
      <c r="BB176" s="144">
        <v>1.35</v>
      </c>
      <c r="BC176" s="144">
        <v>1.2749999999999999</v>
      </c>
      <c r="BD176" s="144">
        <v>1.35</v>
      </c>
      <c r="BE176" s="144">
        <v>6.3571428571428568</v>
      </c>
      <c r="BF176" s="144">
        <v>0</v>
      </c>
      <c r="BG176" s="144">
        <v>0</v>
      </c>
      <c r="BH176" s="144">
        <v>0</v>
      </c>
      <c r="BI176" s="144">
        <v>0</v>
      </c>
      <c r="BJ176" s="144">
        <v>0</v>
      </c>
      <c r="BK176" s="144">
        <v>0</v>
      </c>
      <c r="BL176" s="144">
        <v>0</v>
      </c>
      <c r="BM176" s="144">
        <v>0</v>
      </c>
      <c r="BN176" s="144">
        <v>0</v>
      </c>
      <c r="BO176" s="144">
        <v>0</v>
      </c>
      <c r="BP176" s="144">
        <v>0</v>
      </c>
      <c r="BQ176" s="144">
        <v>0</v>
      </c>
      <c r="BR176" s="144">
        <v>0</v>
      </c>
      <c r="BS176" s="144">
        <v>0</v>
      </c>
      <c r="BT176" s="144">
        <v>0</v>
      </c>
      <c r="BU176" s="144">
        <v>0</v>
      </c>
      <c r="BV176" s="144">
        <v>0</v>
      </c>
      <c r="BW176" s="144">
        <v>0</v>
      </c>
      <c r="BX176" s="144">
        <v>0</v>
      </c>
      <c r="BY176" s="144">
        <v>0</v>
      </c>
      <c r="BZ176" s="144">
        <v>0</v>
      </c>
      <c r="CA176" s="144">
        <v>0</v>
      </c>
      <c r="CB176" s="144">
        <v>0</v>
      </c>
      <c r="CC176" s="144">
        <v>0</v>
      </c>
      <c r="CD176" s="144">
        <v>0</v>
      </c>
      <c r="CE176" s="144">
        <v>0</v>
      </c>
      <c r="CF176" s="144">
        <v>0</v>
      </c>
      <c r="CG176" s="144">
        <v>0</v>
      </c>
      <c r="CH176" s="144">
        <v>0</v>
      </c>
      <c r="CI176" s="144">
        <v>0</v>
      </c>
      <c r="CJ176" s="144">
        <v>0</v>
      </c>
      <c r="CK176" s="144">
        <v>0</v>
      </c>
      <c r="CL176" s="144">
        <v>0</v>
      </c>
      <c r="CM176" s="144">
        <v>0</v>
      </c>
      <c r="CN176" s="144">
        <v>0</v>
      </c>
      <c r="CO176" s="144">
        <v>0</v>
      </c>
      <c r="CP176" s="144">
        <v>0</v>
      </c>
      <c r="CQ176" s="143">
        <v>0</v>
      </c>
      <c r="CR176" s="145">
        <v>0</v>
      </c>
      <c r="CS176" s="145">
        <v>0</v>
      </c>
      <c r="CT176" s="145">
        <v>0</v>
      </c>
      <c r="CU176" s="145">
        <v>0</v>
      </c>
      <c r="CV176" s="145">
        <v>0</v>
      </c>
      <c r="CW176" s="145">
        <v>0</v>
      </c>
      <c r="CX176" s="145">
        <v>0</v>
      </c>
      <c r="CY176" s="145">
        <v>0</v>
      </c>
      <c r="CZ176" s="145">
        <v>0</v>
      </c>
      <c r="DA176" s="145">
        <v>0</v>
      </c>
      <c r="DB176" s="145">
        <v>0</v>
      </c>
      <c r="DC176" s="145">
        <v>0</v>
      </c>
      <c r="DD176" s="145">
        <v>0</v>
      </c>
      <c r="DE176" s="145">
        <v>0</v>
      </c>
      <c r="DF176" s="145">
        <v>5513.55</v>
      </c>
      <c r="DG176" s="145">
        <v>0</v>
      </c>
      <c r="DH176" s="145">
        <v>0</v>
      </c>
      <c r="DI176" s="145">
        <v>29773.170000000002</v>
      </c>
      <c r="DJ176" s="145">
        <v>31427.235000000001</v>
      </c>
      <c r="DK176" s="145">
        <v>24810.974999999999</v>
      </c>
      <c r="DL176" s="145">
        <v>29773.170000000002</v>
      </c>
      <c r="DM176" s="145">
        <v>29773.170000000002</v>
      </c>
      <c r="DN176" s="145">
        <v>28119.105</v>
      </c>
      <c r="DO176" s="145">
        <v>19848.78</v>
      </c>
      <c r="DP176" s="145">
        <v>38043.495000000003</v>
      </c>
      <c r="DQ176" s="145">
        <v>26465.040000000001</v>
      </c>
      <c r="DR176" s="145">
        <v>27269.759999999998</v>
      </c>
      <c r="DS176" s="145">
        <v>32382.84</v>
      </c>
      <c r="DT176" s="145">
        <v>30678.48</v>
      </c>
      <c r="DU176" s="145">
        <v>28974.12</v>
      </c>
      <c r="DV176" s="145">
        <v>30678.48</v>
      </c>
      <c r="DW176" s="145">
        <v>28974.12</v>
      </c>
      <c r="DX176" s="145">
        <v>30678.48</v>
      </c>
      <c r="DY176" s="145">
        <v>30678.48</v>
      </c>
      <c r="DZ176" s="145">
        <v>28974.12</v>
      </c>
      <c r="EA176" s="145">
        <v>27269.759999999998</v>
      </c>
      <c r="EB176" s="145">
        <v>32382.84</v>
      </c>
      <c r="EC176" s="145">
        <v>27269.759999999998</v>
      </c>
      <c r="ED176" s="145">
        <v>33340.44</v>
      </c>
      <c r="EE176" s="145">
        <v>28076.16</v>
      </c>
      <c r="EF176" s="145">
        <v>33340.44</v>
      </c>
      <c r="EG176" s="145">
        <v>33340.44</v>
      </c>
      <c r="EH176" s="145">
        <v>28076.16</v>
      </c>
      <c r="EI176" s="145">
        <v>31585.68</v>
      </c>
      <c r="EJ176" s="145">
        <v>29830.920000000002</v>
      </c>
      <c r="EK176" s="145">
        <v>31585.68</v>
      </c>
      <c r="EL176" s="145">
        <v>148736.80000000002</v>
      </c>
      <c r="EM176" s="145">
        <v>0</v>
      </c>
      <c r="EN176" s="145">
        <v>0</v>
      </c>
      <c r="EO176" s="145">
        <v>0</v>
      </c>
      <c r="EP176" s="145">
        <v>0</v>
      </c>
      <c r="EQ176" s="145">
        <v>0</v>
      </c>
      <c r="ER176" s="145">
        <v>0</v>
      </c>
      <c r="ES176" s="145">
        <v>0</v>
      </c>
      <c r="ET176" s="145">
        <v>0</v>
      </c>
      <c r="EU176" s="145">
        <v>0</v>
      </c>
      <c r="EV176" s="145">
        <v>0</v>
      </c>
      <c r="EW176" s="145">
        <v>0</v>
      </c>
      <c r="EX176" s="145">
        <v>0</v>
      </c>
      <c r="EY176" s="145">
        <v>0</v>
      </c>
      <c r="EZ176" s="145">
        <v>0</v>
      </c>
      <c r="FA176" s="145">
        <v>0</v>
      </c>
      <c r="FB176" s="145">
        <v>0</v>
      </c>
      <c r="FC176" s="145">
        <v>0</v>
      </c>
      <c r="FD176" s="145">
        <v>0</v>
      </c>
      <c r="FE176" s="145">
        <v>0</v>
      </c>
      <c r="FF176" s="145">
        <v>0</v>
      </c>
      <c r="FG176" s="145">
        <v>0</v>
      </c>
      <c r="FH176" s="145">
        <v>0</v>
      </c>
      <c r="FI176" s="145">
        <v>0</v>
      </c>
      <c r="FJ176" s="145">
        <v>0</v>
      </c>
      <c r="FK176" s="145">
        <v>0</v>
      </c>
      <c r="FL176" s="145">
        <v>0</v>
      </c>
      <c r="FM176" s="145">
        <v>0</v>
      </c>
      <c r="FN176" s="145">
        <v>0</v>
      </c>
      <c r="FO176" s="145">
        <v>0</v>
      </c>
      <c r="FP176" s="145">
        <v>0</v>
      </c>
      <c r="FQ176" s="145">
        <v>0</v>
      </c>
      <c r="FR176" s="145">
        <v>0</v>
      </c>
      <c r="FS176" s="145">
        <v>0</v>
      </c>
      <c r="FT176" s="145">
        <v>0</v>
      </c>
      <c r="FU176" s="145">
        <v>0</v>
      </c>
      <c r="FV176" s="145">
        <v>0</v>
      </c>
      <c r="FW176" s="145">
        <v>0</v>
      </c>
      <c r="FX176" s="143"/>
      <c r="FY176" s="146" t="str">
        <f>_xlfn.XLOOKUP($E176,'Key assumptions'!$B$112:$B$120,'Key assumptions'!$C$112:$C$120,0)</f>
        <v>Nominal</v>
      </c>
      <c r="FZ176" s="146" cm="1">
        <f t="array" ref="FZ176">IF($FY176=0,0,_xlfn.IFS($FY176='Key assumptions'!$C$120,_xlfn.XLOOKUP(LEFT(FZ$7,6),Inflation_Year,Inflation_NominaltoReal),TRUE,_xlfn.XLOOKUP($FY176,Inflation_Year,NominaltoReal)))</f>
        <v>1.0197075870962191</v>
      </c>
      <c r="GA176" s="146" cm="1">
        <f t="array" ref="GA176">IF($FY176=0,0,_xlfn.IFS($FY176='Key assumptions'!$C$120,_xlfn.XLOOKUP(LEFT(GA$7,6),Inflation_Year,Inflation_NominaltoReal),TRUE,_xlfn.XLOOKUP($FY176,Inflation_Year,NominaltoReal)))</f>
        <v>0.98700804022984445</v>
      </c>
      <c r="GB176" s="146" cm="1">
        <f t="array" ref="GB176">IF($FY176=0,0,_xlfn.IFS($FY176='Key assumptions'!$C$120,_xlfn.XLOOKUP(LEFT(GB$7,6),Inflation_Year,Inflation_NominaltoReal),TRUE,_xlfn.XLOOKUP($FY176,Inflation_Year,NominaltoReal)))</f>
        <v>0.96152830081941731</v>
      </c>
      <c r="GC176" s="146" cm="1">
        <f t="array" ref="GC176">IF($FY176=0,0,_xlfn.IFS($FY176='Key assumptions'!$C$120,_xlfn.XLOOKUP(LEFT(GC$7,6),Inflation_Year,Inflation_NominaltoReal),TRUE,_xlfn.XLOOKUP($FY176,Inflation_Year,NominaltoReal)))</f>
        <v>0.93670632415656829</v>
      </c>
      <c r="GD176" s="146" cm="1">
        <f t="array" ref="GD176">IF($FY176=0,0,_xlfn.IFS($FY176='Key assumptions'!$C$120,_xlfn.XLOOKUP(LEFT(GD$7,6),Inflation_Year,Inflation_NominaltoReal),TRUE,_xlfn.XLOOKUP($FY176,Inflation_Year,NominaltoReal)))</f>
        <v>0.91252513001143176</v>
      </c>
      <c r="GE176" s="146" cm="1">
        <f t="array" ref="GE176">IF($FY176=0,0,_xlfn.IFS($FY176='Key assumptions'!$C$120,_xlfn.XLOOKUP(LEFT(GE$7,6),Inflation_Year,Inflation_NominaltoReal),TRUE,_xlfn.XLOOKUP($FY176,Inflation_Year,NominaltoReal)))</f>
        <v>0.88896817650095872</v>
      </c>
      <c r="GF176" s="146" cm="1">
        <f t="array" ref="GF176">IF($FY176=0,0,_xlfn.IFS($FY176='Key assumptions'!$C$120,_xlfn.XLOOKUP(LEFT(GF$7,6),Inflation_Year,Inflation_NominaltoReal),TRUE,_xlfn.XLOOKUP($FY176,Inflation_Year,NominaltoReal)))</f>
        <v>0.86601934877293718</v>
      </c>
      <c r="GG176" s="143"/>
      <c r="GH176" s="145" cm="1">
        <f t="array" ref="GH176">SUMPRODUCT(--($CR$7:$FW$7&gt;=GH$5),--($CR$7:$FW$7&lt;=GH$6),$CR176:$FW176)*FZ176</f>
        <v>123688.59287035589</v>
      </c>
      <c r="GI176" s="145" cm="1">
        <f t="array" ref="GI176">SUMPRODUCT(--($CR$7:$FW$7&gt;=GI$5),--($CR$7:$FW$7&lt;=GI$6),$CR176:$FW176)*GA176</f>
        <v>347314.18293327378</v>
      </c>
      <c r="GJ176" s="145" cm="1">
        <f t="array" ref="GJ176">SUMPRODUCT(--($CR$7:$FW$7&gt;=GJ$5),--($CR$7:$FW$7&lt;=GJ$6),$CR176:$FW176)*GB176</f>
        <v>350155.14597356325</v>
      </c>
      <c r="GK176" s="145" cm="1">
        <f t="array" ref="GK176">SUMPRODUCT(--($CR$7:$FW$7&gt;=GK$5),--($CR$7:$FW$7&lt;=GK$6),$CR176:$FW176)*GC176</f>
        <v>168909.20740359632</v>
      </c>
      <c r="GL176" s="145" cm="1">
        <f t="array" ref="GL176">SUMPRODUCT(--($CR$7:$FW$7&gt;=GL$5),--($CR$7:$FW$7&lt;=GL$6),$CR176:$FW176)*GD176</f>
        <v>0</v>
      </c>
      <c r="GM176" s="145" cm="1">
        <f t="array" ref="GM176">SUMPRODUCT(--($CR$7:$FW$7&gt;=GM$5),--($CR$7:$FW$7&lt;=GM$6),$CR176:$FW176)*GE176</f>
        <v>0</v>
      </c>
      <c r="GN176" s="145" cm="1">
        <f t="array" ref="GN176">SUMPRODUCT(--($CR$7:$FW$7&gt;=GN$5),--($CR$7:$FW$7&lt;=GN$6),$CR176:$FW176)*GF176</f>
        <v>0</v>
      </c>
      <c r="GO176" s="145">
        <f t="shared" si="46"/>
        <v>990067.12918078923</v>
      </c>
      <c r="GP176" s="87"/>
      <c r="GR176" s="145" cm="1">
        <f t="array" ref="GR176">SUMPRODUCT(--($CR$7:$FW$7&gt;=GR$5),--($CR$7:$FW$7&lt;=GR$6),$CR176:$FW176)</f>
        <v>35286.720000000001</v>
      </c>
      <c r="GT176" s="214" cm="1">
        <f t="array" ref="GT176">--AND(MIN(IF($K176:$CP176&lt;&gt;0,$K$7:$CP$7))&gt;=GT$5,MIN(IF($K176:$CP176&lt;&gt;0,$K$7:$CP$7))&lt;=GT$6)</f>
        <v>1</v>
      </c>
      <c r="GU176" s="214" cm="1">
        <f t="array" ref="GU176">--AND(MIN(IF($K176:$CP176&lt;&gt;0,$K$7:$CP$7))&gt;=GU$5,MIN(IF($K176:$CP176&lt;&gt;0,$K$7:$CP$7))&lt;=GU$6)</f>
        <v>0</v>
      </c>
      <c r="GV176" s="214" cm="1">
        <f t="array" ref="GV176">--AND(MIN(IF($K176:$CP176&lt;&gt;0,$K$7:$CP$7))&gt;=GV$5,MIN(IF($K176:$CP176&lt;&gt;0,$K$7:$CP$7))&lt;=GV$6)</f>
        <v>0</v>
      </c>
      <c r="GW176" s="214" cm="1">
        <f t="array" ref="GW176">--AND(MIN(IF($K176:$CP176&lt;&gt;0,$K$7:$CP$7))&gt;=GW$5,MIN(IF($K176:$CP176&lt;&gt;0,$K$7:$CP$7))&lt;=GW$6)</f>
        <v>0</v>
      </c>
      <c r="GX176" s="214" cm="1">
        <f t="array" ref="GX176">--AND(MIN(IF($K176:$CP176&lt;&gt;0,$K$7:$CP$7))&gt;=GX$5,MIN(IF($K176:$CP176&lt;&gt;0,$K$7:$CP$7))&lt;=GX$6)</f>
        <v>0</v>
      </c>
      <c r="GY176" s="214" cm="1">
        <f t="array" ref="GY176">--AND(MIN(IF($K176:$CP176&lt;&gt;0,$K$7:$CP$7))&gt;=GY$5,MIN(IF($K176:$CP176&lt;&gt;0,$K$7:$CP$7))&lt;=GY$6)</f>
        <v>0</v>
      </c>
      <c r="GZ176" s="214" cm="1">
        <f t="array" ref="GZ176">--AND(MIN(IF($K176:$CP176&lt;&gt;0,$K$7:$CP$7))&gt;=GZ$5,MIN(IF($K176:$CP176&lt;&gt;0,$K$7:$CP$7))&lt;=GZ$6)</f>
        <v>0</v>
      </c>
      <c r="HA176" s="214">
        <f t="shared" si="47"/>
        <v>1</v>
      </c>
      <c r="HC176" s="214" cm="1">
        <f t="array" ref="HC176">--AND(MIN(IF($K176:$CP176&lt;&gt;0,$K$7:$CP$7))&gt;=HC$5,MIN(IF($K176:$CP176&lt;&gt;0,$K$7:$CP$7))&lt;=HC$6)</f>
        <v>1</v>
      </c>
      <c r="HE176" s="147" t="str">
        <f t="shared" si="66"/>
        <v>No</v>
      </c>
      <c r="HF176" s="147" t="str">
        <f t="shared" si="67"/>
        <v>No</v>
      </c>
      <c r="HG176" s="147">
        <f>IF($HF176="Yes",0,$H176*avg_hrs*12*'Key assumptions'!$D$87)</f>
        <v>281706.01706682501</v>
      </c>
      <c r="HH176" s="147">
        <f>IF(HE176="Yes",'Key assumptions'!$D$84*HG176,0)</f>
        <v>0</v>
      </c>
      <c r="HI176" s="144">
        <f>IFERROR(AVERAGEIFS($K176:$CP176,$K$7:$CP$7,"&gt;="&amp;'Key assumptions'!$D$24,$K$7:$CP$7,"&lt;="&amp;'Key assumptions'!$D$25),0)</f>
        <v>1.0617801606288448</v>
      </c>
      <c r="HJ176" s="148">
        <f t="shared" si="68"/>
        <v>0</v>
      </c>
      <c r="HK176" s="148">
        <f t="shared" si="49"/>
        <v>0</v>
      </c>
      <c r="HL176" s="148">
        <f t="shared" si="50"/>
        <v>0</v>
      </c>
      <c r="HM176" s="148">
        <f t="shared" si="51"/>
        <v>0</v>
      </c>
      <c r="HN176" s="148">
        <f t="shared" si="52"/>
        <v>0</v>
      </c>
      <c r="HO176" s="148">
        <f t="shared" si="53"/>
        <v>0</v>
      </c>
      <c r="HP176" s="148">
        <f t="shared" si="54"/>
        <v>0</v>
      </c>
      <c r="HQ176" s="148">
        <f t="shared" si="55"/>
        <v>0</v>
      </c>
      <c r="HR176" s="147">
        <f t="shared" si="56"/>
        <v>0</v>
      </c>
      <c r="HU176" s="147">
        <f>$HJ176*HC176/(1+'Key assumptions'!G198)^0.75</f>
        <v>0</v>
      </c>
      <c r="HW176" s="216">
        <f t="shared" si="57"/>
        <v>1.0617801606288448</v>
      </c>
      <c r="HX176" s="216">
        <f t="shared" si="58"/>
        <v>0</v>
      </c>
      <c r="HY176" s="216">
        <f t="shared" si="59"/>
        <v>0</v>
      </c>
      <c r="HZ176" s="216">
        <f t="shared" si="60"/>
        <v>0</v>
      </c>
      <c r="IA176" s="216">
        <f t="shared" si="61"/>
        <v>0</v>
      </c>
      <c r="IB176" s="216">
        <f t="shared" si="62"/>
        <v>0</v>
      </c>
      <c r="IC176" s="216">
        <f t="shared" si="63"/>
        <v>0</v>
      </c>
      <c r="ID176" s="216">
        <f t="shared" si="64"/>
        <v>1.0617801606288448</v>
      </c>
      <c r="IF176" s="216">
        <f t="shared" si="65"/>
        <v>1.0617801606288448</v>
      </c>
    </row>
    <row r="177" spans="2:240" x14ac:dyDescent="0.2">
      <c r="B177" s="141" t="str">
        <v>Project Delivery Management - Commissioning</v>
      </c>
      <c r="C177" s="141" t="str">
        <v>Substations Technician (Field Delivery)</v>
      </c>
      <c r="D177" s="141" t="str">
        <v>Internal Labour</v>
      </c>
      <c r="E177" s="141" t="str">
        <v>$ Nominal</v>
      </c>
      <c r="F177" s="141">
        <v>0</v>
      </c>
      <c r="G177" s="141" t="str">
        <v>Overtime</v>
      </c>
      <c r="H177" s="142">
        <v>157.53</v>
      </c>
      <c r="I177" s="126">
        <v>1490492.57</v>
      </c>
      <c r="J177" s="143">
        <v>0</v>
      </c>
      <c r="K177" s="144">
        <v>0</v>
      </c>
      <c r="L177" s="144">
        <v>0</v>
      </c>
      <c r="M177" s="144">
        <v>0</v>
      </c>
      <c r="N177" s="144">
        <v>0</v>
      </c>
      <c r="O177" s="144">
        <v>0</v>
      </c>
      <c r="P177" s="144">
        <v>0</v>
      </c>
      <c r="Q177" s="144">
        <v>0</v>
      </c>
      <c r="R177" s="144">
        <v>0</v>
      </c>
      <c r="S177" s="144">
        <v>0</v>
      </c>
      <c r="T177" s="144">
        <v>0</v>
      </c>
      <c r="U177" s="144">
        <v>0</v>
      </c>
      <c r="V177" s="144">
        <v>0</v>
      </c>
      <c r="W177" s="144">
        <v>0</v>
      </c>
      <c r="X177" s="144">
        <v>0</v>
      </c>
      <c r="Y177" s="144">
        <v>7.1428571428571425E-2</v>
      </c>
      <c r="Z177" s="144">
        <v>0</v>
      </c>
      <c r="AA177" s="144">
        <v>0</v>
      </c>
      <c r="AB177" s="144">
        <v>1.006578947368421</v>
      </c>
      <c r="AC177" s="144">
        <v>1.3821428571428571</v>
      </c>
      <c r="AD177" s="144">
        <v>0.99642857142857144</v>
      </c>
      <c r="AE177" s="144">
        <v>1.0928571428571427</v>
      </c>
      <c r="AF177" s="144">
        <v>1.0928571428571427</v>
      </c>
      <c r="AG177" s="144">
        <v>1.0607142857142857</v>
      </c>
      <c r="AH177" s="144">
        <v>1.2</v>
      </c>
      <c r="AI177" s="144">
        <v>2.0142857142857142</v>
      </c>
      <c r="AJ177" s="144">
        <v>1.0285714285714285</v>
      </c>
      <c r="AK177" s="144">
        <v>1.0285714285714285</v>
      </c>
      <c r="AL177" s="144">
        <v>1.5</v>
      </c>
      <c r="AM177" s="144">
        <v>1.125</v>
      </c>
      <c r="AN177" s="144">
        <v>1.0953947368421053</v>
      </c>
      <c r="AO177" s="144">
        <v>1.0928571428571427</v>
      </c>
      <c r="AP177" s="144">
        <v>1.0607142857142857</v>
      </c>
      <c r="AQ177" s="144">
        <v>1.0928571428571427</v>
      </c>
      <c r="AR177" s="144">
        <v>1.0928571428571427</v>
      </c>
      <c r="AS177" s="144">
        <v>1.3178571428571428</v>
      </c>
      <c r="AT177" s="144">
        <v>1.0285714285714285</v>
      </c>
      <c r="AU177" s="144">
        <v>1.8428571428571427</v>
      </c>
      <c r="AV177" s="144">
        <v>1.0285714285714285</v>
      </c>
      <c r="AW177" s="144">
        <v>1.125</v>
      </c>
      <c r="AX177" s="144">
        <v>1.3714285714285714</v>
      </c>
      <c r="AY177" s="144">
        <v>1.2730263157894737</v>
      </c>
      <c r="AZ177" s="144">
        <v>1.2730263157894737</v>
      </c>
      <c r="BA177" s="144">
        <v>1.0285714285714285</v>
      </c>
      <c r="BB177" s="144">
        <v>1.0928571428571427</v>
      </c>
      <c r="BC177" s="144">
        <v>1.0607142857142857</v>
      </c>
      <c r="BD177" s="144">
        <v>1.0928571428571427</v>
      </c>
      <c r="BE177" s="144">
        <v>0</v>
      </c>
      <c r="BF177" s="144">
        <v>0</v>
      </c>
      <c r="BG177" s="144">
        <v>0</v>
      </c>
      <c r="BH177" s="144">
        <v>0</v>
      </c>
      <c r="BI177" s="144">
        <v>0</v>
      </c>
      <c r="BJ177" s="144">
        <v>0</v>
      </c>
      <c r="BK177" s="144">
        <v>0</v>
      </c>
      <c r="BL177" s="144">
        <v>0</v>
      </c>
      <c r="BM177" s="144">
        <v>0</v>
      </c>
      <c r="BN177" s="144">
        <v>0</v>
      </c>
      <c r="BO177" s="144">
        <v>0</v>
      </c>
      <c r="BP177" s="144">
        <v>0</v>
      </c>
      <c r="BQ177" s="144">
        <v>0</v>
      </c>
      <c r="BR177" s="144">
        <v>0</v>
      </c>
      <c r="BS177" s="144">
        <v>0</v>
      </c>
      <c r="BT177" s="144">
        <v>0</v>
      </c>
      <c r="BU177" s="144">
        <v>0</v>
      </c>
      <c r="BV177" s="144">
        <v>0</v>
      </c>
      <c r="BW177" s="144">
        <v>0</v>
      </c>
      <c r="BX177" s="144">
        <v>0</v>
      </c>
      <c r="BY177" s="144">
        <v>0</v>
      </c>
      <c r="BZ177" s="144">
        <v>0</v>
      </c>
      <c r="CA177" s="144">
        <v>0</v>
      </c>
      <c r="CB177" s="144">
        <v>0</v>
      </c>
      <c r="CC177" s="144">
        <v>0</v>
      </c>
      <c r="CD177" s="144">
        <v>0</v>
      </c>
      <c r="CE177" s="144">
        <v>0</v>
      </c>
      <c r="CF177" s="144">
        <v>0</v>
      </c>
      <c r="CG177" s="144">
        <v>0</v>
      </c>
      <c r="CH177" s="144">
        <v>0</v>
      </c>
      <c r="CI177" s="144">
        <v>0</v>
      </c>
      <c r="CJ177" s="144">
        <v>0</v>
      </c>
      <c r="CK177" s="144">
        <v>0</v>
      </c>
      <c r="CL177" s="144">
        <v>0</v>
      </c>
      <c r="CM177" s="144">
        <v>0</v>
      </c>
      <c r="CN177" s="144">
        <v>0</v>
      </c>
      <c r="CO177" s="144">
        <v>0</v>
      </c>
      <c r="CP177" s="144">
        <v>0</v>
      </c>
      <c r="CQ177" s="143">
        <v>0</v>
      </c>
      <c r="CR177" s="145">
        <v>0</v>
      </c>
      <c r="CS177" s="145">
        <v>0</v>
      </c>
      <c r="CT177" s="145">
        <v>0</v>
      </c>
      <c r="CU177" s="145">
        <v>0</v>
      </c>
      <c r="CV177" s="145">
        <v>0</v>
      </c>
      <c r="CW177" s="145">
        <v>0</v>
      </c>
      <c r="CX177" s="145">
        <v>0</v>
      </c>
      <c r="CY177" s="145">
        <v>0</v>
      </c>
      <c r="CZ177" s="145">
        <v>0</v>
      </c>
      <c r="DA177" s="145">
        <v>0</v>
      </c>
      <c r="DB177" s="145">
        <v>0</v>
      </c>
      <c r="DC177" s="145">
        <v>0</v>
      </c>
      <c r="DD177" s="145">
        <v>0</v>
      </c>
      <c r="DE177" s="145">
        <v>0</v>
      </c>
      <c r="DF177" s="145">
        <v>3150.5</v>
      </c>
      <c r="DG177" s="145">
        <v>0</v>
      </c>
      <c r="DH177" s="145">
        <v>0</v>
      </c>
      <c r="DI177" s="145">
        <v>48202.65</v>
      </c>
      <c r="DJ177" s="145">
        <v>60962.175000000003</v>
      </c>
      <c r="DK177" s="145">
        <v>43949.474999999999</v>
      </c>
      <c r="DL177" s="145">
        <v>48202.65</v>
      </c>
      <c r="DM177" s="145">
        <v>48202.65</v>
      </c>
      <c r="DN177" s="145">
        <v>46784.925000000003</v>
      </c>
      <c r="DO177" s="145">
        <v>39696.300000000003</v>
      </c>
      <c r="DP177" s="145">
        <v>66633.074999999997</v>
      </c>
      <c r="DQ177" s="145">
        <v>45367.200000000004</v>
      </c>
      <c r="DR177" s="145">
        <v>46748.159999999996</v>
      </c>
      <c r="DS177" s="145">
        <v>51130.799999999996</v>
      </c>
      <c r="DT177" s="145">
        <v>55513.439999999995</v>
      </c>
      <c r="DU177" s="145">
        <v>54052.56</v>
      </c>
      <c r="DV177" s="145">
        <v>49669.919999999998</v>
      </c>
      <c r="DW177" s="145">
        <v>48209.04</v>
      </c>
      <c r="DX177" s="145">
        <v>49669.919999999998</v>
      </c>
      <c r="DY177" s="145">
        <v>49669.919999999998</v>
      </c>
      <c r="DZ177" s="145">
        <v>59896.079999999994</v>
      </c>
      <c r="EA177" s="145">
        <v>35061.119999999995</v>
      </c>
      <c r="EB177" s="145">
        <v>62817.84</v>
      </c>
      <c r="EC177" s="145">
        <v>46748.159999999996</v>
      </c>
      <c r="ED177" s="145">
        <v>52641.225000000006</v>
      </c>
      <c r="EE177" s="145">
        <v>48129.120000000003</v>
      </c>
      <c r="EF177" s="145">
        <v>64673.505000000005</v>
      </c>
      <c r="EG177" s="145">
        <v>64673.505000000005</v>
      </c>
      <c r="EH177" s="145">
        <v>48129.120000000003</v>
      </c>
      <c r="EI177" s="145">
        <v>51137.19</v>
      </c>
      <c r="EJ177" s="145">
        <v>49633.155000000006</v>
      </c>
      <c r="EK177" s="145">
        <v>51137.19</v>
      </c>
      <c r="EL177" s="145">
        <v>0</v>
      </c>
      <c r="EM177" s="145">
        <v>0</v>
      </c>
      <c r="EN177" s="145">
        <v>0</v>
      </c>
      <c r="EO177" s="145">
        <v>0</v>
      </c>
      <c r="EP177" s="145">
        <v>0</v>
      </c>
      <c r="EQ177" s="145">
        <v>0</v>
      </c>
      <c r="ER177" s="145">
        <v>0</v>
      </c>
      <c r="ES177" s="145">
        <v>0</v>
      </c>
      <c r="ET177" s="145">
        <v>0</v>
      </c>
      <c r="EU177" s="145">
        <v>0</v>
      </c>
      <c r="EV177" s="145">
        <v>0</v>
      </c>
      <c r="EW177" s="145">
        <v>0</v>
      </c>
      <c r="EX177" s="145">
        <v>0</v>
      </c>
      <c r="EY177" s="145">
        <v>0</v>
      </c>
      <c r="EZ177" s="145">
        <v>0</v>
      </c>
      <c r="FA177" s="145">
        <v>0</v>
      </c>
      <c r="FB177" s="145">
        <v>0</v>
      </c>
      <c r="FC177" s="145">
        <v>0</v>
      </c>
      <c r="FD177" s="145">
        <v>0</v>
      </c>
      <c r="FE177" s="145">
        <v>0</v>
      </c>
      <c r="FF177" s="145">
        <v>0</v>
      </c>
      <c r="FG177" s="145">
        <v>0</v>
      </c>
      <c r="FH177" s="145">
        <v>0</v>
      </c>
      <c r="FI177" s="145">
        <v>0</v>
      </c>
      <c r="FJ177" s="145">
        <v>0</v>
      </c>
      <c r="FK177" s="145">
        <v>0</v>
      </c>
      <c r="FL177" s="145">
        <v>0</v>
      </c>
      <c r="FM177" s="145">
        <v>0</v>
      </c>
      <c r="FN177" s="145">
        <v>0</v>
      </c>
      <c r="FO177" s="145">
        <v>0</v>
      </c>
      <c r="FP177" s="145">
        <v>0</v>
      </c>
      <c r="FQ177" s="145">
        <v>0</v>
      </c>
      <c r="FR177" s="145">
        <v>0</v>
      </c>
      <c r="FS177" s="145">
        <v>0</v>
      </c>
      <c r="FT177" s="145">
        <v>0</v>
      </c>
      <c r="FU177" s="145">
        <v>0</v>
      </c>
      <c r="FV177" s="145">
        <v>0</v>
      </c>
      <c r="FW177" s="145">
        <v>0</v>
      </c>
      <c r="FX177" s="143"/>
      <c r="FY177" s="146" t="str">
        <f>_xlfn.XLOOKUP($E177,'Key assumptions'!$B$112:$B$120,'Key assumptions'!$C$112:$C$120,0)</f>
        <v>Nominal</v>
      </c>
      <c r="FZ177" s="146" cm="1">
        <f t="array" ref="FZ177">IF($FY177=0,0,_xlfn.IFS($FY177='Key assumptions'!$C$120,_xlfn.XLOOKUP(LEFT(FZ$7,6),Inflation_Year,Inflation_NominaltoReal),TRUE,_xlfn.XLOOKUP($FY177,Inflation_Year,NominaltoReal)))</f>
        <v>1.0197075870962191</v>
      </c>
      <c r="GA177" s="146" cm="1">
        <f t="array" ref="GA177">IF($FY177=0,0,_xlfn.IFS($FY177='Key assumptions'!$C$120,_xlfn.XLOOKUP(LEFT(GA$7,6),Inflation_Year,Inflation_NominaltoReal),TRUE,_xlfn.XLOOKUP($FY177,Inflation_Year,NominaltoReal)))</f>
        <v>0.98700804022984445</v>
      </c>
      <c r="GB177" s="146" cm="1">
        <f t="array" ref="GB177">IF($FY177=0,0,_xlfn.IFS($FY177='Key assumptions'!$C$120,_xlfn.XLOOKUP(LEFT(GB$7,6),Inflation_Year,Inflation_NominaltoReal),TRUE,_xlfn.XLOOKUP($FY177,Inflation_Year,NominaltoReal)))</f>
        <v>0.96152830081941731</v>
      </c>
      <c r="GC177" s="146" cm="1">
        <f t="array" ref="GC177">IF($FY177=0,0,_xlfn.IFS($FY177='Key assumptions'!$C$120,_xlfn.XLOOKUP(LEFT(GC$7,6),Inflation_Year,Inflation_NominaltoReal),TRUE,_xlfn.XLOOKUP($FY177,Inflation_Year,NominaltoReal)))</f>
        <v>0.93670632415656829</v>
      </c>
      <c r="GD177" s="146" cm="1">
        <f t="array" ref="GD177">IF($FY177=0,0,_xlfn.IFS($FY177='Key assumptions'!$C$120,_xlfn.XLOOKUP(LEFT(GD$7,6),Inflation_Year,Inflation_NominaltoReal),TRUE,_xlfn.XLOOKUP($FY177,Inflation_Year,NominaltoReal)))</f>
        <v>0.91252513001143176</v>
      </c>
      <c r="GE177" s="146" cm="1">
        <f t="array" ref="GE177">IF($FY177=0,0,_xlfn.IFS($FY177='Key assumptions'!$C$120,_xlfn.XLOOKUP(LEFT(GE$7,6),Inflation_Year,Inflation_NominaltoReal),TRUE,_xlfn.XLOOKUP($FY177,Inflation_Year,NominaltoReal)))</f>
        <v>0.88896817650095872</v>
      </c>
      <c r="GF177" s="146" cm="1">
        <f t="array" ref="GF177">IF($FY177=0,0,_xlfn.IFS($FY177='Key assumptions'!$C$120,_xlfn.XLOOKUP(LEFT(GF$7,6),Inflation_Year,Inflation_NominaltoReal),TRUE,_xlfn.XLOOKUP($FY177,Inflation_Year,NominaltoReal)))</f>
        <v>0.86601934877293718</v>
      </c>
      <c r="GG177" s="143"/>
      <c r="GH177" s="145" cm="1">
        <f t="array" ref="GH177">SUMPRODUCT(--($CR$7:$FW$7&gt;=GH$5),--($CR$7:$FW$7&lt;=GH$6),$CR177:$FW177)*FZ177</f>
        <v>208497.01007921685</v>
      </c>
      <c r="GI177" s="145" cm="1">
        <f t="array" ref="GI177">SUMPRODUCT(--($CR$7:$FW$7&gt;=GI$5),--($CR$7:$FW$7&lt;=GI$6),$CR177:$FW177)*GA177</f>
        <v>593861.01375933189</v>
      </c>
      <c r="GJ177" s="145" cm="1">
        <f t="array" ref="GJ177">SUMPRODUCT(--($CR$7:$FW$7&gt;=GJ$5),--($CR$7:$FW$7&lt;=GJ$6),$CR177:$FW177)*GB177</f>
        <v>608849.27767016517</v>
      </c>
      <c r="GK177" s="145" cm="1">
        <f t="array" ref="GK177">SUMPRODUCT(--($CR$7:$FW$7&gt;=GK$5),--($CR$7:$FW$7&lt;=GK$6),$CR177:$FW177)*GC177</f>
        <v>47900.529272596024</v>
      </c>
      <c r="GL177" s="145" cm="1">
        <f t="array" ref="GL177">SUMPRODUCT(--($CR$7:$FW$7&gt;=GL$5),--($CR$7:$FW$7&lt;=GL$6),$CR177:$FW177)*GD177</f>
        <v>0</v>
      </c>
      <c r="GM177" s="145" cm="1">
        <f t="array" ref="GM177">SUMPRODUCT(--($CR$7:$FW$7&gt;=GM$5),--($CR$7:$FW$7&lt;=GM$6),$CR177:$FW177)*GE177</f>
        <v>0</v>
      </c>
      <c r="GN177" s="145" cm="1">
        <f t="array" ref="GN177">SUMPRODUCT(--($CR$7:$FW$7&gt;=GN$5),--($CR$7:$FW$7&lt;=GN$6),$CR177:$FW177)*GF177</f>
        <v>0</v>
      </c>
      <c r="GO177" s="145">
        <f t="shared" si="46"/>
        <v>1459107.8307813101</v>
      </c>
      <c r="GP177" s="87"/>
      <c r="GR177" s="145" cm="1">
        <f t="array" ref="GR177">SUMPRODUCT(--($CR$7:$FW$7&gt;=GR$5),--($CR$7:$FW$7&lt;=GR$6),$CR177:$FW177)</f>
        <v>51353.15</v>
      </c>
      <c r="GT177" s="214" cm="1">
        <f t="array" ref="GT177">--AND(MIN(IF($K177:$CP177&lt;&gt;0,$K$7:$CP$7))&gt;=GT$5,MIN(IF($K177:$CP177&lt;&gt;0,$K$7:$CP$7))&lt;=GT$6)</f>
        <v>1</v>
      </c>
      <c r="GU177" s="214" cm="1">
        <f t="array" ref="GU177">--AND(MIN(IF($K177:$CP177&lt;&gt;0,$K$7:$CP$7))&gt;=GU$5,MIN(IF($K177:$CP177&lt;&gt;0,$K$7:$CP$7))&lt;=GU$6)</f>
        <v>0</v>
      </c>
      <c r="GV177" s="214" cm="1">
        <f t="array" ref="GV177">--AND(MIN(IF($K177:$CP177&lt;&gt;0,$K$7:$CP$7))&gt;=GV$5,MIN(IF($K177:$CP177&lt;&gt;0,$K$7:$CP$7))&lt;=GV$6)</f>
        <v>0</v>
      </c>
      <c r="GW177" s="214" cm="1">
        <f t="array" ref="GW177">--AND(MIN(IF($K177:$CP177&lt;&gt;0,$K$7:$CP$7))&gt;=GW$5,MIN(IF($K177:$CP177&lt;&gt;0,$K$7:$CP$7))&lt;=GW$6)</f>
        <v>0</v>
      </c>
      <c r="GX177" s="214" cm="1">
        <f t="array" ref="GX177">--AND(MIN(IF($K177:$CP177&lt;&gt;0,$K$7:$CP$7))&gt;=GX$5,MIN(IF($K177:$CP177&lt;&gt;0,$K$7:$CP$7))&lt;=GX$6)</f>
        <v>0</v>
      </c>
      <c r="GY177" s="214" cm="1">
        <f t="array" ref="GY177">--AND(MIN(IF($K177:$CP177&lt;&gt;0,$K$7:$CP$7))&gt;=GY$5,MIN(IF($K177:$CP177&lt;&gt;0,$K$7:$CP$7))&lt;=GY$6)</f>
        <v>0</v>
      </c>
      <c r="GZ177" s="214" cm="1">
        <f t="array" ref="GZ177">--AND(MIN(IF($K177:$CP177&lt;&gt;0,$K$7:$CP$7))&gt;=GZ$5,MIN(IF($K177:$CP177&lt;&gt;0,$K$7:$CP$7))&lt;=GZ$6)</f>
        <v>0</v>
      </c>
      <c r="HA177" s="214">
        <f t="shared" si="47"/>
        <v>1</v>
      </c>
      <c r="HC177" s="214" cm="1">
        <f t="array" ref="HC177">--AND(MIN(IF($K177:$CP177&lt;&gt;0,$K$7:$CP$7))&gt;=HC$5,MIN(IF($K177:$CP177&lt;&gt;0,$K$7:$CP$7))&lt;=HC$6)</f>
        <v>1</v>
      </c>
      <c r="HE177" s="147" t="str">
        <f t="shared" si="66"/>
        <v>No</v>
      </c>
      <c r="HF177" s="147" t="str">
        <f t="shared" si="67"/>
        <v>Yes</v>
      </c>
      <c r="HG177" s="147">
        <f>IF($HF177="Yes",0,$H177*avg_hrs*12*'Key assumptions'!$D$87)</f>
        <v>0</v>
      </c>
      <c r="HH177" s="147">
        <f>IF(HE177="Yes",'Key assumptions'!$D$84*HG177,0)</f>
        <v>0</v>
      </c>
      <c r="HI177" s="144">
        <f>IFERROR(AVERAGEIFS($K177:$CP177,$K$7:$CP$7,"&gt;="&amp;'Key assumptions'!$D$24,$K$7:$CP$7,"&lt;="&amp;'Key assumptions'!$D$25),0)</f>
        <v>0.78566942925495542</v>
      </c>
      <c r="HJ177" s="148">
        <f t="shared" si="68"/>
        <v>0</v>
      </c>
      <c r="HK177" s="148">
        <f t="shared" si="49"/>
        <v>0</v>
      </c>
      <c r="HL177" s="148">
        <f t="shared" si="50"/>
        <v>0</v>
      </c>
      <c r="HM177" s="148">
        <f t="shared" si="51"/>
        <v>0</v>
      </c>
      <c r="HN177" s="148">
        <f t="shared" si="52"/>
        <v>0</v>
      </c>
      <c r="HO177" s="148">
        <f t="shared" si="53"/>
        <v>0</v>
      </c>
      <c r="HP177" s="148">
        <f t="shared" si="54"/>
        <v>0</v>
      </c>
      <c r="HQ177" s="148">
        <f t="shared" si="55"/>
        <v>0</v>
      </c>
      <c r="HR177" s="147">
        <f t="shared" si="56"/>
        <v>0</v>
      </c>
      <c r="HU177" s="147">
        <f>$HJ177*HC177/(1+'Key assumptions'!G199)^0.75</f>
        <v>0</v>
      </c>
      <c r="HW177" s="216">
        <f t="shared" si="57"/>
        <v>0.78566942925495542</v>
      </c>
      <c r="HX177" s="216">
        <f t="shared" si="58"/>
        <v>0</v>
      </c>
      <c r="HY177" s="216">
        <f t="shared" si="59"/>
        <v>0</v>
      </c>
      <c r="HZ177" s="216">
        <f t="shared" si="60"/>
        <v>0</v>
      </c>
      <c r="IA177" s="216">
        <f t="shared" si="61"/>
        <v>0</v>
      </c>
      <c r="IB177" s="216">
        <f t="shared" si="62"/>
        <v>0</v>
      </c>
      <c r="IC177" s="216">
        <f t="shared" si="63"/>
        <v>0</v>
      </c>
      <c r="ID177" s="216">
        <f t="shared" si="64"/>
        <v>0.78566942925495542</v>
      </c>
      <c r="IF177" s="216">
        <f t="shared" si="65"/>
        <v>0.78566942925495542</v>
      </c>
    </row>
    <row r="178" spans="2:240" x14ac:dyDescent="0.2">
      <c r="B178" s="141" t="str">
        <v>Project Delivery Management - Commissioning</v>
      </c>
      <c r="C178" s="141" t="str">
        <v>Network Operations Officer (Control Centre)</v>
      </c>
      <c r="D178" s="141" t="str">
        <v>Internal Labour</v>
      </c>
      <c r="E178" s="141" t="str">
        <v>$ Nominal</v>
      </c>
      <c r="F178" s="141" t="str">
        <v>Existing</v>
      </c>
      <c r="G178" s="141" t="str">
        <v>Normal time</v>
      </c>
      <c r="H178" s="142">
        <v>240.85</v>
      </c>
      <c r="I178" s="126">
        <v>53697</v>
      </c>
      <c r="J178" s="143">
        <v>0</v>
      </c>
      <c r="K178" s="144">
        <v>0</v>
      </c>
      <c r="L178" s="144">
        <v>0</v>
      </c>
      <c r="M178" s="144">
        <v>0</v>
      </c>
      <c r="N178" s="144">
        <v>0</v>
      </c>
      <c r="O178" s="144">
        <v>0</v>
      </c>
      <c r="P178" s="144">
        <v>0</v>
      </c>
      <c r="Q178" s="144">
        <v>0</v>
      </c>
      <c r="R178" s="144">
        <v>0</v>
      </c>
      <c r="S178" s="144">
        <v>0</v>
      </c>
      <c r="T178" s="144">
        <v>0</v>
      </c>
      <c r="U178" s="144">
        <v>0</v>
      </c>
      <c r="V178" s="144">
        <v>0</v>
      </c>
      <c r="W178" s="144">
        <v>0</v>
      </c>
      <c r="X178" s="144">
        <v>0</v>
      </c>
      <c r="Y178" s="144">
        <v>0</v>
      </c>
      <c r="Z178" s="144">
        <v>0</v>
      </c>
      <c r="AA178" s="144">
        <v>0</v>
      </c>
      <c r="AB178" s="144">
        <v>0</v>
      </c>
      <c r="AC178" s="144">
        <v>0</v>
      </c>
      <c r="AD178" s="144">
        <v>0</v>
      </c>
      <c r="AE178" s="144">
        <v>0</v>
      </c>
      <c r="AF178" s="144">
        <v>0</v>
      </c>
      <c r="AG178" s="144">
        <v>0</v>
      </c>
      <c r="AH178" s="144">
        <v>0</v>
      </c>
      <c r="AI178" s="144">
        <v>0</v>
      </c>
      <c r="AJ178" s="144">
        <v>0</v>
      </c>
      <c r="AK178" s="144">
        <v>0</v>
      </c>
      <c r="AL178" s="144">
        <v>0</v>
      </c>
      <c r="AM178" s="144">
        <v>0</v>
      </c>
      <c r="AN178" s="144">
        <v>0</v>
      </c>
      <c r="AO178" s="144">
        <v>0</v>
      </c>
      <c r="AP178" s="144">
        <v>0</v>
      </c>
      <c r="AQ178" s="144">
        <v>0</v>
      </c>
      <c r="AR178" s="144">
        <v>0</v>
      </c>
      <c r="AS178" s="144">
        <v>0</v>
      </c>
      <c r="AT178" s="144">
        <v>0</v>
      </c>
      <c r="AU178" s="144">
        <v>0</v>
      </c>
      <c r="AV178" s="144">
        <v>0</v>
      </c>
      <c r="AW178" s="144">
        <v>0</v>
      </c>
      <c r="AX178" s="144">
        <v>0</v>
      </c>
      <c r="AY178" s="144">
        <v>0.46052631578947367</v>
      </c>
      <c r="AZ178" s="144">
        <v>0.46052631578947367</v>
      </c>
      <c r="BA178" s="144">
        <v>0.5</v>
      </c>
      <c r="BB178" s="144">
        <v>0</v>
      </c>
      <c r="BC178" s="144">
        <v>0</v>
      </c>
      <c r="BD178" s="144">
        <v>0</v>
      </c>
      <c r="BE178" s="144">
        <v>0</v>
      </c>
      <c r="BF178" s="144">
        <v>0</v>
      </c>
      <c r="BG178" s="144">
        <v>0</v>
      </c>
      <c r="BH178" s="144">
        <v>0</v>
      </c>
      <c r="BI178" s="144">
        <v>0</v>
      </c>
      <c r="BJ178" s="144">
        <v>0</v>
      </c>
      <c r="BK178" s="144">
        <v>0</v>
      </c>
      <c r="BL178" s="144">
        <v>0</v>
      </c>
      <c r="BM178" s="144">
        <v>0</v>
      </c>
      <c r="BN178" s="144">
        <v>0</v>
      </c>
      <c r="BO178" s="144">
        <v>0</v>
      </c>
      <c r="BP178" s="144">
        <v>0</v>
      </c>
      <c r="BQ178" s="144">
        <v>0</v>
      </c>
      <c r="BR178" s="144">
        <v>0</v>
      </c>
      <c r="BS178" s="144">
        <v>0</v>
      </c>
      <c r="BT178" s="144">
        <v>0</v>
      </c>
      <c r="BU178" s="144">
        <v>0</v>
      </c>
      <c r="BV178" s="144">
        <v>0</v>
      </c>
      <c r="BW178" s="144">
        <v>0</v>
      </c>
      <c r="BX178" s="144">
        <v>0</v>
      </c>
      <c r="BY178" s="144">
        <v>0</v>
      </c>
      <c r="BZ178" s="144">
        <v>0</v>
      </c>
      <c r="CA178" s="144">
        <v>0</v>
      </c>
      <c r="CB178" s="144">
        <v>0</v>
      </c>
      <c r="CC178" s="144">
        <v>0</v>
      </c>
      <c r="CD178" s="144">
        <v>0</v>
      </c>
      <c r="CE178" s="144">
        <v>0</v>
      </c>
      <c r="CF178" s="144">
        <v>0</v>
      </c>
      <c r="CG178" s="144">
        <v>0</v>
      </c>
      <c r="CH178" s="144">
        <v>0</v>
      </c>
      <c r="CI178" s="144">
        <v>0</v>
      </c>
      <c r="CJ178" s="144">
        <v>0</v>
      </c>
      <c r="CK178" s="144">
        <v>0</v>
      </c>
      <c r="CL178" s="144">
        <v>0</v>
      </c>
      <c r="CM178" s="144">
        <v>0</v>
      </c>
      <c r="CN178" s="144">
        <v>0</v>
      </c>
      <c r="CO178" s="144">
        <v>0</v>
      </c>
      <c r="CP178" s="144">
        <v>0</v>
      </c>
      <c r="CQ178" s="143">
        <v>0</v>
      </c>
      <c r="CR178" s="145">
        <v>0</v>
      </c>
      <c r="CS178" s="145">
        <v>0</v>
      </c>
      <c r="CT178" s="145">
        <v>0</v>
      </c>
      <c r="CU178" s="145">
        <v>0</v>
      </c>
      <c r="CV178" s="145">
        <v>0</v>
      </c>
      <c r="CW178" s="145">
        <v>0</v>
      </c>
      <c r="CX178" s="145">
        <v>0</v>
      </c>
      <c r="CY178" s="145">
        <v>0</v>
      </c>
      <c r="CZ178" s="145">
        <v>0</v>
      </c>
      <c r="DA178" s="145">
        <v>0</v>
      </c>
      <c r="DB178" s="145">
        <v>0</v>
      </c>
      <c r="DC178" s="145">
        <v>0</v>
      </c>
      <c r="DD178" s="145">
        <v>0</v>
      </c>
      <c r="DE178" s="145">
        <v>0</v>
      </c>
      <c r="DF178" s="145">
        <v>0</v>
      </c>
      <c r="DG178" s="145">
        <v>0</v>
      </c>
      <c r="DH178" s="145">
        <v>0</v>
      </c>
      <c r="DI178" s="145">
        <v>0</v>
      </c>
      <c r="DJ178" s="145">
        <v>0</v>
      </c>
      <c r="DK178" s="145">
        <v>0</v>
      </c>
      <c r="DL178" s="145">
        <v>0</v>
      </c>
      <c r="DM178" s="145">
        <v>0</v>
      </c>
      <c r="DN178" s="145">
        <v>0</v>
      </c>
      <c r="DO178" s="145">
        <v>0</v>
      </c>
      <c r="DP178" s="145">
        <v>0</v>
      </c>
      <c r="DQ178" s="145">
        <v>0</v>
      </c>
      <c r="DR178" s="145">
        <v>0</v>
      </c>
      <c r="DS178" s="145">
        <v>0</v>
      </c>
      <c r="DT178" s="145">
        <v>0</v>
      </c>
      <c r="DU178" s="145">
        <v>0</v>
      </c>
      <c r="DV178" s="145">
        <v>0</v>
      </c>
      <c r="DW178" s="145">
        <v>0</v>
      </c>
      <c r="DX178" s="145">
        <v>0</v>
      </c>
      <c r="DY178" s="145">
        <v>0</v>
      </c>
      <c r="DZ178" s="145">
        <v>0</v>
      </c>
      <c r="EA178" s="145">
        <v>0</v>
      </c>
      <c r="EB178" s="145">
        <v>0</v>
      </c>
      <c r="EC178" s="145">
        <v>0</v>
      </c>
      <c r="ED178" s="145">
        <v>0</v>
      </c>
      <c r="EE178" s="145">
        <v>0</v>
      </c>
      <c r="EF178" s="145">
        <v>17899</v>
      </c>
      <c r="EG178" s="145">
        <v>17899</v>
      </c>
      <c r="EH178" s="145">
        <v>17899</v>
      </c>
      <c r="EI178" s="145">
        <v>0</v>
      </c>
      <c r="EJ178" s="145">
        <v>0</v>
      </c>
      <c r="EK178" s="145">
        <v>0</v>
      </c>
      <c r="EL178" s="145">
        <v>0</v>
      </c>
      <c r="EM178" s="145">
        <v>0</v>
      </c>
      <c r="EN178" s="145">
        <v>0</v>
      </c>
      <c r="EO178" s="145">
        <v>0</v>
      </c>
      <c r="EP178" s="145">
        <v>0</v>
      </c>
      <c r="EQ178" s="145">
        <v>0</v>
      </c>
      <c r="ER178" s="145">
        <v>0</v>
      </c>
      <c r="ES178" s="145">
        <v>0</v>
      </c>
      <c r="ET178" s="145">
        <v>0</v>
      </c>
      <c r="EU178" s="145">
        <v>0</v>
      </c>
      <c r="EV178" s="145">
        <v>0</v>
      </c>
      <c r="EW178" s="145">
        <v>0</v>
      </c>
      <c r="EX178" s="145">
        <v>0</v>
      </c>
      <c r="EY178" s="145">
        <v>0</v>
      </c>
      <c r="EZ178" s="145">
        <v>0</v>
      </c>
      <c r="FA178" s="145">
        <v>0</v>
      </c>
      <c r="FB178" s="145">
        <v>0</v>
      </c>
      <c r="FC178" s="145">
        <v>0</v>
      </c>
      <c r="FD178" s="145">
        <v>0</v>
      </c>
      <c r="FE178" s="145">
        <v>0</v>
      </c>
      <c r="FF178" s="145">
        <v>0</v>
      </c>
      <c r="FG178" s="145">
        <v>0</v>
      </c>
      <c r="FH178" s="145">
        <v>0</v>
      </c>
      <c r="FI178" s="145">
        <v>0</v>
      </c>
      <c r="FJ178" s="145">
        <v>0</v>
      </c>
      <c r="FK178" s="145">
        <v>0</v>
      </c>
      <c r="FL178" s="145">
        <v>0</v>
      </c>
      <c r="FM178" s="145">
        <v>0</v>
      </c>
      <c r="FN178" s="145">
        <v>0</v>
      </c>
      <c r="FO178" s="145">
        <v>0</v>
      </c>
      <c r="FP178" s="145">
        <v>0</v>
      </c>
      <c r="FQ178" s="145">
        <v>0</v>
      </c>
      <c r="FR178" s="145">
        <v>0</v>
      </c>
      <c r="FS178" s="145">
        <v>0</v>
      </c>
      <c r="FT178" s="145">
        <v>0</v>
      </c>
      <c r="FU178" s="145">
        <v>0</v>
      </c>
      <c r="FV178" s="145">
        <v>0</v>
      </c>
      <c r="FW178" s="145">
        <v>0</v>
      </c>
      <c r="FX178" s="143"/>
      <c r="FY178" s="146" t="str">
        <f>_xlfn.XLOOKUP($E178,'Key assumptions'!$B$112:$B$120,'Key assumptions'!$C$112:$C$120,0)</f>
        <v>Nominal</v>
      </c>
      <c r="FZ178" s="146" cm="1">
        <f t="array" ref="FZ178">IF($FY178=0,0,_xlfn.IFS($FY178='Key assumptions'!$C$120,_xlfn.XLOOKUP(LEFT(FZ$7,6),Inflation_Year,Inflation_NominaltoReal),TRUE,_xlfn.XLOOKUP($FY178,Inflation_Year,NominaltoReal)))</f>
        <v>1.0197075870962191</v>
      </c>
      <c r="GA178" s="146" cm="1">
        <f t="array" ref="GA178">IF($FY178=0,0,_xlfn.IFS($FY178='Key assumptions'!$C$120,_xlfn.XLOOKUP(LEFT(GA$7,6),Inflation_Year,Inflation_NominaltoReal),TRUE,_xlfn.XLOOKUP($FY178,Inflation_Year,NominaltoReal)))</f>
        <v>0.98700804022984445</v>
      </c>
      <c r="GB178" s="146" cm="1">
        <f t="array" ref="GB178">IF($FY178=0,0,_xlfn.IFS($FY178='Key assumptions'!$C$120,_xlfn.XLOOKUP(LEFT(GB$7,6),Inflation_Year,Inflation_NominaltoReal),TRUE,_xlfn.XLOOKUP($FY178,Inflation_Year,NominaltoReal)))</f>
        <v>0.96152830081941731</v>
      </c>
      <c r="GC178" s="146" cm="1">
        <f t="array" ref="GC178">IF($FY178=0,0,_xlfn.IFS($FY178='Key assumptions'!$C$120,_xlfn.XLOOKUP(LEFT(GC$7,6),Inflation_Year,Inflation_NominaltoReal),TRUE,_xlfn.XLOOKUP($FY178,Inflation_Year,NominaltoReal)))</f>
        <v>0.93670632415656829</v>
      </c>
      <c r="GD178" s="146" cm="1">
        <f t="array" ref="GD178">IF($FY178=0,0,_xlfn.IFS($FY178='Key assumptions'!$C$120,_xlfn.XLOOKUP(LEFT(GD$7,6),Inflation_Year,Inflation_NominaltoReal),TRUE,_xlfn.XLOOKUP($FY178,Inflation_Year,NominaltoReal)))</f>
        <v>0.91252513001143176</v>
      </c>
      <c r="GE178" s="146" cm="1">
        <f t="array" ref="GE178">IF($FY178=0,0,_xlfn.IFS($FY178='Key assumptions'!$C$120,_xlfn.XLOOKUP(LEFT(GE$7,6),Inflation_Year,Inflation_NominaltoReal),TRUE,_xlfn.XLOOKUP($FY178,Inflation_Year,NominaltoReal)))</f>
        <v>0.88896817650095872</v>
      </c>
      <c r="GF178" s="146" cm="1">
        <f t="array" ref="GF178">IF($FY178=0,0,_xlfn.IFS($FY178='Key assumptions'!$C$120,_xlfn.XLOOKUP(LEFT(GF$7,6),Inflation_Year,Inflation_NominaltoReal),TRUE,_xlfn.XLOOKUP($FY178,Inflation_Year,NominaltoReal)))</f>
        <v>0.86601934877293718</v>
      </c>
      <c r="GG178" s="143"/>
      <c r="GH178" s="145" cm="1">
        <f t="array" ref="GH178">SUMPRODUCT(--($CR$7:$FW$7&gt;=GH$5),--($CR$7:$FW$7&lt;=GH$6),$CR178:$FW178)*FZ178</f>
        <v>0</v>
      </c>
      <c r="GI178" s="145" cm="1">
        <f t="array" ref="GI178">SUMPRODUCT(--($CR$7:$FW$7&gt;=GI$5),--($CR$7:$FW$7&lt;=GI$6),$CR178:$FW178)*GA178</f>
        <v>0</v>
      </c>
      <c r="GJ178" s="145" cm="1">
        <f t="array" ref="GJ178">SUMPRODUCT(--($CR$7:$FW$7&gt;=GJ$5),--($CR$7:$FW$7&lt;=GJ$6),$CR178:$FW178)*GB178</f>
        <v>51631.185169100252</v>
      </c>
      <c r="GK178" s="145" cm="1">
        <f t="array" ref="GK178">SUMPRODUCT(--($CR$7:$FW$7&gt;=GK$5),--($CR$7:$FW$7&lt;=GK$6),$CR178:$FW178)*GC178</f>
        <v>0</v>
      </c>
      <c r="GL178" s="145" cm="1">
        <f t="array" ref="GL178">SUMPRODUCT(--($CR$7:$FW$7&gt;=GL$5),--($CR$7:$FW$7&lt;=GL$6),$CR178:$FW178)*GD178</f>
        <v>0</v>
      </c>
      <c r="GM178" s="145" cm="1">
        <f t="array" ref="GM178">SUMPRODUCT(--($CR$7:$FW$7&gt;=GM$5),--($CR$7:$FW$7&lt;=GM$6),$CR178:$FW178)*GE178</f>
        <v>0</v>
      </c>
      <c r="GN178" s="145" cm="1">
        <f t="array" ref="GN178">SUMPRODUCT(--($CR$7:$FW$7&gt;=GN$5),--($CR$7:$FW$7&lt;=GN$6),$CR178:$FW178)*GF178</f>
        <v>0</v>
      </c>
      <c r="GO178" s="145">
        <f t="shared" si="46"/>
        <v>51631.185169100252</v>
      </c>
      <c r="GP178" s="87"/>
      <c r="GR178" s="145" cm="1">
        <f t="array" ref="GR178">SUMPRODUCT(--($CR$7:$FW$7&gt;=GR$5),--($CR$7:$FW$7&lt;=GR$6),$CR178:$FW178)</f>
        <v>0</v>
      </c>
      <c r="GT178" s="214" cm="1">
        <f t="array" ref="GT178">--AND(MIN(IF($K178:$CP178&lt;&gt;0,$K$7:$CP$7))&gt;=GT$5,MIN(IF($K178:$CP178&lt;&gt;0,$K$7:$CP$7))&lt;=GT$6)</f>
        <v>0</v>
      </c>
      <c r="GU178" s="214" cm="1">
        <f t="array" ref="GU178">--AND(MIN(IF($K178:$CP178&lt;&gt;0,$K$7:$CP$7))&gt;=GU$5,MIN(IF($K178:$CP178&lt;&gt;0,$K$7:$CP$7))&lt;=GU$6)</f>
        <v>0</v>
      </c>
      <c r="GV178" s="214" cm="1">
        <f t="array" ref="GV178">--AND(MIN(IF($K178:$CP178&lt;&gt;0,$K$7:$CP$7))&gt;=GV$5,MIN(IF($K178:$CP178&lt;&gt;0,$K$7:$CP$7))&lt;=GV$6)</f>
        <v>1</v>
      </c>
      <c r="GW178" s="214" cm="1">
        <f t="array" ref="GW178">--AND(MIN(IF($K178:$CP178&lt;&gt;0,$K$7:$CP$7))&gt;=GW$5,MIN(IF($K178:$CP178&lt;&gt;0,$K$7:$CP$7))&lt;=GW$6)</f>
        <v>0</v>
      </c>
      <c r="GX178" s="214" cm="1">
        <f t="array" ref="GX178">--AND(MIN(IF($K178:$CP178&lt;&gt;0,$K$7:$CP$7))&gt;=GX$5,MIN(IF($K178:$CP178&lt;&gt;0,$K$7:$CP$7))&lt;=GX$6)</f>
        <v>0</v>
      </c>
      <c r="GY178" s="214" cm="1">
        <f t="array" ref="GY178">--AND(MIN(IF($K178:$CP178&lt;&gt;0,$K$7:$CP$7))&gt;=GY$5,MIN(IF($K178:$CP178&lt;&gt;0,$K$7:$CP$7))&lt;=GY$6)</f>
        <v>0</v>
      </c>
      <c r="GZ178" s="214" cm="1">
        <f t="array" ref="GZ178">--AND(MIN(IF($K178:$CP178&lt;&gt;0,$K$7:$CP$7))&gt;=GZ$5,MIN(IF($K178:$CP178&lt;&gt;0,$K$7:$CP$7))&lt;=GZ$6)</f>
        <v>0</v>
      </c>
      <c r="HA178" s="214">
        <f t="shared" si="47"/>
        <v>1</v>
      </c>
      <c r="HC178" s="214" cm="1">
        <f t="array" ref="HC178">--AND(MIN(IF($K178:$CP178&lt;&gt;0,$K$7:$CP$7))&gt;=HC$5,MIN(IF($K178:$CP178&lt;&gt;0,$K$7:$CP$7))&lt;=HC$6)</f>
        <v>0</v>
      </c>
      <c r="HE178" s="147" t="str">
        <f t="shared" si="66"/>
        <v>No</v>
      </c>
      <c r="HF178" s="147" t="str">
        <f t="shared" si="67"/>
        <v>No</v>
      </c>
      <c r="HG178" s="147">
        <f>IF($HF178="Yes",0,$H178*avg_hrs*12*'Key assumptions'!$D$87)</f>
        <v>430704.59093851841</v>
      </c>
      <c r="HH178" s="147">
        <f>IF(HE178="Yes",'Key assumptions'!$D$84*HG178,0)</f>
        <v>0</v>
      </c>
      <c r="HI178" s="144">
        <f>IFERROR(AVERAGEIFS($K178:$CP178,$K$7:$CP$7,"&gt;="&amp;'Key assumptions'!$D$24,$K$7:$CP$7,"&lt;="&amp;'Key assumptions'!$D$25),0)</f>
        <v>3.2296650717703351E-2</v>
      </c>
      <c r="HJ178" s="148">
        <f t="shared" si="68"/>
        <v>0</v>
      </c>
      <c r="HK178" s="148">
        <f t="shared" si="49"/>
        <v>0</v>
      </c>
      <c r="HL178" s="148">
        <f t="shared" si="50"/>
        <v>0</v>
      </c>
      <c r="HM178" s="148">
        <f t="shared" si="51"/>
        <v>0</v>
      </c>
      <c r="HN178" s="148">
        <f t="shared" si="52"/>
        <v>0</v>
      </c>
      <c r="HO178" s="148">
        <f t="shared" si="53"/>
        <v>0</v>
      </c>
      <c r="HP178" s="148">
        <f t="shared" si="54"/>
        <v>0</v>
      </c>
      <c r="HQ178" s="148">
        <f t="shared" si="55"/>
        <v>0</v>
      </c>
      <c r="HR178" s="147">
        <f t="shared" si="56"/>
        <v>0</v>
      </c>
      <c r="HU178" s="147">
        <f>$HJ178*HC178/(1+'Key assumptions'!G200)^0.75</f>
        <v>0</v>
      </c>
      <c r="HW178" s="216">
        <f t="shared" si="57"/>
        <v>0</v>
      </c>
      <c r="HX178" s="216">
        <f t="shared" si="58"/>
        <v>0</v>
      </c>
      <c r="HY178" s="216">
        <f t="shared" si="59"/>
        <v>3.2296650717703351E-2</v>
      </c>
      <c r="HZ178" s="216">
        <f t="shared" si="60"/>
        <v>0</v>
      </c>
      <c r="IA178" s="216">
        <f t="shared" si="61"/>
        <v>0</v>
      </c>
      <c r="IB178" s="216">
        <f t="shared" si="62"/>
        <v>0</v>
      </c>
      <c r="IC178" s="216">
        <f t="shared" si="63"/>
        <v>0</v>
      </c>
      <c r="ID178" s="216">
        <f t="shared" si="64"/>
        <v>3.2296650717703351E-2</v>
      </c>
      <c r="IF178" s="216">
        <f t="shared" si="65"/>
        <v>0</v>
      </c>
    </row>
    <row r="179" spans="2:240" x14ac:dyDescent="0.2">
      <c r="B179" s="141" t="str">
        <v>Project Delivery Management - Commissioning</v>
      </c>
      <c r="C179" s="141" t="str">
        <v>Technical Lead (Construction)</v>
      </c>
      <c r="D179" s="141" t="str">
        <v>Internal Labour</v>
      </c>
      <c r="E179" s="141" t="str">
        <v>$ Nominal</v>
      </c>
      <c r="F179" s="141" t="str">
        <v>Existing</v>
      </c>
      <c r="G179" s="141" t="str">
        <v>Normal time</v>
      </c>
      <c r="H179" s="142">
        <v>233.78</v>
      </c>
      <c r="I179" s="126">
        <v>120065.4</v>
      </c>
      <c r="J179" s="143">
        <v>0</v>
      </c>
      <c r="K179" s="144">
        <v>0</v>
      </c>
      <c r="L179" s="144">
        <v>0</v>
      </c>
      <c r="M179" s="144">
        <v>0</v>
      </c>
      <c r="N179" s="144">
        <v>0</v>
      </c>
      <c r="O179" s="144">
        <v>0</v>
      </c>
      <c r="P179" s="144">
        <v>0</v>
      </c>
      <c r="Q179" s="144">
        <v>0</v>
      </c>
      <c r="R179" s="144">
        <v>0</v>
      </c>
      <c r="S179" s="144">
        <v>0</v>
      </c>
      <c r="T179" s="144">
        <v>0</v>
      </c>
      <c r="U179" s="144">
        <v>0</v>
      </c>
      <c r="V179" s="144">
        <v>0</v>
      </c>
      <c r="W179" s="144">
        <v>0</v>
      </c>
      <c r="X179" s="144">
        <v>0</v>
      </c>
      <c r="Y179" s="144">
        <v>0</v>
      </c>
      <c r="Z179" s="144">
        <v>0</v>
      </c>
      <c r="AA179" s="144">
        <v>0</v>
      </c>
      <c r="AB179" s="144">
        <v>0</v>
      </c>
      <c r="AC179" s="144">
        <v>0</v>
      </c>
      <c r="AD179" s="144">
        <v>0</v>
      </c>
      <c r="AE179" s="144">
        <v>0</v>
      </c>
      <c r="AF179" s="144">
        <v>0</v>
      </c>
      <c r="AG179" s="144">
        <v>0</v>
      </c>
      <c r="AH179" s="144">
        <v>0</v>
      </c>
      <c r="AI179" s="144">
        <v>0</v>
      </c>
      <c r="AJ179" s="144">
        <v>0</v>
      </c>
      <c r="AK179" s="144">
        <v>0</v>
      </c>
      <c r="AL179" s="144">
        <v>0</v>
      </c>
      <c r="AM179" s="144">
        <v>0</v>
      </c>
      <c r="AN179" s="144">
        <v>0</v>
      </c>
      <c r="AO179" s="144">
        <v>0</v>
      </c>
      <c r="AP179" s="144">
        <v>0</v>
      </c>
      <c r="AQ179" s="144">
        <v>0.5</v>
      </c>
      <c r="AR179" s="144">
        <v>0.5</v>
      </c>
      <c r="AS179" s="144">
        <v>0.5</v>
      </c>
      <c r="AT179" s="144">
        <v>0</v>
      </c>
      <c r="AU179" s="144">
        <v>0</v>
      </c>
      <c r="AV179" s="144">
        <v>0</v>
      </c>
      <c r="AW179" s="144">
        <v>0</v>
      </c>
      <c r="AX179" s="144">
        <v>0.66666666666666663</v>
      </c>
      <c r="AY179" s="144">
        <v>0.46052631578947367</v>
      </c>
      <c r="AZ179" s="144">
        <v>0.46052631578947367</v>
      </c>
      <c r="BA179" s="144">
        <v>0.5</v>
      </c>
      <c r="BB179" s="144">
        <v>0</v>
      </c>
      <c r="BC179" s="144">
        <v>0</v>
      </c>
      <c r="BD179" s="144">
        <v>0</v>
      </c>
      <c r="BE179" s="144">
        <v>0</v>
      </c>
      <c r="BF179" s="144">
        <v>0</v>
      </c>
      <c r="BG179" s="144">
        <v>0</v>
      </c>
      <c r="BH179" s="144">
        <v>0</v>
      </c>
      <c r="BI179" s="144">
        <v>0</v>
      </c>
      <c r="BJ179" s="144">
        <v>0</v>
      </c>
      <c r="BK179" s="144">
        <v>0</v>
      </c>
      <c r="BL179" s="144">
        <v>0</v>
      </c>
      <c r="BM179" s="144">
        <v>0</v>
      </c>
      <c r="BN179" s="144">
        <v>0</v>
      </c>
      <c r="BO179" s="144">
        <v>0</v>
      </c>
      <c r="BP179" s="144">
        <v>0</v>
      </c>
      <c r="BQ179" s="144">
        <v>0</v>
      </c>
      <c r="BR179" s="144">
        <v>0</v>
      </c>
      <c r="BS179" s="144">
        <v>0</v>
      </c>
      <c r="BT179" s="144">
        <v>0</v>
      </c>
      <c r="BU179" s="144">
        <v>0</v>
      </c>
      <c r="BV179" s="144">
        <v>0</v>
      </c>
      <c r="BW179" s="144">
        <v>0</v>
      </c>
      <c r="BX179" s="144">
        <v>0</v>
      </c>
      <c r="BY179" s="144">
        <v>0</v>
      </c>
      <c r="BZ179" s="144">
        <v>0</v>
      </c>
      <c r="CA179" s="144">
        <v>0</v>
      </c>
      <c r="CB179" s="144">
        <v>0</v>
      </c>
      <c r="CC179" s="144">
        <v>0</v>
      </c>
      <c r="CD179" s="144">
        <v>0</v>
      </c>
      <c r="CE179" s="144">
        <v>0</v>
      </c>
      <c r="CF179" s="144">
        <v>0</v>
      </c>
      <c r="CG179" s="144">
        <v>0</v>
      </c>
      <c r="CH179" s="144">
        <v>0</v>
      </c>
      <c r="CI179" s="144">
        <v>0</v>
      </c>
      <c r="CJ179" s="144">
        <v>0</v>
      </c>
      <c r="CK179" s="144">
        <v>0</v>
      </c>
      <c r="CL179" s="144">
        <v>0</v>
      </c>
      <c r="CM179" s="144">
        <v>0</v>
      </c>
      <c r="CN179" s="144">
        <v>0</v>
      </c>
      <c r="CO179" s="144">
        <v>0</v>
      </c>
      <c r="CP179" s="144">
        <v>0</v>
      </c>
      <c r="CQ179" s="143">
        <v>0</v>
      </c>
      <c r="CR179" s="145">
        <v>0</v>
      </c>
      <c r="CS179" s="145">
        <v>0</v>
      </c>
      <c r="CT179" s="145">
        <v>0</v>
      </c>
      <c r="CU179" s="145">
        <v>0</v>
      </c>
      <c r="CV179" s="145">
        <v>0</v>
      </c>
      <c r="CW179" s="145">
        <v>0</v>
      </c>
      <c r="CX179" s="145">
        <v>0</v>
      </c>
      <c r="CY179" s="145">
        <v>0</v>
      </c>
      <c r="CZ179" s="145">
        <v>0</v>
      </c>
      <c r="DA179" s="145">
        <v>0</v>
      </c>
      <c r="DB179" s="145">
        <v>0</v>
      </c>
      <c r="DC179" s="145">
        <v>0</v>
      </c>
      <c r="DD179" s="145">
        <v>0</v>
      </c>
      <c r="DE179" s="145">
        <v>0</v>
      </c>
      <c r="DF179" s="145">
        <v>0</v>
      </c>
      <c r="DG179" s="145">
        <v>0</v>
      </c>
      <c r="DH179" s="145">
        <v>0</v>
      </c>
      <c r="DI179" s="145">
        <v>0</v>
      </c>
      <c r="DJ179" s="145">
        <v>0</v>
      </c>
      <c r="DK179" s="145">
        <v>0</v>
      </c>
      <c r="DL179" s="145">
        <v>0</v>
      </c>
      <c r="DM179" s="145">
        <v>0</v>
      </c>
      <c r="DN179" s="145">
        <v>0</v>
      </c>
      <c r="DO179" s="145">
        <v>0</v>
      </c>
      <c r="DP179" s="145">
        <v>0</v>
      </c>
      <c r="DQ179" s="145">
        <v>0</v>
      </c>
      <c r="DR179" s="145">
        <v>0</v>
      </c>
      <c r="DS179" s="145">
        <v>0</v>
      </c>
      <c r="DT179" s="145">
        <v>0</v>
      </c>
      <c r="DU179" s="145">
        <v>0</v>
      </c>
      <c r="DV179" s="145">
        <v>0</v>
      </c>
      <c r="DW179" s="145">
        <v>0</v>
      </c>
      <c r="DX179" s="145">
        <v>16860.2</v>
      </c>
      <c r="DY179" s="145">
        <v>16860.2</v>
      </c>
      <c r="DZ179" s="145">
        <v>16860.2</v>
      </c>
      <c r="EA179" s="145">
        <v>0</v>
      </c>
      <c r="EB179" s="145">
        <v>0</v>
      </c>
      <c r="EC179" s="145">
        <v>0</v>
      </c>
      <c r="ED179" s="145">
        <v>0</v>
      </c>
      <c r="EE179" s="145">
        <v>17371.2</v>
      </c>
      <c r="EF179" s="145">
        <v>17371.2</v>
      </c>
      <c r="EG179" s="145">
        <v>17371.2</v>
      </c>
      <c r="EH179" s="145">
        <v>17371.2</v>
      </c>
      <c r="EI179" s="145">
        <v>0</v>
      </c>
      <c r="EJ179" s="145">
        <v>0</v>
      </c>
      <c r="EK179" s="145">
        <v>0</v>
      </c>
      <c r="EL179" s="145">
        <v>0</v>
      </c>
      <c r="EM179" s="145">
        <v>0</v>
      </c>
      <c r="EN179" s="145">
        <v>0</v>
      </c>
      <c r="EO179" s="145">
        <v>0</v>
      </c>
      <c r="EP179" s="145">
        <v>0</v>
      </c>
      <c r="EQ179" s="145">
        <v>0</v>
      </c>
      <c r="ER179" s="145">
        <v>0</v>
      </c>
      <c r="ES179" s="145">
        <v>0</v>
      </c>
      <c r="ET179" s="145">
        <v>0</v>
      </c>
      <c r="EU179" s="145">
        <v>0</v>
      </c>
      <c r="EV179" s="145">
        <v>0</v>
      </c>
      <c r="EW179" s="145">
        <v>0</v>
      </c>
      <c r="EX179" s="145">
        <v>0</v>
      </c>
      <c r="EY179" s="145">
        <v>0</v>
      </c>
      <c r="EZ179" s="145">
        <v>0</v>
      </c>
      <c r="FA179" s="145">
        <v>0</v>
      </c>
      <c r="FB179" s="145">
        <v>0</v>
      </c>
      <c r="FC179" s="145">
        <v>0</v>
      </c>
      <c r="FD179" s="145">
        <v>0</v>
      </c>
      <c r="FE179" s="145">
        <v>0</v>
      </c>
      <c r="FF179" s="145">
        <v>0</v>
      </c>
      <c r="FG179" s="145">
        <v>0</v>
      </c>
      <c r="FH179" s="145">
        <v>0</v>
      </c>
      <c r="FI179" s="145">
        <v>0</v>
      </c>
      <c r="FJ179" s="145">
        <v>0</v>
      </c>
      <c r="FK179" s="145">
        <v>0</v>
      </c>
      <c r="FL179" s="145">
        <v>0</v>
      </c>
      <c r="FM179" s="145">
        <v>0</v>
      </c>
      <c r="FN179" s="145">
        <v>0</v>
      </c>
      <c r="FO179" s="145">
        <v>0</v>
      </c>
      <c r="FP179" s="145">
        <v>0</v>
      </c>
      <c r="FQ179" s="145">
        <v>0</v>
      </c>
      <c r="FR179" s="145">
        <v>0</v>
      </c>
      <c r="FS179" s="145">
        <v>0</v>
      </c>
      <c r="FT179" s="145">
        <v>0</v>
      </c>
      <c r="FU179" s="145">
        <v>0</v>
      </c>
      <c r="FV179" s="145">
        <v>0</v>
      </c>
      <c r="FW179" s="145">
        <v>0</v>
      </c>
      <c r="FX179" s="143"/>
      <c r="FY179" s="146" t="str">
        <f>_xlfn.XLOOKUP($E179,'Key assumptions'!$B$112:$B$120,'Key assumptions'!$C$112:$C$120,0)</f>
        <v>Nominal</v>
      </c>
      <c r="FZ179" s="146" cm="1">
        <f t="array" ref="FZ179">IF($FY179=0,0,_xlfn.IFS($FY179='Key assumptions'!$C$120,_xlfn.XLOOKUP(LEFT(FZ$7,6),Inflation_Year,Inflation_NominaltoReal),TRUE,_xlfn.XLOOKUP($FY179,Inflation_Year,NominaltoReal)))</f>
        <v>1.0197075870962191</v>
      </c>
      <c r="GA179" s="146" cm="1">
        <f t="array" ref="GA179">IF($FY179=0,0,_xlfn.IFS($FY179='Key assumptions'!$C$120,_xlfn.XLOOKUP(LEFT(GA$7,6),Inflation_Year,Inflation_NominaltoReal),TRUE,_xlfn.XLOOKUP($FY179,Inflation_Year,NominaltoReal)))</f>
        <v>0.98700804022984445</v>
      </c>
      <c r="GB179" s="146" cm="1">
        <f t="array" ref="GB179">IF($FY179=0,0,_xlfn.IFS($FY179='Key assumptions'!$C$120,_xlfn.XLOOKUP(LEFT(GB$7,6),Inflation_Year,Inflation_NominaltoReal),TRUE,_xlfn.XLOOKUP($FY179,Inflation_Year,NominaltoReal)))</f>
        <v>0.96152830081941731</v>
      </c>
      <c r="GC179" s="146" cm="1">
        <f t="array" ref="GC179">IF($FY179=0,0,_xlfn.IFS($FY179='Key assumptions'!$C$120,_xlfn.XLOOKUP(LEFT(GC$7,6),Inflation_Year,Inflation_NominaltoReal),TRUE,_xlfn.XLOOKUP($FY179,Inflation_Year,NominaltoReal)))</f>
        <v>0.93670632415656829</v>
      </c>
      <c r="GD179" s="146" cm="1">
        <f t="array" ref="GD179">IF($FY179=0,0,_xlfn.IFS($FY179='Key assumptions'!$C$120,_xlfn.XLOOKUP(LEFT(GD$7,6),Inflation_Year,Inflation_NominaltoReal),TRUE,_xlfn.XLOOKUP($FY179,Inflation_Year,NominaltoReal)))</f>
        <v>0.91252513001143176</v>
      </c>
      <c r="GE179" s="146" cm="1">
        <f t="array" ref="GE179">IF($FY179=0,0,_xlfn.IFS($FY179='Key assumptions'!$C$120,_xlfn.XLOOKUP(LEFT(GE$7,6),Inflation_Year,Inflation_NominaltoReal),TRUE,_xlfn.XLOOKUP($FY179,Inflation_Year,NominaltoReal)))</f>
        <v>0.88896817650095872</v>
      </c>
      <c r="GF179" s="146" cm="1">
        <f t="array" ref="GF179">IF($FY179=0,0,_xlfn.IFS($FY179='Key assumptions'!$C$120,_xlfn.XLOOKUP(LEFT(GF$7,6),Inflation_Year,Inflation_NominaltoReal),TRUE,_xlfn.XLOOKUP($FY179,Inflation_Year,NominaltoReal)))</f>
        <v>0.86601934877293718</v>
      </c>
      <c r="GG179" s="143"/>
      <c r="GH179" s="145" cm="1">
        <f t="array" ref="GH179">SUMPRODUCT(--($CR$7:$FW$7&gt;=GH$5),--($CR$7:$FW$7&lt;=GH$6),$CR179:$FW179)*FZ179</f>
        <v>0</v>
      </c>
      <c r="GI179" s="145" cm="1">
        <f t="array" ref="GI179">SUMPRODUCT(--($CR$7:$FW$7&gt;=GI$5),--($CR$7:$FW$7&lt;=GI$6),$CR179:$FW179)*GA179</f>
        <v>16641.152959883224</v>
      </c>
      <c r="GJ179" s="145" cm="1">
        <f t="array" ref="GJ179">SUMPRODUCT(--($CR$7:$FW$7&gt;=GJ$5),--($CR$7:$FW$7&lt;=GJ$6),$CR179:$FW179)*GB179</f>
        <v>99234.720591728124</v>
      </c>
      <c r="GK179" s="145" cm="1">
        <f t="array" ref="GK179">SUMPRODUCT(--($CR$7:$FW$7&gt;=GK$5),--($CR$7:$FW$7&lt;=GK$6),$CR179:$FW179)*GC179</f>
        <v>0</v>
      </c>
      <c r="GL179" s="145" cm="1">
        <f t="array" ref="GL179">SUMPRODUCT(--($CR$7:$FW$7&gt;=GL$5),--($CR$7:$FW$7&lt;=GL$6),$CR179:$FW179)*GD179</f>
        <v>0</v>
      </c>
      <c r="GM179" s="145" cm="1">
        <f t="array" ref="GM179">SUMPRODUCT(--($CR$7:$FW$7&gt;=GM$5),--($CR$7:$FW$7&lt;=GM$6),$CR179:$FW179)*GE179</f>
        <v>0</v>
      </c>
      <c r="GN179" s="145" cm="1">
        <f t="array" ref="GN179">SUMPRODUCT(--($CR$7:$FW$7&gt;=GN$5),--($CR$7:$FW$7&lt;=GN$6),$CR179:$FW179)*GF179</f>
        <v>0</v>
      </c>
      <c r="GO179" s="145">
        <f t="shared" si="46"/>
        <v>115875.87355161135</v>
      </c>
      <c r="GP179" s="87"/>
      <c r="GR179" s="145" cm="1">
        <f t="array" ref="GR179">SUMPRODUCT(--($CR$7:$FW$7&gt;=GR$5),--($CR$7:$FW$7&lt;=GR$6),$CR179:$FW179)</f>
        <v>0</v>
      </c>
      <c r="GT179" s="214" cm="1">
        <f t="array" ref="GT179">--AND(MIN(IF($K179:$CP179&lt;&gt;0,$K$7:$CP$7))&gt;=GT$5,MIN(IF($K179:$CP179&lt;&gt;0,$K$7:$CP$7))&lt;=GT$6)</f>
        <v>0</v>
      </c>
      <c r="GU179" s="214" cm="1">
        <f t="array" ref="GU179">--AND(MIN(IF($K179:$CP179&lt;&gt;0,$K$7:$CP$7))&gt;=GU$5,MIN(IF($K179:$CP179&lt;&gt;0,$K$7:$CP$7))&lt;=GU$6)</f>
        <v>1</v>
      </c>
      <c r="GV179" s="214" cm="1">
        <f t="array" ref="GV179">--AND(MIN(IF($K179:$CP179&lt;&gt;0,$K$7:$CP$7))&gt;=GV$5,MIN(IF($K179:$CP179&lt;&gt;0,$K$7:$CP$7))&lt;=GV$6)</f>
        <v>0</v>
      </c>
      <c r="GW179" s="214" cm="1">
        <f t="array" ref="GW179">--AND(MIN(IF($K179:$CP179&lt;&gt;0,$K$7:$CP$7))&gt;=GW$5,MIN(IF($K179:$CP179&lt;&gt;0,$K$7:$CP$7))&lt;=GW$6)</f>
        <v>0</v>
      </c>
      <c r="GX179" s="214" cm="1">
        <f t="array" ref="GX179">--AND(MIN(IF($K179:$CP179&lt;&gt;0,$K$7:$CP$7))&gt;=GX$5,MIN(IF($K179:$CP179&lt;&gt;0,$K$7:$CP$7))&lt;=GX$6)</f>
        <v>0</v>
      </c>
      <c r="GY179" s="214" cm="1">
        <f t="array" ref="GY179">--AND(MIN(IF($K179:$CP179&lt;&gt;0,$K$7:$CP$7))&gt;=GY$5,MIN(IF($K179:$CP179&lt;&gt;0,$K$7:$CP$7))&lt;=GY$6)</f>
        <v>0</v>
      </c>
      <c r="GZ179" s="214" cm="1">
        <f t="array" ref="GZ179">--AND(MIN(IF($K179:$CP179&lt;&gt;0,$K$7:$CP$7))&gt;=GZ$5,MIN(IF($K179:$CP179&lt;&gt;0,$K$7:$CP$7))&lt;=GZ$6)</f>
        <v>0</v>
      </c>
      <c r="HA179" s="214">
        <f t="shared" si="47"/>
        <v>1</v>
      </c>
      <c r="HC179" s="214" cm="1">
        <f t="array" ref="HC179">--AND(MIN(IF($K179:$CP179&lt;&gt;0,$K$7:$CP$7))&gt;=HC$5,MIN(IF($K179:$CP179&lt;&gt;0,$K$7:$CP$7))&lt;=HC$6)</f>
        <v>0</v>
      </c>
      <c r="HE179" s="147" t="str">
        <f t="shared" si="66"/>
        <v>No</v>
      </c>
      <c r="HF179" s="147" t="str">
        <f t="shared" si="67"/>
        <v>No</v>
      </c>
      <c r="HG179" s="147">
        <f>IF($HF179="Yes",0,$H179*avg_hrs*12*'Key assumptions'!$D$87)</f>
        <v>418061.5290413404</v>
      </c>
      <c r="HH179" s="147">
        <f>IF(HE179="Yes",'Key assumptions'!$D$84*HG179,0)</f>
        <v>0</v>
      </c>
      <c r="HI179" s="144">
        <f>IFERROR(AVERAGEIFS($K179:$CP179,$K$7:$CP$7,"&gt;="&amp;'Key assumptions'!$D$24,$K$7:$CP$7,"&lt;="&amp;'Key assumptions'!$D$25),0)</f>
        <v>8.1539074960127592E-2</v>
      </c>
      <c r="HJ179" s="148">
        <f t="shared" si="68"/>
        <v>0</v>
      </c>
      <c r="HK179" s="148">
        <f t="shared" si="49"/>
        <v>0</v>
      </c>
      <c r="HL179" s="148">
        <f t="shared" si="50"/>
        <v>0</v>
      </c>
      <c r="HM179" s="148">
        <f t="shared" si="51"/>
        <v>0</v>
      </c>
      <c r="HN179" s="148">
        <f t="shared" si="52"/>
        <v>0</v>
      </c>
      <c r="HO179" s="148">
        <f t="shared" si="53"/>
        <v>0</v>
      </c>
      <c r="HP179" s="148">
        <f t="shared" si="54"/>
        <v>0</v>
      </c>
      <c r="HQ179" s="148">
        <f t="shared" si="55"/>
        <v>0</v>
      </c>
      <c r="HR179" s="147">
        <f t="shared" si="56"/>
        <v>0</v>
      </c>
      <c r="HU179" s="147">
        <f>$HJ179*HC179/(1+'Key assumptions'!G201)^0.75</f>
        <v>0</v>
      </c>
      <c r="HW179" s="216">
        <f t="shared" si="57"/>
        <v>0</v>
      </c>
      <c r="HX179" s="216">
        <f t="shared" si="58"/>
        <v>8.1539074960127592E-2</v>
      </c>
      <c r="HY179" s="216">
        <f t="shared" si="59"/>
        <v>0</v>
      </c>
      <c r="HZ179" s="216">
        <f t="shared" si="60"/>
        <v>0</v>
      </c>
      <c r="IA179" s="216">
        <f t="shared" si="61"/>
        <v>0</v>
      </c>
      <c r="IB179" s="216">
        <f t="shared" si="62"/>
        <v>0</v>
      </c>
      <c r="IC179" s="216">
        <f t="shared" si="63"/>
        <v>0</v>
      </c>
      <c r="ID179" s="216">
        <f t="shared" si="64"/>
        <v>8.1539074960127592E-2</v>
      </c>
      <c r="IF179" s="216">
        <f t="shared" si="65"/>
        <v>0</v>
      </c>
    </row>
    <row r="180" spans="2:240" x14ac:dyDescent="0.2">
      <c r="B180" s="141" t="str">
        <v>Project Delivery Management - Commissioning</v>
      </c>
      <c r="C180" s="141" t="str">
        <v>Telecommunication Technician (Construction)</v>
      </c>
      <c r="D180" s="141" t="str">
        <v>Internal Labour</v>
      </c>
      <c r="E180" s="141" t="str">
        <v>$ Nominal</v>
      </c>
      <c r="F180" s="141" t="str">
        <v>Existing</v>
      </c>
      <c r="G180" s="141" t="str">
        <v>Normal time</v>
      </c>
      <c r="H180" s="142">
        <v>188.58</v>
      </c>
      <c r="I180" s="126">
        <v>85803.900000000009</v>
      </c>
      <c r="J180" s="143">
        <v>0</v>
      </c>
      <c r="K180" s="144">
        <v>0</v>
      </c>
      <c r="L180" s="144">
        <v>0</v>
      </c>
      <c r="M180" s="144">
        <v>0</v>
      </c>
      <c r="N180" s="144">
        <v>0</v>
      </c>
      <c r="O180" s="144">
        <v>0</v>
      </c>
      <c r="P180" s="144">
        <v>0</v>
      </c>
      <c r="Q180" s="144">
        <v>0</v>
      </c>
      <c r="R180" s="144">
        <v>0</v>
      </c>
      <c r="S180" s="144">
        <v>0</v>
      </c>
      <c r="T180" s="144">
        <v>0</v>
      </c>
      <c r="U180" s="144">
        <v>0</v>
      </c>
      <c r="V180" s="144">
        <v>0</v>
      </c>
      <c r="W180" s="144">
        <v>0</v>
      </c>
      <c r="X180" s="144">
        <v>0</v>
      </c>
      <c r="Y180" s="144">
        <v>0</v>
      </c>
      <c r="Z180" s="144">
        <v>0</v>
      </c>
      <c r="AA180" s="144">
        <v>0</v>
      </c>
      <c r="AB180" s="144">
        <v>0</v>
      </c>
      <c r="AC180" s="144">
        <v>0</v>
      </c>
      <c r="AD180" s="144">
        <v>1.05</v>
      </c>
      <c r="AE180" s="144">
        <v>1.1000000000000001</v>
      </c>
      <c r="AF180" s="144">
        <v>1.1000000000000001</v>
      </c>
      <c r="AG180" s="144">
        <v>0</v>
      </c>
      <c r="AH180" s="144">
        <v>0</v>
      </c>
      <c r="AI180" s="144">
        <v>0</v>
      </c>
      <c r="AJ180" s="144">
        <v>0</v>
      </c>
      <c r="AK180" s="144">
        <v>0</v>
      </c>
      <c r="AL180" s="144">
        <v>0</v>
      </c>
      <c r="AM180" s="144">
        <v>0</v>
      </c>
      <c r="AN180" s="144">
        <v>0</v>
      </c>
      <c r="AO180" s="144">
        <v>0</v>
      </c>
      <c r="AP180" s="144">
        <v>0</v>
      </c>
      <c r="AQ180" s="144">
        <v>0</v>
      </c>
      <c r="AR180" s="144">
        <v>0</v>
      </c>
      <c r="AS180" s="144">
        <v>0</v>
      </c>
      <c r="AT180" s="144">
        <v>0</v>
      </c>
      <c r="AU180" s="144">
        <v>0</v>
      </c>
      <c r="AV180" s="144">
        <v>0</v>
      </c>
      <c r="AW180" s="144">
        <v>0</v>
      </c>
      <c r="AX180" s="144">
        <v>0</v>
      </c>
      <c r="AY180" s="144">
        <v>0</v>
      </c>
      <c r="AZ180" s="144">
        <v>0</v>
      </c>
      <c r="BA180" s="144">
        <v>0</v>
      </c>
      <c r="BB180" s="144">
        <v>0</v>
      </c>
      <c r="BC180" s="144">
        <v>0</v>
      </c>
      <c r="BD180" s="144">
        <v>0</v>
      </c>
      <c r="BE180" s="144">
        <v>0</v>
      </c>
      <c r="BF180" s="144">
        <v>0</v>
      </c>
      <c r="BG180" s="144">
        <v>0</v>
      </c>
      <c r="BH180" s="144">
        <v>0</v>
      </c>
      <c r="BI180" s="144">
        <v>0</v>
      </c>
      <c r="BJ180" s="144">
        <v>0</v>
      </c>
      <c r="BK180" s="144">
        <v>0</v>
      </c>
      <c r="BL180" s="144">
        <v>0</v>
      </c>
      <c r="BM180" s="144">
        <v>0</v>
      </c>
      <c r="BN180" s="144">
        <v>0</v>
      </c>
      <c r="BO180" s="144">
        <v>0</v>
      </c>
      <c r="BP180" s="144">
        <v>0</v>
      </c>
      <c r="BQ180" s="144">
        <v>0</v>
      </c>
      <c r="BR180" s="144">
        <v>0</v>
      </c>
      <c r="BS180" s="144">
        <v>0</v>
      </c>
      <c r="BT180" s="144">
        <v>0</v>
      </c>
      <c r="BU180" s="144">
        <v>0</v>
      </c>
      <c r="BV180" s="144">
        <v>0</v>
      </c>
      <c r="BW180" s="144">
        <v>0</v>
      </c>
      <c r="BX180" s="144">
        <v>0</v>
      </c>
      <c r="BY180" s="144">
        <v>0</v>
      </c>
      <c r="BZ180" s="144">
        <v>0</v>
      </c>
      <c r="CA180" s="144">
        <v>0</v>
      </c>
      <c r="CB180" s="144">
        <v>0</v>
      </c>
      <c r="CC180" s="144">
        <v>0</v>
      </c>
      <c r="CD180" s="144">
        <v>0</v>
      </c>
      <c r="CE180" s="144">
        <v>0</v>
      </c>
      <c r="CF180" s="144">
        <v>0</v>
      </c>
      <c r="CG180" s="144">
        <v>0</v>
      </c>
      <c r="CH180" s="144">
        <v>0</v>
      </c>
      <c r="CI180" s="144">
        <v>0</v>
      </c>
      <c r="CJ180" s="144">
        <v>0</v>
      </c>
      <c r="CK180" s="144">
        <v>0</v>
      </c>
      <c r="CL180" s="144">
        <v>0</v>
      </c>
      <c r="CM180" s="144">
        <v>0</v>
      </c>
      <c r="CN180" s="144">
        <v>0</v>
      </c>
      <c r="CO180" s="144">
        <v>0</v>
      </c>
      <c r="CP180" s="144">
        <v>0</v>
      </c>
      <c r="CQ180" s="143">
        <v>0</v>
      </c>
      <c r="CR180" s="145">
        <v>0</v>
      </c>
      <c r="CS180" s="145">
        <v>0</v>
      </c>
      <c r="CT180" s="145">
        <v>0</v>
      </c>
      <c r="CU180" s="145">
        <v>0</v>
      </c>
      <c r="CV180" s="145">
        <v>0</v>
      </c>
      <c r="CW180" s="145">
        <v>0</v>
      </c>
      <c r="CX180" s="145">
        <v>0</v>
      </c>
      <c r="CY180" s="145">
        <v>0</v>
      </c>
      <c r="CZ180" s="145">
        <v>0</v>
      </c>
      <c r="DA180" s="145">
        <v>0</v>
      </c>
      <c r="DB180" s="145">
        <v>0</v>
      </c>
      <c r="DC180" s="145">
        <v>0</v>
      </c>
      <c r="DD180" s="145">
        <v>0</v>
      </c>
      <c r="DE180" s="145">
        <v>0</v>
      </c>
      <c r="DF180" s="145">
        <v>0</v>
      </c>
      <c r="DG180" s="145">
        <v>0</v>
      </c>
      <c r="DH180" s="145">
        <v>0</v>
      </c>
      <c r="DI180" s="145">
        <v>0</v>
      </c>
      <c r="DJ180" s="145">
        <v>0</v>
      </c>
      <c r="DK180" s="145">
        <v>27721.260000000002</v>
      </c>
      <c r="DL180" s="145">
        <v>29041.320000000003</v>
      </c>
      <c r="DM180" s="145">
        <v>29041.320000000003</v>
      </c>
      <c r="DN180" s="145">
        <v>0</v>
      </c>
      <c r="DO180" s="145">
        <v>0</v>
      </c>
      <c r="DP180" s="145">
        <v>0</v>
      </c>
      <c r="DQ180" s="145">
        <v>0</v>
      </c>
      <c r="DR180" s="145">
        <v>0</v>
      </c>
      <c r="DS180" s="145">
        <v>0</v>
      </c>
      <c r="DT180" s="145">
        <v>0</v>
      </c>
      <c r="DU180" s="145">
        <v>0</v>
      </c>
      <c r="DV180" s="145">
        <v>0</v>
      </c>
      <c r="DW180" s="145">
        <v>0</v>
      </c>
      <c r="DX180" s="145">
        <v>0</v>
      </c>
      <c r="DY180" s="145">
        <v>0</v>
      </c>
      <c r="DZ180" s="145">
        <v>0</v>
      </c>
      <c r="EA180" s="145">
        <v>0</v>
      </c>
      <c r="EB180" s="145">
        <v>0</v>
      </c>
      <c r="EC180" s="145">
        <v>0</v>
      </c>
      <c r="ED180" s="145">
        <v>0</v>
      </c>
      <c r="EE180" s="145">
        <v>0</v>
      </c>
      <c r="EF180" s="145">
        <v>0</v>
      </c>
      <c r="EG180" s="145">
        <v>0</v>
      </c>
      <c r="EH180" s="145">
        <v>0</v>
      </c>
      <c r="EI180" s="145">
        <v>0</v>
      </c>
      <c r="EJ180" s="145">
        <v>0</v>
      </c>
      <c r="EK180" s="145">
        <v>0</v>
      </c>
      <c r="EL180" s="145">
        <v>0</v>
      </c>
      <c r="EM180" s="145">
        <v>0</v>
      </c>
      <c r="EN180" s="145">
        <v>0</v>
      </c>
      <c r="EO180" s="145">
        <v>0</v>
      </c>
      <c r="EP180" s="145">
        <v>0</v>
      </c>
      <c r="EQ180" s="145">
        <v>0</v>
      </c>
      <c r="ER180" s="145">
        <v>0</v>
      </c>
      <c r="ES180" s="145">
        <v>0</v>
      </c>
      <c r="ET180" s="145">
        <v>0</v>
      </c>
      <c r="EU180" s="145">
        <v>0</v>
      </c>
      <c r="EV180" s="145">
        <v>0</v>
      </c>
      <c r="EW180" s="145">
        <v>0</v>
      </c>
      <c r="EX180" s="145">
        <v>0</v>
      </c>
      <c r="EY180" s="145">
        <v>0</v>
      </c>
      <c r="EZ180" s="145">
        <v>0</v>
      </c>
      <c r="FA180" s="145">
        <v>0</v>
      </c>
      <c r="FB180" s="145">
        <v>0</v>
      </c>
      <c r="FC180" s="145">
        <v>0</v>
      </c>
      <c r="FD180" s="145">
        <v>0</v>
      </c>
      <c r="FE180" s="145">
        <v>0</v>
      </c>
      <c r="FF180" s="145">
        <v>0</v>
      </c>
      <c r="FG180" s="145">
        <v>0</v>
      </c>
      <c r="FH180" s="145">
        <v>0</v>
      </c>
      <c r="FI180" s="145">
        <v>0</v>
      </c>
      <c r="FJ180" s="145">
        <v>0</v>
      </c>
      <c r="FK180" s="145">
        <v>0</v>
      </c>
      <c r="FL180" s="145">
        <v>0</v>
      </c>
      <c r="FM180" s="145">
        <v>0</v>
      </c>
      <c r="FN180" s="145">
        <v>0</v>
      </c>
      <c r="FO180" s="145">
        <v>0</v>
      </c>
      <c r="FP180" s="145">
        <v>0</v>
      </c>
      <c r="FQ180" s="145">
        <v>0</v>
      </c>
      <c r="FR180" s="145">
        <v>0</v>
      </c>
      <c r="FS180" s="145">
        <v>0</v>
      </c>
      <c r="FT180" s="145">
        <v>0</v>
      </c>
      <c r="FU180" s="145">
        <v>0</v>
      </c>
      <c r="FV180" s="145">
        <v>0</v>
      </c>
      <c r="FW180" s="145">
        <v>0</v>
      </c>
      <c r="FX180" s="143"/>
      <c r="FY180" s="146" t="str">
        <f>_xlfn.XLOOKUP($E180,'Key assumptions'!$B$112:$B$120,'Key assumptions'!$C$112:$C$120,0)</f>
        <v>Nominal</v>
      </c>
      <c r="FZ180" s="146" cm="1">
        <f t="array" ref="FZ180">IF($FY180=0,0,_xlfn.IFS($FY180='Key assumptions'!$C$120,_xlfn.XLOOKUP(LEFT(FZ$7,6),Inflation_Year,Inflation_NominaltoReal),TRUE,_xlfn.XLOOKUP($FY180,Inflation_Year,NominaltoReal)))</f>
        <v>1.0197075870962191</v>
      </c>
      <c r="GA180" s="146" cm="1">
        <f t="array" ref="GA180">IF($FY180=0,0,_xlfn.IFS($FY180='Key assumptions'!$C$120,_xlfn.XLOOKUP(LEFT(GA$7,6),Inflation_Year,Inflation_NominaltoReal),TRUE,_xlfn.XLOOKUP($FY180,Inflation_Year,NominaltoReal)))</f>
        <v>0.98700804022984445</v>
      </c>
      <c r="GB180" s="146" cm="1">
        <f t="array" ref="GB180">IF($FY180=0,0,_xlfn.IFS($FY180='Key assumptions'!$C$120,_xlfn.XLOOKUP(LEFT(GB$7,6),Inflation_Year,Inflation_NominaltoReal),TRUE,_xlfn.XLOOKUP($FY180,Inflation_Year,NominaltoReal)))</f>
        <v>0.96152830081941731</v>
      </c>
      <c r="GC180" s="146" cm="1">
        <f t="array" ref="GC180">IF($FY180=0,0,_xlfn.IFS($FY180='Key assumptions'!$C$120,_xlfn.XLOOKUP(LEFT(GC$7,6),Inflation_Year,Inflation_NominaltoReal),TRUE,_xlfn.XLOOKUP($FY180,Inflation_Year,NominaltoReal)))</f>
        <v>0.93670632415656829</v>
      </c>
      <c r="GD180" s="146" cm="1">
        <f t="array" ref="GD180">IF($FY180=0,0,_xlfn.IFS($FY180='Key assumptions'!$C$120,_xlfn.XLOOKUP(LEFT(GD$7,6),Inflation_Year,Inflation_NominaltoReal),TRUE,_xlfn.XLOOKUP($FY180,Inflation_Year,NominaltoReal)))</f>
        <v>0.91252513001143176</v>
      </c>
      <c r="GE180" s="146" cm="1">
        <f t="array" ref="GE180">IF($FY180=0,0,_xlfn.IFS($FY180='Key assumptions'!$C$120,_xlfn.XLOOKUP(LEFT(GE$7,6),Inflation_Year,Inflation_NominaltoReal),TRUE,_xlfn.XLOOKUP($FY180,Inflation_Year,NominaltoReal)))</f>
        <v>0.88896817650095872</v>
      </c>
      <c r="GF180" s="146" cm="1">
        <f t="array" ref="GF180">IF($FY180=0,0,_xlfn.IFS($FY180='Key assumptions'!$C$120,_xlfn.XLOOKUP(LEFT(GF$7,6),Inflation_Year,Inflation_NominaltoReal),TRUE,_xlfn.XLOOKUP($FY180,Inflation_Year,NominaltoReal)))</f>
        <v>0.86601934877293718</v>
      </c>
      <c r="GG180" s="143"/>
      <c r="GH180" s="145" cm="1">
        <f t="array" ref="GH180">SUMPRODUCT(--($CR$7:$FW$7&gt;=GH$5),--($CR$7:$FW$7&lt;=GH$6),$CR180:$FW180)*FZ180</f>
        <v>57881.233489156104</v>
      </c>
      <c r="GI180" s="145" cm="1">
        <f t="array" ref="GI180">SUMPRODUCT(--($CR$7:$FW$7&gt;=GI$5),--($CR$7:$FW$7&lt;=GI$6),$CR180:$FW180)*GA180</f>
        <v>28664.016338887788</v>
      </c>
      <c r="GJ180" s="145" cm="1">
        <f t="array" ref="GJ180">SUMPRODUCT(--($CR$7:$FW$7&gt;=GJ$5),--($CR$7:$FW$7&lt;=GJ$6),$CR180:$FW180)*GB180</f>
        <v>0</v>
      </c>
      <c r="GK180" s="145" cm="1">
        <f t="array" ref="GK180">SUMPRODUCT(--($CR$7:$FW$7&gt;=GK$5),--($CR$7:$FW$7&lt;=GK$6),$CR180:$FW180)*GC180</f>
        <v>0</v>
      </c>
      <c r="GL180" s="145" cm="1">
        <f t="array" ref="GL180">SUMPRODUCT(--($CR$7:$FW$7&gt;=GL$5),--($CR$7:$FW$7&lt;=GL$6),$CR180:$FW180)*GD180</f>
        <v>0</v>
      </c>
      <c r="GM180" s="145" cm="1">
        <f t="array" ref="GM180">SUMPRODUCT(--($CR$7:$FW$7&gt;=GM$5),--($CR$7:$FW$7&lt;=GM$6),$CR180:$FW180)*GE180</f>
        <v>0</v>
      </c>
      <c r="GN180" s="145" cm="1">
        <f t="array" ref="GN180">SUMPRODUCT(--($CR$7:$FW$7&gt;=GN$5),--($CR$7:$FW$7&lt;=GN$6),$CR180:$FW180)*GF180</f>
        <v>0</v>
      </c>
      <c r="GO180" s="145">
        <f t="shared" si="46"/>
        <v>86545.249828043889</v>
      </c>
      <c r="GP180" s="87"/>
      <c r="GR180" s="145" cm="1">
        <f t="array" ref="GR180">SUMPRODUCT(--($CR$7:$FW$7&gt;=GR$5),--($CR$7:$FW$7&lt;=GR$6),$CR180:$FW180)</f>
        <v>0</v>
      </c>
      <c r="GT180" s="214" cm="1">
        <f t="array" ref="GT180">--AND(MIN(IF($K180:$CP180&lt;&gt;0,$K$7:$CP$7))&gt;=GT$5,MIN(IF($K180:$CP180&lt;&gt;0,$K$7:$CP$7))&lt;=GT$6)</f>
        <v>1</v>
      </c>
      <c r="GU180" s="214" cm="1">
        <f t="array" ref="GU180">--AND(MIN(IF($K180:$CP180&lt;&gt;0,$K$7:$CP$7))&gt;=GU$5,MIN(IF($K180:$CP180&lt;&gt;0,$K$7:$CP$7))&lt;=GU$6)</f>
        <v>0</v>
      </c>
      <c r="GV180" s="214" cm="1">
        <f t="array" ref="GV180">--AND(MIN(IF($K180:$CP180&lt;&gt;0,$K$7:$CP$7))&gt;=GV$5,MIN(IF($K180:$CP180&lt;&gt;0,$K$7:$CP$7))&lt;=GV$6)</f>
        <v>0</v>
      </c>
      <c r="GW180" s="214" cm="1">
        <f t="array" ref="GW180">--AND(MIN(IF($K180:$CP180&lt;&gt;0,$K$7:$CP$7))&gt;=GW$5,MIN(IF($K180:$CP180&lt;&gt;0,$K$7:$CP$7))&lt;=GW$6)</f>
        <v>0</v>
      </c>
      <c r="GX180" s="214" cm="1">
        <f t="array" ref="GX180">--AND(MIN(IF($K180:$CP180&lt;&gt;0,$K$7:$CP$7))&gt;=GX$5,MIN(IF($K180:$CP180&lt;&gt;0,$K$7:$CP$7))&lt;=GX$6)</f>
        <v>0</v>
      </c>
      <c r="GY180" s="214" cm="1">
        <f t="array" ref="GY180">--AND(MIN(IF($K180:$CP180&lt;&gt;0,$K$7:$CP$7))&gt;=GY$5,MIN(IF($K180:$CP180&lt;&gt;0,$K$7:$CP$7))&lt;=GY$6)</f>
        <v>0</v>
      </c>
      <c r="GZ180" s="214" cm="1">
        <f t="array" ref="GZ180">--AND(MIN(IF($K180:$CP180&lt;&gt;0,$K$7:$CP$7))&gt;=GZ$5,MIN(IF($K180:$CP180&lt;&gt;0,$K$7:$CP$7))&lt;=GZ$6)</f>
        <v>0</v>
      </c>
      <c r="HA180" s="214">
        <f t="shared" si="47"/>
        <v>1</v>
      </c>
      <c r="HC180" s="214" cm="1">
        <f t="array" ref="HC180">--AND(MIN(IF($K180:$CP180&lt;&gt;0,$K$7:$CP$7))&gt;=HC$5,MIN(IF($K180:$CP180&lt;&gt;0,$K$7:$CP$7))&lt;=HC$6)</f>
        <v>0</v>
      </c>
      <c r="HE180" s="147" t="str">
        <f t="shared" si="66"/>
        <v>No</v>
      </c>
      <c r="HF180" s="147" t="str">
        <f t="shared" si="67"/>
        <v>No</v>
      </c>
      <c r="HG180" s="147">
        <f>IF($HF180="Yes",0,$H180*avg_hrs*12*'Key assumptions'!$D$87)</f>
        <v>337231.76981185726</v>
      </c>
      <c r="HH180" s="147">
        <f>IF(HE180="Yes",'Key assumptions'!$D$84*HG180,0)</f>
        <v>0</v>
      </c>
      <c r="HI180" s="144">
        <f>IFERROR(AVERAGEIFS($K180:$CP180,$K$7:$CP$7,"&gt;="&amp;'Key assumptions'!$D$24,$K$7:$CP$7,"&lt;="&amp;'Key assumptions'!$D$25),0)</f>
        <v>7.3863636363636367E-2</v>
      </c>
      <c r="HJ180" s="148">
        <f t="shared" si="68"/>
        <v>0</v>
      </c>
      <c r="HK180" s="148">
        <f t="shared" si="49"/>
        <v>0</v>
      </c>
      <c r="HL180" s="148">
        <f t="shared" si="50"/>
        <v>0</v>
      </c>
      <c r="HM180" s="148">
        <f t="shared" si="51"/>
        <v>0</v>
      </c>
      <c r="HN180" s="148">
        <f t="shared" si="52"/>
        <v>0</v>
      </c>
      <c r="HO180" s="148">
        <f t="shared" si="53"/>
        <v>0</v>
      </c>
      <c r="HP180" s="148">
        <f t="shared" si="54"/>
        <v>0</v>
      </c>
      <c r="HQ180" s="148">
        <f t="shared" si="55"/>
        <v>0</v>
      </c>
      <c r="HR180" s="147">
        <f t="shared" si="56"/>
        <v>0</v>
      </c>
      <c r="HU180" s="147">
        <f>$HJ180*HC180/(1+'Key assumptions'!G202)^0.75</f>
        <v>0</v>
      </c>
      <c r="HW180" s="216">
        <f t="shared" si="57"/>
        <v>7.3863636363636367E-2</v>
      </c>
      <c r="HX180" s="216">
        <f t="shared" si="58"/>
        <v>0</v>
      </c>
      <c r="HY180" s="216">
        <f t="shared" si="59"/>
        <v>0</v>
      </c>
      <c r="HZ180" s="216">
        <f t="shared" si="60"/>
        <v>0</v>
      </c>
      <c r="IA180" s="216">
        <f t="shared" si="61"/>
        <v>0</v>
      </c>
      <c r="IB180" s="216">
        <f t="shared" si="62"/>
        <v>0</v>
      </c>
      <c r="IC180" s="216">
        <f t="shared" si="63"/>
        <v>0</v>
      </c>
      <c r="ID180" s="216">
        <f t="shared" si="64"/>
        <v>7.3863636363636367E-2</v>
      </c>
      <c r="IF180" s="216">
        <f t="shared" si="65"/>
        <v>0</v>
      </c>
    </row>
    <row r="181" spans="2:240" x14ac:dyDescent="0.2">
      <c r="B181" s="141" t="str">
        <v>Project Delivery Management - Commissioning</v>
      </c>
      <c r="C181" s="141" t="str">
        <v>Telecommunication Technician (Construction)</v>
      </c>
      <c r="D181" s="141" t="str">
        <v>Internal Labour</v>
      </c>
      <c r="E181" s="141" t="str">
        <v>$ Nominal</v>
      </c>
      <c r="F181" s="141">
        <v>0</v>
      </c>
      <c r="G181" s="141" t="str">
        <v>Overtime</v>
      </c>
      <c r="H181" s="142">
        <v>188.58</v>
      </c>
      <c r="I181" s="126">
        <v>45258</v>
      </c>
      <c r="J181" s="143">
        <v>0</v>
      </c>
      <c r="K181" s="144">
        <v>0</v>
      </c>
      <c r="L181" s="144">
        <v>0</v>
      </c>
      <c r="M181" s="144">
        <v>0</v>
      </c>
      <c r="N181" s="144">
        <v>0</v>
      </c>
      <c r="O181" s="144">
        <v>0</v>
      </c>
      <c r="P181" s="144">
        <v>0</v>
      </c>
      <c r="Q181" s="144">
        <v>0</v>
      </c>
      <c r="R181" s="144">
        <v>0</v>
      </c>
      <c r="S181" s="144">
        <v>0</v>
      </c>
      <c r="T181" s="144">
        <v>0</v>
      </c>
      <c r="U181" s="144">
        <v>0</v>
      </c>
      <c r="V181" s="144">
        <v>0</v>
      </c>
      <c r="W181" s="144">
        <v>0</v>
      </c>
      <c r="X181" s="144">
        <v>0</v>
      </c>
      <c r="Y181" s="144">
        <v>0</v>
      </c>
      <c r="Z181" s="144">
        <v>0</v>
      </c>
      <c r="AA181" s="144">
        <v>0</v>
      </c>
      <c r="AB181" s="144">
        <v>0</v>
      </c>
      <c r="AC181" s="144">
        <v>0</v>
      </c>
      <c r="AD181" s="144">
        <v>0.2857142857142857</v>
      </c>
      <c r="AE181" s="144">
        <v>0.2857142857142857</v>
      </c>
      <c r="AF181" s="144">
        <v>0.2857142857142857</v>
      </c>
      <c r="AG181" s="144">
        <v>0</v>
      </c>
      <c r="AH181" s="144">
        <v>0</v>
      </c>
      <c r="AI181" s="144">
        <v>0</v>
      </c>
      <c r="AJ181" s="144">
        <v>0</v>
      </c>
      <c r="AK181" s="144">
        <v>0</v>
      </c>
      <c r="AL181" s="144">
        <v>0</v>
      </c>
      <c r="AM181" s="144">
        <v>0</v>
      </c>
      <c r="AN181" s="144">
        <v>0</v>
      </c>
      <c r="AO181" s="144">
        <v>0</v>
      </c>
      <c r="AP181" s="144">
        <v>0</v>
      </c>
      <c r="AQ181" s="144">
        <v>0</v>
      </c>
      <c r="AR181" s="144">
        <v>0</v>
      </c>
      <c r="AS181" s="144">
        <v>0</v>
      </c>
      <c r="AT181" s="144">
        <v>0</v>
      </c>
      <c r="AU181" s="144">
        <v>0</v>
      </c>
      <c r="AV181" s="144">
        <v>0</v>
      </c>
      <c r="AW181" s="144">
        <v>0</v>
      </c>
      <c r="AX181" s="144">
        <v>0</v>
      </c>
      <c r="AY181" s="144">
        <v>0</v>
      </c>
      <c r="AZ181" s="144">
        <v>0</v>
      </c>
      <c r="BA181" s="144">
        <v>0</v>
      </c>
      <c r="BB181" s="144">
        <v>0</v>
      </c>
      <c r="BC181" s="144">
        <v>0</v>
      </c>
      <c r="BD181" s="144">
        <v>0</v>
      </c>
      <c r="BE181" s="144">
        <v>0</v>
      </c>
      <c r="BF181" s="144">
        <v>0</v>
      </c>
      <c r="BG181" s="144">
        <v>0</v>
      </c>
      <c r="BH181" s="144">
        <v>0</v>
      </c>
      <c r="BI181" s="144">
        <v>0</v>
      </c>
      <c r="BJ181" s="144">
        <v>0</v>
      </c>
      <c r="BK181" s="144">
        <v>0</v>
      </c>
      <c r="BL181" s="144">
        <v>0</v>
      </c>
      <c r="BM181" s="144">
        <v>0</v>
      </c>
      <c r="BN181" s="144">
        <v>0</v>
      </c>
      <c r="BO181" s="144">
        <v>0</v>
      </c>
      <c r="BP181" s="144">
        <v>0</v>
      </c>
      <c r="BQ181" s="144">
        <v>0</v>
      </c>
      <c r="BR181" s="144">
        <v>0</v>
      </c>
      <c r="BS181" s="144">
        <v>0</v>
      </c>
      <c r="BT181" s="144">
        <v>0</v>
      </c>
      <c r="BU181" s="144">
        <v>0</v>
      </c>
      <c r="BV181" s="144">
        <v>0</v>
      </c>
      <c r="BW181" s="144">
        <v>0</v>
      </c>
      <c r="BX181" s="144">
        <v>0</v>
      </c>
      <c r="BY181" s="144">
        <v>0</v>
      </c>
      <c r="BZ181" s="144">
        <v>0</v>
      </c>
      <c r="CA181" s="144">
        <v>0</v>
      </c>
      <c r="CB181" s="144">
        <v>0</v>
      </c>
      <c r="CC181" s="144">
        <v>0</v>
      </c>
      <c r="CD181" s="144">
        <v>0</v>
      </c>
      <c r="CE181" s="144">
        <v>0</v>
      </c>
      <c r="CF181" s="144">
        <v>0</v>
      </c>
      <c r="CG181" s="144">
        <v>0</v>
      </c>
      <c r="CH181" s="144">
        <v>0</v>
      </c>
      <c r="CI181" s="144">
        <v>0</v>
      </c>
      <c r="CJ181" s="144">
        <v>0</v>
      </c>
      <c r="CK181" s="144">
        <v>0</v>
      </c>
      <c r="CL181" s="144">
        <v>0</v>
      </c>
      <c r="CM181" s="144">
        <v>0</v>
      </c>
      <c r="CN181" s="144">
        <v>0</v>
      </c>
      <c r="CO181" s="144">
        <v>0</v>
      </c>
      <c r="CP181" s="144">
        <v>0</v>
      </c>
      <c r="CQ181" s="143">
        <v>0</v>
      </c>
      <c r="CR181" s="145">
        <v>0</v>
      </c>
      <c r="CS181" s="145">
        <v>0</v>
      </c>
      <c r="CT181" s="145">
        <v>0</v>
      </c>
      <c r="CU181" s="145">
        <v>0</v>
      </c>
      <c r="CV181" s="145">
        <v>0</v>
      </c>
      <c r="CW181" s="145">
        <v>0</v>
      </c>
      <c r="CX181" s="145">
        <v>0</v>
      </c>
      <c r="CY181" s="145">
        <v>0</v>
      </c>
      <c r="CZ181" s="145">
        <v>0</v>
      </c>
      <c r="DA181" s="145">
        <v>0</v>
      </c>
      <c r="DB181" s="145">
        <v>0</v>
      </c>
      <c r="DC181" s="145">
        <v>0</v>
      </c>
      <c r="DD181" s="145">
        <v>0</v>
      </c>
      <c r="DE181" s="145">
        <v>0</v>
      </c>
      <c r="DF181" s="145">
        <v>0</v>
      </c>
      <c r="DG181" s="145">
        <v>0</v>
      </c>
      <c r="DH181" s="145">
        <v>0</v>
      </c>
      <c r="DI181" s="145">
        <v>0</v>
      </c>
      <c r="DJ181" s="145">
        <v>0</v>
      </c>
      <c r="DK181" s="145">
        <v>15086</v>
      </c>
      <c r="DL181" s="145">
        <v>15086</v>
      </c>
      <c r="DM181" s="145">
        <v>15086</v>
      </c>
      <c r="DN181" s="145">
        <v>0</v>
      </c>
      <c r="DO181" s="145">
        <v>0</v>
      </c>
      <c r="DP181" s="145">
        <v>0</v>
      </c>
      <c r="DQ181" s="145">
        <v>0</v>
      </c>
      <c r="DR181" s="145">
        <v>0</v>
      </c>
      <c r="DS181" s="145">
        <v>0</v>
      </c>
      <c r="DT181" s="145">
        <v>0</v>
      </c>
      <c r="DU181" s="145">
        <v>0</v>
      </c>
      <c r="DV181" s="145">
        <v>0</v>
      </c>
      <c r="DW181" s="145">
        <v>0</v>
      </c>
      <c r="DX181" s="145">
        <v>0</v>
      </c>
      <c r="DY181" s="145">
        <v>0</v>
      </c>
      <c r="DZ181" s="145">
        <v>0</v>
      </c>
      <c r="EA181" s="145">
        <v>0</v>
      </c>
      <c r="EB181" s="145">
        <v>0</v>
      </c>
      <c r="EC181" s="145">
        <v>0</v>
      </c>
      <c r="ED181" s="145">
        <v>0</v>
      </c>
      <c r="EE181" s="145">
        <v>0</v>
      </c>
      <c r="EF181" s="145">
        <v>0</v>
      </c>
      <c r="EG181" s="145">
        <v>0</v>
      </c>
      <c r="EH181" s="145">
        <v>0</v>
      </c>
      <c r="EI181" s="145">
        <v>0</v>
      </c>
      <c r="EJ181" s="145">
        <v>0</v>
      </c>
      <c r="EK181" s="145">
        <v>0</v>
      </c>
      <c r="EL181" s="145">
        <v>0</v>
      </c>
      <c r="EM181" s="145">
        <v>0</v>
      </c>
      <c r="EN181" s="145">
        <v>0</v>
      </c>
      <c r="EO181" s="145">
        <v>0</v>
      </c>
      <c r="EP181" s="145">
        <v>0</v>
      </c>
      <c r="EQ181" s="145">
        <v>0</v>
      </c>
      <c r="ER181" s="145">
        <v>0</v>
      </c>
      <c r="ES181" s="145">
        <v>0</v>
      </c>
      <c r="ET181" s="145">
        <v>0</v>
      </c>
      <c r="EU181" s="145">
        <v>0</v>
      </c>
      <c r="EV181" s="145">
        <v>0</v>
      </c>
      <c r="EW181" s="145">
        <v>0</v>
      </c>
      <c r="EX181" s="145">
        <v>0</v>
      </c>
      <c r="EY181" s="145">
        <v>0</v>
      </c>
      <c r="EZ181" s="145">
        <v>0</v>
      </c>
      <c r="FA181" s="145">
        <v>0</v>
      </c>
      <c r="FB181" s="145">
        <v>0</v>
      </c>
      <c r="FC181" s="145">
        <v>0</v>
      </c>
      <c r="FD181" s="145">
        <v>0</v>
      </c>
      <c r="FE181" s="145">
        <v>0</v>
      </c>
      <c r="FF181" s="145">
        <v>0</v>
      </c>
      <c r="FG181" s="145">
        <v>0</v>
      </c>
      <c r="FH181" s="145">
        <v>0</v>
      </c>
      <c r="FI181" s="145">
        <v>0</v>
      </c>
      <c r="FJ181" s="145">
        <v>0</v>
      </c>
      <c r="FK181" s="145">
        <v>0</v>
      </c>
      <c r="FL181" s="145">
        <v>0</v>
      </c>
      <c r="FM181" s="145">
        <v>0</v>
      </c>
      <c r="FN181" s="145">
        <v>0</v>
      </c>
      <c r="FO181" s="145">
        <v>0</v>
      </c>
      <c r="FP181" s="145">
        <v>0</v>
      </c>
      <c r="FQ181" s="145">
        <v>0</v>
      </c>
      <c r="FR181" s="145">
        <v>0</v>
      </c>
      <c r="FS181" s="145">
        <v>0</v>
      </c>
      <c r="FT181" s="145">
        <v>0</v>
      </c>
      <c r="FU181" s="145">
        <v>0</v>
      </c>
      <c r="FV181" s="145">
        <v>0</v>
      </c>
      <c r="FW181" s="145">
        <v>0</v>
      </c>
      <c r="FX181" s="143"/>
      <c r="FY181" s="146" t="str">
        <f>_xlfn.XLOOKUP($E181,'Key assumptions'!$B$112:$B$120,'Key assumptions'!$C$112:$C$120,0)</f>
        <v>Nominal</v>
      </c>
      <c r="FZ181" s="146" cm="1">
        <f t="array" ref="FZ181">IF($FY181=0,0,_xlfn.IFS($FY181='Key assumptions'!$C$120,_xlfn.XLOOKUP(LEFT(FZ$7,6),Inflation_Year,Inflation_NominaltoReal),TRUE,_xlfn.XLOOKUP($FY181,Inflation_Year,NominaltoReal)))</f>
        <v>1.0197075870962191</v>
      </c>
      <c r="GA181" s="146" cm="1">
        <f t="array" ref="GA181">IF($FY181=0,0,_xlfn.IFS($FY181='Key assumptions'!$C$120,_xlfn.XLOOKUP(LEFT(GA$7,6),Inflation_Year,Inflation_NominaltoReal),TRUE,_xlfn.XLOOKUP($FY181,Inflation_Year,NominaltoReal)))</f>
        <v>0.98700804022984445</v>
      </c>
      <c r="GB181" s="146" cm="1">
        <f t="array" ref="GB181">IF($FY181=0,0,_xlfn.IFS($FY181='Key assumptions'!$C$120,_xlfn.XLOOKUP(LEFT(GB$7,6),Inflation_Year,Inflation_NominaltoReal),TRUE,_xlfn.XLOOKUP($FY181,Inflation_Year,NominaltoReal)))</f>
        <v>0.96152830081941731</v>
      </c>
      <c r="GC181" s="146" cm="1">
        <f t="array" ref="GC181">IF($FY181=0,0,_xlfn.IFS($FY181='Key assumptions'!$C$120,_xlfn.XLOOKUP(LEFT(GC$7,6),Inflation_Year,Inflation_NominaltoReal),TRUE,_xlfn.XLOOKUP($FY181,Inflation_Year,NominaltoReal)))</f>
        <v>0.93670632415656829</v>
      </c>
      <c r="GD181" s="146" cm="1">
        <f t="array" ref="GD181">IF($FY181=0,0,_xlfn.IFS($FY181='Key assumptions'!$C$120,_xlfn.XLOOKUP(LEFT(GD$7,6),Inflation_Year,Inflation_NominaltoReal),TRUE,_xlfn.XLOOKUP($FY181,Inflation_Year,NominaltoReal)))</f>
        <v>0.91252513001143176</v>
      </c>
      <c r="GE181" s="146" cm="1">
        <f t="array" ref="GE181">IF($FY181=0,0,_xlfn.IFS($FY181='Key assumptions'!$C$120,_xlfn.XLOOKUP(LEFT(GE$7,6),Inflation_Year,Inflation_NominaltoReal),TRUE,_xlfn.XLOOKUP($FY181,Inflation_Year,NominaltoReal)))</f>
        <v>0.88896817650095872</v>
      </c>
      <c r="GF181" s="146" cm="1">
        <f t="array" ref="GF181">IF($FY181=0,0,_xlfn.IFS($FY181='Key assumptions'!$C$120,_xlfn.XLOOKUP(LEFT(GF$7,6),Inflation_Year,Inflation_NominaltoReal),TRUE,_xlfn.XLOOKUP($FY181,Inflation_Year,NominaltoReal)))</f>
        <v>0.86601934877293718</v>
      </c>
      <c r="GG181" s="143"/>
      <c r="GH181" s="145" cm="1">
        <f t="array" ref="GH181">SUMPRODUCT(--($CR$7:$FW$7&gt;=GH$5),--($CR$7:$FW$7&lt;=GH$6),$CR181:$FW181)*FZ181</f>
        <v>30766.617317867123</v>
      </c>
      <c r="GI181" s="145" cm="1">
        <f t="array" ref="GI181">SUMPRODUCT(--($CR$7:$FW$7&gt;=GI$5),--($CR$7:$FW$7&lt;=GI$6),$CR181:$FW181)*GA181</f>
        <v>14890.003294907434</v>
      </c>
      <c r="GJ181" s="145" cm="1">
        <f t="array" ref="GJ181">SUMPRODUCT(--($CR$7:$FW$7&gt;=GJ$5),--($CR$7:$FW$7&lt;=GJ$6),$CR181:$FW181)*GB181</f>
        <v>0</v>
      </c>
      <c r="GK181" s="145" cm="1">
        <f t="array" ref="GK181">SUMPRODUCT(--($CR$7:$FW$7&gt;=GK$5),--($CR$7:$FW$7&lt;=GK$6),$CR181:$FW181)*GC181</f>
        <v>0</v>
      </c>
      <c r="GL181" s="145" cm="1">
        <f t="array" ref="GL181">SUMPRODUCT(--($CR$7:$FW$7&gt;=GL$5),--($CR$7:$FW$7&lt;=GL$6),$CR181:$FW181)*GD181</f>
        <v>0</v>
      </c>
      <c r="GM181" s="145" cm="1">
        <f t="array" ref="GM181">SUMPRODUCT(--($CR$7:$FW$7&gt;=GM$5),--($CR$7:$FW$7&lt;=GM$6),$CR181:$FW181)*GE181</f>
        <v>0</v>
      </c>
      <c r="GN181" s="145" cm="1">
        <f t="array" ref="GN181">SUMPRODUCT(--($CR$7:$FW$7&gt;=GN$5),--($CR$7:$FW$7&lt;=GN$6),$CR181:$FW181)*GF181</f>
        <v>0</v>
      </c>
      <c r="GO181" s="145">
        <f t="shared" si="46"/>
        <v>45656.620612774554</v>
      </c>
      <c r="GP181" s="87"/>
      <c r="GR181" s="145" cm="1">
        <f t="array" ref="GR181">SUMPRODUCT(--($CR$7:$FW$7&gt;=GR$5),--($CR$7:$FW$7&lt;=GR$6),$CR181:$FW181)</f>
        <v>0</v>
      </c>
      <c r="GT181" s="214" cm="1">
        <f t="array" ref="GT181">--AND(MIN(IF($K181:$CP181&lt;&gt;0,$K$7:$CP$7))&gt;=GT$5,MIN(IF($K181:$CP181&lt;&gt;0,$K$7:$CP$7))&lt;=GT$6)</f>
        <v>1</v>
      </c>
      <c r="GU181" s="214" cm="1">
        <f t="array" ref="GU181">--AND(MIN(IF($K181:$CP181&lt;&gt;0,$K$7:$CP$7))&gt;=GU$5,MIN(IF($K181:$CP181&lt;&gt;0,$K$7:$CP$7))&lt;=GU$6)</f>
        <v>0</v>
      </c>
      <c r="GV181" s="214" cm="1">
        <f t="array" ref="GV181">--AND(MIN(IF($K181:$CP181&lt;&gt;0,$K$7:$CP$7))&gt;=GV$5,MIN(IF($K181:$CP181&lt;&gt;0,$K$7:$CP$7))&lt;=GV$6)</f>
        <v>0</v>
      </c>
      <c r="GW181" s="214" cm="1">
        <f t="array" ref="GW181">--AND(MIN(IF($K181:$CP181&lt;&gt;0,$K$7:$CP$7))&gt;=GW$5,MIN(IF($K181:$CP181&lt;&gt;0,$K$7:$CP$7))&lt;=GW$6)</f>
        <v>0</v>
      </c>
      <c r="GX181" s="214" cm="1">
        <f t="array" ref="GX181">--AND(MIN(IF($K181:$CP181&lt;&gt;0,$K$7:$CP$7))&gt;=GX$5,MIN(IF($K181:$CP181&lt;&gt;0,$K$7:$CP$7))&lt;=GX$6)</f>
        <v>0</v>
      </c>
      <c r="GY181" s="214" cm="1">
        <f t="array" ref="GY181">--AND(MIN(IF($K181:$CP181&lt;&gt;0,$K$7:$CP$7))&gt;=GY$5,MIN(IF($K181:$CP181&lt;&gt;0,$K$7:$CP$7))&lt;=GY$6)</f>
        <v>0</v>
      </c>
      <c r="GZ181" s="214" cm="1">
        <f t="array" ref="GZ181">--AND(MIN(IF($K181:$CP181&lt;&gt;0,$K$7:$CP$7))&gt;=GZ$5,MIN(IF($K181:$CP181&lt;&gt;0,$K$7:$CP$7))&lt;=GZ$6)</f>
        <v>0</v>
      </c>
      <c r="HA181" s="214">
        <f t="shared" si="47"/>
        <v>1</v>
      </c>
      <c r="HC181" s="214" cm="1">
        <f t="array" ref="HC181">--AND(MIN(IF($K181:$CP181&lt;&gt;0,$K$7:$CP$7))&gt;=HC$5,MIN(IF($K181:$CP181&lt;&gt;0,$K$7:$CP$7))&lt;=HC$6)</f>
        <v>0</v>
      </c>
      <c r="HE181" s="147" t="str">
        <f t="shared" si="66"/>
        <v>No</v>
      </c>
      <c r="HF181" s="147" t="str">
        <f t="shared" si="67"/>
        <v>Yes</v>
      </c>
      <c r="HG181" s="147">
        <f>IF($HF181="Yes",0,$H181*avg_hrs*12*'Key assumptions'!$D$87)</f>
        <v>0</v>
      </c>
      <c r="HH181" s="147">
        <f>IF(HE181="Yes",'Key assumptions'!$D$84*HG181,0)</f>
        <v>0</v>
      </c>
      <c r="HI181" s="144">
        <f>IFERROR(AVERAGEIFS($K181:$CP181,$K$7:$CP$7,"&gt;="&amp;'Key assumptions'!$D$24,$K$7:$CP$7,"&lt;="&amp;'Key assumptions'!$D$25),0)</f>
        <v>1.948051948051948E-2</v>
      </c>
      <c r="HJ181" s="148">
        <f t="shared" si="68"/>
        <v>0</v>
      </c>
      <c r="HK181" s="148">
        <f t="shared" si="49"/>
        <v>0</v>
      </c>
      <c r="HL181" s="148">
        <f t="shared" si="50"/>
        <v>0</v>
      </c>
      <c r="HM181" s="148">
        <f t="shared" si="51"/>
        <v>0</v>
      </c>
      <c r="HN181" s="148">
        <f t="shared" si="52"/>
        <v>0</v>
      </c>
      <c r="HO181" s="148">
        <f t="shared" si="53"/>
        <v>0</v>
      </c>
      <c r="HP181" s="148">
        <f t="shared" si="54"/>
        <v>0</v>
      </c>
      <c r="HQ181" s="148">
        <f t="shared" si="55"/>
        <v>0</v>
      </c>
      <c r="HR181" s="147">
        <f t="shared" si="56"/>
        <v>0</v>
      </c>
      <c r="HU181" s="147">
        <f>$HJ181*HC181/(1+'Key assumptions'!G203)^0.75</f>
        <v>0</v>
      </c>
      <c r="HW181" s="216">
        <f t="shared" si="57"/>
        <v>1.948051948051948E-2</v>
      </c>
      <c r="HX181" s="216">
        <f t="shared" si="58"/>
        <v>0</v>
      </c>
      <c r="HY181" s="216">
        <f t="shared" si="59"/>
        <v>0</v>
      </c>
      <c r="HZ181" s="216">
        <f t="shared" si="60"/>
        <v>0</v>
      </c>
      <c r="IA181" s="216">
        <f t="shared" si="61"/>
        <v>0</v>
      </c>
      <c r="IB181" s="216">
        <f t="shared" si="62"/>
        <v>0</v>
      </c>
      <c r="IC181" s="216">
        <f t="shared" si="63"/>
        <v>0</v>
      </c>
      <c r="ID181" s="216">
        <f t="shared" si="64"/>
        <v>1.948051948051948E-2</v>
      </c>
      <c r="IF181" s="216">
        <f t="shared" si="65"/>
        <v>0</v>
      </c>
    </row>
    <row r="182" spans="2:240" x14ac:dyDescent="0.2">
      <c r="B182" s="141" t="str">
        <v>Project Delivery Management - Commissioning</v>
      </c>
      <c r="C182" s="141" t="str">
        <v>Project Engineer - Senior CO (Network Projects)</v>
      </c>
      <c r="D182" s="141" t="str">
        <v>Internal Labour</v>
      </c>
      <c r="E182" s="141" t="str">
        <v>$ Nominal</v>
      </c>
      <c r="F182" s="141" t="str">
        <v>Existing</v>
      </c>
      <c r="G182" s="141" t="str">
        <v>Normal time</v>
      </c>
      <c r="H182" s="142">
        <v>254.01</v>
      </c>
      <c r="I182" s="126">
        <v>218499.11999999994</v>
      </c>
      <c r="J182" s="143">
        <v>0</v>
      </c>
      <c r="K182" s="144">
        <v>0</v>
      </c>
      <c r="L182" s="144">
        <v>0</v>
      </c>
      <c r="M182" s="144">
        <v>0</v>
      </c>
      <c r="N182" s="144">
        <v>0</v>
      </c>
      <c r="O182" s="144">
        <v>0</v>
      </c>
      <c r="P182" s="144">
        <v>0</v>
      </c>
      <c r="Q182" s="144">
        <v>0</v>
      </c>
      <c r="R182" s="144">
        <v>0</v>
      </c>
      <c r="S182" s="144">
        <v>0</v>
      </c>
      <c r="T182" s="144">
        <v>0</v>
      </c>
      <c r="U182" s="144">
        <v>0</v>
      </c>
      <c r="V182" s="144">
        <v>0</v>
      </c>
      <c r="W182" s="144">
        <v>0</v>
      </c>
      <c r="X182" s="144">
        <v>0</v>
      </c>
      <c r="Y182" s="144">
        <v>0.2</v>
      </c>
      <c r="Z182" s="144">
        <v>0.2</v>
      </c>
      <c r="AA182" s="144">
        <v>0.18421052631578946</v>
      </c>
      <c r="AB182" s="144">
        <v>0.18421052631578946</v>
      </c>
      <c r="AC182" s="144">
        <v>0.2</v>
      </c>
      <c r="AD182" s="144">
        <v>0.2</v>
      </c>
      <c r="AE182" s="144">
        <v>0.2</v>
      </c>
      <c r="AF182" s="144">
        <v>0.2</v>
      </c>
      <c r="AG182" s="144">
        <v>0.2</v>
      </c>
      <c r="AH182" s="144">
        <v>0.2</v>
      </c>
      <c r="AI182" s="144">
        <v>0.2</v>
      </c>
      <c r="AJ182" s="144">
        <v>0.2</v>
      </c>
      <c r="AK182" s="144">
        <v>0.2</v>
      </c>
      <c r="AL182" s="144">
        <v>0.2</v>
      </c>
      <c r="AM182" s="144">
        <v>0.18421052631578946</v>
      </c>
      <c r="AN182" s="144">
        <v>0.18421052631578946</v>
      </c>
      <c r="AO182" s="144">
        <v>0.2</v>
      </c>
      <c r="AP182" s="144">
        <v>0.2</v>
      </c>
      <c r="AQ182" s="144">
        <v>0.2</v>
      </c>
      <c r="AR182" s="144">
        <v>0.2</v>
      </c>
      <c r="AS182" s="144">
        <v>0.2</v>
      </c>
      <c r="AT182" s="144">
        <v>0.2</v>
      </c>
      <c r="AU182" s="144">
        <v>0.2</v>
      </c>
      <c r="AV182" s="144">
        <v>0.2</v>
      </c>
      <c r="AW182" s="144">
        <v>0.2</v>
      </c>
      <c r="AX182" s="144">
        <v>0.2</v>
      </c>
      <c r="AY182" s="144">
        <v>0.18421052631578946</v>
      </c>
      <c r="AZ182" s="144">
        <v>0.18421052631578946</v>
      </c>
      <c r="BA182" s="144">
        <v>0.2</v>
      </c>
      <c r="BB182" s="144">
        <v>0.2</v>
      </c>
      <c r="BC182" s="144">
        <v>0.2</v>
      </c>
      <c r="BD182" s="144">
        <v>0.2</v>
      </c>
      <c r="BE182" s="144">
        <v>0</v>
      </c>
      <c r="BF182" s="144">
        <v>0</v>
      </c>
      <c r="BG182" s="144">
        <v>0</v>
      </c>
      <c r="BH182" s="144">
        <v>0</v>
      </c>
      <c r="BI182" s="144">
        <v>0</v>
      </c>
      <c r="BJ182" s="144">
        <v>0</v>
      </c>
      <c r="BK182" s="144">
        <v>0</v>
      </c>
      <c r="BL182" s="144">
        <v>0</v>
      </c>
      <c r="BM182" s="144">
        <v>0</v>
      </c>
      <c r="BN182" s="144">
        <v>0</v>
      </c>
      <c r="BO182" s="144">
        <v>0</v>
      </c>
      <c r="BP182" s="144">
        <v>0</v>
      </c>
      <c r="BQ182" s="144">
        <v>0</v>
      </c>
      <c r="BR182" s="144">
        <v>0</v>
      </c>
      <c r="BS182" s="144">
        <v>0</v>
      </c>
      <c r="BT182" s="144">
        <v>0</v>
      </c>
      <c r="BU182" s="144">
        <v>0</v>
      </c>
      <c r="BV182" s="144">
        <v>0</v>
      </c>
      <c r="BW182" s="144">
        <v>0</v>
      </c>
      <c r="BX182" s="144">
        <v>0</v>
      </c>
      <c r="BY182" s="144">
        <v>0</v>
      </c>
      <c r="BZ182" s="144">
        <v>0</v>
      </c>
      <c r="CA182" s="144">
        <v>0</v>
      </c>
      <c r="CB182" s="144">
        <v>0</v>
      </c>
      <c r="CC182" s="144">
        <v>0</v>
      </c>
      <c r="CD182" s="144">
        <v>0</v>
      </c>
      <c r="CE182" s="144">
        <v>0</v>
      </c>
      <c r="CF182" s="144">
        <v>0</v>
      </c>
      <c r="CG182" s="144">
        <v>0</v>
      </c>
      <c r="CH182" s="144">
        <v>0</v>
      </c>
      <c r="CI182" s="144">
        <v>0</v>
      </c>
      <c r="CJ182" s="144">
        <v>0</v>
      </c>
      <c r="CK182" s="144">
        <v>0</v>
      </c>
      <c r="CL182" s="144">
        <v>0</v>
      </c>
      <c r="CM182" s="144">
        <v>0</v>
      </c>
      <c r="CN182" s="144">
        <v>0</v>
      </c>
      <c r="CO182" s="144">
        <v>0</v>
      </c>
      <c r="CP182" s="144">
        <v>0</v>
      </c>
      <c r="CQ182" s="143">
        <v>0</v>
      </c>
      <c r="CR182" s="145">
        <v>0</v>
      </c>
      <c r="CS182" s="145">
        <v>0</v>
      </c>
      <c r="CT182" s="145">
        <v>0</v>
      </c>
      <c r="CU182" s="145">
        <v>0</v>
      </c>
      <c r="CV182" s="145">
        <v>0</v>
      </c>
      <c r="CW182" s="145">
        <v>0</v>
      </c>
      <c r="CX182" s="145">
        <v>0</v>
      </c>
      <c r="CY182" s="145">
        <v>0</v>
      </c>
      <c r="CZ182" s="145">
        <v>0</v>
      </c>
      <c r="DA182" s="145">
        <v>0</v>
      </c>
      <c r="DB182" s="145">
        <v>0</v>
      </c>
      <c r="DC182" s="145">
        <v>0</v>
      </c>
      <c r="DD182" s="145">
        <v>0</v>
      </c>
      <c r="DE182" s="145">
        <v>0</v>
      </c>
      <c r="DF182" s="145">
        <v>6905.6399999999994</v>
      </c>
      <c r="DG182" s="145">
        <v>5179.2299999999996</v>
      </c>
      <c r="DH182" s="145">
        <v>6905.6399999999994</v>
      </c>
      <c r="DI182" s="145">
        <v>6905.6399999999994</v>
      </c>
      <c r="DJ182" s="145">
        <v>7112.28</v>
      </c>
      <c r="DK182" s="145">
        <v>7112.28</v>
      </c>
      <c r="DL182" s="145">
        <v>7112.28</v>
      </c>
      <c r="DM182" s="145">
        <v>7112.28</v>
      </c>
      <c r="DN182" s="145">
        <v>7112.28</v>
      </c>
      <c r="DO182" s="145">
        <v>5334.21</v>
      </c>
      <c r="DP182" s="145">
        <v>5334.21</v>
      </c>
      <c r="DQ182" s="145">
        <v>7112.28</v>
      </c>
      <c r="DR182" s="145">
        <v>7112.28</v>
      </c>
      <c r="DS182" s="145">
        <v>5334.21</v>
      </c>
      <c r="DT182" s="145">
        <v>7112.28</v>
      </c>
      <c r="DU182" s="145">
        <v>7112.28</v>
      </c>
      <c r="DV182" s="145">
        <v>7325.3600000000006</v>
      </c>
      <c r="DW182" s="145">
        <v>7325.3600000000006</v>
      </c>
      <c r="DX182" s="145">
        <v>7325.3600000000006</v>
      </c>
      <c r="DY182" s="145">
        <v>7325.3600000000006</v>
      </c>
      <c r="DZ182" s="145">
        <v>7325.3600000000006</v>
      </c>
      <c r="EA182" s="145">
        <v>5494.02</v>
      </c>
      <c r="EB182" s="145">
        <v>5494.02</v>
      </c>
      <c r="EC182" s="145">
        <v>7325.3600000000006</v>
      </c>
      <c r="ED182" s="145">
        <v>7325.3600000000006</v>
      </c>
      <c r="EE182" s="145">
        <v>5494.02</v>
      </c>
      <c r="EF182" s="145">
        <v>7325.3600000000006</v>
      </c>
      <c r="EG182" s="145">
        <v>7325.3600000000006</v>
      </c>
      <c r="EH182" s="145">
        <v>7544.8799999999992</v>
      </c>
      <c r="EI182" s="145">
        <v>7544.8799999999992</v>
      </c>
      <c r="EJ182" s="145">
        <v>7544.8799999999992</v>
      </c>
      <c r="EK182" s="145">
        <v>7544.8799999999992</v>
      </c>
      <c r="EL182" s="145">
        <v>0</v>
      </c>
      <c r="EM182" s="145">
        <v>0</v>
      </c>
      <c r="EN182" s="145">
        <v>0</v>
      </c>
      <c r="EO182" s="145">
        <v>0</v>
      </c>
      <c r="EP182" s="145">
        <v>0</v>
      </c>
      <c r="EQ182" s="145">
        <v>0</v>
      </c>
      <c r="ER182" s="145">
        <v>0</v>
      </c>
      <c r="ES182" s="145">
        <v>0</v>
      </c>
      <c r="ET182" s="145">
        <v>0</v>
      </c>
      <c r="EU182" s="145">
        <v>0</v>
      </c>
      <c r="EV182" s="145">
        <v>0</v>
      </c>
      <c r="EW182" s="145">
        <v>0</v>
      </c>
      <c r="EX182" s="145">
        <v>0</v>
      </c>
      <c r="EY182" s="145">
        <v>0</v>
      </c>
      <c r="EZ182" s="145">
        <v>0</v>
      </c>
      <c r="FA182" s="145">
        <v>0</v>
      </c>
      <c r="FB182" s="145">
        <v>0</v>
      </c>
      <c r="FC182" s="145">
        <v>0</v>
      </c>
      <c r="FD182" s="145">
        <v>0</v>
      </c>
      <c r="FE182" s="145">
        <v>0</v>
      </c>
      <c r="FF182" s="145">
        <v>0</v>
      </c>
      <c r="FG182" s="145">
        <v>0</v>
      </c>
      <c r="FH182" s="145">
        <v>0</v>
      </c>
      <c r="FI182" s="145">
        <v>0</v>
      </c>
      <c r="FJ182" s="145">
        <v>0</v>
      </c>
      <c r="FK182" s="145">
        <v>0</v>
      </c>
      <c r="FL182" s="145">
        <v>0</v>
      </c>
      <c r="FM182" s="145">
        <v>0</v>
      </c>
      <c r="FN182" s="145">
        <v>0</v>
      </c>
      <c r="FO182" s="145">
        <v>0</v>
      </c>
      <c r="FP182" s="145">
        <v>0</v>
      </c>
      <c r="FQ182" s="145">
        <v>0</v>
      </c>
      <c r="FR182" s="145">
        <v>0</v>
      </c>
      <c r="FS182" s="145">
        <v>0</v>
      </c>
      <c r="FT182" s="145">
        <v>0</v>
      </c>
      <c r="FU182" s="145">
        <v>0</v>
      </c>
      <c r="FV182" s="145">
        <v>0</v>
      </c>
      <c r="FW182" s="145">
        <v>0</v>
      </c>
      <c r="FX182" s="143"/>
      <c r="FY182" s="146" t="str">
        <f>_xlfn.XLOOKUP($E182,'Key assumptions'!$B$112:$B$120,'Key assumptions'!$C$112:$C$120,0)</f>
        <v>Nominal</v>
      </c>
      <c r="FZ182" s="146" cm="1">
        <f t="array" ref="FZ182">IF($FY182=0,0,_xlfn.IFS($FY182='Key assumptions'!$C$120,_xlfn.XLOOKUP(LEFT(FZ$7,6),Inflation_Year,Inflation_NominaltoReal),TRUE,_xlfn.XLOOKUP($FY182,Inflation_Year,NominaltoReal)))</f>
        <v>1.0197075870962191</v>
      </c>
      <c r="GA182" s="146" cm="1">
        <f t="array" ref="GA182">IF($FY182=0,0,_xlfn.IFS($FY182='Key assumptions'!$C$120,_xlfn.XLOOKUP(LEFT(GA$7,6),Inflation_Year,Inflation_NominaltoReal),TRUE,_xlfn.XLOOKUP($FY182,Inflation_Year,NominaltoReal)))</f>
        <v>0.98700804022984445</v>
      </c>
      <c r="GB182" s="146" cm="1">
        <f t="array" ref="GB182">IF($FY182=0,0,_xlfn.IFS($FY182='Key assumptions'!$C$120,_xlfn.XLOOKUP(LEFT(GB$7,6),Inflation_Year,Inflation_NominaltoReal),TRUE,_xlfn.XLOOKUP($FY182,Inflation_Year,NominaltoReal)))</f>
        <v>0.96152830081941731</v>
      </c>
      <c r="GC182" s="146" cm="1">
        <f t="array" ref="GC182">IF($FY182=0,0,_xlfn.IFS($FY182='Key assumptions'!$C$120,_xlfn.XLOOKUP(LEFT(GC$7,6),Inflation_Year,Inflation_NominaltoReal),TRUE,_xlfn.XLOOKUP($FY182,Inflation_Year,NominaltoReal)))</f>
        <v>0.93670632415656829</v>
      </c>
      <c r="GD182" s="146" cm="1">
        <f t="array" ref="GD182">IF($FY182=0,0,_xlfn.IFS($FY182='Key assumptions'!$C$120,_xlfn.XLOOKUP(LEFT(GD$7,6),Inflation_Year,Inflation_NominaltoReal),TRUE,_xlfn.XLOOKUP($FY182,Inflation_Year,NominaltoReal)))</f>
        <v>0.91252513001143176</v>
      </c>
      <c r="GE182" s="146" cm="1">
        <f t="array" ref="GE182">IF($FY182=0,0,_xlfn.IFS($FY182='Key assumptions'!$C$120,_xlfn.XLOOKUP(LEFT(GE$7,6),Inflation_Year,Inflation_NominaltoReal),TRUE,_xlfn.XLOOKUP($FY182,Inflation_Year,NominaltoReal)))</f>
        <v>0.88896817650095872</v>
      </c>
      <c r="GF182" s="146" cm="1">
        <f t="array" ref="GF182">IF($FY182=0,0,_xlfn.IFS($FY182='Key assumptions'!$C$120,_xlfn.XLOOKUP(LEFT(GF$7,6),Inflation_Year,Inflation_NominaltoReal),TRUE,_xlfn.XLOOKUP($FY182,Inflation_Year,NominaltoReal)))</f>
        <v>0.86601934877293718</v>
      </c>
      <c r="GG182" s="143"/>
      <c r="GH182" s="145" cm="1">
        <f t="array" ref="GH182">SUMPRODUCT(--($CR$7:$FW$7&gt;=GH$5),--($CR$7:$FW$7&lt;=GH$6),$CR182:$FW182)*FZ182</f>
        <v>48163.838264239843</v>
      </c>
      <c r="GI182" s="145" cm="1">
        <f t="array" ref="GI182">SUMPRODUCT(--($CR$7:$FW$7&gt;=GI$5),--($CR$7:$FW$7&lt;=GI$6),$CR182:$FW182)*GA182</f>
        <v>79604.557393753101</v>
      </c>
      <c r="GJ182" s="145" cm="1">
        <f t="array" ref="GJ182">SUMPRODUCT(--($CR$7:$FW$7&gt;=GJ$5),--($CR$7:$FW$7&lt;=GJ$6),$CR182:$FW182)*GB182</f>
        <v>79873.059806806079</v>
      </c>
      <c r="GK182" s="145" cm="1">
        <f t="array" ref="GK182">SUMPRODUCT(--($CR$7:$FW$7&gt;=GK$5),--($CR$7:$FW$7&lt;=GK$6),$CR182:$FW182)*GC182</f>
        <v>7067.3368110024085</v>
      </c>
      <c r="GL182" s="145" cm="1">
        <f t="array" ref="GL182">SUMPRODUCT(--($CR$7:$FW$7&gt;=GL$5),--($CR$7:$FW$7&lt;=GL$6),$CR182:$FW182)*GD182</f>
        <v>0</v>
      </c>
      <c r="GM182" s="145" cm="1">
        <f t="array" ref="GM182">SUMPRODUCT(--($CR$7:$FW$7&gt;=GM$5),--($CR$7:$FW$7&lt;=GM$6),$CR182:$FW182)*GE182</f>
        <v>0</v>
      </c>
      <c r="GN182" s="145" cm="1">
        <f t="array" ref="GN182">SUMPRODUCT(--($CR$7:$FW$7&gt;=GN$5),--($CR$7:$FW$7&lt;=GN$6),$CR182:$FW182)*GF182</f>
        <v>0</v>
      </c>
      <c r="GO182" s="145">
        <f t="shared" si="46"/>
        <v>214708.79227580142</v>
      </c>
      <c r="GP182" s="87"/>
      <c r="GR182" s="145" cm="1">
        <f t="array" ref="GR182">SUMPRODUCT(--($CR$7:$FW$7&gt;=GR$5),--($CR$7:$FW$7&lt;=GR$6),$CR182:$FW182)</f>
        <v>25896.149999999998</v>
      </c>
      <c r="GT182" s="214" cm="1">
        <f t="array" ref="GT182">--AND(MIN(IF($K182:$CP182&lt;&gt;0,$K$7:$CP$7))&gt;=GT$5,MIN(IF($K182:$CP182&lt;&gt;0,$K$7:$CP$7))&lt;=GT$6)</f>
        <v>1</v>
      </c>
      <c r="GU182" s="214" cm="1">
        <f t="array" ref="GU182">--AND(MIN(IF($K182:$CP182&lt;&gt;0,$K$7:$CP$7))&gt;=GU$5,MIN(IF($K182:$CP182&lt;&gt;0,$K$7:$CP$7))&lt;=GU$6)</f>
        <v>0</v>
      </c>
      <c r="GV182" s="214" cm="1">
        <f t="array" ref="GV182">--AND(MIN(IF($K182:$CP182&lt;&gt;0,$K$7:$CP$7))&gt;=GV$5,MIN(IF($K182:$CP182&lt;&gt;0,$K$7:$CP$7))&lt;=GV$6)</f>
        <v>0</v>
      </c>
      <c r="GW182" s="214" cm="1">
        <f t="array" ref="GW182">--AND(MIN(IF($K182:$CP182&lt;&gt;0,$K$7:$CP$7))&gt;=GW$5,MIN(IF($K182:$CP182&lt;&gt;0,$K$7:$CP$7))&lt;=GW$6)</f>
        <v>0</v>
      </c>
      <c r="GX182" s="214" cm="1">
        <f t="array" ref="GX182">--AND(MIN(IF($K182:$CP182&lt;&gt;0,$K$7:$CP$7))&gt;=GX$5,MIN(IF($K182:$CP182&lt;&gt;0,$K$7:$CP$7))&lt;=GX$6)</f>
        <v>0</v>
      </c>
      <c r="GY182" s="214" cm="1">
        <f t="array" ref="GY182">--AND(MIN(IF($K182:$CP182&lt;&gt;0,$K$7:$CP$7))&gt;=GY$5,MIN(IF($K182:$CP182&lt;&gt;0,$K$7:$CP$7))&lt;=GY$6)</f>
        <v>0</v>
      </c>
      <c r="GZ182" s="214" cm="1">
        <f t="array" ref="GZ182">--AND(MIN(IF($K182:$CP182&lt;&gt;0,$K$7:$CP$7))&gt;=GZ$5,MIN(IF($K182:$CP182&lt;&gt;0,$K$7:$CP$7))&lt;=GZ$6)</f>
        <v>0</v>
      </c>
      <c r="HA182" s="214">
        <f t="shared" si="47"/>
        <v>1</v>
      </c>
      <c r="HC182" s="214" cm="1">
        <f t="array" ref="HC182">--AND(MIN(IF($K182:$CP182&lt;&gt;0,$K$7:$CP$7))&gt;=HC$5,MIN(IF($K182:$CP182&lt;&gt;0,$K$7:$CP$7))&lt;=HC$6)</f>
        <v>1</v>
      </c>
      <c r="HE182" s="147" t="str">
        <f t="shared" si="66"/>
        <v>No</v>
      </c>
      <c r="HF182" s="147" t="str">
        <f t="shared" si="67"/>
        <v>No</v>
      </c>
      <c r="HG182" s="147">
        <f>IF($HF182="Yes",0,$H182*avg_hrs*12*'Key assumptions'!$D$87)</f>
        <v>454238.21110356261</v>
      </c>
      <c r="HH182" s="147">
        <f>IF(HE182="Yes",'Key assumptions'!$D$84*HG182,0)</f>
        <v>0</v>
      </c>
      <c r="HI182" s="144">
        <f>IFERROR(AVERAGEIFS($K182:$CP182,$K$7:$CP$7,"&gt;="&amp;'Key assumptions'!$D$24,$K$7:$CP$7,"&lt;="&amp;'Key assumptions'!$D$25),0)</f>
        <v>0.14330143540669862</v>
      </c>
      <c r="HJ182" s="148">
        <f t="shared" si="68"/>
        <v>0</v>
      </c>
      <c r="HK182" s="148">
        <f t="shared" si="49"/>
        <v>0</v>
      </c>
      <c r="HL182" s="148">
        <f t="shared" si="50"/>
        <v>0</v>
      </c>
      <c r="HM182" s="148">
        <f t="shared" si="51"/>
        <v>0</v>
      </c>
      <c r="HN182" s="148">
        <f t="shared" si="52"/>
        <v>0</v>
      </c>
      <c r="HO182" s="148">
        <f t="shared" si="53"/>
        <v>0</v>
      </c>
      <c r="HP182" s="148">
        <f t="shared" si="54"/>
        <v>0</v>
      </c>
      <c r="HQ182" s="148">
        <f t="shared" si="55"/>
        <v>0</v>
      </c>
      <c r="HR182" s="147">
        <f t="shared" si="56"/>
        <v>0</v>
      </c>
      <c r="HU182" s="147">
        <f>$HJ182*HC182/(1+'Key assumptions'!G204)^0.75</f>
        <v>0</v>
      </c>
      <c r="HW182" s="216">
        <f t="shared" si="57"/>
        <v>0.14330143540669862</v>
      </c>
      <c r="HX182" s="216">
        <f t="shared" si="58"/>
        <v>0</v>
      </c>
      <c r="HY182" s="216">
        <f t="shared" si="59"/>
        <v>0</v>
      </c>
      <c r="HZ182" s="216">
        <f t="shared" si="60"/>
        <v>0</v>
      </c>
      <c r="IA182" s="216">
        <f t="shared" si="61"/>
        <v>0</v>
      </c>
      <c r="IB182" s="216">
        <f t="shared" si="62"/>
        <v>0</v>
      </c>
      <c r="IC182" s="216">
        <f t="shared" si="63"/>
        <v>0</v>
      </c>
      <c r="ID182" s="216">
        <f t="shared" si="64"/>
        <v>0.14330143540669862</v>
      </c>
      <c r="IF182" s="216">
        <f t="shared" si="65"/>
        <v>0.14330143540669862</v>
      </c>
    </row>
    <row r="183" spans="2:240" x14ac:dyDescent="0.2">
      <c r="B183" s="141" t="str">
        <v>Project Delivery Management - Commissioning</v>
      </c>
      <c r="C183" s="141" t="str">
        <v>Project Engineer - Senior CO (Network Projects)</v>
      </c>
      <c r="D183" s="141" t="str">
        <v>Internal Labour</v>
      </c>
      <c r="E183" s="141" t="str">
        <v>$ Nominal</v>
      </c>
      <c r="F183" s="141" t="str">
        <v>Existing</v>
      </c>
      <c r="G183" s="141" t="str">
        <v>Normal time</v>
      </c>
      <c r="H183" s="142">
        <v>254.01</v>
      </c>
      <c r="I183" s="126">
        <v>119702.10000000003</v>
      </c>
      <c r="J183" s="143">
        <v>0</v>
      </c>
      <c r="K183" s="144">
        <v>0</v>
      </c>
      <c r="L183" s="144">
        <v>0</v>
      </c>
      <c r="M183" s="144">
        <v>0</v>
      </c>
      <c r="N183" s="144">
        <v>0</v>
      </c>
      <c r="O183" s="144">
        <v>0</v>
      </c>
      <c r="P183" s="144">
        <v>0</v>
      </c>
      <c r="Q183" s="144">
        <v>0</v>
      </c>
      <c r="R183" s="144">
        <v>0</v>
      </c>
      <c r="S183" s="144">
        <v>0</v>
      </c>
      <c r="T183" s="144">
        <v>0</v>
      </c>
      <c r="U183" s="144">
        <v>0</v>
      </c>
      <c r="V183" s="144">
        <v>0</v>
      </c>
      <c r="W183" s="144">
        <v>0</v>
      </c>
      <c r="X183" s="144">
        <v>0</v>
      </c>
      <c r="Y183" s="144">
        <v>0</v>
      </c>
      <c r="Z183" s="144">
        <v>0</v>
      </c>
      <c r="AA183" s="144">
        <v>0</v>
      </c>
      <c r="AB183" s="144">
        <v>0</v>
      </c>
      <c r="AC183" s="144">
        <v>0</v>
      </c>
      <c r="AD183" s="144">
        <v>0</v>
      </c>
      <c r="AE183" s="144">
        <v>0</v>
      </c>
      <c r="AF183" s="144">
        <v>0</v>
      </c>
      <c r="AG183" s="144">
        <v>0</v>
      </c>
      <c r="AH183" s="144">
        <v>0</v>
      </c>
      <c r="AI183" s="144">
        <v>0</v>
      </c>
      <c r="AJ183" s="144">
        <v>0</v>
      </c>
      <c r="AK183" s="144">
        <v>0</v>
      </c>
      <c r="AL183" s="144">
        <v>0</v>
      </c>
      <c r="AM183" s="144">
        <v>0</v>
      </c>
      <c r="AN183" s="144">
        <v>0.18421052631578946</v>
      </c>
      <c r="AO183" s="144">
        <v>0.2</v>
      </c>
      <c r="AP183" s="144">
        <v>0.2</v>
      </c>
      <c r="AQ183" s="144">
        <v>0.2</v>
      </c>
      <c r="AR183" s="144">
        <v>0.2</v>
      </c>
      <c r="AS183" s="144">
        <v>0.2</v>
      </c>
      <c r="AT183" s="144">
        <v>0.2</v>
      </c>
      <c r="AU183" s="144">
        <v>0.2</v>
      </c>
      <c r="AV183" s="144">
        <v>0.2</v>
      </c>
      <c r="AW183" s="144">
        <v>0.2</v>
      </c>
      <c r="AX183" s="144">
        <v>0.2</v>
      </c>
      <c r="AY183" s="144">
        <v>0.18421052631578946</v>
      </c>
      <c r="AZ183" s="144">
        <v>0.18421052631578946</v>
      </c>
      <c r="BA183" s="144">
        <v>0.2</v>
      </c>
      <c r="BB183" s="144">
        <v>0.2</v>
      </c>
      <c r="BC183" s="144">
        <v>0.2</v>
      </c>
      <c r="BD183" s="144">
        <v>0.2</v>
      </c>
      <c r="BE183" s="144">
        <v>0</v>
      </c>
      <c r="BF183" s="144">
        <v>0</v>
      </c>
      <c r="BG183" s="144">
        <v>0</v>
      </c>
      <c r="BH183" s="144">
        <v>0</v>
      </c>
      <c r="BI183" s="144">
        <v>0</v>
      </c>
      <c r="BJ183" s="144">
        <v>0</v>
      </c>
      <c r="BK183" s="144">
        <v>0</v>
      </c>
      <c r="BL183" s="144">
        <v>0</v>
      </c>
      <c r="BM183" s="144">
        <v>0</v>
      </c>
      <c r="BN183" s="144">
        <v>0</v>
      </c>
      <c r="BO183" s="144">
        <v>0</v>
      </c>
      <c r="BP183" s="144">
        <v>0</v>
      </c>
      <c r="BQ183" s="144">
        <v>0</v>
      </c>
      <c r="BR183" s="144">
        <v>0</v>
      </c>
      <c r="BS183" s="144">
        <v>0</v>
      </c>
      <c r="BT183" s="144">
        <v>0</v>
      </c>
      <c r="BU183" s="144">
        <v>0</v>
      </c>
      <c r="BV183" s="144">
        <v>0</v>
      </c>
      <c r="BW183" s="144">
        <v>0</v>
      </c>
      <c r="BX183" s="144">
        <v>0</v>
      </c>
      <c r="BY183" s="144">
        <v>0</v>
      </c>
      <c r="BZ183" s="144">
        <v>0</v>
      </c>
      <c r="CA183" s="144">
        <v>0</v>
      </c>
      <c r="CB183" s="144">
        <v>0</v>
      </c>
      <c r="CC183" s="144">
        <v>0</v>
      </c>
      <c r="CD183" s="144">
        <v>0</v>
      </c>
      <c r="CE183" s="144">
        <v>0</v>
      </c>
      <c r="CF183" s="144">
        <v>0</v>
      </c>
      <c r="CG183" s="144">
        <v>0</v>
      </c>
      <c r="CH183" s="144">
        <v>0</v>
      </c>
      <c r="CI183" s="144">
        <v>0</v>
      </c>
      <c r="CJ183" s="144">
        <v>0</v>
      </c>
      <c r="CK183" s="144">
        <v>0</v>
      </c>
      <c r="CL183" s="144">
        <v>0</v>
      </c>
      <c r="CM183" s="144">
        <v>0</v>
      </c>
      <c r="CN183" s="144">
        <v>0</v>
      </c>
      <c r="CO183" s="144">
        <v>0</v>
      </c>
      <c r="CP183" s="144">
        <v>0</v>
      </c>
      <c r="CQ183" s="143">
        <v>0</v>
      </c>
      <c r="CR183" s="145">
        <v>0</v>
      </c>
      <c r="CS183" s="145">
        <v>0</v>
      </c>
      <c r="CT183" s="145">
        <v>0</v>
      </c>
      <c r="CU183" s="145">
        <v>0</v>
      </c>
      <c r="CV183" s="145">
        <v>0</v>
      </c>
      <c r="CW183" s="145">
        <v>0</v>
      </c>
      <c r="CX183" s="145">
        <v>0</v>
      </c>
      <c r="CY183" s="145">
        <v>0</v>
      </c>
      <c r="CZ183" s="145">
        <v>0</v>
      </c>
      <c r="DA183" s="145">
        <v>0</v>
      </c>
      <c r="DB183" s="145">
        <v>0</v>
      </c>
      <c r="DC183" s="145">
        <v>0</v>
      </c>
      <c r="DD183" s="145">
        <v>0</v>
      </c>
      <c r="DE183" s="145">
        <v>0</v>
      </c>
      <c r="DF183" s="145">
        <v>0</v>
      </c>
      <c r="DG183" s="145">
        <v>0</v>
      </c>
      <c r="DH183" s="145">
        <v>0</v>
      </c>
      <c r="DI183" s="145">
        <v>0</v>
      </c>
      <c r="DJ183" s="145">
        <v>0</v>
      </c>
      <c r="DK183" s="145">
        <v>0</v>
      </c>
      <c r="DL183" s="145">
        <v>0</v>
      </c>
      <c r="DM183" s="145">
        <v>0</v>
      </c>
      <c r="DN183" s="145">
        <v>0</v>
      </c>
      <c r="DO183" s="145">
        <v>0</v>
      </c>
      <c r="DP183" s="145">
        <v>0</v>
      </c>
      <c r="DQ183" s="145">
        <v>0</v>
      </c>
      <c r="DR183" s="145">
        <v>0</v>
      </c>
      <c r="DS183" s="145">
        <v>0</v>
      </c>
      <c r="DT183" s="145">
        <v>0</v>
      </c>
      <c r="DU183" s="145">
        <v>7112.28</v>
      </c>
      <c r="DV183" s="145">
        <v>7325.3600000000006</v>
      </c>
      <c r="DW183" s="145">
        <v>7325.3600000000006</v>
      </c>
      <c r="DX183" s="145">
        <v>7325.3600000000006</v>
      </c>
      <c r="DY183" s="145">
        <v>7325.3600000000006</v>
      </c>
      <c r="DZ183" s="145">
        <v>7325.3600000000006</v>
      </c>
      <c r="EA183" s="145">
        <v>5494.02</v>
      </c>
      <c r="EB183" s="145">
        <v>5494.02</v>
      </c>
      <c r="EC183" s="145">
        <v>7325.3600000000006</v>
      </c>
      <c r="ED183" s="145">
        <v>7325.3600000000006</v>
      </c>
      <c r="EE183" s="145">
        <v>5494.02</v>
      </c>
      <c r="EF183" s="145">
        <v>7325.3600000000006</v>
      </c>
      <c r="EG183" s="145">
        <v>7325.3600000000006</v>
      </c>
      <c r="EH183" s="145">
        <v>7544.8799999999992</v>
      </c>
      <c r="EI183" s="145">
        <v>7544.8799999999992</v>
      </c>
      <c r="EJ183" s="145">
        <v>7544.8799999999992</v>
      </c>
      <c r="EK183" s="145">
        <v>7544.8799999999992</v>
      </c>
      <c r="EL183" s="145">
        <v>0</v>
      </c>
      <c r="EM183" s="145">
        <v>0</v>
      </c>
      <c r="EN183" s="145">
        <v>0</v>
      </c>
      <c r="EO183" s="145">
        <v>0</v>
      </c>
      <c r="EP183" s="145">
        <v>0</v>
      </c>
      <c r="EQ183" s="145">
        <v>0</v>
      </c>
      <c r="ER183" s="145">
        <v>0</v>
      </c>
      <c r="ES183" s="145">
        <v>0</v>
      </c>
      <c r="ET183" s="145">
        <v>0</v>
      </c>
      <c r="EU183" s="145">
        <v>0</v>
      </c>
      <c r="EV183" s="145">
        <v>0</v>
      </c>
      <c r="EW183" s="145">
        <v>0</v>
      </c>
      <c r="EX183" s="145">
        <v>0</v>
      </c>
      <c r="EY183" s="145">
        <v>0</v>
      </c>
      <c r="EZ183" s="145">
        <v>0</v>
      </c>
      <c r="FA183" s="145">
        <v>0</v>
      </c>
      <c r="FB183" s="145">
        <v>0</v>
      </c>
      <c r="FC183" s="145">
        <v>0</v>
      </c>
      <c r="FD183" s="145">
        <v>0</v>
      </c>
      <c r="FE183" s="145">
        <v>0</v>
      </c>
      <c r="FF183" s="145">
        <v>0</v>
      </c>
      <c r="FG183" s="145">
        <v>0</v>
      </c>
      <c r="FH183" s="145">
        <v>0</v>
      </c>
      <c r="FI183" s="145">
        <v>0</v>
      </c>
      <c r="FJ183" s="145">
        <v>0</v>
      </c>
      <c r="FK183" s="145">
        <v>0</v>
      </c>
      <c r="FL183" s="145">
        <v>0</v>
      </c>
      <c r="FM183" s="145">
        <v>0</v>
      </c>
      <c r="FN183" s="145">
        <v>0</v>
      </c>
      <c r="FO183" s="145">
        <v>0</v>
      </c>
      <c r="FP183" s="145">
        <v>0</v>
      </c>
      <c r="FQ183" s="145">
        <v>0</v>
      </c>
      <c r="FR183" s="145">
        <v>0</v>
      </c>
      <c r="FS183" s="145">
        <v>0</v>
      </c>
      <c r="FT183" s="145">
        <v>0</v>
      </c>
      <c r="FU183" s="145">
        <v>0</v>
      </c>
      <c r="FV183" s="145">
        <v>0</v>
      </c>
      <c r="FW183" s="145">
        <v>0</v>
      </c>
      <c r="FX183" s="143"/>
      <c r="FY183" s="146" t="str">
        <f>_xlfn.XLOOKUP($E183,'Key assumptions'!$B$112:$B$120,'Key assumptions'!$C$112:$C$120,0)</f>
        <v>Nominal</v>
      </c>
      <c r="FZ183" s="146" cm="1">
        <f t="array" ref="FZ183">IF($FY183=0,0,_xlfn.IFS($FY183='Key assumptions'!$C$120,_xlfn.XLOOKUP(LEFT(FZ$7,6),Inflation_Year,Inflation_NominaltoReal),TRUE,_xlfn.XLOOKUP($FY183,Inflation_Year,NominaltoReal)))</f>
        <v>1.0197075870962191</v>
      </c>
      <c r="GA183" s="146" cm="1">
        <f t="array" ref="GA183">IF($FY183=0,0,_xlfn.IFS($FY183='Key assumptions'!$C$120,_xlfn.XLOOKUP(LEFT(GA$7,6),Inflation_Year,Inflation_NominaltoReal),TRUE,_xlfn.XLOOKUP($FY183,Inflation_Year,NominaltoReal)))</f>
        <v>0.98700804022984445</v>
      </c>
      <c r="GB183" s="146" cm="1">
        <f t="array" ref="GB183">IF($FY183=0,0,_xlfn.IFS($FY183='Key assumptions'!$C$120,_xlfn.XLOOKUP(LEFT(GB$7,6),Inflation_Year,Inflation_NominaltoReal),TRUE,_xlfn.XLOOKUP($FY183,Inflation_Year,NominaltoReal)))</f>
        <v>0.96152830081941731</v>
      </c>
      <c r="GC183" s="146" cm="1">
        <f t="array" ref="GC183">IF($FY183=0,0,_xlfn.IFS($FY183='Key assumptions'!$C$120,_xlfn.XLOOKUP(LEFT(GC$7,6),Inflation_Year,Inflation_NominaltoReal),TRUE,_xlfn.XLOOKUP($FY183,Inflation_Year,NominaltoReal)))</f>
        <v>0.93670632415656829</v>
      </c>
      <c r="GD183" s="146" cm="1">
        <f t="array" ref="GD183">IF($FY183=0,0,_xlfn.IFS($FY183='Key assumptions'!$C$120,_xlfn.XLOOKUP(LEFT(GD$7,6),Inflation_Year,Inflation_NominaltoReal),TRUE,_xlfn.XLOOKUP($FY183,Inflation_Year,NominaltoReal)))</f>
        <v>0.91252513001143176</v>
      </c>
      <c r="GE183" s="146" cm="1">
        <f t="array" ref="GE183">IF($FY183=0,0,_xlfn.IFS($FY183='Key assumptions'!$C$120,_xlfn.XLOOKUP(LEFT(GE$7,6),Inflation_Year,Inflation_NominaltoReal),TRUE,_xlfn.XLOOKUP($FY183,Inflation_Year,NominaltoReal)))</f>
        <v>0.88896817650095872</v>
      </c>
      <c r="GF183" s="146" cm="1">
        <f t="array" ref="GF183">IF($FY183=0,0,_xlfn.IFS($FY183='Key assumptions'!$C$120,_xlfn.XLOOKUP(LEFT(GF$7,6),Inflation_Year,Inflation_NominaltoReal),TRUE,_xlfn.XLOOKUP($FY183,Inflation_Year,NominaltoReal)))</f>
        <v>0.86601934877293718</v>
      </c>
      <c r="GG183" s="143"/>
      <c r="GH183" s="145" cm="1">
        <f t="array" ref="GH183">SUMPRODUCT(--($CR$7:$FW$7&gt;=GH$5),--($CR$7:$FW$7&lt;=GH$6),$CR183:$FW183)*FZ183</f>
        <v>0</v>
      </c>
      <c r="GI183" s="145" cm="1">
        <f t="array" ref="GI183">SUMPRODUCT(--($CR$7:$FW$7&gt;=GI$5),--($CR$7:$FW$7&lt;=GI$6),$CR183:$FW183)*GA183</f>
        <v>28710.445197100198</v>
      </c>
      <c r="GJ183" s="145" cm="1">
        <f t="array" ref="GJ183">SUMPRODUCT(--($CR$7:$FW$7&gt;=GJ$5),--($CR$7:$FW$7&lt;=GJ$6),$CR183:$FW183)*GB183</f>
        <v>79873.059806806079</v>
      </c>
      <c r="GK183" s="145" cm="1">
        <f t="array" ref="GK183">SUMPRODUCT(--($CR$7:$FW$7&gt;=GK$5),--($CR$7:$FW$7&lt;=GK$6),$CR183:$FW183)*GC183</f>
        <v>7067.3368110024085</v>
      </c>
      <c r="GL183" s="145" cm="1">
        <f t="array" ref="GL183">SUMPRODUCT(--($CR$7:$FW$7&gt;=GL$5),--($CR$7:$FW$7&lt;=GL$6),$CR183:$FW183)*GD183</f>
        <v>0</v>
      </c>
      <c r="GM183" s="145" cm="1">
        <f t="array" ref="GM183">SUMPRODUCT(--($CR$7:$FW$7&gt;=GM$5),--($CR$7:$FW$7&lt;=GM$6),$CR183:$FW183)*GE183</f>
        <v>0</v>
      </c>
      <c r="GN183" s="145" cm="1">
        <f t="array" ref="GN183">SUMPRODUCT(--($CR$7:$FW$7&gt;=GN$5),--($CR$7:$FW$7&lt;=GN$6),$CR183:$FW183)*GF183</f>
        <v>0</v>
      </c>
      <c r="GO183" s="145">
        <f t="shared" si="46"/>
        <v>115650.84181490868</v>
      </c>
      <c r="GP183" s="87"/>
      <c r="GR183" s="145" cm="1">
        <f t="array" ref="GR183">SUMPRODUCT(--($CR$7:$FW$7&gt;=GR$5),--($CR$7:$FW$7&lt;=GR$6),$CR183:$FW183)</f>
        <v>0</v>
      </c>
      <c r="GT183" s="214" cm="1">
        <f t="array" ref="GT183">--AND(MIN(IF($K183:$CP183&lt;&gt;0,$K$7:$CP$7))&gt;=GT$5,MIN(IF($K183:$CP183&lt;&gt;0,$K$7:$CP$7))&lt;=GT$6)</f>
        <v>0</v>
      </c>
      <c r="GU183" s="214" cm="1">
        <f t="array" ref="GU183">--AND(MIN(IF($K183:$CP183&lt;&gt;0,$K$7:$CP$7))&gt;=GU$5,MIN(IF($K183:$CP183&lt;&gt;0,$K$7:$CP$7))&lt;=GU$6)</f>
        <v>1</v>
      </c>
      <c r="GV183" s="214" cm="1">
        <f t="array" ref="GV183">--AND(MIN(IF($K183:$CP183&lt;&gt;0,$K$7:$CP$7))&gt;=GV$5,MIN(IF($K183:$CP183&lt;&gt;0,$K$7:$CP$7))&lt;=GV$6)</f>
        <v>0</v>
      </c>
      <c r="GW183" s="214" cm="1">
        <f t="array" ref="GW183">--AND(MIN(IF($K183:$CP183&lt;&gt;0,$K$7:$CP$7))&gt;=GW$5,MIN(IF($K183:$CP183&lt;&gt;0,$K$7:$CP$7))&lt;=GW$6)</f>
        <v>0</v>
      </c>
      <c r="GX183" s="214" cm="1">
        <f t="array" ref="GX183">--AND(MIN(IF($K183:$CP183&lt;&gt;0,$K$7:$CP$7))&gt;=GX$5,MIN(IF($K183:$CP183&lt;&gt;0,$K$7:$CP$7))&lt;=GX$6)</f>
        <v>0</v>
      </c>
      <c r="GY183" s="214" cm="1">
        <f t="array" ref="GY183">--AND(MIN(IF($K183:$CP183&lt;&gt;0,$K$7:$CP$7))&gt;=GY$5,MIN(IF($K183:$CP183&lt;&gt;0,$K$7:$CP$7))&lt;=GY$6)</f>
        <v>0</v>
      </c>
      <c r="GZ183" s="214" cm="1">
        <f t="array" ref="GZ183">--AND(MIN(IF($K183:$CP183&lt;&gt;0,$K$7:$CP$7))&gt;=GZ$5,MIN(IF($K183:$CP183&lt;&gt;0,$K$7:$CP$7))&lt;=GZ$6)</f>
        <v>0</v>
      </c>
      <c r="HA183" s="214">
        <f t="shared" si="47"/>
        <v>1</v>
      </c>
      <c r="HC183" s="214" cm="1">
        <f t="array" ref="HC183">--AND(MIN(IF($K183:$CP183&lt;&gt;0,$K$7:$CP$7))&gt;=HC$5,MIN(IF($K183:$CP183&lt;&gt;0,$K$7:$CP$7))&lt;=HC$6)</f>
        <v>0</v>
      </c>
      <c r="HE183" s="147" t="str">
        <f t="shared" si="66"/>
        <v>No</v>
      </c>
      <c r="HF183" s="147" t="str">
        <f t="shared" si="67"/>
        <v>No</v>
      </c>
      <c r="HG183" s="147">
        <f>IF($HF183="Yes",0,$H183*avg_hrs*12*'Key assumptions'!$D$87)</f>
        <v>454238.21110356261</v>
      </c>
      <c r="HH183" s="147">
        <f>IF(HE183="Yes",'Key assumptions'!$D$84*HG183,0)</f>
        <v>0</v>
      </c>
      <c r="HI183" s="144">
        <f>IFERROR(AVERAGEIFS($K183:$CP183,$K$7:$CP$7,"&gt;="&amp;'Key assumptions'!$D$24,$K$7:$CP$7,"&lt;="&amp;'Key assumptions'!$D$25),0)</f>
        <v>7.6196172248803831E-2</v>
      </c>
      <c r="HJ183" s="148">
        <f t="shared" si="68"/>
        <v>0</v>
      </c>
      <c r="HK183" s="148">
        <f t="shared" si="49"/>
        <v>0</v>
      </c>
      <c r="HL183" s="148">
        <f t="shared" si="50"/>
        <v>0</v>
      </c>
      <c r="HM183" s="148">
        <f t="shared" si="51"/>
        <v>0</v>
      </c>
      <c r="HN183" s="148">
        <f t="shared" si="52"/>
        <v>0</v>
      </c>
      <c r="HO183" s="148">
        <f t="shared" si="53"/>
        <v>0</v>
      </c>
      <c r="HP183" s="148">
        <f t="shared" si="54"/>
        <v>0</v>
      </c>
      <c r="HQ183" s="148">
        <f t="shared" si="55"/>
        <v>0</v>
      </c>
      <c r="HR183" s="147">
        <f t="shared" si="56"/>
        <v>0</v>
      </c>
      <c r="HU183" s="147">
        <f>$HJ183*HC183/(1+'Key assumptions'!G205)^0.75</f>
        <v>0</v>
      </c>
      <c r="HW183" s="216">
        <f t="shared" si="57"/>
        <v>0</v>
      </c>
      <c r="HX183" s="216">
        <f t="shared" si="58"/>
        <v>7.6196172248803831E-2</v>
      </c>
      <c r="HY183" s="216">
        <f t="shared" si="59"/>
        <v>0</v>
      </c>
      <c r="HZ183" s="216">
        <f t="shared" si="60"/>
        <v>0</v>
      </c>
      <c r="IA183" s="216">
        <f t="shared" si="61"/>
        <v>0</v>
      </c>
      <c r="IB183" s="216">
        <f t="shared" si="62"/>
        <v>0</v>
      </c>
      <c r="IC183" s="216">
        <f t="shared" si="63"/>
        <v>0</v>
      </c>
      <c r="ID183" s="216">
        <f t="shared" si="64"/>
        <v>7.6196172248803831E-2</v>
      </c>
      <c r="IF183" s="216">
        <f t="shared" si="65"/>
        <v>0</v>
      </c>
    </row>
    <row r="184" spans="2:240" x14ac:dyDescent="0.2">
      <c r="B184" s="141" t="str">
        <v>Project Delivery Management - Commissioning</v>
      </c>
      <c r="C184" s="141" t="str">
        <v>Power Worker (Field Delivery)</v>
      </c>
      <c r="D184" s="141" t="str">
        <v>Internal Labour</v>
      </c>
      <c r="E184" s="141" t="str">
        <v>$ Nominal</v>
      </c>
      <c r="F184" s="141" t="str">
        <v>Existing</v>
      </c>
      <c r="G184" s="141" t="str">
        <v>Normal time</v>
      </c>
      <c r="H184" s="142">
        <v>138.35</v>
      </c>
      <c r="I184" s="126">
        <v>4842.25</v>
      </c>
      <c r="J184" s="143">
        <v>0</v>
      </c>
      <c r="K184" s="144">
        <v>0</v>
      </c>
      <c r="L184" s="144">
        <v>0</v>
      </c>
      <c r="M184" s="144">
        <v>0</v>
      </c>
      <c r="N184" s="144">
        <v>0</v>
      </c>
      <c r="O184" s="144">
        <v>0</v>
      </c>
      <c r="P184" s="144">
        <v>0</v>
      </c>
      <c r="Q184" s="144">
        <v>0</v>
      </c>
      <c r="R184" s="144">
        <v>0</v>
      </c>
      <c r="S184" s="144">
        <v>0</v>
      </c>
      <c r="T184" s="144">
        <v>0</v>
      </c>
      <c r="U184" s="144">
        <v>0</v>
      </c>
      <c r="V184" s="144">
        <v>0</v>
      </c>
      <c r="W184" s="144">
        <v>0</v>
      </c>
      <c r="X184" s="144">
        <v>0</v>
      </c>
      <c r="Y184" s="144">
        <v>0.25</v>
      </c>
      <c r="Z184" s="144">
        <v>0</v>
      </c>
      <c r="AA184" s="144">
        <v>0</v>
      </c>
      <c r="AB184" s="144">
        <v>0</v>
      </c>
      <c r="AC184" s="144">
        <v>0</v>
      </c>
      <c r="AD184" s="144">
        <v>0</v>
      </c>
      <c r="AE184" s="144">
        <v>0</v>
      </c>
      <c r="AF184" s="144">
        <v>0</v>
      </c>
      <c r="AG184" s="144">
        <v>0</v>
      </c>
      <c r="AH184" s="144">
        <v>0</v>
      </c>
      <c r="AI184" s="144">
        <v>0</v>
      </c>
      <c r="AJ184" s="144">
        <v>0</v>
      </c>
      <c r="AK184" s="144">
        <v>0</v>
      </c>
      <c r="AL184" s="144">
        <v>0</v>
      </c>
      <c r="AM184" s="144">
        <v>0</v>
      </c>
      <c r="AN184" s="144">
        <v>0</v>
      </c>
      <c r="AO184" s="144">
        <v>0</v>
      </c>
      <c r="AP184" s="144">
        <v>0</v>
      </c>
      <c r="AQ184" s="144">
        <v>0</v>
      </c>
      <c r="AR184" s="144">
        <v>0</v>
      </c>
      <c r="AS184" s="144">
        <v>0</v>
      </c>
      <c r="AT184" s="144">
        <v>0</v>
      </c>
      <c r="AU184" s="144">
        <v>0</v>
      </c>
      <c r="AV184" s="144">
        <v>0</v>
      </c>
      <c r="AW184" s="144">
        <v>0</v>
      </c>
      <c r="AX184" s="144">
        <v>0</v>
      </c>
      <c r="AY184" s="144">
        <v>0</v>
      </c>
      <c r="AZ184" s="144">
        <v>0</v>
      </c>
      <c r="BA184" s="144">
        <v>0</v>
      </c>
      <c r="BB184" s="144">
        <v>0</v>
      </c>
      <c r="BC184" s="144">
        <v>0</v>
      </c>
      <c r="BD184" s="144">
        <v>0</v>
      </c>
      <c r="BE184" s="144">
        <v>0</v>
      </c>
      <c r="BF184" s="144">
        <v>0</v>
      </c>
      <c r="BG184" s="144">
        <v>0</v>
      </c>
      <c r="BH184" s="144">
        <v>0</v>
      </c>
      <c r="BI184" s="144">
        <v>0</v>
      </c>
      <c r="BJ184" s="144">
        <v>0</v>
      </c>
      <c r="BK184" s="144">
        <v>0</v>
      </c>
      <c r="BL184" s="144">
        <v>0</v>
      </c>
      <c r="BM184" s="144">
        <v>0</v>
      </c>
      <c r="BN184" s="144">
        <v>0</v>
      </c>
      <c r="BO184" s="144">
        <v>0</v>
      </c>
      <c r="BP184" s="144">
        <v>0</v>
      </c>
      <c r="BQ184" s="144">
        <v>0</v>
      </c>
      <c r="BR184" s="144">
        <v>0</v>
      </c>
      <c r="BS184" s="144">
        <v>0</v>
      </c>
      <c r="BT184" s="144">
        <v>0</v>
      </c>
      <c r="BU184" s="144">
        <v>0</v>
      </c>
      <c r="BV184" s="144">
        <v>0</v>
      </c>
      <c r="BW184" s="144">
        <v>0</v>
      </c>
      <c r="BX184" s="144">
        <v>0</v>
      </c>
      <c r="BY184" s="144">
        <v>0</v>
      </c>
      <c r="BZ184" s="144">
        <v>0</v>
      </c>
      <c r="CA184" s="144">
        <v>0</v>
      </c>
      <c r="CB184" s="144">
        <v>0</v>
      </c>
      <c r="CC184" s="144">
        <v>0</v>
      </c>
      <c r="CD184" s="144">
        <v>0</v>
      </c>
      <c r="CE184" s="144">
        <v>0</v>
      </c>
      <c r="CF184" s="144">
        <v>0</v>
      </c>
      <c r="CG184" s="144">
        <v>0</v>
      </c>
      <c r="CH184" s="144">
        <v>0</v>
      </c>
      <c r="CI184" s="144">
        <v>0</v>
      </c>
      <c r="CJ184" s="144">
        <v>0</v>
      </c>
      <c r="CK184" s="144">
        <v>0</v>
      </c>
      <c r="CL184" s="144">
        <v>0</v>
      </c>
      <c r="CM184" s="144">
        <v>0</v>
      </c>
      <c r="CN184" s="144">
        <v>0</v>
      </c>
      <c r="CO184" s="144">
        <v>0</v>
      </c>
      <c r="CP184" s="144">
        <v>0</v>
      </c>
      <c r="CQ184" s="143">
        <v>0</v>
      </c>
      <c r="CR184" s="145">
        <v>0</v>
      </c>
      <c r="CS184" s="145">
        <v>0</v>
      </c>
      <c r="CT184" s="145">
        <v>0</v>
      </c>
      <c r="CU184" s="145">
        <v>0</v>
      </c>
      <c r="CV184" s="145">
        <v>0</v>
      </c>
      <c r="CW184" s="145">
        <v>0</v>
      </c>
      <c r="CX184" s="145">
        <v>0</v>
      </c>
      <c r="CY184" s="145">
        <v>0</v>
      </c>
      <c r="CZ184" s="145">
        <v>0</v>
      </c>
      <c r="DA184" s="145">
        <v>0</v>
      </c>
      <c r="DB184" s="145">
        <v>0</v>
      </c>
      <c r="DC184" s="145">
        <v>0</v>
      </c>
      <c r="DD184" s="145">
        <v>0</v>
      </c>
      <c r="DE184" s="145">
        <v>0</v>
      </c>
      <c r="DF184" s="145">
        <v>4842.25</v>
      </c>
      <c r="DG184" s="145">
        <v>0</v>
      </c>
      <c r="DH184" s="145">
        <v>0</v>
      </c>
      <c r="DI184" s="145">
        <v>0</v>
      </c>
      <c r="DJ184" s="145">
        <v>0</v>
      </c>
      <c r="DK184" s="145">
        <v>0</v>
      </c>
      <c r="DL184" s="145">
        <v>0</v>
      </c>
      <c r="DM184" s="145">
        <v>0</v>
      </c>
      <c r="DN184" s="145">
        <v>0</v>
      </c>
      <c r="DO184" s="145">
        <v>0</v>
      </c>
      <c r="DP184" s="145">
        <v>0</v>
      </c>
      <c r="DQ184" s="145">
        <v>0</v>
      </c>
      <c r="DR184" s="145">
        <v>0</v>
      </c>
      <c r="DS184" s="145">
        <v>0</v>
      </c>
      <c r="DT184" s="145">
        <v>0</v>
      </c>
      <c r="DU184" s="145">
        <v>0</v>
      </c>
      <c r="DV184" s="145">
        <v>0</v>
      </c>
      <c r="DW184" s="145">
        <v>0</v>
      </c>
      <c r="DX184" s="145">
        <v>0</v>
      </c>
      <c r="DY184" s="145">
        <v>0</v>
      </c>
      <c r="DZ184" s="145">
        <v>0</v>
      </c>
      <c r="EA184" s="145">
        <v>0</v>
      </c>
      <c r="EB184" s="145">
        <v>0</v>
      </c>
      <c r="EC184" s="145">
        <v>0</v>
      </c>
      <c r="ED184" s="145">
        <v>0</v>
      </c>
      <c r="EE184" s="145">
        <v>0</v>
      </c>
      <c r="EF184" s="145">
        <v>0</v>
      </c>
      <c r="EG184" s="145">
        <v>0</v>
      </c>
      <c r="EH184" s="145">
        <v>0</v>
      </c>
      <c r="EI184" s="145">
        <v>0</v>
      </c>
      <c r="EJ184" s="145">
        <v>0</v>
      </c>
      <c r="EK184" s="145">
        <v>0</v>
      </c>
      <c r="EL184" s="145">
        <v>0</v>
      </c>
      <c r="EM184" s="145">
        <v>0</v>
      </c>
      <c r="EN184" s="145">
        <v>0</v>
      </c>
      <c r="EO184" s="145">
        <v>0</v>
      </c>
      <c r="EP184" s="145">
        <v>0</v>
      </c>
      <c r="EQ184" s="145">
        <v>0</v>
      </c>
      <c r="ER184" s="145">
        <v>0</v>
      </c>
      <c r="ES184" s="145">
        <v>0</v>
      </c>
      <c r="ET184" s="145">
        <v>0</v>
      </c>
      <c r="EU184" s="145">
        <v>0</v>
      </c>
      <c r="EV184" s="145">
        <v>0</v>
      </c>
      <c r="EW184" s="145">
        <v>0</v>
      </c>
      <c r="EX184" s="145">
        <v>0</v>
      </c>
      <c r="EY184" s="145">
        <v>0</v>
      </c>
      <c r="EZ184" s="145">
        <v>0</v>
      </c>
      <c r="FA184" s="145">
        <v>0</v>
      </c>
      <c r="FB184" s="145">
        <v>0</v>
      </c>
      <c r="FC184" s="145">
        <v>0</v>
      </c>
      <c r="FD184" s="145">
        <v>0</v>
      </c>
      <c r="FE184" s="145">
        <v>0</v>
      </c>
      <c r="FF184" s="145">
        <v>0</v>
      </c>
      <c r="FG184" s="145">
        <v>0</v>
      </c>
      <c r="FH184" s="145">
        <v>0</v>
      </c>
      <c r="FI184" s="145">
        <v>0</v>
      </c>
      <c r="FJ184" s="145">
        <v>0</v>
      </c>
      <c r="FK184" s="145">
        <v>0</v>
      </c>
      <c r="FL184" s="145">
        <v>0</v>
      </c>
      <c r="FM184" s="145">
        <v>0</v>
      </c>
      <c r="FN184" s="145">
        <v>0</v>
      </c>
      <c r="FO184" s="145">
        <v>0</v>
      </c>
      <c r="FP184" s="145">
        <v>0</v>
      </c>
      <c r="FQ184" s="145">
        <v>0</v>
      </c>
      <c r="FR184" s="145">
        <v>0</v>
      </c>
      <c r="FS184" s="145">
        <v>0</v>
      </c>
      <c r="FT184" s="145">
        <v>0</v>
      </c>
      <c r="FU184" s="145">
        <v>0</v>
      </c>
      <c r="FV184" s="145">
        <v>0</v>
      </c>
      <c r="FW184" s="145">
        <v>0</v>
      </c>
      <c r="FX184" s="143"/>
      <c r="FY184" s="146" t="str">
        <f>_xlfn.XLOOKUP($E184,'Key assumptions'!$B$112:$B$120,'Key assumptions'!$C$112:$C$120,0)</f>
        <v>Nominal</v>
      </c>
      <c r="FZ184" s="146" cm="1">
        <f t="array" ref="FZ184">IF($FY184=0,0,_xlfn.IFS($FY184='Key assumptions'!$C$120,_xlfn.XLOOKUP(LEFT(FZ$7,6),Inflation_Year,Inflation_NominaltoReal),TRUE,_xlfn.XLOOKUP($FY184,Inflation_Year,NominaltoReal)))</f>
        <v>1.0197075870962191</v>
      </c>
      <c r="GA184" s="146" cm="1">
        <f t="array" ref="GA184">IF($FY184=0,0,_xlfn.IFS($FY184='Key assumptions'!$C$120,_xlfn.XLOOKUP(LEFT(GA$7,6),Inflation_Year,Inflation_NominaltoReal),TRUE,_xlfn.XLOOKUP($FY184,Inflation_Year,NominaltoReal)))</f>
        <v>0.98700804022984445</v>
      </c>
      <c r="GB184" s="146" cm="1">
        <f t="array" ref="GB184">IF($FY184=0,0,_xlfn.IFS($FY184='Key assumptions'!$C$120,_xlfn.XLOOKUP(LEFT(GB$7,6),Inflation_Year,Inflation_NominaltoReal),TRUE,_xlfn.XLOOKUP($FY184,Inflation_Year,NominaltoReal)))</f>
        <v>0.96152830081941731</v>
      </c>
      <c r="GC184" s="146" cm="1">
        <f t="array" ref="GC184">IF($FY184=0,0,_xlfn.IFS($FY184='Key assumptions'!$C$120,_xlfn.XLOOKUP(LEFT(GC$7,6),Inflation_Year,Inflation_NominaltoReal),TRUE,_xlfn.XLOOKUP($FY184,Inflation_Year,NominaltoReal)))</f>
        <v>0.93670632415656829</v>
      </c>
      <c r="GD184" s="146" cm="1">
        <f t="array" ref="GD184">IF($FY184=0,0,_xlfn.IFS($FY184='Key assumptions'!$C$120,_xlfn.XLOOKUP(LEFT(GD$7,6),Inflation_Year,Inflation_NominaltoReal),TRUE,_xlfn.XLOOKUP($FY184,Inflation_Year,NominaltoReal)))</f>
        <v>0.91252513001143176</v>
      </c>
      <c r="GE184" s="146" cm="1">
        <f t="array" ref="GE184">IF($FY184=0,0,_xlfn.IFS($FY184='Key assumptions'!$C$120,_xlfn.XLOOKUP(LEFT(GE$7,6),Inflation_Year,Inflation_NominaltoReal),TRUE,_xlfn.XLOOKUP($FY184,Inflation_Year,NominaltoReal)))</f>
        <v>0.88896817650095872</v>
      </c>
      <c r="GF184" s="146" cm="1">
        <f t="array" ref="GF184">IF($FY184=0,0,_xlfn.IFS($FY184='Key assumptions'!$C$120,_xlfn.XLOOKUP(LEFT(GF$7,6),Inflation_Year,Inflation_NominaltoReal),TRUE,_xlfn.XLOOKUP($FY184,Inflation_Year,NominaltoReal)))</f>
        <v>0.86601934877293718</v>
      </c>
      <c r="GG184" s="143"/>
      <c r="GH184" s="145" cm="1">
        <f t="array" ref="GH184">SUMPRODUCT(--($CR$7:$FW$7&gt;=GH$5),--($CR$7:$FW$7&lt;=GH$6),$CR184:$FW184)*FZ184</f>
        <v>4937.679063616667</v>
      </c>
      <c r="GI184" s="145" cm="1">
        <f t="array" ref="GI184">SUMPRODUCT(--($CR$7:$FW$7&gt;=GI$5),--($CR$7:$FW$7&lt;=GI$6),$CR184:$FW184)*GA184</f>
        <v>0</v>
      </c>
      <c r="GJ184" s="145" cm="1">
        <f t="array" ref="GJ184">SUMPRODUCT(--($CR$7:$FW$7&gt;=GJ$5),--($CR$7:$FW$7&lt;=GJ$6),$CR184:$FW184)*GB184</f>
        <v>0</v>
      </c>
      <c r="GK184" s="145" cm="1">
        <f t="array" ref="GK184">SUMPRODUCT(--($CR$7:$FW$7&gt;=GK$5),--($CR$7:$FW$7&lt;=GK$6),$CR184:$FW184)*GC184</f>
        <v>0</v>
      </c>
      <c r="GL184" s="145" cm="1">
        <f t="array" ref="GL184">SUMPRODUCT(--($CR$7:$FW$7&gt;=GL$5),--($CR$7:$FW$7&lt;=GL$6),$CR184:$FW184)*GD184</f>
        <v>0</v>
      </c>
      <c r="GM184" s="145" cm="1">
        <f t="array" ref="GM184">SUMPRODUCT(--($CR$7:$FW$7&gt;=GM$5),--($CR$7:$FW$7&lt;=GM$6),$CR184:$FW184)*GE184</f>
        <v>0</v>
      </c>
      <c r="GN184" s="145" cm="1">
        <f t="array" ref="GN184">SUMPRODUCT(--($CR$7:$FW$7&gt;=GN$5),--($CR$7:$FW$7&lt;=GN$6),$CR184:$FW184)*GF184</f>
        <v>0</v>
      </c>
      <c r="GO184" s="145">
        <f t="shared" si="46"/>
        <v>4937.679063616667</v>
      </c>
      <c r="GP184" s="87"/>
      <c r="GR184" s="145" cm="1">
        <f t="array" ref="GR184">SUMPRODUCT(--($CR$7:$FW$7&gt;=GR$5),--($CR$7:$FW$7&lt;=GR$6),$CR184:$FW184)</f>
        <v>4842.25</v>
      </c>
      <c r="GT184" s="214" cm="1">
        <f t="array" ref="GT184">--AND(MIN(IF($K184:$CP184&lt;&gt;0,$K$7:$CP$7))&gt;=GT$5,MIN(IF($K184:$CP184&lt;&gt;0,$K$7:$CP$7))&lt;=GT$6)</f>
        <v>1</v>
      </c>
      <c r="GU184" s="214" cm="1">
        <f t="array" ref="GU184">--AND(MIN(IF($K184:$CP184&lt;&gt;0,$K$7:$CP$7))&gt;=GU$5,MIN(IF($K184:$CP184&lt;&gt;0,$K$7:$CP$7))&lt;=GU$6)</f>
        <v>0</v>
      </c>
      <c r="GV184" s="214" cm="1">
        <f t="array" ref="GV184">--AND(MIN(IF($K184:$CP184&lt;&gt;0,$K$7:$CP$7))&gt;=GV$5,MIN(IF($K184:$CP184&lt;&gt;0,$K$7:$CP$7))&lt;=GV$6)</f>
        <v>0</v>
      </c>
      <c r="GW184" s="214" cm="1">
        <f t="array" ref="GW184">--AND(MIN(IF($K184:$CP184&lt;&gt;0,$K$7:$CP$7))&gt;=GW$5,MIN(IF($K184:$CP184&lt;&gt;0,$K$7:$CP$7))&lt;=GW$6)</f>
        <v>0</v>
      </c>
      <c r="GX184" s="214" cm="1">
        <f t="array" ref="GX184">--AND(MIN(IF($K184:$CP184&lt;&gt;0,$K$7:$CP$7))&gt;=GX$5,MIN(IF($K184:$CP184&lt;&gt;0,$K$7:$CP$7))&lt;=GX$6)</f>
        <v>0</v>
      </c>
      <c r="GY184" s="214" cm="1">
        <f t="array" ref="GY184">--AND(MIN(IF($K184:$CP184&lt;&gt;0,$K$7:$CP$7))&gt;=GY$5,MIN(IF($K184:$CP184&lt;&gt;0,$K$7:$CP$7))&lt;=GY$6)</f>
        <v>0</v>
      </c>
      <c r="GZ184" s="214" cm="1">
        <f t="array" ref="GZ184">--AND(MIN(IF($K184:$CP184&lt;&gt;0,$K$7:$CP$7))&gt;=GZ$5,MIN(IF($K184:$CP184&lt;&gt;0,$K$7:$CP$7))&lt;=GZ$6)</f>
        <v>0</v>
      </c>
      <c r="HA184" s="214">
        <f t="shared" si="47"/>
        <v>1</v>
      </c>
      <c r="HC184" s="214" cm="1">
        <f t="array" ref="HC184">--AND(MIN(IF($K184:$CP184&lt;&gt;0,$K$7:$CP$7))&gt;=HC$5,MIN(IF($K184:$CP184&lt;&gt;0,$K$7:$CP$7))&lt;=HC$6)</f>
        <v>1</v>
      </c>
      <c r="HE184" s="147" t="str">
        <f t="shared" si="66"/>
        <v>No</v>
      </c>
      <c r="HF184" s="147" t="str">
        <f t="shared" si="67"/>
        <v>No</v>
      </c>
      <c r="HG184" s="147">
        <f>IF($HF184="Yes",0,$H184*avg_hrs*12*'Key assumptions'!$D$87)</f>
        <v>247407.01746457969</v>
      </c>
      <c r="HH184" s="147">
        <f>IF(HE184="Yes",'Key assumptions'!$D$84*HG184,0)</f>
        <v>0</v>
      </c>
      <c r="HI184" s="144">
        <f>IFERROR(AVERAGEIFS($K184:$CP184,$K$7:$CP$7,"&gt;="&amp;'Key assumptions'!$D$24,$K$7:$CP$7,"&lt;="&amp;'Key assumptions'!$D$25),0)</f>
        <v>5.681818181818182E-3</v>
      </c>
      <c r="HJ184" s="148">
        <f t="shared" si="68"/>
        <v>0</v>
      </c>
      <c r="HK184" s="148">
        <f t="shared" si="49"/>
        <v>0</v>
      </c>
      <c r="HL184" s="148">
        <f t="shared" si="50"/>
        <v>0</v>
      </c>
      <c r="HM184" s="148">
        <f t="shared" si="51"/>
        <v>0</v>
      </c>
      <c r="HN184" s="148">
        <f t="shared" si="52"/>
        <v>0</v>
      </c>
      <c r="HO184" s="148">
        <f t="shared" si="53"/>
        <v>0</v>
      </c>
      <c r="HP184" s="148">
        <f t="shared" si="54"/>
        <v>0</v>
      </c>
      <c r="HQ184" s="148">
        <f t="shared" si="55"/>
        <v>0</v>
      </c>
      <c r="HR184" s="147">
        <f t="shared" si="56"/>
        <v>0</v>
      </c>
      <c r="HU184" s="147">
        <f>$HJ184*HC184/(1+'Key assumptions'!G206)^0.75</f>
        <v>0</v>
      </c>
      <c r="HW184" s="216">
        <f t="shared" si="57"/>
        <v>5.681818181818182E-3</v>
      </c>
      <c r="HX184" s="216">
        <f t="shared" si="58"/>
        <v>0</v>
      </c>
      <c r="HY184" s="216">
        <f t="shared" si="59"/>
        <v>0</v>
      </c>
      <c r="HZ184" s="216">
        <f t="shared" si="60"/>
        <v>0</v>
      </c>
      <c r="IA184" s="216">
        <f t="shared" si="61"/>
        <v>0</v>
      </c>
      <c r="IB184" s="216">
        <f t="shared" si="62"/>
        <v>0</v>
      </c>
      <c r="IC184" s="216">
        <f t="shared" si="63"/>
        <v>0</v>
      </c>
      <c r="ID184" s="216">
        <f t="shared" si="64"/>
        <v>5.681818181818182E-3</v>
      </c>
      <c r="IF184" s="216">
        <f t="shared" si="65"/>
        <v>5.681818181818182E-3</v>
      </c>
    </row>
    <row r="185" spans="2:240" x14ac:dyDescent="0.2">
      <c r="B185" s="141" t="str">
        <v>Project Delivery Management - Commissioning</v>
      </c>
      <c r="C185" s="141" t="str">
        <v>Power Worker (Field Delivery)</v>
      </c>
      <c r="D185" s="141" t="str">
        <v>Internal Labour</v>
      </c>
      <c r="E185" s="141" t="str">
        <v>$ Nominal</v>
      </c>
      <c r="F185" s="141">
        <v>0</v>
      </c>
      <c r="G185" s="141" t="str">
        <v>Overtime</v>
      </c>
      <c r="H185" s="142">
        <v>138.35</v>
      </c>
      <c r="I185" s="126">
        <v>2767</v>
      </c>
      <c r="J185" s="143">
        <v>0</v>
      </c>
      <c r="K185" s="144">
        <v>0</v>
      </c>
      <c r="L185" s="144">
        <v>0</v>
      </c>
      <c r="M185" s="144">
        <v>0</v>
      </c>
      <c r="N185" s="144">
        <v>0</v>
      </c>
      <c r="O185" s="144">
        <v>0</v>
      </c>
      <c r="P185" s="144">
        <v>0</v>
      </c>
      <c r="Q185" s="144">
        <v>0</v>
      </c>
      <c r="R185" s="144">
        <v>0</v>
      </c>
      <c r="S185" s="144">
        <v>0</v>
      </c>
      <c r="T185" s="144">
        <v>0</v>
      </c>
      <c r="U185" s="144">
        <v>0</v>
      </c>
      <c r="V185" s="144">
        <v>0</v>
      </c>
      <c r="W185" s="144">
        <v>0</v>
      </c>
      <c r="X185" s="144">
        <v>0</v>
      </c>
      <c r="Y185" s="144">
        <v>7.1428571428571425E-2</v>
      </c>
      <c r="Z185" s="144">
        <v>0</v>
      </c>
      <c r="AA185" s="144">
        <v>0</v>
      </c>
      <c r="AB185" s="144">
        <v>0</v>
      </c>
      <c r="AC185" s="144">
        <v>0</v>
      </c>
      <c r="AD185" s="144">
        <v>0</v>
      </c>
      <c r="AE185" s="144">
        <v>0</v>
      </c>
      <c r="AF185" s="144">
        <v>0</v>
      </c>
      <c r="AG185" s="144">
        <v>0</v>
      </c>
      <c r="AH185" s="144">
        <v>0</v>
      </c>
      <c r="AI185" s="144">
        <v>0</v>
      </c>
      <c r="AJ185" s="144">
        <v>0</v>
      </c>
      <c r="AK185" s="144">
        <v>0</v>
      </c>
      <c r="AL185" s="144">
        <v>0</v>
      </c>
      <c r="AM185" s="144">
        <v>0</v>
      </c>
      <c r="AN185" s="144">
        <v>0</v>
      </c>
      <c r="AO185" s="144">
        <v>0</v>
      </c>
      <c r="AP185" s="144">
        <v>0</v>
      </c>
      <c r="AQ185" s="144">
        <v>0</v>
      </c>
      <c r="AR185" s="144">
        <v>0</v>
      </c>
      <c r="AS185" s="144">
        <v>0</v>
      </c>
      <c r="AT185" s="144">
        <v>0</v>
      </c>
      <c r="AU185" s="144">
        <v>0</v>
      </c>
      <c r="AV185" s="144">
        <v>0</v>
      </c>
      <c r="AW185" s="144">
        <v>0</v>
      </c>
      <c r="AX185" s="144">
        <v>0</v>
      </c>
      <c r="AY185" s="144">
        <v>0</v>
      </c>
      <c r="AZ185" s="144">
        <v>0</v>
      </c>
      <c r="BA185" s="144">
        <v>0</v>
      </c>
      <c r="BB185" s="144">
        <v>0</v>
      </c>
      <c r="BC185" s="144">
        <v>0</v>
      </c>
      <c r="BD185" s="144">
        <v>0</v>
      </c>
      <c r="BE185" s="144">
        <v>0</v>
      </c>
      <c r="BF185" s="144">
        <v>0</v>
      </c>
      <c r="BG185" s="144">
        <v>0</v>
      </c>
      <c r="BH185" s="144">
        <v>0</v>
      </c>
      <c r="BI185" s="144">
        <v>0</v>
      </c>
      <c r="BJ185" s="144">
        <v>0</v>
      </c>
      <c r="BK185" s="144">
        <v>0</v>
      </c>
      <c r="BL185" s="144">
        <v>0</v>
      </c>
      <c r="BM185" s="144">
        <v>0</v>
      </c>
      <c r="BN185" s="144">
        <v>0</v>
      </c>
      <c r="BO185" s="144">
        <v>0</v>
      </c>
      <c r="BP185" s="144">
        <v>0</v>
      </c>
      <c r="BQ185" s="144">
        <v>0</v>
      </c>
      <c r="BR185" s="144">
        <v>0</v>
      </c>
      <c r="BS185" s="144">
        <v>0</v>
      </c>
      <c r="BT185" s="144">
        <v>0</v>
      </c>
      <c r="BU185" s="144">
        <v>0</v>
      </c>
      <c r="BV185" s="144">
        <v>0</v>
      </c>
      <c r="BW185" s="144">
        <v>0</v>
      </c>
      <c r="BX185" s="144">
        <v>0</v>
      </c>
      <c r="BY185" s="144">
        <v>0</v>
      </c>
      <c r="BZ185" s="144">
        <v>0</v>
      </c>
      <c r="CA185" s="144">
        <v>0</v>
      </c>
      <c r="CB185" s="144">
        <v>0</v>
      </c>
      <c r="CC185" s="144">
        <v>0</v>
      </c>
      <c r="CD185" s="144">
        <v>0</v>
      </c>
      <c r="CE185" s="144">
        <v>0</v>
      </c>
      <c r="CF185" s="144">
        <v>0</v>
      </c>
      <c r="CG185" s="144">
        <v>0</v>
      </c>
      <c r="CH185" s="144">
        <v>0</v>
      </c>
      <c r="CI185" s="144">
        <v>0</v>
      </c>
      <c r="CJ185" s="144">
        <v>0</v>
      </c>
      <c r="CK185" s="144">
        <v>0</v>
      </c>
      <c r="CL185" s="144">
        <v>0</v>
      </c>
      <c r="CM185" s="144">
        <v>0</v>
      </c>
      <c r="CN185" s="144">
        <v>0</v>
      </c>
      <c r="CO185" s="144">
        <v>0</v>
      </c>
      <c r="CP185" s="144">
        <v>0</v>
      </c>
      <c r="CQ185" s="143">
        <v>0</v>
      </c>
      <c r="CR185" s="145">
        <v>0</v>
      </c>
      <c r="CS185" s="145">
        <v>0</v>
      </c>
      <c r="CT185" s="145">
        <v>0</v>
      </c>
      <c r="CU185" s="145">
        <v>0</v>
      </c>
      <c r="CV185" s="145">
        <v>0</v>
      </c>
      <c r="CW185" s="145">
        <v>0</v>
      </c>
      <c r="CX185" s="145">
        <v>0</v>
      </c>
      <c r="CY185" s="145">
        <v>0</v>
      </c>
      <c r="CZ185" s="145">
        <v>0</v>
      </c>
      <c r="DA185" s="145">
        <v>0</v>
      </c>
      <c r="DB185" s="145">
        <v>0</v>
      </c>
      <c r="DC185" s="145">
        <v>0</v>
      </c>
      <c r="DD185" s="145">
        <v>0</v>
      </c>
      <c r="DE185" s="145">
        <v>0</v>
      </c>
      <c r="DF185" s="145">
        <v>2767</v>
      </c>
      <c r="DG185" s="145">
        <v>0</v>
      </c>
      <c r="DH185" s="145">
        <v>0</v>
      </c>
      <c r="DI185" s="145">
        <v>0</v>
      </c>
      <c r="DJ185" s="145">
        <v>0</v>
      </c>
      <c r="DK185" s="145">
        <v>0</v>
      </c>
      <c r="DL185" s="145">
        <v>0</v>
      </c>
      <c r="DM185" s="145">
        <v>0</v>
      </c>
      <c r="DN185" s="145">
        <v>0</v>
      </c>
      <c r="DO185" s="145">
        <v>0</v>
      </c>
      <c r="DP185" s="145">
        <v>0</v>
      </c>
      <c r="DQ185" s="145">
        <v>0</v>
      </c>
      <c r="DR185" s="145">
        <v>0</v>
      </c>
      <c r="DS185" s="145">
        <v>0</v>
      </c>
      <c r="DT185" s="145">
        <v>0</v>
      </c>
      <c r="DU185" s="145">
        <v>0</v>
      </c>
      <c r="DV185" s="145">
        <v>0</v>
      </c>
      <c r="DW185" s="145">
        <v>0</v>
      </c>
      <c r="DX185" s="145">
        <v>0</v>
      </c>
      <c r="DY185" s="145">
        <v>0</v>
      </c>
      <c r="DZ185" s="145">
        <v>0</v>
      </c>
      <c r="EA185" s="145">
        <v>0</v>
      </c>
      <c r="EB185" s="145">
        <v>0</v>
      </c>
      <c r="EC185" s="145">
        <v>0</v>
      </c>
      <c r="ED185" s="145">
        <v>0</v>
      </c>
      <c r="EE185" s="145">
        <v>0</v>
      </c>
      <c r="EF185" s="145">
        <v>0</v>
      </c>
      <c r="EG185" s="145">
        <v>0</v>
      </c>
      <c r="EH185" s="145">
        <v>0</v>
      </c>
      <c r="EI185" s="145">
        <v>0</v>
      </c>
      <c r="EJ185" s="145">
        <v>0</v>
      </c>
      <c r="EK185" s="145">
        <v>0</v>
      </c>
      <c r="EL185" s="145">
        <v>0</v>
      </c>
      <c r="EM185" s="145">
        <v>0</v>
      </c>
      <c r="EN185" s="145">
        <v>0</v>
      </c>
      <c r="EO185" s="145">
        <v>0</v>
      </c>
      <c r="EP185" s="145">
        <v>0</v>
      </c>
      <c r="EQ185" s="145">
        <v>0</v>
      </c>
      <c r="ER185" s="145">
        <v>0</v>
      </c>
      <c r="ES185" s="145">
        <v>0</v>
      </c>
      <c r="ET185" s="145">
        <v>0</v>
      </c>
      <c r="EU185" s="145">
        <v>0</v>
      </c>
      <c r="EV185" s="145">
        <v>0</v>
      </c>
      <c r="EW185" s="145">
        <v>0</v>
      </c>
      <c r="EX185" s="145">
        <v>0</v>
      </c>
      <c r="EY185" s="145">
        <v>0</v>
      </c>
      <c r="EZ185" s="145">
        <v>0</v>
      </c>
      <c r="FA185" s="145">
        <v>0</v>
      </c>
      <c r="FB185" s="145">
        <v>0</v>
      </c>
      <c r="FC185" s="145">
        <v>0</v>
      </c>
      <c r="FD185" s="145">
        <v>0</v>
      </c>
      <c r="FE185" s="145">
        <v>0</v>
      </c>
      <c r="FF185" s="145">
        <v>0</v>
      </c>
      <c r="FG185" s="145">
        <v>0</v>
      </c>
      <c r="FH185" s="145">
        <v>0</v>
      </c>
      <c r="FI185" s="145">
        <v>0</v>
      </c>
      <c r="FJ185" s="145">
        <v>0</v>
      </c>
      <c r="FK185" s="145">
        <v>0</v>
      </c>
      <c r="FL185" s="145">
        <v>0</v>
      </c>
      <c r="FM185" s="145">
        <v>0</v>
      </c>
      <c r="FN185" s="145">
        <v>0</v>
      </c>
      <c r="FO185" s="145">
        <v>0</v>
      </c>
      <c r="FP185" s="145">
        <v>0</v>
      </c>
      <c r="FQ185" s="145">
        <v>0</v>
      </c>
      <c r="FR185" s="145">
        <v>0</v>
      </c>
      <c r="FS185" s="145">
        <v>0</v>
      </c>
      <c r="FT185" s="145">
        <v>0</v>
      </c>
      <c r="FU185" s="145">
        <v>0</v>
      </c>
      <c r="FV185" s="145">
        <v>0</v>
      </c>
      <c r="FW185" s="145">
        <v>0</v>
      </c>
      <c r="FX185" s="143"/>
      <c r="FY185" s="146" t="str">
        <f>_xlfn.XLOOKUP($E185,'Key assumptions'!$B$112:$B$120,'Key assumptions'!$C$112:$C$120,0)</f>
        <v>Nominal</v>
      </c>
      <c r="FZ185" s="146" cm="1">
        <f t="array" ref="FZ185">IF($FY185=0,0,_xlfn.IFS($FY185='Key assumptions'!$C$120,_xlfn.XLOOKUP(LEFT(FZ$7,6),Inflation_Year,Inflation_NominaltoReal),TRUE,_xlfn.XLOOKUP($FY185,Inflation_Year,NominaltoReal)))</f>
        <v>1.0197075870962191</v>
      </c>
      <c r="GA185" s="146" cm="1">
        <f t="array" ref="GA185">IF($FY185=0,0,_xlfn.IFS($FY185='Key assumptions'!$C$120,_xlfn.XLOOKUP(LEFT(GA$7,6),Inflation_Year,Inflation_NominaltoReal),TRUE,_xlfn.XLOOKUP($FY185,Inflation_Year,NominaltoReal)))</f>
        <v>0.98700804022984445</v>
      </c>
      <c r="GB185" s="146" cm="1">
        <f t="array" ref="GB185">IF($FY185=0,0,_xlfn.IFS($FY185='Key assumptions'!$C$120,_xlfn.XLOOKUP(LEFT(GB$7,6),Inflation_Year,Inflation_NominaltoReal),TRUE,_xlfn.XLOOKUP($FY185,Inflation_Year,NominaltoReal)))</f>
        <v>0.96152830081941731</v>
      </c>
      <c r="GC185" s="146" cm="1">
        <f t="array" ref="GC185">IF($FY185=0,0,_xlfn.IFS($FY185='Key assumptions'!$C$120,_xlfn.XLOOKUP(LEFT(GC$7,6),Inflation_Year,Inflation_NominaltoReal),TRUE,_xlfn.XLOOKUP($FY185,Inflation_Year,NominaltoReal)))</f>
        <v>0.93670632415656829</v>
      </c>
      <c r="GD185" s="146" cm="1">
        <f t="array" ref="GD185">IF($FY185=0,0,_xlfn.IFS($FY185='Key assumptions'!$C$120,_xlfn.XLOOKUP(LEFT(GD$7,6),Inflation_Year,Inflation_NominaltoReal),TRUE,_xlfn.XLOOKUP($FY185,Inflation_Year,NominaltoReal)))</f>
        <v>0.91252513001143176</v>
      </c>
      <c r="GE185" s="146" cm="1">
        <f t="array" ref="GE185">IF($FY185=0,0,_xlfn.IFS($FY185='Key assumptions'!$C$120,_xlfn.XLOOKUP(LEFT(GE$7,6),Inflation_Year,Inflation_NominaltoReal),TRUE,_xlfn.XLOOKUP($FY185,Inflation_Year,NominaltoReal)))</f>
        <v>0.88896817650095872</v>
      </c>
      <c r="GF185" s="146" cm="1">
        <f t="array" ref="GF185">IF($FY185=0,0,_xlfn.IFS($FY185='Key assumptions'!$C$120,_xlfn.XLOOKUP(LEFT(GF$7,6),Inflation_Year,Inflation_NominaltoReal),TRUE,_xlfn.XLOOKUP($FY185,Inflation_Year,NominaltoReal)))</f>
        <v>0.86601934877293718</v>
      </c>
      <c r="GG185" s="143"/>
      <c r="GH185" s="145" cm="1">
        <f t="array" ref="GH185">SUMPRODUCT(--($CR$7:$FW$7&gt;=GH$5),--($CR$7:$FW$7&lt;=GH$6),$CR185:$FW185)*FZ185</f>
        <v>2821.5308934952382</v>
      </c>
      <c r="GI185" s="145" cm="1">
        <f t="array" ref="GI185">SUMPRODUCT(--($CR$7:$FW$7&gt;=GI$5),--($CR$7:$FW$7&lt;=GI$6),$CR185:$FW185)*GA185</f>
        <v>0</v>
      </c>
      <c r="GJ185" s="145" cm="1">
        <f t="array" ref="GJ185">SUMPRODUCT(--($CR$7:$FW$7&gt;=GJ$5),--($CR$7:$FW$7&lt;=GJ$6),$CR185:$FW185)*GB185</f>
        <v>0</v>
      </c>
      <c r="GK185" s="145" cm="1">
        <f t="array" ref="GK185">SUMPRODUCT(--($CR$7:$FW$7&gt;=GK$5),--($CR$7:$FW$7&lt;=GK$6),$CR185:$FW185)*GC185</f>
        <v>0</v>
      </c>
      <c r="GL185" s="145" cm="1">
        <f t="array" ref="GL185">SUMPRODUCT(--($CR$7:$FW$7&gt;=GL$5),--($CR$7:$FW$7&lt;=GL$6),$CR185:$FW185)*GD185</f>
        <v>0</v>
      </c>
      <c r="GM185" s="145" cm="1">
        <f t="array" ref="GM185">SUMPRODUCT(--($CR$7:$FW$7&gt;=GM$5),--($CR$7:$FW$7&lt;=GM$6),$CR185:$FW185)*GE185</f>
        <v>0</v>
      </c>
      <c r="GN185" s="145" cm="1">
        <f t="array" ref="GN185">SUMPRODUCT(--($CR$7:$FW$7&gt;=GN$5),--($CR$7:$FW$7&lt;=GN$6),$CR185:$FW185)*GF185</f>
        <v>0</v>
      </c>
      <c r="GO185" s="145">
        <f t="shared" si="46"/>
        <v>2821.5308934952382</v>
      </c>
      <c r="GP185" s="87"/>
      <c r="GR185" s="145" cm="1">
        <f t="array" ref="GR185">SUMPRODUCT(--($CR$7:$FW$7&gt;=GR$5),--($CR$7:$FW$7&lt;=GR$6),$CR185:$FW185)</f>
        <v>2767</v>
      </c>
      <c r="GT185" s="214" cm="1">
        <f t="array" ref="GT185">--AND(MIN(IF($K185:$CP185&lt;&gt;0,$K$7:$CP$7))&gt;=GT$5,MIN(IF($K185:$CP185&lt;&gt;0,$K$7:$CP$7))&lt;=GT$6)</f>
        <v>1</v>
      </c>
      <c r="GU185" s="214" cm="1">
        <f t="array" ref="GU185">--AND(MIN(IF($K185:$CP185&lt;&gt;0,$K$7:$CP$7))&gt;=GU$5,MIN(IF($K185:$CP185&lt;&gt;0,$K$7:$CP$7))&lt;=GU$6)</f>
        <v>0</v>
      </c>
      <c r="GV185" s="214" cm="1">
        <f t="array" ref="GV185">--AND(MIN(IF($K185:$CP185&lt;&gt;0,$K$7:$CP$7))&gt;=GV$5,MIN(IF($K185:$CP185&lt;&gt;0,$K$7:$CP$7))&lt;=GV$6)</f>
        <v>0</v>
      </c>
      <c r="GW185" s="214" cm="1">
        <f t="array" ref="GW185">--AND(MIN(IF($K185:$CP185&lt;&gt;0,$K$7:$CP$7))&gt;=GW$5,MIN(IF($K185:$CP185&lt;&gt;0,$K$7:$CP$7))&lt;=GW$6)</f>
        <v>0</v>
      </c>
      <c r="GX185" s="214" cm="1">
        <f t="array" ref="GX185">--AND(MIN(IF($K185:$CP185&lt;&gt;0,$K$7:$CP$7))&gt;=GX$5,MIN(IF($K185:$CP185&lt;&gt;0,$K$7:$CP$7))&lt;=GX$6)</f>
        <v>0</v>
      </c>
      <c r="GY185" s="214" cm="1">
        <f t="array" ref="GY185">--AND(MIN(IF($K185:$CP185&lt;&gt;0,$K$7:$CP$7))&gt;=GY$5,MIN(IF($K185:$CP185&lt;&gt;0,$K$7:$CP$7))&lt;=GY$6)</f>
        <v>0</v>
      </c>
      <c r="GZ185" s="214" cm="1">
        <f t="array" ref="GZ185">--AND(MIN(IF($K185:$CP185&lt;&gt;0,$K$7:$CP$7))&gt;=GZ$5,MIN(IF($K185:$CP185&lt;&gt;0,$K$7:$CP$7))&lt;=GZ$6)</f>
        <v>0</v>
      </c>
      <c r="HA185" s="214">
        <f t="shared" si="47"/>
        <v>1</v>
      </c>
      <c r="HC185" s="214" cm="1">
        <f t="array" ref="HC185">--AND(MIN(IF($K185:$CP185&lt;&gt;0,$K$7:$CP$7))&gt;=HC$5,MIN(IF($K185:$CP185&lt;&gt;0,$K$7:$CP$7))&lt;=HC$6)</f>
        <v>1</v>
      </c>
      <c r="HE185" s="147" t="str">
        <f t="shared" si="66"/>
        <v>No</v>
      </c>
      <c r="HF185" s="147" t="str">
        <f t="shared" si="67"/>
        <v>Yes</v>
      </c>
      <c r="HG185" s="147">
        <f>IF($HF185="Yes",0,$H185*avg_hrs*12*'Key assumptions'!$D$87)</f>
        <v>0</v>
      </c>
      <c r="HH185" s="147">
        <f>IF(HE185="Yes",'Key assumptions'!$D$84*HG185,0)</f>
        <v>0</v>
      </c>
      <c r="HI185" s="144">
        <f>IFERROR(AVERAGEIFS($K185:$CP185,$K$7:$CP$7,"&gt;="&amp;'Key assumptions'!$D$24,$K$7:$CP$7,"&lt;="&amp;'Key assumptions'!$D$25),0)</f>
        <v>1.6233766233766233E-3</v>
      </c>
      <c r="HJ185" s="148">
        <f t="shared" si="68"/>
        <v>0</v>
      </c>
      <c r="HK185" s="148">
        <f t="shared" si="49"/>
        <v>0</v>
      </c>
      <c r="HL185" s="148">
        <f t="shared" si="50"/>
        <v>0</v>
      </c>
      <c r="HM185" s="148">
        <f t="shared" si="51"/>
        <v>0</v>
      </c>
      <c r="HN185" s="148">
        <f t="shared" si="52"/>
        <v>0</v>
      </c>
      <c r="HO185" s="148">
        <f t="shared" si="53"/>
        <v>0</v>
      </c>
      <c r="HP185" s="148">
        <f t="shared" si="54"/>
        <v>0</v>
      </c>
      <c r="HQ185" s="148">
        <f t="shared" si="55"/>
        <v>0</v>
      </c>
      <c r="HR185" s="147">
        <f t="shared" si="56"/>
        <v>0</v>
      </c>
      <c r="HU185" s="147">
        <f>$HJ185*HC185/(1+'Key assumptions'!G207)^0.75</f>
        <v>0</v>
      </c>
      <c r="HW185" s="216">
        <f t="shared" si="57"/>
        <v>1.6233766233766233E-3</v>
      </c>
      <c r="HX185" s="216">
        <f t="shared" si="58"/>
        <v>0</v>
      </c>
      <c r="HY185" s="216">
        <f t="shared" si="59"/>
        <v>0</v>
      </c>
      <c r="HZ185" s="216">
        <f t="shared" si="60"/>
        <v>0</v>
      </c>
      <c r="IA185" s="216">
        <f t="shared" si="61"/>
        <v>0</v>
      </c>
      <c r="IB185" s="216">
        <f t="shared" si="62"/>
        <v>0</v>
      </c>
      <c r="IC185" s="216">
        <f t="shared" si="63"/>
        <v>0</v>
      </c>
      <c r="ID185" s="216">
        <f t="shared" si="64"/>
        <v>1.6233766233766233E-3</v>
      </c>
      <c r="IF185" s="216">
        <f t="shared" si="65"/>
        <v>1.6233766233766233E-3</v>
      </c>
    </row>
    <row r="186" spans="2:240" x14ac:dyDescent="0.2">
      <c r="B186" s="141" t="str">
        <v>Project Delivery Management - Project Management</v>
      </c>
      <c r="C186" s="141" t="str">
        <v>Project Manager CO (Network Projects)</v>
      </c>
      <c r="D186" s="141" t="str">
        <v>Internal Labour</v>
      </c>
      <c r="E186" s="141" t="str">
        <v>$ Nominal</v>
      </c>
      <c r="F186" s="141" t="str">
        <v>Existing</v>
      </c>
      <c r="G186" s="141" t="str">
        <v>Normal time</v>
      </c>
      <c r="H186" s="142">
        <v>225.37</v>
      </c>
      <c r="I186" s="126">
        <v>1008142.4500000001</v>
      </c>
      <c r="J186" s="143">
        <v>0</v>
      </c>
      <c r="K186" s="144">
        <v>0</v>
      </c>
      <c r="L186" s="144">
        <v>0</v>
      </c>
      <c r="M186" s="144">
        <v>0</v>
      </c>
      <c r="N186" s="144">
        <v>0</v>
      </c>
      <c r="O186" s="144">
        <v>0</v>
      </c>
      <c r="P186" s="144">
        <v>0</v>
      </c>
      <c r="Q186" s="144">
        <v>0</v>
      </c>
      <c r="R186" s="144">
        <v>0</v>
      </c>
      <c r="S186" s="144">
        <v>0</v>
      </c>
      <c r="T186" s="144">
        <v>0</v>
      </c>
      <c r="U186" s="144">
        <v>0</v>
      </c>
      <c r="V186" s="144">
        <v>0</v>
      </c>
      <c r="W186" s="144">
        <v>0</v>
      </c>
      <c r="X186" s="144">
        <v>0</v>
      </c>
      <c r="Y186" s="144">
        <v>0</v>
      </c>
      <c r="Z186" s="144">
        <v>1</v>
      </c>
      <c r="AA186" s="144">
        <v>0.92105263157894735</v>
      </c>
      <c r="AB186" s="144">
        <v>0.92105263157894735</v>
      </c>
      <c r="AC186" s="144">
        <v>1</v>
      </c>
      <c r="AD186" s="144">
        <v>1</v>
      </c>
      <c r="AE186" s="144">
        <v>1</v>
      </c>
      <c r="AF186" s="144">
        <v>1</v>
      </c>
      <c r="AG186" s="144">
        <v>1</v>
      </c>
      <c r="AH186" s="144">
        <v>1</v>
      </c>
      <c r="AI186" s="144">
        <v>1</v>
      </c>
      <c r="AJ186" s="144">
        <v>1</v>
      </c>
      <c r="AK186" s="144">
        <v>1</v>
      </c>
      <c r="AL186" s="144">
        <v>1</v>
      </c>
      <c r="AM186" s="144">
        <v>1</v>
      </c>
      <c r="AN186" s="144">
        <v>1</v>
      </c>
      <c r="AO186" s="144">
        <v>1</v>
      </c>
      <c r="AP186" s="144">
        <v>1</v>
      </c>
      <c r="AQ186" s="144">
        <v>1</v>
      </c>
      <c r="AR186" s="144">
        <v>1</v>
      </c>
      <c r="AS186" s="144">
        <v>1</v>
      </c>
      <c r="AT186" s="144">
        <v>1</v>
      </c>
      <c r="AU186" s="144">
        <v>1</v>
      </c>
      <c r="AV186" s="144">
        <v>1</v>
      </c>
      <c r="AW186" s="144">
        <v>1</v>
      </c>
      <c r="AX186" s="144">
        <v>1</v>
      </c>
      <c r="AY186" s="144">
        <v>1</v>
      </c>
      <c r="AZ186" s="144">
        <v>1</v>
      </c>
      <c r="BA186" s="144">
        <v>1</v>
      </c>
      <c r="BB186" s="144">
        <v>1</v>
      </c>
      <c r="BC186" s="144">
        <v>1</v>
      </c>
      <c r="BD186" s="144">
        <v>1</v>
      </c>
      <c r="BE186" s="144">
        <v>1</v>
      </c>
      <c r="BF186" s="144">
        <v>1</v>
      </c>
      <c r="BG186" s="144">
        <v>0</v>
      </c>
      <c r="BH186" s="144">
        <v>0</v>
      </c>
      <c r="BI186" s="144">
        <v>0</v>
      </c>
      <c r="BJ186" s="144">
        <v>0</v>
      </c>
      <c r="BK186" s="144">
        <v>0</v>
      </c>
      <c r="BL186" s="144">
        <v>0</v>
      </c>
      <c r="BM186" s="144">
        <v>0</v>
      </c>
      <c r="BN186" s="144">
        <v>0</v>
      </c>
      <c r="BO186" s="144">
        <v>0</v>
      </c>
      <c r="BP186" s="144">
        <v>0</v>
      </c>
      <c r="BQ186" s="144">
        <v>0</v>
      </c>
      <c r="BR186" s="144">
        <v>0</v>
      </c>
      <c r="BS186" s="144">
        <v>0</v>
      </c>
      <c r="BT186" s="144">
        <v>0</v>
      </c>
      <c r="BU186" s="144">
        <v>0</v>
      </c>
      <c r="BV186" s="144">
        <v>0</v>
      </c>
      <c r="BW186" s="144">
        <v>0</v>
      </c>
      <c r="BX186" s="144">
        <v>0</v>
      </c>
      <c r="BY186" s="144">
        <v>0</v>
      </c>
      <c r="BZ186" s="144">
        <v>0</v>
      </c>
      <c r="CA186" s="144">
        <v>0</v>
      </c>
      <c r="CB186" s="144">
        <v>0</v>
      </c>
      <c r="CC186" s="144">
        <v>0</v>
      </c>
      <c r="CD186" s="144">
        <v>0</v>
      </c>
      <c r="CE186" s="144">
        <v>0</v>
      </c>
      <c r="CF186" s="144">
        <v>0</v>
      </c>
      <c r="CG186" s="144">
        <v>0</v>
      </c>
      <c r="CH186" s="144">
        <v>0</v>
      </c>
      <c r="CI186" s="144">
        <v>0</v>
      </c>
      <c r="CJ186" s="144">
        <v>0</v>
      </c>
      <c r="CK186" s="144">
        <v>0</v>
      </c>
      <c r="CL186" s="144">
        <v>0</v>
      </c>
      <c r="CM186" s="144">
        <v>0</v>
      </c>
      <c r="CN186" s="144">
        <v>0</v>
      </c>
      <c r="CO186" s="144">
        <v>0</v>
      </c>
      <c r="CP186" s="144">
        <v>0</v>
      </c>
      <c r="CQ186" s="143">
        <v>0</v>
      </c>
      <c r="CR186" s="145">
        <v>0</v>
      </c>
      <c r="CS186" s="145">
        <v>0</v>
      </c>
      <c r="CT186" s="145">
        <v>0</v>
      </c>
      <c r="CU186" s="145">
        <v>0</v>
      </c>
      <c r="CV186" s="145">
        <v>0</v>
      </c>
      <c r="CW186" s="145">
        <v>0</v>
      </c>
      <c r="CX186" s="145">
        <v>0</v>
      </c>
      <c r="CY186" s="145">
        <v>0</v>
      </c>
      <c r="CZ186" s="145">
        <v>0</v>
      </c>
      <c r="DA186" s="145">
        <v>0</v>
      </c>
      <c r="DB186" s="145">
        <v>0</v>
      </c>
      <c r="DC186" s="145">
        <v>0</v>
      </c>
      <c r="DD186" s="145">
        <v>0</v>
      </c>
      <c r="DE186" s="145">
        <v>0</v>
      </c>
      <c r="DF186" s="145">
        <v>0</v>
      </c>
      <c r="DG186" s="145">
        <v>22982.399999999998</v>
      </c>
      <c r="DH186" s="145">
        <v>30643.200000000001</v>
      </c>
      <c r="DI186" s="145">
        <v>30643.200000000001</v>
      </c>
      <c r="DJ186" s="145">
        <v>31551.8</v>
      </c>
      <c r="DK186" s="145">
        <v>31551.8</v>
      </c>
      <c r="DL186" s="145">
        <v>31551.8</v>
      </c>
      <c r="DM186" s="145">
        <v>31551.8</v>
      </c>
      <c r="DN186" s="145">
        <v>31551.8</v>
      </c>
      <c r="DO186" s="145">
        <v>23663.850000000002</v>
      </c>
      <c r="DP186" s="145">
        <v>23663.850000000002</v>
      </c>
      <c r="DQ186" s="145">
        <v>31551.8</v>
      </c>
      <c r="DR186" s="145">
        <v>31551.8</v>
      </c>
      <c r="DS186" s="145">
        <v>23663.850000000002</v>
      </c>
      <c r="DT186" s="145">
        <v>34256.239999999998</v>
      </c>
      <c r="DU186" s="145">
        <v>34256.239999999998</v>
      </c>
      <c r="DV186" s="145">
        <v>32491.200000000001</v>
      </c>
      <c r="DW186" s="145">
        <v>32491.200000000001</v>
      </c>
      <c r="DX186" s="145">
        <v>32491.200000000001</v>
      </c>
      <c r="DY186" s="145">
        <v>32491.200000000001</v>
      </c>
      <c r="DZ186" s="145">
        <v>32491.200000000001</v>
      </c>
      <c r="EA186" s="145">
        <v>24368.400000000001</v>
      </c>
      <c r="EB186" s="145">
        <v>24368.400000000001</v>
      </c>
      <c r="EC186" s="145">
        <v>32491.200000000001</v>
      </c>
      <c r="ED186" s="145">
        <v>32491.200000000001</v>
      </c>
      <c r="EE186" s="145">
        <v>24368.400000000001</v>
      </c>
      <c r="EF186" s="145">
        <v>35276.160000000003</v>
      </c>
      <c r="EG186" s="145">
        <v>35276.160000000003</v>
      </c>
      <c r="EH186" s="145">
        <v>33462.800000000003</v>
      </c>
      <c r="EI186" s="145">
        <v>33462.800000000003</v>
      </c>
      <c r="EJ186" s="145">
        <v>33462.800000000003</v>
      </c>
      <c r="EK186" s="145">
        <v>33462.800000000003</v>
      </c>
      <c r="EL186" s="145">
        <v>33462.800000000003</v>
      </c>
      <c r="EM186" s="145">
        <v>25097.100000000002</v>
      </c>
      <c r="EN186" s="145">
        <v>0</v>
      </c>
      <c r="EO186" s="145">
        <v>0</v>
      </c>
      <c r="EP186" s="145">
        <v>0</v>
      </c>
      <c r="EQ186" s="145">
        <v>0</v>
      </c>
      <c r="ER186" s="145">
        <v>0</v>
      </c>
      <c r="ES186" s="145">
        <v>0</v>
      </c>
      <c r="ET186" s="145">
        <v>0</v>
      </c>
      <c r="EU186" s="145">
        <v>0</v>
      </c>
      <c r="EV186" s="145">
        <v>0</v>
      </c>
      <c r="EW186" s="145">
        <v>0</v>
      </c>
      <c r="EX186" s="145">
        <v>0</v>
      </c>
      <c r="EY186" s="145">
        <v>0</v>
      </c>
      <c r="EZ186" s="145">
        <v>0</v>
      </c>
      <c r="FA186" s="145">
        <v>0</v>
      </c>
      <c r="FB186" s="145">
        <v>0</v>
      </c>
      <c r="FC186" s="145">
        <v>0</v>
      </c>
      <c r="FD186" s="145">
        <v>0</v>
      </c>
      <c r="FE186" s="145">
        <v>0</v>
      </c>
      <c r="FF186" s="145">
        <v>0</v>
      </c>
      <c r="FG186" s="145">
        <v>0</v>
      </c>
      <c r="FH186" s="145">
        <v>0</v>
      </c>
      <c r="FI186" s="145">
        <v>0</v>
      </c>
      <c r="FJ186" s="145">
        <v>0</v>
      </c>
      <c r="FK186" s="145">
        <v>0</v>
      </c>
      <c r="FL186" s="145">
        <v>0</v>
      </c>
      <c r="FM186" s="145">
        <v>0</v>
      </c>
      <c r="FN186" s="145">
        <v>0</v>
      </c>
      <c r="FO186" s="145">
        <v>0</v>
      </c>
      <c r="FP186" s="145">
        <v>0</v>
      </c>
      <c r="FQ186" s="145">
        <v>0</v>
      </c>
      <c r="FR186" s="145">
        <v>0</v>
      </c>
      <c r="FS186" s="145">
        <v>0</v>
      </c>
      <c r="FT186" s="145">
        <v>0</v>
      </c>
      <c r="FU186" s="145">
        <v>0</v>
      </c>
      <c r="FV186" s="145">
        <v>0</v>
      </c>
      <c r="FW186" s="145">
        <v>0</v>
      </c>
      <c r="FX186" s="143"/>
      <c r="FY186" s="146" t="str">
        <f>_xlfn.XLOOKUP($E186,'Key assumptions'!$B$112:$B$120,'Key assumptions'!$C$112:$C$120,0)</f>
        <v>Nominal</v>
      </c>
      <c r="FZ186" s="146" cm="1">
        <f t="array" ref="FZ186">IF($FY186=0,0,_xlfn.IFS($FY186='Key assumptions'!$C$120,_xlfn.XLOOKUP(LEFT(FZ$7,6),Inflation_Year,Inflation_NominaltoReal),TRUE,_xlfn.XLOOKUP($FY186,Inflation_Year,NominaltoReal)))</f>
        <v>1.0197075870962191</v>
      </c>
      <c r="GA186" s="146" cm="1">
        <f t="array" ref="GA186">IF($FY186=0,0,_xlfn.IFS($FY186='Key assumptions'!$C$120,_xlfn.XLOOKUP(LEFT(GA$7,6),Inflation_Year,Inflation_NominaltoReal),TRUE,_xlfn.XLOOKUP($FY186,Inflation_Year,NominaltoReal)))</f>
        <v>0.98700804022984445</v>
      </c>
      <c r="GB186" s="146" cm="1">
        <f t="array" ref="GB186">IF($FY186=0,0,_xlfn.IFS($FY186='Key assumptions'!$C$120,_xlfn.XLOOKUP(LEFT(GB$7,6),Inflation_Year,Inflation_NominaltoReal),TRUE,_xlfn.XLOOKUP($FY186,Inflation_Year,NominaltoReal)))</f>
        <v>0.96152830081941731</v>
      </c>
      <c r="GC186" s="146" cm="1">
        <f t="array" ref="GC186">IF($FY186=0,0,_xlfn.IFS($FY186='Key assumptions'!$C$120,_xlfn.XLOOKUP(LEFT(GC$7,6),Inflation_Year,Inflation_NominaltoReal),TRUE,_xlfn.XLOOKUP($FY186,Inflation_Year,NominaltoReal)))</f>
        <v>0.93670632415656829</v>
      </c>
      <c r="GD186" s="146" cm="1">
        <f t="array" ref="GD186">IF($FY186=0,0,_xlfn.IFS($FY186='Key assumptions'!$C$120,_xlfn.XLOOKUP(LEFT(GD$7,6),Inflation_Year,Inflation_NominaltoReal),TRUE,_xlfn.XLOOKUP($FY186,Inflation_Year,NominaltoReal)))</f>
        <v>0.91252513001143176</v>
      </c>
      <c r="GE186" s="146" cm="1">
        <f t="array" ref="GE186">IF($FY186=0,0,_xlfn.IFS($FY186='Key assumptions'!$C$120,_xlfn.XLOOKUP(LEFT(GE$7,6),Inflation_Year,Inflation_NominaltoReal),TRUE,_xlfn.XLOOKUP($FY186,Inflation_Year,NominaltoReal)))</f>
        <v>0.88896817650095872</v>
      </c>
      <c r="GF186" s="146" cm="1">
        <f t="array" ref="GF186">IF($FY186=0,0,_xlfn.IFS($FY186='Key assumptions'!$C$120,_xlfn.XLOOKUP(LEFT(GF$7,6),Inflation_Year,Inflation_NominaltoReal),TRUE,_xlfn.XLOOKUP($FY186,Inflation_Year,NominaltoReal)))</f>
        <v>0.86601934877293718</v>
      </c>
      <c r="GG186" s="143"/>
      <c r="GH186" s="145" cm="1">
        <f t="array" ref="GH186">SUMPRODUCT(--($CR$7:$FW$7&gt;=GH$5),--($CR$7:$FW$7&lt;=GH$6),$CR186:$FW186)*FZ186</f>
        <v>182450.3642551213</v>
      </c>
      <c r="GI186" s="145" cm="1">
        <f t="array" ref="GI186">SUMPRODUCT(--($CR$7:$FW$7&gt;=GI$5),--($CR$7:$FW$7&lt;=GI$6),$CR186:$FW186)*GA186</f>
        <v>358466.34729950922</v>
      </c>
      <c r="GJ186" s="145" cm="1">
        <f t="array" ref="GJ186">SUMPRODUCT(--($CR$7:$FW$7&gt;=GJ$5),--($CR$7:$FW$7&lt;=GJ$6),$CR186:$FW186)*GB186</f>
        <v>359621.89208984689</v>
      </c>
      <c r="GK186" s="145" cm="1">
        <f t="array" ref="GK186">SUMPRODUCT(--($CR$7:$FW$7&gt;=GK$5),--($CR$7:$FW$7&lt;=GK$6),$CR186:$FW186)*GC186</f>
        <v>86198.245055962645</v>
      </c>
      <c r="GL186" s="145" cm="1">
        <f t="array" ref="GL186">SUMPRODUCT(--($CR$7:$FW$7&gt;=GL$5),--($CR$7:$FW$7&lt;=GL$6),$CR186:$FW186)*GD186</f>
        <v>0</v>
      </c>
      <c r="GM186" s="145" cm="1">
        <f t="array" ref="GM186">SUMPRODUCT(--($CR$7:$FW$7&gt;=GM$5),--($CR$7:$FW$7&lt;=GM$6),$CR186:$FW186)*GE186</f>
        <v>0</v>
      </c>
      <c r="GN186" s="145" cm="1">
        <f t="array" ref="GN186">SUMPRODUCT(--($CR$7:$FW$7&gt;=GN$5),--($CR$7:$FW$7&lt;=GN$6),$CR186:$FW186)*GF186</f>
        <v>0</v>
      </c>
      <c r="GO186" s="145">
        <f t="shared" si="46"/>
        <v>986736.84870044002</v>
      </c>
      <c r="GP186" s="87"/>
      <c r="GR186" s="145" cm="1">
        <f t="array" ref="GR186">SUMPRODUCT(--($CR$7:$FW$7&gt;=GR$5),--($CR$7:$FW$7&lt;=GR$6),$CR186:$FW186)</f>
        <v>84268.800000000003</v>
      </c>
      <c r="GT186" s="214" cm="1">
        <f t="array" ref="GT186">--AND(MIN(IF($K186:$CP186&lt;&gt;0,$K$7:$CP$7))&gt;=GT$5,MIN(IF($K186:$CP186&lt;&gt;0,$K$7:$CP$7))&lt;=GT$6)</f>
        <v>1</v>
      </c>
      <c r="GU186" s="214" cm="1">
        <f t="array" ref="GU186">--AND(MIN(IF($K186:$CP186&lt;&gt;0,$K$7:$CP$7))&gt;=GU$5,MIN(IF($K186:$CP186&lt;&gt;0,$K$7:$CP$7))&lt;=GU$6)</f>
        <v>0</v>
      </c>
      <c r="GV186" s="214" cm="1">
        <f t="array" ref="GV186">--AND(MIN(IF($K186:$CP186&lt;&gt;0,$K$7:$CP$7))&gt;=GV$5,MIN(IF($K186:$CP186&lt;&gt;0,$K$7:$CP$7))&lt;=GV$6)</f>
        <v>0</v>
      </c>
      <c r="GW186" s="214" cm="1">
        <f t="array" ref="GW186">--AND(MIN(IF($K186:$CP186&lt;&gt;0,$K$7:$CP$7))&gt;=GW$5,MIN(IF($K186:$CP186&lt;&gt;0,$K$7:$CP$7))&lt;=GW$6)</f>
        <v>0</v>
      </c>
      <c r="GX186" s="214" cm="1">
        <f t="array" ref="GX186">--AND(MIN(IF($K186:$CP186&lt;&gt;0,$K$7:$CP$7))&gt;=GX$5,MIN(IF($K186:$CP186&lt;&gt;0,$K$7:$CP$7))&lt;=GX$6)</f>
        <v>0</v>
      </c>
      <c r="GY186" s="214" cm="1">
        <f t="array" ref="GY186">--AND(MIN(IF($K186:$CP186&lt;&gt;0,$K$7:$CP$7))&gt;=GY$5,MIN(IF($K186:$CP186&lt;&gt;0,$K$7:$CP$7))&lt;=GY$6)</f>
        <v>0</v>
      </c>
      <c r="GZ186" s="214" cm="1">
        <f t="array" ref="GZ186">--AND(MIN(IF($K186:$CP186&lt;&gt;0,$K$7:$CP$7))&gt;=GZ$5,MIN(IF($K186:$CP186&lt;&gt;0,$K$7:$CP$7))&lt;=GZ$6)</f>
        <v>0</v>
      </c>
      <c r="HA186" s="214">
        <f t="shared" si="47"/>
        <v>1</v>
      </c>
      <c r="HC186" s="214" cm="1">
        <f t="array" ref="HC186">--AND(MIN(IF($K186:$CP186&lt;&gt;0,$K$7:$CP$7))&gt;=HC$5,MIN(IF($K186:$CP186&lt;&gt;0,$K$7:$CP$7))&lt;=HC$6)</f>
        <v>1</v>
      </c>
      <c r="HE186" s="147" t="str">
        <f t="shared" si="66"/>
        <v>No</v>
      </c>
      <c r="HF186" s="147" t="str">
        <f t="shared" si="67"/>
        <v>No</v>
      </c>
      <c r="HG186" s="147">
        <f>IF($HF186="Yes",0,$H186*avg_hrs*12*'Key assumptions'!$D$87)</f>
        <v>403022.1866714299</v>
      </c>
      <c r="HH186" s="147">
        <f>IF(HE186="Yes",'Key assumptions'!$D$84*HG186,0)</f>
        <v>0</v>
      </c>
      <c r="HI186" s="144">
        <f>IFERROR(AVERAGEIFS($K186:$CP186,$K$7:$CP$7,"&gt;="&amp;'Key assumptions'!$D$24,$K$7:$CP$7,"&lt;="&amp;'Key assumptions'!$D$25),0)</f>
        <v>0.74641148325358841</v>
      </c>
      <c r="HJ186" s="148">
        <f t="shared" si="68"/>
        <v>0</v>
      </c>
      <c r="HK186" s="148">
        <f t="shared" si="49"/>
        <v>0</v>
      </c>
      <c r="HL186" s="148">
        <f t="shared" si="50"/>
        <v>0</v>
      </c>
      <c r="HM186" s="148">
        <f t="shared" si="51"/>
        <v>0</v>
      </c>
      <c r="HN186" s="148">
        <f t="shared" si="52"/>
        <v>0</v>
      </c>
      <c r="HO186" s="148">
        <f t="shared" si="53"/>
        <v>0</v>
      </c>
      <c r="HP186" s="148">
        <f t="shared" si="54"/>
        <v>0</v>
      </c>
      <c r="HQ186" s="148">
        <f t="shared" si="55"/>
        <v>0</v>
      </c>
      <c r="HR186" s="147">
        <f t="shared" si="56"/>
        <v>0</v>
      </c>
      <c r="HU186" s="147">
        <f>$HJ186*HC186/(1+'Key assumptions'!G208)^0.75</f>
        <v>0</v>
      </c>
      <c r="HW186" s="216">
        <f t="shared" si="57"/>
        <v>0.74641148325358841</v>
      </c>
      <c r="HX186" s="216">
        <f t="shared" si="58"/>
        <v>0</v>
      </c>
      <c r="HY186" s="216">
        <f t="shared" si="59"/>
        <v>0</v>
      </c>
      <c r="HZ186" s="216">
        <f t="shared" si="60"/>
        <v>0</v>
      </c>
      <c r="IA186" s="216">
        <f t="shared" si="61"/>
        <v>0</v>
      </c>
      <c r="IB186" s="216">
        <f t="shared" si="62"/>
        <v>0</v>
      </c>
      <c r="IC186" s="216">
        <f t="shared" si="63"/>
        <v>0</v>
      </c>
      <c r="ID186" s="216">
        <f t="shared" si="64"/>
        <v>0.74641148325358841</v>
      </c>
      <c r="IF186" s="216">
        <f t="shared" si="65"/>
        <v>0.74641148325358841</v>
      </c>
    </row>
    <row r="187" spans="2:240" x14ac:dyDescent="0.2">
      <c r="B187" s="141" t="str">
        <v>Project Delivery Management - Project Management</v>
      </c>
      <c r="C187" s="141" t="str">
        <v>Project Engineer - Senior CO (Network Projects)</v>
      </c>
      <c r="D187" s="141" t="str">
        <v>Internal Labour</v>
      </c>
      <c r="E187" s="141" t="str">
        <v>$ Nominal</v>
      </c>
      <c r="F187" s="141" t="str">
        <v>Existing</v>
      </c>
      <c r="G187" s="141" t="str">
        <v>Normal time</v>
      </c>
      <c r="H187" s="142">
        <v>254.01</v>
      </c>
      <c r="I187" s="126">
        <v>572895.66</v>
      </c>
      <c r="J187" s="143">
        <v>0</v>
      </c>
      <c r="K187" s="144">
        <v>0</v>
      </c>
      <c r="L187" s="144">
        <v>0</v>
      </c>
      <c r="M187" s="144">
        <v>0</v>
      </c>
      <c r="N187" s="144">
        <v>0</v>
      </c>
      <c r="O187" s="144">
        <v>0</v>
      </c>
      <c r="P187" s="144">
        <v>0</v>
      </c>
      <c r="Q187" s="144">
        <v>0</v>
      </c>
      <c r="R187" s="144">
        <v>0</v>
      </c>
      <c r="S187" s="144">
        <v>0</v>
      </c>
      <c r="T187" s="144">
        <v>0</v>
      </c>
      <c r="U187" s="144">
        <v>0</v>
      </c>
      <c r="V187" s="144">
        <v>0</v>
      </c>
      <c r="W187" s="144">
        <v>0</v>
      </c>
      <c r="X187" s="144">
        <v>0</v>
      </c>
      <c r="Y187" s="144">
        <v>0</v>
      </c>
      <c r="Z187" s="144">
        <v>0.5</v>
      </c>
      <c r="AA187" s="144">
        <v>0.46052631578947367</v>
      </c>
      <c r="AB187" s="144">
        <v>0.46052631578947367</v>
      </c>
      <c r="AC187" s="144">
        <v>0.5</v>
      </c>
      <c r="AD187" s="144">
        <v>0.5</v>
      </c>
      <c r="AE187" s="144">
        <v>0.5</v>
      </c>
      <c r="AF187" s="144">
        <v>0.5</v>
      </c>
      <c r="AG187" s="144">
        <v>0.5</v>
      </c>
      <c r="AH187" s="144">
        <v>0.5</v>
      </c>
      <c r="AI187" s="144">
        <v>0.5</v>
      </c>
      <c r="AJ187" s="144">
        <v>0.5</v>
      </c>
      <c r="AK187" s="144">
        <v>0.5</v>
      </c>
      <c r="AL187" s="144">
        <v>0.5</v>
      </c>
      <c r="AM187" s="144">
        <v>0.5</v>
      </c>
      <c r="AN187" s="144">
        <v>0.5</v>
      </c>
      <c r="AO187" s="144">
        <v>0.5</v>
      </c>
      <c r="AP187" s="144">
        <v>0.5</v>
      </c>
      <c r="AQ187" s="144">
        <v>0.5</v>
      </c>
      <c r="AR187" s="144">
        <v>0.5</v>
      </c>
      <c r="AS187" s="144">
        <v>0.5</v>
      </c>
      <c r="AT187" s="144">
        <v>0.5</v>
      </c>
      <c r="AU187" s="144">
        <v>0.5</v>
      </c>
      <c r="AV187" s="144">
        <v>0.5</v>
      </c>
      <c r="AW187" s="144">
        <v>0.5</v>
      </c>
      <c r="AX187" s="144">
        <v>0.5</v>
      </c>
      <c r="AY187" s="144">
        <v>0.5</v>
      </c>
      <c r="AZ187" s="144">
        <v>0.5</v>
      </c>
      <c r="BA187" s="144">
        <v>0.5</v>
      </c>
      <c r="BB187" s="144">
        <v>0.5</v>
      </c>
      <c r="BC187" s="144">
        <v>0.5</v>
      </c>
      <c r="BD187" s="144">
        <v>0.5</v>
      </c>
      <c r="BE187" s="144">
        <v>0.5</v>
      </c>
      <c r="BF187" s="144">
        <v>0.66666666666666663</v>
      </c>
      <c r="BG187" s="144">
        <v>0</v>
      </c>
      <c r="BH187" s="144">
        <v>0</v>
      </c>
      <c r="BI187" s="144">
        <v>0</v>
      </c>
      <c r="BJ187" s="144">
        <v>0</v>
      </c>
      <c r="BK187" s="144">
        <v>0</v>
      </c>
      <c r="BL187" s="144">
        <v>0</v>
      </c>
      <c r="BM187" s="144">
        <v>0</v>
      </c>
      <c r="BN187" s="144">
        <v>0</v>
      </c>
      <c r="BO187" s="144">
        <v>0</v>
      </c>
      <c r="BP187" s="144">
        <v>0</v>
      </c>
      <c r="BQ187" s="144">
        <v>0</v>
      </c>
      <c r="BR187" s="144">
        <v>0</v>
      </c>
      <c r="BS187" s="144">
        <v>0</v>
      </c>
      <c r="BT187" s="144">
        <v>0</v>
      </c>
      <c r="BU187" s="144">
        <v>0</v>
      </c>
      <c r="BV187" s="144">
        <v>0</v>
      </c>
      <c r="BW187" s="144">
        <v>0</v>
      </c>
      <c r="BX187" s="144">
        <v>0</v>
      </c>
      <c r="BY187" s="144">
        <v>0</v>
      </c>
      <c r="BZ187" s="144">
        <v>0</v>
      </c>
      <c r="CA187" s="144">
        <v>0</v>
      </c>
      <c r="CB187" s="144">
        <v>0</v>
      </c>
      <c r="CC187" s="144">
        <v>0</v>
      </c>
      <c r="CD187" s="144">
        <v>0</v>
      </c>
      <c r="CE187" s="144">
        <v>0</v>
      </c>
      <c r="CF187" s="144">
        <v>0</v>
      </c>
      <c r="CG187" s="144">
        <v>0</v>
      </c>
      <c r="CH187" s="144">
        <v>0</v>
      </c>
      <c r="CI187" s="144">
        <v>0</v>
      </c>
      <c r="CJ187" s="144">
        <v>0</v>
      </c>
      <c r="CK187" s="144">
        <v>0</v>
      </c>
      <c r="CL187" s="144">
        <v>0</v>
      </c>
      <c r="CM187" s="144">
        <v>0</v>
      </c>
      <c r="CN187" s="144">
        <v>0</v>
      </c>
      <c r="CO187" s="144">
        <v>0</v>
      </c>
      <c r="CP187" s="144">
        <v>0</v>
      </c>
      <c r="CQ187" s="143">
        <v>0</v>
      </c>
      <c r="CR187" s="145">
        <v>0</v>
      </c>
      <c r="CS187" s="145">
        <v>0</v>
      </c>
      <c r="CT187" s="145">
        <v>0</v>
      </c>
      <c r="CU187" s="145">
        <v>0</v>
      </c>
      <c r="CV187" s="145">
        <v>0</v>
      </c>
      <c r="CW187" s="145">
        <v>0</v>
      </c>
      <c r="CX187" s="145">
        <v>0</v>
      </c>
      <c r="CY187" s="145">
        <v>0</v>
      </c>
      <c r="CZ187" s="145">
        <v>0</v>
      </c>
      <c r="DA187" s="145">
        <v>0</v>
      </c>
      <c r="DB187" s="145">
        <v>0</v>
      </c>
      <c r="DC187" s="145">
        <v>0</v>
      </c>
      <c r="DD187" s="145">
        <v>0</v>
      </c>
      <c r="DE187" s="145">
        <v>0</v>
      </c>
      <c r="DF187" s="145">
        <v>0</v>
      </c>
      <c r="DG187" s="145">
        <v>12948.074999999999</v>
      </c>
      <c r="DH187" s="145">
        <v>17264.099999999999</v>
      </c>
      <c r="DI187" s="145">
        <v>17264.099999999999</v>
      </c>
      <c r="DJ187" s="145">
        <v>17780.7</v>
      </c>
      <c r="DK187" s="145">
        <v>17780.7</v>
      </c>
      <c r="DL187" s="145">
        <v>17780.7</v>
      </c>
      <c r="DM187" s="145">
        <v>17780.7</v>
      </c>
      <c r="DN187" s="145">
        <v>17780.7</v>
      </c>
      <c r="DO187" s="145">
        <v>13335.525</v>
      </c>
      <c r="DP187" s="145">
        <v>13335.525</v>
      </c>
      <c r="DQ187" s="145">
        <v>17780.7</v>
      </c>
      <c r="DR187" s="145">
        <v>17780.7</v>
      </c>
      <c r="DS187" s="145">
        <v>13335.525</v>
      </c>
      <c r="DT187" s="145">
        <v>19304.759999999998</v>
      </c>
      <c r="DU187" s="145">
        <v>19304.759999999998</v>
      </c>
      <c r="DV187" s="145">
        <v>18313.400000000001</v>
      </c>
      <c r="DW187" s="145">
        <v>18313.400000000001</v>
      </c>
      <c r="DX187" s="145">
        <v>18313.400000000001</v>
      </c>
      <c r="DY187" s="145">
        <v>18313.400000000001</v>
      </c>
      <c r="DZ187" s="145">
        <v>18313.400000000001</v>
      </c>
      <c r="EA187" s="145">
        <v>13735.050000000001</v>
      </c>
      <c r="EB187" s="145">
        <v>13735.050000000001</v>
      </c>
      <c r="EC187" s="145">
        <v>18313.400000000001</v>
      </c>
      <c r="ED187" s="145">
        <v>18313.400000000001</v>
      </c>
      <c r="EE187" s="145">
        <v>13735.050000000001</v>
      </c>
      <c r="EF187" s="145">
        <v>19883.12</v>
      </c>
      <c r="EG187" s="145">
        <v>19883.12</v>
      </c>
      <c r="EH187" s="145">
        <v>18862.199999999997</v>
      </c>
      <c r="EI187" s="145">
        <v>18862.199999999997</v>
      </c>
      <c r="EJ187" s="145">
        <v>18862.199999999997</v>
      </c>
      <c r="EK187" s="145">
        <v>18862.199999999997</v>
      </c>
      <c r="EL187" s="145">
        <v>18862.199999999997</v>
      </c>
      <c r="EM187" s="145">
        <v>18862.199999999997</v>
      </c>
      <c r="EN187" s="145">
        <v>0</v>
      </c>
      <c r="EO187" s="145">
        <v>0</v>
      </c>
      <c r="EP187" s="145">
        <v>0</v>
      </c>
      <c r="EQ187" s="145">
        <v>0</v>
      </c>
      <c r="ER187" s="145">
        <v>0</v>
      </c>
      <c r="ES187" s="145">
        <v>0</v>
      </c>
      <c r="ET187" s="145">
        <v>0</v>
      </c>
      <c r="EU187" s="145">
        <v>0</v>
      </c>
      <c r="EV187" s="145">
        <v>0</v>
      </c>
      <c r="EW187" s="145">
        <v>0</v>
      </c>
      <c r="EX187" s="145">
        <v>0</v>
      </c>
      <c r="EY187" s="145">
        <v>0</v>
      </c>
      <c r="EZ187" s="145">
        <v>0</v>
      </c>
      <c r="FA187" s="145">
        <v>0</v>
      </c>
      <c r="FB187" s="145">
        <v>0</v>
      </c>
      <c r="FC187" s="145">
        <v>0</v>
      </c>
      <c r="FD187" s="145">
        <v>0</v>
      </c>
      <c r="FE187" s="145">
        <v>0</v>
      </c>
      <c r="FF187" s="145">
        <v>0</v>
      </c>
      <c r="FG187" s="145">
        <v>0</v>
      </c>
      <c r="FH187" s="145">
        <v>0</v>
      </c>
      <c r="FI187" s="145">
        <v>0</v>
      </c>
      <c r="FJ187" s="145">
        <v>0</v>
      </c>
      <c r="FK187" s="145">
        <v>0</v>
      </c>
      <c r="FL187" s="145">
        <v>0</v>
      </c>
      <c r="FM187" s="145">
        <v>0</v>
      </c>
      <c r="FN187" s="145">
        <v>0</v>
      </c>
      <c r="FO187" s="145">
        <v>0</v>
      </c>
      <c r="FP187" s="145">
        <v>0</v>
      </c>
      <c r="FQ187" s="145">
        <v>0</v>
      </c>
      <c r="FR187" s="145">
        <v>0</v>
      </c>
      <c r="FS187" s="145">
        <v>0</v>
      </c>
      <c r="FT187" s="145">
        <v>0</v>
      </c>
      <c r="FU187" s="145">
        <v>0</v>
      </c>
      <c r="FV187" s="145">
        <v>0</v>
      </c>
      <c r="FW187" s="145">
        <v>0</v>
      </c>
      <c r="FX187" s="143"/>
      <c r="FY187" s="146" t="str">
        <f>_xlfn.XLOOKUP($E187,'Key assumptions'!$B$112:$B$120,'Key assumptions'!$C$112:$C$120,0)</f>
        <v>Nominal</v>
      </c>
      <c r="FZ187" s="146" cm="1">
        <f t="array" ref="FZ187">IF($FY187=0,0,_xlfn.IFS($FY187='Key assumptions'!$C$120,_xlfn.XLOOKUP(LEFT(FZ$7,6),Inflation_Year,Inflation_NominaltoReal),TRUE,_xlfn.XLOOKUP($FY187,Inflation_Year,NominaltoReal)))</f>
        <v>1.0197075870962191</v>
      </c>
      <c r="GA187" s="146" cm="1">
        <f t="array" ref="GA187">IF($FY187=0,0,_xlfn.IFS($FY187='Key assumptions'!$C$120,_xlfn.XLOOKUP(LEFT(GA$7,6),Inflation_Year,Inflation_NominaltoReal),TRUE,_xlfn.XLOOKUP($FY187,Inflation_Year,NominaltoReal)))</f>
        <v>0.98700804022984445</v>
      </c>
      <c r="GB187" s="146" cm="1">
        <f t="array" ref="GB187">IF($FY187=0,0,_xlfn.IFS($FY187='Key assumptions'!$C$120,_xlfn.XLOOKUP(LEFT(GB$7,6),Inflation_Year,Inflation_NominaltoReal),TRUE,_xlfn.XLOOKUP($FY187,Inflation_Year,NominaltoReal)))</f>
        <v>0.96152830081941731</v>
      </c>
      <c r="GC187" s="146" cm="1">
        <f t="array" ref="GC187">IF($FY187=0,0,_xlfn.IFS($FY187='Key assumptions'!$C$120,_xlfn.XLOOKUP(LEFT(GC$7,6),Inflation_Year,Inflation_NominaltoReal),TRUE,_xlfn.XLOOKUP($FY187,Inflation_Year,NominaltoReal)))</f>
        <v>0.93670632415656829</v>
      </c>
      <c r="GD187" s="146" cm="1">
        <f t="array" ref="GD187">IF($FY187=0,0,_xlfn.IFS($FY187='Key assumptions'!$C$120,_xlfn.XLOOKUP(LEFT(GD$7,6),Inflation_Year,Inflation_NominaltoReal),TRUE,_xlfn.XLOOKUP($FY187,Inflation_Year,NominaltoReal)))</f>
        <v>0.91252513001143176</v>
      </c>
      <c r="GE187" s="146" cm="1">
        <f t="array" ref="GE187">IF($FY187=0,0,_xlfn.IFS($FY187='Key assumptions'!$C$120,_xlfn.XLOOKUP(LEFT(GE$7,6),Inflation_Year,Inflation_NominaltoReal),TRUE,_xlfn.XLOOKUP($FY187,Inflation_Year,NominaltoReal)))</f>
        <v>0.88896817650095872</v>
      </c>
      <c r="GF187" s="146" cm="1">
        <f t="array" ref="GF187">IF($FY187=0,0,_xlfn.IFS($FY187='Key assumptions'!$C$120,_xlfn.XLOOKUP(LEFT(GF$7,6),Inflation_Year,Inflation_NominaltoReal),TRUE,_xlfn.XLOOKUP($FY187,Inflation_Year,NominaltoReal)))</f>
        <v>0.86601934877293718</v>
      </c>
      <c r="GG187" s="143"/>
      <c r="GH187" s="145" cm="1">
        <f t="array" ref="GH187">SUMPRODUCT(--($CR$7:$FW$7&gt;=GH$5),--($CR$7:$FW$7&lt;=GH$6),$CR187:$FW187)*FZ187</f>
        <v>102805.26190621176</v>
      </c>
      <c r="GI187" s="145" cm="1">
        <f t="array" ref="GI187">SUMPRODUCT(--($CR$7:$FW$7&gt;=GI$5),--($CR$7:$FW$7&lt;=GI$6),$CR187:$FW187)*GA187</f>
        <v>202019.91243196811</v>
      </c>
      <c r="GJ187" s="145" cm="1">
        <f t="array" ref="GJ187">SUMPRODUCT(--($CR$7:$FW$7&gt;=GJ$5),--($CR$7:$FW$7&lt;=GJ$6),$CR187:$FW187)*GB187</f>
        <v>202701.30992573968</v>
      </c>
      <c r="GK187" s="145" cm="1">
        <f t="array" ref="GK187">SUMPRODUCT(--($CR$7:$FW$7&gt;=GK$5),--($CR$7:$FW$7&lt;=GK$6),$CR187:$FW187)*GC187</f>
        <v>53005.026082518059</v>
      </c>
      <c r="GL187" s="145" cm="1">
        <f t="array" ref="GL187">SUMPRODUCT(--($CR$7:$FW$7&gt;=GL$5),--($CR$7:$FW$7&lt;=GL$6),$CR187:$FW187)*GD187</f>
        <v>0</v>
      </c>
      <c r="GM187" s="145" cm="1">
        <f t="array" ref="GM187">SUMPRODUCT(--($CR$7:$FW$7&gt;=GM$5),--($CR$7:$FW$7&lt;=GM$6),$CR187:$FW187)*GE187</f>
        <v>0</v>
      </c>
      <c r="GN187" s="145" cm="1">
        <f t="array" ref="GN187">SUMPRODUCT(--($CR$7:$FW$7&gt;=GN$5),--($CR$7:$FW$7&lt;=GN$6),$CR187:$FW187)*GF187</f>
        <v>0</v>
      </c>
      <c r="GO187" s="145">
        <f t="shared" si="46"/>
        <v>560531.51034643757</v>
      </c>
      <c r="GP187" s="87"/>
      <c r="GR187" s="145" cm="1">
        <f t="array" ref="GR187">SUMPRODUCT(--($CR$7:$FW$7&gt;=GR$5),--($CR$7:$FW$7&lt;=GR$6),$CR187:$FW187)</f>
        <v>47476.274999999994</v>
      </c>
      <c r="GT187" s="214" cm="1">
        <f t="array" ref="GT187">--AND(MIN(IF($K187:$CP187&lt;&gt;0,$K$7:$CP$7))&gt;=GT$5,MIN(IF($K187:$CP187&lt;&gt;0,$K$7:$CP$7))&lt;=GT$6)</f>
        <v>1</v>
      </c>
      <c r="GU187" s="214" cm="1">
        <f t="array" ref="GU187">--AND(MIN(IF($K187:$CP187&lt;&gt;0,$K$7:$CP$7))&gt;=GU$5,MIN(IF($K187:$CP187&lt;&gt;0,$K$7:$CP$7))&lt;=GU$6)</f>
        <v>0</v>
      </c>
      <c r="GV187" s="214" cm="1">
        <f t="array" ref="GV187">--AND(MIN(IF($K187:$CP187&lt;&gt;0,$K$7:$CP$7))&gt;=GV$5,MIN(IF($K187:$CP187&lt;&gt;0,$K$7:$CP$7))&lt;=GV$6)</f>
        <v>0</v>
      </c>
      <c r="GW187" s="214" cm="1">
        <f t="array" ref="GW187">--AND(MIN(IF($K187:$CP187&lt;&gt;0,$K$7:$CP$7))&gt;=GW$5,MIN(IF($K187:$CP187&lt;&gt;0,$K$7:$CP$7))&lt;=GW$6)</f>
        <v>0</v>
      </c>
      <c r="GX187" s="214" cm="1">
        <f t="array" ref="GX187">--AND(MIN(IF($K187:$CP187&lt;&gt;0,$K$7:$CP$7))&gt;=GX$5,MIN(IF($K187:$CP187&lt;&gt;0,$K$7:$CP$7))&lt;=GX$6)</f>
        <v>0</v>
      </c>
      <c r="GY187" s="214" cm="1">
        <f t="array" ref="GY187">--AND(MIN(IF($K187:$CP187&lt;&gt;0,$K$7:$CP$7))&gt;=GY$5,MIN(IF($K187:$CP187&lt;&gt;0,$K$7:$CP$7))&lt;=GY$6)</f>
        <v>0</v>
      </c>
      <c r="GZ187" s="214" cm="1">
        <f t="array" ref="GZ187">--AND(MIN(IF($K187:$CP187&lt;&gt;0,$K$7:$CP$7))&gt;=GZ$5,MIN(IF($K187:$CP187&lt;&gt;0,$K$7:$CP$7))&lt;=GZ$6)</f>
        <v>0</v>
      </c>
      <c r="HA187" s="214">
        <f t="shared" si="47"/>
        <v>1</v>
      </c>
      <c r="HC187" s="214" cm="1">
        <f t="array" ref="HC187">--AND(MIN(IF($K187:$CP187&lt;&gt;0,$K$7:$CP$7))&gt;=HC$5,MIN(IF($K187:$CP187&lt;&gt;0,$K$7:$CP$7))&lt;=HC$6)</f>
        <v>1</v>
      </c>
      <c r="HE187" s="147" t="str">
        <f t="shared" si="66"/>
        <v>No</v>
      </c>
      <c r="HF187" s="147" t="str">
        <f t="shared" si="67"/>
        <v>No</v>
      </c>
      <c r="HG187" s="147">
        <f>IF($HF187="Yes",0,$H187*avg_hrs*12*'Key assumptions'!$D$87)</f>
        <v>454238.21110356261</v>
      </c>
      <c r="HH187" s="147">
        <f>IF(HE187="Yes",'Key assumptions'!$D$84*HG187,0)</f>
        <v>0</v>
      </c>
      <c r="HI187" s="144">
        <f>IFERROR(AVERAGEIFS($K187:$CP187,$K$7:$CP$7,"&gt;="&amp;'Key assumptions'!$D$24,$K$7:$CP$7,"&lt;="&amp;'Key assumptions'!$D$25),0)</f>
        <v>0.37699362041467305</v>
      </c>
      <c r="HJ187" s="148">
        <f t="shared" si="68"/>
        <v>0</v>
      </c>
      <c r="HK187" s="148">
        <f t="shared" si="49"/>
        <v>0</v>
      </c>
      <c r="HL187" s="148">
        <f t="shared" si="50"/>
        <v>0</v>
      </c>
      <c r="HM187" s="148">
        <f t="shared" si="51"/>
        <v>0</v>
      </c>
      <c r="HN187" s="148">
        <f t="shared" si="52"/>
        <v>0</v>
      </c>
      <c r="HO187" s="148">
        <f t="shared" si="53"/>
        <v>0</v>
      </c>
      <c r="HP187" s="148">
        <f t="shared" si="54"/>
        <v>0</v>
      </c>
      <c r="HQ187" s="148">
        <f t="shared" si="55"/>
        <v>0</v>
      </c>
      <c r="HR187" s="147">
        <f t="shared" si="56"/>
        <v>0</v>
      </c>
      <c r="HU187" s="147">
        <f>$HJ187*HC187/(1+'Key assumptions'!G209)^0.75</f>
        <v>0</v>
      </c>
      <c r="HW187" s="216">
        <f t="shared" si="57"/>
        <v>0.37699362041467305</v>
      </c>
      <c r="HX187" s="216">
        <f t="shared" si="58"/>
        <v>0</v>
      </c>
      <c r="HY187" s="216">
        <f t="shared" si="59"/>
        <v>0</v>
      </c>
      <c r="HZ187" s="216">
        <f t="shared" si="60"/>
        <v>0</v>
      </c>
      <c r="IA187" s="216">
        <f t="shared" si="61"/>
        <v>0</v>
      </c>
      <c r="IB187" s="216">
        <f t="shared" si="62"/>
        <v>0</v>
      </c>
      <c r="IC187" s="216">
        <f t="shared" si="63"/>
        <v>0</v>
      </c>
      <c r="ID187" s="216">
        <f t="shared" si="64"/>
        <v>0.37699362041467305</v>
      </c>
      <c r="IF187" s="216">
        <f t="shared" si="65"/>
        <v>0.37699362041467305</v>
      </c>
    </row>
    <row r="188" spans="2:240" x14ac:dyDescent="0.2">
      <c r="B188" s="141" t="str">
        <v>Project Delivery Management - Project Management</v>
      </c>
      <c r="C188" s="141" t="str">
        <v>Project Engineer (Network Projects)</v>
      </c>
      <c r="D188" s="141" t="str">
        <v>Internal Labour</v>
      </c>
      <c r="E188" s="141" t="str">
        <v>$ Nominal</v>
      </c>
      <c r="F188" s="141" t="str">
        <v>New</v>
      </c>
      <c r="G188" s="141" t="str">
        <v>Normal time</v>
      </c>
      <c r="H188" s="142">
        <v>202.73</v>
      </c>
      <c r="I188" s="126">
        <v>944506.10000000009</v>
      </c>
      <c r="J188" s="143">
        <v>0</v>
      </c>
      <c r="K188" s="144">
        <v>0</v>
      </c>
      <c r="L188" s="144">
        <v>0</v>
      </c>
      <c r="M188" s="144">
        <v>0</v>
      </c>
      <c r="N188" s="144">
        <v>0</v>
      </c>
      <c r="O188" s="144">
        <v>0</v>
      </c>
      <c r="P188" s="144">
        <v>0</v>
      </c>
      <c r="Q188" s="144">
        <v>0</v>
      </c>
      <c r="R188" s="144">
        <v>0</v>
      </c>
      <c r="S188" s="144">
        <v>0</v>
      </c>
      <c r="T188" s="144">
        <v>0</v>
      </c>
      <c r="U188" s="144">
        <v>0</v>
      </c>
      <c r="V188" s="144">
        <v>0</v>
      </c>
      <c r="W188" s="144">
        <v>0</v>
      </c>
      <c r="X188" s="144">
        <v>0</v>
      </c>
      <c r="Y188" s="144">
        <v>1</v>
      </c>
      <c r="Z188" s="144">
        <v>1</v>
      </c>
      <c r="AA188" s="144">
        <v>0.92105263157894735</v>
      </c>
      <c r="AB188" s="144">
        <v>0.92105263157894735</v>
      </c>
      <c r="AC188" s="144">
        <v>1</v>
      </c>
      <c r="AD188" s="144">
        <v>1</v>
      </c>
      <c r="AE188" s="144">
        <v>1</v>
      </c>
      <c r="AF188" s="144">
        <v>1</v>
      </c>
      <c r="AG188" s="144">
        <v>1</v>
      </c>
      <c r="AH188" s="144">
        <v>1</v>
      </c>
      <c r="AI188" s="144">
        <v>1</v>
      </c>
      <c r="AJ188" s="144">
        <v>1</v>
      </c>
      <c r="AK188" s="144">
        <v>1</v>
      </c>
      <c r="AL188" s="144">
        <v>1</v>
      </c>
      <c r="AM188" s="144">
        <v>1</v>
      </c>
      <c r="AN188" s="144">
        <v>1</v>
      </c>
      <c r="AO188" s="144">
        <v>1</v>
      </c>
      <c r="AP188" s="144">
        <v>1</v>
      </c>
      <c r="AQ188" s="144">
        <v>1</v>
      </c>
      <c r="AR188" s="144">
        <v>1</v>
      </c>
      <c r="AS188" s="144">
        <v>1</v>
      </c>
      <c r="AT188" s="144">
        <v>1</v>
      </c>
      <c r="AU188" s="144">
        <v>1</v>
      </c>
      <c r="AV188" s="144">
        <v>1</v>
      </c>
      <c r="AW188" s="144">
        <v>1</v>
      </c>
      <c r="AX188" s="144">
        <v>1</v>
      </c>
      <c r="AY188" s="144">
        <v>1</v>
      </c>
      <c r="AZ188" s="144">
        <v>1</v>
      </c>
      <c r="BA188" s="144">
        <v>1</v>
      </c>
      <c r="BB188" s="144">
        <v>1</v>
      </c>
      <c r="BC188" s="144">
        <v>1</v>
      </c>
      <c r="BD188" s="144">
        <v>1</v>
      </c>
      <c r="BE188" s="144">
        <v>1</v>
      </c>
      <c r="BF188" s="144">
        <v>1</v>
      </c>
      <c r="BG188" s="144">
        <v>0</v>
      </c>
      <c r="BH188" s="144">
        <v>0</v>
      </c>
      <c r="BI188" s="144">
        <v>0</v>
      </c>
      <c r="BJ188" s="144">
        <v>0</v>
      </c>
      <c r="BK188" s="144">
        <v>0</v>
      </c>
      <c r="BL188" s="144">
        <v>0</v>
      </c>
      <c r="BM188" s="144">
        <v>0</v>
      </c>
      <c r="BN188" s="144">
        <v>0</v>
      </c>
      <c r="BO188" s="144">
        <v>0</v>
      </c>
      <c r="BP188" s="144">
        <v>0</v>
      </c>
      <c r="BQ188" s="144">
        <v>0</v>
      </c>
      <c r="BR188" s="144">
        <v>0</v>
      </c>
      <c r="BS188" s="144">
        <v>0</v>
      </c>
      <c r="BT188" s="144">
        <v>0</v>
      </c>
      <c r="BU188" s="144">
        <v>0</v>
      </c>
      <c r="BV188" s="144">
        <v>0</v>
      </c>
      <c r="BW188" s="144">
        <v>0</v>
      </c>
      <c r="BX188" s="144">
        <v>0</v>
      </c>
      <c r="BY188" s="144">
        <v>0</v>
      </c>
      <c r="BZ188" s="144">
        <v>0</v>
      </c>
      <c r="CA188" s="144">
        <v>0</v>
      </c>
      <c r="CB188" s="144">
        <v>0</v>
      </c>
      <c r="CC188" s="144">
        <v>0</v>
      </c>
      <c r="CD188" s="144">
        <v>0</v>
      </c>
      <c r="CE188" s="144">
        <v>0</v>
      </c>
      <c r="CF188" s="144">
        <v>0</v>
      </c>
      <c r="CG188" s="144">
        <v>0</v>
      </c>
      <c r="CH188" s="144">
        <v>0</v>
      </c>
      <c r="CI188" s="144">
        <v>0</v>
      </c>
      <c r="CJ188" s="144">
        <v>0</v>
      </c>
      <c r="CK188" s="144">
        <v>0</v>
      </c>
      <c r="CL188" s="144">
        <v>0</v>
      </c>
      <c r="CM188" s="144">
        <v>0</v>
      </c>
      <c r="CN188" s="144">
        <v>0</v>
      </c>
      <c r="CO188" s="144">
        <v>0</v>
      </c>
      <c r="CP188" s="144">
        <v>0</v>
      </c>
      <c r="CQ188" s="143">
        <v>0</v>
      </c>
      <c r="CR188" s="145">
        <v>0</v>
      </c>
      <c r="CS188" s="145">
        <v>0</v>
      </c>
      <c r="CT188" s="145">
        <v>0</v>
      </c>
      <c r="CU188" s="145">
        <v>0</v>
      </c>
      <c r="CV188" s="145">
        <v>0</v>
      </c>
      <c r="CW188" s="145">
        <v>0</v>
      </c>
      <c r="CX188" s="145">
        <v>0</v>
      </c>
      <c r="CY188" s="145">
        <v>0</v>
      </c>
      <c r="CZ188" s="145">
        <v>0</v>
      </c>
      <c r="DA188" s="145">
        <v>0</v>
      </c>
      <c r="DB188" s="145">
        <v>0</v>
      </c>
      <c r="DC188" s="145">
        <v>0</v>
      </c>
      <c r="DD188" s="145">
        <v>0</v>
      </c>
      <c r="DE188" s="145">
        <v>0</v>
      </c>
      <c r="DF188" s="145">
        <v>28382.199999999997</v>
      </c>
      <c r="DG188" s="145">
        <v>21286.649999999998</v>
      </c>
      <c r="DH188" s="145">
        <v>28382.199999999997</v>
      </c>
      <c r="DI188" s="145">
        <v>28382.199999999997</v>
      </c>
      <c r="DJ188" s="145">
        <v>28382.199999999997</v>
      </c>
      <c r="DK188" s="145">
        <v>28382.199999999997</v>
      </c>
      <c r="DL188" s="145">
        <v>28382.199999999997</v>
      </c>
      <c r="DM188" s="145">
        <v>28382.199999999997</v>
      </c>
      <c r="DN188" s="145">
        <v>28382.199999999997</v>
      </c>
      <c r="DO188" s="145">
        <v>21286.649999999998</v>
      </c>
      <c r="DP188" s="145">
        <v>21286.649999999998</v>
      </c>
      <c r="DQ188" s="145">
        <v>28382.199999999997</v>
      </c>
      <c r="DR188" s="145">
        <v>29244.6</v>
      </c>
      <c r="DS188" s="145">
        <v>21933.449999999997</v>
      </c>
      <c r="DT188" s="145">
        <v>31751.279999999999</v>
      </c>
      <c r="DU188" s="145">
        <v>31751.279999999999</v>
      </c>
      <c r="DV188" s="145">
        <v>29244.6</v>
      </c>
      <c r="DW188" s="145">
        <v>29244.6</v>
      </c>
      <c r="DX188" s="145">
        <v>29244.6</v>
      </c>
      <c r="DY188" s="145">
        <v>29244.6</v>
      </c>
      <c r="DZ188" s="145">
        <v>29244.6</v>
      </c>
      <c r="EA188" s="145">
        <v>21933.449999999997</v>
      </c>
      <c r="EB188" s="145">
        <v>21933.449999999997</v>
      </c>
      <c r="EC188" s="145">
        <v>29244.6</v>
      </c>
      <c r="ED188" s="145">
        <v>30108.400000000001</v>
      </c>
      <c r="EE188" s="145">
        <v>22581.3</v>
      </c>
      <c r="EF188" s="145">
        <v>32689.119999999999</v>
      </c>
      <c r="EG188" s="145">
        <v>32689.119999999999</v>
      </c>
      <c r="EH188" s="145">
        <v>30108.400000000001</v>
      </c>
      <c r="EI188" s="145">
        <v>30108.400000000001</v>
      </c>
      <c r="EJ188" s="145">
        <v>30108.400000000001</v>
      </c>
      <c r="EK188" s="145">
        <v>30108.400000000001</v>
      </c>
      <c r="EL188" s="145">
        <v>30108.400000000001</v>
      </c>
      <c r="EM188" s="145">
        <v>22581.300000000003</v>
      </c>
      <c r="EN188" s="145">
        <v>0</v>
      </c>
      <c r="EO188" s="145">
        <v>0</v>
      </c>
      <c r="EP188" s="145">
        <v>0</v>
      </c>
      <c r="EQ188" s="145">
        <v>0</v>
      </c>
      <c r="ER188" s="145">
        <v>0</v>
      </c>
      <c r="ES188" s="145">
        <v>0</v>
      </c>
      <c r="ET188" s="145">
        <v>0</v>
      </c>
      <c r="EU188" s="145">
        <v>0</v>
      </c>
      <c r="EV188" s="145">
        <v>0</v>
      </c>
      <c r="EW188" s="145">
        <v>0</v>
      </c>
      <c r="EX188" s="145">
        <v>0</v>
      </c>
      <c r="EY188" s="145">
        <v>0</v>
      </c>
      <c r="EZ188" s="145">
        <v>0</v>
      </c>
      <c r="FA188" s="145">
        <v>0</v>
      </c>
      <c r="FB188" s="145">
        <v>0</v>
      </c>
      <c r="FC188" s="145">
        <v>0</v>
      </c>
      <c r="FD188" s="145">
        <v>0</v>
      </c>
      <c r="FE188" s="145">
        <v>0</v>
      </c>
      <c r="FF188" s="145">
        <v>0</v>
      </c>
      <c r="FG188" s="145">
        <v>0</v>
      </c>
      <c r="FH188" s="145">
        <v>0</v>
      </c>
      <c r="FI188" s="145">
        <v>0</v>
      </c>
      <c r="FJ188" s="145">
        <v>0</v>
      </c>
      <c r="FK188" s="145">
        <v>0</v>
      </c>
      <c r="FL188" s="145">
        <v>0</v>
      </c>
      <c r="FM188" s="145">
        <v>0</v>
      </c>
      <c r="FN188" s="145">
        <v>0</v>
      </c>
      <c r="FO188" s="145">
        <v>0</v>
      </c>
      <c r="FP188" s="145">
        <v>0</v>
      </c>
      <c r="FQ188" s="145">
        <v>0</v>
      </c>
      <c r="FR188" s="145">
        <v>0</v>
      </c>
      <c r="FS188" s="145">
        <v>0</v>
      </c>
      <c r="FT188" s="145">
        <v>0</v>
      </c>
      <c r="FU188" s="145">
        <v>0</v>
      </c>
      <c r="FV188" s="145">
        <v>0</v>
      </c>
      <c r="FW188" s="145">
        <v>0</v>
      </c>
      <c r="FX188" s="143"/>
      <c r="FY188" s="146" t="str">
        <f>_xlfn.XLOOKUP($E188,'Key assumptions'!$B$112:$B$120,'Key assumptions'!$C$112:$C$120,0)</f>
        <v>Nominal</v>
      </c>
      <c r="FZ188" s="146" cm="1">
        <f t="array" ref="FZ188">IF($FY188=0,0,_xlfn.IFS($FY188='Key assumptions'!$C$120,_xlfn.XLOOKUP(LEFT(FZ$7,6),Inflation_Year,Inflation_NominaltoReal),TRUE,_xlfn.XLOOKUP($FY188,Inflation_Year,NominaltoReal)))</f>
        <v>1.0197075870962191</v>
      </c>
      <c r="GA188" s="146" cm="1">
        <f t="array" ref="GA188">IF($FY188=0,0,_xlfn.IFS($FY188='Key assumptions'!$C$120,_xlfn.XLOOKUP(LEFT(GA$7,6),Inflation_Year,Inflation_NominaltoReal),TRUE,_xlfn.XLOOKUP($FY188,Inflation_Year,NominaltoReal)))</f>
        <v>0.98700804022984445</v>
      </c>
      <c r="GB188" s="146" cm="1">
        <f t="array" ref="GB188">IF($FY188=0,0,_xlfn.IFS($FY188='Key assumptions'!$C$120,_xlfn.XLOOKUP(LEFT(GB$7,6),Inflation_Year,Inflation_NominaltoReal),TRUE,_xlfn.XLOOKUP($FY188,Inflation_Year,NominaltoReal)))</f>
        <v>0.96152830081941731</v>
      </c>
      <c r="GC188" s="146" cm="1">
        <f t="array" ref="GC188">IF($FY188=0,0,_xlfn.IFS($FY188='Key assumptions'!$C$120,_xlfn.XLOOKUP(LEFT(GC$7,6),Inflation_Year,Inflation_NominaltoReal),TRUE,_xlfn.XLOOKUP($FY188,Inflation_Year,NominaltoReal)))</f>
        <v>0.93670632415656829</v>
      </c>
      <c r="GD188" s="146" cm="1">
        <f t="array" ref="GD188">IF($FY188=0,0,_xlfn.IFS($FY188='Key assumptions'!$C$120,_xlfn.XLOOKUP(LEFT(GD$7,6),Inflation_Year,Inflation_NominaltoReal),TRUE,_xlfn.XLOOKUP($FY188,Inflation_Year,NominaltoReal)))</f>
        <v>0.91252513001143176</v>
      </c>
      <c r="GE188" s="146" cm="1">
        <f t="array" ref="GE188">IF($FY188=0,0,_xlfn.IFS($FY188='Key assumptions'!$C$120,_xlfn.XLOOKUP(LEFT(GE$7,6),Inflation_Year,Inflation_NominaltoReal),TRUE,_xlfn.XLOOKUP($FY188,Inflation_Year,NominaltoReal)))</f>
        <v>0.88896817650095872</v>
      </c>
      <c r="GF188" s="146" cm="1">
        <f t="array" ref="GF188">IF($FY188=0,0,_xlfn.IFS($FY188='Key assumptions'!$C$120,_xlfn.XLOOKUP(LEFT(GF$7,6),Inflation_Year,Inflation_NominaltoReal),TRUE,_xlfn.XLOOKUP($FY188,Inflation_Year,NominaltoReal)))</f>
        <v>0.86601934877293718</v>
      </c>
      <c r="GG188" s="143"/>
      <c r="GH188" s="145" cm="1">
        <f t="array" ref="GH188">SUMPRODUCT(--($CR$7:$FW$7&gt;=GH$5),--($CR$7:$FW$7&lt;=GH$6),$CR188:$FW188)*FZ188</f>
        <v>195355.42657975556</v>
      </c>
      <c r="GI188" s="145" cm="1">
        <f t="array" ref="GI188">SUMPRODUCT(--($CR$7:$FW$7&gt;=GI$5),--($CR$7:$FW$7&lt;=GI$6),$CR188:$FW188)*GA188</f>
        <v>325845.21832573181</v>
      </c>
      <c r="GJ188" s="145" cm="1">
        <f t="array" ref="GJ188">SUMPRODUCT(--($CR$7:$FW$7&gt;=GJ$5),--($CR$7:$FW$7&lt;=GJ$6),$CR188:$FW188)*GB188</f>
        <v>326913.69926426886</v>
      </c>
      <c r="GK188" s="145" cm="1">
        <f t="array" ref="GK188">SUMPRODUCT(--($CR$7:$FW$7&gt;=GK$5),--($CR$7:$FW$7&lt;=GK$6),$CR188:$FW188)*GC188</f>
        <v>77557.503898147959</v>
      </c>
      <c r="GL188" s="145" cm="1">
        <f t="array" ref="GL188">SUMPRODUCT(--($CR$7:$FW$7&gt;=GL$5),--($CR$7:$FW$7&lt;=GL$6),$CR188:$FW188)*GD188</f>
        <v>0</v>
      </c>
      <c r="GM188" s="145" cm="1">
        <f t="array" ref="GM188">SUMPRODUCT(--($CR$7:$FW$7&gt;=GM$5),--($CR$7:$FW$7&lt;=GM$6),$CR188:$FW188)*GE188</f>
        <v>0</v>
      </c>
      <c r="GN188" s="145" cm="1">
        <f t="array" ref="GN188">SUMPRODUCT(--($CR$7:$FW$7&gt;=GN$5),--($CR$7:$FW$7&lt;=GN$6),$CR188:$FW188)*GF188</f>
        <v>0</v>
      </c>
      <c r="GO188" s="145">
        <f t="shared" si="46"/>
        <v>925671.84806790412</v>
      </c>
      <c r="GP188" s="87"/>
      <c r="GR188" s="145" cm="1">
        <f t="array" ref="GR188">SUMPRODUCT(--($CR$7:$FW$7&gt;=GR$5),--($CR$7:$FW$7&lt;=GR$6),$CR188:$FW188)</f>
        <v>106433.24999999999</v>
      </c>
      <c r="GT188" s="214" cm="1">
        <f t="array" ref="GT188">--AND(MIN(IF($K188:$CP188&lt;&gt;0,$K$7:$CP$7))&gt;=GT$5,MIN(IF($K188:$CP188&lt;&gt;0,$K$7:$CP$7))&lt;=GT$6)</f>
        <v>1</v>
      </c>
      <c r="GU188" s="214" cm="1">
        <f t="array" ref="GU188">--AND(MIN(IF($K188:$CP188&lt;&gt;0,$K$7:$CP$7))&gt;=GU$5,MIN(IF($K188:$CP188&lt;&gt;0,$K$7:$CP$7))&lt;=GU$6)</f>
        <v>0</v>
      </c>
      <c r="GV188" s="214" cm="1">
        <f t="array" ref="GV188">--AND(MIN(IF($K188:$CP188&lt;&gt;0,$K$7:$CP$7))&gt;=GV$5,MIN(IF($K188:$CP188&lt;&gt;0,$K$7:$CP$7))&lt;=GV$6)</f>
        <v>0</v>
      </c>
      <c r="GW188" s="214" cm="1">
        <f t="array" ref="GW188">--AND(MIN(IF($K188:$CP188&lt;&gt;0,$K$7:$CP$7))&gt;=GW$5,MIN(IF($K188:$CP188&lt;&gt;0,$K$7:$CP$7))&lt;=GW$6)</f>
        <v>0</v>
      </c>
      <c r="GX188" s="214" cm="1">
        <f t="array" ref="GX188">--AND(MIN(IF($K188:$CP188&lt;&gt;0,$K$7:$CP$7))&gt;=GX$5,MIN(IF($K188:$CP188&lt;&gt;0,$K$7:$CP$7))&lt;=GX$6)</f>
        <v>0</v>
      </c>
      <c r="GY188" s="214" cm="1">
        <f t="array" ref="GY188">--AND(MIN(IF($K188:$CP188&lt;&gt;0,$K$7:$CP$7))&gt;=GY$5,MIN(IF($K188:$CP188&lt;&gt;0,$K$7:$CP$7))&lt;=GY$6)</f>
        <v>0</v>
      </c>
      <c r="GZ188" s="214" cm="1">
        <f t="array" ref="GZ188">--AND(MIN(IF($K188:$CP188&lt;&gt;0,$K$7:$CP$7))&gt;=GZ$5,MIN(IF($K188:$CP188&lt;&gt;0,$K$7:$CP$7))&lt;=GZ$6)</f>
        <v>0</v>
      </c>
      <c r="HA188" s="214">
        <f t="shared" si="47"/>
        <v>1</v>
      </c>
      <c r="HC188" s="214" cm="1">
        <f t="array" ref="HC188">--AND(MIN(IF($K188:$CP188&lt;&gt;0,$K$7:$CP$7))&gt;=HC$5,MIN(IF($K188:$CP188&lt;&gt;0,$K$7:$CP$7))&lt;=HC$6)</f>
        <v>1</v>
      </c>
      <c r="HE188" s="147" t="str">
        <f t="shared" si="66"/>
        <v>Yes</v>
      </c>
      <c r="HF188" s="147" t="str">
        <f t="shared" si="67"/>
        <v>No</v>
      </c>
      <c r="HG188" s="147">
        <f>IF($HF188="Yes",0,$H188*avg_hrs*12*'Key assumptions'!$D$87)</f>
        <v>362535.77629630821</v>
      </c>
      <c r="HH188" s="147">
        <f>IF(HE188="Yes",'Key assumptions'!$D$84*HG188,0)</f>
        <v>54380.366444446227</v>
      </c>
      <c r="HI188" s="144">
        <f>IFERROR(AVERAGEIFS($K188:$CP188,$K$7:$CP$7,"&gt;="&amp;'Key assumptions'!$D$24,$K$7:$CP$7,"&lt;="&amp;'Key assumptions'!$D$25),0)</f>
        <v>0.76913875598086112</v>
      </c>
      <c r="HJ188" s="148">
        <f t="shared" si="68"/>
        <v>41826.047396864735</v>
      </c>
      <c r="HK188" s="148">
        <f t="shared" si="49"/>
        <v>41826.047396864735</v>
      </c>
      <c r="HL188" s="148">
        <f t="shared" si="50"/>
        <v>0</v>
      </c>
      <c r="HM188" s="148">
        <f t="shared" si="51"/>
        <v>0</v>
      </c>
      <c r="HN188" s="148">
        <f t="shared" si="52"/>
        <v>0</v>
      </c>
      <c r="HO188" s="148">
        <f t="shared" si="53"/>
        <v>0</v>
      </c>
      <c r="HP188" s="148">
        <f t="shared" si="54"/>
        <v>0</v>
      </c>
      <c r="HQ188" s="148">
        <f t="shared" si="55"/>
        <v>0</v>
      </c>
      <c r="HR188" s="147">
        <f t="shared" si="56"/>
        <v>41826.047396864735</v>
      </c>
      <c r="HU188" s="147">
        <f>$HJ188*HC188/(1+'Key assumptions'!G210)^0.75</f>
        <v>41826.047396864735</v>
      </c>
      <c r="HW188" s="216">
        <f t="shared" si="57"/>
        <v>0.76913875598086112</v>
      </c>
      <c r="HX188" s="216">
        <f t="shared" si="58"/>
        <v>0</v>
      </c>
      <c r="HY188" s="216">
        <f t="shared" si="59"/>
        <v>0</v>
      </c>
      <c r="HZ188" s="216">
        <f t="shared" si="60"/>
        <v>0</v>
      </c>
      <c r="IA188" s="216">
        <f t="shared" si="61"/>
        <v>0</v>
      </c>
      <c r="IB188" s="216">
        <f t="shared" si="62"/>
        <v>0</v>
      </c>
      <c r="IC188" s="216">
        <f t="shared" si="63"/>
        <v>0</v>
      </c>
      <c r="ID188" s="216">
        <f t="shared" si="64"/>
        <v>0.76913875598086112</v>
      </c>
      <c r="IF188" s="216">
        <f t="shared" si="65"/>
        <v>0.76913875598086112</v>
      </c>
    </row>
    <row r="189" spans="2:240" x14ac:dyDescent="0.2">
      <c r="B189" s="141" t="str">
        <v>Project Delivery Management - Commercial Management</v>
      </c>
      <c r="C189" s="141" t="str">
        <v>Contract Manager - Senior (Commercial)</v>
      </c>
      <c r="D189" s="141" t="str">
        <v>Internal Labour</v>
      </c>
      <c r="E189" s="141" t="str">
        <v>$ Nominal</v>
      </c>
      <c r="F189" s="141" t="str">
        <v>New</v>
      </c>
      <c r="G189" s="141" t="str">
        <v>Normal time</v>
      </c>
      <c r="H189" s="142">
        <v>333.23</v>
      </c>
      <c r="I189" s="126">
        <v>774361.35000000009</v>
      </c>
      <c r="J189" s="143">
        <v>0</v>
      </c>
      <c r="K189" s="144">
        <v>0</v>
      </c>
      <c r="L189" s="144">
        <v>0</v>
      </c>
      <c r="M189" s="144">
        <v>0</v>
      </c>
      <c r="N189" s="144">
        <v>0</v>
      </c>
      <c r="O189" s="144">
        <v>0</v>
      </c>
      <c r="P189" s="144">
        <v>0</v>
      </c>
      <c r="Q189" s="144">
        <v>0</v>
      </c>
      <c r="R189" s="144">
        <v>0</v>
      </c>
      <c r="S189" s="144">
        <v>0</v>
      </c>
      <c r="T189" s="144">
        <v>0</v>
      </c>
      <c r="U189" s="144">
        <v>0</v>
      </c>
      <c r="V189" s="144">
        <v>0</v>
      </c>
      <c r="W189" s="144">
        <v>0</v>
      </c>
      <c r="X189" s="144">
        <v>0</v>
      </c>
      <c r="Y189" s="144">
        <v>0.5</v>
      </c>
      <c r="Z189" s="144">
        <v>0.5</v>
      </c>
      <c r="AA189" s="144">
        <v>0.46052631578947367</v>
      </c>
      <c r="AB189" s="144">
        <v>0.46052631578947367</v>
      </c>
      <c r="AC189" s="144">
        <v>0.5</v>
      </c>
      <c r="AD189" s="144">
        <v>0.5</v>
      </c>
      <c r="AE189" s="144">
        <v>0.5</v>
      </c>
      <c r="AF189" s="144">
        <v>0.5</v>
      </c>
      <c r="AG189" s="144">
        <v>0.5</v>
      </c>
      <c r="AH189" s="144">
        <v>0.5</v>
      </c>
      <c r="AI189" s="144">
        <v>0.5</v>
      </c>
      <c r="AJ189" s="144">
        <v>0.5</v>
      </c>
      <c r="AK189" s="144">
        <v>0.5</v>
      </c>
      <c r="AL189" s="144">
        <v>0.5</v>
      </c>
      <c r="AM189" s="144">
        <v>0.5</v>
      </c>
      <c r="AN189" s="144">
        <v>0.5</v>
      </c>
      <c r="AO189" s="144">
        <v>0.5</v>
      </c>
      <c r="AP189" s="144">
        <v>0.5</v>
      </c>
      <c r="AQ189" s="144">
        <v>0.5</v>
      </c>
      <c r="AR189" s="144">
        <v>0.5</v>
      </c>
      <c r="AS189" s="144">
        <v>0.5</v>
      </c>
      <c r="AT189" s="144">
        <v>0.5</v>
      </c>
      <c r="AU189" s="144">
        <v>0.5</v>
      </c>
      <c r="AV189" s="144">
        <v>0.5</v>
      </c>
      <c r="AW189" s="144">
        <v>0.5</v>
      </c>
      <c r="AX189" s="144">
        <v>0.5</v>
      </c>
      <c r="AY189" s="144">
        <v>0.5</v>
      </c>
      <c r="AZ189" s="144">
        <v>0.5</v>
      </c>
      <c r="BA189" s="144">
        <v>0.5</v>
      </c>
      <c r="BB189" s="144">
        <v>0.5</v>
      </c>
      <c r="BC189" s="144">
        <v>0.5</v>
      </c>
      <c r="BD189" s="144">
        <v>0.5</v>
      </c>
      <c r="BE189" s="144">
        <v>0.5</v>
      </c>
      <c r="BF189" s="144">
        <v>0.66666666666666663</v>
      </c>
      <c r="BG189" s="144">
        <v>0</v>
      </c>
      <c r="BH189" s="144">
        <v>0</v>
      </c>
      <c r="BI189" s="144">
        <v>0</v>
      </c>
      <c r="BJ189" s="144">
        <v>0</v>
      </c>
      <c r="BK189" s="144">
        <v>0</v>
      </c>
      <c r="BL189" s="144">
        <v>0</v>
      </c>
      <c r="BM189" s="144">
        <v>0</v>
      </c>
      <c r="BN189" s="144">
        <v>0</v>
      </c>
      <c r="BO189" s="144">
        <v>0</v>
      </c>
      <c r="BP189" s="144">
        <v>0</v>
      </c>
      <c r="BQ189" s="144">
        <v>0</v>
      </c>
      <c r="BR189" s="144">
        <v>0</v>
      </c>
      <c r="BS189" s="144">
        <v>0</v>
      </c>
      <c r="BT189" s="144">
        <v>0</v>
      </c>
      <c r="BU189" s="144">
        <v>0</v>
      </c>
      <c r="BV189" s="144">
        <v>0</v>
      </c>
      <c r="BW189" s="144">
        <v>0</v>
      </c>
      <c r="BX189" s="144">
        <v>0</v>
      </c>
      <c r="BY189" s="144">
        <v>0</v>
      </c>
      <c r="BZ189" s="144">
        <v>0</v>
      </c>
      <c r="CA189" s="144">
        <v>0</v>
      </c>
      <c r="CB189" s="144">
        <v>0</v>
      </c>
      <c r="CC189" s="144">
        <v>0</v>
      </c>
      <c r="CD189" s="144">
        <v>0</v>
      </c>
      <c r="CE189" s="144">
        <v>0</v>
      </c>
      <c r="CF189" s="144">
        <v>0</v>
      </c>
      <c r="CG189" s="144">
        <v>0</v>
      </c>
      <c r="CH189" s="144">
        <v>0</v>
      </c>
      <c r="CI189" s="144">
        <v>0</v>
      </c>
      <c r="CJ189" s="144">
        <v>0</v>
      </c>
      <c r="CK189" s="144">
        <v>0</v>
      </c>
      <c r="CL189" s="144">
        <v>0</v>
      </c>
      <c r="CM189" s="144">
        <v>0</v>
      </c>
      <c r="CN189" s="144">
        <v>0</v>
      </c>
      <c r="CO189" s="144">
        <v>0</v>
      </c>
      <c r="CP189" s="144">
        <v>0</v>
      </c>
      <c r="CQ189" s="143">
        <v>0</v>
      </c>
      <c r="CR189" s="145">
        <v>0</v>
      </c>
      <c r="CS189" s="145">
        <v>0</v>
      </c>
      <c r="CT189" s="145">
        <v>0</v>
      </c>
      <c r="CU189" s="145">
        <v>0</v>
      </c>
      <c r="CV189" s="145">
        <v>0</v>
      </c>
      <c r="CW189" s="145">
        <v>0</v>
      </c>
      <c r="CX189" s="145">
        <v>0</v>
      </c>
      <c r="CY189" s="145">
        <v>0</v>
      </c>
      <c r="CZ189" s="145">
        <v>0</v>
      </c>
      <c r="DA189" s="145">
        <v>0</v>
      </c>
      <c r="DB189" s="145">
        <v>0</v>
      </c>
      <c r="DC189" s="145">
        <v>0</v>
      </c>
      <c r="DD189" s="145">
        <v>0</v>
      </c>
      <c r="DE189" s="145">
        <v>0</v>
      </c>
      <c r="DF189" s="145">
        <v>22652.7</v>
      </c>
      <c r="DG189" s="145">
        <v>16989.525000000001</v>
      </c>
      <c r="DH189" s="145">
        <v>22652.7</v>
      </c>
      <c r="DI189" s="145">
        <v>22652.7</v>
      </c>
      <c r="DJ189" s="145">
        <v>23326.799999999999</v>
      </c>
      <c r="DK189" s="145">
        <v>23326.799999999999</v>
      </c>
      <c r="DL189" s="145">
        <v>23326.799999999999</v>
      </c>
      <c r="DM189" s="145">
        <v>23326.799999999999</v>
      </c>
      <c r="DN189" s="145">
        <v>23326.799999999999</v>
      </c>
      <c r="DO189" s="145">
        <v>17495.100000000002</v>
      </c>
      <c r="DP189" s="145">
        <v>17495.100000000002</v>
      </c>
      <c r="DQ189" s="145">
        <v>23326.799999999999</v>
      </c>
      <c r="DR189" s="145">
        <v>23326.799999999999</v>
      </c>
      <c r="DS189" s="145">
        <v>17495.100000000002</v>
      </c>
      <c r="DT189" s="145">
        <v>25326.240000000002</v>
      </c>
      <c r="DU189" s="145">
        <v>25326.240000000002</v>
      </c>
      <c r="DV189" s="145">
        <v>24031.7</v>
      </c>
      <c r="DW189" s="145">
        <v>24031.7</v>
      </c>
      <c r="DX189" s="145">
        <v>24031.7</v>
      </c>
      <c r="DY189" s="145">
        <v>24031.7</v>
      </c>
      <c r="DZ189" s="145">
        <v>24031.7</v>
      </c>
      <c r="EA189" s="145">
        <v>18023.775000000001</v>
      </c>
      <c r="EB189" s="145">
        <v>18023.775000000001</v>
      </c>
      <c r="EC189" s="145">
        <v>24031.7</v>
      </c>
      <c r="ED189" s="145">
        <v>24031.7</v>
      </c>
      <c r="EE189" s="145">
        <v>18023.775000000001</v>
      </c>
      <c r="EF189" s="145">
        <v>26091.56</v>
      </c>
      <c r="EG189" s="145">
        <v>26091.56</v>
      </c>
      <c r="EH189" s="145">
        <v>24752</v>
      </c>
      <c r="EI189" s="145">
        <v>24752</v>
      </c>
      <c r="EJ189" s="145">
        <v>24752</v>
      </c>
      <c r="EK189" s="145">
        <v>24752</v>
      </c>
      <c r="EL189" s="145">
        <v>24752</v>
      </c>
      <c r="EM189" s="145">
        <v>24752</v>
      </c>
      <c r="EN189" s="145">
        <v>0</v>
      </c>
      <c r="EO189" s="145">
        <v>0</v>
      </c>
      <c r="EP189" s="145">
        <v>0</v>
      </c>
      <c r="EQ189" s="145">
        <v>0</v>
      </c>
      <c r="ER189" s="145">
        <v>0</v>
      </c>
      <c r="ES189" s="145">
        <v>0</v>
      </c>
      <c r="ET189" s="145">
        <v>0</v>
      </c>
      <c r="EU189" s="145">
        <v>0</v>
      </c>
      <c r="EV189" s="145">
        <v>0</v>
      </c>
      <c r="EW189" s="145">
        <v>0</v>
      </c>
      <c r="EX189" s="145">
        <v>0</v>
      </c>
      <c r="EY189" s="145">
        <v>0</v>
      </c>
      <c r="EZ189" s="145">
        <v>0</v>
      </c>
      <c r="FA189" s="145">
        <v>0</v>
      </c>
      <c r="FB189" s="145">
        <v>0</v>
      </c>
      <c r="FC189" s="145">
        <v>0</v>
      </c>
      <c r="FD189" s="145">
        <v>0</v>
      </c>
      <c r="FE189" s="145">
        <v>0</v>
      </c>
      <c r="FF189" s="145">
        <v>0</v>
      </c>
      <c r="FG189" s="145">
        <v>0</v>
      </c>
      <c r="FH189" s="145">
        <v>0</v>
      </c>
      <c r="FI189" s="145">
        <v>0</v>
      </c>
      <c r="FJ189" s="145">
        <v>0</v>
      </c>
      <c r="FK189" s="145">
        <v>0</v>
      </c>
      <c r="FL189" s="145">
        <v>0</v>
      </c>
      <c r="FM189" s="145">
        <v>0</v>
      </c>
      <c r="FN189" s="145">
        <v>0</v>
      </c>
      <c r="FO189" s="145">
        <v>0</v>
      </c>
      <c r="FP189" s="145">
        <v>0</v>
      </c>
      <c r="FQ189" s="145">
        <v>0</v>
      </c>
      <c r="FR189" s="145">
        <v>0</v>
      </c>
      <c r="FS189" s="145">
        <v>0</v>
      </c>
      <c r="FT189" s="145">
        <v>0</v>
      </c>
      <c r="FU189" s="145">
        <v>0</v>
      </c>
      <c r="FV189" s="145">
        <v>0</v>
      </c>
      <c r="FW189" s="145">
        <v>0</v>
      </c>
      <c r="FX189" s="143"/>
      <c r="FY189" s="146" t="str">
        <f>_xlfn.XLOOKUP($E189,'Key assumptions'!$B$112:$B$120,'Key assumptions'!$C$112:$C$120,0)</f>
        <v>Nominal</v>
      </c>
      <c r="FZ189" s="146" cm="1">
        <f t="array" ref="FZ189">IF($FY189=0,0,_xlfn.IFS($FY189='Key assumptions'!$C$120,_xlfn.XLOOKUP(LEFT(FZ$7,6),Inflation_Year,Inflation_NominaltoReal),TRUE,_xlfn.XLOOKUP($FY189,Inflation_Year,NominaltoReal)))</f>
        <v>1.0197075870962191</v>
      </c>
      <c r="GA189" s="146" cm="1">
        <f t="array" ref="GA189">IF($FY189=0,0,_xlfn.IFS($FY189='Key assumptions'!$C$120,_xlfn.XLOOKUP(LEFT(GA$7,6),Inflation_Year,Inflation_NominaltoReal),TRUE,_xlfn.XLOOKUP($FY189,Inflation_Year,NominaltoReal)))</f>
        <v>0.98700804022984445</v>
      </c>
      <c r="GB189" s="146" cm="1">
        <f t="array" ref="GB189">IF($FY189=0,0,_xlfn.IFS($FY189='Key assumptions'!$C$120,_xlfn.XLOOKUP(LEFT(GB$7,6),Inflation_Year,Inflation_NominaltoReal),TRUE,_xlfn.XLOOKUP($FY189,Inflation_Year,NominaltoReal)))</f>
        <v>0.96152830081941731</v>
      </c>
      <c r="GC189" s="146" cm="1">
        <f t="array" ref="GC189">IF($FY189=0,0,_xlfn.IFS($FY189='Key assumptions'!$C$120,_xlfn.XLOOKUP(LEFT(GC$7,6),Inflation_Year,Inflation_NominaltoReal),TRUE,_xlfn.XLOOKUP($FY189,Inflation_Year,NominaltoReal)))</f>
        <v>0.93670632415656829</v>
      </c>
      <c r="GD189" s="146" cm="1">
        <f t="array" ref="GD189">IF($FY189=0,0,_xlfn.IFS($FY189='Key assumptions'!$C$120,_xlfn.XLOOKUP(LEFT(GD$7,6),Inflation_Year,Inflation_NominaltoReal),TRUE,_xlfn.XLOOKUP($FY189,Inflation_Year,NominaltoReal)))</f>
        <v>0.91252513001143176</v>
      </c>
      <c r="GE189" s="146" cm="1">
        <f t="array" ref="GE189">IF($FY189=0,0,_xlfn.IFS($FY189='Key assumptions'!$C$120,_xlfn.XLOOKUP(LEFT(GE$7,6),Inflation_Year,Inflation_NominaltoReal),TRUE,_xlfn.XLOOKUP($FY189,Inflation_Year,NominaltoReal)))</f>
        <v>0.88896817650095872</v>
      </c>
      <c r="GF189" s="146" cm="1">
        <f t="array" ref="GF189">IF($FY189=0,0,_xlfn.IFS($FY189='Key assumptions'!$C$120,_xlfn.XLOOKUP(LEFT(GF$7,6),Inflation_Year,Inflation_NominaltoReal),TRUE,_xlfn.XLOOKUP($FY189,Inflation_Year,NominaltoReal)))</f>
        <v>0.86601934877293718</v>
      </c>
      <c r="GG189" s="143"/>
      <c r="GH189" s="145" cm="1">
        <f t="array" ref="GH189">SUMPRODUCT(--($CR$7:$FW$7&gt;=GH$5),--($CR$7:$FW$7&lt;=GH$6),$CR189:$FW189)*FZ189</f>
        <v>157981.28254633272</v>
      </c>
      <c r="GI189" s="145" cm="1">
        <f t="array" ref="GI189">SUMPRODUCT(--($CR$7:$FW$7&gt;=GI$5),--($CR$7:$FW$7&lt;=GI$6),$CR189:$FW189)*GA189</f>
        <v>265051.21808396565</v>
      </c>
      <c r="GJ189" s="145" cm="1">
        <f t="array" ref="GJ189">SUMPRODUCT(--($CR$7:$FW$7&gt;=GJ$5),--($CR$7:$FW$7&lt;=GJ$6),$CR189:$FW189)*GB189</f>
        <v>265994.54012821487</v>
      </c>
      <c r="GK189" s="145" cm="1">
        <f t="array" ref="GK189">SUMPRODUCT(--($CR$7:$FW$7&gt;=GK$5),--($CR$7:$FW$7&lt;=GK$6),$CR189:$FW189)*GC189</f>
        <v>69556.064806570139</v>
      </c>
      <c r="GL189" s="145" cm="1">
        <f t="array" ref="GL189">SUMPRODUCT(--($CR$7:$FW$7&gt;=GL$5),--($CR$7:$FW$7&lt;=GL$6),$CR189:$FW189)*GD189</f>
        <v>0</v>
      </c>
      <c r="GM189" s="145" cm="1">
        <f t="array" ref="GM189">SUMPRODUCT(--($CR$7:$FW$7&gt;=GM$5),--($CR$7:$FW$7&lt;=GM$6),$CR189:$FW189)*GE189</f>
        <v>0</v>
      </c>
      <c r="GN189" s="145" cm="1">
        <f t="array" ref="GN189">SUMPRODUCT(--($CR$7:$FW$7&gt;=GN$5),--($CR$7:$FW$7&lt;=GN$6),$CR189:$FW189)*GF189</f>
        <v>0</v>
      </c>
      <c r="GO189" s="145">
        <f t="shared" si="46"/>
        <v>758583.10556508345</v>
      </c>
      <c r="GP189" s="87"/>
      <c r="GR189" s="145" cm="1">
        <f t="array" ref="GR189">SUMPRODUCT(--($CR$7:$FW$7&gt;=GR$5),--($CR$7:$FW$7&lt;=GR$6),$CR189:$FW189)</f>
        <v>84947.625</v>
      </c>
      <c r="GT189" s="214" cm="1">
        <f t="array" ref="GT189">--AND(MIN(IF($K189:$CP189&lt;&gt;0,$K$7:$CP$7))&gt;=GT$5,MIN(IF($K189:$CP189&lt;&gt;0,$K$7:$CP$7))&lt;=GT$6)</f>
        <v>1</v>
      </c>
      <c r="GU189" s="214" cm="1">
        <f t="array" ref="GU189">--AND(MIN(IF($K189:$CP189&lt;&gt;0,$K$7:$CP$7))&gt;=GU$5,MIN(IF($K189:$CP189&lt;&gt;0,$K$7:$CP$7))&lt;=GU$6)</f>
        <v>0</v>
      </c>
      <c r="GV189" s="214" cm="1">
        <f t="array" ref="GV189">--AND(MIN(IF($K189:$CP189&lt;&gt;0,$K$7:$CP$7))&gt;=GV$5,MIN(IF($K189:$CP189&lt;&gt;0,$K$7:$CP$7))&lt;=GV$6)</f>
        <v>0</v>
      </c>
      <c r="GW189" s="214" cm="1">
        <f t="array" ref="GW189">--AND(MIN(IF($K189:$CP189&lt;&gt;0,$K$7:$CP$7))&gt;=GW$5,MIN(IF($K189:$CP189&lt;&gt;0,$K$7:$CP$7))&lt;=GW$6)</f>
        <v>0</v>
      </c>
      <c r="GX189" s="214" cm="1">
        <f t="array" ref="GX189">--AND(MIN(IF($K189:$CP189&lt;&gt;0,$K$7:$CP$7))&gt;=GX$5,MIN(IF($K189:$CP189&lt;&gt;0,$K$7:$CP$7))&lt;=GX$6)</f>
        <v>0</v>
      </c>
      <c r="GY189" s="214" cm="1">
        <f t="array" ref="GY189">--AND(MIN(IF($K189:$CP189&lt;&gt;0,$K$7:$CP$7))&gt;=GY$5,MIN(IF($K189:$CP189&lt;&gt;0,$K$7:$CP$7))&lt;=GY$6)</f>
        <v>0</v>
      </c>
      <c r="GZ189" s="214" cm="1">
        <f t="array" ref="GZ189">--AND(MIN(IF($K189:$CP189&lt;&gt;0,$K$7:$CP$7))&gt;=GZ$5,MIN(IF($K189:$CP189&lt;&gt;0,$K$7:$CP$7))&lt;=GZ$6)</f>
        <v>0</v>
      </c>
      <c r="HA189" s="214">
        <f t="shared" si="47"/>
        <v>1</v>
      </c>
      <c r="HC189" s="214" cm="1">
        <f t="array" ref="HC189">--AND(MIN(IF($K189:$CP189&lt;&gt;0,$K$7:$CP$7))&gt;=HC$5,MIN(IF($K189:$CP189&lt;&gt;0,$K$7:$CP$7))&lt;=HC$6)</f>
        <v>1</v>
      </c>
      <c r="HE189" s="147" t="str">
        <f t="shared" si="66"/>
        <v>Yes</v>
      </c>
      <c r="HF189" s="147" t="str">
        <f t="shared" si="67"/>
        <v>No</v>
      </c>
      <c r="HG189" s="147">
        <f>IF($HF189="Yes",0,$H189*avg_hrs*12*'Key assumptions'!$D$87)</f>
        <v>595904.88203629851</v>
      </c>
      <c r="HH189" s="147">
        <f>IF(HE189="Yes",'Key assumptions'!$D$84*HG189,0)</f>
        <v>89385.732305444777</v>
      </c>
      <c r="HI189" s="144">
        <f>IFERROR(AVERAGEIFS($K189:$CP189,$K$7:$CP$7,"&gt;="&amp;'Key assumptions'!$D$24,$K$7:$CP$7,"&lt;="&amp;'Key assumptions'!$D$25),0)</f>
        <v>0.3883572567783094</v>
      </c>
      <c r="HJ189" s="148">
        <f t="shared" si="68"/>
        <v>34713.597793262845</v>
      </c>
      <c r="HK189" s="148">
        <f t="shared" si="49"/>
        <v>34713.597793262845</v>
      </c>
      <c r="HL189" s="148">
        <f t="shared" si="50"/>
        <v>0</v>
      </c>
      <c r="HM189" s="148">
        <f t="shared" si="51"/>
        <v>0</v>
      </c>
      <c r="HN189" s="148">
        <f t="shared" si="52"/>
        <v>0</v>
      </c>
      <c r="HO189" s="148">
        <f t="shared" si="53"/>
        <v>0</v>
      </c>
      <c r="HP189" s="148">
        <f t="shared" si="54"/>
        <v>0</v>
      </c>
      <c r="HQ189" s="148">
        <f t="shared" si="55"/>
        <v>0</v>
      </c>
      <c r="HR189" s="147">
        <f t="shared" si="56"/>
        <v>34713.597793262845</v>
      </c>
      <c r="HU189" s="147">
        <f>$HJ189*HC189/(1+'Key assumptions'!G211)^0.75</f>
        <v>34713.597793262845</v>
      </c>
      <c r="HW189" s="216">
        <f t="shared" si="57"/>
        <v>0.3883572567783094</v>
      </c>
      <c r="HX189" s="216">
        <f t="shared" si="58"/>
        <v>0</v>
      </c>
      <c r="HY189" s="216">
        <f t="shared" si="59"/>
        <v>0</v>
      </c>
      <c r="HZ189" s="216">
        <f t="shared" si="60"/>
        <v>0</v>
      </c>
      <c r="IA189" s="216">
        <f t="shared" si="61"/>
        <v>0</v>
      </c>
      <c r="IB189" s="216">
        <f t="shared" si="62"/>
        <v>0</v>
      </c>
      <c r="IC189" s="216">
        <f t="shared" si="63"/>
        <v>0</v>
      </c>
      <c r="ID189" s="216">
        <f t="shared" si="64"/>
        <v>0.3883572567783094</v>
      </c>
      <c r="IF189" s="216">
        <f t="shared" si="65"/>
        <v>0.3883572567783094</v>
      </c>
    </row>
    <row r="190" spans="2:240" x14ac:dyDescent="0.2">
      <c r="B190" s="141" t="str">
        <v>Project Delivery Management - Commercial Management</v>
      </c>
      <c r="C190" s="141" t="str">
        <v>Contract Administrator (Commercial)</v>
      </c>
      <c r="D190" s="141" t="str">
        <v>Internal Labour</v>
      </c>
      <c r="E190" s="141" t="str">
        <v>$ Nominal</v>
      </c>
      <c r="F190" s="141" t="str">
        <v>New</v>
      </c>
      <c r="G190" s="141" t="str">
        <v>Normal time</v>
      </c>
      <c r="H190" s="142">
        <v>202.73</v>
      </c>
      <c r="I190" s="126">
        <v>476016.60000000003</v>
      </c>
      <c r="J190" s="143">
        <v>0</v>
      </c>
      <c r="K190" s="144">
        <v>0</v>
      </c>
      <c r="L190" s="144">
        <v>0</v>
      </c>
      <c r="M190" s="144">
        <v>0</v>
      </c>
      <c r="N190" s="144">
        <v>0</v>
      </c>
      <c r="O190" s="144">
        <v>0</v>
      </c>
      <c r="P190" s="144">
        <v>0</v>
      </c>
      <c r="Q190" s="144">
        <v>0</v>
      </c>
      <c r="R190" s="144">
        <v>0</v>
      </c>
      <c r="S190" s="144">
        <v>0</v>
      </c>
      <c r="T190" s="144">
        <v>0</v>
      </c>
      <c r="U190" s="144">
        <v>0</v>
      </c>
      <c r="V190" s="144">
        <v>0</v>
      </c>
      <c r="W190" s="144">
        <v>0</v>
      </c>
      <c r="X190" s="144">
        <v>0</v>
      </c>
      <c r="Y190" s="144">
        <v>0.5</v>
      </c>
      <c r="Z190" s="144">
        <v>0.5</v>
      </c>
      <c r="AA190" s="144">
        <v>0.46052631578947367</v>
      </c>
      <c r="AB190" s="144">
        <v>0.46052631578947367</v>
      </c>
      <c r="AC190" s="144">
        <v>0.5</v>
      </c>
      <c r="AD190" s="144">
        <v>0.5</v>
      </c>
      <c r="AE190" s="144">
        <v>0.5</v>
      </c>
      <c r="AF190" s="144">
        <v>0.5</v>
      </c>
      <c r="AG190" s="144">
        <v>0.5</v>
      </c>
      <c r="AH190" s="144">
        <v>0.5</v>
      </c>
      <c r="AI190" s="144">
        <v>0.5</v>
      </c>
      <c r="AJ190" s="144">
        <v>0.5</v>
      </c>
      <c r="AK190" s="144">
        <v>0.5</v>
      </c>
      <c r="AL190" s="144">
        <v>0.5</v>
      </c>
      <c r="AM190" s="144">
        <v>0.5</v>
      </c>
      <c r="AN190" s="144">
        <v>0.5</v>
      </c>
      <c r="AO190" s="144">
        <v>0.5</v>
      </c>
      <c r="AP190" s="144">
        <v>0.5</v>
      </c>
      <c r="AQ190" s="144">
        <v>0.5</v>
      </c>
      <c r="AR190" s="144">
        <v>0.5</v>
      </c>
      <c r="AS190" s="144">
        <v>0.5</v>
      </c>
      <c r="AT190" s="144">
        <v>0.5</v>
      </c>
      <c r="AU190" s="144">
        <v>0.5</v>
      </c>
      <c r="AV190" s="144">
        <v>0.5</v>
      </c>
      <c r="AW190" s="144">
        <v>0.5</v>
      </c>
      <c r="AX190" s="144">
        <v>0.5</v>
      </c>
      <c r="AY190" s="144">
        <v>0.5</v>
      </c>
      <c r="AZ190" s="144">
        <v>0.5</v>
      </c>
      <c r="BA190" s="144">
        <v>0.5</v>
      </c>
      <c r="BB190" s="144">
        <v>0.5</v>
      </c>
      <c r="BC190" s="144">
        <v>0.5</v>
      </c>
      <c r="BD190" s="144">
        <v>0.5</v>
      </c>
      <c r="BE190" s="144">
        <v>0.5</v>
      </c>
      <c r="BF190" s="144">
        <v>0.66666666666666663</v>
      </c>
      <c r="BG190" s="144">
        <v>0</v>
      </c>
      <c r="BH190" s="144">
        <v>0</v>
      </c>
      <c r="BI190" s="144">
        <v>0</v>
      </c>
      <c r="BJ190" s="144">
        <v>0</v>
      </c>
      <c r="BK190" s="144">
        <v>0</v>
      </c>
      <c r="BL190" s="144">
        <v>0</v>
      </c>
      <c r="BM190" s="144">
        <v>0</v>
      </c>
      <c r="BN190" s="144">
        <v>0</v>
      </c>
      <c r="BO190" s="144">
        <v>0</v>
      </c>
      <c r="BP190" s="144">
        <v>0</v>
      </c>
      <c r="BQ190" s="144">
        <v>0</v>
      </c>
      <c r="BR190" s="144">
        <v>0</v>
      </c>
      <c r="BS190" s="144">
        <v>0</v>
      </c>
      <c r="BT190" s="144">
        <v>0</v>
      </c>
      <c r="BU190" s="144">
        <v>0</v>
      </c>
      <c r="BV190" s="144">
        <v>0</v>
      </c>
      <c r="BW190" s="144">
        <v>0</v>
      </c>
      <c r="BX190" s="144">
        <v>0</v>
      </c>
      <c r="BY190" s="144">
        <v>0</v>
      </c>
      <c r="BZ190" s="144">
        <v>0</v>
      </c>
      <c r="CA190" s="144">
        <v>0</v>
      </c>
      <c r="CB190" s="144">
        <v>0</v>
      </c>
      <c r="CC190" s="144">
        <v>0</v>
      </c>
      <c r="CD190" s="144">
        <v>0</v>
      </c>
      <c r="CE190" s="144">
        <v>0</v>
      </c>
      <c r="CF190" s="144">
        <v>0</v>
      </c>
      <c r="CG190" s="144">
        <v>0</v>
      </c>
      <c r="CH190" s="144">
        <v>0</v>
      </c>
      <c r="CI190" s="144">
        <v>0</v>
      </c>
      <c r="CJ190" s="144">
        <v>0</v>
      </c>
      <c r="CK190" s="144">
        <v>0</v>
      </c>
      <c r="CL190" s="144">
        <v>0</v>
      </c>
      <c r="CM190" s="144">
        <v>0</v>
      </c>
      <c r="CN190" s="144">
        <v>0</v>
      </c>
      <c r="CO190" s="144">
        <v>0</v>
      </c>
      <c r="CP190" s="144">
        <v>0</v>
      </c>
      <c r="CQ190" s="143">
        <v>0</v>
      </c>
      <c r="CR190" s="145">
        <v>0</v>
      </c>
      <c r="CS190" s="145">
        <v>0</v>
      </c>
      <c r="CT190" s="145">
        <v>0</v>
      </c>
      <c r="CU190" s="145">
        <v>0</v>
      </c>
      <c r="CV190" s="145">
        <v>0</v>
      </c>
      <c r="CW190" s="145">
        <v>0</v>
      </c>
      <c r="CX190" s="145">
        <v>0</v>
      </c>
      <c r="CY190" s="145">
        <v>0</v>
      </c>
      <c r="CZ190" s="145">
        <v>0</v>
      </c>
      <c r="DA190" s="145">
        <v>0</v>
      </c>
      <c r="DB190" s="145">
        <v>0</v>
      </c>
      <c r="DC190" s="145">
        <v>0</v>
      </c>
      <c r="DD190" s="145">
        <v>0</v>
      </c>
      <c r="DE190" s="145">
        <v>0</v>
      </c>
      <c r="DF190" s="145">
        <v>14191.099999999999</v>
      </c>
      <c r="DG190" s="145">
        <v>10643.324999999999</v>
      </c>
      <c r="DH190" s="145">
        <v>14191.099999999999</v>
      </c>
      <c r="DI190" s="145">
        <v>14191.099999999999</v>
      </c>
      <c r="DJ190" s="145">
        <v>14191.099999999999</v>
      </c>
      <c r="DK190" s="145">
        <v>14191.099999999999</v>
      </c>
      <c r="DL190" s="145">
        <v>14191.099999999999</v>
      </c>
      <c r="DM190" s="145">
        <v>14191.099999999999</v>
      </c>
      <c r="DN190" s="145">
        <v>14191.099999999999</v>
      </c>
      <c r="DO190" s="145">
        <v>10643.324999999999</v>
      </c>
      <c r="DP190" s="145">
        <v>10643.324999999999</v>
      </c>
      <c r="DQ190" s="145">
        <v>14191.099999999999</v>
      </c>
      <c r="DR190" s="145">
        <v>14622.3</v>
      </c>
      <c r="DS190" s="145">
        <v>10966.724999999999</v>
      </c>
      <c r="DT190" s="145">
        <v>15875.64</v>
      </c>
      <c r="DU190" s="145">
        <v>15875.64</v>
      </c>
      <c r="DV190" s="145">
        <v>14622.3</v>
      </c>
      <c r="DW190" s="145">
        <v>14622.3</v>
      </c>
      <c r="DX190" s="145">
        <v>14622.3</v>
      </c>
      <c r="DY190" s="145">
        <v>14622.3</v>
      </c>
      <c r="DZ190" s="145">
        <v>14622.3</v>
      </c>
      <c r="EA190" s="145">
        <v>10966.724999999999</v>
      </c>
      <c r="EB190" s="145">
        <v>10966.724999999999</v>
      </c>
      <c r="EC190" s="145">
        <v>14622.3</v>
      </c>
      <c r="ED190" s="145">
        <v>15054.2</v>
      </c>
      <c r="EE190" s="145">
        <v>11290.65</v>
      </c>
      <c r="EF190" s="145">
        <v>16344.56</v>
      </c>
      <c r="EG190" s="145">
        <v>16344.56</v>
      </c>
      <c r="EH190" s="145">
        <v>15054.2</v>
      </c>
      <c r="EI190" s="145">
        <v>15054.2</v>
      </c>
      <c r="EJ190" s="145">
        <v>15054.2</v>
      </c>
      <c r="EK190" s="145">
        <v>15054.2</v>
      </c>
      <c r="EL190" s="145">
        <v>15054.2</v>
      </c>
      <c r="EM190" s="145">
        <v>15054.2</v>
      </c>
      <c r="EN190" s="145">
        <v>0</v>
      </c>
      <c r="EO190" s="145">
        <v>0</v>
      </c>
      <c r="EP190" s="145">
        <v>0</v>
      </c>
      <c r="EQ190" s="145">
        <v>0</v>
      </c>
      <c r="ER190" s="145">
        <v>0</v>
      </c>
      <c r="ES190" s="145">
        <v>0</v>
      </c>
      <c r="ET190" s="145">
        <v>0</v>
      </c>
      <c r="EU190" s="145">
        <v>0</v>
      </c>
      <c r="EV190" s="145">
        <v>0</v>
      </c>
      <c r="EW190" s="145">
        <v>0</v>
      </c>
      <c r="EX190" s="145">
        <v>0</v>
      </c>
      <c r="EY190" s="145">
        <v>0</v>
      </c>
      <c r="EZ190" s="145">
        <v>0</v>
      </c>
      <c r="FA190" s="145">
        <v>0</v>
      </c>
      <c r="FB190" s="145">
        <v>0</v>
      </c>
      <c r="FC190" s="145">
        <v>0</v>
      </c>
      <c r="FD190" s="145">
        <v>0</v>
      </c>
      <c r="FE190" s="145">
        <v>0</v>
      </c>
      <c r="FF190" s="145">
        <v>0</v>
      </c>
      <c r="FG190" s="145">
        <v>0</v>
      </c>
      <c r="FH190" s="145">
        <v>0</v>
      </c>
      <c r="FI190" s="145">
        <v>0</v>
      </c>
      <c r="FJ190" s="145">
        <v>0</v>
      </c>
      <c r="FK190" s="145">
        <v>0</v>
      </c>
      <c r="FL190" s="145">
        <v>0</v>
      </c>
      <c r="FM190" s="145">
        <v>0</v>
      </c>
      <c r="FN190" s="145">
        <v>0</v>
      </c>
      <c r="FO190" s="145">
        <v>0</v>
      </c>
      <c r="FP190" s="145">
        <v>0</v>
      </c>
      <c r="FQ190" s="145">
        <v>0</v>
      </c>
      <c r="FR190" s="145">
        <v>0</v>
      </c>
      <c r="FS190" s="145">
        <v>0</v>
      </c>
      <c r="FT190" s="145">
        <v>0</v>
      </c>
      <c r="FU190" s="145">
        <v>0</v>
      </c>
      <c r="FV190" s="145">
        <v>0</v>
      </c>
      <c r="FW190" s="145">
        <v>0</v>
      </c>
      <c r="FX190" s="143"/>
      <c r="FY190" s="146" t="str">
        <f>_xlfn.XLOOKUP($E190,'Key assumptions'!$B$112:$B$120,'Key assumptions'!$C$112:$C$120,0)</f>
        <v>Nominal</v>
      </c>
      <c r="FZ190" s="146" cm="1">
        <f t="array" ref="FZ190">IF($FY190=0,0,_xlfn.IFS($FY190='Key assumptions'!$C$120,_xlfn.XLOOKUP(LEFT(FZ$7,6),Inflation_Year,Inflation_NominaltoReal),TRUE,_xlfn.XLOOKUP($FY190,Inflation_Year,NominaltoReal)))</f>
        <v>1.0197075870962191</v>
      </c>
      <c r="GA190" s="146" cm="1">
        <f t="array" ref="GA190">IF($FY190=0,0,_xlfn.IFS($FY190='Key assumptions'!$C$120,_xlfn.XLOOKUP(LEFT(GA$7,6),Inflation_Year,Inflation_NominaltoReal),TRUE,_xlfn.XLOOKUP($FY190,Inflation_Year,NominaltoReal)))</f>
        <v>0.98700804022984445</v>
      </c>
      <c r="GB190" s="146" cm="1">
        <f t="array" ref="GB190">IF($FY190=0,0,_xlfn.IFS($FY190='Key assumptions'!$C$120,_xlfn.XLOOKUP(LEFT(GB$7,6),Inflation_Year,Inflation_NominaltoReal),TRUE,_xlfn.XLOOKUP($FY190,Inflation_Year,NominaltoReal)))</f>
        <v>0.96152830081941731</v>
      </c>
      <c r="GC190" s="146" cm="1">
        <f t="array" ref="GC190">IF($FY190=0,0,_xlfn.IFS($FY190='Key assumptions'!$C$120,_xlfn.XLOOKUP(LEFT(GC$7,6),Inflation_Year,Inflation_NominaltoReal),TRUE,_xlfn.XLOOKUP($FY190,Inflation_Year,NominaltoReal)))</f>
        <v>0.93670632415656829</v>
      </c>
      <c r="GD190" s="146" cm="1">
        <f t="array" ref="GD190">IF($FY190=0,0,_xlfn.IFS($FY190='Key assumptions'!$C$120,_xlfn.XLOOKUP(LEFT(GD$7,6),Inflation_Year,Inflation_NominaltoReal),TRUE,_xlfn.XLOOKUP($FY190,Inflation_Year,NominaltoReal)))</f>
        <v>0.91252513001143176</v>
      </c>
      <c r="GE190" s="146" cm="1">
        <f t="array" ref="GE190">IF($FY190=0,0,_xlfn.IFS($FY190='Key assumptions'!$C$120,_xlfn.XLOOKUP(LEFT(GE$7,6),Inflation_Year,Inflation_NominaltoReal),TRUE,_xlfn.XLOOKUP($FY190,Inflation_Year,NominaltoReal)))</f>
        <v>0.88896817650095872</v>
      </c>
      <c r="GF190" s="146" cm="1">
        <f t="array" ref="GF190">IF($FY190=0,0,_xlfn.IFS($FY190='Key assumptions'!$C$120,_xlfn.XLOOKUP(LEFT(GF$7,6),Inflation_Year,Inflation_NominaltoReal),TRUE,_xlfn.XLOOKUP($FY190,Inflation_Year,NominaltoReal)))</f>
        <v>0.86601934877293718</v>
      </c>
      <c r="GG190" s="143"/>
      <c r="GH190" s="145" cm="1">
        <f t="array" ref="GH190">SUMPRODUCT(--($CR$7:$FW$7&gt;=GH$5),--($CR$7:$FW$7&lt;=GH$6),$CR190:$FW190)*FZ190</f>
        <v>97677.713289877778</v>
      </c>
      <c r="GI190" s="145" cm="1">
        <f t="array" ref="GI190">SUMPRODUCT(--($CR$7:$FW$7&gt;=GI$5),--($CR$7:$FW$7&lt;=GI$6),$CR190:$FW190)*GA190</f>
        <v>162922.60916286591</v>
      </c>
      <c r="GJ190" s="145" cm="1">
        <f t="array" ref="GJ190">SUMPRODUCT(--($CR$7:$FW$7&gt;=GJ$5),--($CR$7:$FW$7&lt;=GJ$6),$CR190:$FW190)*GB190</f>
        <v>163456.84963213443</v>
      </c>
      <c r="GK190" s="145" cm="1">
        <f t="array" ref="GK190">SUMPRODUCT(--($CR$7:$FW$7&gt;=GK$5),--($CR$7:$FW$7&lt;=GK$6),$CR190:$FW190)*GC190</f>
        <v>42304.093035353435</v>
      </c>
      <c r="GL190" s="145" cm="1">
        <f t="array" ref="GL190">SUMPRODUCT(--($CR$7:$FW$7&gt;=GL$5),--($CR$7:$FW$7&lt;=GL$6),$CR190:$FW190)*GD190</f>
        <v>0</v>
      </c>
      <c r="GM190" s="145" cm="1">
        <f t="array" ref="GM190">SUMPRODUCT(--($CR$7:$FW$7&gt;=GM$5),--($CR$7:$FW$7&lt;=GM$6),$CR190:$FW190)*GE190</f>
        <v>0</v>
      </c>
      <c r="GN190" s="145" cm="1">
        <f t="array" ref="GN190">SUMPRODUCT(--($CR$7:$FW$7&gt;=GN$5),--($CR$7:$FW$7&lt;=GN$6),$CR190:$FW190)*GF190</f>
        <v>0</v>
      </c>
      <c r="GO190" s="145">
        <f t="shared" si="46"/>
        <v>466361.26512023155</v>
      </c>
      <c r="GP190" s="87"/>
      <c r="GR190" s="145" cm="1">
        <f t="array" ref="GR190">SUMPRODUCT(--($CR$7:$FW$7&gt;=GR$5),--($CR$7:$FW$7&lt;=GR$6),$CR190:$FW190)</f>
        <v>53216.624999999993</v>
      </c>
      <c r="GT190" s="214" cm="1">
        <f t="array" ref="GT190">--AND(MIN(IF($K190:$CP190&lt;&gt;0,$K$7:$CP$7))&gt;=GT$5,MIN(IF($K190:$CP190&lt;&gt;0,$K$7:$CP$7))&lt;=GT$6)</f>
        <v>1</v>
      </c>
      <c r="GU190" s="214" cm="1">
        <f t="array" ref="GU190">--AND(MIN(IF($K190:$CP190&lt;&gt;0,$K$7:$CP$7))&gt;=GU$5,MIN(IF($K190:$CP190&lt;&gt;0,$K$7:$CP$7))&lt;=GU$6)</f>
        <v>0</v>
      </c>
      <c r="GV190" s="214" cm="1">
        <f t="array" ref="GV190">--AND(MIN(IF($K190:$CP190&lt;&gt;0,$K$7:$CP$7))&gt;=GV$5,MIN(IF($K190:$CP190&lt;&gt;0,$K$7:$CP$7))&lt;=GV$6)</f>
        <v>0</v>
      </c>
      <c r="GW190" s="214" cm="1">
        <f t="array" ref="GW190">--AND(MIN(IF($K190:$CP190&lt;&gt;0,$K$7:$CP$7))&gt;=GW$5,MIN(IF($K190:$CP190&lt;&gt;0,$K$7:$CP$7))&lt;=GW$6)</f>
        <v>0</v>
      </c>
      <c r="GX190" s="214" cm="1">
        <f t="array" ref="GX190">--AND(MIN(IF($K190:$CP190&lt;&gt;0,$K$7:$CP$7))&gt;=GX$5,MIN(IF($K190:$CP190&lt;&gt;0,$K$7:$CP$7))&lt;=GX$6)</f>
        <v>0</v>
      </c>
      <c r="GY190" s="214" cm="1">
        <f t="array" ref="GY190">--AND(MIN(IF($K190:$CP190&lt;&gt;0,$K$7:$CP$7))&gt;=GY$5,MIN(IF($K190:$CP190&lt;&gt;0,$K$7:$CP$7))&lt;=GY$6)</f>
        <v>0</v>
      </c>
      <c r="GZ190" s="214" cm="1">
        <f t="array" ref="GZ190">--AND(MIN(IF($K190:$CP190&lt;&gt;0,$K$7:$CP$7))&gt;=GZ$5,MIN(IF($K190:$CP190&lt;&gt;0,$K$7:$CP$7))&lt;=GZ$6)</f>
        <v>0</v>
      </c>
      <c r="HA190" s="214">
        <f t="shared" si="47"/>
        <v>1</v>
      </c>
      <c r="HC190" s="214" cm="1">
        <f t="array" ref="HC190">--AND(MIN(IF($K190:$CP190&lt;&gt;0,$K$7:$CP$7))&gt;=HC$5,MIN(IF($K190:$CP190&lt;&gt;0,$K$7:$CP$7))&lt;=HC$6)</f>
        <v>1</v>
      </c>
      <c r="HE190" s="147" t="str">
        <f t="shared" si="66"/>
        <v>Yes</v>
      </c>
      <c r="HF190" s="147" t="str">
        <f t="shared" si="67"/>
        <v>No</v>
      </c>
      <c r="HG190" s="147">
        <f>IF($HF190="Yes",0,$H190*avg_hrs*12*'Key assumptions'!$D$87)</f>
        <v>362535.77629630821</v>
      </c>
      <c r="HH190" s="147">
        <f>IF(HE190="Yes",'Key assumptions'!$D$84*HG190,0)</f>
        <v>54380.366444446227</v>
      </c>
      <c r="HI190" s="144">
        <f>IFERROR(AVERAGEIFS($K190:$CP190,$K$7:$CP$7,"&gt;="&amp;'Key assumptions'!$D$24,$K$7:$CP$7,"&lt;="&amp;'Key assumptions'!$D$25),0)</f>
        <v>0.3883572567783094</v>
      </c>
      <c r="HJ190" s="148">
        <f t="shared" si="68"/>
        <v>21119.009934964364</v>
      </c>
      <c r="HK190" s="148">
        <f t="shared" si="49"/>
        <v>21119.009934964364</v>
      </c>
      <c r="HL190" s="148">
        <f t="shared" si="50"/>
        <v>0</v>
      </c>
      <c r="HM190" s="148">
        <f t="shared" si="51"/>
        <v>0</v>
      </c>
      <c r="HN190" s="148">
        <f t="shared" si="52"/>
        <v>0</v>
      </c>
      <c r="HO190" s="148">
        <f t="shared" si="53"/>
        <v>0</v>
      </c>
      <c r="HP190" s="148">
        <f t="shared" si="54"/>
        <v>0</v>
      </c>
      <c r="HQ190" s="148">
        <f t="shared" si="55"/>
        <v>0</v>
      </c>
      <c r="HR190" s="147">
        <f t="shared" si="56"/>
        <v>21119.009934964364</v>
      </c>
      <c r="HU190" s="147">
        <f>$HJ190*HC190/(1+'Key assumptions'!G212)^0.75</f>
        <v>21119.009934964364</v>
      </c>
      <c r="HW190" s="216">
        <f t="shared" si="57"/>
        <v>0.3883572567783094</v>
      </c>
      <c r="HX190" s="216">
        <f t="shared" si="58"/>
        <v>0</v>
      </c>
      <c r="HY190" s="216">
        <f t="shared" si="59"/>
        <v>0</v>
      </c>
      <c r="HZ190" s="216">
        <f t="shared" si="60"/>
        <v>0</v>
      </c>
      <c r="IA190" s="216">
        <f t="shared" si="61"/>
        <v>0</v>
      </c>
      <c r="IB190" s="216">
        <f t="shared" si="62"/>
        <v>0</v>
      </c>
      <c r="IC190" s="216">
        <f t="shared" si="63"/>
        <v>0</v>
      </c>
      <c r="ID190" s="216">
        <f t="shared" si="64"/>
        <v>0.3883572567783094</v>
      </c>
      <c r="IF190" s="216">
        <f t="shared" si="65"/>
        <v>0.3883572567783094</v>
      </c>
    </row>
    <row r="191" spans="2:240" x14ac:dyDescent="0.2">
      <c r="B191" s="141" t="str">
        <v>Project Delivery Management - Construction Management</v>
      </c>
      <c r="C191" s="141" t="str">
        <v>Construction Manager EA (Construction)</v>
      </c>
      <c r="D191" s="141" t="str">
        <v>Internal Labour</v>
      </c>
      <c r="E191" s="141" t="str">
        <v>$ Nominal</v>
      </c>
      <c r="F191" s="141" t="str">
        <v>Existing</v>
      </c>
      <c r="G191" s="141" t="str">
        <v>Normal time</v>
      </c>
      <c r="H191" s="142">
        <v>245.65</v>
      </c>
      <c r="I191" s="126">
        <v>533971.20000000007</v>
      </c>
      <c r="J191" s="143">
        <v>0</v>
      </c>
      <c r="K191" s="144">
        <v>0</v>
      </c>
      <c r="L191" s="144">
        <v>0</v>
      </c>
      <c r="M191" s="144">
        <v>0</v>
      </c>
      <c r="N191" s="144">
        <v>0</v>
      </c>
      <c r="O191" s="144">
        <v>0</v>
      </c>
      <c r="P191" s="144">
        <v>0</v>
      </c>
      <c r="Q191" s="144">
        <v>0</v>
      </c>
      <c r="R191" s="144">
        <v>0</v>
      </c>
      <c r="S191" s="144">
        <v>0</v>
      </c>
      <c r="T191" s="144">
        <v>0</v>
      </c>
      <c r="U191" s="144">
        <v>0</v>
      </c>
      <c r="V191" s="144">
        <v>0</v>
      </c>
      <c r="W191" s="144">
        <v>0</v>
      </c>
      <c r="X191" s="144">
        <v>0</v>
      </c>
      <c r="Y191" s="144">
        <v>0.5</v>
      </c>
      <c r="Z191" s="144">
        <v>0.5</v>
      </c>
      <c r="AA191" s="144">
        <v>0.46052631578947367</v>
      </c>
      <c r="AB191" s="144">
        <v>0.46052631578947367</v>
      </c>
      <c r="AC191" s="144">
        <v>0.5</v>
      </c>
      <c r="AD191" s="144">
        <v>0.5</v>
      </c>
      <c r="AE191" s="144">
        <v>0.5</v>
      </c>
      <c r="AF191" s="144">
        <v>0.5</v>
      </c>
      <c r="AG191" s="144">
        <v>0.5</v>
      </c>
      <c r="AH191" s="144">
        <v>0.5</v>
      </c>
      <c r="AI191" s="144">
        <v>0.5</v>
      </c>
      <c r="AJ191" s="144">
        <v>0.5</v>
      </c>
      <c r="AK191" s="144">
        <v>0.5</v>
      </c>
      <c r="AL191" s="144">
        <v>0.5</v>
      </c>
      <c r="AM191" s="144">
        <v>0.46052631578947367</v>
      </c>
      <c r="AN191" s="144">
        <v>0.46052631578947367</v>
      </c>
      <c r="AO191" s="144">
        <v>0.5</v>
      </c>
      <c r="AP191" s="144">
        <v>0.5</v>
      </c>
      <c r="AQ191" s="144">
        <v>0.5</v>
      </c>
      <c r="AR191" s="144">
        <v>0.5</v>
      </c>
      <c r="AS191" s="144">
        <v>0.5</v>
      </c>
      <c r="AT191" s="144">
        <v>0.5</v>
      </c>
      <c r="AU191" s="144">
        <v>0.5</v>
      </c>
      <c r="AV191" s="144">
        <v>0.5</v>
      </c>
      <c r="AW191" s="144">
        <v>0.5</v>
      </c>
      <c r="AX191" s="144">
        <v>0.5</v>
      </c>
      <c r="AY191" s="144">
        <v>0.46052631578947367</v>
      </c>
      <c r="AZ191" s="144">
        <v>0.46052631578947367</v>
      </c>
      <c r="BA191" s="144">
        <v>0.5</v>
      </c>
      <c r="BB191" s="144">
        <v>0.5</v>
      </c>
      <c r="BC191" s="144">
        <v>0.5</v>
      </c>
      <c r="BD191" s="144">
        <v>0.5</v>
      </c>
      <c r="BE191" s="144">
        <v>0</v>
      </c>
      <c r="BF191" s="144">
        <v>0</v>
      </c>
      <c r="BG191" s="144">
        <v>0</v>
      </c>
      <c r="BH191" s="144">
        <v>0</v>
      </c>
      <c r="BI191" s="144">
        <v>0</v>
      </c>
      <c r="BJ191" s="144">
        <v>0</v>
      </c>
      <c r="BK191" s="144">
        <v>0</v>
      </c>
      <c r="BL191" s="144">
        <v>0</v>
      </c>
      <c r="BM191" s="144">
        <v>0</v>
      </c>
      <c r="BN191" s="144">
        <v>0</v>
      </c>
      <c r="BO191" s="144">
        <v>0</v>
      </c>
      <c r="BP191" s="144">
        <v>0</v>
      </c>
      <c r="BQ191" s="144">
        <v>0</v>
      </c>
      <c r="BR191" s="144">
        <v>0</v>
      </c>
      <c r="BS191" s="144">
        <v>0</v>
      </c>
      <c r="BT191" s="144">
        <v>0</v>
      </c>
      <c r="BU191" s="144">
        <v>0</v>
      </c>
      <c r="BV191" s="144">
        <v>0</v>
      </c>
      <c r="BW191" s="144">
        <v>0</v>
      </c>
      <c r="BX191" s="144">
        <v>0</v>
      </c>
      <c r="BY191" s="144">
        <v>0</v>
      </c>
      <c r="BZ191" s="144">
        <v>0</v>
      </c>
      <c r="CA191" s="144">
        <v>0</v>
      </c>
      <c r="CB191" s="144">
        <v>0</v>
      </c>
      <c r="CC191" s="144">
        <v>0</v>
      </c>
      <c r="CD191" s="144">
        <v>0</v>
      </c>
      <c r="CE191" s="144">
        <v>0</v>
      </c>
      <c r="CF191" s="144">
        <v>0</v>
      </c>
      <c r="CG191" s="144">
        <v>0</v>
      </c>
      <c r="CH191" s="144">
        <v>0</v>
      </c>
      <c r="CI191" s="144">
        <v>0</v>
      </c>
      <c r="CJ191" s="144">
        <v>0</v>
      </c>
      <c r="CK191" s="144">
        <v>0</v>
      </c>
      <c r="CL191" s="144">
        <v>0</v>
      </c>
      <c r="CM191" s="144">
        <v>0</v>
      </c>
      <c r="CN191" s="144">
        <v>0</v>
      </c>
      <c r="CO191" s="144">
        <v>0</v>
      </c>
      <c r="CP191" s="144">
        <v>0</v>
      </c>
      <c r="CQ191" s="143">
        <v>0</v>
      </c>
      <c r="CR191" s="145">
        <v>0</v>
      </c>
      <c r="CS191" s="145">
        <v>0</v>
      </c>
      <c r="CT191" s="145">
        <v>0</v>
      </c>
      <c r="CU191" s="145">
        <v>0</v>
      </c>
      <c r="CV191" s="145">
        <v>0</v>
      </c>
      <c r="CW191" s="145">
        <v>0</v>
      </c>
      <c r="CX191" s="145">
        <v>0</v>
      </c>
      <c r="CY191" s="145">
        <v>0</v>
      </c>
      <c r="CZ191" s="145">
        <v>0</v>
      </c>
      <c r="DA191" s="145">
        <v>0</v>
      </c>
      <c r="DB191" s="145">
        <v>0</v>
      </c>
      <c r="DC191" s="145">
        <v>0</v>
      </c>
      <c r="DD191" s="145">
        <v>0</v>
      </c>
      <c r="DE191" s="145">
        <v>0</v>
      </c>
      <c r="DF191" s="145">
        <v>17195.5</v>
      </c>
      <c r="DG191" s="145">
        <v>12896.625</v>
      </c>
      <c r="DH191" s="145">
        <v>17195.5</v>
      </c>
      <c r="DI191" s="145">
        <v>17195.5</v>
      </c>
      <c r="DJ191" s="145">
        <v>17195.5</v>
      </c>
      <c r="DK191" s="145">
        <v>17195.5</v>
      </c>
      <c r="DL191" s="145">
        <v>17195.5</v>
      </c>
      <c r="DM191" s="145">
        <v>17195.5</v>
      </c>
      <c r="DN191" s="145">
        <v>17195.5</v>
      </c>
      <c r="DO191" s="145">
        <v>12896.625</v>
      </c>
      <c r="DP191" s="145">
        <v>12896.625</v>
      </c>
      <c r="DQ191" s="145">
        <v>17195.5</v>
      </c>
      <c r="DR191" s="145">
        <v>17707.2</v>
      </c>
      <c r="DS191" s="145">
        <v>13280.4</v>
      </c>
      <c r="DT191" s="145">
        <v>17707.2</v>
      </c>
      <c r="DU191" s="145">
        <v>17707.2</v>
      </c>
      <c r="DV191" s="145">
        <v>17707.2</v>
      </c>
      <c r="DW191" s="145">
        <v>17707.2</v>
      </c>
      <c r="DX191" s="145">
        <v>17707.2</v>
      </c>
      <c r="DY191" s="145">
        <v>17707.2</v>
      </c>
      <c r="DZ191" s="145">
        <v>17707.2</v>
      </c>
      <c r="EA191" s="145">
        <v>13280.4</v>
      </c>
      <c r="EB191" s="145">
        <v>13280.4</v>
      </c>
      <c r="EC191" s="145">
        <v>17707.2</v>
      </c>
      <c r="ED191" s="145">
        <v>18234.3</v>
      </c>
      <c r="EE191" s="145">
        <v>13675.725</v>
      </c>
      <c r="EF191" s="145">
        <v>18234.3</v>
      </c>
      <c r="EG191" s="145">
        <v>18234.3</v>
      </c>
      <c r="EH191" s="145">
        <v>18234.3</v>
      </c>
      <c r="EI191" s="145">
        <v>18234.3</v>
      </c>
      <c r="EJ191" s="145">
        <v>18234.3</v>
      </c>
      <c r="EK191" s="145">
        <v>18234.3</v>
      </c>
      <c r="EL191" s="145">
        <v>0</v>
      </c>
      <c r="EM191" s="145">
        <v>0</v>
      </c>
      <c r="EN191" s="145">
        <v>0</v>
      </c>
      <c r="EO191" s="145">
        <v>0</v>
      </c>
      <c r="EP191" s="145">
        <v>0</v>
      </c>
      <c r="EQ191" s="145">
        <v>0</v>
      </c>
      <c r="ER191" s="145">
        <v>0</v>
      </c>
      <c r="ES191" s="145">
        <v>0</v>
      </c>
      <c r="ET191" s="145">
        <v>0</v>
      </c>
      <c r="EU191" s="145">
        <v>0</v>
      </c>
      <c r="EV191" s="145">
        <v>0</v>
      </c>
      <c r="EW191" s="145">
        <v>0</v>
      </c>
      <c r="EX191" s="145">
        <v>0</v>
      </c>
      <c r="EY191" s="145">
        <v>0</v>
      </c>
      <c r="EZ191" s="145">
        <v>0</v>
      </c>
      <c r="FA191" s="145">
        <v>0</v>
      </c>
      <c r="FB191" s="145">
        <v>0</v>
      </c>
      <c r="FC191" s="145">
        <v>0</v>
      </c>
      <c r="FD191" s="145">
        <v>0</v>
      </c>
      <c r="FE191" s="145">
        <v>0</v>
      </c>
      <c r="FF191" s="145">
        <v>0</v>
      </c>
      <c r="FG191" s="145">
        <v>0</v>
      </c>
      <c r="FH191" s="145">
        <v>0</v>
      </c>
      <c r="FI191" s="145">
        <v>0</v>
      </c>
      <c r="FJ191" s="145">
        <v>0</v>
      </c>
      <c r="FK191" s="145">
        <v>0</v>
      </c>
      <c r="FL191" s="145">
        <v>0</v>
      </c>
      <c r="FM191" s="145">
        <v>0</v>
      </c>
      <c r="FN191" s="145">
        <v>0</v>
      </c>
      <c r="FO191" s="145">
        <v>0</v>
      </c>
      <c r="FP191" s="145">
        <v>0</v>
      </c>
      <c r="FQ191" s="145">
        <v>0</v>
      </c>
      <c r="FR191" s="145">
        <v>0</v>
      </c>
      <c r="FS191" s="145">
        <v>0</v>
      </c>
      <c r="FT191" s="145">
        <v>0</v>
      </c>
      <c r="FU191" s="145">
        <v>0</v>
      </c>
      <c r="FV191" s="145">
        <v>0</v>
      </c>
      <c r="FW191" s="145">
        <v>0</v>
      </c>
      <c r="FX191" s="143"/>
      <c r="FY191" s="146" t="str">
        <f>_xlfn.XLOOKUP($E191,'Key assumptions'!$B$112:$B$120,'Key assumptions'!$C$112:$C$120,0)</f>
        <v>Nominal</v>
      </c>
      <c r="FZ191" s="146" cm="1">
        <f t="array" ref="FZ191">IF($FY191=0,0,_xlfn.IFS($FY191='Key assumptions'!$C$120,_xlfn.XLOOKUP(LEFT(FZ$7,6),Inflation_Year,Inflation_NominaltoReal),TRUE,_xlfn.XLOOKUP($FY191,Inflation_Year,NominaltoReal)))</f>
        <v>1.0197075870962191</v>
      </c>
      <c r="GA191" s="146" cm="1">
        <f t="array" ref="GA191">IF($FY191=0,0,_xlfn.IFS($FY191='Key assumptions'!$C$120,_xlfn.XLOOKUP(LEFT(GA$7,6),Inflation_Year,Inflation_NominaltoReal),TRUE,_xlfn.XLOOKUP($FY191,Inflation_Year,NominaltoReal)))</f>
        <v>0.98700804022984445</v>
      </c>
      <c r="GB191" s="146" cm="1">
        <f t="array" ref="GB191">IF($FY191=0,0,_xlfn.IFS($FY191='Key assumptions'!$C$120,_xlfn.XLOOKUP(LEFT(GB$7,6),Inflation_Year,Inflation_NominaltoReal),TRUE,_xlfn.XLOOKUP($FY191,Inflation_Year,NominaltoReal)))</f>
        <v>0.96152830081941731</v>
      </c>
      <c r="GC191" s="146" cm="1">
        <f t="array" ref="GC191">IF($FY191=0,0,_xlfn.IFS($FY191='Key assumptions'!$C$120,_xlfn.XLOOKUP(LEFT(GC$7,6),Inflation_Year,Inflation_NominaltoReal),TRUE,_xlfn.XLOOKUP($FY191,Inflation_Year,NominaltoReal)))</f>
        <v>0.93670632415656829</v>
      </c>
      <c r="GD191" s="146" cm="1">
        <f t="array" ref="GD191">IF($FY191=0,0,_xlfn.IFS($FY191='Key assumptions'!$C$120,_xlfn.XLOOKUP(LEFT(GD$7,6),Inflation_Year,Inflation_NominaltoReal),TRUE,_xlfn.XLOOKUP($FY191,Inflation_Year,NominaltoReal)))</f>
        <v>0.91252513001143176</v>
      </c>
      <c r="GE191" s="146" cm="1">
        <f t="array" ref="GE191">IF($FY191=0,0,_xlfn.IFS($FY191='Key assumptions'!$C$120,_xlfn.XLOOKUP(LEFT(GE$7,6),Inflation_Year,Inflation_NominaltoReal),TRUE,_xlfn.XLOOKUP($FY191,Inflation_Year,NominaltoReal)))</f>
        <v>0.88896817650095872</v>
      </c>
      <c r="GF191" s="146" cm="1">
        <f t="array" ref="GF191">IF($FY191=0,0,_xlfn.IFS($FY191='Key assumptions'!$C$120,_xlfn.XLOOKUP(LEFT(GF$7,6),Inflation_Year,Inflation_NominaltoReal),TRUE,_xlfn.XLOOKUP($FY191,Inflation_Year,NominaltoReal)))</f>
        <v>0.86601934877293718</v>
      </c>
      <c r="GG191" s="143"/>
      <c r="GH191" s="145" cm="1">
        <f t="array" ref="GH191">SUMPRODUCT(--($CR$7:$FW$7&gt;=GH$5),--($CR$7:$FW$7&lt;=GH$6),$CR191:$FW191)*FZ191</f>
        <v>118357.07724391299</v>
      </c>
      <c r="GI191" s="145" cm="1">
        <f t="array" ref="GI191">SUMPRODUCT(--($CR$7:$FW$7&gt;=GI$5),--($CR$7:$FW$7&lt;=GI$6),$CR191:$FW191)*GA191</f>
        <v>194345.18959819118</v>
      </c>
      <c r="GJ191" s="145" cm="1">
        <f t="array" ref="GJ191">SUMPRODUCT(--($CR$7:$FW$7&gt;=GJ$5),--($CR$7:$FW$7&lt;=GJ$6),$CR191:$FW191)*GB191</f>
        <v>194963.25227272575</v>
      </c>
      <c r="GK191" s="145" cm="1">
        <f t="array" ref="GK191">SUMPRODUCT(--($CR$7:$FW$7&gt;=GK$5),--($CR$7:$FW$7&lt;=GK$6),$CR191:$FW191)*GC191</f>
        <v>17080.184126568114</v>
      </c>
      <c r="GL191" s="145" cm="1">
        <f t="array" ref="GL191">SUMPRODUCT(--($CR$7:$FW$7&gt;=GL$5),--($CR$7:$FW$7&lt;=GL$6),$CR191:$FW191)*GD191</f>
        <v>0</v>
      </c>
      <c r="GM191" s="145" cm="1">
        <f t="array" ref="GM191">SUMPRODUCT(--($CR$7:$FW$7&gt;=GM$5),--($CR$7:$FW$7&lt;=GM$6),$CR191:$FW191)*GE191</f>
        <v>0</v>
      </c>
      <c r="GN191" s="145" cm="1">
        <f t="array" ref="GN191">SUMPRODUCT(--($CR$7:$FW$7&gt;=GN$5),--($CR$7:$FW$7&lt;=GN$6),$CR191:$FW191)*GF191</f>
        <v>0</v>
      </c>
      <c r="GO191" s="145">
        <f t="shared" si="46"/>
        <v>524745.70324139798</v>
      </c>
      <c r="GP191" s="87"/>
      <c r="GR191" s="145" cm="1">
        <f t="array" ref="GR191">SUMPRODUCT(--($CR$7:$FW$7&gt;=GR$5),--($CR$7:$FW$7&lt;=GR$6),$CR191:$FW191)</f>
        <v>64483.125</v>
      </c>
      <c r="GT191" s="214" cm="1">
        <f t="array" ref="GT191">--AND(MIN(IF($K191:$CP191&lt;&gt;0,$K$7:$CP$7))&gt;=GT$5,MIN(IF($K191:$CP191&lt;&gt;0,$K$7:$CP$7))&lt;=GT$6)</f>
        <v>1</v>
      </c>
      <c r="GU191" s="214" cm="1">
        <f t="array" ref="GU191">--AND(MIN(IF($K191:$CP191&lt;&gt;0,$K$7:$CP$7))&gt;=GU$5,MIN(IF($K191:$CP191&lt;&gt;0,$K$7:$CP$7))&lt;=GU$6)</f>
        <v>0</v>
      </c>
      <c r="GV191" s="214" cm="1">
        <f t="array" ref="GV191">--AND(MIN(IF($K191:$CP191&lt;&gt;0,$K$7:$CP$7))&gt;=GV$5,MIN(IF($K191:$CP191&lt;&gt;0,$K$7:$CP$7))&lt;=GV$6)</f>
        <v>0</v>
      </c>
      <c r="GW191" s="214" cm="1">
        <f t="array" ref="GW191">--AND(MIN(IF($K191:$CP191&lt;&gt;0,$K$7:$CP$7))&gt;=GW$5,MIN(IF($K191:$CP191&lt;&gt;0,$K$7:$CP$7))&lt;=GW$6)</f>
        <v>0</v>
      </c>
      <c r="GX191" s="214" cm="1">
        <f t="array" ref="GX191">--AND(MIN(IF($K191:$CP191&lt;&gt;0,$K$7:$CP$7))&gt;=GX$5,MIN(IF($K191:$CP191&lt;&gt;0,$K$7:$CP$7))&lt;=GX$6)</f>
        <v>0</v>
      </c>
      <c r="GY191" s="214" cm="1">
        <f t="array" ref="GY191">--AND(MIN(IF($K191:$CP191&lt;&gt;0,$K$7:$CP$7))&gt;=GY$5,MIN(IF($K191:$CP191&lt;&gt;0,$K$7:$CP$7))&lt;=GY$6)</f>
        <v>0</v>
      </c>
      <c r="GZ191" s="214" cm="1">
        <f t="array" ref="GZ191">--AND(MIN(IF($K191:$CP191&lt;&gt;0,$K$7:$CP$7))&gt;=GZ$5,MIN(IF($K191:$CP191&lt;&gt;0,$K$7:$CP$7))&lt;=GZ$6)</f>
        <v>0</v>
      </c>
      <c r="HA191" s="214">
        <f t="shared" si="47"/>
        <v>1</v>
      </c>
      <c r="HC191" s="214" cm="1">
        <f t="array" ref="HC191">--AND(MIN(IF($K191:$CP191&lt;&gt;0,$K$7:$CP$7))&gt;=HC$5,MIN(IF($K191:$CP191&lt;&gt;0,$K$7:$CP$7))&lt;=HC$6)</f>
        <v>1</v>
      </c>
      <c r="HE191" s="147" t="str">
        <f t="shared" si="66"/>
        <v>No</v>
      </c>
      <c r="HF191" s="147" t="str">
        <f t="shared" si="67"/>
        <v>No</v>
      </c>
      <c r="HG191" s="147">
        <f>IF($HF191="Yes",0,$H191*avg_hrs*12*'Key assumptions'!$D$87)</f>
        <v>439288.28218412725</v>
      </c>
      <c r="HH191" s="147">
        <f>IF(HE191="Yes",'Key assumptions'!$D$84*HG191,0)</f>
        <v>0</v>
      </c>
      <c r="HI191" s="144">
        <f>IFERROR(AVERAGEIFS($K191:$CP191,$K$7:$CP$7,"&gt;="&amp;'Key assumptions'!$D$24,$K$7:$CP$7,"&lt;="&amp;'Key assumptions'!$D$25),0)</f>
        <v>0.35825358851674644</v>
      </c>
      <c r="HJ191" s="148">
        <f t="shared" si="68"/>
        <v>0</v>
      </c>
      <c r="HK191" s="148">
        <f t="shared" si="49"/>
        <v>0</v>
      </c>
      <c r="HL191" s="148">
        <f t="shared" si="50"/>
        <v>0</v>
      </c>
      <c r="HM191" s="148">
        <f t="shared" si="51"/>
        <v>0</v>
      </c>
      <c r="HN191" s="148">
        <f t="shared" si="52"/>
        <v>0</v>
      </c>
      <c r="HO191" s="148">
        <f t="shared" si="53"/>
        <v>0</v>
      </c>
      <c r="HP191" s="148">
        <f t="shared" si="54"/>
        <v>0</v>
      </c>
      <c r="HQ191" s="148">
        <f t="shared" si="55"/>
        <v>0</v>
      </c>
      <c r="HR191" s="147">
        <f t="shared" si="56"/>
        <v>0</v>
      </c>
      <c r="HU191" s="147">
        <f>$HJ191*HC191/(1+'Key assumptions'!G213)^0.75</f>
        <v>0</v>
      </c>
      <c r="HW191" s="216">
        <f t="shared" si="57"/>
        <v>0.35825358851674644</v>
      </c>
      <c r="HX191" s="216">
        <f t="shared" si="58"/>
        <v>0</v>
      </c>
      <c r="HY191" s="216">
        <f t="shared" si="59"/>
        <v>0</v>
      </c>
      <c r="HZ191" s="216">
        <f t="shared" si="60"/>
        <v>0</v>
      </c>
      <c r="IA191" s="216">
        <f t="shared" si="61"/>
        <v>0</v>
      </c>
      <c r="IB191" s="216">
        <f t="shared" si="62"/>
        <v>0</v>
      </c>
      <c r="IC191" s="216">
        <f t="shared" si="63"/>
        <v>0</v>
      </c>
      <c r="ID191" s="216">
        <f t="shared" si="64"/>
        <v>0.35825358851674644</v>
      </c>
      <c r="IF191" s="216">
        <f t="shared" si="65"/>
        <v>0.35825358851674644</v>
      </c>
    </row>
    <row r="192" spans="2:240" x14ac:dyDescent="0.2">
      <c r="B192" s="141" t="str">
        <v>Project Delivery Management - Construction Management</v>
      </c>
      <c r="C192" s="141" t="str">
        <v>Construction Manager EA (Construction)</v>
      </c>
      <c r="D192" s="141" t="str">
        <v>Internal Labour</v>
      </c>
      <c r="E192" s="141" t="str">
        <v>$ Nominal</v>
      </c>
      <c r="F192" s="141">
        <v>0</v>
      </c>
      <c r="G192" s="141" t="str">
        <v>Overtime</v>
      </c>
      <c r="H192" s="142">
        <v>245.65</v>
      </c>
      <c r="I192" s="126">
        <v>610248.29999999993</v>
      </c>
      <c r="J192" s="143">
        <v>0</v>
      </c>
      <c r="K192" s="144">
        <v>0</v>
      </c>
      <c r="L192" s="144">
        <v>0</v>
      </c>
      <c r="M192" s="144">
        <v>0</v>
      </c>
      <c r="N192" s="144">
        <v>0</v>
      </c>
      <c r="O192" s="144">
        <v>0</v>
      </c>
      <c r="P192" s="144">
        <v>0</v>
      </c>
      <c r="Q192" s="144">
        <v>0</v>
      </c>
      <c r="R192" s="144">
        <v>0</v>
      </c>
      <c r="S192" s="144">
        <v>0</v>
      </c>
      <c r="T192" s="144">
        <v>0</v>
      </c>
      <c r="U192" s="144">
        <v>0</v>
      </c>
      <c r="V192" s="144">
        <v>0</v>
      </c>
      <c r="W192" s="144">
        <v>0</v>
      </c>
      <c r="X192" s="144">
        <v>0</v>
      </c>
      <c r="Y192" s="144">
        <v>0.2857142857142857</v>
      </c>
      <c r="Z192" s="144">
        <v>0.2857142857142857</v>
      </c>
      <c r="AA192" s="144">
        <v>0.26315789473684209</v>
      </c>
      <c r="AB192" s="144">
        <v>0.26315789473684209</v>
      </c>
      <c r="AC192" s="144">
        <v>0.2857142857142857</v>
      </c>
      <c r="AD192" s="144">
        <v>0.2857142857142857</v>
      </c>
      <c r="AE192" s="144">
        <v>0.2857142857142857</v>
      </c>
      <c r="AF192" s="144">
        <v>0.2857142857142857</v>
      </c>
      <c r="AG192" s="144">
        <v>0.2857142857142857</v>
      </c>
      <c r="AH192" s="144">
        <v>0.2857142857142857</v>
      </c>
      <c r="AI192" s="144">
        <v>0.2857142857142857</v>
      </c>
      <c r="AJ192" s="144">
        <v>0.2857142857142857</v>
      </c>
      <c r="AK192" s="144">
        <v>0.2857142857142857</v>
      </c>
      <c r="AL192" s="144">
        <v>0.2857142857142857</v>
      </c>
      <c r="AM192" s="144">
        <v>0.26315789473684209</v>
      </c>
      <c r="AN192" s="144">
        <v>0.26315789473684209</v>
      </c>
      <c r="AO192" s="144">
        <v>0.2857142857142857</v>
      </c>
      <c r="AP192" s="144">
        <v>0.2857142857142857</v>
      </c>
      <c r="AQ192" s="144">
        <v>0.2857142857142857</v>
      </c>
      <c r="AR192" s="144">
        <v>0.2857142857142857</v>
      </c>
      <c r="AS192" s="144">
        <v>0.2857142857142857</v>
      </c>
      <c r="AT192" s="144">
        <v>0.2857142857142857</v>
      </c>
      <c r="AU192" s="144">
        <v>0.2857142857142857</v>
      </c>
      <c r="AV192" s="144">
        <v>0.2857142857142857</v>
      </c>
      <c r="AW192" s="144">
        <v>0.2857142857142857</v>
      </c>
      <c r="AX192" s="144">
        <v>0.2857142857142857</v>
      </c>
      <c r="AY192" s="144">
        <v>0.26315789473684209</v>
      </c>
      <c r="AZ192" s="144">
        <v>0.26315789473684209</v>
      </c>
      <c r="BA192" s="144">
        <v>0.2857142857142857</v>
      </c>
      <c r="BB192" s="144">
        <v>0.2857142857142857</v>
      </c>
      <c r="BC192" s="144">
        <v>0.2857142857142857</v>
      </c>
      <c r="BD192" s="144">
        <v>0.2857142857142857</v>
      </c>
      <c r="BE192" s="144">
        <v>0</v>
      </c>
      <c r="BF192" s="144">
        <v>0</v>
      </c>
      <c r="BG192" s="144">
        <v>0</v>
      </c>
      <c r="BH192" s="144">
        <v>0</v>
      </c>
      <c r="BI192" s="144">
        <v>0</v>
      </c>
      <c r="BJ192" s="144">
        <v>0</v>
      </c>
      <c r="BK192" s="144">
        <v>0</v>
      </c>
      <c r="BL192" s="144">
        <v>0</v>
      </c>
      <c r="BM192" s="144">
        <v>0</v>
      </c>
      <c r="BN192" s="144">
        <v>0</v>
      </c>
      <c r="BO192" s="144">
        <v>0</v>
      </c>
      <c r="BP192" s="144">
        <v>0</v>
      </c>
      <c r="BQ192" s="144">
        <v>0</v>
      </c>
      <c r="BR192" s="144">
        <v>0</v>
      </c>
      <c r="BS192" s="144">
        <v>0</v>
      </c>
      <c r="BT192" s="144">
        <v>0</v>
      </c>
      <c r="BU192" s="144">
        <v>0</v>
      </c>
      <c r="BV192" s="144">
        <v>0</v>
      </c>
      <c r="BW192" s="144">
        <v>0</v>
      </c>
      <c r="BX192" s="144">
        <v>0</v>
      </c>
      <c r="BY192" s="144">
        <v>0</v>
      </c>
      <c r="BZ192" s="144">
        <v>0</v>
      </c>
      <c r="CA192" s="144">
        <v>0</v>
      </c>
      <c r="CB192" s="144">
        <v>0</v>
      </c>
      <c r="CC192" s="144">
        <v>0</v>
      </c>
      <c r="CD192" s="144">
        <v>0</v>
      </c>
      <c r="CE192" s="144">
        <v>0</v>
      </c>
      <c r="CF192" s="144">
        <v>0</v>
      </c>
      <c r="CG192" s="144">
        <v>0</v>
      </c>
      <c r="CH192" s="144">
        <v>0</v>
      </c>
      <c r="CI192" s="144">
        <v>0</v>
      </c>
      <c r="CJ192" s="144">
        <v>0</v>
      </c>
      <c r="CK192" s="144">
        <v>0</v>
      </c>
      <c r="CL192" s="144">
        <v>0</v>
      </c>
      <c r="CM192" s="144">
        <v>0</v>
      </c>
      <c r="CN192" s="144">
        <v>0</v>
      </c>
      <c r="CO192" s="144">
        <v>0</v>
      </c>
      <c r="CP192" s="144">
        <v>0</v>
      </c>
      <c r="CQ192" s="143">
        <v>0</v>
      </c>
      <c r="CR192" s="145">
        <v>0</v>
      </c>
      <c r="CS192" s="145">
        <v>0</v>
      </c>
      <c r="CT192" s="145">
        <v>0</v>
      </c>
      <c r="CU192" s="145">
        <v>0</v>
      </c>
      <c r="CV192" s="145">
        <v>0</v>
      </c>
      <c r="CW192" s="145">
        <v>0</v>
      </c>
      <c r="CX192" s="145">
        <v>0</v>
      </c>
      <c r="CY192" s="145">
        <v>0</v>
      </c>
      <c r="CZ192" s="145">
        <v>0</v>
      </c>
      <c r="DA192" s="145">
        <v>0</v>
      </c>
      <c r="DB192" s="145">
        <v>0</v>
      </c>
      <c r="DC192" s="145">
        <v>0</v>
      </c>
      <c r="DD192" s="145">
        <v>0</v>
      </c>
      <c r="DE192" s="145">
        <v>0</v>
      </c>
      <c r="DF192" s="145">
        <v>19652</v>
      </c>
      <c r="DG192" s="145">
        <v>14739</v>
      </c>
      <c r="DH192" s="145">
        <v>19652</v>
      </c>
      <c r="DI192" s="145">
        <v>19652</v>
      </c>
      <c r="DJ192" s="145">
        <v>19652</v>
      </c>
      <c r="DK192" s="145">
        <v>19652</v>
      </c>
      <c r="DL192" s="145">
        <v>19652</v>
      </c>
      <c r="DM192" s="145">
        <v>19652</v>
      </c>
      <c r="DN192" s="145">
        <v>19652</v>
      </c>
      <c r="DO192" s="145">
        <v>14739</v>
      </c>
      <c r="DP192" s="145">
        <v>14739</v>
      </c>
      <c r="DQ192" s="145">
        <v>19652</v>
      </c>
      <c r="DR192" s="145">
        <v>20236.400000000001</v>
      </c>
      <c r="DS192" s="145">
        <v>15177.300000000001</v>
      </c>
      <c r="DT192" s="145">
        <v>20236.400000000001</v>
      </c>
      <c r="DU192" s="145">
        <v>20236.400000000001</v>
      </c>
      <c r="DV192" s="145">
        <v>20236.400000000001</v>
      </c>
      <c r="DW192" s="145">
        <v>20236.400000000001</v>
      </c>
      <c r="DX192" s="145">
        <v>20236.400000000001</v>
      </c>
      <c r="DY192" s="145">
        <v>20236.400000000001</v>
      </c>
      <c r="DZ192" s="145">
        <v>20236.400000000001</v>
      </c>
      <c r="EA192" s="145">
        <v>15177.300000000001</v>
      </c>
      <c r="EB192" s="145">
        <v>15177.300000000001</v>
      </c>
      <c r="EC192" s="145">
        <v>20236.400000000001</v>
      </c>
      <c r="ED192" s="145">
        <v>20839.2</v>
      </c>
      <c r="EE192" s="145">
        <v>15629.400000000001</v>
      </c>
      <c r="EF192" s="145">
        <v>20839.2</v>
      </c>
      <c r="EG192" s="145">
        <v>20839.2</v>
      </c>
      <c r="EH192" s="145">
        <v>20839.2</v>
      </c>
      <c r="EI192" s="145">
        <v>20839.2</v>
      </c>
      <c r="EJ192" s="145">
        <v>20839.2</v>
      </c>
      <c r="EK192" s="145">
        <v>20839.2</v>
      </c>
      <c r="EL192" s="145">
        <v>0</v>
      </c>
      <c r="EM192" s="145">
        <v>0</v>
      </c>
      <c r="EN192" s="145">
        <v>0</v>
      </c>
      <c r="EO192" s="145">
        <v>0</v>
      </c>
      <c r="EP192" s="145">
        <v>0</v>
      </c>
      <c r="EQ192" s="145">
        <v>0</v>
      </c>
      <c r="ER192" s="145">
        <v>0</v>
      </c>
      <c r="ES192" s="145">
        <v>0</v>
      </c>
      <c r="ET192" s="145">
        <v>0</v>
      </c>
      <c r="EU192" s="145">
        <v>0</v>
      </c>
      <c r="EV192" s="145">
        <v>0</v>
      </c>
      <c r="EW192" s="145">
        <v>0</v>
      </c>
      <c r="EX192" s="145">
        <v>0</v>
      </c>
      <c r="EY192" s="145">
        <v>0</v>
      </c>
      <c r="EZ192" s="145">
        <v>0</v>
      </c>
      <c r="FA192" s="145">
        <v>0</v>
      </c>
      <c r="FB192" s="145">
        <v>0</v>
      </c>
      <c r="FC192" s="145">
        <v>0</v>
      </c>
      <c r="FD192" s="145">
        <v>0</v>
      </c>
      <c r="FE192" s="145">
        <v>0</v>
      </c>
      <c r="FF192" s="145">
        <v>0</v>
      </c>
      <c r="FG192" s="145">
        <v>0</v>
      </c>
      <c r="FH192" s="145">
        <v>0</v>
      </c>
      <c r="FI192" s="145">
        <v>0</v>
      </c>
      <c r="FJ192" s="145">
        <v>0</v>
      </c>
      <c r="FK192" s="145">
        <v>0</v>
      </c>
      <c r="FL192" s="145">
        <v>0</v>
      </c>
      <c r="FM192" s="145">
        <v>0</v>
      </c>
      <c r="FN192" s="145">
        <v>0</v>
      </c>
      <c r="FO192" s="145">
        <v>0</v>
      </c>
      <c r="FP192" s="145">
        <v>0</v>
      </c>
      <c r="FQ192" s="145">
        <v>0</v>
      </c>
      <c r="FR192" s="145">
        <v>0</v>
      </c>
      <c r="FS192" s="145">
        <v>0</v>
      </c>
      <c r="FT192" s="145">
        <v>0</v>
      </c>
      <c r="FU192" s="145">
        <v>0</v>
      </c>
      <c r="FV192" s="145">
        <v>0</v>
      </c>
      <c r="FW192" s="145">
        <v>0</v>
      </c>
      <c r="FX192" s="143"/>
      <c r="FY192" s="146" t="str">
        <f>_xlfn.XLOOKUP($E192,'Key assumptions'!$B$112:$B$120,'Key assumptions'!$C$112:$C$120,0)</f>
        <v>Nominal</v>
      </c>
      <c r="FZ192" s="146" cm="1">
        <f t="array" ref="FZ192">IF($FY192=0,0,_xlfn.IFS($FY192='Key assumptions'!$C$120,_xlfn.XLOOKUP(LEFT(FZ$7,6),Inflation_Year,Inflation_NominaltoReal),TRUE,_xlfn.XLOOKUP($FY192,Inflation_Year,NominaltoReal)))</f>
        <v>1.0197075870962191</v>
      </c>
      <c r="GA192" s="146" cm="1">
        <f t="array" ref="GA192">IF($FY192=0,0,_xlfn.IFS($FY192='Key assumptions'!$C$120,_xlfn.XLOOKUP(LEFT(GA$7,6),Inflation_Year,Inflation_NominaltoReal),TRUE,_xlfn.XLOOKUP($FY192,Inflation_Year,NominaltoReal)))</f>
        <v>0.98700804022984445</v>
      </c>
      <c r="GB192" s="146" cm="1">
        <f t="array" ref="GB192">IF($FY192=0,0,_xlfn.IFS($FY192='Key assumptions'!$C$120,_xlfn.XLOOKUP(LEFT(GB$7,6),Inflation_Year,Inflation_NominaltoReal),TRUE,_xlfn.XLOOKUP($FY192,Inflation_Year,NominaltoReal)))</f>
        <v>0.96152830081941731</v>
      </c>
      <c r="GC192" s="146" cm="1">
        <f t="array" ref="GC192">IF($FY192=0,0,_xlfn.IFS($FY192='Key assumptions'!$C$120,_xlfn.XLOOKUP(LEFT(GC$7,6),Inflation_Year,Inflation_NominaltoReal),TRUE,_xlfn.XLOOKUP($FY192,Inflation_Year,NominaltoReal)))</f>
        <v>0.93670632415656829</v>
      </c>
      <c r="GD192" s="146" cm="1">
        <f t="array" ref="GD192">IF($FY192=0,0,_xlfn.IFS($FY192='Key assumptions'!$C$120,_xlfn.XLOOKUP(LEFT(GD$7,6),Inflation_Year,Inflation_NominaltoReal),TRUE,_xlfn.XLOOKUP($FY192,Inflation_Year,NominaltoReal)))</f>
        <v>0.91252513001143176</v>
      </c>
      <c r="GE192" s="146" cm="1">
        <f t="array" ref="GE192">IF($FY192=0,0,_xlfn.IFS($FY192='Key assumptions'!$C$120,_xlfn.XLOOKUP(LEFT(GE$7,6),Inflation_Year,Inflation_NominaltoReal),TRUE,_xlfn.XLOOKUP($FY192,Inflation_Year,NominaltoReal)))</f>
        <v>0.88896817650095872</v>
      </c>
      <c r="GF192" s="146" cm="1">
        <f t="array" ref="GF192">IF($FY192=0,0,_xlfn.IFS($FY192='Key assumptions'!$C$120,_xlfn.XLOOKUP(LEFT(GF$7,6),Inflation_Year,Inflation_NominaltoReal),TRUE,_xlfn.XLOOKUP($FY192,Inflation_Year,NominaltoReal)))</f>
        <v>0.86601934877293718</v>
      </c>
      <c r="GG192" s="143"/>
      <c r="GH192" s="145" cm="1">
        <f t="array" ref="GH192">SUMPRODUCT(--($CR$7:$FW$7&gt;=GH$5),--($CR$7:$FW$7&lt;=GH$6),$CR192:$FW192)*FZ192</f>
        <v>135265.23113590057</v>
      </c>
      <c r="GI192" s="145" cm="1">
        <f t="array" ref="GI192">SUMPRODUCT(--($CR$7:$FW$7&gt;=GI$5),--($CR$7:$FW$7&lt;=GI$6),$CR192:$FW192)*GA192</f>
        <v>222106.12319050982</v>
      </c>
      <c r="GJ192" s="145" cm="1">
        <f t="array" ref="GJ192">SUMPRODUCT(--($CR$7:$FW$7&gt;=GJ$5),--($CR$7:$FW$7&lt;=GJ$6),$CR192:$FW192)*GB192</f>
        <v>222813.41470360235</v>
      </c>
      <c r="GK192" s="145" cm="1">
        <f t="array" ref="GK192">SUMPRODUCT(--($CR$7:$FW$7&gt;=GK$5),--($CR$7:$FW$7&lt;=GK$6),$CR192:$FW192)*GC192</f>
        <v>19520.210430363557</v>
      </c>
      <c r="GL192" s="145" cm="1">
        <f t="array" ref="GL192">SUMPRODUCT(--($CR$7:$FW$7&gt;=GL$5),--($CR$7:$FW$7&lt;=GL$6),$CR192:$FW192)*GD192</f>
        <v>0</v>
      </c>
      <c r="GM192" s="145" cm="1">
        <f t="array" ref="GM192">SUMPRODUCT(--($CR$7:$FW$7&gt;=GM$5),--($CR$7:$FW$7&lt;=GM$6),$CR192:$FW192)*GE192</f>
        <v>0</v>
      </c>
      <c r="GN192" s="145" cm="1">
        <f t="array" ref="GN192">SUMPRODUCT(--($CR$7:$FW$7&gt;=GN$5),--($CR$7:$FW$7&lt;=GN$6),$CR192:$FW192)*GF192</f>
        <v>0</v>
      </c>
      <c r="GO192" s="145">
        <f t="shared" si="46"/>
        <v>599704.97946037631</v>
      </c>
      <c r="GP192" s="87"/>
      <c r="GR192" s="145" cm="1">
        <f t="array" ref="GR192">SUMPRODUCT(--($CR$7:$FW$7&gt;=GR$5),--($CR$7:$FW$7&lt;=GR$6),$CR192:$FW192)</f>
        <v>73695</v>
      </c>
      <c r="GT192" s="214" cm="1">
        <f t="array" ref="GT192">--AND(MIN(IF($K192:$CP192&lt;&gt;0,$K$7:$CP$7))&gt;=GT$5,MIN(IF($K192:$CP192&lt;&gt;0,$K$7:$CP$7))&lt;=GT$6)</f>
        <v>1</v>
      </c>
      <c r="GU192" s="214" cm="1">
        <f t="array" ref="GU192">--AND(MIN(IF($K192:$CP192&lt;&gt;0,$K$7:$CP$7))&gt;=GU$5,MIN(IF($K192:$CP192&lt;&gt;0,$K$7:$CP$7))&lt;=GU$6)</f>
        <v>0</v>
      </c>
      <c r="GV192" s="214" cm="1">
        <f t="array" ref="GV192">--AND(MIN(IF($K192:$CP192&lt;&gt;0,$K$7:$CP$7))&gt;=GV$5,MIN(IF($K192:$CP192&lt;&gt;0,$K$7:$CP$7))&lt;=GV$6)</f>
        <v>0</v>
      </c>
      <c r="GW192" s="214" cm="1">
        <f t="array" ref="GW192">--AND(MIN(IF($K192:$CP192&lt;&gt;0,$K$7:$CP$7))&gt;=GW$5,MIN(IF($K192:$CP192&lt;&gt;0,$K$7:$CP$7))&lt;=GW$6)</f>
        <v>0</v>
      </c>
      <c r="GX192" s="214" cm="1">
        <f t="array" ref="GX192">--AND(MIN(IF($K192:$CP192&lt;&gt;0,$K$7:$CP$7))&gt;=GX$5,MIN(IF($K192:$CP192&lt;&gt;0,$K$7:$CP$7))&lt;=GX$6)</f>
        <v>0</v>
      </c>
      <c r="GY192" s="214" cm="1">
        <f t="array" ref="GY192">--AND(MIN(IF($K192:$CP192&lt;&gt;0,$K$7:$CP$7))&gt;=GY$5,MIN(IF($K192:$CP192&lt;&gt;0,$K$7:$CP$7))&lt;=GY$6)</f>
        <v>0</v>
      </c>
      <c r="GZ192" s="214" cm="1">
        <f t="array" ref="GZ192">--AND(MIN(IF($K192:$CP192&lt;&gt;0,$K$7:$CP$7))&gt;=GZ$5,MIN(IF($K192:$CP192&lt;&gt;0,$K$7:$CP$7))&lt;=GZ$6)</f>
        <v>0</v>
      </c>
      <c r="HA192" s="214">
        <f t="shared" si="47"/>
        <v>1</v>
      </c>
      <c r="HC192" s="214" cm="1">
        <f t="array" ref="HC192">--AND(MIN(IF($K192:$CP192&lt;&gt;0,$K$7:$CP$7))&gt;=HC$5,MIN(IF($K192:$CP192&lt;&gt;0,$K$7:$CP$7))&lt;=HC$6)</f>
        <v>1</v>
      </c>
      <c r="HE192" s="147" t="str">
        <f t="shared" si="66"/>
        <v>No</v>
      </c>
      <c r="HF192" s="147" t="str">
        <f t="shared" si="67"/>
        <v>Yes</v>
      </c>
      <c r="HG192" s="147">
        <f>IF($HF192="Yes",0,$H192*avg_hrs*12*'Key assumptions'!$D$87)</f>
        <v>0</v>
      </c>
      <c r="HH192" s="147">
        <f>IF(HE192="Yes",'Key assumptions'!$D$84*HG192,0)</f>
        <v>0</v>
      </c>
      <c r="HI192" s="144">
        <f>IFERROR(AVERAGEIFS($K192:$CP192,$K$7:$CP$7,"&gt;="&amp;'Key assumptions'!$D$24,$K$7:$CP$7,"&lt;="&amp;'Key assumptions'!$D$25),0)</f>
        <v>0.20471633629528369</v>
      </c>
      <c r="HJ192" s="148">
        <f t="shared" si="68"/>
        <v>0</v>
      </c>
      <c r="HK192" s="148">
        <f t="shared" si="49"/>
        <v>0</v>
      </c>
      <c r="HL192" s="148">
        <f t="shared" si="50"/>
        <v>0</v>
      </c>
      <c r="HM192" s="148">
        <f t="shared" si="51"/>
        <v>0</v>
      </c>
      <c r="HN192" s="148">
        <f t="shared" si="52"/>
        <v>0</v>
      </c>
      <c r="HO192" s="148">
        <f t="shared" si="53"/>
        <v>0</v>
      </c>
      <c r="HP192" s="148">
        <f t="shared" si="54"/>
        <v>0</v>
      </c>
      <c r="HQ192" s="148">
        <f t="shared" si="55"/>
        <v>0</v>
      </c>
      <c r="HR192" s="147">
        <f t="shared" si="56"/>
        <v>0</v>
      </c>
      <c r="HU192" s="147">
        <f>$HJ192*HC192/(1+'Key assumptions'!G214)^0.75</f>
        <v>0</v>
      </c>
      <c r="HW192" s="216">
        <f t="shared" si="57"/>
        <v>0.20471633629528369</v>
      </c>
      <c r="HX192" s="216">
        <f t="shared" si="58"/>
        <v>0</v>
      </c>
      <c r="HY192" s="216">
        <f t="shared" si="59"/>
        <v>0</v>
      </c>
      <c r="HZ192" s="216">
        <f t="shared" si="60"/>
        <v>0</v>
      </c>
      <c r="IA192" s="216">
        <f t="shared" si="61"/>
        <v>0</v>
      </c>
      <c r="IB192" s="216">
        <f t="shared" si="62"/>
        <v>0</v>
      </c>
      <c r="IC192" s="216">
        <f t="shared" si="63"/>
        <v>0</v>
      </c>
      <c r="ID192" s="216">
        <f t="shared" si="64"/>
        <v>0.20471633629528369</v>
      </c>
      <c r="IF192" s="216">
        <f t="shared" si="65"/>
        <v>0.20471633629528369</v>
      </c>
    </row>
    <row r="193" spans="2:240" x14ac:dyDescent="0.2">
      <c r="B193" s="141" t="str">
        <v>Project Delivery Management - Construction Management</v>
      </c>
      <c r="C193" s="141" t="str">
        <v>Substation Site Manager - Senior (Construction)</v>
      </c>
      <c r="D193" s="141" t="str">
        <v>Internal Labour</v>
      </c>
      <c r="E193" s="141" t="str">
        <v>$ Nominal</v>
      </c>
      <c r="F193" s="141" t="str">
        <v>Existing</v>
      </c>
      <c r="G193" s="141" t="str">
        <v>Normal time</v>
      </c>
      <c r="H193" s="142">
        <v>214.83</v>
      </c>
      <c r="I193" s="126">
        <v>905191.85999999987</v>
      </c>
      <c r="J193" s="143">
        <v>0</v>
      </c>
      <c r="K193" s="144">
        <v>0</v>
      </c>
      <c r="L193" s="144">
        <v>0</v>
      </c>
      <c r="M193" s="144">
        <v>0</v>
      </c>
      <c r="N193" s="144">
        <v>0</v>
      </c>
      <c r="O193" s="144">
        <v>0</v>
      </c>
      <c r="P193" s="144">
        <v>0</v>
      </c>
      <c r="Q193" s="144">
        <v>0</v>
      </c>
      <c r="R193" s="144">
        <v>0</v>
      </c>
      <c r="S193" s="144">
        <v>0</v>
      </c>
      <c r="T193" s="144">
        <v>0</v>
      </c>
      <c r="U193" s="144">
        <v>0</v>
      </c>
      <c r="V193" s="144">
        <v>0</v>
      </c>
      <c r="W193" s="144">
        <v>0</v>
      </c>
      <c r="X193" s="144">
        <v>0</v>
      </c>
      <c r="Y193" s="144">
        <v>0</v>
      </c>
      <c r="Z193" s="144">
        <v>0</v>
      </c>
      <c r="AA193" s="144">
        <v>0</v>
      </c>
      <c r="AB193" s="144">
        <v>0</v>
      </c>
      <c r="AC193" s="144">
        <v>0</v>
      </c>
      <c r="AD193" s="144">
        <v>1</v>
      </c>
      <c r="AE193" s="144">
        <v>0.9</v>
      </c>
      <c r="AF193" s="144">
        <v>0.9</v>
      </c>
      <c r="AG193" s="144">
        <v>0.85</v>
      </c>
      <c r="AH193" s="144">
        <v>0.8</v>
      </c>
      <c r="AI193" s="144">
        <v>1.5333333333333334</v>
      </c>
      <c r="AJ193" s="144">
        <v>0.8</v>
      </c>
      <c r="AK193" s="144">
        <v>0.8</v>
      </c>
      <c r="AL193" s="144">
        <v>1.2666666666666666</v>
      </c>
      <c r="AM193" s="144">
        <v>0.82894736842105265</v>
      </c>
      <c r="AN193" s="144">
        <v>0.78289473684210531</v>
      </c>
      <c r="AO193" s="144">
        <v>0.9</v>
      </c>
      <c r="AP193" s="144">
        <v>0.85</v>
      </c>
      <c r="AQ193" s="144">
        <v>0.9</v>
      </c>
      <c r="AR193" s="144">
        <v>0.9</v>
      </c>
      <c r="AS193" s="144">
        <v>0.85</v>
      </c>
      <c r="AT193" s="144">
        <v>1.0666666666666667</v>
      </c>
      <c r="AU193" s="144">
        <v>1.2666666666666666</v>
      </c>
      <c r="AV193" s="144">
        <v>0.8</v>
      </c>
      <c r="AW193" s="144">
        <v>0.95</v>
      </c>
      <c r="AX193" s="144">
        <v>1.0666666666666667</v>
      </c>
      <c r="AY193" s="144">
        <v>0.875</v>
      </c>
      <c r="AZ193" s="144">
        <v>0.875</v>
      </c>
      <c r="BA193" s="144">
        <v>0.8</v>
      </c>
      <c r="BB193" s="144">
        <v>0.9</v>
      </c>
      <c r="BC193" s="144">
        <v>0.85</v>
      </c>
      <c r="BD193" s="144">
        <v>0.9</v>
      </c>
      <c r="BE193" s="144">
        <v>5.2857142857142856</v>
      </c>
      <c r="BF193" s="144">
        <v>0</v>
      </c>
      <c r="BG193" s="144">
        <v>0</v>
      </c>
      <c r="BH193" s="144">
        <v>0</v>
      </c>
      <c r="BI193" s="144">
        <v>0</v>
      </c>
      <c r="BJ193" s="144">
        <v>0</v>
      </c>
      <c r="BK193" s="144">
        <v>0</v>
      </c>
      <c r="BL193" s="144">
        <v>0</v>
      </c>
      <c r="BM193" s="144">
        <v>0</v>
      </c>
      <c r="BN193" s="144">
        <v>0</v>
      </c>
      <c r="BO193" s="144">
        <v>0</v>
      </c>
      <c r="BP193" s="144">
        <v>0</v>
      </c>
      <c r="BQ193" s="144">
        <v>0</v>
      </c>
      <c r="BR193" s="144">
        <v>0</v>
      </c>
      <c r="BS193" s="144">
        <v>0</v>
      </c>
      <c r="BT193" s="144">
        <v>0</v>
      </c>
      <c r="BU193" s="144">
        <v>0</v>
      </c>
      <c r="BV193" s="144">
        <v>0</v>
      </c>
      <c r="BW193" s="144">
        <v>0</v>
      </c>
      <c r="BX193" s="144">
        <v>0</v>
      </c>
      <c r="BY193" s="144">
        <v>0</v>
      </c>
      <c r="BZ193" s="144">
        <v>0</v>
      </c>
      <c r="CA193" s="144">
        <v>0</v>
      </c>
      <c r="CB193" s="144">
        <v>0</v>
      </c>
      <c r="CC193" s="144">
        <v>0</v>
      </c>
      <c r="CD193" s="144">
        <v>0</v>
      </c>
      <c r="CE193" s="144">
        <v>0</v>
      </c>
      <c r="CF193" s="144">
        <v>0</v>
      </c>
      <c r="CG193" s="144">
        <v>0</v>
      </c>
      <c r="CH193" s="144">
        <v>0</v>
      </c>
      <c r="CI193" s="144">
        <v>0</v>
      </c>
      <c r="CJ193" s="144">
        <v>0</v>
      </c>
      <c r="CK193" s="144">
        <v>0</v>
      </c>
      <c r="CL193" s="144">
        <v>0</v>
      </c>
      <c r="CM193" s="144">
        <v>0</v>
      </c>
      <c r="CN193" s="144">
        <v>0</v>
      </c>
      <c r="CO193" s="144">
        <v>0</v>
      </c>
      <c r="CP193" s="144">
        <v>0</v>
      </c>
      <c r="CQ193" s="143">
        <v>0</v>
      </c>
      <c r="CR193" s="145">
        <v>0</v>
      </c>
      <c r="CS193" s="145">
        <v>0</v>
      </c>
      <c r="CT193" s="145">
        <v>0</v>
      </c>
      <c r="CU193" s="145">
        <v>0</v>
      </c>
      <c r="CV193" s="145">
        <v>0</v>
      </c>
      <c r="CW193" s="145">
        <v>0</v>
      </c>
      <c r="CX193" s="145">
        <v>0</v>
      </c>
      <c r="CY193" s="145">
        <v>0</v>
      </c>
      <c r="CZ193" s="145">
        <v>0</v>
      </c>
      <c r="DA193" s="145">
        <v>0</v>
      </c>
      <c r="DB193" s="145">
        <v>0</v>
      </c>
      <c r="DC193" s="145">
        <v>0</v>
      </c>
      <c r="DD193" s="145">
        <v>0</v>
      </c>
      <c r="DE193" s="145">
        <v>0</v>
      </c>
      <c r="DF193" s="145">
        <v>0</v>
      </c>
      <c r="DG193" s="145">
        <v>0</v>
      </c>
      <c r="DH193" s="145">
        <v>0</v>
      </c>
      <c r="DI193" s="145">
        <v>0</v>
      </c>
      <c r="DJ193" s="145">
        <v>0</v>
      </c>
      <c r="DK193" s="145">
        <v>30076.2</v>
      </c>
      <c r="DL193" s="145">
        <v>27068.58</v>
      </c>
      <c r="DM193" s="145">
        <v>27068.58</v>
      </c>
      <c r="DN193" s="145">
        <v>25564.77</v>
      </c>
      <c r="DO193" s="145">
        <v>18045.72</v>
      </c>
      <c r="DP193" s="145">
        <v>34587.630000000005</v>
      </c>
      <c r="DQ193" s="145">
        <v>24060.960000000003</v>
      </c>
      <c r="DR193" s="145">
        <v>24776.639999999999</v>
      </c>
      <c r="DS193" s="145">
        <v>29422.26</v>
      </c>
      <c r="DT193" s="145">
        <v>27873.72</v>
      </c>
      <c r="DU193" s="145">
        <v>26325.18</v>
      </c>
      <c r="DV193" s="145">
        <v>27873.72</v>
      </c>
      <c r="DW193" s="145">
        <v>26325.18</v>
      </c>
      <c r="DX193" s="145">
        <v>27873.72</v>
      </c>
      <c r="DY193" s="145">
        <v>27873.72</v>
      </c>
      <c r="DZ193" s="145">
        <v>26325.18</v>
      </c>
      <c r="EA193" s="145">
        <v>24776.639999999999</v>
      </c>
      <c r="EB193" s="145">
        <v>29422.26</v>
      </c>
      <c r="EC193" s="145">
        <v>24776.639999999999</v>
      </c>
      <c r="ED193" s="145">
        <v>30302.720000000001</v>
      </c>
      <c r="EE193" s="145">
        <v>25518.080000000002</v>
      </c>
      <c r="EF193" s="145">
        <v>30302.720000000001</v>
      </c>
      <c r="EG193" s="145">
        <v>30302.720000000001</v>
      </c>
      <c r="EH193" s="145">
        <v>25518.080000000002</v>
      </c>
      <c r="EI193" s="145">
        <v>28707.84</v>
      </c>
      <c r="EJ193" s="145">
        <v>27112.959999999999</v>
      </c>
      <c r="EK193" s="145">
        <v>28707.84</v>
      </c>
      <c r="EL193" s="145">
        <v>168601.60000000001</v>
      </c>
      <c r="EM193" s="145">
        <v>0</v>
      </c>
      <c r="EN193" s="145">
        <v>0</v>
      </c>
      <c r="EO193" s="145">
        <v>0</v>
      </c>
      <c r="EP193" s="145">
        <v>0</v>
      </c>
      <c r="EQ193" s="145">
        <v>0</v>
      </c>
      <c r="ER193" s="145">
        <v>0</v>
      </c>
      <c r="ES193" s="145">
        <v>0</v>
      </c>
      <c r="ET193" s="145">
        <v>0</v>
      </c>
      <c r="EU193" s="145">
        <v>0</v>
      </c>
      <c r="EV193" s="145">
        <v>0</v>
      </c>
      <c r="EW193" s="145">
        <v>0</v>
      </c>
      <c r="EX193" s="145">
        <v>0</v>
      </c>
      <c r="EY193" s="145">
        <v>0</v>
      </c>
      <c r="EZ193" s="145">
        <v>0</v>
      </c>
      <c r="FA193" s="145">
        <v>0</v>
      </c>
      <c r="FB193" s="145">
        <v>0</v>
      </c>
      <c r="FC193" s="145">
        <v>0</v>
      </c>
      <c r="FD193" s="145">
        <v>0</v>
      </c>
      <c r="FE193" s="145">
        <v>0</v>
      </c>
      <c r="FF193" s="145">
        <v>0</v>
      </c>
      <c r="FG193" s="145">
        <v>0</v>
      </c>
      <c r="FH193" s="145">
        <v>0</v>
      </c>
      <c r="FI193" s="145">
        <v>0</v>
      </c>
      <c r="FJ193" s="145">
        <v>0</v>
      </c>
      <c r="FK193" s="145">
        <v>0</v>
      </c>
      <c r="FL193" s="145">
        <v>0</v>
      </c>
      <c r="FM193" s="145">
        <v>0</v>
      </c>
      <c r="FN193" s="145">
        <v>0</v>
      </c>
      <c r="FO193" s="145">
        <v>0</v>
      </c>
      <c r="FP193" s="145">
        <v>0</v>
      </c>
      <c r="FQ193" s="145">
        <v>0</v>
      </c>
      <c r="FR193" s="145">
        <v>0</v>
      </c>
      <c r="FS193" s="145">
        <v>0</v>
      </c>
      <c r="FT193" s="145">
        <v>0</v>
      </c>
      <c r="FU193" s="145">
        <v>0</v>
      </c>
      <c r="FV193" s="145">
        <v>0</v>
      </c>
      <c r="FW193" s="145">
        <v>0</v>
      </c>
      <c r="FX193" s="143"/>
      <c r="FY193" s="146" t="str">
        <f>_xlfn.XLOOKUP($E193,'Key assumptions'!$B$112:$B$120,'Key assumptions'!$C$112:$C$120,0)</f>
        <v>Nominal</v>
      </c>
      <c r="FZ193" s="146" cm="1">
        <f t="array" ref="FZ193">IF($FY193=0,0,_xlfn.IFS($FY193='Key assumptions'!$C$120,_xlfn.XLOOKUP(LEFT(FZ$7,6),Inflation_Year,Inflation_NominaltoReal),TRUE,_xlfn.XLOOKUP($FY193,Inflation_Year,NominaltoReal)))</f>
        <v>1.0197075870962191</v>
      </c>
      <c r="GA193" s="146" cm="1">
        <f t="array" ref="GA193">IF($FY193=0,0,_xlfn.IFS($FY193='Key assumptions'!$C$120,_xlfn.XLOOKUP(LEFT(GA$7,6),Inflation_Year,Inflation_NominaltoReal),TRUE,_xlfn.XLOOKUP($FY193,Inflation_Year,NominaltoReal)))</f>
        <v>0.98700804022984445</v>
      </c>
      <c r="GB193" s="146" cm="1">
        <f t="array" ref="GB193">IF($FY193=0,0,_xlfn.IFS($FY193='Key assumptions'!$C$120,_xlfn.XLOOKUP(LEFT(GB$7,6),Inflation_Year,Inflation_NominaltoReal),TRUE,_xlfn.XLOOKUP($FY193,Inflation_Year,NominaltoReal)))</f>
        <v>0.96152830081941731</v>
      </c>
      <c r="GC193" s="146" cm="1">
        <f t="array" ref="GC193">IF($FY193=0,0,_xlfn.IFS($FY193='Key assumptions'!$C$120,_xlfn.XLOOKUP(LEFT(GC$7,6),Inflation_Year,Inflation_NominaltoReal),TRUE,_xlfn.XLOOKUP($FY193,Inflation_Year,NominaltoReal)))</f>
        <v>0.93670632415656829</v>
      </c>
      <c r="GD193" s="146" cm="1">
        <f t="array" ref="GD193">IF($FY193=0,0,_xlfn.IFS($FY193='Key assumptions'!$C$120,_xlfn.XLOOKUP(LEFT(GD$7,6),Inflation_Year,Inflation_NominaltoReal),TRUE,_xlfn.XLOOKUP($FY193,Inflation_Year,NominaltoReal)))</f>
        <v>0.91252513001143176</v>
      </c>
      <c r="GE193" s="146" cm="1">
        <f t="array" ref="GE193">IF($FY193=0,0,_xlfn.IFS($FY193='Key assumptions'!$C$120,_xlfn.XLOOKUP(LEFT(GE$7,6),Inflation_Year,Inflation_NominaltoReal),TRUE,_xlfn.XLOOKUP($FY193,Inflation_Year,NominaltoReal)))</f>
        <v>0.88896817650095872</v>
      </c>
      <c r="GF193" s="146" cm="1">
        <f t="array" ref="GF193">IF($FY193=0,0,_xlfn.IFS($FY193='Key assumptions'!$C$120,_xlfn.XLOOKUP(LEFT(GF$7,6),Inflation_Year,Inflation_NominaltoReal),TRUE,_xlfn.XLOOKUP($FY193,Inflation_Year,NominaltoReal)))</f>
        <v>0.86601934877293718</v>
      </c>
      <c r="GG193" s="143"/>
      <c r="GH193" s="145" cm="1">
        <f t="array" ref="GH193">SUMPRODUCT(--($CR$7:$FW$7&gt;=GH$5),--($CR$7:$FW$7&lt;=GH$6),$CR193:$FW193)*FZ193</f>
        <v>58270.965728944277</v>
      </c>
      <c r="GI193" s="145" cm="1">
        <f t="array" ref="GI193">SUMPRODUCT(--($CR$7:$FW$7&gt;=GI$5),--($CR$7:$FW$7&lt;=GI$6),$CR193:$FW193)*GA193</f>
        <v>315643.2762100671</v>
      </c>
      <c r="GJ193" s="145" cm="1">
        <f t="array" ref="GJ193">SUMPRODUCT(--($CR$7:$FW$7&gt;=GJ$5),--($CR$7:$FW$7&lt;=GJ$6),$CR193:$FW193)*GB193</f>
        <v>318207.75280072563</v>
      </c>
      <c r="GK193" s="145" cm="1">
        <f t="array" ref="GK193">SUMPRODUCT(--($CR$7:$FW$7&gt;=GK$5),--($CR$7:$FW$7&lt;=GK$6),$CR193:$FW193)*GC193</f>
        <v>184821.00026379098</v>
      </c>
      <c r="GL193" s="145" cm="1">
        <f t="array" ref="GL193">SUMPRODUCT(--($CR$7:$FW$7&gt;=GL$5),--($CR$7:$FW$7&lt;=GL$6),$CR193:$FW193)*GD193</f>
        <v>0</v>
      </c>
      <c r="GM193" s="145" cm="1">
        <f t="array" ref="GM193">SUMPRODUCT(--($CR$7:$FW$7&gt;=GM$5),--($CR$7:$FW$7&lt;=GM$6),$CR193:$FW193)*GE193</f>
        <v>0</v>
      </c>
      <c r="GN193" s="145" cm="1">
        <f t="array" ref="GN193">SUMPRODUCT(--($CR$7:$FW$7&gt;=GN$5),--($CR$7:$FW$7&lt;=GN$6),$CR193:$FW193)*GF193</f>
        <v>0</v>
      </c>
      <c r="GO193" s="145">
        <f t="shared" si="46"/>
        <v>876942.99500352796</v>
      </c>
      <c r="GP193" s="87"/>
      <c r="GR193" s="145" cm="1">
        <f t="array" ref="GR193">SUMPRODUCT(--($CR$7:$FW$7&gt;=GR$5),--($CR$7:$FW$7&lt;=GR$6),$CR193:$FW193)</f>
        <v>0</v>
      </c>
      <c r="GT193" s="214" cm="1">
        <f t="array" ref="GT193">--AND(MIN(IF($K193:$CP193&lt;&gt;0,$K$7:$CP$7))&gt;=GT$5,MIN(IF($K193:$CP193&lt;&gt;0,$K$7:$CP$7))&lt;=GT$6)</f>
        <v>1</v>
      </c>
      <c r="GU193" s="214" cm="1">
        <f t="array" ref="GU193">--AND(MIN(IF($K193:$CP193&lt;&gt;0,$K$7:$CP$7))&gt;=GU$5,MIN(IF($K193:$CP193&lt;&gt;0,$K$7:$CP$7))&lt;=GU$6)</f>
        <v>0</v>
      </c>
      <c r="GV193" s="214" cm="1">
        <f t="array" ref="GV193">--AND(MIN(IF($K193:$CP193&lt;&gt;0,$K$7:$CP$7))&gt;=GV$5,MIN(IF($K193:$CP193&lt;&gt;0,$K$7:$CP$7))&lt;=GV$6)</f>
        <v>0</v>
      </c>
      <c r="GW193" s="214" cm="1">
        <f t="array" ref="GW193">--AND(MIN(IF($K193:$CP193&lt;&gt;0,$K$7:$CP$7))&gt;=GW$5,MIN(IF($K193:$CP193&lt;&gt;0,$K$7:$CP$7))&lt;=GW$6)</f>
        <v>0</v>
      </c>
      <c r="GX193" s="214" cm="1">
        <f t="array" ref="GX193">--AND(MIN(IF($K193:$CP193&lt;&gt;0,$K$7:$CP$7))&gt;=GX$5,MIN(IF($K193:$CP193&lt;&gt;0,$K$7:$CP$7))&lt;=GX$6)</f>
        <v>0</v>
      </c>
      <c r="GY193" s="214" cm="1">
        <f t="array" ref="GY193">--AND(MIN(IF($K193:$CP193&lt;&gt;0,$K$7:$CP$7))&gt;=GY$5,MIN(IF($K193:$CP193&lt;&gt;0,$K$7:$CP$7))&lt;=GY$6)</f>
        <v>0</v>
      </c>
      <c r="GZ193" s="214" cm="1">
        <f t="array" ref="GZ193">--AND(MIN(IF($K193:$CP193&lt;&gt;0,$K$7:$CP$7))&gt;=GZ$5,MIN(IF($K193:$CP193&lt;&gt;0,$K$7:$CP$7))&lt;=GZ$6)</f>
        <v>0</v>
      </c>
      <c r="HA193" s="214">
        <f t="shared" si="47"/>
        <v>1</v>
      </c>
      <c r="HC193" s="214" cm="1">
        <f t="array" ref="HC193">--AND(MIN(IF($K193:$CP193&lt;&gt;0,$K$7:$CP$7))&gt;=HC$5,MIN(IF($K193:$CP193&lt;&gt;0,$K$7:$CP$7))&lt;=HC$6)</f>
        <v>0</v>
      </c>
      <c r="HE193" s="147" t="str">
        <f t="shared" si="66"/>
        <v>No</v>
      </c>
      <c r="HF193" s="147" t="str">
        <f t="shared" si="67"/>
        <v>No</v>
      </c>
      <c r="HG193" s="147">
        <f>IF($HF193="Yes",0,$H193*avg_hrs*12*'Key assumptions'!$D$87)</f>
        <v>384173.83131128055</v>
      </c>
      <c r="HH193" s="147">
        <f>IF(HE193="Yes",'Key assumptions'!$D$84*HG193,0)</f>
        <v>0</v>
      </c>
      <c r="HI193" s="144">
        <f>IFERROR(AVERAGEIFS($K193:$CP193,$K$7:$CP$7,"&gt;="&amp;'Key assumptions'!$D$24,$K$7:$CP$7,"&lt;="&amp;'Key assumptions'!$D$25),0)</f>
        <v>0.69312628161312373</v>
      </c>
      <c r="HJ193" s="148">
        <f t="shared" si="68"/>
        <v>0</v>
      </c>
      <c r="HK193" s="148">
        <f t="shared" si="49"/>
        <v>0</v>
      </c>
      <c r="HL193" s="148">
        <f t="shared" si="50"/>
        <v>0</v>
      </c>
      <c r="HM193" s="148">
        <f t="shared" si="51"/>
        <v>0</v>
      </c>
      <c r="HN193" s="148">
        <f t="shared" si="52"/>
        <v>0</v>
      </c>
      <c r="HO193" s="148">
        <f t="shared" si="53"/>
        <v>0</v>
      </c>
      <c r="HP193" s="148">
        <f t="shared" si="54"/>
        <v>0</v>
      </c>
      <c r="HQ193" s="148">
        <f t="shared" si="55"/>
        <v>0</v>
      </c>
      <c r="HR193" s="147">
        <f t="shared" si="56"/>
        <v>0</v>
      </c>
      <c r="HU193" s="147">
        <f>$HJ193*HC193/(1+'Key assumptions'!G215)^0.75</f>
        <v>0</v>
      </c>
      <c r="HW193" s="216">
        <f t="shared" si="57"/>
        <v>0.69312628161312373</v>
      </c>
      <c r="HX193" s="216">
        <f t="shared" si="58"/>
        <v>0</v>
      </c>
      <c r="HY193" s="216">
        <f t="shared" si="59"/>
        <v>0</v>
      </c>
      <c r="HZ193" s="216">
        <f t="shared" si="60"/>
        <v>0</v>
      </c>
      <c r="IA193" s="216">
        <f t="shared" si="61"/>
        <v>0</v>
      </c>
      <c r="IB193" s="216">
        <f t="shared" si="62"/>
        <v>0</v>
      </c>
      <c r="IC193" s="216">
        <f t="shared" si="63"/>
        <v>0</v>
      </c>
      <c r="ID193" s="216">
        <f t="shared" si="64"/>
        <v>0.69312628161312373</v>
      </c>
      <c r="IF193" s="216">
        <f t="shared" si="65"/>
        <v>0</v>
      </c>
    </row>
    <row r="194" spans="2:240" x14ac:dyDescent="0.2">
      <c r="B194" s="141" t="str">
        <v>Project Delivery Management - Construction Management</v>
      </c>
      <c r="C194" s="141" t="str">
        <v>Substation Site Manager - Senior (Construction)</v>
      </c>
      <c r="D194" s="141" t="str">
        <v>Internal Labour</v>
      </c>
      <c r="E194" s="141" t="str">
        <v>$ Nominal</v>
      </c>
      <c r="F194" s="141">
        <v>0</v>
      </c>
      <c r="G194" s="141" t="str">
        <v>Overtime</v>
      </c>
      <c r="H194" s="142">
        <v>214.83</v>
      </c>
      <c r="I194" s="126">
        <v>1246967.6099999999</v>
      </c>
      <c r="J194" s="143">
        <v>0</v>
      </c>
      <c r="K194" s="144">
        <v>0</v>
      </c>
      <c r="L194" s="144">
        <v>0</v>
      </c>
      <c r="M194" s="144">
        <v>0</v>
      </c>
      <c r="N194" s="144">
        <v>0</v>
      </c>
      <c r="O194" s="144">
        <v>0</v>
      </c>
      <c r="P194" s="144">
        <v>0</v>
      </c>
      <c r="Q194" s="144">
        <v>0</v>
      </c>
      <c r="R194" s="144">
        <v>0</v>
      </c>
      <c r="S194" s="144">
        <v>0</v>
      </c>
      <c r="T194" s="144">
        <v>0</v>
      </c>
      <c r="U194" s="144">
        <v>0</v>
      </c>
      <c r="V194" s="144">
        <v>0</v>
      </c>
      <c r="W194" s="144">
        <v>0</v>
      </c>
      <c r="X194" s="144">
        <v>0</v>
      </c>
      <c r="Y194" s="144">
        <v>0</v>
      </c>
      <c r="Z194" s="144">
        <v>0</v>
      </c>
      <c r="AA194" s="144">
        <v>0</v>
      </c>
      <c r="AB194" s="144">
        <v>0</v>
      </c>
      <c r="AC194" s="144">
        <v>0</v>
      </c>
      <c r="AD194" s="144">
        <v>0.5714285714285714</v>
      </c>
      <c r="AE194" s="144">
        <v>0.72857142857142854</v>
      </c>
      <c r="AF194" s="144">
        <v>0.72857142857142854</v>
      </c>
      <c r="AG194" s="144">
        <v>0.70714285714285718</v>
      </c>
      <c r="AH194" s="144">
        <v>0.8</v>
      </c>
      <c r="AI194" s="144">
        <v>1.3428571428571427</v>
      </c>
      <c r="AJ194" s="144">
        <v>0.68571428571428572</v>
      </c>
      <c r="AK194" s="144">
        <v>0.68571428571428572</v>
      </c>
      <c r="AL194" s="144">
        <v>1</v>
      </c>
      <c r="AM194" s="144">
        <v>0.75</v>
      </c>
      <c r="AN194" s="144">
        <v>0.73026315789473684</v>
      </c>
      <c r="AO194" s="144">
        <v>0.72857142857142854</v>
      </c>
      <c r="AP194" s="144">
        <v>0.70714285714285718</v>
      </c>
      <c r="AQ194" s="144">
        <v>0.72857142857142854</v>
      </c>
      <c r="AR194" s="144">
        <v>0.72857142857142854</v>
      </c>
      <c r="AS194" s="144">
        <v>0.87857142857142856</v>
      </c>
      <c r="AT194" s="144">
        <v>0.68571428571428572</v>
      </c>
      <c r="AU194" s="144">
        <v>1.2285714285714286</v>
      </c>
      <c r="AV194" s="144">
        <v>0.68571428571428572</v>
      </c>
      <c r="AW194" s="144">
        <v>0.75</v>
      </c>
      <c r="AX194" s="144">
        <v>0.91428571428571426</v>
      </c>
      <c r="AY194" s="144">
        <v>0.84868421052631582</v>
      </c>
      <c r="AZ194" s="144">
        <v>0.84868421052631582</v>
      </c>
      <c r="BA194" s="144">
        <v>0.68571428571428572</v>
      </c>
      <c r="BB194" s="144">
        <v>0.72857142857142854</v>
      </c>
      <c r="BC194" s="144">
        <v>0.70714285714285718</v>
      </c>
      <c r="BD194" s="144">
        <v>0.72857142857142854</v>
      </c>
      <c r="BE194" s="144">
        <v>0</v>
      </c>
      <c r="BF194" s="144">
        <v>0</v>
      </c>
      <c r="BG194" s="144">
        <v>0</v>
      </c>
      <c r="BH194" s="144">
        <v>0</v>
      </c>
      <c r="BI194" s="144">
        <v>0</v>
      </c>
      <c r="BJ194" s="144">
        <v>0</v>
      </c>
      <c r="BK194" s="144">
        <v>0</v>
      </c>
      <c r="BL194" s="144">
        <v>0</v>
      </c>
      <c r="BM194" s="144">
        <v>0</v>
      </c>
      <c r="BN194" s="144">
        <v>0</v>
      </c>
      <c r="BO194" s="144">
        <v>0</v>
      </c>
      <c r="BP194" s="144">
        <v>0</v>
      </c>
      <c r="BQ194" s="144">
        <v>0</v>
      </c>
      <c r="BR194" s="144">
        <v>0</v>
      </c>
      <c r="BS194" s="144">
        <v>0</v>
      </c>
      <c r="BT194" s="144">
        <v>0</v>
      </c>
      <c r="BU194" s="144">
        <v>0</v>
      </c>
      <c r="BV194" s="144">
        <v>0</v>
      </c>
      <c r="BW194" s="144">
        <v>0</v>
      </c>
      <c r="BX194" s="144">
        <v>0</v>
      </c>
      <c r="BY194" s="144">
        <v>0</v>
      </c>
      <c r="BZ194" s="144">
        <v>0</v>
      </c>
      <c r="CA194" s="144">
        <v>0</v>
      </c>
      <c r="CB194" s="144">
        <v>0</v>
      </c>
      <c r="CC194" s="144">
        <v>0</v>
      </c>
      <c r="CD194" s="144">
        <v>0</v>
      </c>
      <c r="CE194" s="144">
        <v>0</v>
      </c>
      <c r="CF194" s="144">
        <v>0</v>
      </c>
      <c r="CG194" s="144">
        <v>0</v>
      </c>
      <c r="CH194" s="144">
        <v>0</v>
      </c>
      <c r="CI194" s="144">
        <v>0</v>
      </c>
      <c r="CJ194" s="144">
        <v>0</v>
      </c>
      <c r="CK194" s="144">
        <v>0</v>
      </c>
      <c r="CL194" s="144">
        <v>0</v>
      </c>
      <c r="CM194" s="144">
        <v>0</v>
      </c>
      <c r="CN194" s="144">
        <v>0</v>
      </c>
      <c r="CO194" s="144">
        <v>0</v>
      </c>
      <c r="CP194" s="144">
        <v>0</v>
      </c>
      <c r="CQ194" s="143">
        <v>0</v>
      </c>
      <c r="CR194" s="145">
        <v>0</v>
      </c>
      <c r="CS194" s="145">
        <v>0</v>
      </c>
      <c r="CT194" s="145">
        <v>0</v>
      </c>
      <c r="CU194" s="145">
        <v>0</v>
      </c>
      <c r="CV194" s="145">
        <v>0</v>
      </c>
      <c r="CW194" s="145">
        <v>0</v>
      </c>
      <c r="CX194" s="145">
        <v>0</v>
      </c>
      <c r="CY194" s="145">
        <v>0</v>
      </c>
      <c r="CZ194" s="145">
        <v>0</v>
      </c>
      <c r="DA194" s="145">
        <v>0</v>
      </c>
      <c r="DB194" s="145">
        <v>0</v>
      </c>
      <c r="DC194" s="145">
        <v>0</v>
      </c>
      <c r="DD194" s="145">
        <v>0</v>
      </c>
      <c r="DE194" s="145">
        <v>0</v>
      </c>
      <c r="DF194" s="145">
        <v>0</v>
      </c>
      <c r="DG194" s="145">
        <v>0</v>
      </c>
      <c r="DH194" s="145">
        <v>0</v>
      </c>
      <c r="DI194" s="145">
        <v>0</v>
      </c>
      <c r="DJ194" s="145">
        <v>0</v>
      </c>
      <c r="DK194" s="145">
        <v>34372.800000000003</v>
      </c>
      <c r="DL194" s="145">
        <v>43825.32</v>
      </c>
      <c r="DM194" s="145">
        <v>43825.32</v>
      </c>
      <c r="DN194" s="145">
        <v>42536.340000000004</v>
      </c>
      <c r="DO194" s="145">
        <v>36091.440000000002</v>
      </c>
      <c r="DP194" s="145">
        <v>60582.060000000005</v>
      </c>
      <c r="DQ194" s="145">
        <v>41247.360000000001</v>
      </c>
      <c r="DR194" s="145">
        <v>42475.199999999997</v>
      </c>
      <c r="DS194" s="145">
        <v>46457.25</v>
      </c>
      <c r="DT194" s="145">
        <v>50439.299999999996</v>
      </c>
      <c r="DU194" s="145">
        <v>49111.95</v>
      </c>
      <c r="DV194" s="145">
        <v>45129.9</v>
      </c>
      <c r="DW194" s="145">
        <v>43802.549999999996</v>
      </c>
      <c r="DX194" s="145">
        <v>45129.9</v>
      </c>
      <c r="DY194" s="145">
        <v>45129.9</v>
      </c>
      <c r="DZ194" s="145">
        <v>54421.35</v>
      </c>
      <c r="EA194" s="145">
        <v>31856.399999999998</v>
      </c>
      <c r="EB194" s="145">
        <v>57076.049999999996</v>
      </c>
      <c r="EC194" s="145">
        <v>42475.199999999997</v>
      </c>
      <c r="ED194" s="145">
        <v>47847.45</v>
      </c>
      <c r="EE194" s="145">
        <v>43746.239999999998</v>
      </c>
      <c r="EF194" s="145">
        <v>58784.01</v>
      </c>
      <c r="EG194" s="145">
        <v>58784.01</v>
      </c>
      <c r="EH194" s="145">
        <v>43746.239999999998</v>
      </c>
      <c r="EI194" s="145">
        <v>46480.38</v>
      </c>
      <c r="EJ194" s="145">
        <v>45113.31</v>
      </c>
      <c r="EK194" s="145">
        <v>46480.38</v>
      </c>
      <c r="EL194" s="145">
        <v>0</v>
      </c>
      <c r="EM194" s="145">
        <v>0</v>
      </c>
      <c r="EN194" s="145">
        <v>0</v>
      </c>
      <c r="EO194" s="145">
        <v>0</v>
      </c>
      <c r="EP194" s="145">
        <v>0</v>
      </c>
      <c r="EQ194" s="145">
        <v>0</v>
      </c>
      <c r="ER194" s="145">
        <v>0</v>
      </c>
      <c r="ES194" s="145">
        <v>0</v>
      </c>
      <c r="ET194" s="145">
        <v>0</v>
      </c>
      <c r="EU194" s="145">
        <v>0</v>
      </c>
      <c r="EV194" s="145">
        <v>0</v>
      </c>
      <c r="EW194" s="145">
        <v>0</v>
      </c>
      <c r="EX194" s="145">
        <v>0</v>
      </c>
      <c r="EY194" s="145">
        <v>0</v>
      </c>
      <c r="EZ194" s="145">
        <v>0</v>
      </c>
      <c r="FA194" s="145">
        <v>0</v>
      </c>
      <c r="FB194" s="145">
        <v>0</v>
      </c>
      <c r="FC194" s="145">
        <v>0</v>
      </c>
      <c r="FD194" s="145">
        <v>0</v>
      </c>
      <c r="FE194" s="145">
        <v>0</v>
      </c>
      <c r="FF194" s="145">
        <v>0</v>
      </c>
      <c r="FG194" s="145">
        <v>0</v>
      </c>
      <c r="FH194" s="145">
        <v>0</v>
      </c>
      <c r="FI194" s="145">
        <v>0</v>
      </c>
      <c r="FJ194" s="145">
        <v>0</v>
      </c>
      <c r="FK194" s="145">
        <v>0</v>
      </c>
      <c r="FL194" s="145">
        <v>0</v>
      </c>
      <c r="FM194" s="145">
        <v>0</v>
      </c>
      <c r="FN194" s="145">
        <v>0</v>
      </c>
      <c r="FO194" s="145">
        <v>0</v>
      </c>
      <c r="FP194" s="145">
        <v>0</v>
      </c>
      <c r="FQ194" s="145">
        <v>0</v>
      </c>
      <c r="FR194" s="145">
        <v>0</v>
      </c>
      <c r="FS194" s="145">
        <v>0</v>
      </c>
      <c r="FT194" s="145">
        <v>0</v>
      </c>
      <c r="FU194" s="145">
        <v>0</v>
      </c>
      <c r="FV194" s="145">
        <v>0</v>
      </c>
      <c r="FW194" s="145">
        <v>0</v>
      </c>
      <c r="FX194" s="143"/>
      <c r="FY194" s="146" t="str">
        <f>_xlfn.XLOOKUP($E194,'Key assumptions'!$B$112:$B$120,'Key assumptions'!$C$112:$C$120,0)</f>
        <v>Nominal</v>
      </c>
      <c r="FZ194" s="146" cm="1">
        <f t="array" ref="FZ194">IF($FY194=0,0,_xlfn.IFS($FY194='Key assumptions'!$C$120,_xlfn.XLOOKUP(LEFT(FZ$7,6),Inflation_Year,Inflation_NominaltoReal),TRUE,_xlfn.XLOOKUP($FY194,Inflation_Year,NominaltoReal)))</f>
        <v>1.0197075870962191</v>
      </c>
      <c r="GA194" s="146" cm="1">
        <f t="array" ref="GA194">IF($FY194=0,0,_xlfn.IFS($FY194='Key assumptions'!$C$120,_xlfn.XLOOKUP(LEFT(GA$7,6),Inflation_Year,Inflation_NominaltoReal),TRUE,_xlfn.XLOOKUP($FY194,Inflation_Year,NominaltoReal)))</f>
        <v>0.98700804022984445</v>
      </c>
      <c r="GB194" s="146" cm="1">
        <f t="array" ref="GB194">IF($FY194=0,0,_xlfn.IFS($FY194='Key assumptions'!$C$120,_xlfn.XLOOKUP(LEFT(GB$7,6),Inflation_Year,Inflation_NominaltoReal),TRUE,_xlfn.XLOOKUP($FY194,Inflation_Year,NominaltoReal)))</f>
        <v>0.96152830081941731</v>
      </c>
      <c r="GC194" s="146" cm="1">
        <f t="array" ref="GC194">IF($FY194=0,0,_xlfn.IFS($FY194='Key assumptions'!$C$120,_xlfn.XLOOKUP(LEFT(GC$7,6),Inflation_Year,Inflation_NominaltoReal),TRUE,_xlfn.XLOOKUP($FY194,Inflation_Year,NominaltoReal)))</f>
        <v>0.93670632415656829</v>
      </c>
      <c r="GD194" s="146" cm="1">
        <f t="array" ref="GD194">IF($FY194=0,0,_xlfn.IFS($FY194='Key assumptions'!$C$120,_xlfn.XLOOKUP(LEFT(GD$7,6),Inflation_Year,Inflation_NominaltoReal),TRUE,_xlfn.XLOOKUP($FY194,Inflation_Year,NominaltoReal)))</f>
        <v>0.91252513001143176</v>
      </c>
      <c r="GE194" s="146" cm="1">
        <f t="array" ref="GE194">IF($FY194=0,0,_xlfn.IFS($FY194='Key assumptions'!$C$120,_xlfn.XLOOKUP(LEFT(GE$7,6),Inflation_Year,Inflation_NominaltoReal),TRUE,_xlfn.XLOOKUP($FY194,Inflation_Year,NominaltoReal)))</f>
        <v>0.88896817650095872</v>
      </c>
      <c r="GF194" s="146" cm="1">
        <f t="array" ref="GF194">IF($FY194=0,0,_xlfn.IFS($FY194='Key assumptions'!$C$120,_xlfn.XLOOKUP(LEFT(GF$7,6),Inflation_Year,Inflation_NominaltoReal),TRUE,_xlfn.XLOOKUP($FY194,Inflation_Year,NominaltoReal)))</f>
        <v>0.86601934877293718</v>
      </c>
      <c r="GG194" s="143"/>
      <c r="GH194" s="145" cm="1">
        <f t="array" ref="GH194">SUMPRODUCT(--($CR$7:$FW$7&gt;=GH$5),--($CR$7:$FW$7&lt;=GH$6),$CR194:$FW194)*FZ194</f>
        <v>79739.216260660585</v>
      </c>
      <c r="GI194" s="145" cm="1">
        <f t="array" ref="GI194">SUMPRODUCT(--($CR$7:$FW$7&gt;=GI$5),--($CR$7:$FW$7&lt;=GI$6),$CR194:$FW194)*GA194</f>
        <v>539724.19521738833</v>
      </c>
      <c r="GJ194" s="145" cm="1">
        <f t="array" ref="GJ194">SUMPRODUCT(--($CR$7:$FW$7&gt;=GJ$5),--($CR$7:$FW$7&lt;=GJ$6),$CR194:$FW194)*GB194</f>
        <v>553321.59521482431</v>
      </c>
      <c r="GK194" s="145" cm="1">
        <f t="array" ref="GK194">SUMPRODUCT(--($CR$7:$FW$7&gt;=GK$5),--($CR$7:$FW$7&lt;=GK$6),$CR194:$FW194)*GC194</f>
        <v>43538.465895200468</v>
      </c>
      <c r="GL194" s="145" cm="1">
        <f t="array" ref="GL194">SUMPRODUCT(--($CR$7:$FW$7&gt;=GL$5),--($CR$7:$FW$7&lt;=GL$6),$CR194:$FW194)*GD194</f>
        <v>0</v>
      </c>
      <c r="GM194" s="145" cm="1">
        <f t="array" ref="GM194">SUMPRODUCT(--($CR$7:$FW$7&gt;=GM$5),--($CR$7:$FW$7&lt;=GM$6),$CR194:$FW194)*GE194</f>
        <v>0</v>
      </c>
      <c r="GN194" s="145" cm="1">
        <f t="array" ref="GN194">SUMPRODUCT(--($CR$7:$FW$7&gt;=GN$5),--($CR$7:$FW$7&lt;=GN$6),$CR194:$FW194)*GF194</f>
        <v>0</v>
      </c>
      <c r="GO194" s="145">
        <f t="shared" si="46"/>
        <v>1216323.4725880737</v>
      </c>
      <c r="GP194" s="87"/>
      <c r="GR194" s="145" cm="1">
        <f t="array" ref="GR194">SUMPRODUCT(--($CR$7:$FW$7&gt;=GR$5),--($CR$7:$FW$7&lt;=GR$6),$CR194:$FW194)</f>
        <v>0</v>
      </c>
      <c r="GT194" s="214" cm="1">
        <f t="array" ref="GT194">--AND(MIN(IF($K194:$CP194&lt;&gt;0,$K$7:$CP$7))&gt;=GT$5,MIN(IF($K194:$CP194&lt;&gt;0,$K$7:$CP$7))&lt;=GT$6)</f>
        <v>1</v>
      </c>
      <c r="GU194" s="214" cm="1">
        <f t="array" ref="GU194">--AND(MIN(IF($K194:$CP194&lt;&gt;0,$K$7:$CP$7))&gt;=GU$5,MIN(IF($K194:$CP194&lt;&gt;0,$K$7:$CP$7))&lt;=GU$6)</f>
        <v>0</v>
      </c>
      <c r="GV194" s="214" cm="1">
        <f t="array" ref="GV194">--AND(MIN(IF($K194:$CP194&lt;&gt;0,$K$7:$CP$7))&gt;=GV$5,MIN(IF($K194:$CP194&lt;&gt;0,$K$7:$CP$7))&lt;=GV$6)</f>
        <v>0</v>
      </c>
      <c r="GW194" s="214" cm="1">
        <f t="array" ref="GW194">--AND(MIN(IF($K194:$CP194&lt;&gt;0,$K$7:$CP$7))&gt;=GW$5,MIN(IF($K194:$CP194&lt;&gt;0,$K$7:$CP$7))&lt;=GW$6)</f>
        <v>0</v>
      </c>
      <c r="GX194" s="214" cm="1">
        <f t="array" ref="GX194">--AND(MIN(IF($K194:$CP194&lt;&gt;0,$K$7:$CP$7))&gt;=GX$5,MIN(IF($K194:$CP194&lt;&gt;0,$K$7:$CP$7))&lt;=GX$6)</f>
        <v>0</v>
      </c>
      <c r="GY194" s="214" cm="1">
        <f t="array" ref="GY194">--AND(MIN(IF($K194:$CP194&lt;&gt;0,$K$7:$CP$7))&gt;=GY$5,MIN(IF($K194:$CP194&lt;&gt;0,$K$7:$CP$7))&lt;=GY$6)</f>
        <v>0</v>
      </c>
      <c r="GZ194" s="214" cm="1">
        <f t="array" ref="GZ194">--AND(MIN(IF($K194:$CP194&lt;&gt;0,$K$7:$CP$7))&gt;=GZ$5,MIN(IF($K194:$CP194&lt;&gt;0,$K$7:$CP$7))&lt;=GZ$6)</f>
        <v>0</v>
      </c>
      <c r="HA194" s="214">
        <f t="shared" si="47"/>
        <v>1</v>
      </c>
      <c r="HC194" s="214" cm="1">
        <f t="array" ref="HC194">--AND(MIN(IF($K194:$CP194&lt;&gt;0,$K$7:$CP$7))&gt;=HC$5,MIN(IF($K194:$CP194&lt;&gt;0,$K$7:$CP$7))&lt;=HC$6)</f>
        <v>0</v>
      </c>
      <c r="HE194" s="147" t="str">
        <f t="shared" si="66"/>
        <v>No</v>
      </c>
      <c r="HF194" s="147" t="str">
        <f t="shared" si="67"/>
        <v>Yes</v>
      </c>
      <c r="HG194" s="147">
        <f>IF($HF194="Yes",0,$H194*avg_hrs*12*'Key assumptions'!$D$87)</f>
        <v>0</v>
      </c>
      <c r="HH194" s="147">
        <f>IF(HE194="Yes",'Key assumptions'!$D$84*HG194,0)</f>
        <v>0</v>
      </c>
      <c r="HI194" s="144">
        <f>IFERROR(AVERAGEIFS($K194:$CP194,$K$7:$CP$7,"&gt;="&amp;'Key assumptions'!$D$24,$K$7:$CP$7,"&lt;="&amp;'Key assumptions'!$D$25),0)</f>
        <v>0.48439422419685557</v>
      </c>
      <c r="HJ194" s="148">
        <f t="shared" si="68"/>
        <v>0</v>
      </c>
      <c r="HK194" s="148">
        <f t="shared" si="49"/>
        <v>0</v>
      </c>
      <c r="HL194" s="148">
        <f t="shared" si="50"/>
        <v>0</v>
      </c>
      <c r="HM194" s="148">
        <f t="shared" si="51"/>
        <v>0</v>
      </c>
      <c r="HN194" s="148">
        <f t="shared" si="52"/>
        <v>0</v>
      </c>
      <c r="HO194" s="148">
        <f t="shared" si="53"/>
        <v>0</v>
      </c>
      <c r="HP194" s="148">
        <f t="shared" si="54"/>
        <v>0</v>
      </c>
      <c r="HQ194" s="148">
        <f t="shared" si="55"/>
        <v>0</v>
      </c>
      <c r="HR194" s="147">
        <f t="shared" si="56"/>
        <v>0</v>
      </c>
      <c r="HU194" s="147">
        <f>$HJ194*HC194/(1+'Key assumptions'!G216)^0.75</f>
        <v>0</v>
      </c>
      <c r="HW194" s="216">
        <f t="shared" si="57"/>
        <v>0.48439422419685557</v>
      </c>
      <c r="HX194" s="216">
        <f t="shared" si="58"/>
        <v>0</v>
      </c>
      <c r="HY194" s="216">
        <f t="shared" si="59"/>
        <v>0</v>
      </c>
      <c r="HZ194" s="216">
        <f t="shared" si="60"/>
        <v>0</v>
      </c>
      <c r="IA194" s="216">
        <f t="shared" si="61"/>
        <v>0</v>
      </c>
      <c r="IB194" s="216">
        <f t="shared" si="62"/>
        <v>0</v>
      </c>
      <c r="IC194" s="216">
        <f t="shared" si="63"/>
        <v>0</v>
      </c>
      <c r="ID194" s="216">
        <f t="shared" si="64"/>
        <v>0.48439422419685557</v>
      </c>
      <c r="IF194" s="216">
        <f t="shared" si="65"/>
        <v>0</v>
      </c>
    </row>
    <row r="195" spans="2:240" x14ac:dyDescent="0.2">
      <c r="B195" s="141" t="str">
        <v>Project Delivery Management - Construction Management</v>
      </c>
      <c r="C195" s="141" t="str">
        <v>TL Site Manager - Senior (Construction)</v>
      </c>
      <c r="D195" s="141" t="str">
        <v>Internal Labour</v>
      </c>
      <c r="E195" s="141" t="str">
        <v>$ Nominal</v>
      </c>
      <c r="F195" s="141" t="str">
        <v>Existing</v>
      </c>
      <c r="G195" s="141" t="str">
        <v>Normal time</v>
      </c>
      <c r="H195" s="142">
        <v>205.24</v>
      </c>
      <c r="I195" s="126">
        <v>173092.64</v>
      </c>
      <c r="J195" s="143">
        <v>0</v>
      </c>
      <c r="K195" s="144">
        <v>0</v>
      </c>
      <c r="L195" s="144">
        <v>0</v>
      </c>
      <c r="M195" s="144">
        <v>0</v>
      </c>
      <c r="N195" s="144">
        <v>0</v>
      </c>
      <c r="O195" s="144">
        <v>0</v>
      </c>
      <c r="P195" s="144">
        <v>0</v>
      </c>
      <c r="Q195" s="144">
        <v>0</v>
      </c>
      <c r="R195" s="144">
        <v>0</v>
      </c>
      <c r="S195" s="144">
        <v>0</v>
      </c>
      <c r="T195" s="144">
        <v>0</v>
      </c>
      <c r="U195" s="144">
        <v>0</v>
      </c>
      <c r="V195" s="144">
        <v>0</v>
      </c>
      <c r="W195" s="144">
        <v>0</v>
      </c>
      <c r="X195" s="144">
        <v>0</v>
      </c>
      <c r="Y195" s="144">
        <v>0</v>
      </c>
      <c r="Z195" s="144">
        <v>0</v>
      </c>
      <c r="AA195" s="144">
        <v>0</v>
      </c>
      <c r="AB195" s="144">
        <v>0</v>
      </c>
      <c r="AC195" s="144">
        <v>0</v>
      </c>
      <c r="AD195" s="144">
        <v>0</v>
      </c>
      <c r="AE195" s="144">
        <v>0.9</v>
      </c>
      <c r="AF195" s="144">
        <v>0.9</v>
      </c>
      <c r="AG195" s="144">
        <v>0.85</v>
      </c>
      <c r="AH195" s="144">
        <v>0.8</v>
      </c>
      <c r="AI195" s="144">
        <v>1.5333333333333334</v>
      </c>
      <c r="AJ195" s="144">
        <v>0.8</v>
      </c>
      <c r="AK195" s="144">
        <v>0.8</v>
      </c>
      <c r="AL195" s="144">
        <v>0</v>
      </c>
      <c r="AM195" s="144">
        <v>0</v>
      </c>
      <c r="AN195" s="144">
        <v>0</v>
      </c>
      <c r="AO195" s="144">
        <v>0</v>
      </c>
      <c r="AP195" s="144">
        <v>0</v>
      </c>
      <c r="AQ195" s="144">
        <v>0</v>
      </c>
      <c r="AR195" s="144">
        <v>0</v>
      </c>
      <c r="AS195" s="144">
        <v>0</v>
      </c>
      <c r="AT195" s="144">
        <v>0</v>
      </c>
      <c r="AU195" s="144">
        <v>0</v>
      </c>
      <c r="AV195" s="144">
        <v>0</v>
      </c>
      <c r="AW195" s="144">
        <v>0</v>
      </c>
      <c r="AX195" s="144">
        <v>0</v>
      </c>
      <c r="AY195" s="144">
        <v>0</v>
      </c>
      <c r="AZ195" s="144">
        <v>0</v>
      </c>
      <c r="BA195" s="144">
        <v>0</v>
      </c>
      <c r="BB195" s="144">
        <v>0</v>
      </c>
      <c r="BC195" s="144">
        <v>0</v>
      </c>
      <c r="BD195" s="144">
        <v>0</v>
      </c>
      <c r="BE195" s="144">
        <v>0</v>
      </c>
      <c r="BF195" s="144">
        <v>0</v>
      </c>
      <c r="BG195" s="144">
        <v>0</v>
      </c>
      <c r="BH195" s="144">
        <v>0</v>
      </c>
      <c r="BI195" s="144">
        <v>0</v>
      </c>
      <c r="BJ195" s="144">
        <v>0</v>
      </c>
      <c r="BK195" s="144">
        <v>0</v>
      </c>
      <c r="BL195" s="144">
        <v>0</v>
      </c>
      <c r="BM195" s="144">
        <v>0</v>
      </c>
      <c r="BN195" s="144">
        <v>0</v>
      </c>
      <c r="BO195" s="144">
        <v>0</v>
      </c>
      <c r="BP195" s="144">
        <v>0</v>
      </c>
      <c r="BQ195" s="144">
        <v>0</v>
      </c>
      <c r="BR195" s="144">
        <v>0</v>
      </c>
      <c r="BS195" s="144">
        <v>0</v>
      </c>
      <c r="BT195" s="144">
        <v>0</v>
      </c>
      <c r="BU195" s="144">
        <v>0</v>
      </c>
      <c r="BV195" s="144">
        <v>0</v>
      </c>
      <c r="BW195" s="144">
        <v>0</v>
      </c>
      <c r="BX195" s="144">
        <v>0</v>
      </c>
      <c r="BY195" s="144">
        <v>0</v>
      </c>
      <c r="BZ195" s="144">
        <v>0</v>
      </c>
      <c r="CA195" s="144">
        <v>0</v>
      </c>
      <c r="CB195" s="144">
        <v>0</v>
      </c>
      <c r="CC195" s="144">
        <v>0</v>
      </c>
      <c r="CD195" s="144">
        <v>0</v>
      </c>
      <c r="CE195" s="144">
        <v>0</v>
      </c>
      <c r="CF195" s="144">
        <v>0</v>
      </c>
      <c r="CG195" s="144">
        <v>0</v>
      </c>
      <c r="CH195" s="144">
        <v>0</v>
      </c>
      <c r="CI195" s="144">
        <v>0</v>
      </c>
      <c r="CJ195" s="144">
        <v>0</v>
      </c>
      <c r="CK195" s="144">
        <v>0</v>
      </c>
      <c r="CL195" s="144">
        <v>0</v>
      </c>
      <c r="CM195" s="144">
        <v>0</v>
      </c>
      <c r="CN195" s="144">
        <v>0</v>
      </c>
      <c r="CO195" s="144">
        <v>0</v>
      </c>
      <c r="CP195" s="144">
        <v>0</v>
      </c>
      <c r="CQ195" s="143">
        <v>0</v>
      </c>
      <c r="CR195" s="145">
        <v>0</v>
      </c>
      <c r="CS195" s="145">
        <v>0</v>
      </c>
      <c r="CT195" s="145">
        <v>0</v>
      </c>
      <c r="CU195" s="145">
        <v>0</v>
      </c>
      <c r="CV195" s="145">
        <v>0</v>
      </c>
      <c r="CW195" s="145">
        <v>0</v>
      </c>
      <c r="CX195" s="145">
        <v>0</v>
      </c>
      <c r="CY195" s="145">
        <v>0</v>
      </c>
      <c r="CZ195" s="145">
        <v>0</v>
      </c>
      <c r="DA195" s="145">
        <v>0</v>
      </c>
      <c r="DB195" s="145">
        <v>0</v>
      </c>
      <c r="DC195" s="145">
        <v>0</v>
      </c>
      <c r="DD195" s="145">
        <v>0</v>
      </c>
      <c r="DE195" s="145">
        <v>0</v>
      </c>
      <c r="DF195" s="145">
        <v>0</v>
      </c>
      <c r="DG195" s="145">
        <v>0</v>
      </c>
      <c r="DH195" s="145">
        <v>0</v>
      </c>
      <c r="DI195" s="145">
        <v>0</v>
      </c>
      <c r="DJ195" s="145">
        <v>0</v>
      </c>
      <c r="DK195" s="145">
        <v>0</v>
      </c>
      <c r="DL195" s="145">
        <v>25860.240000000002</v>
      </c>
      <c r="DM195" s="145">
        <v>25860.240000000002</v>
      </c>
      <c r="DN195" s="145">
        <v>24423.56</v>
      </c>
      <c r="DO195" s="145">
        <v>17240.16</v>
      </c>
      <c r="DP195" s="145">
        <v>33043.64</v>
      </c>
      <c r="DQ195" s="145">
        <v>22986.880000000001</v>
      </c>
      <c r="DR195" s="145">
        <v>23677.919999999998</v>
      </c>
      <c r="DS195" s="145">
        <v>0</v>
      </c>
      <c r="DT195" s="145">
        <v>0</v>
      </c>
      <c r="DU195" s="145">
        <v>0</v>
      </c>
      <c r="DV195" s="145">
        <v>0</v>
      </c>
      <c r="DW195" s="145">
        <v>0</v>
      </c>
      <c r="DX195" s="145">
        <v>0</v>
      </c>
      <c r="DY195" s="145">
        <v>0</v>
      </c>
      <c r="DZ195" s="145">
        <v>0</v>
      </c>
      <c r="EA195" s="145">
        <v>0</v>
      </c>
      <c r="EB195" s="145">
        <v>0</v>
      </c>
      <c r="EC195" s="145">
        <v>0</v>
      </c>
      <c r="ED195" s="145">
        <v>0</v>
      </c>
      <c r="EE195" s="145">
        <v>0</v>
      </c>
      <c r="EF195" s="145">
        <v>0</v>
      </c>
      <c r="EG195" s="145">
        <v>0</v>
      </c>
      <c r="EH195" s="145">
        <v>0</v>
      </c>
      <c r="EI195" s="145">
        <v>0</v>
      </c>
      <c r="EJ195" s="145">
        <v>0</v>
      </c>
      <c r="EK195" s="145">
        <v>0</v>
      </c>
      <c r="EL195" s="145">
        <v>0</v>
      </c>
      <c r="EM195" s="145">
        <v>0</v>
      </c>
      <c r="EN195" s="145">
        <v>0</v>
      </c>
      <c r="EO195" s="145">
        <v>0</v>
      </c>
      <c r="EP195" s="145">
        <v>0</v>
      </c>
      <c r="EQ195" s="145">
        <v>0</v>
      </c>
      <c r="ER195" s="145">
        <v>0</v>
      </c>
      <c r="ES195" s="145">
        <v>0</v>
      </c>
      <c r="ET195" s="145">
        <v>0</v>
      </c>
      <c r="EU195" s="145">
        <v>0</v>
      </c>
      <c r="EV195" s="145">
        <v>0</v>
      </c>
      <c r="EW195" s="145">
        <v>0</v>
      </c>
      <c r="EX195" s="145">
        <v>0</v>
      </c>
      <c r="EY195" s="145">
        <v>0</v>
      </c>
      <c r="EZ195" s="145">
        <v>0</v>
      </c>
      <c r="FA195" s="145">
        <v>0</v>
      </c>
      <c r="FB195" s="145">
        <v>0</v>
      </c>
      <c r="FC195" s="145">
        <v>0</v>
      </c>
      <c r="FD195" s="145">
        <v>0</v>
      </c>
      <c r="FE195" s="145">
        <v>0</v>
      </c>
      <c r="FF195" s="145">
        <v>0</v>
      </c>
      <c r="FG195" s="145">
        <v>0</v>
      </c>
      <c r="FH195" s="145">
        <v>0</v>
      </c>
      <c r="FI195" s="145">
        <v>0</v>
      </c>
      <c r="FJ195" s="145">
        <v>0</v>
      </c>
      <c r="FK195" s="145">
        <v>0</v>
      </c>
      <c r="FL195" s="145">
        <v>0</v>
      </c>
      <c r="FM195" s="145">
        <v>0</v>
      </c>
      <c r="FN195" s="145">
        <v>0</v>
      </c>
      <c r="FO195" s="145">
        <v>0</v>
      </c>
      <c r="FP195" s="145">
        <v>0</v>
      </c>
      <c r="FQ195" s="145">
        <v>0</v>
      </c>
      <c r="FR195" s="145">
        <v>0</v>
      </c>
      <c r="FS195" s="145">
        <v>0</v>
      </c>
      <c r="FT195" s="145">
        <v>0</v>
      </c>
      <c r="FU195" s="145">
        <v>0</v>
      </c>
      <c r="FV195" s="145">
        <v>0</v>
      </c>
      <c r="FW195" s="145">
        <v>0</v>
      </c>
      <c r="FX195" s="143"/>
      <c r="FY195" s="146" t="str">
        <f>_xlfn.XLOOKUP($E195,'Key assumptions'!$B$112:$B$120,'Key assumptions'!$C$112:$C$120,0)</f>
        <v>Nominal</v>
      </c>
      <c r="FZ195" s="146" cm="1">
        <f t="array" ref="FZ195">IF($FY195=0,0,_xlfn.IFS($FY195='Key assumptions'!$C$120,_xlfn.XLOOKUP(LEFT(FZ$7,6),Inflation_Year,Inflation_NominaltoReal),TRUE,_xlfn.XLOOKUP($FY195,Inflation_Year,NominaltoReal)))</f>
        <v>1.0197075870962191</v>
      </c>
      <c r="GA195" s="146" cm="1">
        <f t="array" ref="GA195">IF($FY195=0,0,_xlfn.IFS($FY195='Key assumptions'!$C$120,_xlfn.XLOOKUP(LEFT(GA$7,6),Inflation_Year,Inflation_NominaltoReal),TRUE,_xlfn.XLOOKUP($FY195,Inflation_Year,NominaltoReal)))</f>
        <v>0.98700804022984445</v>
      </c>
      <c r="GB195" s="146" cm="1">
        <f t="array" ref="GB195">IF($FY195=0,0,_xlfn.IFS($FY195='Key assumptions'!$C$120,_xlfn.XLOOKUP(LEFT(GB$7,6),Inflation_Year,Inflation_NominaltoReal),TRUE,_xlfn.XLOOKUP($FY195,Inflation_Year,NominaltoReal)))</f>
        <v>0.96152830081941731</v>
      </c>
      <c r="GC195" s="146" cm="1">
        <f t="array" ref="GC195">IF($FY195=0,0,_xlfn.IFS($FY195='Key assumptions'!$C$120,_xlfn.XLOOKUP(LEFT(GC$7,6),Inflation_Year,Inflation_NominaltoReal),TRUE,_xlfn.XLOOKUP($FY195,Inflation_Year,NominaltoReal)))</f>
        <v>0.93670632415656829</v>
      </c>
      <c r="GD195" s="146" cm="1">
        <f t="array" ref="GD195">IF($FY195=0,0,_xlfn.IFS($FY195='Key assumptions'!$C$120,_xlfn.XLOOKUP(LEFT(GD$7,6),Inflation_Year,Inflation_NominaltoReal),TRUE,_xlfn.XLOOKUP($FY195,Inflation_Year,NominaltoReal)))</f>
        <v>0.91252513001143176</v>
      </c>
      <c r="GE195" s="146" cm="1">
        <f t="array" ref="GE195">IF($FY195=0,0,_xlfn.IFS($FY195='Key assumptions'!$C$120,_xlfn.XLOOKUP(LEFT(GE$7,6),Inflation_Year,Inflation_NominaltoReal),TRUE,_xlfn.XLOOKUP($FY195,Inflation_Year,NominaltoReal)))</f>
        <v>0.88896817650095872</v>
      </c>
      <c r="GF195" s="146" cm="1">
        <f t="array" ref="GF195">IF($FY195=0,0,_xlfn.IFS($FY195='Key assumptions'!$C$120,_xlfn.XLOOKUP(LEFT(GF$7,6),Inflation_Year,Inflation_NominaltoReal),TRUE,_xlfn.XLOOKUP($FY195,Inflation_Year,NominaltoReal)))</f>
        <v>0.86601934877293718</v>
      </c>
      <c r="GG195" s="143"/>
      <c r="GH195" s="145" cm="1">
        <f t="array" ref="GH195">SUMPRODUCT(--($CR$7:$FW$7&gt;=GH$5),--($CR$7:$FW$7&lt;=GH$6),$CR195:$FW195)*FZ195</f>
        <v>26369.88293212913</v>
      </c>
      <c r="GI195" s="145" cm="1">
        <f t="array" ref="GI195">SUMPRODUCT(--($CR$7:$FW$7&gt;=GI$5),--($CR$7:$FW$7&lt;=GI$6),$CR195:$FW195)*GA195</f>
        <v>145319.56258233657</v>
      </c>
      <c r="GJ195" s="145" cm="1">
        <f t="array" ref="GJ195">SUMPRODUCT(--($CR$7:$FW$7&gt;=GJ$5),--($CR$7:$FW$7&lt;=GJ$6),$CR195:$FW195)*GB195</f>
        <v>0</v>
      </c>
      <c r="GK195" s="145" cm="1">
        <f t="array" ref="GK195">SUMPRODUCT(--($CR$7:$FW$7&gt;=GK$5),--($CR$7:$FW$7&lt;=GK$6),$CR195:$FW195)*GC195</f>
        <v>0</v>
      </c>
      <c r="GL195" s="145" cm="1">
        <f t="array" ref="GL195">SUMPRODUCT(--($CR$7:$FW$7&gt;=GL$5),--($CR$7:$FW$7&lt;=GL$6),$CR195:$FW195)*GD195</f>
        <v>0</v>
      </c>
      <c r="GM195" s="145" cm="1">
        <f t="array" ref="GM195">SUMPRODUCT(--($CR$7:$FW$7&gt;=GM$5),--($CR$7:$FW$7&lt;=GM$6),$CR195:$FW195)*GE195</f>
        <v>0</v>
      </c>
      <c r="GN195" s="145" cm="1">
        <f t="array" ref="GN195">SUMPRODUCT(--($CR$7:$FW$7&gt;=GN$5),--($CR$7:$FW$7&lt;=GN$6),$CR195:$FW195)*GF195</f>
        <v>0</v>
      </c>
      <c r="GO195" s="145">
        <f t="shared" si="46"/>
        <v>171689.44551446571</v>
      </c>
      <c r="GP195" s="87"/>
      <c r="GR195" s="145" cm="1">
        <f t="array" ref="GR195">SUMPRODUCT(--($CR$7:$FW$7&gt;=GR$5),--($CR$7:$FW$7&lt;=GR$6),$CR195:$FW195)</f>
        <v>0</v>
      </c>
      <c r="GT195" s="214" cm="1">
        <f t="array" ref="GT195">--AND(MIN(IF($K195:$CP195&lt;&gt;0,$K$7:$CP$7))&gt;=GT$5,MIN(IF($K195:$CP195&lt;&gt;0,$K$7:$CP$7))&lt;=GT$6)</f>
        <v>1</v>
      </c>
      <c r="GU195" s="214" cm="1">
        <f t="array" ref="GU195">--AND(MIN(IF($K195:$CP195&lt;&gt;0,$K$7:$CP$7))&gt;=GU$5,MIN(IF($K195:$CP195&lt;&gt;0,$K$7:$CP$7))&lt;=GU$6)</f>
        <v>0</v>
      </c>
      <c r="GV195" s="214" cm="1">
        <f t="array" ref="GV195">--AND(MIN(IF($K195:$CP195&lt;&gt;0,$K$7:$CP$7))&gt;=GV$5,MIN(IF($K195:$CP195&lt;&gt;0,$K$7:$CP$7))&lt;=GV$6)</f>
        <v>0</v>
      </c>
      <c r="GW195" s="214" cm="1">
        <f t="array" ref="GW195">--AND(MIN(IF($K195:$CP195&lt;&gt;0,$K$7:$CP$7))&gt;=GW$5,MIN(IF($K195:$CP195&lt;&gt;0,$K$7:$CP$7))&lt;=GW$6)</f>
        <v>0</v>
      </c>
      <c r="GX195" s="214" cm="1">
        <f t="array" ref="GX195">--AND(MIN(IF($K195:$CP195&lt;&gt;0,$K$7:$CP$7))&gt;=GX$5,MIN(IF($K195:$CP195&lt;&gt;0,$K$7:$CP$7))&lt;=GX$6)</f>
        <v>0</v>
      </c>
      <c r="GY195" s="214" cm="1">
        <f t="array" ref="GY195">--AND(MIN(IF($K195:$CP195&lt;&gt;0,$K$7:$CP$7))&gt;=GY$5,MIN(IF($K195:$CP195&lt;&gt;0,$K$7:$CP$7))&lt;=GY$6)</f>
        <v>0</v>
      </c>
      <c r="GZ195" s="214" cm="1">
        <f t="array" ref="GZ195">--AND(MIN(IF($K195:$CP195&lt;&gt;0,$K$7:$CP$7))&gt;=GZ$5,MIN(IF($K195:$CP195&lt;&gt;0,$K$7:$CP$7))&lt;=GZ$6)</f>
        <v>0</v>
      </c>
      <c r="HA195" s="214">
        <f t="shared" si="47"/>
        <v>1</v>
      </c>
      <c r="HC195" s="214" cm="1">
        <f t="array" ref="HC195">--AND(MIN(IF($K195:$CP195&lt;&gt;0,$K$7:$CP$7))&gt;=HC$5,MIN(IF($K195:$CP195&lt;&gt;0,$K$7:$CP$7))&lt;=HC$6)</f>
        <v>0</v>
      </c>
      <c r="HE195" s="147" t="str">
        <f t="shared" si="66"/>
        <v>No</v>
      </c>
      <c r="HF195" s="147" t="str">
        <f t="shared" si="67"/>
        <v>No</v>
      </c>
      <c r="HG195" s="147">
        <f>IF($HF195="Yes",0,$H195*avg_hrs*12*'Key assumptions'!$D$87)</f>
        <v>367024.33151015785</v>
      </c>
      <c r="HH195" s="147">
        <f>IF(HE195="Yes",'Key assumptions'!$D$84*HG195,0)</f>
        <v>0</v>
      </c>
      <c r="HI195" s="144">
        <f>IFERROR(AVERAGEIFS($K195:$CP195,$K$7:$CP$7,"&gt;="&amp;'Key assumptions'!$D$24,$K$7:$CP$7,"&lt;="&amp;'Key assumptions'!$D$25),0)</f>
        <v>0.14962121212121213</v>
      </c>
      <c r="HJ195" s="148">
        <f t="shared" si="68"/>
        <v>0</v>
      </c>
      <c r="HK195" s="148">
        <f t="shared" si="49"/>
        <v>0</v>
      </c>
      <c r="HL195" s="148">
        <f t="shared" si="50"/>
        <v>0</v>
      </c>
      <c r="HM195" s="148">
        <f t="shared" si="51"/>
        <v>0</v>
      </c>
      <c r="HN195" s="148">
        <f t="shared" si="52"/>
        <v>0</v>
      </c>
      <c r="HO195" s="148">
        <f t="shared" si="53"/>
        <v>0</v>
      </c>
      <c r="HP195" s="148">
        <f t="shared" si="54"/>
        <v>0</v>
      </c>
      <c r="HQ195" s="148">
        <f t="shared" si="55"/>
        <v>0</v>
      </c>
      <c r="HR195" s="147">
        <f t="shared" si="56"/>
        <v>0</v>
      </c>
      <c r="HU195" s="147">
        <f>$HJ195*HC195/(1+'Key assumptions'!G217)^0.75</f>
        <v>0</v>
      </c>
      <c r="HW195" s="216">
        <f t="shared" si="57"/>
        <v>0.14962121212121213</v>
      </c>
      <c r="HX195" s="216">
        <f t="shared" si="58"/>
        <v>0</v>
      </c>
      <c r="HY195" s="216">
        <f t="shared" si="59"/>
        <v>0</v>
      </c>
      <c r="HZ195" s="216">
        <f t="shared" si="60"/>
        <v>0</v>
      </c>
      <c r="IA195" s="216">
        <f t="shared" si="61"/>
        <v>0</v>
      </c>
      <c r="IB195" s="216">
        <f t="shared" si="62"/>
        <v>0</v>
      </c>
      <c r="IC195" s="216">
        <f t="shared" si="63"/>
        <v>0</v>
      </c>
      <c r="ID195" s="216">
        <f t="shared" si="64"/>
        <v>0.14962121212121213</v>
      </c>
      <c r="IF195" s="216">
        <f t="shared" si="65"/>
        <v>0</v>
      </c>
    </row>
    <row r="196" spans="2:240" x14ac:dyDescent="0.2">
      <c r="B196" s="141" t="str">
        <v>Project Delivery Management - Construction Management</v>
      </c>
      <c r="C196" s="141" t="str">
        <v>TL Site Manager - Senior (Construction)</v>
      </c>
      <c r="D196" s="141" t="str">
        <v>Internal Labour</v>
      </c>
      <c r="E196" s="141" t="str">
        <v>$ Nominal</v>
      </c>
      <c r="F196" s="141">
        <v>0</v>
      </c>
      <c r="G196" s="141" t="str">
        <v>Overtime</v>
      </c>
      <c r="H196" s="142">
        <v>205.24</v>
      </c>
      <c r="I196" s="126">
        <v>296729.28000000003</v>
      </c>
      <c r="J196" s="143">
        <v>0</v>
      </c>
      <c r="K196" s="144">
        <v>0</v>
      </c>
      <c r="L196" s="144">
        <v>0</v>
      </c>
      <c r="M196" s="144">
        <v>0</v>
      </c>
      <c r="N196" s="144">
        <v>0</v>
      </c>
      <c r="O196" s="144">
        <v>0</v>
      </c>
      <c r="P196" s="144">
        <v>0</v>
      </c>
      <c r="Q196" s="144">
        <v>0</v>
      </c>
      <c r="R196" s="144">
        <v>0</v>
      </c>
      <c r="S196" s="144">
        <v>0</v>
      </c>
      <c r="T196" s="144">
        <v>0</v>
      </c>
      <c r="U196" s="144">
        <v>0</v>
      </c>
      <c r="V196" s="144">
        <v>0</v>
      </c>
      <c r="W196" s="144">
        <v>0</v>
      </c>
      <c r="X196" s="144">
        <v>0</v>
      </c>
      <c r="Y196" s="144">
        <v>0</v>
      </c>
      <c r="Z196" s="144">
        <v>0</v>
      </c>
      <c r="AA196" s="144">
        <v>0</v>
      </c>
      <c r="AB196" s="144">
        <v>0</v>
      </c>
      <c r="AC196" s="144">
        <v>0</v>
      </c>
      <c r="AD196" s="144">
        <v>0</v>
      </c>
      <c r="AE196" s="144">
        <v>0.72857142857142854</v>
      </c>
      <c r="AF196" s="144">
        <v>0.72857142857142854</v>
      </c>
      <c r="AG196" s="144">
        <v>0.70714285714285718</v>
      </c>
      <c r="AH196" s="144">
        <v>0.8</v>
      </c>
      <c r="AI196" s="144">
        <v>1.3428571428571427</v>
      </c>
      <c r="AJ196" s="144">
        <v>0.68571428571428572</v>
      </c>
      <c r="AK196" s="144">
        <v>0.68571428571428572</v>
      </c>
      <c r="AL196" s="144">
        <v>0</v>
      </c>
      <c r="AM196" s="144">
        <v>0</v>
      </c>
      <c r="AN196" s="144">
        <v>0</v>
      </c>
      <c r="AO196" s="144">
        <v>0</v>
      </c>
      <c r="AP196" s="144">
        <v>0</v>
      </c>
      <c r="AQ196" s="144">
        <v>0</v>
      </c>
      <c r="AR196" s="144">
        <v>0</v>
      </c>
      <c r="AS196" s="144">
        <v>0</v>
      </c>
      <c r="AT196" s="144">
        <v>0</v>
      </c>
      <c r="AU196" s="144">
        <v>0</v>
      </c>
      <c r="AV196" s="144">
        <v>0</v>
      </c>
      <c r="AW196" s="144">
        <v>0</v>
      </c>
      <c r="AX196" s="144">
        <v>0</v>
      </c>
      <c r="AY196" s="144">
        <v>0</v>
      </c>
      <c r="AZ196" s="144">
        <v>0</v>
      </c>
      <c r="BA196" s="144">
        <v>0</v>
      </c>
      <c r="BB196" s="144">
        <v>0</v>
      </c>
      <c r="BC196" s="144">
        <v>0</v>
      </c>
      <c r="BD196" s="144">
        <v>0</v>
      </c>
      <c r="BE196" s="144">
        <v>0</v>
      </c>
      <c r="BF196" s="144">
        <v>0</v>
      </c>
      <c r="BG196" s="144">
        <v>0</v>
      </c>
      <c r="BH196" s="144">
        <v>0</v>
      </c>
      <c r="BI196" s="144">
        <v>0</v>
      </c>
      <c r="BJ196" s="144">
        <v>0</v>
      </c>
      <c r="BK196" s="144">
        <v>0</v>
      </c>
      <c r="BL196" s="144">
        <v>0</v>
      </c>
      <c r="BM196" s="144">
        <v>0</v>
      </c>
      <c r="BN196" s="144">
        <v>0</v>
      </c>
      <c r="BO196" s="144">
        <v>0</v>
      </c>
      <c r="BP196" s="144">
        <v>0</v>
      </c>
      <c r="BQ196" s="144">
        <v>0</v>
      </c>
      <c r="BR196" s="144">
        <v>0</v>
      </c>
      <c r="BS196" s="144">
        <v>0</v>
      </c>
      <c r="BT196" s="144">
        <v>0</v>
      </c>
      <c r="BU196" s="144">
        <v>0</v>
      </c>
      <c r="BV196" s="144">
        <v>0</v>
      </c>
      <c r="BW196" s="144">
        <v>0</v>
      </c>
      <c r="BX196" s="144">
        <v>0</v>
      </c>
      <c r="BY196" s="144">
        <v>0</v>
      </c>
      <c r="BZ196" s="144">
        <v>0</v>
      </c>
      <c r="CA196" s="144">
        <v>0</v>
      </c>
      <c r="CB196" s="144">
        <v>0</v>
      </c>
      <c r="CC196" s="144">
        <v>0</v>
      </c>
      <c r="CD196" s="144">
        <v>0</v>
      </c>
      <c r="CE196" s="144">
        <v>0</v>
      </c>
      <c r="CF196" s="144">
        <v>0</v>
      </c>
      <c r="CG196" s="144">
        <v>0</v>
      </c>
      <c r="CH196" s="144">
        <v>0</v>
      </c>
      <c r="CI196" s="144">
        <v>0</v>
      </c>
      <c r="CJ196" s="144">
        <v>0</v>
      </c>
      <c r="CK196" s="144">
        <v>0</v>
      </c>
      <c r="CL196" s="144">
        <v>0</v>
      </c>
      <c r="CM196" s="144">
        <v>0</v>
      </c>
      <c r="CN196" s="144">
        <v>0</v>
      </c>
      <c r="CO196" s="144">
        <v>0</v>
      </c>
      <c r="CP196" s="144">
        <v>0</v>
      </c>
      <c r="CQ196" s="143">
        <v>0</v>
      </c>
      <c r="CR196" s="145">
        <v>0</v>
      </c>
      <c r="CS196" s="145">
        <v>0</v>
      </c>
      <c r="CT196" s="145">
        <v>0</v>
      </c>
      <c r="CU196" s="145">
        <v>0</v>
      </c>
      <c r="CV196" s="145">
        <v>0</v>
      </c>
      <c r="CW196" s="145">
        <v>0</v>
      </c>
      <c r="CX196" s="145">
        <v>0</v>
      </c>
      <c r="CY196" s="145">
        <v>0</v>
      </c>
      <c r="CZ196" s="145">
        <v>0</v>
      </c>
      <c r="DA196" s="145">
        <v>0</v>
      </c>
      <c r="DB196" s="145">
        <v>0</v>
      </c>
      <c r="DC196" s="145">
        <v>0</v>
      </c>
      <c r="DD196" s="145">
        <v>0</v>
      </c>
      <c r="DE196" s="145">
        <v>0</v>
      </c>
      <c r="DF196" s="145">
        <v>0</v>
      </c>
      <c r="DG196" s="145">
        <v>0</v>
      </c>
      <c r="DH196" s="145">
        <v>0</v>
      </c>
      <c r="DI196" s="145">
        <v>0</v>
      </c>
      <c r="DJ196" s="145">
        <v>0</v>
      </c>
      <c r="DK196" s="145">
        <v>0</v>
      </c>
      <c r="DL196" s="145">
        <v>41868.959999999999</v>
      </c>
      <c r="DM196" s="145">
        <v>41868.959999999999</v>
      </c>
      <c r="DN196" s="145">
        <v>40637.520000000004</v>
      </c>
      <c r="DO196" s="145">
        <v>34480.32</v>
      </c>
      <c r="DP196" s="145">
        <v>57877.68</v>
      </c>
      <c r="DQ196" s="145">
        <v>39406.080000000002</v>
      </c>
      <c r="DR196" s="145">
        <v>40589.760000000002</v>
      </c>
      <c r="DS196" s="145">
        <v>0</v>
      </c>
      <c r="DT196" s="145">
        <v>0</v>
      </c>
      <c r="DU196" s="145">
        <v>0</v>
      </c>
      <c r="DV196" s="145">
        <v>0</v>
      </c>
      <c r="DW196" s="145">
        <v>0</v>
      </c>
      <c r="DX196" s="145">
        <v>0</v>
      </c>
      <c r="DY196" s="145">
        <v>0</v>
      </c>
      <c r="DZ196" s="145">
        <v>0</v>
      </c>
      <c r="EA196" s="145">
        <v>0</v>
      </c>
      <c r="EB196" s="145">
        <v>0</v>
      </c>
      <c r="EC196" s="145">
        <v>0</v>
      </c>
      <c r="ED196" s="145">
        <v>0</v>
      </c>
      <c r="EE196" s="145">
        <v>0</v>
      </c>
      <c r="EF196" s="145">
        <v>0</v>
      </c>
      <c r="EG196" s="145">
        <v>0</v>
      </c>
      <c r="EH196" s="145">
        <v>0</v>
      </c>
      <c r="EI196" s="145">
        <v>0</v>
      </c>
      <c r="EJ196" s="145">
        <v>0</v>
      </c>
      <c r="EK196" s="145">
        <v>0</v>
      </c>
      <c r="EL196" s="145">
        <v>0</v>
      </c>
      <c r="EM196" s="145">
        <v>0</v>
      </c>
      <c r="EN196" s="145">
        <v>0</v>
      </c>
      <c r="EO196" s="145">
        <v>0</v>
      </c>
      <c r="EP196" s="145">
        <v>0</v>
      </c>
      <c r="EQ196" s="145">
        <v>0</v>
      </c>
      <c r="ER196" s="145">
        <v>0</v>
      </c>
      <c r="ES196" s="145">
        <v>0</v>
      </c>
      <c r="ET196" s="145">
        <v>0</v>
      </c>
      <c r="EU196" s="145">
        <v>0</v>
      </c>
      <c r="EV196" s="145">
        <v>0</v>
      </c>
      <c r="EW196" s="145">
        <v>0</v>
      </c>
      <c r="EX196" s="145">
        <v>0</v>
      </c>
      <c r="EY196" s="145">
        <v>0</v>
      </c>
      <c r="EZ196" s="145">
        <v>0</v>
      </c>
      <c r="FA196" s="145">
        <v>0</v>
      </c>
      <c r="FB196" s="145">
        <v>0</v>
      </c>
      <c r="FC196" s="145">
        <v>0</v>
      </c>
      <c r="FD196" s="145">
        <v>0</v>
      </c>
      <c r="FE196" s="145">
        <v>0</v>
      </c>
      <c r="FF196" s="145">
        <v>0</v>
      </c>
      <c r="FG196" s="145">
        <v>0</v>
      </c>
      <c r="FH196" s="145">
        <v>0</v>
      </c>
      <c r="FI196" s="145">
        <v>0</v>
      </c>
      <c r="FJ196" s="145">
        <v>0</v>
      </c>
      <c r="FK196" s="145">
        <v>0</v>
      </c>
      <c r="FL196" s="145">
        <v>0</v>
      </c>
      <c r="FM196" s="145">
        <v>0</v>
      </c>
      <c r="FN196" s="145">
        <v>0</v>
      </c>
      <c r="FO196" s="145">
        <v>0</v>
      </c>
      <c r="FP196" s="145">
        <v>0</v>
      </c>
      <c r="FQ196" s="145">
        <v>0</v>
      </c>
      <c r="FR196" s="145">
        <v>0</v>
      </c>
      <c r="FS196" s="145">
        <v>0</v>
      </c>
      <c r="FT196" s="145">
        <v>0</v>
      </c>
      <c r="FU196" s="145">
        <v>0</v>
      </c>
      <c r="FV196" s="145">
        <v>0</v>
      </c>
      <c r="FW196" s="145">
        <v>0</v>
      </c>
      <c r="FX196" s="143"/>
      <c r="FY196" s="146" t="str">
        <f>_xlfn.XLOOKUP($E196,'Key assumptions'!$B$112:$B$120,'Key assumptions'!$C$112:$C$120,0)</f>
        <v>Nominal</v>
      </c>
      <c r="FZ196" s="146" cm="1">
        <f t="array" ref="FZ196">IF($FY196=0,0,_xlfn.IFS($FY196='Key assumptions'!$C$120,_xlfn.XLOOKUP(LEFT(FZ$7,6),Inflation_Year,Inflation_NominaltoReal),TRUE,_xlfn.XLOOKUP($FY196,Inflation_Year,NominaltoReal)))</f>
        <v>1.0197075870962191</v>
      </c>
      <c r="GA196" s="146" cm="1">
        <f t="array" ref="GA196">IF($FY196=0,0,_xlfn.IFS($FY196='Key assumptions'!$C$120,_xlfn.XLOOKUP(LEFT(GA$7,6),Inflation_Year,Inflation_NominaltoReal),TRUE,_xlfn.XLOOKUP($FY196,Inflation_Year,NominaltoReal)))</f>
        <v>0.98700804022984445</v>
      </c>
      <c r="GB196" s="146" cm="1">
        <f t="array" ref="GB196">IF($FY196=0,0,_xlfn.IFS($FY196='Key assumptions'!$C$120,_xlfn.XLOOKUP(LEFT(GB$7,6),Inflation_Year,Inflation_NominaltoReal),TRUE,_xlfn.XLOOKUP($FY196,Inflation_Year,NominaltoReal)))</f>
        <v>0.96152830081941731</v>
      </c>
      <c r="GC196" s="146" cm="1">
        <f t="array" ref="GC196">IF($FY196=0,0,_xlfn.IFS($FY196='Key assumptions'!$C$120,_xlfn.XLOOKUP(LEFT(GC$7,6),Inflation_Year,Inflation_NominaltoReal),TRUE,_xlfn.XLOOKUP($FY196,Inflation_Year,NominaltoReal)))</f>
        <v>0.93670632415656829</v>
      </c>
      <c r="GD196" s="146" cm="1">
        <f t="array" ref="GD196">IF($FY196=0,0,_xlfn.IFS($FY196='Key assumptions'!$C$120,_xlfn.XLOOKUP(LEFT(GD$7,6),Inflation_Year,Inflation_NominaltoReal),TRUE,_xlfn.XLOOKUP($FY196,Inflation_Year,NominaltoReal)))</f>
        <v>0.91252513001143176</v>
      </c>
      <c r="GE196" s="146" cm="1">
        <f t="array" ref="GE196">IF($FY196=0,0,_xlfn.IFS($FY196='Key assumptions'!$C$120,_xlfn.XLOOKUP(LEFT(GE$7,6),Inflation_Year,Inflation_NominaltoReal),TRUE,_xlfn.XLOOKUP($FY196,Inflation_Year,NominaltoReal)))</f>
        <v>0.88896817650095872</v>
      </c>
      <c r="GF196" s="146" cm="1">
        <f t="array" ref="GF196">IF($FY196=0,0,_xlfn.IFS($FY196='Key assumptions'!$C$120,_xlfn.XLOOKUP(LEFT(GF$7,6),Inflation_Year,Inflation_NominaltoReal),TRUE,_xlfn.XLOOKUP($FY196,Inflation_Year,NominaltoReal)))</f>
        <v>0.86601934877293718</v>
      </c>
      <c r="GG196" s="143"/>
      <c r="GH196" s="145" cm="1">
        <f t="array" ref="GH196">SUMPRODUCT(--($CR$7:$FW$7&gt;=GH$5),--($CR$7:$FW$7&lt;=GH$6),$CR196:$FW196)*FZ196</f>
        <v>42694.096175828112</v>
      </c>
      <c r="GI196" s="145" cm="1">
        <f t="array" ref="GI196">SUMPRODUCT(--($CR$7:$FW$7&gt;=GI$5),--($CR$7:$FW$7&lt;=GI$6),$CR196:$FW196)*GA196</f>
        <v>251549.18497555103</v>
      </c>
      <c r="GJ196" s="145" cm="1">
        <f t="array" ref="GJ196">SUMPRODUCT(--($CR$7:$FW$7&gt;=GJ$5),--($CR$7:$FW$7&lt;=GJ$6),$CR196:$FW196)*GB196</f>
        <v>0</v>
      </c>
      <c r="GK196" s="145" cm="1">
        <f t="array" ref="GK196">SUMPRODUCT(--($CR$7:$FW$7&gt;=GK$5),--($CR$7:$FW$7&lt;=GK$6),$CR196:$FW196)*GC196</f>
        <v>0</v>
      </c>
      <c r="GL196" s="145" cm="1">
        <f t="array" ref="GL196">SUMPRODUCT(--($CR$7:$FW$7&gt;=GL$5),--($CR$7:$FW$7&lt;=GL$6),$CR196:$FW196)*GD196</f>
        <v>0</v>
      </c>
      <c r="GM196" s="145" cm="1">
        <f t="array" ref="GM196">SUMPRODUCT(--($CR$7:$FW$7&gt;=GM$5),--($CR$7:$FW$7&lt;=GM$6),$CR196:$FW196)*GE196</f>
        <v>0</v>
      </c>
      <c r="GN196" s="145" cm="1">
        <f t="array" ref="GN196">SUMPRODUCT(--($CR$7:$FW$7&gt;=GN$5),--($CR$7:$FW$7&lt;=GN$6),$CR196:$FW196)*GF196</f>
        <v>0</v>
      </c>
      <c r="GO196" s="145">
        <f t="shared" si="46"/>
        <v>294243.28115137917</v>
      </c>
      <c r="GP196" s="87"/>
      <c r="GR196" s="145" cm="1">
        <f t="array" ref="GR196">SUMPRODUCT(--($CR$7:$FW$7&gt;=GR$5),--($CR$7:$FW$7&lt;=GR$6),$CR196:$FW196)</f>
        <v>0</v>
      </c>
      <c r="GT196" s="214" cm="1">
        <f t="array" ref="GT196">--AND(MIN(IF($K196:$CP196&lt;&gt;0,$K$7:$CP$7))&gt;=GT$5,MIN(IF($K196:$CP196&lt;&gt;0,$K$7:$CP$7))&lt;=GT$6)</f>
        <v>1</v>
      </c>
      <c r="GU196" s="214" cm="1">
        <f t="array" ref="GU196">--AND(MIN(IF($K196:$CP196&lt;&gt;0,$K$7:$CP$7))&gt;=GU$5,MIN(IF($K196:$CP196&lt;&gt;0,$K$7:$CP$7))&lt;=GU$6)</f>
        <v>0</v>
      </c>
      <c r="GV196" s="214" cm="1">
        <f t="array" ref="GV196">--AND(MIN(IF($K196:$CP196&lt;&gt;0,$K$7:$CP$7))&gt;=GV$5,MIN(IF($K196:$CP196&lt;&gt;0,$K$7:$CP$7))&lt;=GV$6)</f>
        <v>0</v>
      </c>
      <c r="GW196" s="214" cm="1">
        <f t="array" ref="GW196">--AND(MIN(IF($K196:$CP196&lt;&gt;0,$K$7:$CP$7))&gt;=GW$5,MIN(IF($K196:$CP196&lt;&gt;0,$K$7:$CP$7))&lt;=GW$6)</f>
        <v>0</v>
      </c>
      <c r="GX196" s="214" cm="1">
        <f t="array" ref="GX196">--AND(MIN(IF($K196:$CP196&lt;&gt;0,$K$7:$CP$7))&gt;=GX$5,MIN(IF($K196:$CP196&lt;&gt;0,$K$7:$CP$7))&lt;=GX$6)</f>
        <v>0</v>
      </c>
      <c r="GY196" s="214" cm="1">
        <f t="array" ref="GY196">--AND(MIN(IF($K196:$CP196&lt;&gt;0,$K$7:$CP$7))&gt;=GY$5,MIN(IF($K196:$CP196&lt;&gt;0,$K$7:$CP$7))&lt;=GY$6)</f>
        <v>0</v>
      </c>
      <c r="GZ196" s="214" cm="1">
        <f t="array" ref="GZ196">--AND(MIN(IF($K196:$CP196&lt;&gt;0,$K$7:$CP$7))&gt;=GZ$5,MIN(IF($K196:$CP196&lt;&gt;0,$K$7:$CP$7))&lt;=GZ$6)</f>
        <v>0</v>
      </c>
      <c r="HA196" s="214">
        <f t="shared" si="47"/>
        <v>1</v>
      </c>
      <c r="HC196" s="214" cm="1">
        <f t="array" ref="HC196">--AND(MIN(IF($K196:$CP196&lt;&gt;0,$K$7:$CP$7))&gt;=HC$5,MIN(IF($K196:$CP196&lt;&gt;0,$K$7:$CP$7))&lt;=HC$6)</f>
        <v>0</v>
      </c>
      <c r="HE196" s="147" t="str">
        <f t="shared" si="66"/>
        <v>No</v>
      </c>
      <c r="HF196" s="147" t="str">
        <f t="shared" si="67"/>
        <v>Yes</v>
      </c>
      <c r="HG196" s="147">
        <f>IF($HF196="Yes",0,$H196*avg_hrs*12*'Key assumptions'!$D$87)</f>
        <v>0</v>
      </c>
      <c r="HH196" s="147">
        <f>IF(HE196="Yes",'Key assumptions'!$D$84*HG196,0)</f>
        <v>0</v>
      </c>
      <c r="HI196" s="144">
        <f>IFERROR(AVERAGEIFS($K196:$CP196,$K$7:$CP$7,"&gt;="&amp;'Key assumptions'!$D$24,$K$7:$CP$7,"&lt;="&amp;'Key assumptions'!$D$25),0)</f>
        <v>0.12905844155844157</v>
      </c>
      <c r="HJ196" s="148">
        <f t="shared" si="68"/>
        <v>0</v>
      </c>
      <c r="HK196" s="148">
        <f t="shared" si="49"/>
        <v>0</v>
      </c>
      <c r="HL196" s="148">
        <f t="shared" si="50"/>
        <v>0</v>
      </c>
      <c r="HM196" s="148">
        <f t="shared" si="51"/>
        <v>0</v>
      </c>
      <c r="HN196" s="148">
        <f t="shared" si="52"/>
        <v>0</v>
      </c>
      <c r="HO196" s="148">
        <f t="shared" si="53"/>
        <v>0</v>
      </c>
      <c r="HP196" s="148">
        <f t="shared" si="54"/>
        <v>0</v>
      </c>
      <c r="HQ196" s="148">
        <f t="shared" si="55"/>
        <v>0</v>
      </c>
      <c r="HR196" s="147">
        <f t="shared" si="56"/>
        <v>0</v>
      </c>
      <c r="HU196" s="147">
        <f>$HJ196*HC196/(1+'Key assumptions'!G218)^0.75</f>
        <v>0</v>
      </c>
      <c r="HW196" s="216">
        <f t="shared" si="57"/>
        <v>0.12905844155844157</v>
      </c>
      <c r="HX196" s="216">
        <f t="shared" si="58"/>
        <v>0</v>
      </c>
      <c r="HY196" s="216">
        <f t="shared" si="59"/>
        <v>0</v>
      </c>
      <c r="HZ196" s="216">
        <f t="shared" si="60"/>
        <v>0</v>
      </c>
      <c r="IA196" s="216">
        <f t="shared" si="61"/>
        <v>0</v>
      </c>
      <c r="IB196" s="216">
        <f t="shared" si="62"/>
        <v>0</v>
      </c>
      <c r="IC196" s="216">
        <f t="shared" si="63"/>
        <v>0</v>
      </c>
      <c r="ID196" s="216">
        <f t="shared" si="64"/>
        <v>0.12905844155844157</v>
      </c>
      <c r="IF196" s="216">
        <f t="shared" si="65"/>
        <v>0</v>
      </c>
    </row>
    <row r="197" spans="2:240" x14ac:dyDescent="0.2">
      <c r="B197" s="141" t="str">
        <v>Project Delivery Management - Construction Management</v>
      </c>
      <c r="C197" s="141" t="str">
        <v>Safety Officer (Safety and Environmental Delivery)</v>
      </c>
      <c r="D197" s="141" t="str">
        <v>Internal Labour</v>
      </c>
      <c r="E197" s="141" t="str">
        <v>$ Nominal</v>
      </c>
      <c r="F197" s="141" t="str">
        <v>Existing</v>
      </c>
      <c r="G197" s="141" t="str">
        <v>Normal time</v>
      </c>
      <c r="H197" s="142">
        <v>205.24</v>
      </c>
      <c r="I197" s="126">
        <v>160613.05400000006</v>
      </c>
      <c r="J197" s="143">
        <v>0</v>
      </c>
      <c r="K197" s="144">
        <v>0</v>
      </c>
      <c r="L197" s="144">
        <v>0</v>
      </c>
      <c r="M197" s="144">
        <v>0</v>
      </c>
      <c r="N197" s="144">
        <v>0</v>
      </c>
      <c r="O197" s="144">
        <v>0</v>
      </c>
      <c r="P197" s="144">
        <v>0</v>
      </c>
      <c r="Q197" s="144">
        <v>0</v>
      </c>
      <c r="R197" s="144">
        <v>0</v>
      </c>
      <c r="S197" s="144">
        <v>0</v>
      </c>
      <c r="T197" s="144">
        <v>0</v>
      </c>
      <c r="U197" s="144">
        <v>0</v>
      </c>
      <c r="V197" s="144">
        <v>0</v>
      </c>
      <c r="W197" s="144">
        <v>0</v>
      </c>
      <c r="X197" s="144">
        <v>0</v>
      </c>
      <c r="Y197" s="144">
        <v>0.1</v>
      </c>
      <c r="Z197" s="144">
        <v>0.13333333333333333</v>
      </c>
      <c r="AA197" s="144">
        <v>0.15657894736842107</v>
      </c>
      <c r="AB197" s="144">
        <v>0.16578947368421051</v>
      </c>
      <c r="AC197" s="144">
        <v>0.19</v>
      </c>
      <c r="AD197" s="144">
        <v>0.15</v>
      </c>
      <c r="AE197" s="144">
        <v>0.18</v>
      </c>
      <c r="AF197" s="144">
        <v>0.18</v>
      </c>
      <c r="AG197" s="144">
        <v>0.17</v>
      </c>
      <c r="AH197" s="144">
        <v>0.16</v>
      </c>
      <c r="AI197" s="144">
        <v>0.3066666666666667</v>
      </c>
      <c r="AJ197" s="144">
        <v>0.16</v>
      </c>
      <c r="AK197" s="144">
        <v>0.16</v>
      </c>
      <c r="AL197" s="144">
        <v>0.25333333333333335</v>
      </c>
      <c r="AM197" s="144">
        <v>0.16578947368421051</v>
      </c>
      <c r="AN197" s="144">
        <v>0.15657894736842107</v>
      </c>
      <c r="AO197" s="144">
        <v>0.18</v>
      </c>
      <c r="AP197" s="144">
        <v>0.17</v>
      </c>
      <c r="AQ197" s="144">
        <v>0.18</v>
      </c>
      <c r="AR197" s="144">
        <v>0.18</v>
      </c>
      <c r="AS197" s="144">
        <v>0.17</v>
      </c>
      <c r="AT197" s="144">
        <v>0.21333333333333332</v>
      </c>
      <c r="AU197" s="144">
        <v>0.25333333333333335</v>
      </c>
      <c r="AV197" s="144">
        <v>0.16</v>
      </c>
      <c r="AW197" s="144">
        <v>0.19</v>
      </c>
      <c r="AX197" s="144">
        <v>0.21333333333333332</v>
      </c>
      <c r="AY197" s="144">
        <v>0.17500000000000002</v>
      </c>
      <c r="AZ197" s="144">
        <v>0.17500000000000002</v>
      </c>
      <c r="BA197" s="144">
        <v>0.16</v>
      </c>
      <c r="BB197" s="144">
        <v>0.18</v>
      </c>
      <c r="BC197" s="144">
        <v>0.17</v>
      </c>
      <c r="BD197" s="144">
        <v>0.18</v>
      </c>
      <c r="BE197" s="144">
        <v>0</v>
      </c>
      <c r="BF197" s="144">
        <v>0</v>
      </c>
      <c r="BG197" s="144">
        <v>0</v>
      </c>
      <c r="BH197" s="144">
        <v>0</v>
      </c>
      <c r="BI197" s="144">
        <v>0</v>
      </c>
      <c r="BJ197" s="144">
        <v>0</v>
      </c>
      <c r="BK197" s="144">
        <v>0</v>
      </c>
      <c r="BL197" s="144">
        <v>0</v>
      </c>
      <c r="BM197" s="144">
        <v>0</v>
      </c>
      <c r="BN197" s="144">
        <v>0</v>
      </c>
      <c r="BO197" s="144">
        <v>0</v>
      </c>
      <c r="BP197" s="144">
        <v>0</v>
      </c>
      <c r="BQ197" s="144">
        <v>0</v>
      </c>
      <c r="BR197" s="144">
        <v>0</v>
      </c>
      <c r="BS197" s="144">
        <v>0</v>
      </c>
      <c r="BT197" s="144">
        <v>0</v>
      </c>
      <c r="BU197" s="144">
        <v>0</v>
      </c>
      <c r="BV197" s="144">
        <v>0</v>
      </c>
      <c r="BW197" s="144">
        <v>0</v>
      </c>
      <c r="BX197" s="144">
        <v>0</v>
      </c>
      <c r="BY197" s="144">
        <v>0</v>
      </c>
      <c r="BZ197" s="144">
        <v>0</v>
      </c>
      <c r="CA197" s="144">
        <v>0</v>
      </c>
      <c r="CB197" s="144">
        <v>0</v>
      </c>
      <c r="CC197" s="144">
        <v>0</v>
      </c>
      <c r="CD197" s="144">
        <v>0</v>
      </c>
      <c r="CE197" s="144">
        <v>0</v>
      </c>
      <c r="CF197" s="144">
        <v>0</v>
      </c>
      <c r="CG197" s="144">
        <v>0</v>
      </c>
      <c r="CH197" s="144">
        <v>0</v>
      </c>
      <c r="CI197" s="144">
        <v>0</v>
      </c>
      <c r="CJ197" s="144">
        <v>0</v>
      </c>
      <c r="CK197" s="144">
        <v>0</v>
      </c>
      <c r="CL197" s="144">
        <v>0</v>
      </c>
      <c r="CM197" s="144">
        <v>0</v>
      </c>
      <c r="CN197" s="144">
        <v>0</v>
      </c>
      <c r="CO197" s="144">
        <v>0</v>
      </c>
      <c r="CP197" s="144">
        <v>0</v>
      </c>
      <c r="CQ197" s="143">
        <v>0</v>
      </c>
      <c r="CR197" s="145">
        <v>0</v>
      </c>
      <c r="CS197" s="145">
        <v>0</v>
      </c>
      <c r="CT197" s="145">
        <v>0</v>
      </c>
      <c r="CU197" s="145">
        <v>0</v>
      </c>
      <c r="CV197" s="145">
        <v>0</v>
      </c>
      <c r="CW197" s="145">
        <v>0</v>
      </c>
      <c r="CX197" s="145">
        <v>0</v>
      </c>
      <c r="CY197" s="145">
        <v>0</v>
      </c>
      <c r="CZ197" s="145">
        <v>0</v>
      </c>
      <c r="DA197" s="145">
        <v>0</v>
      </c>
      <c r="DB197" s="145">
        <v>0</v>
      </c>
      <c r="DC197" s="145">
        <v>0</v>
      </c>
      <c r="DD197" s="145">
        <v>0</v>
      </c>
      <c r="DE197" s="145">
        <v>0</v>
      </c>
      <c r="DF197" s="145">
        <v>2873.36</v>
      </c>
      <c r="DG197" s="145">
        <v>2873.36</v>
      </c>
      <c r="DH197" s="145">
        <v>4884.7120000000004</v>
      </c>
      <c r="DI197" s="145">
        <v>5172.0479999999998</v>
      </c>
      <c r="DJ197" s="145">
        <v>5459.3840000000009</v>
      </c>
      <c r="DK197" s="145">
        <v>4310.04</v>
      </c>
      <c r="DL197" s="145">
        <v>5172.0479999999998</v>
      </c>
      <c r="DM197" s="145">
        <v>5172.0479999999998</v>
      </c>
      <c r="DN197" s="145">
        <v>4884.7120000000004</v>
      </c>
      <c r="DO197" s="145">
        <v>3448.0320000000002</v>
      </c>
      <c r="DP197" s="145">
        <v>6608.728000000001</v>
      </c>
      <c r="DQ197" s="145">
        <v>4597.3760000000002</v>
      </c>
      <c r="DR197" s="145">
        <v>4735.5839999999998</v>
      </c>
      <c r="DS197" s="145">
        <v>5623.5060000000003</v>
      </c>
      <c r="DT197" s="145">
        <v>5327.5320000000002</v>
      </c>
      <c r="DU197" s="145">
        <v>5031.558</v>
      </c>
      <c r="DV197" s="145">
        <v>5327.5320000000002</v>
      </c>
      <c r="DW197" s="145">
        <v>5031.558</v>
      </c>
      <c r="DX197" s="145">
        <v>5327.5320000000002</v>
      </c>
      <c r="DY197" s="145">
        <v>5327.5320000000002</v>
      </c>
      <c r="DZ197" s="145">
        <v>5031.558</v>
      </c>
      <c r="EA197" s="145">
        <v>4735.5839999999998</v>
      </c>
      <c r="EB197" s="145">
        <v>5623.5060000000003</v>
      </c>
      <c r="EC197" s="145">
        <v>4735.5839999999998</v>
      </c>
      <c r="ED197" s="145">
        <v>5793.4800000000005</v>
      </c>
      <c r="EE197" s="145">
        <v>4878.72</v>
      </c>
      <c r="EF197" s="145">
        <v>5793.4800000000005</v>
      </c>
      <c r="EG197" s="145">
        <v>5793.4800000000005</v>
      </c>
      <c r="EH197" s="145">
        <v>4878.72</v>
      </c>
      <c r="EI197" s="145">
        <v>5488.56</v>
      </c>
      <c r="EJ197" s="145">
        <v>5183.6400000000003</v>
      </c>
      <c r="EK197" s="145">
        <v>5488.56</v>
      </c>
      <c r="EL197" s="145">
        <v>0</v>
      </c>
      <c r="EM197" s="145">
        <v>0</v>
      </c>
      <c r="EN197" s="145">
        <v>0</v>
      </c>
      <c r="EO197" s="145">
        <v>0</v>
      </c>
      <c r="EP197" s="145">
        <v>0</v>
      </c>
      <c r="EQ197" s="145">
        <v>0</v>
      </c>
      <c r="ER197" s="145">
        <v>0</v>
      </c>
      <c r="ES197" s="145">
        <v>0</v>
      </c>
      <c r="ET197" s="145">
        <v>0</v>
      </c>
      <c r="EU197" s="145">
        <v>0</v>
      </c>
      <c r="EV197" s="145">
        <v>0</v>
      </c>
      <c r="EW197" s="145">
        <v>0</v>
      </c>
      <c r="EX197" s="145">
        <v>0</v>
      </c>
      <c r="EY197" s="145">
        <v>0</v>
      </c>
      <c r="EZ197" s="145">
        <v>0</v>
      </c>
      <c r="FA197" s="145">
        <v>0</v>
      </c>
      <c r="FB197" s="145">
        <v>0</v>
      </c>
      <c r="FC197" s="145">
        <v>0</v>
      </c>
      <c r="FD197" s="145">
        <v>0</v>
      </c>
      <c r="FE197" s="145">
        <v>0</v>
      </c>
      <c r="FF197" s="145">
        <v>0</v>
      </c>
      <c r="FG197" s="145">
        <v>0</v>
      </c>
      <c r="FH197" s="145">
        <v>0</v>
      </c>
      <c r="FI197" s="145">
        <v>0</v>
      </c>
      <c r="FJ197" s="145">
        <v>0</v>
      </c>
      <c r="FK197" s="145">
        <v>0</v>
      </c>
      <c r="FL197" s="145">
        <v>0</v>
      </c>
      <c r="FM197" s="145">
        <v>0</v>
      </c>
      <c r="FN197" s="145">
        <v>0</v>
      </c>
      <c r="FO197" s="145">
        <v>0</v>
      </c>
      <c r="FP197" s="145">
        <v>0</v>
      </c>
      <c r="FQ197" s="145">
        <v>0</v>
      </c>
      <c r="FR197" s="145">
        <v>0</v>
      </c>
      <c r="FS197" s="145">
        <v>0</v>
      </c>
      <c r="FT197" s="145">
        <v>0</v>
      </c>
      <c r="FU197" s="145">
        <v>0</v>
      </c>
      <c r="FV197" s="145">
        <v>0</v>
      </c>
      <c r="FW197" s="145">
        <v>0</v>
      </c>
      <c r="FX197" s="143"/>
      <c r="FY197" s="146" t="str">
        <f>_xlfn.XLOOKUP($E197,'Key assumptions'!$B$112:$B$120,'Key assumptions'!$C$112:$C$120,0)</f>
        <v>Nominal</v>
      </c>
      <c r="FZ197" s="146" cm="1">
        <f t="array" ref="FZ197">IF($FY197=0,0,_xlfn.IFS($FY197='Key assumptions'!$C$120,_xlfn.XLOOKUP(LEFT(FZ$7,6),Inflation_Year,Inflation_NominaltoReal),TRUE,_xlfn.XLOOKUP($FY197,Inflation_Year,NominaltoReal)))</f>
        <v>1.0197075870962191</v>
      </c>
      <c r="GA197" s="146" cm="1">
        <f t="array" ref="GA197">IF($FY197=0,0,_xlfn.IFS($FY197='Key assumptions'!$C$120,_xlfn.XLOOKUP(LEFT(GA$7,6),Inflation_Year,Inflation_NominaltoReal),TRUE,_xlfn.XLOOKUP($FY197,Inflation_Year,NominaltoReal)))</f>
        <v>0.98700804022984445</v>
      </c>
      <c r="GB197" s="146" cm="1">
        <f t="array" ref="GB197">IF($FY197=0,0,_xlfn.IFS($FY197='Key assumptions'!$C$120,_xlfn.XLOOKUP(LEFT(GB$7,6),Inflation_Year,Inflation_NominaltoReal),TRUE,_xlfn.XLOOKUP($FY197,Inflation_Year,NominaltoReal)))</f>
        <v>0.96152830081941731</v>
      </c>
      <c r="GC197" s="146" cm="1">
        <f t="array" ref="GC197">IF($FY197=0,0,_xlfn.IFS($FY197='Key assumptions'!$C$120,_xlfn.XLOOKUP(LEFT(GC$7,6),Inflation_Year,Inflation_NominaltoReal),TRUE,_xlfn.XLOOKUP($FY197,Inflation_Year,NominaltoReal)))</f>
        <v>0.93670632415656829</v>
      </c>
      <c r="GD197" s="146" cm="1">
        <f t="array" ref="GD197">IF($FY197=0,0,_xlfn.IFS($FY197='Key assumptions'!$C$120,_xlfn.XLOOKUP(LEFT(GD$7,6),Inflation_Year,Inflation_NominaltoReal),TRUE,_xlfn.XLOOKUP($FY197,Inflation_Year,NominaltoReal)))</f>
        <v>0.91252513001143176</v>
      </c>
      <c r="GE197" s="146" cm="1">
        <f t="array" ref="GE197">IF($FY197=0,0,_xlfn.IFS($FY197='Key assumptions'!$C$120,_xlfn.XLOOKUP(LEFT(GE$7,6),Inflation_Year,Inflation_NominaltoReal),TRUE,_xlfn.XLOOKUP($FY197,Inflation_Year,NominaltoReal)))</f>
        <v>0.88896817650095872</v>
      </c>
      <c r="GF197" s="146" cm="1">
        <f t="array" ref="GF197">IF($FY197=0,0,_xlfn.IFS($FY197='Key assumptions'!$C$120,_xlfn.XLOOKUP(LEFT(GF$7,6),Inflation_Year,Inflation_NominaltoReal),TRUE,_xlfn.XLOOKUP($FY197,Inflation_Year,NominaltoReal)))</f>
        <v>0.86601934877293718</v>
      </c>
      <c r="GG197" s="143"/>
      <c r="GH197" s="145" cm="1">
        <f t="array" ref="GH197">SUMPRODUCT(--($CR$7:$FW$7&gt;=GH$5),--($CR$7:$FW$7&lt;=GH$6),$CR197:$FW197)*FZ197</f>
        <v>31350.860819309077</v>
      </c>
      <c r="GI197" s="145" cm="1">
        <f t="array" ref="GI197">SUMPRODUCT(--($CR$7:$FW$7&gt;=GI$5),--($CR$7:$FW$7&lt;=GI$6),$CR197:$FW197)*GA197</f>
        <v>60321.685310259018</v>
      </c>
      <c r="GJ197" s="145" cm="1">
        <f t="array" ref="GJ197">SUMPRODUCT(--($CR$7:$FW$7&gt;=GJ$5),--($CR$7:$FW$7&lt;=GJ$6),$CR197:$FW197)*GB197</f>
        <v>60829.976424624692</v>
      </c>
      <c r="GK197" s="145" cm="1">
        <f t="array" ref="GK197">SUMPRODUCT(--($CR$7:$FW$7&gt;=GK$5),--($CR$7:$FW$7&lt;=GK$6),$CR197:$FW197)*GC197</f>
        <v>5141.1688625127745</v>
      </c>
      <c r="GL197" s="145" cm="1">
        <f t="array" ref="GL197">SUMPRODUCT(--($CR$7:$FW$7&gt;=GL$5),--($CR$7:$FW$7&lt;=GL$6),$CR197:$FW197)*GD197</f>
        <v>0</v>
      </c>
      <c r="GM197" s="145" cm="1">
        <f t="array" ref="GM197">SUMPRODUCT(--($CR$7:$FW$7&gt;=GM$5),--($CR$7:$FW$7&lt;=GM$6),$CR197:$FW197)*GE197</f>
        <v>0</v>
      </c>
      <c r="GN197" s="145" cm="1">
        <f t="array" ref="GN197">SUMPRODUCT(--($CR$7:$FW$7&gt;=GN$5),--($CR$7:$FW$7&lt;=GN$6),$CR197:$FW197)*GF197</f>
        <v>0</v>
      </c>
      <c r="GO197" s="145">
        <f t="shared" si="46"/>
        <v>157643.69141670558</v>
      </c>
      <c r="GP197" s="87"/>
      <c r="GR197" s="145" cm="1">
        <f t="array" ref="GR197">SUMPRODUCT(--($CR$7:$FW$7&gt;=GR$5),--($CR$7:$FW$7&lt;=GR$6),$CR197:$FW197)</f>
        <v>15803.48</v>
      </c>
      <c r="GT197" s="214" cm="1">
        <f t="array" ref="GT197">--AND(MIN(IF($K197:$CP197&lt;&gt;0,$K$7:$CP$7))&gt;=GT$5,MIN(IF($K197:$CP197&lt;&gt;0,$K$7:$CP$7))&lt;=GT$6)</f>
        <v>1</v>
      </c>
      <c r="GU197" s="214" cm="1">
        <f t="array" ref="GU197">--AND(MIN(IF($K197:$CP197&lt;&gt;0,$K$7:$CP$7))&gt;=GU$5,MIN(IF($K197:$CP197&lt;&gt;0,$K$7:$CP$7))&lt;=GU$6)</f>
        <v>0</v>
      </c>
      <c r="GV197" s="214" cm="1">
        <f t="array" ref="GV197">--AND(MIN(IF($K197:$CP197&lt;&gt;0,$K$7:$CP$7))&gt;=GV$5,MIN(IF($K197:$CP197&lt;&gt;0,$K$7:$CP$7))&lt;=GV$6)</f>
        <v>0</v>
      </c>
      <c r="GW197" s="214" cm="1">
        <f t="array" ref="GW197">--AND(MIN(IF($K197:$CP197&lt;&gt;0,$K$7:$CP$7))&gt;=GW$5,MIN(IF($K197:$CP197&lt;&gt;0,$K$7:$CP$7))&lt;=GW$6)</f>
        <v>0</v>
      </c>
      <c r="GX197" s="214" cm="1">
        <f t="array" ref="GX197">--AND(MIN(IF($K197:$CP197&lt;&gt;0,$K$7:$CP$7))&gt;=GX$5,MIN(IF($K197:$CP197&lt;&gt;0,$K$7:$CP$7))&lt;=GX$6)</f>
        <v>0</v>
      </c>
      <c r="GY197" s="214" cm="1">
        <f t="array" ref="GY197">--AND(MIN(IF($K197:$CP197&lt;&gt;0,$K$7:$CP$7))&gt;=GY$5,MIN(IF($K197:$CP197&lt;&gt;0,$K$7:$CP$7))&lt;=GY$6)</f>
        <v>0</v>
      </c>
      <c r="GZ197" s="214" cm="1">
        <f t="array" ref="GZ197">--AND(MIN(IF($K197:$CP197&lt;&gt;0,$K$7:$CP$7))&gt;=GZ$5,MIN(IF($K197:$CP197&lt;&gt;0,$K$7:$CP$7))&lt;=GZ$6)</f>
        <v>0</v>
      </c>
      <c r="HA197" s="214">
        <f t="shared" si="47"/>
        <v>1</v>
      </c>
      <c r="HC197" s="214" cm="1">
        <f t="array" ref="HC197">--AND(MIN(IF($K197:$CP197&lt;&gt;0,$K$7:$CP$7))&gt;=HC$5,MIN(IF($K197:$CP197&lt;&gt;0,$K$7:$CP$7))&lt;=HC$6)</f>
        <v>1</v>
      </c>
      <c r="HE197" s="147" t="str">
        <f t="shared" si="66"/>
        <v>No</v>
      </c>
      <c r="HF197" s="147" t="str">
        <f t="shared" si="67"/>
        <v>No</v>
      </c>
      <c r="HG197" s="147">
        <f>IF($HF197="Yes",0,$H197*avg_hrs*12*'Key assumptions'!$D$87)</f>
        <v>367024.33151015785</v>
      </c>
      <c r="HH197" s="147">
        <f>IF(HE197="Yes",'Key assumptions'!$D$84*HG197,0)</f>
        <v>0</v>
      </c>
      <c r="HI197" s="144">
        <f>IFERROR(AVERAGEIFS($K197:$CP197,$K$7:$CP$7,"&gt;="&amp;'Key assumptions'!$D$24,$K$7:$CP$7,"&lt;="&amp;'Key assumptions'!$D$25),0)</f>
        <v>0.13041068580542264</v>
      </c>
      <c r="HJ197" s="148">
        <f t="shared" si="68"/>
        <v>0</v>
      </c>
      <c r="HK197" s="148">
        <f t="shared" si="49"/>
        <v>0</v>
      </c>
      <c r="HL197" s="148">
        <f t="shared" si="50"/>
        <v>0</v>
      </c>
      <c r="HM197" s="148">
        <f t="shared" si="51"/>
        <v>0</v>
      </c>
      <c r="HN197" s="148">
        <f t="shared" si="52"/>
        <v>0</v>
      </c>
      <c r="HO197" s="148">
        <f t="shared" si="53"/>
        <v>0</v>
      </c>
      <c r="HP197" s="148">
        <f t="shared" si="54"/>
        <v>0</v>
      </c>
      <c r="HQ197" s="148">
        <f t="shared" si="55"/>
        <v>0</v>
      </c>
      <c r="HR197" s="147">
        <f t="shared" si="56"/>
        <v>0</v>
      </c>
      <c r="HU197" s="147">
        <f>$HJ197*HC197/(1+'Key assumptions'!G219)^0.75</f>
        <v>0</v>
      </c>
      <c r="HW197" s="216">
        <f t="shared" si="57"/>
        <v>0.13041068580542264</v>
      </c>
      <c r="HX197" s="216">
        <f t="shared" si="58"/>
        <v>0</v>
      </c>
      <c r="HY197" s="216">
        <f t="shared" si="59"/>
        <v>0</v>
      </c>
      <c r="HZ197" s="216">
        <f t="shared" si="60"/>
        <v>0</v>
      </c>
      <c r="IA197" s="216">
        <f t="shared" si="61"/>
        <v>0</v>
      </c>
      <c r="IB197" s="216">
        <f t="shared" si="62"/>
        <v>0</v>
      </c>
      <c r="IC197" s="216">
        <f t="shared" si="63"/>
        <v>0</v>
      </c>
      <c r="ID197" s="216">
        <f t="shared" si="64"/>
        <v>0.13041068580542264</v>
      </c>
      <c r="IF197" s="216">
        <f t="shared" si="65"/>
        <v>0.13041068580542264</v>
      </c>
    </row>
    <row r="198" spans="2:240" x14ac:dyDescent="0.2">
      <c r="B198" s="141" t="str">
        <v>Project Delivery Management - Construction Management</v>
      </c>
      <c r="C198" s="141" t="str">
        <v>Safety Officer (Safety and Environmental Delivery)</v>
      </c>
      <c r="D198" s="141" t="str">
        <v>Internal Labour</v>
      </c>
      <c r="E198" s="141" t="str">
        <v>$ Nominal</v>
      </c>
      <c r="F198" s="141">
        <v>0</v>
      </c>
      <c r="G198" s="141" t="str">
        <v>Overtime</v>
      </c>
      <c r="H198" s="142">
        <v>205.24</v>
      </c>
      <c r="I198" s="126">
        <v>266490.53399999999</v>
      </c>
      <c r="J198" s="143">
        <v>0</v>
      </c>
      <c r="K198" s="144">
        <v>0</v>
      </c>
      <c r="L198" s="144">
        <v>0</v>
      </c>
      <c r="M198" s="144">
        <v>0</v>
      </c>
      <c r="N198" s="144">
        <v>0</v>
      </c>
      <c r="O198" s="144">
        <v>0</v>
      </c>
      <c r="P198" s="144">
        <v>0</v>
      </c>
      <c r="Q198" s="144">
        <v>0</v>
      </c>
      <c r="R198" s="144">
        <v>0</v>
      </c>
      <c r="S198" s="144">
        <v>0</v>
      </c>
      <c r="T198" s="144">
        <v>0</v>
      </c>
      <c r="U198" s="144">
        <v>0</v>
      </c>
      <c r="V198" s="144">
        <v>0</v>
      </c>
      <c r="W198" s="144">
        <v>0</v>
      </c>
      <c r="X198" s="144">
        <v>0</v>
      </c>
      <c r="Y198" s="144">
        <v>0</v>
      </c>
      <c r="Z198" s="144">
        <v>0</v>
      </c>
      <c r="AA198" s="144">
        <v>0.13026315789473686</v>
      </c>
      <c r="AB198" s="144">
        <v>0.13421052631578947</v>
      </c>
      <c r="AC198" s="144">
        <v>0.1842857142857143</v>
      </c>
      <c r="AD198" s="144">
        <v>0.13285714285714287</v>
      </c>
      <c r="AE198" s="144">
        <v>0.14571428571428571</v>
      </c>
      <c r="AF198" s="144">
        <v>0.14571428571428571</v>
      </c>
      <c r="AG198" s="144">
        <v>0.14142857142857143</v>
      </c>
      <c r="AH198" s="144">
        <v>0.16</v>
      </c>
      <c r="AI198" s="144">
        <v>0.26857142857142857</v>
      </c>
      <c r="AJ198" s="144">
        <v>0.13714285714285715</v>
      </c>
      <c r="AK198" s="144">
        <v>0.13714285714285715</v>
      </c>
      <c r="AL198" s="144">
        <v>0.2</v>
      </c>
      <c r="AM198" s="144">
        <v>0.15</v>
      </c>
      <c r="AN198" s="144">
        <v>0.14605263157894735</v>
      </c>
      <c r="AO198" s="144">
        <v>0.14571428571428571</v>
      </c>
      <c r="AP198" s="144">
        <v>0.14142857142857143</v>
      </c>
      <c r="AQ198" s="144">
        <v>0.14571428571428571</v>
      </c>
      <c r="AR198" s="144">
        <v>0.14571428571428571</v>
      </c>
      <c r="AS198" s="144">
        <v>0.17571428571428571</v>
      </c>
      <c r="AT198" s="144">
        <v>0.13714285714285715</v>
      </c>
      <c r="AU198" s="144">
        <v>0.24571428571428572</v>
      </c>
      <c r="AV198" s="144">
        <v>0.13714285714285715</v>
      </c>
      <c r="AW198" s="144">
        <v>0.15</v>
      </c>
      <c r="AX198" s="144">
        <v>0.18285714285714286</v>
      </c>
      <c r="AY198" s="144">
        <v>0.16973684210526316</v>
      </c>
      <c r="AZ198" s="144">
        <v>0.16973684210526316</v>
      </c>
      <c r="BA198" s="144">
        <v>0.13714285714285715</v>
      </c>
      <c r="BB198" s="144">
        <v>0.14571428571428571</v>
      </c>
      <c r="BC198" s="144">
        <v>0.14142857142857143</v>
      </c>
      <c r="BD198" s="144">
        <v>0.14571428571428571</v>
      </c>
      <c r="BE198" s="144">
        <v>0</v>
      </c>
      <c r="BF198" s="144">
        <v>0</v>
      </c>
      <c r="BG198" s="144">
        <v>0</v>
      </c>
      <c r="BH198" s="144">
        <v>0</v>
      </c>
      <c r="BI198" s="144">
        <v>0</v>
      </c>
      <c r="BJ198" s="144">
        <v>0</v>
      </c>
      <c r="BK198" s="144">
        <v>0</v>
      </c>
      <c r="BL198" s="144">
        <v>0</v>
      </c>
      <c r="BM198" s="144">
        <v>0</v>
      </c>
      <c r="BN198" s="144">
        <v>0</v>
      </c>
      <c r="BO198" s="144">
        <v>0</v>
      </c>
      <c r="BP198" s="144">
        <v>0</v>
      </c>
      <c r="BQ198" s="144">
        <v>0</v>
      </c>
      <c r="BR198" s="144">
        <v>0</v>
      </c>
      <c r="BS198" s="144">
        <v>0</v>
      </c>
      <c r="BT198" s="144">
        <v>0</v>
      </c>
      <c r="BU198" s="144">
        <v>0</v>
      </c>
      <c r="BV198" s="144">
        <v>0</v>
      </c>
      <c r="BW198" s="144">
        <v>0</v>
      </c>
      <c r="BX198" s="144">
        <v>0</v>
      </c>
      <c r="BY198" s="144">
        <v>0</v>
      </c>
      <c r="BZ198" s="144">
        <v>0</v>
      </c>
      <c r="CA198" s="144">
        <v>0</v>
      </c>
      <c r="CB198" s="144">
        <v>0</v>
      </c>
      <c r="CC198" s="144">
        <v>0</v>
      </c>
      <c r="CD198" s="144">
        <v>0</v>
      </c>
      <c r="CE198" s="144">
        <v>0</v>
      </c>
      <c r="CF198" s="144">
        <v>0</v>
      </c>
      <c r="CG198" s="144">
        <v>0</v>
      </c>
      <c r="CH198" s="144">
        <v>0</v>
      </c>
      <c r="CI198" s="144">
        <v>0</v>
      </c>
      <c r="CJ198" s="144">
        <v>0</v>
      </c>
      <c r="CK198" s="144">
        <v>0</v>
      </c>
      <c r="CL198" s="144">
        <v>0</v>
      </c>
      <c r="CM198" s="144">
        <v>0</v>
      </c>
      <c r="CN198" s="144">
        <v>0</v>
      </c>
      <c r="CO198" s="144">
        <v>0</v>
      </c>
      <c r="CP198" s="144">
        <v>0</v>
      </c>
      <c r="CQ198" s="143">
        <v>0</v>
      </c>
      <c r="CR198" s="145">
        <v>0</v>
      </c>
      <c r="CS198" s="145">
        <v>0</v>
      </c>
      <c r="CT198" s="145">
        <v>0</v>
      </c>
      <c r="CU198" s="145">
        <v>0</v>
      </c>
      <c r="CV198" s="145">
        <v>0</v>
      </c>
      <c r="CW198" s="145">
        <v>0</v>
      </c>
      <c r="CX198" s="145">
        <v>0</v>
      </c>
      <c r="CY198" s="145">
        <v>0</v>
      </c>
      <c r="CZ198" s="145">
        <v>0</v>
      </c>
      <c r="DA198" s="145">
        <v>0</v>
      </c>
      <c r="DB198" s="145">
        <v>0</v>
      </c>
      <c r="DC198" s="145">
        <v>0</v>
      </c>
      <c r="DD198" s="145">
        <v>0</v>
      </c>
      <c r="DE198" s="145">
        <v>0</v>
      </c>
      <c r="DF198" s="145">
        <v>0</v>
      </c>
      <c r="DG198" s="145">
        <v>0</v>
      </c>
      <c r="DH198" s="145">
        <v>8127.5040000000008</v>
      </c>
      <c r="DI198" s="145">
        <v>8373.7919999999995</v>
      </c>
      <c r="DJ198" s="145">
        <v>10590.384</v>
      </c>
      <c r="DK198" s="145">
        <v>7634.9280000000008</v>
      </c>
      <c r="DL198" s="145">
        <v>8373.7919999999995</v>
      </c>
      <c r="DM198" s="145">
        <v>8373.7919999999995</v>
      </c>
      <c r="DN198" s="145">
        <v>8127.5040000000008</v>
      </c>
      <c r="DO198" s="145">
        <v>6896.0640000000003</v>
      </c>
      <c r="DP198" s="145">
        <v>11575.536</v>
      </c>
      <c r="DQ198" s="145">
        <v>7881.2160000000003</v>
      </c>
      <c r="DR198" s="145">
        <v>8117.9519999999993</v>
      </c>
      <c r="DS198" s="145">
        <v>8879.01</v>
      </c>
      <c r="DT198" s="145">
        <v>9640.0680000000011</v>
      </c>
      <c r="DU198" s="145">
        <v>9386.3819999999996</v>
      </c>
      <c r="DV198" s="145">
        <v>8625.3239999999987</v>
      </c>
      <c r="DW198" s="145">
        <v>8371.6380000000008</v>
      </c>
      <c r="DX198" s="145">
        <v>8625.3239999999987</v>
      </c>
      <c r="DY198" s="145">
        <v>8625.3239999999987</v>
      </c>
      <c r="DZ198" s="145">
        <v>10401.126</v>
      </c>
      <c r="EA198" s="145">
        <v>6088.4639999999999</v>
      </c>
      <c r="EB198" s="145">
        <v>10908.498</v>
      </c>
      <c r="EC198" s="145">
        <v>8117.9519999999993</v>
      </c>
      <c r="ED198" s="145">
        <v>9147.6</v>
      </c>
      <c r="EE198" s="145">
        <v>8363.52</v>
      </c>
      <c r="EF198" s="145">
        <v>11238.480000000001</v>
      </c>
      <c r="EG198" s="145">
        <v>11238.480000000001</v>
      </c>
      <c r="EH198" s="145">
        <v>8363.52</v>
      </c>
      <c r="EI198" s="145">
        <v>8886.24</v>
      </c>
      <c r="EJ198" s="145">
        <v>8624.880000000001</v>
      </c>
      <c r="EK198" s="145">
        <v>8886.24</v>
      </c>
      <c r="EL198" s="145">
        <v>0</v>
      </c>
      <c r="EM198" s="145">
        <v>0</v>
      </c>
      <c r="EN198" s="145">
        <v>0</v>
      </c>
      <c r="EO198" s="145">
        <v>0</v>
      </c>
      <c r="EP198" s="145">
        <v>0</v>
      </c>
      <c r="EQ198" s="145">
        <v>0</v>
      </c>
      <c r="ER198" s="145">
        <v>0</v>
      </c>
      <c r="ES198" s="145">
        <v>0</v>
      </c>
      <c r="ET198" s="145">
        <v>0</v>
      </c>
      <c r="EU198" s="145">
        <v>0</v>
      </c>
      <c r="EV198" s="145">
        <v>0</v>
      </c>
      <c r="EW198" s="145">
        <v>0</v>
      </c>
      <c r="EX198" s="145">
        <v>0</v>
      </c>
      <c r="EY198" s="145">
        <v>0</v>
      </c>
      <c r="EZ198" s="145">
        <v>0</v>
      </c>
      <c r="FA198" s="145">
        <v>0</v>
      </c>
      <c r="FB198" s="145">
        <v>0</v>
      </c>
      <c r="FC198" s="145">
        <v>0</v>
      </c>
      <c r="FD198" s="145">
        <v>0</v>
      </c>
      <c r="FE198" s="145">
        <v>0</v>
      </c>
      <c r="FF198" s="145">
        <v>0</v>
      </c>
      <c r="FG198" s="145">
        <v>0</v>
      </c>
      <c r="FH198" s="145">
        <v>0</v>
      </c>
      <c r="FI198" s="145">
        <v>0</v>
      </c>
      <c r="FJ198" s="145">
        <v>0</v>
      </c>
      <c r="FK198" s="145">
        <v>0</v>
      </c>
      <c r="FL198" s="145">
        <v>0</v>
      </c>
      <c r="FM198" s="145">
        <v>0</v>
      </c>
      <c r="FN198" s="145">
        <v>0</v>
      </c>
      <c r="FO198" s="145">
        <v>0</v>
      </c>
      <c r="FP198" s="145">
        <v>0</v>
      </c>
      <c r="FQ198" s="145">
        <v>0</v>
      </c>
      <c r="FR198" s="145">
        <v>0</v>
      </c>
      <c r="FS198" s="145">
        <v>0</v>
      </c>
      <c r="FT198" s="145">
        <v>0</v>
      </c>
      <c r="FU198" s="145">
        <v>0</v>
      </c>
      <c r="FV198" s="145">
        <v>0</v>
      </c>
      <c r="FW198" s="145">
        <v>0</v>
      </c>
      <c r="FX198" s="143"/>
      <c r="FY198" s="146" t="str">
        <f>_xlfn.XLOOKUP($E198,'Key assumptions'!$B$112:$B$120,'Key assumptions'!$C$112:$C$120,0)</f>
        <v>Nominal</v>
      </c>
      <c r="FZ198" s="146" cm="1">
        <f t="array" ref="FZ198">IF($FY198=0,0,_xlfn.IFS($FY198='Key assumptions'!$C$120,_xlfn.XLOOKUP(LEFT(FZ$7,6),Inflation_Year,Inflation_NominaltoReal),TRUE,_xlfn.XLOOKUP($FY198,Inflation_Year,NominaltoReal)))</f>
        <v>1.0197075870962191</v>
      </c>
      <c r="GA198" s="146" cm="1">
        <f t="array" ref="GA198">IF($FY198=0,0,_xlfn.IFS($FY198='Key assumptions'!$C$120,_xlfn.XLOOKUP(LEFT(GA$7,6),Inflation_Year,Inflation_NominaltoReal),TRUE,_xlfn.XLOOKUP($FY198,Inflation_Year,NominaltoReal)))</f>
        <v>0.98700804022984445</v>
      </c>
      <c r="GB198" s="146" cm="1">
        <f t="array" ref="GB198">IF($FY198=0,0,_xlfn.IFS($FY198='Key assumptions'!$C$120,_xlfn.XLOOKUP(LEFT(GB$7,6),Inflation_Year,Inflation_NominaltoReal),TRUE,_xlfn.XLOOKUP($FY198,Inflation_Year,NominaltoReal)))</f>
        <v>0.96152830081941731</v>
      </c>
      <c r="GC198" s="146" cm="1">
        <f t="array" ref="GC198">IF($FY198=0,0,_xlfn.IFS($FY198='Key assumptions'!$C$120,_xlfn.XLOOKUP(LEFT(GC$7,6),Inflation_Year,Inflation_NominaltoReal),TRUE,_xlfn.XLOOKUP($FY198,Inflation_Year,NominaltoReal)))</f>
        <v>0.93670632415656829</v>
      </c>
      <c r="GD198" s="146" cm="1">
        <f t="array" ref="GD198">IF($FY198=0,0,_xlfn.IFS($FY198='Key assumptions'!$C$120,_xlfn.XLOOKUP(LEFT(GD$7,6),Inflation_Year,Inflation_NominaltoReal),TRUE,_xlfn.XLOOKUP($FY198,Inflation_Year,NominaltoReal)))</f>
        <v>0.91252513001143176</v>
      </c>
      <c r="GE198" s="146" cm="1">
        <f t="array" ref="GE198">IF($FY198=0,0,_xlfn.IFS($FY198='Key assumptions'!$C$120,_xlfn.XLOOKUP(LEFT(GE$7,6),Inflation_Year,Inflation_NominaltoReal),TRUE,_xlfn.XLOOKUP($FY198,Inflation_Year,NominaltoReal)))</f>
        <v>0.88896817650095872</v>
      </c>
      <c r="GF198" s="146" cm="1">
        <f t="array" ref="GF198">IF($FY198=0,0,_xlfn.IFS($FY198='Key assumptions'!$C$120,_xlfn.XLOOKUP(LEFT(GF$7,6),Inflation_Year,Inflation_NominaltoReal),TRUE,_xlfn.XLOOKUP($FY198,Inflation_Year,NominaltoReal)))</f>
        <v>0.86601934877293718</v>
      </c>
      <c r="GG198" s="143"/>
      <c r="GH198" s="145" cm="1">
        <f t="array" ref="GH198">SUMPRODUCT(--($CR$7:$FW$7&gt;=GH$5),--($CR$7:$FW$7&lt;=GH$6),$CR198:$FW198)*FZ198</f>
        <v>43949.804886881881</v>
      </c>
      <c r="GI198" s="145" cm="1">
        <f t="array" ref="GI198">SUMPRODUCT(--($CR$7:$FW$7&gt;=GI$5),--($CR$7:$FW$7&lt;=GI$6),$CR198:$FW198)*GA198</f>
        <v>103142.15267249109</v>
      </c>
      <c r="GJ198" s="145" cm="1">
        <f t="array" ref="GJ198">SUMPRODUCT(--($CR$7:$FW$7&gt;=GJ$5),--($CR$7:$FW$7&lt;=GJ$6),$CR198:$FW198)*GB198</f>
        <v>105772.03997171645</v>
      </c>
      <c r="GK198" s="145" cm="1">
        <f t="array" ref="GK198">SUMPRODUCT(--($CR$7:$FW$7&gt;=GK$5),--($CR$7:$FW$7&lt;=GK$6),$CR198:$FW198)*GC198</f>
        <v>8323.7972059730637</v>
      </c>
      <c r="GL198" s="145" cm="1">
        <f t="array" ref="GL198">SUMPRODUCT(--($CR$7:$FW$7&gt;=GL$5),--($CR$7:$FW$7&lt;=GL$6),$CR198:$FW198)*GD198</f>
        <v>0</v>
      </c>
      <c r="GM198" s="145" cm="1">
        <f t="array" ref="GM198">SUMPRODUCT(--($CR$7:$FW$7&gt;=GM$5),--($CR$7:$FW$7&lt;=GM$6),$CR198:$FW198)*GE198</f>
        <v>0</v>
      </c>
      <c r="GN198" s="145" cm="1">
        <f t="array" ref="GN198">SUMPRODUCT(--($CR$7:$FW$7&gt;=GN$5),--($CR$7:$FW$7&lt;=GN$6),$CR198:$FW198)*GF198</f>
        <v>0</v>
      </c>
      <c r="GO198" s="145">
        <f t="shared" si="46"/>
        <v>261187.79473706248</v>
      </c>
      <c r="GP198" s="87"/>
      <c r="GR198" s="145" cm="1">
        <f t="array" ref="GR198">SUMPRODUCT(--($CR$7:$FW$7&gt;=GR$5),--($CR$7:$FW$7&lt;=GR$6),$CR198:$FW198)</f>
        <v>16501.296000000002</v>
      </c>
      <c r="GT198" s="214" cm="1">
        <f t="array" ref="GT198">--AND(MIN(IF($K198:$CP198&lt;&gt;0,$K$7:$CP$7))&gt;=GT$5,MIN(IF($K198:$CP198&lt;&gt;0,$K$7:$CP$7))&lt;=GT$6)</f>
        <v>1</v>
      </c>
      <c r="GU198" s="214" cm="1">
        <f t="array" ref="GU198">--AND(MIN(IF($K198:$CP198&lt;&gt;0,$K$7:$CP$7))&gt;=GU$5,MIN(IF($K198:$CP198&lt;&gt;0,$K$7:$CP$7))&lt;=GU$6)</f>
        <v>0</v>
      </c>
      <c r="GV198" s="214" cm="1">
        <f t="array" ref="GV198">--AND(MIN(IF($K198:$CP198&lt;&gt;0,$K$7:$CP$7))&gt;=GV$5,MIN(IF($K198:$CP198&lt;&gt;0,$K$7:$CP$7))&lt;=GV$6)</f>
        <v>0</v>
      </c>
      <c r="GW198" s="214" cm="1">
        <f t="array" ref="GW198">--AND(MIN(IF($K198:$CP198&lt;&gt;0,$K$7:$CP$7))&gt;=GW$5,MIN(IF($K198:$CP198&lt;&gt;0,$K$7:$CP$7))&lt;=GW$6)</f>
        <v>0</v>
      </c>
      <c r="GX198" s="214" cm="1">
        <f t="array" ref="GX198">--AND(MIN(IF($K198:$CP198&lt;&gt;0,$K$7:$CP$7))&gt;=GX$5,MIN(IF($K198:$CP198&lt;&gt;0,$K$7:$CP$7))&lt;=GX$6)</f>
        <v>0</v>
      </c>
      <c r="GY198" s="214" cm="1">
        <f t="array" ref="GY198">--AND(MIN(IF($K198:$CP198&lt;&gt;0,$K$7:$CP$7))&gt;=GY$5,MIN(IF($K198:$CP198&lt;&gt;0,$K$7:$CP$7))&lt;=GY$6)</f>
        <v>0</v>
      </c>
      <c r="GZ198" s="214" cm="1">
        <f t="array" ref="GZ198">--AND(MIN(IF($K198:$CP198&lt;&gt;0,$K$7:$CP$7))&gt;=GZ$5,MIN(IF($K198:$CP198&lt;&gt;0,$K$7:$CP$7))&lt;=GZ$6)</f>
        <v>0</v>
      </c>
      <c r="HA198" s="214">
        <f t="shared" si="47"/>
        <v>1</v>
      </c>
      <c r="HC198" s="214" cm="1">
        <f t="array" ref="HC198">--AND(MIN(IF($K198:$CP198&lt;&gt;0,$K$7:$CP$7))&gt;=HC$5,MIN(IF($K198:$CP198&lt;&gt;0,$K$7:$CP$7))&lt;=HC$6)</f>
        <v>1</v>
      </c>
      <c r="HE198" s="147" t="str">
        <f t="shared" si="66"/>
        <v>No</v>
      </c>
      <c r="HF198" s="147" t="str">
        <f t="shared" si="67"/>
        <v>Yes</v>
      </c>
      <c r="HG198" s="147">
        <f>IF($HF198="Yes",0,$H198*avg_hrs*12*'Key assumptions'!$D$87)</f>
        <v>0</v>
      </c>
      <c r="HH198" s="147">
        <f>IF(HE198="Yes",'Key assumptions'!$D$84*HG198,0)</f>
        <v>0</v>
      </c>
      <c r="HI198" s="144">
        <f>IFERROR(AVERAGEIFS($K198:$CP198,$K$7:$CP$7,"&gt;="&amp;'Key assumptions'!$D$24,$K$7:$CP$7,"&lt;="&amp;'Key assumptions'!$D$25),0)</f>
        <v>0.10750000000000001</v>
      </c>
      <c r="HJ198" s="148">
        <f t="shared" si="68"/>
        <v>0</v>
      </c>
      <c r="HK198" s="148">
        <f t="shared" si="49"/>
        <v>0</v>
      </c>
      <c r="HL198" s="148">
        <f t="shared" si="50"/>
        <v>0</v>
      </c>
      <c r="HM198" s="148">
        <f t="shared" si="51"/>
        <v>0</v>
      </c>
      <c r="HN198" s="148">
        <f t="shared" si="52"/>
        <v>0</v>
      </c>
      <c r="HO198" s="148">
        <f t="shared" si="53"/>
        <v>0</v>
      </c>
      <c r="HP198" s="148">
        <f t="shared" si="54"/>
        <v>0</v>
      </c>
      <c r="HQ198" s="148">
        <f t="shared" si="55"/>
        <v>0</v>
      </c>
      <c r="HR198" s="147">
        <f t="shared" si="56"/>
        <v>0</v>
      </c>
      <c r="HU198" s="147">
        <f>$HJ198*HC198/(1+'Key assumptions'!G220)^0.75</f>
        <v>0</v>
      </c>
      <c r="HW198" s="216">
        <f t="shared" si="57"/>
        <v>0.10750000000000001</v>
      </c>
      <c r="HX198" s="216">
        <f t="shared" si="58"/>
        <v>0</v>
      </c>
      <c r="HY198" s="216">
        <f t="shared" si="59"/>
        <v>0</v>
      </c>
      <c r="HZ198" s="216">
        <f t="shared" si="60"/>
        <v>0</v>
      </c>
      <c r="IA198" s="216">
        <f t="shared" si="61"/>
        <v>0</v>
      </c>
      <c r="IB198" s="216">
        <f t="shared" si="62"/>
        <v>0</v>
      </c>
      <c r="IC198" s="216">
        <f t="shared" si="63"/>
        <v>0</v>
      </c>
      <c r="ID198" s="216">
        <f t="shared" si="64"/>
        <v>0.10750000000000001</v>
      </c>
      <c r="IF198" s="216">
        <f t="shared" si="65"/>
        <v>0.10750000000000001</v>
      </c>
    </row>
    <row r="199" spans="2:240" x14ac:dyDescent="0.2">
      <c r="B199" s="141" t="str">
        <v>Project Delivery Management - Construction Management</v>
      </c>
      <c r="C199" s="141" t="str">
        <v>Safety Officer (Safety and Environmental Delivery)</v>
      </c>
      <c r="D199" s="141" t="str">
        <v>Internal Labour</v>
      </c>
      <c r="E199" s="141" t="str">
        <v>$ Nominal</v>
      </c>
      <c r="F199" s="141" t="str">
        <v>Existing</v>
      </c>
      <c r="G199" s="141" t="str">
        <v>Normal time</v>
      </c>
      <c r="H199" s="142">
        <v>205.24</v>
      </c>
      <c r="I199" s="126">
        <v>387165.83499999996</v>
      </c>
      <c r="J199" s="143">
        <v>0</v>
      </c>
      <c r="K199" s="144">
        <v>0</v>
      </c>
      <c r="L199" s="144">
        <v>0</v>
      </c>
      <c r="M199" s="144">
        <v>0</v>
      </c>
      <c r="N199" s="144">
        <v>0</v>
      </c>
      <c r="O199" s="144">
        <v>0</v>
      </c>
      <c r="P199" s="144">
        <v>0</v>
      </c>
      <c r="Q199" s="144">
        <v>0</v>
      </c>
      <c r="R199" s="144">
        <v>0</v>
      </c>
      <c r="S199" s="144">
        <v>0</v>
      </c>
      <c r="T199" s="144">
        <v>0</v>
      </c>
      <c r="U199" s="144">
        <v>0</v>
      </c>
      <c r="V199" s="144">
        <v>0</v>
      </c>
      <c r="W199" s="144">
        <v>0</v>
      </c>
      <c r="X199" s="144">
        <v>0</v>
      </c>
      <c r="Y199" s="144">
        <v>0</v>
      </c>
      <c r="Z199" s="144">
        <v>0</v>
      </c>
      <c r="AA199" s="144">
        <v>0.39144736842105265</v>
      </c>
      <c r="AB199" s="144">
        <v>0.41447368421052633</v>
      </c>
      <c r="AC199" s="144">
        <v>0.47499999999999998</v>
      </c>
      <c r="AD199" s="144">
        <v>0.375</v>
      </c>
      <c r="AE199" s="144">
        <v>0.45</v>
      </c>
      <c r="AF199" s="144">
        <v>0.45</v>
      </c>
      <c r="AG199" s="144">
        <v>0.42499999999999999</v>
      </c>
      <c r="AH199" s="144">
        <v>0.4</v>
      </c>
      <c r="AI199" s="144">
        <v>0.76666666666666672</v>
      </c>
      <c r="AJ199" s="144">
        <v>0.4</v>
      </c>
      <c r="AK199" s="144">
        <v>0.4</v>
      </c>
      <c r="AL199" s="144">
        <v>0.6333333333333333</v>
      </c>
      <c r="AM199" s="144">
        <v>0.41447368421052633</v>
      </c>
      <c r="AN199" s="144">
        <v>0.39144736842105265</v>
      </c>
      <c r="AO199" s="144">
        <v>0.45</v>
      </c>
      <c r="AP199" s="144">
        <v>0.42499999999999999</v>
      </c>
      <c r="AQ199" s="144">
        <v>0.45</v>
      </c>
      <c r="AR199" s="144">
        <v>0.45</v>
      </c>
      <c r="AS199" s="144">
        <v>0.42499999999999999</v>
      </c>
      <c r="AT199" s="144">
        <v>0.53333333333333333</v>
      </c>
      <c r="AU199" s="144">
        <v>0.6333333333333333</v>
      </c>
      <c r="AV199" s="144">
        <v>0.4</v>
      </c>
      <c r="AW199" s="144">
        <v>0.47499999999999998</v>
      </c>
      <c r="AX199" s="144">
        <v>0.53333333333333333</v>
      </c>
      <c r="AY199" s="144">
        <v>0.4375</v>
      </c>
      <c r="AZ199" s="144">
        <v>0.4375</v>
      </c>
      <c r="BA199" s="144">
        <v>0.4</v>
      </c>
      <c r="BB199" s="144">
        <v>0.45</v>
      </c>
      <c r="BC199" s="144">
        <v>0.42499999999999999</v>
      </c>
      <c r="BD199" s="144">
        <v>0.45</v>
      </c>
      <c r="BE199" s="144">
        <v>0</v>
      </c>
      <c r="BF199" s="144">
        <v>0</v>
      </c>
      <c r="BG199" s="144">
        <v>0</v>
      </c>
      <c r="BH199" s="144">
        <v>0</v>
      </c>
      <c r="BI199" s="144">
        <v>0</v>
      </c>
      <c r="BJ199" s="144">
        <v>0</v>
      </c>
      <c r="BK199" s="144">
        <v>0</v>
      </c>
      <c r="BL199" s="144">
        <v>0</v>
      </c>
      <c r="BM199" s="144">
        <v>0</v>
      </c>
      <c r="BN199" s="144">
        <v>0</v>
      </c>
      <c r="BO199" s="144">
        <v>0</v>
      </c>
      <c r="BP199" s="144">
        <v>0</v>
      </c>
      <c r="BQ199" s="144">
        <v>0</v>
      </c>
      <c r="BR199" s="144">
        <v>0</v>
      </c>
      <c r="BS199" s="144">
        <v>0</v>
      </c>
      <c r="BT199" s="144">
        <v>0</v>
      </c>
      <c r="BU199" s="144">
        <v>0</v>
      </c>
      <c r="BV199" s="144">
        <v>0</v>
      </c>
      <c r="BW199" s="144">
        <v>0</v>
      </c>
      <c r="BX199" s="144">
        <v>0</v>
      </c>
      <c r="BY199" s="144">
        <v>0</v>
      </c>
      <c r="BZ199" s="144">
        <v>0</v>
      </c>
      <c r="CA199" s="144">
        <v>0</v>
      </c>
      <c r="CB199" s="144">
        <v>0</v>
      </c>
      <c r="CC199" s="144">
        <v>0</v>
      </c>
      <c r="CD199" s="144">
        <v>0</v>
      </c>
      <c r="CE199" s="144">
        <v>0</v>
      </c>
      <c r="CF199" s="144">
        <v>0</v>
      </c>
      <c r="CG199" s="144">
        <v>0</v>
      </c>
      <c r="CH199" s="144">
        <v>0</v>
      </c>
      <c r="CI199" s="144">
        <v>0</v>
      </c>
      <c r="CJ199" s="144">
        <v>0</v>
      </c>
      <c r="CK199" s="144">
        <v>0</v>
      </c>
      <c r="CL199" s="144">
        <v>0</v>
      </c>
      <c r="CM199" s="144">
        <v>0</v>
      </c>
      <c r="CN199" s="144">
        <v>0</v>
      </c>
      <c r="CO199" s="144">
        <v>0</v>
      </c>
      <c r="CP199" s="144">
        <v>0</v>
      </c>
      <c r="CQ199" s="143">
        <v>0</v>
      </c>
      <c r="CR199" s="145">
        <v>0</v>
      </c>
      <c r="CS199" s="145">
        <v>0</v>
      </c>
      <c r="CT199" s="145">
        <v>0</v>
      </c>
      <c r="CU199" s="145">
        <v>0</v>
      </c>
      <c r="CV199" s="145">
        <v>0</v>
      </c>
      <c r="CW199" s="145">
        <v>0</v>
      </c>
      <c r="CX199" s="145">
        <v>0</v>
      </c>
      <c r="CY199" s="145">
        <v>0</v>
      </c>
      <c r="CZ199" s="145">
        <v>0</v>
      </c>
      <c r="DA199" s="145">
        <v>0</v>
      </c>
      <c r="DB199" s="145">
        <v>0</v>
      </c>
      <c r="DC199" s="145">
        <v>0</v>
      </c>
      <c r="DD199" s="145">
        <v>0</v>
      </c>
      <c r="DE199" s="145">
        <v>0</v>
      </c>
      <c r="DF199" s="145">
        <v>0</v>
      </c>
      <c r="DG199" s="145">
        <v>0</v>
      </c>
      <c r="DH199" s="145">
        <v>12211.78</v>
      </c>
      <c r="DI199" s="145">
        <v>12930.12</v>
      </c>
      <c r="DJ199" s="145">
        <v>13648.460000000001</v>
      </c>
      <c r="DK199" s="145">
        <v>10775.1</v>
      </c>
      <c r="DL199" s="145">
        <v>12930.12</v>
      </c>
      <c r="DM199" s="145">
        <v>12930.12</v>
      </c>
      <c r="DN199" s="145">
        <v>12211.78</v>
      </c>
      <c r="DO199" s="145">
        <v>8620.08</v>
      </c>
      <c r="DP199" s="145">
        <v>16521.82</v>
      </c>
      <c r="DQ199" s="145">
        <v>11493.44</v>
      </c>
      <c r="DR199" s="145">
        <v>11838.96</v>
      </c>
      <c r="DS199" s="145">
        <v>14058.764999999999</v>
      </c>
      <c r="DT199" s="145">
        <v>13318.83</v>
      </c>
      <c r="DU199" s="145">
        <v>12578.895</v>
      </c>
      <c r="DV199" s="145">
        <v>13318.83</v>
      </c>
      <c r="DW199" s="145">
        <v>12578.895</v>
      </c>
      <c r="DX199" s="145">
        <v>13318.83</v>
      </c>
      <c r="DY199" s="145">
        <v>13318.83</v>
      </c>
      <c r="DZ199" s="145">
        <v>12578.895</v>
      </c>
      <c r="EA199" s="145">
        <v>11838.96</v>
      </c>
      <c r="EB199" s="145">
        <v>14058.764999999999</v>
      </c>
      <c r="EC199" s="145">
        <v>11838.96</v>
      </c>
      <c r="ED199" s="145">
        <v>14483.7</v>
      </c>
      <c r="EE199" s="145">
        <v>12196.800000000001</v>
      </c>
      <c r="EF199" s="145">
        <v>14483.7</v>
      </c>
      <c r="EG199" s="145">
        <v>14483.7</v>
      </c>
      <c r="EH199" s="145">
        <v>12196.800000000001</v>
      </c>
      <c r="EI199" s="145">
        <v>13721.400000000001</v>
      </c>
      <c r="EJ199" s="145">
        <v>12959.1</v>
      </c>
      <c r="EK199" s="145">
        <v>13721.400000000001</v>
      </c>
      <c r="EL199" s="145">
        <v>0</v>
      </c>
      <c r="EM199" s="145">
        <v>0</v>
      </c>
      <c r="EN199" s="145">
        <v>0</v>
      </c>
      <c r="EO199" s="145">
        <v>0</v>
      </c>
      <c r="EP199" s="145">
        <v>0</v>
      </c>
      <c r="EQ199" s="145">
        <v>0</v>
      </c>
      <c r="ER199" s="145">
        <v>0</v>
      </c>
      <c r="ES199" s="145">
        <v>0</v>
      </c>
      <c r="ET199" s="145">
        <v>0</v>
      </c>
      <c r="EU199" s="145">
        <v>0</v>
      </c>
      <c r="EV199" s="145">
        <v>0</v>
      </c>
      <c r="EW199" s="145">
        <v>0</v>
      </c>
      <c r="EX199" s="145">
        <v>0</v>
      </c>
      <c r="EY199" s="145">
        <v>0</v>
      </c>
      <c r="EZ199" s="145">
        <v>0</v>
      </c>
      <c r="FA199" s="145">
        <v>0</v>
      </c>
      <c r="FB199" s="145">
        <v>0</v>
      </c>
      <c r="FC199" s="145">
        <v>0</v>
      </c>
      <c r="FD199" s="145">
        <v>0</v>
      </c>
      <c r="FE199" s="145">
        <v>0</v>
      </c>
      <c r="FF199" s="145">
        <v>0</v>
      </c>
      <c r="FG199" s="145">
        <v>0</v>
      </c>
      <c r="FH199" s="145">
        <v>0</v>
      </c>
      <c r="FI199" s="145">
        <v>0</v>
      </c>
      <c r="FJ199" s="145">
        <v>0</v>
      </c>
      <c r="FK199" s="145">
        <v>0</v>
      </c>
      <c r="FL199" s="145">
        <v>0</v>
      </c>
      <c r="FM199" s="145">
        <v>0</v>
      </c>
      <c r="FN199" s="145">
        <v>0</v>
      </c>
      <c r="FO199" s="145">
        <v>0</v>
      </c>
      <c r="FP199" s="145">
        <v>0</v>
      </c>
      <c r="FQ199" s="145">
        <v>0</v>
      </c>
      <c r="FR199" s="145">
        <v>0</v>
      </c>
      <c r="FS199" s="145">
        <v>0</v>
      </c>
      <c r="FT199" s="145">
        <v>0</v>
      </c>
      <c r="FU199" s="145">
        <v>0</v>
      </c>
      <c r="FV199" s="145">
        <v>0</v>
      </c>
      <c r="FW199" s="145">
        <v>0</v>
      </c>
      <c r="FX199" s="143"/>
      <c r="FY199" s="146" t="str">
        <f>_xlfn.XLOOKUP($E199,'Key assumptions'!$B$112:$B$120,'Key assumptions'!$C$112:$C$120,0)</f>
        <v>Nominal</v>
      </c>
      <c r="FZ199" s="146" cm="1">
        <f t="array" ref="FZ199">IF($FY199=0,0,_xlfn.IFS($FY199='Key assumptions'!$C$120,_xlfn.XLOOKUP(LEFT(FZ$7,6),Inflation_Year,Inflation_NominaltoReal),TRUE,_xlfn.XLOOKUP($FY199,Inflation_Year,NominaltoReal)))</f>
        <v>1.0197075870962191</v>
      </c>
      <c r="GA199" s="146" cm="1">
        <f t="array" ref="GA199">IF($FY199=0,0,_xlfn.IFS($FY199='Key assumptions'!$C$120,_xlfn.XLOOKUP(LEFT(GA$7,6),Inflation_Year,Inflation_NominaltoReal),TRUE,_xlfn.XLOOKUP($FY199,Inflation_Year,NominaltoReal)))</f>
        <v>0.98700804022984445</v>
      </c>
      <c r="GB199" s="146" cm="1">
        <f t="array" ref="GB199">IF($FY199=0,0,_xlfn.IFS($FY199='Key assumptions'!$C$120,_xlfn.XLOOKUP(LEFT(GB$7,6),Inflation_Year,Inflation_NominaltoReal),TRUE,_xlfn.XLOOKUP($FY199,Inflation_Year,NominaltoReal)))</f>
        <v>0.96152830081941731</v>
      </c>
      <c r="GC199" s="146" cm="1">
        <f t="array" ref="GC199">IF($FY199=0,0,_xlfn.IFS($FY199='Key assumptions'!$C$120,_xlfn.XLOOKUP(LEFT(GC$7,6),Inflation_Year,Inflation_NominaltoReal),TRUE,_xlfn.XLOOKUP($FY199,Inflation_Year,NominaltoReal)))</f>
        <v>0.93670632415656829</v>
      </c>
      <c r="GD199" s="146" cm="1">
        <f t="array" ref="GD199">IF($FY199=0,0,_xlfn.IFS($FY199='Key assumptions'!$C$120,_xlfn.XLOOKUP(LEFT(GD$7,6),Inflation_Year,Inflation_NominaltoReal),TRUE,_xlfn.XLOOKUP($FY199,Inflation_Year,NominaltoReal)))</f>
        <v>0.91252513001143176</v>
      </c>
      <c r="GE199" s="146" cm="1">
        <f t="array" ref="GE199">IF($FY199=0,0,_xlfn.IFS($FY199='Key assumptions'!$C$120,_xlfn.XLOOKUP(LEFT(GE$7,6),Inflation_Year,Inflation_NominaltoReal),TRUE,_xlfn.XLOOKUP($FY199,Inflation_Year,NominaltoReal)))</f>
        <v>0.88896817650095872</v>
      </c>
      <c r="GF199" s="146" cm="1">
        <f t="array" ref="GF199">IF($FY199=0,0,_xlfn.IFS($FY199='Key assumptions'!$C$120,_xlfn.XLOOKUP(LEFT(GF$7,6),Inflation_Year,Inflation_NominaltoReal),TRUE,_xlfn.XLOOKUP($FY199,Inflation_Year,NominaltoReal)))</f>
        <v>0.86601934877293718</v>
      </c>
      <c r="GG199" s="143"/>
      <c r="GH199" s="145" cm="1">
        <f t="array" ref="GH199">SUMPRODUCT(--($CR$7:$FW$7&gt;=GH$5),--($CR$7:$FW$7&lt;=GH$6),$CR199:$FW199)*FZ199</f>
        <v>63727.217085978729</v>
      </c>
      <c r="GI199" s="145" cm="1">
        <f t="array" ref="GI199">SUMPRODUCT(--($CR$7:$FW$7&gt;=GI$5),--($CR$7:$FW$7&lt;=GI$6),$CR199:$FW199)*GA199</f>
        <v>150804.21327564755</v>
      </c>
      <c r="GJ199" s="145" cm="1">
        <f t="array" ref="GJ199">SUMPRODUCT(--($CR$7:$FW$7&gt;=GJ$5),--($CR$7:$FW$7&lt;=GJ$6),$CR199:$FW199)*GB199</f>
        <v>152074.94106156172</v>
      </c>
      <c r="GK199" s="145" cm="1">
        <f t="array" ref="GK199">SUMPRODUCT(--($CR$7:$FW$7&gt;=GK$5),--($CR$7:$FW$7&lt;=GK$6),$CR199:$FW199)*GC199</f>
        <v>12852.922156281938</v>
      </c>
      <c r="GL199" s="145" cm="1">
        <f t="array" ref="GL199">SUMPRODUCT(--($CR$7:$FW$7&gt;=GL$5),--($CR$7:$FW$7&lt;=GL$6),$CR199:$FW199)*GD199</f>
        <v>0</v>
      </c>
      <c r="GM199" s="145" cm="1">
        <f t="array" ref="GM199">SUMPRODUCT(--($CR$7:$FW$7&gt;=GM$5),--($CR$7:$FW$7&lt;=GM$6),$CR199:$FW199)*GE199</f>
        <v>0</v>
      </c>
      <c r="GN199" s="145" cm="1">
        <f t="array" ref="GN199">SUMPRODUCT(--($CR$7:$FW$7&gt;=GN$5),--($CR$7:$FW$7&lt;=GN$6),$CR199:$FW199)*GF199</f>
        <v>0</v>
      </c>
      <c r="GO199" s="145">
        <f t="shared" si="46"/>
        <v>379459.29357946996</v>
      </c>
      <c r="GP199" s="87"/>
      <c r="GR199" s="145" cm="1">
        <f t="array" ref="GR199">SUMPRODUCT(--($CR$7:$FW$7&gt;=GR$5),--($CR$7:$FW$7&lt;=GR$6),$CR199:$FW199)</f>
        <v>25141.9</v>
      </c>
      <c r="GT199" s="214" cm="1">
        <f t="array" ref="GT199">--AND(MIN(IF($K199:$CP199&lt;&gt;0,$K$7:$CP$7))&gt;=GT$5,MIN(IF($K199:$CP199&lt;&gt;0,$K$7:$CP$7))&lt;=GT$6)</f>
        <v>1</v>
      </c>
      <c r="GU199" s="214" cm="1">
        <f t="array" ref="GU199">--AND(MIN(IF($K199:$CP199&lt;&gt;0,$K$7:$CP$7))&gt;=GU$5,MIN(IF($K199:$CP199&lt;&gt;0,$K$7:$CP$7))&lt;=GU$6)</f>
        <v>0</v>
      </c>
      <c r="GV199" s="214" cm="1">
        <f t="array" ref="GV199">--AND(MIN(IF($K199:$CP199&lt;&gt;0,$K$7:$CP$7))&gt;=GV$5,MIN(IF($K199:$CP199&lt;&gt;0,$K$7:$CP$7))&lt;=GV$6)</f>
        <v>0</v>
      </c>
      <c r="GW199" s="214" cm="1">
        <f t="array" ref="GW199">--AND(MIN(IF($K199:$CP199&lt;&gt;0,$K$7:$CP$7))&gt;=GW$5,MIN(IF($K199:$CP199&lt;&gt;0,$K$7:$CP$7))&lt;=GW$6)</f>
        <v>0</v>
      </c>
      <c r="GX199" s="214" cm="1">
        <f t="array" ref="GX199">--AND(MIN(IF($K199:$CP199&lt;&gt;0,$K$7:$CP$7))&gt;=GX$5,MIN(IF($K199:$CP199&lt;&gt;0,$K$7:$CP$7))&lt;=GX$6)</f>
        <v>0</v>
      </c>
      <c r="GY199" s="214" cm="1">
        <f t="array" ref="GY199">--AND(MIN(IF($K199:$CP199&lt;&gt;0,$K$7:$CP$7))&gt;=GY$5,MIN(IF($K199:$CP199&lt;&gt;0,$K$7:$CP$7))&lt;=GY$6)</f>
        <v>0</v>
      </c>
      <c r="GZ199" s="214" cm="1">
        <f t="array" ref="GZ199">--AND(MIN(IF($K199:$CP199&lt;&gt;0,$K$7:$CP$7))&gt;=GZ$5,MIN(IF($K199:$CP199&lt;&gt;0,$K$7:$CP$7))&lt;=GZ$6)</f>
        <v>0</v>
      </c>
      <c r="HA199" s="214">
        <f t="shared" si="47"/>
        <v>1</v>
      </c>
      <c r="HC199" s="214" cm="1">
        <f t="array" ref="HC199">--AND(MIN(IF($K199:$CP199&lt;&gt;0,$K$7:$CP$7))&gt;=HC$5,MIN(IF($K199:$CP199&lt;&gt;0,$K$7:$CP$7))&lt;=HC$6)</f>
        <v>1</v>
      </c>
      <c r="HE199" s="147" t="str">
        <f t="shared" si="66"/>
        <v>No</v>
      </c>
      <c r="HF199" s="147" t="str">
        <f t="shared" si="67"/>
        <v>No</v>
      </c>
      <c r="HG199" s="147">
        <f>IF($HF199="Yes",0,$H199*avg_hrs*12*'Key assumptions'!$D$87)</f>
        <v>367024.33151015785</v>
      </c>
      <c r="HH199" s="147">
        <f>IF(HE199="Yes",'Key assumptions'!$D$84*HG199,0)</f>
        <v>0</v>
      </c>
      <c r="HI199" s="144">
        <f>IFERROR(AVERAGEIFS($K199:$CP199,$K$7:$CP$7,"&gt;="&amp;'Key assumptions'!$D$24,$K$7:$CP$7,"&lt;="&amp;'Key assumptions'!$D$25),0)</f>
        <v>0.31276913875598084</v>
      </c>
      <c r="HJ199" s="148">
        <f t="shared" si="68"/>
        <v>0</v>
      </c>
      <c r="HK199" s="148">
        <f t="shared" si="49"/>
        <v>0</v>
      </c>
      <c r="HL199" s="148">
        <f t="shared" si="50"/>
        <v>0</v>
      </c>
      <c r="HM199" s="148">
        <f t="shared" si="51"/>
        <v>0</v>
      </c>
      <c r="HN199" s="148">
        <f t="shared" si="52"/>
        <v>0</v>
      </c>
      <c r="HO199" s="148">
        <f t="shared" si="53"/>
        <v>0</v>
      </c>
      <c r="HP199" s="148">
        <f t="shared" si="54"/>
        <v>0</v>
      </c>
      <c r="HQ199" s="148">
        <f t="shared" si="55"/>
        <v>0</v>
      </c>
      <c r="HR199" s="147">
        <f t="shared" si="56"/>
        <v>0</v>
      </c>
      <c r="HU199" s="147">
        <f>$HJ199*HC199/(1+'Key assumptions'!G221)^0.75</f>
        <v>0</v>
      </c>
      <c r="HW199" s="216">
        <f t="shared" si="57"/>
        <v>0.31276913875598084</v>
      </c>
      <c r="HX199" s="216">
        <f t="shared" si="58"/>
        <v>0</v>
      </c>
      <c r="HY199" s="216">
        <f t="shared" si="59"/>
        <v>0</v>
      </c>
      <c r="HZ199" s="216">
        <f t="shared" si="60"/>
        <v>0</v>
      </c>
      <c r="IA199" s="216">
        <f t="shared" si="61"/>
        <v>0</v>
      </c>
      <c r="IB199" s="216">
        <f t="shared" si="62"/>
        <v>0</v>
      </c>
      <c r="IC199" s="216">
        <f t="shared" si="63"/>
        <v>0</v>
      </c>
      <c r="ID199" s="216">
        <f t="shared" si="64"/>
        <v>0.31276913875598084</v>
      </c>
      <c r="IF199" s="216">
        <f t="shared" si="65"/>
        <v>0.31276913875598084</v>
      </c>
    </row>
    <row r="200" spans="2:240" x14ac:dyDescent="0.2">
      <c r="B200" s="141" t="str">
        <v>Project Delivery Management - Construction Management</v>
      </c>
      <c r="C200" s="141" t="str">
        <v>Safety Officer (Safety and Environmental Delivery)</v>
      </c>
      <c r="D200" s="141" t="str">
        <v>Internal Labour</v>
      </c>
      <c r="E200" s="141" t="str">
        <v>$ Nominal</v>
      </c>
      <c r="F200" s="141">
        <v>0</v>
      </c>
      <c r="G200" s="141" t="str">
        <v>Overtime</v>
      </c>
      <c r="H200" s="142">
        <v>205.24</v>
      </c>
      <c r="I200" s="126">
        <v>666226.33499999996</v>
      </c>
      <c r="J200" s="143">
        <v>0</v>
      </c>
      <c r="K200" s="144">
        <v>0</v>
      </c>
      <c r="L200" s="144">
        <v>0</v>
      </c>
      <c r="M200" s="144">
        <v>0</v>
      </c>
      <c r="N200" s="144">
        <v>0</v>
      </c>
      <c r="O200" s="144">
        <v>0</v>
      </c>
      <c r="P200" s="144">
        <v>0</v>
      </c>
      <c r="Q200" s="144">
        <v>0</v>
      </c>
      <c r="R200" s="144">
        <v>0</v>
      </c>
      <c r="S200" s="144">
        <v>0</v>
      </c>
      <c r="T200" s="144">
        <v>0</v>
      </c>
      <c r="U200" s="144">
        <v>0</v>
      </c>
      <c r="V200" s="144">
        <v>0</v>
      </c>
      <c r="W200" s="144">
        <v>0</v>
      </c>
      <c r="X200" s="144">
        <v>0</v>
      </c>
      <c r="Y200" s="144">
        <v>0</v>
      </c>
      <c r="Z200" s="144">
        <v>0</v>
      </c>
      <c r="AA200" s="144">
        <v>0.32565789473684209</v>
      </c>
      <c r="AB200" s="144">
        <v>0.33552631578947367</v>
      </c>
      <c r="AC200" s="144">
        <v>0.46071428571428569</v>
      </c>
      <c r="AD200" s="144">
        <v>0.33214285714285713</v>
      </c>
      <c r="AE200" s="144">
        <v>0.36428571428571427</v>
      </c>
      <c r="AF200" s="144">
        <v>0.36428571428571427</v>
      </c>
      <c r="AG200" s="144">
        <v>0.35357142857142859</v>
      </c>
      <c r="AH200" s="144">
        <v>0.4</v>
      </c>
      <c r="AI200" s="144">
        <v>0.67142857142857137</v>
      </c>
      <c r="AJ200" s="144">
        <v>0.34285714285714286</v>
      </c>
      <c r="AK200" s="144">
        <v>0.34285714285714286</v>
      </c>
      <c r="AL200" s="144">
        <v>0.5</v>
      </c>
      <c r="AM200" s="144">
        <v>0.375</v>
      </c>
      <c r="AN200" s="144">
        <v>0.36513157894736842</v>
      </c>
      <c r="AO200" s="144">
        <v>0.36428571428571427</v>
      </c>
      <c r="AP200" s="144">
        <v>0.35357142857142859</v>
      </c>
      <c r="AQ200" s="144">
        <v>0.36428571428571427</v>
      </c>
      <c r="AR200" s="144">
        <v>0.36428571428571427</v>
      </c>
      <c r="AS200" s="144">
        <v>0.43928571428571428</v>
      </c>
      <c r="AT200" s="144">
        <v>0.34285714285714286</v>
      </c>
      <c r="AU200" s="144">
        <v>0.61428571428571432</v>
      </c>
      <c r="AV200" s="144">
        <v>0.34285714285714286</v>
      </c>
      <c r="AW200" s="144">
        <v>0.375</v>
      </c>
      <c r="AX200" s="144">
        <v>0.45714285714285713</v>
      </c>
      <c r="AY200" s="144">
        <v>0.42434210526315791</v>
      </c>
      <c r="AZ200" s="144">
        <v>0.42434210526315791</v>
      </c>
      <c r="BA200" s="144">
        <v>0.34285714285714286</v>
      </c>
      <c r="BB200" s="144">
        <v>0.36428571428571427</v>
      </c>
      <c r="BC200" s="144">
        <v>0.35357142857142859</v>
      </c>
      <c r="BD200" s="144">
        <v>0.36428571428571427</v>
      </c>
      <c r="BE200" s="144">
        <v>0</v>
      </c>
      <c r="BF200" s="144">
        <v>0</v>
      </c>
      <c r="BG200" s="144">
        <v>0</v>
      </c>
      <c r="BH200" s="144">
        <v>0</v>
      </c>
      <c r="BI200" s="144">
        <v>0</v>
      </c>
      <c r="BJ200" s="144">
        <v>0</v>
      </c>
      <c r="BK200" s="144">
        <v>0</v>
      </c>
      <c r="BL200" s="144">
        <v>0</v>
      </c>
      <c r="BM200" s="144">
        <v>0</v>
      </c>
      <c r="BN200" s="144">
        <v>0</v>
      </c>
      <c r="BO200" s="144">
        <v>0</v>
      </c>
      <c r="BP200" s="144">
        <v>0</v>
      </c>
      <c r="BQ200" s="144">
        <v>0</v>
      </c>
      <c r="BR200" s="144">
        <v>0</v>
      </c>
      <c r="BS200" s="144">
        <v>0</v>
      </c>
      <c r="BT200" s="144">
        <v>0</v>
      </c>
      <c r="BU200" s="144">
        <v>0</v>
      </c>
      <c r="BV200" s="144">
        <v>0</v>
      </c>
      <c r="BW200" s="144">
        <v>0</v>
      </c>
      <c r="BX200" s="144">
        <v>0</v>
      </c>
      <c r="BY200" s="144">
        <v>0</v>
      </c>
      <c r="BZ200" s="144">
        <v>0</v>
      </c>
      <c r="CA200" s="144">
        <v>0</v>
      </c>
      <c r="CB200" s="144">
        <v>0</v>
      </c>
      <c r="CC200" s="144">
        <v>0</v>
      </c>
      <c r="CD200" s="144">
        <v>0</v>
      </c>
      <c r="CE200" s="144">
        <v>0</v>
      </c>
      <c r="CF200" s="144">
        <v>0</v>
      </c>
      <c r="CG200" s="144">
        <v>0</v>
      </c>
      <c r="CH200" s="144">
        <v>0</v>
      </c>
      <c r="CI200" s="144">
        <v>0</v>
      </c>
      <c r="CJ200" s="144">
        <v>0</v>
      </c>
      <c r="CK200" s="144">
        <v>0</v>
      </c>
      <c r="CL200" s="144">
        <v>0</v>
      </c>
      <c r="CM200" s="144">
        <v>0</v>
      </c>
      <c r="CN200" s="144">
        <v>0</v>
      </c>
      <c r="CO200" s="144">
        <v>0</v>
      </c>
      <c r="CP200" s="144">
        <v>0</v>
      </c>
      <c r="CQ200" s="143">
        <v>0</v>
      </c>
      <c r="CR200" s="145">
        <v>0</v>
      </c>
      <c r="CS200" s="145">
        <v>0</v>
      </c>
      <c r="CT200" s="145">
        <v>0</v>
      </c>
      <c r="CU200" s="145">
        <v>0</v>
      </c>
      <c r="CV200" s="145">
        <v>0</v>
      </c>
      <c r="CW200" s="145">
        <v>0</v>
      </c>
      <c r="CX200" s="145">
        <v>0</v>
      </c>
      <c r="CY200" s="145">
        <v>0</v>
      </c>
      <c r="CZ200" s="145">
        <v>0</v>
      </c>
      <c r="DA200" s="145">
        <v>0</v>
      </c>
      <c r="DB200" s="145">
        <v>0</v>
      </c>
      <c r="DC200" s="145">
        <v>0</v>
      </c>
      <c r="DD200" s="145">
        <v>0</v>
      </c>
      <c r="DE200" s="145">
        <v>0</v>
      </c>
      <c r="DF200" s="145">
        <v>0</v>
      </c>
      <c r="DG200" s="145">
        <v>0</v>
      </c>
      <c r="DH200" s="145">
        <v>20318.760000000002</v>
      </c>
      <c r="DI200" s="145">
        <v>20934.48</v>
      </c>
      <c r="DJ200" s="145">
        <v>26475.960000000003</v>
      </c>
      <c r="DK200" s="145">
        <v>19087.32</v>
      </c>
      <c r="DL200" s="145">
        <v>20934.48</v>
      </c>
      <c r="DM200" s="145">
        <v>20934.48</v>
      </c>
      <c r="DN200" s="145">
        <v>20318.760000000002</v>
      </c>
      <c r="DO200" s="145">
        <v>17240.16</v>
      </c>
      <c r="DP200" s="145">
        <v>28938.84</v>
      </c>
      <c r="DQ200" s="145">
        <v>19703.04</v>
      </c>
      <c r="DR200" s="145">
        <v>20294.88</v>
      </c>
      <c r="DS200" s="145">
        <v>22197.525000000001</v>
      </c>
      <c r="DT200" s="145">
        <v>24100.170000000002</v>
      </c>
      <c r="DU200" s="145">
        <v>23465.955000000002</v>
      </c>
      <c r="DV200" s="145">
        <v>21563.31</v>
      </c>
      <c r="DW200" s="145">
        <v>20929.095000000001</v>
      </c>
      <c r="DX200" s="145">
        <v>21563.31</v>
      </c>
      <c r="DY200" s="145">
        <v>21563.31</v>
      </c>
      <c r="DZ200" s="145">
        <v>26002.814999999999</v>
      </c>
      <c r="EA200" s="145">
        <v>15221.16</v>
      </c>
      <c r="EB200" s="145">
        <v>27271.244999999999</v>
      </c>
      <c r="EC200" s="145">
        <v>20294.88</v>
      </c>
      <c r="ED200" s="145">
        <v>22869</v>
      </c>
      <c r="EE200" s="145">
        <v>20908.800000000003</v>
      </c>
      <c r="EF200" s="145">
        <v>28096.2</v>
      </c>
      <c r="EG200" s="145">
        <v>28096.2</v>
      </c>
      <c r="EH200" s="145">
        <v>20908.800000000003</v>
      </c>
      <c r="EI200" s="145">
        <v>22215.600000000002</v>
      </c>
      <c r="EJ200" s="145">
        <v>21562.2</v>
      </c>
      <c r="EK200" s="145">
        <v>22215.600000000002</v>
      </c>
      <c r="EL200" s="145">
        <v>0</v>
      </c>
      <c r="EM200" s="145">
        <v>0</v>
      </c>
      <c r="EN200" s="145">
        <v>0</v>
      </c>
      <c r="EO200" s="145">
        <v>0</v>
      </c>
      <c r="EP200" s="145">
        <v>0</v>
      </c>
      <c r="EQ200" s="145">
        <v>0</v>
      </c>
      <c r="ER200" s="145">
        <v>0</v>
      </c>
      <c r="ES200" s="145">
        <v>0</v>
      </c>
      <c r="ET200" s="145">
        <v>0</v>
      </c>
      <c r="EU200" s="145">
        <v>0</v>
      </c>
      <c r="EV200" s="145">
        <v>0</v>
      </c>
      <c r="EW200" s="145">
        <v>0</v>
      </c>
      <c r="EX200" s="145">
        <v>0</v>
      </c>
      <c r="EY200" s="145">
        <v>0</v>
      </c>
      <c r="EZ200" s="145">
        <v>0</v>
      </c>
      <c r="FA200" s="145">
        <v>0</v>
      </c>
      <c r="FB200" s="145">
        <v>0</v>
      </c>
      <c r="FC200" s="145">
        <v>0</v>
      </c>
      <c r="FD200" s="145">
        <v>0</v>
      </c>
      <c r="FE200" s="145">
        <v>0</v>
      </c>
      <c r="FF200" s="145">
        <v>0</v>
      </c>
      <c r="FG200" s="145">
        <v>0</v>
      </c>
      <c r="FH200" s="145">
        <v>0</v>
      </c>
      <c r="FI200" s="145">
        <v>0</v>
      </c>
      <c r="FJ200" s="145">
        <v>0</v>
      </c>
      <c r="FK200" s="145">
        <v>0</v>
      </c>
      <c r="FL200" s="145">
        <v>0</v>
      </c>
      <c r="FM200" s="145">
        <v>0</v>
      </c>
      <c r="FN200" s="145">
        <v>0</v>
      </c>
      <c r="FO200" s="145">
        <v>0</v>
      </c>
      <c r="FP200" s="145">
        <v>0</v>
      </c>
      <c r="FQ200" s="145">
        <v>0</v>
      </c>
      <c r="FR200" s="145">
        <v>0</v>
      </c>
      <c r="FS200" s="145">
        <v>0</v>
      </c>
      <c r="FT200" s="145">
        <v>0</v>
      </c>
      <c r="FU200" s="145">
        <v>0</v>
      </c>
      <c r="FV200" s="145">
        <v>0</v>
      </c>
      <c r="FW200" s="145">
        <v>0</v>
      </c>
      <c r="FX200" s="143"/>
      <c r="FY200" s="146" t="str">
        <f>_xlfn.XLOOKUP($E200,'Key assumptions'!$B$112:$B$120,'Key assumptions'!$C$112:$C$120,0)</f>
        <v>Nominal</v>
      </c>
      <c r="FZ200" s="146" cm="1">
        <f t="array" ref="FZ200">IF($FY200=0,0,_xlfn.IFS($FY200='Key assumptions'!$C$120,_xlfn.XLOOKUP(LEFT(FZ$7,6),Inflation_Year,Inflation_NominaltoReal),TRUE,_xlfn.XLOOKUP($FY200,Inflation_Year,NominaltoReal)))</f>
        <v>1.0197075870962191</v>
      </c>
      <c r="GA200" s="146" cm="1">
        <f t="array" ref="GA200">IF($FY200=0,0,_xlfn.IFS($FY200='Key assumptions'!$C$120,_xlfn.XLOOKUP(LEFT(GA$7,6),Inflation_Year,Inflation_NominaltoReal),TRUE,_xlfn.XLOOKUP($FY200,Inflation_Year,NominaltoReal)))</f>
        <v>0.98700804022984445</v>
      </c>
      <c r="GB200" s="146" cm="1">
        <f t="array" ref="GB200">IF($FY200=0,0,_xlfn.IFS($FY200='Key assumptions'!$C$120,_xlfn.XLOOKUP(LEFT(GB$7,6),Inflation_Year,Inflation_NominaltoReal),TRUE,_xlfn.XLOOKUP($FY200,Inflation_Year,NominaltoReal)))</f>
        <v>0.96152830081941731</v>
      </c>
      <c r="GC200" s="146" cm="1">
        <f t="array" ref="GC200">IF($FY200=0,0,_xlfn.IFS($FY200='Key assumptions'!$C$120,_xlfn.XLOOKUP(LEFT(GC$7,6),Inflation_Year,Inflation_NominaltoReal),TRUE,_xlfn.XLOOKUP($FY200,Inflation_Year,NominaltoReal)))</f>
        <v>0.93670632415656829</v>
      </c>
      <c r="GD200" s="146" cm="1">
        <f t="array" ref="GD200">IF($FY200=0,0,_xlfn.IFS($FY200='Key assumptions'!$C$120,_xlfn.XLOOKUP(LEFT(GD$7,6),Inflation_Year,Inflation_NominaltoReal),TRUE,_xlfn.XLOOKUP($FY200,Inflation_Year,NominaltoReal)))</f>
        <v>0.91252513001143176</v>
      </c>
      <c r="GE200" s="146" cm="1">
        <f t="array" ref="GE200">IF($FY200=0,0,_xlfn.IFS($FY200='Key assumptions'!$C$120,_xlfn.XLOOKUP(LEFT(GE$7,6),Inflation_Year,Inflation_NominaltoReal),TRUE,_xlfn.XLOOKUP($FY200,Inflation_Year,NominaltoReal)))</f>
        <v>0.88896817650095872</v>
      </c>
      <c r="GF200" s="146" cm="1">
        <f t="array" ref="GF200">IF($FY200=0,0,_xlfn.IFS($FY200='Key assumptions'!$C$120,_xlfn.XLOOKUP(LEFT(GF$7,6),Inflation_Year,Inflation_NominaltoReal),TRUE,_xlfn.XLOOKUP($FY200,Inflation_Year,NominaltoReal)))</f>
        <v>0.86601934877293718</v>
      </c>
      <c r="GG200" s="143"/>
      <c r="GH200" s="145" cm="1">
        <f t="array" ref="GH200">SUMPRODUCT(--($CR$7:$FW$7&gt;=GH$5),--($CR$7:$FW$7&lt;=GH$6),$CR200:$FW200)*FZ200</f>
        <v>109874.51221720473</v>
      </c>
      <c r="GI200" s="145" cm="1">
        <f t="array" ref="GI200">SUMPRODUCT(--($CR$7:$FW$7&gt;=GI$5),--($CR$7:$FW$7&lt;=GI$6),$CR200:$FW200)*GA200</f>
        <v>257855.38168122774</v>
      </c>
      <c r="GJ200" s="145" cm="1">
        <f t="array" ref="GJ200">SUMPRODUCT(--($CR$7:$FW$7&gt;=GJ$5),--($CR$7:$FW$7&lt;=GJ$6),$CR200:$FW200)*GB200</f>
        <v>264430.09992929117</v>
      </c>
      <c r="GK200" s="145" cm="1">
        <f t="array" ref="GK200">SUMPRODUCT(--($CR$7:$FW$7&gt;=GK$5),--($CR$7:$FW$7&lt;=GK$6),$CR200:$FW200)*GC200</f>
        <v>20809.493014932661</v>
      </c>
      <c r="GL200" s="145" cm="1">
        <f t="array" ref="GL200">SUMPRODUCT(--($CR$7:$FW$7&gt;=GL$5),--($CR$7:$FW$7&lt;=GL$6),$CR200:$FW200)*GD200</f>
        <v>0</v>
      </c>
      <c r="GM200" s="145" cm="1">
        <f t="array" ref="GM200">SUMPRODUCT(--($CR$7:$FW$7&gt;=GM$5),--($CR$7:$FW$7&lt;=GM$6),$CR200:$FW200)*GE200</f>
        <v>0</v>
      </c>
      <c r="GN200" s="145" cm="1">
        <f t="array" ref="GN200">SUMPRODUCT(--($CR$7:$FW$7&gt;=GN$5),--($CR$7:$FW$7&lt;=GN$6),$CR200:$FW200)*GF200</f>
        <v>0</v>
      </c>
      <c r="GO200" s="145">
        <f t="shared" ref="GO200:GO263" si="69">SUM(GH200:GN200)</f>
        <v>652969.48684265628</v>
      </c>
      <c r="GP200" s="87"/>
      <c r="GR200" s="145" cm="1">
        <f t="array" ref="GR200">SUMPRODUCT(--($CR$7:$FW$7&gt;=GR$5),--($CR$7:$FW$7&lt;=GR$6),$CR200:$FW200)</f>
        <v>41253.240000000005</v>
      </c>
      <c r="GT200" s="214" cm="1">
        <f t="array" ref="GT200">--AND(MIN(IF($K200:$CP200&lt;&gt;0,$K$7:$CP$7))&gt;=GT$5,MIN(IF($K200:$CP200&lt;&gt;0,$K$7:$CP$7))&lt;=GT$6)</f>
        <v>1</v>
      </c>
      <c r="GU200" s="214" cm="1">
        <f t="array" ref="GU200">--AND(MIN(IF($K200:$CP200&lt;&gt;0,$K$7:$CP$7))&gt;=GU$5,MIN(IF($K200:$CP200&lt;&gt;0,$K$7:$CP$7))&lt;=GU$6)</f>
        <v>0</v>
      </c>
      <c r="GV200" s="214" cm="1">
        <f t="array" ref="GV200">--AND(MIN(IF($K200:$CP200&lt;&gt;0,$K$7:$CP$7))&gt;=GV$5,MIN(IF($K200:$CP200&lt;&gt;0,$K$7:$CP$7))&lt;=GV$6)</f>
        <v>0</v>
      </c>
      <c r="GW200" s="214" cm="1">
        <f t="array" ref="GW200">--AND(MIN(IF($K200:$CP200&lt;&gt;0,$K$7:$CP$7))&gt;=GW$5,MIN(IF($K200:$CP200&lt;&gt;0,$K$7:$CP$7))&lt;=GW$6)</f>
        <v>0</v>
      </c>
      <c r="GX200" s="214" cm="1">
        <f t="array" ref="GX200">--AND(MIN(IF($K200:$CP200&lt;&gt;0,$K$7:$CP$7))&gt;=GX$5,MIN(IF($K200:$CP200&lt;&gt;0,$K$7:$CP$7))&lt;=GX$6)</f>
        <v>0</v>
      </c>
      <c r="GY200" s="214" cm="1">
        <f t="array" ref="GY200">--AND(MIN(IF($K200:$CP200&lt;&gt;0,$K$7:$CP$7))&gt;=GY$5,MIN(IF($K200:$CP200&lt;&gt;0,$K$7:$CP$7))&lt;=GY$6)</f>
        <v>0</v>
      </c>
      <c r="GZ200" s="214" cm="1">
        <f t="array" ref="GZ200">--AND(MIN(IF($K200:$CP200&lt;&gt;0,$K$7:$CP$7))&gt;=GZ$5,MIN(IF($K200:$CP200&lt;&gt;0,$K$7:$CP$7))&lt;=GZ$6)</f>
        <v>0</v>
      </c>
      <c r="HA200" s="214">
        <f t="shared" ref="HA200:HA263" si="70">SUM(GT200:GZ200)</f>
        <v>1</v>
      </c>
      <c r="HC200" s="214" cm="1">
        <f t="array" ref="HC200">--AND(MIN(IF($K200:$CP200&lt;&gt;0,$K$7:$CP$7))&gt;=HC$5,MIN(IF($K200:$CP200&lt;&gt;0,$K$7:$CP$7))&lt;=HC$6)</f>
        <v>1</v>
      </c>
      <c r="HE200" s="147" t="str">
        <f t="shared" si="66"/>
        <v>No</v>
      </c>
      <c r="HF200" s="147" t="str">
        <f t="shared" si="67"/>
        <v>Yes</v>
      </c>
      <c r="HG200" s="147">
        <f>IF($HF200="Yes",0,$H200*avg_hrs*12*'Key assumptions'!$D$87)</f>
        <v>0</v>
      </c>
      <c r="HH200" s="147">
        <f>IF(HE200="Yes",'Key assumptions'!$D$84*HG200,0)</f>
        <v>0</v>
      </c>
      <c r="HI200" s="144">
        <f>IFERROR(AVERAGEIFS($K200:$CP200,$K$7:$CP$7,"&gt;="&amp;'Key assumptions'!$D$24,$K$7:$CP$7,"&lt;="&amp;'Key assumptions'!$D$25),0)</f>
        <v>0.26874999999999988</v>
      </c>
      <c r="HJ200" s="148">
        <f t="shared" ref="HJ200:HJ203" si="71">HH200*HI200</f>
        <v>0</v>
      </c>
      <c r="HK200" s="148">
        <f t="shared" ref="HK200:HK263" si="72">$HJ200*GT200</f>
        <v>0</v>
      </c>
      <c r="HL200" s="148">
        <f t="shared" ref="HL200:HL263" si="73">$HJ200*GU200</f>
        <v>0</v>
      </c>
      <c r="HM200" s="148">
        <f t="shared" ref="HM200:HM263" si="74">$HJ200*GV200</f>
        <v>0</v>
      </c>
      <c r="HN200" s="148">
        <f t="shared" ref="HN200:HN263" si="75">$HJ200*GW200</f>
        <v>0</v>
      </c>
      <c r="HO200" s="148">
        <f t="shared" ref="HO200:HO263" si="76">$HJ200*GX200</f>
        <v>0</v>
      </c>
      <c r="HP200" s="148">
        <f t="shared" ref="HP200:HP263" si="77">$HJ200*GY200</f>
        <v>0</v>
      </c>
      <c r="HQ200" s="148">
        <f t="shared" ref="HQ200:HQ263" si="78">$HJ200*GZ200</f>
        <v>0</v>
      </c>
      <c r="HR200" s="147">
        <f t="shared" ref="HR200:HR263" si="79">SUM(HK200:HQ200)</f>
        <v>0</v>
      </c>
      <c r="HU200" s="147">
        <f>$HJ200*HC200/(1+'Key assumptions'!G222)^0.75</f>
        <v>0</v>
      </c>
      <c r="HW200" s="216">
        <f t="shared" ref="HW200:HW263" si="80">$HI200*GT200</f>
        <v>0.26874999999999988</v>
      </c>
      <c r="HX200" s="216">
        <f t="shared" ref="HX200:HX263" si="81">$HI200*GU200</f>
        <v>0</v>
      </c>
      <c r="HY200" s="216">
        <f t="shared" ref="HY200:HY263" si="82">$HI200*GV200</f>
        <v>0</v>
      </c>
      <c r="HZ200" s="216">
        <f t="shared" ref="HZ200:HZ263" si="83">$HI200*GW200</f>
        <v>0</v>
      </c>
      <c r="IA200" s="216">
        <f t="shared" ref="IA200:IA263" si="84">$HI200*GX200</f>
        <v>0</v>
      </c>
      <c r="IB200" s="216">
        <f t="shared" ref="IB200:IB263" si="85">$HI200*GY200</f>
        <v>0</v>
      </c>
      <c r="IC200" s="216">
        <f t="shared" ref="IC200:IC263" si="86">$HI200*GZ200</f>
        <v>0</v>
      </c>
      <c r="ID200" s="216">
        <f t="shared" ref="ID200:ID263" si="87">SUM(HW200:IC200)</f>
        <v>0.26874999999999988</v>
      </c>
      <c r="IF200" s="216">
        <f t="shared" ref="IF200:IF263" si="88">$HI200*HC200</f>
        <v>0.26874999999999988</v>
      </c>
    </row>
    <row r="201" spans="2:240" x14ac:dyDescent="0.2">
      <c r="B201" s="141" t="str">
        <v>Land and Environment</v>
      </c>
      <c r="C201" s="141" t="str">
        <v>Environment Officer (Safety and Environmental Delivery)</v>
      </c>
      <c r="D201" s="141" t="str">
        <v>Internal Labour</v>
      </c>
      <c r="E201" s="141" t="str">
        <v>$ Nominal</v>
      </c>
      <c r="F201" s="141" t="str">
        <v>New</v>
      </c>
      <c r="G201" s="141" t="str">
        <v>Normal time</v>
      </c>
      <c r="H201" s="142">
        <v>210.04</v>
      </c>
      <c r="I201" s="126">
        <v>164376.84200000003</v>
      </c>
      <c r="J201" s="143">
        <v>0</v>
      </c>
      <c r="K201" s="144">
        <v>0</v>
      </c>
      <c r="L201" s="144">
        <v>0</v>
      </c>
      <c r="M201" s="144">
        <v>0</v>
      </c>
      <c r="N201" s="144">
        <v>0</v>
      </c>
      <c r="O201" s="144">
        <v>0</v>
      </c>
      <c r="P201" s="144">
        <v>0</v>
      </c>
      <c r="Q201" s="144">
        <v>0</v>
      </c>
      <c r="R201" s="144">
        <v>0</v>
      </c>
      <c r="S201" s="144">
        <v>0</v>
      </c>
      <c r="T201" s="144">
        <v>0</v>
      </c>
      <c r="U201" s="144">
        <v>0</v>
      </c>
      <c r="V201" s="144">
        <v>0</v>
      </c>
      <c r="W201" s="144">
        <v>0</v>
      </c>
      <c r="X201" s="144">
        <v>0</v>
      </c>
      <c r="Y201" s="144">
        <v>0.1</v>
      </c>
      <c r="Z201" s="144">
        <v>0.13333333333333333</v>
      </c>
      <c r="AA201" s="144">
        <v>0.15657894736842107</v>
      </c>
      <c r="AB201" s="144">
        <v>0.16578947368421051</v>
      </c>
      <c r="AC201" s="144">
        <v>0.19</v>
      </c>
      <c r="AD201" s="144">
        <v>0.15</v>
      </c>
      <c r="AE201" s="144">
        <v>0.18</v>
      </c>
      <c r="AF201" s="144">
        <v>0.18</v>
      </c>
      <c r="AG201" s="144">
        <v>0.17</v>
      </c>
      <c r="AH201" s="144">
        <v>0.16</v>
      </c>
      <c r="AI201" s="144">
        <v>0.3066666666666667</v>
      </c>
      <c r="AJ201" s="144">
        <v>0.16</v>
      </c>
      <c r="AK201" s="144">
        <v>0.16</v>
      </c>
      <c r="AL201" s="144">
        <v>0.25333333333333335</v>
      </c>
      <c r="AM201" s="144">
        <v>0.16578947368421051</v>
      </c>
      <c r="AN201" s="144">
        <v>0.15657894736842107</v>
      </c>
      <c r="AO201" s="144">
        <v>0.18</v>
      </c>
      <c r="AP201" s="144">
        <v>0.17</v>
      </c>
      <c r="AQ201" s="144">
        <v>0.18</v>
      </c>
      <c r="AR201" s="144">
        <v>0.18</v>
      </c>
      <c r="AS201" s="144">
        <v>0.17</v>
      </c>
      <c r="AT201" s="144">
        <v>0.21333333333333332</v>
      </c>
      <c r="AU201" s="144">
        <v>0.25333333333333335</v>
      </c>
      <c r="AV201" s="144">
        <v>0.16</v>
      </c>
      <c r="AW201" s="144">
        <v>0.19</v>
      </c>
      <c r="AX201" s="144">
        <v>0.21333333333333332</v>
      </c>
      <c r="AY201" s="144">
        <v>0.17500000000000002</v>
      </c>
      <c r="AZ201" s="144">
        <v>0.17500000000000002</v>
      </c>
      <c r="BA201" s="144">
        <v>0.16</v>
      </c>
      <c r="BB201" s="144">
        <v>0.18</v>
      </c>
      <c r="BC201" s="144">
        <v>0.17</v>
      </c>
      <c r="BD201" s="144">
        <v>0.18</v>
      </c>
      <c r="BE201" s="144">
        <v>0</v>
      </c>
      <c r="BF201" s="144">
        <v>0</v>
      </c>
      <c r="BG201" s="144">
        <v>0</v>
      </c>
      <c r="BH201" s="144">
        <v>0</v>
      </c>
      <c r="BI201" s="144">
        <v>0</v>
      </c>
      <c r="BJ201" s="144">
        <v>0</v>
      </c>
      <c r="BK201" s="144">
        <v>0</v>
      </c>
      <c r="BL201" s="144">
        <v>0</v>
      </c>
      <c r="BM201" s="144">
        <v>0</v>
      </c>
      <c r="BN201" s="144">
        <v>0</v>
      </c>
      <c r="BO201" s="144">
        <v>0</v>
      </c>
      <c r="BP201" s="144">
        <v>0</v>
      </c>
      <c r="BQ201" s="144">
        <v>0</v>
      </c>
      <c r="BR201" s="144">
        <v>0</v>
      </c>
      <c r="BS201" s="144">
        <v>0</v>
      </c>
      <c r="BT201" s="144">
        <v>0</v>
      </c>
      <c r="BU201" s="144">
        <v>0</v>
      </c>
      <c r="BV201" s="144">
        <v>0</v>
      </c>
      <c r="BW201" s="144">
        <v>0</v>
      </c>
      <c r="BX201" s="144">
        <v>0</v>
      </c>
      <c r="BY201" s="144">
        <v>0</v>
      </c>
      <c r="BZ201" s="144">
        <v>0</v>
      </c>
      <c r="CA201" s="144">
        <v>0</v>
      </c>
      <c r="CB201" s="144">
        <v>0</v>
      </c>
      <c r="CC201" s="144">
        <v>0</v>
      </c>
      <c r="CD201" s="144">
        <v>0</v>
      </c>
      <c r="CE201" s="144">
        <v>0</v>
      </c>
      <c r="CF201" s="144">
        <v>0</v>
      </c>
      <c r="CG201" s="144">
        <v>0</v>
      </c>
      <c r="CH201" s="144">
        <v>0</v>
      </c>
      <c r="CI201" s="144">
        <v>0</v>
      </c>
      <c r="CJ201" s="144">
        <v>0</v>
      </c>
      <c r="CK201" s="144">
        <v>0</v>
      </c>
      <c r="CL201" s="144">
        <v>0</v>
      </c>
      <c r="CM201" s="144">
        <v>0</v>
      </c>
      <c r="CN201" s="144">
        <v>0</v>
      </c>
      <c r="CO201" s="144">
        <v>0</v>
      </c>
      <c r="CP201" s="144">
        <v>0</v>
      </c>
      <c r="CQ201" s="143">
        <v>0</v>
      </c>
      <c r="CR201" s="145">
        <v>0</v>
      </c>
      <c r="CS201" s="145">
        <v>0</v>
      </c>
      <c r="CT201" s="145">
        <v>0</v>
      </c>
      <c r="CU201" s="145">
        <v>0</v>
      </c>
      <c r="CV201" s="145">
        <v>0</v>
      </c>
      <c r="CW201" s="145">
        <v>0</v>
      </c>
      <c r="CX201" s="145">
        <v>0</v>
      </c>
      <c r="CY201" s="145">
        <v>0</v>
      </c>
      <c r="CZ201" s="145">
        <v>0</v>
      </c>
      <c r="DA201" s="145">
        <v>0</v>
      </c>
      <c r="DB201" s="145">
        <v>0</v>
      </c>
      <c r="DC201" s="145">
        <v>0</v>
      </c>
      <c r="DD201" s="145">
        <v>0</v>
      </c>
      <c r="DE201" s="145">
        <v>0</v>
      </c>
      <c r="DF201" s="145">
        <v>2940.56</v>
      </c>
      <c r="DG201" s="145">
        <v>2940.56</v>
      </c>
      <c r="DH201" s="145">
        <v>4998.9520000000002</v>
      </c>
      <c r="DI201" s="145">
        <v>5293.0079999999998</v>
      </c>
      <c r="DJ201" s="145">
        <v>5587.0640000000003</v>
      </c>
      <c r="DK201" s="145">
        <v>4410.84</v>
      </c>
      <c r="DL201" s="145">
        <v>5293.0079999999998</v>
      </c>
      <c r="DM201" s="145">
        <v>5293.0079999999998</v>
      </c>
      <c r="DN201" s="145">
        <v>4998.9520000000002</v>
      </c>
      <c r="DO201" s="145">
        <v>3528.672</v>
      </c>
      <c r="DP201" s="145">
        <v>6763.2880000000005</v>
      </c>
      <c r="DQ201" s="145">
        <v>4704.8959999999997</v>
      </c>
      <c r="DR201" s="145">
        <v>4848.0320000000002</v>
      </c>
      <c r="DS201" s="145">
        <v>5757.0380000000005</v>
      </c>
      <c r="DT201" s="145">
        <v>5454.0360000000001</v>
      </c>
      <c r="DU201" s="145">
        <v>5151.0340000000006</v>
      </c>
      <c r="DV201" s="145">
        <v>5454.0360000000001</v>
      </c>
      <c r="DW201" s="145">
        <v>5151.0340000000006</v>
      </c>
      <c r="DX201" s="145">
        <v>5454.0360000000001</v>
      </c>
      <c r="DY201" s="145">
        <v>5454.0360000000001</v>
      </c>
      <c r="DZ201" s="145">
        <v>5151.0340000000006</v>
      </c>
      <c r="EA201" s="145">
        <v>4848.0320000000002</v>
      </c>
      <c r="EB201" s="145">
        <v>5757.0380000000005</v>
      </c>
      <c r="EC201" s="145">
        <v>4848.0320000000002</v>
      </c>
      <c r="ED201" s="145">
        <v>5927.0119999999997</v>
      </c>
      <c r="EE201" s="145">
        <v>4991.1679999999997</v>
      </c>
      <c r="EF201" s="145">
        <v>5927.0119999999997</v>
      </c>
      <c r="EG201" s="145">
        <v>5927.0119999999997</v>
      </c>
      <c r="EH201" s="145">
        <v>4991.1679999999997</v>
      </c>
      <c r="EI201" s="145">
        <v>5615.0639999999994</v>
      </c>
      <c r="EJ201" s="145">
        <v>5303.116</v>
      </c>
      <c r="EK201" s="145">
        <v>5615.0639999999994</v>
      </c>
      <c r="EL201" s="145">
        <v>0</v>
      </c>
      <c r="EM201" s="145">
        <v>0</v>
      </c>
      <c r="EN201" s="145">
        <v>0</v>
      </c>
      <c r="EO201" s="145">
        <v>0</v>
      </c>
      <c r="EP201" s="145">
        <v>0</v>
      </c>
      <c r="EQ201" s="145">
        <v>0</v>
      </c>
      <c r="ER201" s="145">
        <v>0</v>
      </c>
      <c r="ES201" s="145">
        <v>0</v>
      </c>
      <c r="ET201" s="145">
        <v>0</v>
      </c>
      <c r="EU201" s="145">
        <v>0</v>
      </c>
      <c r="EV201" s="145">
        <v>0</v>
      </c>
      <c r="EW201" s="145">
        <v>0</v>
      </c>
      <c r="EX201" s="145">
        <v>0</v>
      </c>
      <c r="EY201" s="145">
        <v>0</v>
      </c>
      <c r="EZ201" s="145">
        <v>0</v>
      </c>
      <c r="FA201" s="145">
        <v>0</v>
      </c>
      <c r="FB201" s="145">
        <v>0</v>
      </c>
      <c r="FC201" s="145">
        <v>0</v>
      </c>
      <c r="FD201" s="145">
        <v>0</v>
      </c>
      <c r="FE201" s="145">
        <v>0</v>
      </c>
      <c r="FF201" s="145">
        <v>0</v>
      </c>
      <c r="FG201" s="145">
        <v>0</v>
      </c>
      <c r="FH201" s="145">
        <v>0</v>
      </c>
      <c r="FI201" s="145">
        <v>0</v>
      </c>
      <c r="FJ201" s="145">
        <v>0</v>
      </c>
      <c r="FK201" s="145">
        <v>0</v>
      </c>
      <c r="FL201" s="145">
        <v>0</v>
      </c>
      <c r="FM201" s="145">
        <v>0</v>
      </c>
      <c r="FN201" s="145">
        <v>0</v>
      </c>
      <c r="FO201" s="145">
        <v>0</v>
      </c>
      <c r="FP201" s="145">
        <v>0</v>
      </c>
      <c r="FQ201" s="145">
        <v>0</v>
      </c>
      <c r="FR201" s="145">
        <v>0</v>
      </c>
      <c r="FS201" s="145">
        <v>0</v>
      </c>
      <c r="FT201" s="145">
        <v>0</v>
      </c>
      <c r="FU201" s="145">
        <v>0</v>
      </c>
      <c r="FV201" s="145">
        <v>0</v>
      </c>
      <c r="FW201" s="145">
        <v>0</v>
      </c>
      <c r="FX201" s="143"/>
      <c r="FY201" s="146" t="str">
        <f>_xlfn.XLOOKUP($E201,'Key assumptions'!$B$112:$B$120,'Key assumptions'!$C$112:$C$120,0)</f>
        <v>Nominal</v>
      </c>
      <c r="FZ201" s="146" cm="1">
        <f t="array" ref="FZ201">IF($FY201=0,0,_xlfn.IFS($FY201='Key assumptions'!$C$120,_xlfn.XLOOKUP(LEFT(FZ$7,6),Inflation_Year,Inflation_NominaltoReal),TRUE,_xlfn.XLOOKUP($FY201,Inflation_Year,NominaltoReal)))</f>
        <v>1.0197075870962191</v>
      </c>
      <c r="GA201" s="146" cm="1">
        <f t="array" ref="GA201">IF($FY201=0,0,_xlfn.IFS($FY201='Key assumptions'!$C$120,_xlfn.XLOOKUP(LEFT(GA$7,6),Inflation_Year,Inflation_NominaltoReal),TRUE,_xlfn.XLOOKUP($FY201,Inflation_Year,NominaltoReal)))</f>
        <v>0.98700804022984445</v>
      </c>
      <c r="GB201" s="146" cm="1">
        <f t="array" ref="GB201">IF($FY201=0,0,_xlfn.IFS($FY201='Key assumptions'!$C$120,_xlfn.XLOOKUP(LEFT(GB$7,6),Inflation_Year,Inflation_NominaltoReal),TRUE,_xlfn.XLOOKUP($FY201,Inflation_Year,NominaltoReal)))</f>
        <v>0.96152830081941731</v>
      </c>
      <c r="GC201" s="146" cm="1">
        <f t="array" ref="GC201">IF($FY201=0,0,_xlfn.IFS($FY201='Key assumptions'!$C$120,_xlfn.XLOOKUP(LEFT(GC$7,6),Inflation_Year,Inflation_NominaltoReal),TRUE,_xlfn.XLOOKUP($FY201,Inflation_Year,NominaltoReal)))</f>
        <v>0.93670632415656829</v>
      </c>
      <c r="GD201" s="146" cm="1">
        <f t="array" ref="GD201">IF($FY201=0,0,_xlfn.IFS($FY201='Key assumptions'!$C$120,_xlfn.XLOOKUP(LEFT(GD$7,6),Inflation_Year,Inflation_NominaltoReal),TRUE,_xlfn.XLOOKUP($FY201,Inflation_Year,NominaltoReal)))</f>
        <v>0.91252513001143176</v>
      </c>
      <c r="GE201" s="146" cm="1">
        <f t="array" ref="GE201">IF($FY201=0,0,_xlfn.IFS($FY201='Key assumptions'!$C$120,_xlfn.XLOOKUP(LEFT(GE$7,6),Inflation_Year,Inflation_NominaltoReal),TRUE,_xlfn.XLOOKUP($FY201,Inflation_Year,NominaltoReal)))</f>
        <v>0.88896817650095872</v>
      </c>
      <c r="GF201" s="146" cm="1">
        <f t="array" ref="GF201">IF($FY201=0,0,_xlfn.IFS($FY201='Key assumptions'!$C$120,_xlfn.XLOOKUP(LEFT(GF$7,6),Inflation_Year,Inflation_NominaltoReal),TRUE,_xlfn.XLOOKUP($FY201,Inflation_Year,NominaltoReal)))</f>
        <v>0.86601934877293718</v>
      </c>
      <c r="GG201" s="143"/>
      <c r="GH201" s="145" cm="1">
        <f t="array" ref="GH201">SUMPRODUCT(--($CR$7:$FW$7&gt;=GH$5),--($CR$7:$FW$7&lt;=GH$6),$CR201:$FW201)*FZ201</f>
        <v>32084.07136273474</v>
      </c>
      <c r="GI201" s="145" cm="1">
        <f t="array" ref="GI201">SUMPRODUCT(--($CR$7:$FW$7&gt;=GI$5),--($CR$7:$FW$7&lt;=GI$6),$CR201:$FW201)*GA201</f>
        <v>61745.310175197104</v>
      </c>
      <c r="GJ201" s="145" cm="1">
        <f t="array" ref="GJ201">SUMPRODUCT(--($CR$7:$FW$7&gt;=GJ$5),--($CR$7:$FW$7&lt;=GJ$6),$CR201:$FW201)*GB201</f>
        <v>62249.076813238054</v>
      </c>
      <c r="GK201" s="145" cm="1">
        <f t="array" ref="GK201">SUMPRODUCT(--($CR$7:$FW$7&gt;=GK$5),--($CR$7:$FW$7&lt;=GK$6),$CR201:$FW201)*GC201</f>
        <v>5259.6659593438762</v>
      </c>
      <c r="GL201" s="145" cm="1">
        <f t="array" ref="GL201">SUMPRODUCT(--($CR$7:$FW$7&gt;=GL$5),--($CR$7:$FW$7&lt;=GL$6),$CR201:$FW201)*GD201</f>
        <v>0</v>
      </c>
      <c r="GM201" s="145" cm="1">
        <f t="array" ref="GM201">SUMPRODUCT(--($CR$7:$FW$7&gt;=GM$5),--($CR$7:$FW$7&lt;=GM$6),$CR201:$FW201)*GE201</f>
        <v>0</v>
      </c>
      <c r="GN201" s="145" cm="1">
        <f t="array" ref="GN201">SUMPRODUCT(--($CR$7:$FW$7&gt;=GN$5),--($CR$7:$FW$7&lt;=GN$6),$CR201:$FW201)*GF201</f>
        <v>0</v>
      </c>
      <c r="GO201" s="145">
        <f t="shared" si="69"/>
        <v>161338.12431051375</v>
      </c>
      <c r="GP201" s="87"/>
      <c r="GR201" s="145" cm="1">
        <f t="array" ref="GR201">SUMPRODUCT(--($CR$7:$FW$7&gt;=GR$5),--($CR$7:$FW$7&lt;=GR$6),$CR201:$FW201)</f>
        <v>16173.08</v>
      </c>
      <c r="GT201" s="214" cm="1">
        <f t="array" ref="GT201">--AND(MIN(IF($K201:$CP201&lt;&gt;0,$K$7:$CP$7))&gt;=GT$5,MIN(IF($K201:$CP201&lt;&gt;0,$K$7:$CP$7))&lt;=GT$6)</f>
        <v>1</v>
      </c>
      <c r="GU201" s="214" cm="1">
        <f t="array" ref="GU201">--AND(MIN(IF($K201:$CP201&lt;&gt;0,$K$7:$CP$7))&gt;=GU$5,MIN(IF($K201:$CP201&lt;&gt;0,$K$7:$CP$7))&lt;=GU$6)</f>
        <v>0</v>
      </c>
      <c r="GV201" s="214" cm="1">
        <f t="array" ref="GV201">--AND(MIN(IF($K201:$CP201&lt;&gt;0,$K$7:$CP$7))&gt;=GV$5,MIN(IF($K201:$CP201&lt;&gt;0,$K$7:$CP$7))&lt;=GV$6)</f>
        <v>0</v>
      </c>
      <c r="GW201" s="214" cm="1">
        <f t="array" ref="GW201">--AND(MIN(IF($K201:$CP201&lt;&gt;0,$K$7:$CP$7))&gt;=GW$5,MIN(IF($K201:$CP201&lt;&gt;0,$K$7:$CP$7))&lt;=GW$6)</f>
        <v>0</v>
      </c>
      <c r="GX201" s="214" cm="1">
        <f t="array" ref="GX201">--AND(MIN(IF($K201:$CP201&lt;&gt;0,$K$7:$CP$7))&gt;=GX$5,MIN(IF($K201:$CP201&lt;&gt;0,$K$7:$CP$7))&lt;=GX$6)</f>
        <v>0</v>
      </c>
      <c r="GY201" s="214" cm="1">
        <f t="array" ref="GY201">--AND(MIN(IF($K201:$CP201&lt;&gt;0,$K$7:$CP$7))&gt;=GY$5,MIN(IF($K201:$CP201&lt;&gt;0,$K$7:$CP$7))&lt;=GY$6)</f>
        <v>0</v>
      </c>
      <c r="GZ201" s="214" cm="1">
        <f t="array" ref="GZ201">--AND(MIN(IF($K201:$CP201&lt;&gt;0,$K$7:$CP$7))&gt;=GZ$5,MIN(IF($K201:$CP201&lt;&gt;0,$K$7:$CP$7))&lt;=GZ$6)</f>
        <v>0</v>
      </c>
      <c r="HA201" s="214">
        <f t="shared" si="70"/>
        <v>1</v>
      </c>
      <c r="HC201" s="214" cm="1">
        <f t="array" ref="HC201">--AND(MIN(IF($K201:$CP201&lt;&gt;0,$K$7:$CP$7))&gt;=HC$5,MIN(IF($K201:$CP201&lt;&gt;0,$K$7:$CP$7))&lt;=HC$6)</f>
        <v>1</v>
      </c>
      <c r="HE201" s="147" t="str">
        <f t="shared" ref="HE201:HE264" si="89">IF($F201="New","Yes","No")</f>
        <v>Yes</v>
      </c>
      <c r="HF201" s="147" t="str">
        <f t="shared" ref="HF201:HF264" si="90">IF(G201="Overtime","Yes","No")</f>
        <v>No</v>
      </c>
      <c r="HG201" s="147">
        <f>IF($HF201="Yes",0,$H201*avg_hrs*12*'Key assumptions'!$D$87)</f>
        <v>375608.02275576669</v>
      </c>
      <c r="HH201" s="147">
        <f>IF(HE201="Yes",'Key assumptions'!$D$84*HG201,0)</f>
        <v>56341.203413365001</v>
      </c>
      <c r="HI201" s="144">
        <f>IFERROR(AVERAGEIFS($K201:$CP201,$K$7:$CP$7,"&gt;="&amp;'Key assumptions'!$D$24,$K$7:$CP$7,"&lt;="&amp;'Key assumptions'!$D$25),0)</f>
        <v>0.13041068580542264</v>
      </c>
      <c r="HJ201" s="148">
        <f t="shared" si="71"/>
        <v>7347.4949762397491</v>
      </c>
      <c r="HK201" s="148">
        <f t="shared" si="72"/>
        <v>7347.4949762397491</v>
      </c>
      <c r="HL201" s="148">
        <f t="shared" si="73"/>
        <v>0</v>
      </c>
      <c r="HM201" s="148">
        <f t="shared" si="74"/>
        <v>0</v>
      </c>
      <c r="HN201" s="148">
        <f t="shared" si="75"/>
        <v>0</v>
      </c>
      <c r="HO201" s="148">
        <f t="shared" si="76"/>
        <v>0</v>
      </c>
      <c r="HP201" s="148">
        <f t="shared" si="77"/>
        <v>0</v>
      </c>
      <c r="HQ201" s="148">
        <f t="shared" si="78"/>
        <v>0</v>
      </c>
      <c r="HR201" s="147">
        <f t="shared" si="79"/>
        <v>7347.4949762397491</v>
      </c>
      <c r="HU201" s="147">
        <f>$HJ201*HC201/(1+'Key assumptions'!G223)^0.75</f>
        <v>7347.4949762397491</v>
      </c>
      <c r="HW201" s="216">
        <f t="shared" si="80"/>
        <v>0.13041068580542264</v>
      </c>
      <c r="HX201" s="216">
        <f t="shared" si="81"/>
        <v>0</v>
      </c>
      <c r="HY201" s="216">
        <f t="shared" si="82"/>
        <v>0</v>
      </c>
      <c r="HZ201" s="216">
        <f t="shared" si="83"/>
        <v>0</v>
      </c>
      <c r="IA201" s="216">
        <f t="shared" si="84"/>
        <v>0</v>
      </c>
      <c r="IB201" s="216">
        <f t="shared" si="85"/>
        <v>0</v>
      </c>
      <c r="IC201" s="216">
        <f t="shared" si="86"/>
        <v>0</v>
      </c>
      <c r="ID201" s="216">
        <f t="shared" si="87"/>
        <v>0.13041068580542264</v>
      </c>
      <c r="IF201" s="216">
        <f t="shared" si="88"/>
        <v>0.13041068580542264</v>
      </c>
    </row>
    <row r="202" spans="2:240" x14ac:dyDescent="0.2">
      <c r="B202" s="141" t="str">
        <v>Land and Environment</v>
      </c>
      <c r="C202" s="141" t="str">
        <v>Environment Officer (Safety and Environmental Delivery)</v>
      </c>
      <c r="D202" s="141" t="str">
        <v>Internal Labour</v>
      </c>
      <c r="E202" s="141" t="str">
        <v>$ Nominal</v>
      </c>
      <c r="F202" s="141">
        <v>0</v>
      </c>
      <c r="G202" s="141" t="str">
        <v>Overtime</v>
      </c>
      <c r="H202" s="142">
        <v>210.04</v>
      </c>
      <c r="I202" s="126">
        <v>272736.054</v>
      </c>
      <c r="J202" s="143">
        <v>0</v>
      </c>
      <c r="K202" s="144">
        <v>0</v>
      </c>
      <c r="L202" s="144">
        <v>0</v>
      </c>
      <c r="M202" s="144">
        <v>0</v>
      </c>
      <c r="N202" s="144">
        <v>0</v>
      </c>
      <c r="O202" s="144">
        <v>0</v>
      </c>
      <c r="P202" s="144">
        <v>0</v>
      </c>
      <c r="Q202" s="144">
        <v>0</v>
      </c>
      <c r="R202" s="144">
        <v>0</v>
      </c>
      <c r="S202" s="144">
        <v>0</v>
      </c>
      <c r="T202" s="144">
        <v>0</v>
      </c>
      <c r="U202" s="144">
        <v>0</v>
      </c>
      <c r="V202" s="144">
        <v>0</v>
      </c>
      <c r="W202" s="144">
        <v>0</v>
      </c>
      <c r="X202" s="144">
        <v>0</v>
      </c>
      <c r="Y202" s="144">
        <v>0</v>
      </c>
      <c r="Z202" s="144">
        <v>0</v>
      </c>
      <c r="AA202" s="144">
        <v>0.13026315789473686</v>
      </c>
      <c r="AB202" s="144">
        <v>0.13421052631578947</v>
      </c>
      <c r="AC202" s="144">
        <v>0.1842857142857143</v>
      </c>
      <c r="AD202" s="144">
        <v>0.13285714285714287</v>
      </c>
      <c r="AE202" s="144">
        <v>0.14571428571428571</v>
      </c>
      <c r="AF202" s="144">
        <v>0.14571428571428571</v>
      </c>
      <c r="AG202" s="144">
        <v>0.14142857142857143</v>
      </c>
      <c r="AH202" s="144">
        <v>0.16</v>
      </c>
      <c r="AI202" s="144">
        <v>0.26857142857142857</v>
      </c>
      <c r="AJ202" s="144">
        <v>0.13714285714285715</v>
      </c>
      <c r="AK202" s="144">
        <v>0.13714285714285715</v>
      </c>
      <c r="AL202" s="144">
        <v>0.2</v>
      </c>
      <c r="AM202" s="144">
        <v>0.15</v>
      </c>
      <c r="AN202" s="144">
        <v>0.14605263157894735</v>
      </c>
      <c r="AO202" s="144">
        <v>0.14571428571428571</v>
      </c>
      <c r="AP202" s="144">
        <v>0.14142857142857143</v>
      </c>
      <c r="AQ202" s="144">
        <v>0.14571428571428571</v>
      </c>
      <c r="AR202" s="144">
        <v>0.14571428571428571</v>
      </c>
      <c r="AS202" s="144">
        <v>0.17571428571428571</v>
      </c>
      <c r="AT202" s="144">
        <v>0.13714285714285715</v>
      </c>
      <c r="AU202" s="144">
        <v>0.24571428571428572</v>
      </c>
      <c r="AV202" s="144">
        <v>0.13714285714285715</v>
      </c>
      <c r="AW202" s="144">
        <v>0.15</v>
      </c>
      <c r="AX202" s="144">
        <v>0.18285714285714286</v>
      </c>
      <c r="AY202" s="144">
        <v>0.16973684210526316</v>
      </c>
      <c r="AZ202" s="144">
        <v>0.16973684210526316</v>
      </c>
      <c r="BA202" s="144">
        <v>0.13714285714285715</v>
      </c>
      <c r="BB202" s="144">
        <v>0.14571428571428571</v>
      </c>
      <c r="BC202" s="144">
        <v>0.14142857142857143</v>
      </c>
      <c r="BD202" s="144">
        <v>0.14571428571428571</v>
      </c>
      <c r="BE202" s="144">
        <v>0</v>
      </c>
      <c r="BF202" s="144">
        <v>0</v>
      </c>
      <c r="BG202" s="144">
        <v>0</v>
      </c>
      <c r="BH202" s="144">
        <v>0</v>
      </c>
      <c r="BI202" s="144">
        <v>0</v>
      </c>
      <c r="BJ202" s="144">
        <v>0</v>
      </c>
      <c r="BK202" s="144">
        <v>0</v>
      </c>
      <c r="BL202" s="144">
        <v>0</v>
      </c>
      <c r="BM202" s="144">
        <v>0</v>
      </c>
      <c r="BN202" s="144">
        <v>0</v>
      </c>
      <c r="BO202" s="144">
        <v>0</v>
      </c>
      <c r="BP202" s="144">
        <v>0</v>
      </c>
      <c r="BQ202" s="144">
        <v>0</v>
      </c>
      <c r="BR202" s="144">
        <v>0</v>
      </c>
      <c r="BS202" s="144">
        <v>0</v>
      </c>
      <c r="BT202" s="144">
        <v>0</v>
      </c>
      <c r="BU202" s="144">
        <v>0</v>
      </c>
      <c r="BV202" s="144">
        <v>0</v>
      </c>
      <c r="BW202" s="144">
        <v>0</v>
      </c>
      <c r="BX202" s="144">
        <v>0</v>
      </c>
      <c r="BY202" s="144">
        <v>0</v>
      </c>
      <c r="BZ202" s="144">
        <v>0</v>
      </c>
      <c r="CA202" s="144">
        <v>0</v>
      </c>
      <c r="CB202" s="144">
        <v>0</v>
      </c>
      <c r="CC202" s="144">
        <v>0</v>
      </c>
      <c r="CD202" s="144">
        <v>0</v>
      </c>
      <c r="CE202" s="144">
        <v>0</v>
      </c>
      <c r="CF202" s="144">
        <v>0</v>
      </c>
      <c r="CG202" s="144">
        <v>0</v>
      </c>
      <c r="CH202" s="144">
        <v>0</v>
      </c>
      <c r="CI202" s="144">
        <v>0</v>
      </c>
      <c r="CJ202" s="144">
        <v>0</v>
      </c>
      <c r="CK202" s="144">
        <v>0</v>
      </c>
      <c r="CL202" s="144">
        <v>0</v>
      </c>
      <c r="CM202" s="144">
        <v>0</v>
      </c>
      <c r="CN202" s="144">
        <v>0</v>
      </c>
      <c r="CO202" s="144">
        <v>0</v>
      </c>
      <c r="CP202" s="144">
        <v>0</v>
      </c>
      <c r="CQ202" s="143">
        <v>0</v>
      </c>
      <c r="CR202" s="145">
        <v>0</v>
      </c>
      <c r="CS202" s="145">
        <v>0</v>
      </c>
      <c r="CT202" s="145">
        <v>0</v>
      </c>
      <c r="CU202" s="145">
        <v>0</v>
      </c>
      <c r="CV202" s="145">
        <v>0</v>
      </c>
      <c r="CW202" s="145">
        <v>0</v>
      </c>
      <c r="CX202" s="145">
        <v>0</v>
      </c>
      <c r="CY202" s="145">
        <v>0</v>
      </c>
      <c r="CZ202" s="145">
        <v>0</v>
      </c>
      <c r="DA202" s="145">
        <v>0</v>
      </c>
      <c r="DB202" s="145">
        <v>0</v>
      </c>
      <c r="DC202" s="145">
        <v>0</v>
      </c>
      <c r="DD202" s="145">
        <v>0</v>
      </c>
      <c r="DE202" s="145">
        <v>0</v>
      </c>
      <c r="DF202" s="145">
        <v>0</v>
      </c>
      <c r="DG202" s="145">
        <v>0</v>
      </c>
      <c r="DH202" s="145">
        <v>8317.3860000000004</v>
      </c>
      <c r="DI202" s="145">
        <v>8569.4279999999999</v>
      </c>
      <c r="DJ202" s="145">
        <v>10837.806</v>
      </c>
      <c r="DK202" s="145">
        <v>7813.3020000000006</v>
      </c>
      <c r="DL202" s="145">
        <v>8569.4279999999999</v>
      </c>
      <c r="DM202" s="145">
        <v>8569.4279999999999</v>
      </c>
      <c r="DN202" s="145">
        <v>8317.3860000000004</v>
      </c>
      <c r="DO202" s="145">
        <v>7057.1760000000004</v>
      </c>
      <c r="DP202" s="145">
        <v>11845.974</v>
      </c>
      <c r="DQ202" s="145">
        <v>8065.3439999999991</v>
      </c>
      <c r="DR202" s="145">
        <v>8310.9120000000003</v>
      </c>
      <c r="DS202" s="145">
        <v>9090.06</v>
      </c>
      <c r="DT202" s="145">
        <v>9869.2080000000005</v>
      </c>
      <c r="DU202" s="145">
        <v>9609.4920000000002</v>
      </c>
      <c r="DV202" s="145">
        <v>8830.3439999999991</v>
      </c>
      <c r="DW202" s="145">
        <v>8570.6280000000006</v>
      </c>
      <c r="DX202" s="145">
        <v>8830.3439999999991</v>
      </c>
      <c r="DY202" s="145">
        <v>8830.3439999999991</v>
      </c>
      <c r="DZ202" s="145">
        <v>10648.356000000002</v>
      </c>
      <c r="EA202" s="145">
        <v>6233.1840000000002</v>
      </c>
      <c r="EB202" s="145">
        <v>11167.788</v>
      </c>
      <c r="EC202" s="145">
        <v>8310.9120000000003</v>
      </c>
      <c r="ED202" s="145">
        <v>9358.44</v>
      </c>
      <c r="EE202" s="145">
        <v>8556.2879999999986</v>
      </c>
      <c r="EF202" s="145">
        <v>11497.512000000001</v>
      </c>
      <c r="EG202" s="145">
        <v>11497.512000000001</v>
      </c>
      <c r="EH202" s="145">
        <v>8556.2879999999986</v>
      </c>
      <c r="EI202" s="145">
        <v>9091.0559999999987</v>
      </c>
      <c r="EJ202" s="145">
        <v>8823.6720000000005</v>
      </c>
      <c r="EK202" s="145">
        <v>9091.0559999999987</v>
      </c>
      <c r="EL202" s="145">
        <v>0</v>
      </c>
      <c r="EM202" s="145">
        <v>0</v>
      </c>
      <c r="EN202" s="145">
        <v>0</v>
      </c>
      <c r="EO202" s="145">
        <v>0</v>
      </c>
      <c r="EP202" s="145">
        <v>0</v>
      </c>
      <c r="EQ202" s="145">
        <v>0</v>
      </c>
      <c r="ER202" s="145">
        <v>0</v>
      </c>
      <c r="ES202" s="145">
        <v>0</v>
      </c>
      <c r="ET202" s="145">
        <v>0</v>
      </c>
      <c r="EU202" s="145">
        <v>0</v>
      </c>
      <c r="EV202" s="145">
        <v>0</v>
      </c>
      <c r="EW202" s="145">
        <v>0</v>
      </c>
      <c r="EX202" s="145">
        <v>0</v>
      </c>
      <c r="EY202" s="145">
        <v>0</v>
      </c>
      <c r="EZ202" s="145">
        <v>0</v>
      </c>
      <c r="FA202" s="145">
        <v>0</v>
      </c>
      <c r="FB202" s="145">
        <v>0</v>
      </c>
      <c r="FC202" s="145">
        <v>0</v>
      </c>
      <c r="FD202" s="145">
        <v>0</v>
      </c>
      <c r="FE202" s="145">
        <v>0</v>
      </c>
      <c r="FF202" s="145">
        <v>0</v>
      </c>
      <c r="FG202" s="145">
        <v>0</v>
      </c>
      <c r="FH202" s="145">
        <v>0</v>
      </c>
      <c r="FI202" s="145">
        <v>0</v>
      </c>
      <c r="FJ202" s="145">
        <v>0</v>
      </c>
      <c r="FK202" s="145">
        <v>0</v>
      </c>
      <c r="FL202" s="145">
        <v>0</v>
      </c>
      <c r="FM202" s="145">
        <v>0</v>
      </c>
      <c r="FN202" s="145">
        <v>0</v>
      </c>
      <c r="FO202" s="145">
        <v>0</v>
      </c>
      <c r="FP202" s="145">
        <v>0</v>
      </c>
      <c r="FQ202" s="145">
        <v>0</v>
      </c>
      <c r="FR202" s="145">
        <v>0</v>
      </c>
      <c r="FS202" s="145">
        <v>0</v>
      </c>
      <c r="FT202" s="145">
        <v>0</v>
      </c>
      <c r="FU202" s="145">
        <v>0</v>
      </c>
      <c r="FV202" s="145">
        <v>0</v>
      </c>
      <c r="FW202" s="145">
        <v>0</v>
      </c>
      <c r="FX202" s="143"/>
      <c r="FY202" s="146" t="str">
        <f>_xlfn.XLOOKUP($E202,'Key assumptions'!$B$112:$B$120,'Key assumptions'!$C$112:$C$120,0)</f>
        <v>Nominal</v>
      </c>
      <c r="FZ202" s="146" cm="1">
        <f t="array" ref="FZ202">IF($FY202=0,0,_xlfn.IFS($FY202='Key assumptions'!$C$120,_xlfn.XLOOKUP(LEFT(FZ$7,6),Inflation_Year,Inflation_NominaltoReal),TRUE,_xlfn.XLOOKUP($FY202,Inflation_Year,NominaltoReal)))</f>
        <v>1.0197075870962191</v>
      </c>
      <c r="GA202" s="146" cm="1">
        <f t="array" ref="GA202">IF($FY202=0,0,_xlfn.IFS($FY202='Key assumptions'!$C$120,_xlfn.XLOOKUP(LEFT(GA$7,6),Inflation_Year,Inflation_NominaltoReal),TRUE,_xlfn.XLOOKUP($FY202,Inflation_Year,NominaltoReal)))</f>
        <v>0.98700804022984445</v>
      </c>
      <c r="GB202" s="146" cm="1">
        <f t="array" ref="GB202">IF($FY202=0,0,_xlfn.IFS($FY202='Key assumptions'!$C$120,_xlfn.XLOOKUP(LEFT(GB$7,6),Inflation_Year,Inflation_NominaltoReal),TRUE,_xlfn.XLOOKUP($FY202,Inflation_Year,NominaltoReal)))</f>
        <v>0.96152830081941731</v>
      </c>
      <c r="GC202" s="146" cm="1">
        <f t="array" ref="GC202">IF($FY202=0,0,_xlfn.IFS($FY202='Key assumptions'!$C$120,_xlfn.XLOOKUP(LEFT(GC$7,6),Inflation_Year,Inflation_NominaltoReal),TRUE,_xlfn.XLOOKUP($FY202,Inflation_Year,NominaltoReal)))</f>
        <v>0.93670632415656829</v>
      </c>
      <c r="GD202" s="146" cm="1">
        <f t="array" ref="GD202">IF($FY202=0,0,_xlfn.IFS($FY202='Key assumptions'!$C$120,_xlfn.XLOOKUP(LEFT(GD$7,6),Inflation_Year,Inflation_NominaltoReal),TRUE,_xlfn.XLOOKUP($FY202,Inflation_Year,NominaltoReal)))</f>
        <v>0.91252513001143176</v>
      </c>
      <c r="GE202" s="146" cm="1">
        <f t="array" ref="GE202">IF($FY202=0,0,_xlfn.IFS($FY202='Key assumptions'!$C$120,_xlfn.XLOOKUP(LEFT(GE$7,6),Inflation_Year,Inflation_NominaltoReal),TRUE,_xlfn.XLOOKUP($FY202,Inflation_Year,NominaltoReal)))</f>
        <v>0.88896817650095872</v>
      </c>
      <c r="GF202" s="146" cm="1">
        <f t="array" ref="GF202">IF($FY202=0,0,_xlfn.IFS($FY202='Key assumptions'!$C$120,_xlfn.XLOOKUP(LEFT(GF$7,6),Inflation_Year,Inflation_NominaltoReal),TRUE,_xlfn.XLOOKUP($FY202,Inflation_Year,NominaltoReal)))</f>
        <v>0.86601934877293718</v>
      </c>
      <c r="GG202" s="143"/>
      <c r="GH202" s="145" cm="1">
        <f t="array" ref="GH202">SUMPRODUCT(--($CR$7:$FW$7&gt;=GH$5),--($CR$7:$FW$7&lt;=GH$6),$CR202:$FW202)*FZ202</f>
        <v>44976.599441708422</v>
      </c>
      <c r="GI202" s="145" cm="1">
        <f t="array" ref="GI202">SUMPRODUCT(--($CR$7:$FW$7&gt;=GI$5),--($CR$7:$FW$7&lt;=GI$6),$CR202:$FW202)*GA202</f>
        <v>105576.59418560544</v>
      </c>
      <c r="GJ202" s="145" cm="1">
        <f t="array" ref="GJ202">SUMPRODUCT(--($CR$7:$FW$7&gt;=GJ$5),--($CR$7:$FW$7&lt;=GJ$6),$CR202:$FW202)*GB202</f>
        <v>108240.54080950453</v>
      </c>
      <c r="GK202" s="145" cm="1">
        <f t="array" ref="GK202">SUMPRODUCT(--($CR$7:$FW$7&gt;=GK$5),--($CR$7:$FW$7&lt;=GK$6),$CR202:$FW202)*GC202</f>
        <v>8515.6496484615145</v>
      </c>
      <c r="GL202" s="145" cm="1">
        <f t="array" ref="GL202">SUMPRODUCT(--($CR$7:$FW$7&gt;=GL$5),--($CR$7:$FW$7&lt;=GL$6),$CR202:$FW202)*GD202</f>
        <v>0</v>
      </c>
      <c r="GM202" s="145" cm="1">
        <f t="array" ref="GM202">SUMPRODUCT(--($CR$7:$FW$7&gt;=GM$5),--($CR$7:$FW$7&lt;=GM$6),$CR202:$FW202)*GE202</f>
        <v>0</v>
      </c>
      <c r="GN202" s="145" cm="1">
        <f t="array" ref="GN202">SUMPRODUCT(--($CR$7:$FW$7&gt;=GN$5),--($CR$7:$FW$7&lt;=GN$6),$CR202:$FW202)*GF202</f>
        <v>0</v>
      </c>
      <c r="GO202" s="145">
        <f t="shared" si="69"/>
        <v>267309.38408527989</v>
      </c>
      <c r="GP202" s="87"/>
      <c r="GR202" s="145" cm="1">
        <f t="array" ref="GR202">SUMPRODUCT(--($CR$7:$FW$7&gt;=GR$5),--($CR$7:$FW$7&lt;=GR$6),$CR202:$FW202)</f>
        <v>16886.813999999998</v>
      </c>
      <c r="GT202" s="214" cm="1">
        <f t="array" ref="GT202">--AND(MIN(IF($K202:$CP202&lt;&gt;0,$K$7:$CP$7))&gt;=GT$5,MIN(IF($K202:$CP202&lt;&gt;0,$K$7:$CP$7))&lt;=GT$6)</f>
        <v>1</v>
      </c>
      <c r="GU202" s="214" cm="1">
        <f t="array" ref="GU202">--AND(MIN(IF($K202:$CP202&lt;&gt;0,$K$7:$CP$7))&gt;=GU$5,MIN(IF($K202:$CP202&lt;&gt;0,$K$7:$CP$7))&lt;=GU$6)</f>
        <v>0</v>
      </c>
      <c r="GV202" s="214" cm="1">
        <f t="array" ref="GV202">--AND(MIN(IF($K202:$CP202&lt;&gt;0,$K$7:$CP$7))&gt;=GV$5,MIN(IF($K202:$CP202&lt;&gt;0,$K$7:$CP$7))&lt;=GV$6)</f>
        <v>0</v>
      </c>
      <c r="GW202" s="214" cm="1">
        <f t="array" ref="GW202">--AND(MIN(IF($K202:$CP202&lt;&gt;0,$K$7:$CP$7))&gt;=GW$5,MIN(IF($K202:$CP202&lt;&gt;0,$K$7:$CP$7))&lt;=GW$6)</f>
        <v>0</v>
      </c>
      <c r="GX202" s="214" cm="1">
        <f t="array" ref="GX202">--AND(MIN(IF($K202:$CP202&lt;&gt;0,$K$7:$CP$7))&gt;=GX$5,MIN(IF($K202:$CP202&lt;&gt;0,$K$7:$CP$7))&lt;=GX$6)</f>
        <v>0</v>
      </c>
      <c r="GY202" s="214" cm="1">
        <f t="array" ref="GY202">--AND(MIN(IF($K202:$CP202&lt;&gt;0,$K$7:$CP$7))&gt;=GY$5,MIN(IF($K202:$CP202&lt;&gt;0,$K$7:$CP$7))&lt;=GY$6)</f>
        <v>0</v>
      </c>
      <c r="GZ202" s="214" cm="1">
        <f t="array" ref="GZ202">--AND(MIN(IF($K202:$CP202&lt;&gt;0,$K$7:$CP$7))&gt;=GZ$5,MIN(IF($K202:$CP202&lt;&gt;0,$K$7:$CP$7))&lt;=GZ$6)</f>
        <v>0</v>
      </c>
      <c r="HA202" s="214">
        <f t="shared" si="70"/>
        <v>1</v>
      </c>
      <c r="HC202" s="214" cm="1">
        <f t="array" ref="HC202">--AND(MIN(IF($K202:$CP202&lt;&gt;0,$K$7:$CP$7))&gt;=HC$5,MIN(IF($K202:$CP202&lt;&gt;0,$K$7:$CP$7))&lt;=HC$6)</f>
        <v>1</v>
      </c>
      <c r="HE202" s="147" t="str">
        <f t="shared" si="89"/>
        <v>No</v>
      </c>
      <c r="HF202" s="147" t="str">
        <f t="shared" si="90"/>
        <v>Yes</v>
      </c>
      <c r="HG202" s="147">
        <f>IF($HF202="Yes",0,$H202*avg_hrs*12*'Key assumptions'!$D$87)</f>
        <v>0</v>
      </c>
      <c r="HH202" s="147">
        <f>IF(HE202="Yes",'Key assumptions'!$D$84*HG202,0)</f>
        <v>0</v>
      </c>
      <c r="HI202" s="144">
        <f>IFERROR(AVERAGEIFS($K202:$CP202,$K$7:$CP$7,"&gt;="&amp;'Key assumptions'!$D$24,$K$7:$CP$7,"&lt;="&amp;'Key assumptions'!$D$25),0)</f>
        <v>0.10750000000000001</v>
      </c>
      <c r="HJ202" s="148">
        <f t="shared" si="71"/>
        <v>0</v>
      </c>
      <c r="HK202" s="148">
        <f t="shared" si="72"/>
        <v>0</v>
      </c>
      <c r="HL202" s="148">
        <f t="shared" si="73"/>
        <v>0</v>
      </c>
      <c r="HM202" s="148">
        <f t="shared" si="74"/>
        <v>0</v>
      </c>
      <c r="HN202" s="148">
        <f t="shared" si="75"/>
        <v>0</v>
      </c>
      <c r="HO202" s="148">
        <f t="shared" si="76"/>
        <v>0</v>
      </c>
      <c r="HP202" s="148">
        <f t="shared" si="77"/>
        <v>0</v>
      </c>
      <c r="HQ202" s="148">
        <f t="shared" si="78"/>
        <v>0</v>
      </c>
      <c r="HR202" s="147">
        <f t="shared" si="79"/>
        <v>0</v>
      </c>
      <c r="HU202" s="147">
        <f>$HJ202*HC202/(1+'Key assumptions'!G224)^0.75</f>
        <v>0</v>
      </c>
      <c r="HW202" s="216">
        <f t="shared" si="80"/>
        <v>0.10750000000000001</v>
      </c>
      <c r="HX202" s="216">
        <f t="shared" si="81"/>
        <v>0</v>
      </c>
      <c r="HY202" s="216">
        <f t="shared" si="82"/>
        <v>0</v>
      </c>
      <c r="HZ202" s="216">
        <f t="shared" si="83"/>
        <v>0</v>
      </c>
      <c r="IA202" s="216">
        <f t="shared" si="84"/>
        <v>0</v>
      </c>
      <c r="IB202" s="216">
        <f t="shared" si="85"/>
        <v>0</v>
      </c>
      <c r="IC202" s="216">
        <f t="shared" si="86"/>
        <v>0</v>
      </c>
      <c r="ID202" s="216">
        <f t="shared" si="87"/>
        <v>0.10750000000000001</v>
      </c>
      <c r="IF202" s="216">
        <f t="shared" si="88"/>
        <v>0.10750000000000001</v>
      </c>
    </row>
    <row r="203" spans="2:240" x14ac:dyDescent="0.2">
      <c r="B203" s="141" t="str">
        <v>Land and Environment</v>
      </c>
      <c r="C203" s="141" t="str">
        <v>Environment Officer (Safety and Environmental Delivery)</v>
      </c>
      <c r="D203" s="141" t="str">
        <v>Internal Labour</v>
      </c>
      <c r="E203" s="141" t="str">
        <v>$ Nominal</v>
      </c>
      <c r="F203" s="141" t="str">
        <v>New</v>
      </c>
      <c r="G203" s="141" t="str">
        <v>Normal time</v>
      </c>
      <c r="H203" s="142">
        <v>210.04</v>
      </c>
      <c r="I203" s="126">
        <v>158495.72200000007</v>
      </c>
      <c r="J203" s="143">
        <v>0</v>
      </c>
      <c r="K203" s="144">
        <v>0</v>
      </c>
      <c r="L203" s="144">
        <v>0</v>
      </c>
      <c r="M203" s="144">
        <v>0</v>
      </c>
      <c r="N203" s="144">
        <v>0</v>
      </c>
      <c r="O203" s="144">
        <v>0</v>
      </c>
      <c r="P203" s="144">
        <v>0</v>
      </c>
      <c r="Q203" s="144">
        <v>0</v>
      </c>
      <c r="R203" s="144">
        <v>0</v>
      </c>
      <c r="S203" s="144">
        <v>0</v>
      </c>
      <c r="T203" s="144">
        <v>0</v>
      </c>
      <c r="U203" s="144">
        <v>0</v>
      </c>
      <c r="V203" s="144">
        <v>0</v>
      </c>
      <c r="W203" s="144">
        <v>0</v>
      </c>
      <c r="X203" s="144">
        <v>0</v>
      </c>
      <c r="Y203" s="144">
        <v>0</v>
      </c>
      <c r="Z203" s="144">
        <v>0</v>
      </c>
      <c r="AA203" s="144">
        <v>0.15657894736842107</v>
      </c>
      <c r="AB203" s="144">
        <v>0.16578947368421051</v>
      </c>
      <c r="AC203" s="144">
        <v>0.19</v>
      </c>
      <c r="AD203" s="144">
        <v>0.15</v>
      </c>
      <c r="AE203" s="144">
        <v>0.18</v>
      </c>
      <c r="AF203" s="144">
        <v>0.18</v>
      </c>
      <c r="AG203" s="144">
        <v>0.17</v>
      </c>
      <c r="AH203" s="144">
        <v>0.16</v>
      </c>
      <c r="AI203" s="144">
        <v>0.3066666666666667</v>
      </c>
      <c r="AJ203" s="144">
        <v>0.16</v>
      </c>
      <c r="AK203" s="144">
        <v>0.16</v>
      </c>
      <c r="AL203" s="144">
        <v>0.25333333333333335</v>
      </c>
      <c r="AM203" s="144">
        <v>0.16578947368421051</v>
      </c>
      <c r="AN203" s="144">
        <v>0.15657894736842107</v>
      </c>
      <c r="AO203" s="144">
        <v>0.18</v>
      </c>
      <c r="AP203" s="144">
        <v>0.17</v>
      </c>
      <c r="AQ203" s="144">
        <v>0.18</v>
      </c>
      <c r="AR203" s="144">
        <v>0.18</v>
      </c>
      <c r="AS203" s="144">
        <v>0.17</v>
      </c>
      <c r="AT203" s="144">
        <v>0.21333333333333332</v>
      </c>
      <c r="AU203" s="144">
        <v>0.25333333333333335</v>
      </c>
      <c r="AV203" s="144">
        <v>0.16</v>
      </c>
      <c r="AW203" s="144">
        <v>0.19</v>
      </c>
      <c r="AX203" s="144">
        <v>0.21333333333333332</v>
      </c>
      <c r="AY203" s="144">
        <v>0.17500000000000002</v>
      </c>
      <c r="AZ203" s="144">
        <v>0.17500000000000002</v>
      </c>
      <c r="BA203" s="144">
        <v>0.16</v>
      </c>
      <c r="BB203" s="144">
        <v>0.18</v>
      </c>
      <c r="BC203" s="144">
        <v>0.17</v>
      </c>
      <c r="BD203" s="144">
        <v>0.18</v>
      </c>
      <c r="BE203" s="144">
        <v>0</v>
      </c>
      <c r="BF203" s="144">
        <v>0</v>
      </c>
      <c r="BG203" s="144">
        <v>0</v>
      </c>
      <c r="BH203" s="144">
        <v>0</v>
      </c>
      <c r="BI203" s="144">
        <v>0</v>
      </c>
      <c r="BJ203" s="144">
        <v>0</v>
      </c>
      <c r="BK203" s="144">
        <v>0</v>
      </c>
      <c r="BL203" s="144">
        <v>0</v>
      </c>
      <c r="BM203" s="144">
        <v>0</v>
      </c>
      <c r="BN203" s="144">
        <v>0</v>
      </c>
      <c r="BO203" s="144">
        <v>0</v>
      </c>
      <c r="BP203" s="144">
        <v>0</v>
      </c>
      <c r="BQ203" s="144">
        <v>0</v>
      </c>
      <c r="BR203" s="144">
        <v>0</v>
      </c>
      <c r="BS203" s="144">
        <v>0</v>
      </c>
      <c r="BT203" s="144">
        <v>0</v>
      </c>
      <c r="BU203" s="144">
        <v>0</v>
      </c>
      <c r="BV203" s="144">
        <v>0</v>
      </c>
      <c r="BW203" s="144">
        <v>0</v>
      </c>
      <c r="BX203" s="144">
        <v>0</v>
      </c>
      <c r="BY203" s="144">
        <v>0</v>
      </c>
      <c r="BZ203" s="144">
        <v>0</v>
      </c>
      <c r="CA203" s="144">
        <v>0</v>
      </c>
      <c r="CB203" s="144">
        <v>0</v>
      </c>
      <c r="CC203" s="144">
        <v>0</v>
      </c>
      <c r="CD203" s="144">
        <v>0</v>
      </c>
      <c r="CE203" s="144">
        <v>0</v>
      </c>
      <c r="CF203" s="144">
        <v>0</v>
      </c>
      <c r="CG203" s="144">
        <v>0</v>
      </c>
      <c r="CH203" s="144">
        <v>0</v>
      </c>
      <c r="CI203" s="144">
        <v>0</v>
      </c>
      <c r="CJ203" s="144">
        <v>0</v>
      </c>
      <c r="CK203" s="144">
        <v>0</v>
      </c>
      <c r="CL203" s="144">
        <v>0</v>
      </c>
      <c r="CM203" s="144">
        <v>0</v>
      </c>
      <c r="CN203" s="144">
        <v>0</v>
      </c>
      <c r="CO203" s="144">
        <v>0</v>
      </c>
      <c r="CP203" s="144">
        <v>0</v>
      </c>
      <c r="CQ203" s="143">
        <v>0</v>
      </c>
      <c r="CR203" s="145">
        <v>0</v>
      </c>
      <c r="CS203" s="145">
        <v>0</v>
      </c>
      <c r="CT203" s="145">
        <v>0</v>
      </c>
      <c r="CU203" s="145">
        <v>0</v>
      </c>
      <c r="CV203" s="145">
        <v>0</v>
      </c>
      <c r="CW203" s="145">
        <v>0</v>
      </c>
      <c r="CX203" s="145">
        <v>0</v>
      </c>
      <c r="CY203" s="145">
        <v>0</v>
      </c>
      <c r="CZ203" s="145">
        <v>0</v>
      </c>
      <c r="DA203" s="145">
        <v>0</v>
      </c>
      <c r="DB203" s="145">
        <v>0</v>
      </c>
      <c r="DC203" s="145">
        <v>0</v>
      </c>
      <c r="DD203" s="145">
        <v>0</v>
      </c>
      <c r="DE203" s="145">
        <v>0</v>
      </c>
      <c r="DF203" s="145">
        <v>0</v>
      </c>
      <c r="DG203" s="145">
        <v>0</v>
      </c>
      <c r="DH203" s="145">
        <v>4998.9520000000002</v>
      </c>
      <c r="DI203" s="145">
        <v>5293.0079999999998</v>
      </c>
      <c r="DJ203" s="145">
        <v>5587.0640000000003</v>
      </c>
      <c r="DK203" s="145">
        <v>4410.84</v>
      </c>
      <c r="DL203" s="145">
        <v>5293.0079999999998</v>
      </c>
      <c r="DM203" s="145">
        <v>5293.0079999999998</v>
      </c>
      <c r="DN203" s="145">
        <v>4998.9520000000002</v>
      </c>
      <c r="DO203" s="145">
        <v>3528.672</v>
      </c>
      <c r="DP203" s="145">
        <v>6763.2880000000005</v>
      </c>
      <c r="DQ203" s="145">
        <v>4704.8959999999997</v>
      </c>
      <c r="DR203" s="145">
        <v>4848.0320000000002</v>
      </c>
      <c r="DS203" s="145">
        <v>5757.0380000000005</v>
      </c>
      <c r="DT203" s="145">
        <v>5454.0360000000001</v>
      </c>
      <c r="DU203" s="145">
        <v>5151.0340000000006</v>
      </c>
      <c r="DV203" s="145">
        <v>5454.0360000000001</v>
      </c>
      <c r="DW203" s="145">
        <v>5151.0340000000006</v>
      </c>
      <c r="DX203" s="145">
        <v>5454.0360000000001</v>
      </c>
      <c r="DY203" s="145">
        <v>5454.0360000000001</v>
      </c>
      <c r="DZ203" s="145">
        <v>5151.0340000000006</v>
      </c>
      <c r="EA203" s="145">
        <v>4848.0320000000002</v>
      </c>
      <c r="EB203" s="145">
        <v>5757.0380000000005</v>
      </c>
      <c r="EC203" s="145">
        <v>4848.0320000000002</v>
      </c>
      <c r="ED203" s="145">
        <v>5927.0119999999997</v>
      </c>
      <c r="EE203" s="145">
        <v>4991.1679999999997</v>
      </c>
      <c r="EF203" s="145">
        <v>5927.0119999999997</v>
      </c>
      <c r="EG203" s="145">
        <v>5927.0119999999997</v>
      </c>
      <c r="EH203" s="145">
        <v>4991.1679999999997</v>
      </c>
      <c r="EI203" s="145">
        <v>5615.0639999999994</v>
      </c>
      <c r="EJ203" s="145">
        <v>5303.116</v>
      </c>
      <c r="EK203" s="145">
        <v>5615.0639999999994</v>
      </c>
      <c r="EL203" s="145">
        <v>0</v>
      </c>
      <c r="EM203" s="145">
        <v>0</v>
      </c>
      <c r="EN203" s="145">
        <v>0</v>
      </c>
      <c r="EO203" s="145">
        <v>0</v>
      </c>
      <c r="EP203" s="145">
        <v>0</v>
      </c>
      <c r="EQ203" s="145">
        <v>0</v>
      </c>
      <c r="ER203" s="145">
        <v>0</v>
      </c>
      <c r="ES203" s="145">
        <v>0</v>
      </c>
      <c r="ET203" s="145">
        <v>0</v>
      </c>
      <c r="EU203" s="145">
        <v>0</v>
      </c>
      <c r="EV203" s="145">
        <v>0</v>
      </c>
      <c r="EW203" s="145">
        <v>0</v>
      </c>
      <c r="EX203" s="145">
        <v>0</v>
      </c>
      <c r="EY203" s="145">
        <v>0</v>
      </c>
      <c r="EZ203" s="145">
        <v>0</v>
      </c>
      <c r="FA203" s="145">
        <v>0</v>
      </c>
      <c r="FB203" s="145">
        <v>0</v>
      </c>
      <c r="FC203" s="145">
        <v>0</v>
      </c>
      <c r="FD203" s="145">
        <v>0</v>
      </c>
      <c r="FE203" s="145">
        <v>0</v>
      </c>
      <c r="FF203" s="145">
        <v>0</v>
      </c>
      <c r="FG203" s="145">
        <v>0</v>
      </c>
      <c r="FH203" s="145">
        <v>0</v>
      </c>
      <c r="FI203" s="145">
        <v>0</v>
      </c>
      <c r="FJ203" s="145">
        <v>0</v>
      </c>
      <c r="FK203" s="145">
        <v>0</v>
      </c>
      <c r="FL203" s="145">
        <v>0</v>
      </c>
      <c r="FM203" s="145">
        <v>0</v>
      </c>
      <c r="FN203" s="145">
        <v>0</v>
      </c>
      <c r="FO203" s="145">
        <v>0</v>
      </c>
      <c r="FP203" s="145">
        <v>0</v>
      </c>
      <c r="FQ203" s="145">
        <v>0</v>
      </c>
      <c r="FR203" s="145">
        <v>0</v>
      </c>
      <c r="FS203" s="145">
        <v>0</v>
      </c>
      <c r="FT203" s="145">
        <v>0</v>
      </c>
      <c r="FU203" s="145">
        <v>0</v>
      </c>
      <c r="FV203" s="145">
        <v>0</v>
      </c>
      <c r="FW203" s="145">
        <v>0</v>
      </c>
      <c r="FX203" s="143"/>
      <c r="FY203" s="146" t="str">
        <f>_xlfn.XLOOKUP($E203,'Key assumptions'!$B$112:$B$120,'Key assumptions'!$C$112:$C$120,0)</f>
        <v>Nominal</v>
      </c>
      <c r="FZ203" s="146" cm="1">
        <f t="array" ref="FZ203">IF($FY203=0,0,_xlfn.IFS($FY203='Key assumptions'!$C$120,_xlfn.XLOOKUP(LEFT(FZ$7,6),Inflation_Year,Inflation_NominaltoReal),TRUE,_xlfn.XLOOKUP($FY203,Inflation_Year,NominaltoReal)))</f>
        <v>1.0197075870962191</v>
      </c>
      <c r="GA203" s="146" cm="1">
        <f t="array" ref="GA203">IF($FY203=0,0,_xlfn.IFS($FY203='Key assumptions'!$C$120,_xlfn.XLOOKUP(LEFT(GA$7,6),Inflation_Year,Inflation_NominaltoReal),TRUE,_xlfn.XLOOKUP($FY203,Inflation_Year,NominaltoReal)))</f>
        <v>0.98700804022984445</v>
      </c>
      <c r="GB203" s="146" cm="1">
        <f t="array" ref="GB203">IF($FY203=0,0,_xlfn.IFS($FY203='Key assumptions'!$C$120,_xlfn.XLOOKUP(LEFT(GB$7,6),Inflation_Year,Inflation_NominaltoReal),TRUE,_xlfn.XLOOKUP($FY203,Inflation_Year,NominaltoReal)))</f>
        <v>0.96152830081941731</v>
      </c>
      <c r="GC203" s="146" cm="1">
        <f t="array" ref="GC203">IF($FY203=0,0,_xlfn.IFS($FY203='Key assumptions'!$C$120,_xlfn.XLOOKUP(LEFT(GC$7,6),Inflation_Year,Inflation_NominaltoReal),TRUE,_xlfn.XLOOKUP($FY203,Inflation_Year,NominaltoReal)))</f>
        <v>0.93670632415656829</v>
      </c>
      <c r="GD203" s="146" cm="1">
        <f t="array" ref="GD203">IF($FY203=0,0,_xlfn.IFS($FY203='Key assumptions'!$C$120,_xlfn.XLOOKUP(LEFT(GD$7,6),Inflation_Year,Inflation_NominaltoReal),TRUE,_xlfn.XLOOKUP($FY203,Inflation_Year,NominaltoReal)))</f>
        <v>0.91252513001143176</v>
      </c>
      <c r="GE203" s="146" cm="1">
        <f t="array" ref="GE203">IF($FY203=0,0,_xlfn.IFS($FY203='Key assumptions'!$C$120,_xlfn.XLOOKUP(LEFT(GE$7,6),Inflation_Year,Inflation_NominaltoReal),TRUE,_xlfn.XLOOKUP($FY203,Inflation_Year,NominaltoReal)))</f>
        <v>0.88896817650095872</v>
      </c>
      <c r="GF203" s="146" cm="1">
        <f t="array" ref="GF203">IF($FY203=0,0,_xlfn.IFS($FY203='Key assumptions'!$C$120,_xlfn.XLOOKUP(LEFT(GF$7,6),Inflation_Year,Inflation_NominaltoReal),TRUE,_xlfn.XLOOKUP($FY203,Inflation_Year,NominaltoReal)))</f>
        <v>0.86601934877293718</v>
      </c>
      <c r="GG203" s="143"/>
      <c r="GH203" s="145" cm="1">
        <f t="array" ref="GH203">SUMPRODUCT(--($CR$7:$FW$7&gt;=GH$5),--($CR$7:$FW$7&lt;=GH$6),$CR203:$FW203)*FZ203</f>
        <v>26087.048678111427</v>
      </c>
      <c r="GI203" s="145" cm="1">
        <f t="array" ref="GI203">SUMPRODUCT(--($CR$7:$FW$7&gt;=GI$5),--($CR$7:$FW$7&lt;=GI$6),$CR203:$FW203)*GA203</f>
        <v>61745.310175197104</v>
      </c>
      <c r="GJ203" s="145" cm="1">
        <f t="array" ref="GJ203">SUMPRODUCT(--($CR$7:$FW$7&gt;=GJ$5),--($CR$7:$FW$7&lt;=GJ$6),$CR203:$FW203)*GB203</f>
        <v>62249.076813238054</v>
      </c>
      <c r="GK203" s="145" cm="1">
        <f t="array" ref="GK203">SUMPRODUCT(--($CR$7:$FW$7&gt;=GK$5),--($CR$7:$FW$7&lt;=GK$6),$CR203:$FW203)*GC203</f>
        <v>5259.6659593438762</v>
      </c>
      <c r="GL203" s="145" cm="1">
        <f t="array" ref="GL203">SUMPRODUCT(--($CR$7:$FW$7&gt;=GL$5),--($CR$7:$FW$7&lt;=GL$6),$CR203:$FW203)*GD203</f>
        <v>0</v>
      </c>
      <c r="GM203" s="145" cm="1">
        <f t="array" ref="GM203">SUMPRODUCT(--($CR$7:$FW$7&gt;=GM$5),--($CR$7:$FW$7&lt;=GM$6),$CR203:$FW203)*GE203</f>
        <v>0</v>
      </c>
      <c r="GN203" s="145" cm="1">
        <f t="array" ref="GN203">SUMPRODUCT(--($CR$7:$FW$7&gt;=GN$5),--($CR$7:$FW$7&lt;=GN$6),$CR203:$FW203)*GF203</f>
        <v>0</v>
      </c>
      <c r="GO203" s="145">
        <f t="shared" si="69"/>
        <v>155341.10162589044</v>
      </c>
      <c r="GP203" s="87"/>
      <c r="GR203" s="145" cm="1">
        <f t="array" ref="GR203">SUMPRODUCT(--($CR$7:$FW$7&gt;=GR$5),--($CR$7:$FW$7&lt;=GR$6),$CR203:$FW203)</f>
        <v>10291.959999999999</v>
      </c>
      <c r="GT203" s="214" cm="1">
        <f t="array" ref="GT203">--AND(MIN(IF($K203:$CP203&lt;&gt;0,$K$7:$CP$7))&gt;=GT$5,MIN(IF($K203:$CP203&lt;&gt;0,$K$7:$CP$7))&lt;=GT$6)</f>
        <v>1</v>
      </c>
      <c r="GU203" s="214" cm="1">
        <f t="array" ref="GU203">--AND(MIN(IF($K203:$CP203&lt;&gt;0,$K$7:$CP$7))&gt;=GU$5,MIN(IF($K203:$CP203&lt;&gt;0,$K$7:$CP$7))&lt;=GU$6)</f>
        <v>0</v>
      </c>
      <c r="GV203" s="214" cm="1">
        <f t="array" ref="GV203">--AND(MIN(IF($K203:$CP203&lt;&gt;0,$K$7:$CP$7))&gt;=GV$5,MIN(IF($K203:$CP203&lt;&gt;0,$K$7:$CP$7))&lt;=GV$6)</f>
        <v>0</v>
      </c>
      <c r="GW203" s="214" cm="1">
        <f t="array" ref="GW203">--AND(MIN(IF($K203:$CP203&lt;&gt;0,$K$7:$CP$7))&gt;=GW$5,MIN(IF($K203:$CP203&lt;&gt;0,$K$7:$CP$7))&lt;=GW$6)</f>
        <v>0</v>
      </c>
      <c r="GX203" s="214" cm="1">
        <f t="array" ref="GX203">--AND(MIN(IF($K203:$CP203&lt;&gt;0,$K$7:$CP$7))&gt;=GX$5,MIN(IF($K203:$CP203&lt;&gt;0,$K$7:$CP$7))&lt;=GX$6)</f>
        <v>0</v>
      </c>
      <c r="GY203" s="214" cm="1">
        <f t="array" ref="GY203">--AND(MIN(IF($K203:$CP203&lt;&gt;0,$K$7:$CP$7))&gt;=GY$5,MIN(IF($K203:$CP203&lt;&gt;0,$K$7:$CP$7))&lt;=GY$6)</f>
        <v>0</v>
      </c>
      <c r="GZ203" s="214" cm="1">
        <f t="array" ref="GZ203">--AND(MIN(IF($K203:$CP203&lt;&gt;0,$K$7:$CP$7))&gt;=GZ$5,MIN(IF($K203:$CP203&lt;&gt;0,$K$7:$CP$7))&lt;=GZ$6)</f>
        <v>0</v>
      </c>
      <c r="HA203" s="214">
        <f t="shared" si="70"/>
        <v>1</v>
      </c>
      <c r="HC203" s="214" cm="1">
        <f t="array" ref="HC203">--AND(MIN(IF($K203:$CP203&lt;&gt;0,$K$7:$CP$7))&gt;=HC$5,MIN(IF($K203:$CP203&lt;&gt;0,$K$7:$CP$7))&lt;=HC$6)</f>
        <v>1</v>
      </c>
      <c r="HE203" s="147" t="str">
        <f t="shared" si="89"/>
        <v>Yes</v>
      </c>
      <c r="HF203" s="147" t="str">
        <f t="shared" si="90"/>
        <v>No</v>
      </c>
      <c r="HG203" s="147">
        <f>IF($HF203="Yes",0,$H203*avg_hrs*12*'Key assumptions'!$D$87)</f>
        <v>375608.02275576669</v>
      </c>
      <c r="HH203" s="147">
        <f>IF(HE203="Yes",'Key assumptions'!$D$84*HG203,0)</f>
        <v>56341.203413365001</v>
      </c>
      <c r="HI203" s="144">
        <f>IFERROR(AVERAGEIFS($K203:$CP203,$K$7:$CP$7,"&gt;="&amp;'Key assumptions'!$D$24,$K$7:$CP$7,"&lt;="&amp;'Key assumptions'!$D$25),0)</f>
        <v>0.12510765550239233</v>
      </c>
      <c r="HJ203" s="148">
        <f t="shared" si="71"/>
        <v>7048.71586722948</v>
      </c>
      <c r="HK203" s="148">
        <f t="shared" si="72"/>
        <v>7048.71586722948</v>
      </c>
      <c r="HL203" s="148">
        <f t="shared" si="73"/>
        <v>0</v>
      </c>
      <c r="HM203" s="148">
        <f t="shared" si="74"/>
        <v>0</v>
      </c>
      <c r="HN203" s="148">
        <f t="shared" si="75"/>
        <v>0</v>
      </c>
      <c r="HO203" s="148">
        <f t="shared" si="76"/>
        <v>0</v>
      </c>
      <c r="HP203" s="148">
        <f t="shared" si="77"/>
        <v>0</v>
      </c>
      <c r="HQ203" s="148">
        <f t="shared" si="78"/>
        <v>0</v>
      </c>
      <c r="HR203" s="147">
        <f t="shared" si="79"/>
        <v>7048.71586722948</v>
      </c>
      <c r="HU203" s="147">
        <f>$HJ203*HC203/(1+'Key assumptions'!G225)^0.75</f>
        <v>7048.71586722948</v>
      </c>
      <c r="HW203" s="216">
        <f t="shared" si="80"/>
        <v>0.12510765550239233</v>
      </c>
      <c r="HX203" s="216">
        <f t="shared" si="81"/>
        <v>0</v>
      </c>
      <c r="HY203" s="216">
        <f t="shared" si="82"/>
        <v>0</v>
      </c>
      <c r="HZ203" s="216">
        <f t="shared" si="83"/>
        <v>0</v>
      </c>
      <c r="IA203" s="216">
        <f t="shared" si="84"/>
        <v>0</v>
      </c>
      <c r="IB203" s="216">
        <f t="shared" si="85"/>
        <v>0</v>
      </c>
      <c r="IC203" s="216">
        <f t="shared" si="86"/>
        <v>0</v>
      </c>
      <c r="ID203" s="216">
        <f t="shared" si="87"/>
        <v>0.12510765550239233</v>
      </c>
      <c r="IF203" s="216">
        <f t="shared" si="88"/>
        <v>0.12510765550239233</v>
      </c>
    </row>
    <row r="204" spans="2:240" x14ac:dyDescent="0.2">
      <c r="B204" s="141" t="str">
        <v>Land and Environment</v>
      </c>
      <c r="C204" s="141" t="str">
        <v>Environment Officer (Safety and Environmental Delivery)</v>
      </c>
      <c r="D204" s="141" t="str">
        <v>Internal Labour</v>
      </c>
      <c r="E204" s="141" t="str">
        <v>$ Nominal</v>
      </c>
      <c r="F204" s="141">
        <v>0</v>
      </c>
      <c r="G204" s="141" t="str">
        <v>Overtime</v>
      </c>
      <c r="H204" s="142">
        <v>210.04</v>
      </c>
      <c r="I204" s="126">
        <v>272736.054</v>
      </c>
      <c r="J204" s="143">
        <v>0</v>
      </c>
      <c r="K204" s="144">
        <v>0</v>
      </c>
      <c r="L204" s="144">
        <v>0</v>
      </c>
      <c r="M204" s="144">
        <v>0</v>
      </c>
      <c r="N204" s="144">
        <v>0</v>
      </c>
      <c r="O204" s="144">
        <v>0</v>
      </c>
      <c r="P204" s="144">
        <v>0</v>
      </c>
      <c r="Q204" s="144">
        <v>0</v>
      </c>
      <c r="R204" s="144">
        <v>0</v>
      </c>
      <c r="S204" s="144">
        <v>0</v>
      </c>
      <c r="T204" s="144">
        <v>0</v>
      </c>
      <c r="U204" s="144">
        <v>0</v>
      </c>
      <c r="V204" s="144">
        <v>0</v>
      </c>
      <c r="W204" s="144">
        <v>0</v>
      </c>
      <c r="X204" s="144">
        <v>0</v>
      </c>
      <c r="Y204" s="144">
        <v>0</v>
      </c>
      <c r="Z204" s="144">
        <v>0</v>
      </c>
      <c r="AA204" s="144">
        <v>0.13026315789473686</v>
      </c>
      <c r="AB204" s="144">
        <v>0.13421052631578947</v>
      </c>
      <c r="AC204" s="144">
        <v>0.1842857142857143</v>
      </c>
      <c r="AD204" s="144">
        <v>0.13285714285714287</v>
      </c>
      <c r="AE204" s="144">
        <v>0.14571428571428571</v>
      </c>
      <c r="AF204" s="144">
        <v>0.14571428571428571</v>
      </c>
      <c r="AG204" s="144">
        <v>0.14142857142857143</v>
      </c>
      <c r="AH204" s="144">
        <v>0.16</v>
      </c>
      <c r="AI204" s="144">
        <v>0.26857142857142857</v>
      </c>
      <c r="AJ204" s="144">
        <v>0.13714285714285715</v>
      </c>
      <c r="AK204" s="144">
        <v>0.13714285714285715</v>
      </c>
      <c r="AL204" s="144">
        <v>0.2</v>
      </c>
      <c r="AM204" s="144">
        <v>0.15</v>
      </c>
      <c r="AN204" s="144">
        <v>0.14605263157894735</v>
      </c>
      <c r="AO204" s="144">
        <v>0.14571428571428571</v>
      </c>
      <c r="AP204" s="144">
        <v>0.14142857142857143</v>
      </c>
      <c r="AQ204" s="144">
        <v>0.14571428571428571</v>
      </c>
      <c r="AR204" s="144">
        <v>0.14571428571428571</v>
      </c>
      <c r="AS204" s="144">
        <v>0.17571428571428571</v>
      </c>
      <c r="AT204" s="144">
        <v>0.13714285714285715</v>
      </c>
      <c r="AU204" s="144">
        <v>0.24571428571428572</v>
      </c>
      <c r="AV204" s="144">
        <v>0.13714285714285715</v>
      </c>
      <c r="AW204" s="144">
        <v>0.15</v>
      </c>
      <c r="AX204" s="144">
        <v>0.18285714285714286</v>
      </c>
      <c r="AY204" s="144">
        <v>0.16973684210526316</v>
      </c>
      <c r="AZ204" s="144">
        <v>0.16973684210526316</v>
      </c>
      <c r="BA204" s="144">
        <v>0.13714285714285715</v>
      </c>
      <c r="BB204" s="144">
        <v>0.14571428571428571</v>
      </c>
      <c r="BC204" s="144">
        <v>0.14142857142857143</v>
      </c>
      <c r="BD204" s="144">
        <v>0.14571428571428571</v>
      </c>
      <c r="BE204" s="144">
        <v>0</v>
      </c>
      <c r="BF204" s="144">
        <v>0</v>
      </c>
      <c r="BG204" s="144">
        <v>0</v>
      </c>
      <c r="BH204" s="144">
        <v>0</v>
      </c>
      <c r="BI204" s="144">
        <v>0</v>
      </c>
      <c r="BJ204" s="144">
        <v>0</v>
      </c>
      <c r="BK204" s="144">
        <v>0</v>
      </c>
      <c r="BL204" s="144">
        <v>0</v>
      </c>
      <c r="BM204" s="144">
        <v>0</v>
      </c>
      <c r="BN204" s="144">
        <v>0</v>
      </c>
      <c r="BO204" s="144">
        <v>0</v>
      </c>
      <c r="BP204" s="144">
        <v>0</v>
      </c>
      <c r="BQ204" s="144">
        <v>0</v>
      </c>
      <c r="BR204" s="144">
        <v>0</v>
      </c>
      <c r="BS204" s="144">
        <v>0</v>
      </c>
      <c r="BT204" s="144">
        <v>0</v>
      </c>
      <c r="BU204" s="144">
        <v>0</v>
      </c>
      <c r="BV204" s="144">
        <v>0</v>
      </c>
      <c r="BW204" s="144">
        <v>0</v>
      </c>
      <c r="BX204" s="144">
        <v>0</v>
      </c>
      <c r="BY204" s="144">
        <v>0</v>
      </c>
      <c r="BZ204" s="144">
        <v>0</v>
      </c>
      <c r="CA204" s="144">
        <v>0</v>
      </c>
      <c r="CB204" s="144">
        <v>0</v>
      </c>
      <c r="CC204" s="144">
        <v>0</v>
      </c>
      <c r="CD204" s="144">
        <v>0</v>
      </c>
      <c r="CE204" s="144">
        <v>0</v>
      </c>
      <c r="CF204" s="144">
        <v>0</v>
      </c>
      <c r="CG204" s="144">
        <v>0</v>
      </c>
      <c r="CH204" s="144">
        <v>0</v>
      </c>
      <c r="CI204" s="144">
        <v>0</v>
      </c>
      <c r="CJ204" s="144">
        <v>0</v>
      </c>
      <c r="CK204" s="144">
        <v>0</v>
      </c>
      <c r="CL204" s="144">
        <v>0</v>
      </c>
      <c r="CM204" s="144">
        <v>0</v>
      </c>
      <c r="CN204" s="144">
        <v>0</v>
      </c>
      <c r="CO204" s="144">
        <v>0</v>
      </c>
      <c r="CP204" s="144">
        <v>0</v>
      </c>
      <c r="CQ204" s="143">
        <v>0</v>
      </c>
      <c r="CR204" s="145">
        <v>0</v>
      </c>
      <c r="CS204" s="145">
        <v>0</v>
      </c>
      <c r="CT204" s="145">
        <v>0</v>
      </c>
      <c r="CU204" s="145">
        <v>0</v>
      </c>
      <c r="CV204" s="145">
        <v>0</v>
      </c>
      <c r="CW204" s="145">
        <v>0</v>
      </c>
      <c r="CX204" s="145">
        <v>0</v>
      </c>
      <c r="CY204" s="145">
        <v>0</v>
      </c>
      <c r="CZ204" s="145">
        <v>0</v>
      </c>
      <c r="DA204" s="145">
        <v>0</v>
      </c>
      <c r="DB204" s="145">
        <v>0</v>
      </c>
      <c r="DC204" s="145">
        <v>0</v>
      </c>
      <c r="DD204" s="145">
        <v>0</v>
      </c>
      <c r="DE204" s="145">
        <v>0</v>
      </c>
      <c r="DF204" s="145">
        <v>0</v>
      </c>
      <c r="DG204" s="145">
        <v>0</v>
      </c>
      <c r="DH204" s="145">
        <v>8317.3860000000004</v>
      </c>
      <c r="DI204" s="145">
        <v>8569.4279999999999</v>
      </c>
      <c r="DJ204" s="145">
        <v>10837.806</v>
      </c>
      <c r="DK204" s="145">
        <v>7813.3020000000006</v>
      </c>
      <c r="DL204" s="145">
        <v>8569.4279999999999</v>
      </c>
      <c r="DM204" s="145">
        <v>8569.4279999999999</v>
      </c>
      <c r="DN204" s="145">
        <v>8317.3860000000004</v>
      </c>
      <c r="DO204" s="145">
        <v>7057.1760000000004</v>
      </c>
      <c r="DP204" s="145">
        <v>11845.974</v>
      </c>
      <c r="DQ204" s="145">
        <v>8065.3439999999991</v>
      </c>
      <c r="DR204" s="145">
        <v>8310.9120000000003</v>
      </c>
      <c r="DS204" s="145">
        <v>9090.06</v>
      </c>
      <c r="DT204" s="145">
        <v>9869.2080000000005</v>
      </c>
      <c r="DU204" s="145">
        <v>9609.4920000000002</v>
      </c>
      <c r="DV204" s="145">
        <v>8830.3439999999991</v>
      </c>
      <c r="DW204" s="145">
        <v>8570.6280000000006</v>
      </c>
      <c r="DX204" s="145">
        <v>8830.3439999999991</v>
      </c>
      <c r="DY204" s="145">
        <v>8830.3439999999991</v>
      </c>
      <c r="DZ204" s="145">
        <v>10648.356000000002</v>
      </c>
      <c r="EA204" s="145">
        <v>6233.1840000000002</v>
      </c>
      <c r="EB204" s="145">
        <v>11167.788</v>
      </c>
      <c r="EC204" s="145">
        <v>8310.9120000000003</v>
      </c>
      <c r="ED204" s="145">
        <v>9358.44</v>
      </c>
      <c r="EE204" s="145">
        <v>8556.2879999999986</v>
      </c>
      <c r="EF204" s="145">
        <v>11497.512000000001</v>
      </c>
      <c r="EG204" s="145">
        <v>11497.512000000001</v>
      </c>
      <c r="EH204" s="145">
        <v>8556.2879999999986</v>
      </c>
      <c r="EI204" s="145">
        <v>9091.0559999999987</v>
      </c>
      <c r="EJ204" s="145">
        <v>8823.6720000000005</v>
      </c>
      <c r="EK204" s="145">
        <v>9091.0559999999987</v>
      </c>
      <c r="EL204" s="145">
        <v>0</v>
      </c>
      <c r="EM204" s="145">
        <v>0</v>
      </c>
      <c r="EN204" s="145">
        <v>0</v>
      </c>
      <c r="EO204" s="145">
        <v>0</v>
      </c>
      <c r="EP204" s="145">
        <v>0</v>
      </c>
      <c r="EQ204" s="145">
        <v>0</v>
      </c>
      <c r="ER204" s="145">
        <v>0</v>
      </c>
      <c r="ES204" s="145">
        <v>0</v>
      </c>
      <c r="ET204" s="145">
        <v>0</v>
      </c>
      <c r="EU204" s="145">
        <v>0</v>
      </c>
      <c r="EV204" s="145">
        <v>0</v>
      </c>
      <c r="EW204" s="145">
        <v>0</v>
      </c>
      <c r="EX204" s="145">
        <v>0</v>
      </c>
      <c r="EY204" s="145">
        <v>0</v>
      </c>
      <c r="EZ204" s="145">
        <v>0</v>
      </c>
      <c r="FA204" s="145">
        <v>0</v>
      </c>
      <c r="FB204" s="145">
        <v>0</v>
      </c>
      <c r="FC204" s="145">
        <v>0</v>
      </c>
      <c r="FD204" s="145">
        <v>0</v>
      </c>
      <c r="FE204" s="145">
        <v>0</v>
      </c>
      <c r="FF204" s="145">
        <v>0</v>
      </c>
      <c r="FG204" s="145">
        <v>0</v>
      </c>
      <c r="FH204" s="145">
        <v>0</v>
      </c>
      <c r="FI204" s="145">
        <v>0</v>
      </c>
      <c r="FJ204" s="145">
        <v>0</v>
      </c>
      <c r="FK204" s="145">
        <v>0</v>
      </c>
      <c r="FL204" s="145">
        <v>0</v>
      </c>
      <c r="FM204" s="145">
        <v>0</v>
      </c>
      <c r="FN204" s="145">
        <v>0</v>
      </c>
      <c r="FO204" s="145">
        <v>0</v>
      </c>
      <c r="FP204" s="145">
        <v>0</v>
      </c>
      <c r="FQ204" s="145">
        <v>0</v>
      </c>
      <c r="FR204" s="145">
        <v>0</v>
      </c>
      <c r="FS204" s="145">
        <v>0</v>
      </c>
      <c r="FT204" s="145">
        <v>0</v>
      </c>
      <c r="FU204" s="145">
        <v>0</v>
      </c>
      <c r="FV204" s="145">
        <v>0</v>
      </c>
      <c r="FW204" s="145">
        <v>0</v>
      </c>
      <c r="FX204" s="143"/>
      <c r="FY204" s="146" t="str">
        <f>_xlfn.XLOOKUP($E204,'Key assumptions'!$B$112:$B$120,'Key assumptions'!$C$112:$C$120,0)</f>
        <v>Nominal</v>
      </c>
      <c r="FZ204" s="146" cm="1">
        <f t="array" ref="FZ204">IF($FY204=0,0,_xlfn.IFS($FY204='Key assumptions'!$C$120,_xlfn.XLOOKUP(LEFT(FZ$7,6),Inflation_Year,Inflation_NominaltoReal),TRUE,_xlfn.XLOOKUP($FY204,Inflation_Year,NominaltoReal)))</f>
        <v>1.0197075870962191</v>
      </c>
      <c r="GA204" s="146" cm="1">
        <f t="array" ref="GA204">IF($FY204=0,0,_xlfn.IFS($FY204='Key assumptions'!$C$120,_xlfn.XLOOKUP(LEFT(GA$7,6),Inflation_Year,Inflation_NominaltoReal),TRUE,_xlfn.XLOOKUP($FY204,Inflation_Year,NominaltoReal)))</f>
        <v>0.98700804022984445</v>
      </c>
      <c r="GB204" s="146" cm="1">
        <f t="array" ref="GB204">IF($FY204=0,0,_xlfn.IFS($FY204='Key assumptions'!$C$120,_xlfn.XLOOKUP(LEFT(GB$7,6),Inflation_Year,Inflation_NominaltoReal),TRUE,_xlfn.XLOOKUP($FY204,Inflation_Year,NominaltoReal)))</f>
        <v>0.96152830081941731</v>
      </c>
      <c r="GC204" s="146" cm="1">
        <f t="array" ref="GC204">IF($FY204=0,0,_xlfn.IFS($FY204='Key assumptions'!$C$120,_xlfn.XLOOKUP(LEFT(GC$7,6),Inflation_Year,Inflation_NominaltoReal),TRUE,_xlfn.XLOOKUP($FY204,Inflation_Year,NominaltoReal)))</f>
        <v>0.93670632415656829</v>
      </c>
      <c r="GD204" s="146" cm="1">
        <f t="array" ref="GD204">IF($FY204=0,0,_xlfn.IFS($FY204='Key assumptions'!$C$120,_xlfn.XLOOKUP(LEFT(GD$7,6),Inflation_Year,Inflation_NominaltoReal),TRUE,_xlfn.XLOOKUP($FY204,Inflation_Year,NominaltoReal)))</f>
        <v>0.91252513001143176</v>
      </c>
      <c r="GE204" s="146" cm="1">
        <f t="array" ref="GE204">IF($FY204=0,0,_xlfn.IFS($FY204='Key assumptions'!$C$120,_xlfn.XLOOKUP(LEFT(GE$7,6),Inflation_Year,Inflation_NominaltoReal),TRUE,_xlfn.XLOOKUP($FY204,Inflation_Year,NominaltoReal)))</f>
        <v>0.88896817650095872</v>
      </c>
      <c r="GF204" s="146" cm="1">
        <f t="array" ref="GF204">IF($FY204=0,0,_xlfn.IFS($FY204='Key assumptions'!$C$120,_xlfn.XLOOKUP(LEFT(GF$7,6),Inflation_Year,Inflation_NominaltoReal),TRUE,_xlfn.XLOOKUP($FY204,Inflation_Year,NominaltoReal)))</f>
        <v>0.86601934877293718</v>
      </c>
      <c r="GG204" s="143"/>
      <c r="GH204" s="145" cm="1">
        <f t="array" ref="GH204">SUMPRODUCT(--($CR$7:$FW$7&gt;=GH$5),--($CR$7:$FW$7&lt;=GH$6),$CR204:$FW204)*FZ204</f>
        <v>44976.599441708422</v>
      </c>
      <c r="GI204" s="145" cm="1">
        <f t="array" ref="GI204">SUMPRODUCT(--($CR$7:$FW$7&gt;=GI$5),--($CR$7:$FW$7&lt;=GI$6),$CR204:$FW204)*GA204</f>
        <v>105576.59418560544</v>
      </c>
      <c r="GJ204" s="145" cm="1">
        <f t="array" ref="GJ204">SUMPRODUCT(--($CR$7:$FW$7&gt;=GJ$5),--($CR$7:$FW$7&lt;=GJ$6),$CR204:$FW204)*GB204</f>
        <v>108240.54080950453</v>
      </c>
      <c r="GK204" s="145" cm="1">
        <f t="array" ref="GK204">SUMPRODUCT(--($CR$7:$FW$7&gt;=GK$5),--($CR$7:$FW$7&lt;=GK$6),$CR204:$FW204)*GC204</f>
        <v>8515.6496484615145</v>
      </c>
      <c r="GL204" s="145" cm="1">
        <f t="array" ref="GL204">SUMPRODUCT(--($CR$7:$FW$7&gt;=GL$5),--($CR$7:$FW$7&lt;=GL$6),$CR204:$FW204)*GD204</f>
        <v>0</v>
      </c>
      <c r="GM204" s="145" cm="1">
        <f t="array" ref="GM204">SUMPRODUCT(--($CR$7:$FW$7&gt;=GM$5),--($CR$7:$FW$7&lt;=GM$6),$CR204:$FW204)*GE204</f>
        <v>0</v>
      </c>
      <c r="GN204" s="145" cm="1">
        <f t="array" ref="GN204">SUMPRODUCT(--($CR$7:$FW$7&gt;=GN$5),--($CR$7:$FW$7&lt;=GN$6),$CR204:$FW204)*GF204</f>
        <v>0</v>
      </c>
      <c r="GO204" s="145">
        <f t="shared" si="69"/>
        <v>267309.38408527989</v>
      </c>
      <c r="GP204" s="87"/>
      <c r="GR204" s="145" cm="1">
        <f t="array" ref="GR204">SUMPRODUCT(--($CR$7:$FW$7&gt;=GR$5),--($CR$7:$FW$7&lt;=GR$6),$CR204:$FW204)</f>
        <v>16886.813999999998</v>
      </c>
      <c r="GT204" s="214" cm="1">
        <f t="array" ref="GT204">--AND(MIN(IF($K204:$CP204&lt;&gt;0,$K$7:$CP$7))&gt;=GT$5,MIN(IF($K204:$CP204&lt;&gt;0,$K$7:$CP$7))&lt;=GT$6)</f>
        <v>1</v>
      </c>
      <c r="GU204" s="214" cm="1">
        <f t="array" ref="GU204">--AND(MIN(IF($K204:$CP204&lt;&gt;0,$K$7:$CP$7))&gt;=GU$5,MIN(IF($K204:$CP204&lt;&gt;0,$K$7:$CP$7))&lt;=GU$6)</f>
        <v>0</v>
      </c>
      <c r="GV204" s="214" cm="1">
        <f t="array" ref="GV204">--AND(MIN(IF($K204:$CP204&lt;&gt;0,$K$7:$CP$7))&gt;=GV$5,MIN(IF($K204:$CP204&lt;&gt;0,$K$7:$CP$7))&lt;=GV$6)</f>
        <v>0</v>
      </c>
      <c r="GW204" s="214" cm="1">
        <f t="array" ref="GW204">--AND(MIN(IF($K204:$CP204&lt;&gt;0,$K$7:$CP$7))&gt;=GW$5,MIN(IF($K204:$CP204&lt;&gt;0,$K$7:$CP$7))&lt;=GW$6)</f>
        <v>0</v>
      </c>
      <c r="GX204" s="214" cm="1">
        <f t="array" ref="GX204">--AND(MIN(IF($K204:$CP204&lt;&gt;0,$K$7:$CP$7))&gt;=GX$5,MIN(IF($K204:$CP204&lt;&gt;0,$K$7:$CP$7))&lt;=GX$6)</f>
        <v>0</v>
      </c>
      <c r="GY204" s="214" cm="1">
        <f t="array" ref="GY204">--AND(MIN(IF($K204:$CP204&lt;&gt;0,$K$7:$CP$7))&gt;=GY$5,MIN(IF($K204:$CP204&lt;&gt;0,$K$7:$CP$7))&lt;=GY$6)</f>
        <v>0</v>
      </c>
      <c r="GZ204" s="214" cm="1">
        <f t="array" ref="GZ204">--AND(MIN(IF($K204:$CP204&lt;&gt;0,$K$7:$CP$7))&gt;=GZ$5,MIN(IF($K204:$CP204&lt;&gt;0,$K$7:$CP$7))&lt;=GZ$6)</f>
        <v>0</v>
      </c>
      <c r="HA204" s="214">
        <f t="shared" si="70"/>
        <v>1</v>
      </c>
      <c r="HC204" s="214" cm="1">
        <f t="array" ref="HC204">--AND(MIN(IF($K204:$CP204&lt;&gt;0,$K$7:$CP$7))&gt;=HC$5,MIN(IF($K204:$CP204&lt;&gt;0,$K$7:$CP$7))&lt;=HC$6)</f>
        <v>1</v>
      </c>
      <c r="HE204" s="147" t="str">
        <f t="shared" si="89"/>
        <v>No</v>
      </c>
      <c r="HF204" s="147" t="str">
        <f t="shared" si="90"/>
        <v>Yes</v>
      </c>
      <c r="HG204" s="147">
        <f>IF($HF204="Yes",0,$H204*avg_hrs*12*'Key assumptions'!$D$87)</f>
        <v>0</v>
      </c>
      <c r="HH204" s="147">
        <f>IF(HE204="Yes",'Key assumptions'!$D$84*HG204,0)</f>
        <v>0</v>
      </c>
      <c r="HI204" s="144">
        <f>IFERROR(AVERAGEIFS($K204:$CP204,$K$7:$CP$7,"&gt;="&amp;'Key assumptions'!$D$24,$K$7:$CP$7,"&lt;="&amp;'Key assumptions'!$D$25),0)</f>
        <v>0.10750000000000001</v>
      </c>
      <c r="HJ204" s="148">
        <f t="shared" ref="HJ204:HJ267" si="91">HH204*HI204</f>
        <v>0</v>
      </c>
      <c r="HK204" s="148">
        <f t="shared" si="72"/>
        <v>0</v>
      </c>
      <c r="HL204" s="148">
        <f t="shared" si="73"/>
        <v>0</v>
      </c>
      <c r="HM204" s="148">
        <f t="shared" si="74"/>
        <v>0</v>
      </c>
      <c r="HN204" s="148">
        <f t="shared" si="75"/>
        <v>0</v>
      </c>
      <c r="HO204" s="148">
        <f t="shared" si="76"/>
        <v>0</v>
      </c>
      <c r="HP204" s="148">
        <f t="shared" si="77"/>
        <v>0</v>
      </c>
      <c r="HQ204" s="148">
        <f t="shared" si="78"/>
        <v>0</v>
      </c>
      <c r="HR204" s="147">
        <f t="shared" si="79"/>
        <v>0</v>
      </c>
      <c r="HU204" s="147">
        <f>$HJ204*HC204/(1+'Key assumptions'!G226)^0.75</f>
        <v>0</v>
      </c>
      <c r="HW204" s="216">
        <f t="shared" si="80"/>
        <v>0.10750000000000001</v>
      </c>
      <c r="HX204" s="216">
        <f t="shared" si="81"/>
        <v>0</v>
      </c>
      <c r="HY204" s="216">
        <f t="shared" si="82"/>
        <v>0</v>
      </c>
      <c r="HZ204" s="216">
        <f t="shared" si="83"/>
        <v>0</v>
      </c>
      <c r="IA204" s="216">
        <f t="shared" si="84"/>
        <v>0</v>
      </c>
      <c r="IB204" s="216">
        <f t="shared" si="85"/>
        <v>0</v>
      </c>
      <c r="IC204" s="216">
        <f t="shared" si="86"/>
        <v>0</v>
      </c>
      <c r="ID204" s="216">
        <f t="shared" si="87"/>
        <v>0.10750000000000001</v>
      </c>
      <c r="IF204" s="216">
        <f t="shared" si="88"/>
        <v>0.10750000000000001</v>
      </c>
    </row>
    <row r="205" spans="2:240" x14ac:dyDescent="0.2">
      <c r="B205" s="141" t="str">
        <v>Project Delivery Management - Commissioning</v>
      </c>
      <c r="C205" s="141" t="str">
        <v>Commissioning Engineer (Construction)</v>
      </c>
      <c r="D205" s="141" t="str">
        <v>Internal Labour</v>
      </c>
      <c r="E205" s="141" t="str">
        <v>$ Nominal</v>
      </c>
      <c r="F205" s="141" t="str">
        <v>Existing</v>
      </c>
      <c r="G205" s="141" t="str">
        <v>Normal time</v>
      </c>
      <c r="H205" s="142">
        <v>210.04</v>
      </c>
      <c r="I205" s="126">
        <v>87563.279999999984</v>
      </c>
      <c r="J205" s="143">
        <v>0</v>
      </c>
      <c r="K205" s="144">
        <v>0</v>
      </c>
      <c r="L205" s="144">
        <v>0</v>
      </c>
      <c r="M205" s="144">
        <v>0</v>
      </c>
      <c r="N205" s="144">
        <v>0</v>
      </c>
      <c r="O205" s="144">
        <v>0</v>
      </c>
      <c r="P205" s="144">
        <v>0</v>
      </c>
      <c r="Q205" s="144">
        <v>0</v>
      </c>
      <c r="R205" s="144">
        <v>0</v>
      </c>
      <c r="S205" s="144">
        <v>0</v>
      </c>
      <c r="T205" s="144">
        <v>0</v>
      </c>
      <c r="U205" s="144">
        <v>0</v>
      </c>
      <c r="V205" s="144">
        <v>0</v>
      </c>
      <c r="W205" s="144">
        <v>0</v>
      </c>
      <c r="X205" s="144">
        <v>0</v>
      </c>
      <c r="Y205" s="144">
        <v>0</v>
      </c>
      <c r="Z205" s="144">
        <v>0</v>
      </c>
      <c r="AA205" s="144">
        <v>0</v>
      </c>
      <c r="AB205" s="144">
        <v>0</v>
      </c>
      <c r="AC205" s="144">
        <v>0</v>
      </c>
      <c r="AD205" s="144">
        <v>0</v>
      </c>
      <c r="AE205" s="144">
        <v>0</v>
      </c>
      <c r="AF205" s="144">
        <v>0.5</v>
      </c>
      <c r="AG205" s="144">
        <v>0.25</v>
      </c>
      <c r="AH205" s="144">
        <v>0</v>
      </c>
      <c r="AI205" s="144">
        <v>0</v>
      </c>
      <c r="AJ205" s="144">
        <v>0</v>
      </c>
      <c r="AK205" s="144">
        <v>0</v>
      </c>
      <c r="AL205" s="144">
        <v>0</v>
      </c>
      <c r="AM205" s="144">
        <v>0</v>
      </c>
      <c r="AN205" s="144">
        <v>0</v>
      </c>
      <c r="AO205" s="144">
        <v>0</v>
      </c>
      <c r="AP205" s="144">
        <v>0</v>
      </c>
      <c r="AQ205" s="144">
        <v>0</v>
      </c>
      <c r="AR205" s="144">
        <v>0</v>
      </c>
      <c r="AS205" s="144">
        <v>0</v>
      </c>
      <c r="AT205" s="144">
        <v>0</v>
      </c>
      <c r="AU205" s="144">
        <v>0</v>
      </c>
      <c r="AV205" s="144">
        <v>0</v>
      </c>
      <c r="AW205" s="144">
        <v>0</v>
      </c>
      <c r="AX205" s="144">
        <v>1.4666666666666666</v>
      </c>
      <c r="AY205" s="144">
        <v>0</v>
      </c>
      <c r="AZ205" s="144">
        <v>0</v>
      </c>
      <c r="BA205" s="144">
        <v>0.5</v>
      </c>
      <c r="BB205" s="144">
        <v>0.5</v>
      </c>
      <c r="BC205" s="144">
        <v>0</v>
      </c>
      <c r="BD205" s="144">
        <v>0</v>
      </c>
      <c r="BE205" s="144">
        <v>0</v>
      </c>
      <c r="BF205" s="144">
        <v>0</v>
      </c>
      <c r="BG205" s="144">
        <v>0</v>
      </c>
      <c r="BH205" s="144">
        <v>0</v>
      </c>
      <c r="BI205" s="144">
        <v>0</v>
      </c>
      <c r="BJ205" s="144">
        <v>0</v>
      </c>
      <c r="BK205" s="144">
        <v>0</v>
      </c>
      <c r="BL205" s="144">
        <v>0</v>
      </c>
      <c r="BM205" s="144">
        <v>0</v>
      </c>
      <c r="BN205" s="144">
        <v>0</v>
      </c>
      <c r="BO205" s="144">
        <v>0</v>
      </c>
      <c r="BP205" s="144">
        <v>0</v>
      </c>
      <c r="BQ205" s="144">
        <v>0</v>
      </c>
      <c r="BR205" s="144">
        <v>0</v>
      </c>
      <c r="BS205" s="144">
        <v>0</v>
      </c>
      <c r="BT205" s="144">
        <v>0</v>
      </c>
      <c r="BU205" s="144">
        <v>0</v>
      </c>
      <c r="BV205" s="144">
        <v>0</v>
      </c>
      <c r="BW205" s="144">
        <v>0</v>
      </c>
      <c r="BX205" s="144">
        <v>0</v>
      </c>
      <c r="BY205" s="144">
        <v>0</v>
      </c>
      <c r="BZ205" s="144">
        <v>0</v>
      </c>
      <c r="CA205" s="144">
        <v>0</v>
      </c>
      <c r="CB205" s="144">
        <v>0</v>
      </c>
      <c r="CC205" s="144">
        <v>0</v>
      </c>
      <c r="CD205" s="144">
        <v>0</v>
      </c>
      <c r="CE205" s="144">
        <v>0</v>
      </c>
      <c r="CF205" s="144">
        <v>0</v>
      </c>
      <c r="CG205" s="144">
        <v>0</v>
      </c>
      <c r="CH205" s="144">
        <v>0</v>
      </c>
      <c r="CI205" s="144">
        <v>0</v>
      </c>
      <c r="CJ205" s="144">
        <v>0</v>
      </c>
      <c r="CK205" s="144">
        <v>0</v>
      </c>
      <c r="CL205" s="144">
        <v>0</v>
      </c>
      <c r="CM205" s="144">
        <v>0</v>
      </c>
      <c r="CN205" s="144">
        <v>0</v>
      </c>
      <c r="CO205" s="144">
        <v>0</v>
      </c>
      <c r="CP205" s="144">
        <v>0</v>
      </c>
      <c r="CQ205" s="143">
        <v>0</v>
      </c>
      <c r="CR205" s="145">
        <v>0</v>
      </c>
      <c r="CS205" s="145">
        <v>0</v>
      </c>
      <c r="CT205" s="145">
        <v>0</v>
      </c>
      <c r="CU205" s="145">
        <v>0</v>
      </c>
      <c r="CV205" s="145">
        <v>0</v>
      </c>
      <c r="CW205" s="145">
        <v>0</v>
      </c>
      <c r="CX205" s="145">
        <v>0</v>
      </c>
      <c r="CY205" s="145">
        <v>0</v>
      </c>
      <c r="CZ205" s="145">
        <v>0</v>
      </c>
      <c r="DA205" s="145">
        <v>0</v>
      </c>
      <c r="DB205" s="145">
        <v>0</v>
      </c>
      <c r="DC205" s="145">
        <v>0</v>
      </c>
      <c r="DD205" s="145">
        <v>0</v>
      </c>
      <c r="DE205" s="145">
        <v>0</v>
      </c>
      <c r="DF205" s="145">
        <v>0</v>
      </c>
      <c r="DG205" s="145">
        <v>0</v>
      </c>
      <c r="DH205" s="145">
        <v>0</v>
      </c>
      <c r="DI205" s="145">
        <v>0</v>
      </c>
      <c r="DJ205" s="145">
        <v>0</v>
      </c>
      <c r="DK205" s="145">
        <v>0</v>
      </c>
      <c r="DL205" s="145">
        <v>0</v>
      </c>
      <c r="DM205" s="145">
        <v>14702.8</v>
      </c>
      <c r="DN205" s="145">
        <v>7351.4</v>
      </c>
      <c r="DO205" s="145">
        <v>0</v>
      </c>
      <c r="DP205" s="145">
        <v>0</v>
      </c>
      <c r="DQ205" s="145">
        <v>0</v>
      </c>
      <c r="DR205" s="145">
        <v>0</v>
      </c>
      <c r="DS205" s="145">
        <v>0</v>
      </c>
      <c r="DT205" s="145">
        <v>0</v>
      </c>
      <c r="DU205" s="145">
        <v>0</v>
      </c>
      <c r="DV205" s="145">
        <v>0</v>
      </c>
      <c r="DW205" s="145">
        <v>0</v>
      </c>
      <c r="DX205" s="145">
        <v>0</v>
      </c>
      <c r="DY205" s="145">
        <v>0</v>
      </c>
      <c r="DZ205" s="145">
        <v>0</v>
      </c>
      <c r="EA205" s="145">
        <v>0</v>
      </c>
      <c r="EB205" s="145">
        <v>0</v>
      </c>
      <c r="EC205" s="145">
        <v>0</v>
      </c>
      <c r="ED205" s="145">
        <v>0</v>
      </c>
      <c r="EE205" s="145">
        <v>34314.28</v>
      </c>
      <c r="EF205" s="145">
        <v>0</v>
      </c>
      <c r="EG205" s="145">
        <v>0</v>
      </c>
      <c r="EH205" s="145">
        <v>15597.4</v>
      </c>
      <c r="EI205" s="145">
        <v>15597.4</v>
      </c>
      <c r="EJ205" s="145">
        <v>0</v>
      </c>
      <c r="EK205" s="145">
        <v>0</v>
      </c>
      <c r="EL205" s="145">
        <v>0</v>
      </c>
      <c r="EM205" s="145">
        <v>0</v>
      </c>
      <c r="EN205" s="145">
        <v>0</v>
      </c>
      <c r="EO205" s="145">
        <v>0</v>
      </c>
      <c r="EP205" s="145">
        <v>0</v>
      </c>
      <c r="EQ205" s="145">
        <v>0</v>
      </c>
      <c r="ER205" s="145">
        <v>0</v>
      </c>
      <c r="ES205" s="145">
        <v>0</v>
      </c>
      <c r="ET205" s="145">
        <v>0</v>
      </c>
      <c r="EU205" s="145">
        <v>0</v>
      </c>
      <c r="EV205" s="145">
        <v>0</v>
      </c>
      <c r="EW205" s="145">
        <v>0</v>
      </c>
      <c r="EX205" s="145">
        <v>0</v>
      </c>
      <c r="EY205" s="145">
        <v>0</v>
      </c>
      <c r="EZ205" s="145">
        <v>0</v>
      </c>
      <c r="FA205" s="145">
        <v>0</v>
      </c>
      <c r="FB205" s="145">
        <v>0</v>
      </c>
      <c r="FC205" s="145">
        <v>0</v>
      </c>
      <c r="FD205" s="145">
        <v>0</v>
      </c>
      <c r="FE205" s="145">
        <v>0</v>
      </c>
      <c r="FF205" s="145">
        <v>0</v>
      </c>
      <c r="FG205" s="145">
        <v>0</v>
      </c>
      <c r="FH205" s="145">
        <v>0</v>
      </c>
      <c r="FI205" s="145">
        <v>0</v>
      </c>
      <c r="FJ205" s="145">
        <v>0</v>
      </c>
      <c r="FK205" s="145">
        <v>0</v>
      </c>
      <c r="FL205" s="145">
        <v>0</v>
      </c>
      <c r="FM205" s="145">
        <v>0</v>
      </c>
      <c r="FN205" s="145">
        <v>0</v>
      </c>
      <c r="FO205" s="145">
        <v>0</v>
      </c>
      <c r="FP205" s="145">
        <v>0</v>
      </c>
      <c r="FQ205" s="145">
        <v>0</v>
      </c>
      <c r="FR205" s="145">
        <v>0</v>
      </c>
      <c r="FS205" s="145">
        <v>0</v>
      </c>
      <c r="FT205" s="145">
        <v>0</v>
      </c>
      <c r="FU205" s="145">
        <v>0</v>
      </c>
      <c r="FV205" s="145">
        <v>0</v>
      </c>
      <c r="FW205" s="145">
        <v>0</v>
      </c>
      <c r="FX205" s="143"/>
      <c r="FY205" s="146" t="str">
        <f>_xlfn.XLOOKUP($E205,'Key assumptions'!$B$112:$B$120,'Key assumptions'!$C$112:$C$120,0)</f>
        <v>Nominal</v>
      </c>
      <c r="FZ205" s="146" cm="1">
        <f t="array" ref="FZ205">IF($FY205=0,0,_xlfn.IFS($FY205='Key assumptions'!$C$120,_xlfn.XLOOKUP(LEFT(FZ$7,6),Inflation_Year,Inflation_NominaltoReal),TRUE,_xlfn.XLOOKUP($FY205,Inflation_Year,NominaltoReal)))</f>
        <v>1.0197075870962191</v>
      </c>
      <c r="GA205" s="146" cm="1">
        <f t="array" ref="GA205">IF($FY205=0,0,_xlfn.IFS($FY205='Key assumptions'!$C$120,_xlfn.XLOOKUP(LEFT(GA$7,6),Inflation_Year,Inflation_NominaltoReal),TRUE,_xlfn.XLOOKUP($FY205,Inflation_Year,NominaltoReal)))</f>
        <v>0.98700804022984445</v>
      </c>
      <c r="GB205" s="146" cm="1">
        <f t="array" ref="GB205">IF($FY205=0,0,_xlfn.IFS($FY205='Key assumptions'!$C$120,_xlfn.XLOOKUP(LEFT(GB$7,6),Inflation_Year,Inflation_NominaltoReal),TRUE,_xlfn.XLOOKUP($FY205,Inflation_Year,NominaltoReal)))</f>
        <v>0.96152830081941731</v>
      </c>
      <c r="GC205" s="146" cm="1">
        <f t="array" ref="GC205">IF($FY205=0,0,_xlfn.IFS($FY205='Key assumptions'!$C$120,_xlfn.XLOOKUP(LEFT(GC$7,6),Inflation_Year,Inflation_NominaltoReal),TRUE,_xlfn.XLOOKUP($FY205,Inflation_Year,NominaltoReal)))</f>
        <v>0.93670632415656829</v>
      </c>
      <c r="GD205" s="146" cm="1">
        <f t="array" ref="GD205">IF($FY205=0,0,_xlfn.IFS($FY205='Key assumptions'!$C$120,_xlfn.XLOOKUP(LEFT(GD$7,6),Inflation_Year,Inflation_NominaltoReal),TRUE,_xlfn.XLOOKUP($FY205,Inflation_Year,NominaltoReal)))</f>
        <v>0.91252513001143176</v>
      </c>
      <c r="GE205" s="146" cm="1">
        <f t="array" ref="GE205">IF($FY205=0,0,_xlfn.IFS($FY205='Key assumptions'!$C$120,_xlfn.XLOOKUP(LEFT(GE$7,6),Inflation_Year,Inflation_NominaltoReal),TRUE,_xlfn.XLOOKUP($FY205,Inflation_Year,NominaltoReal)))</f>
        <v>0.88896817650095872</v>
      </c>
      <c r="GF205" s="146" cm="1">
        <f t="array" ref="GF205">IF($FY205=0,0,_xlfn.IFS($FY205='Key assumptions'!$C$120,_xlfn.XLOOKUP(LEFT(GF$7,6),Inflation_Year,Inflation_NominaltoReal),TRUE,_xlfn.XLOOKUP($FY205,Inflation_Year,NominaltoReal)))</f>
        <v>0.86601934877293718</v>
      </c>
      <c r="GG205" s="143"/>
      <c r="GH205" s="145" cm="1">
        <f t="array" ref="GH205">SUMPRODUCT(--($CR$7:$FW$7&gt;=GH$5),--($CR$7:$FW$7&lt;=GH$6),$CR205:$FW205)*FZ205</f>
        <v>0</v>
      </c>
      <c r="GI205" s="145" cm="1">
        <f t="array" ref="GI205">SUMPRODUCT(--($CR$7:$FW$7&gt;=GI$5),--($CR$7:$FW$7&lt;=GI$6),$CR205:$FW205)*GA205</f>
        <v>21767.672720837032</v>
      </c>
      <c r="GJ205" s="145" cm="1">
        <f t="array" ref="GJ205">SUMPRODUCT(--($CR$7:$FW$7&gt;=GJ$5),--($CR$7:$FW$7&lt;=GJ$6),$CR205:$FW205)*GB205</f>
        <v>62988.834380643275</v>
      </c>
      <c r="GK205" s="145" cm="1">
        <f t="array" ref="GK205">SUMPRODUCT(--($CR$7:$FW$7&gt;=GK$5),--($CR$7:$FW$7&lt;=GK$6),$CR205:$FW205)*GC205</f>
        <v>0</v>
      </c>
      <c r="GL205" s="145" cm="1">
        <f t="array" ref="GL205">SUMPRODUCT(--($CR$7:$FW$7&gt;=GL$5),--($CR$7:$FW$7&lt;=GL$6),$CR205:$FW205)*GD205</f>
        <v>0</v>
      </c>
      <c r="GM205" s="145" cm="1">
        <f t="array" ref="GM205">SUMPRODUCT(--($CR$7:$FW$7&gt;=GM$5),--($CR$7:$FW$7&lt;=GM$6),$CR205:$FW205)*GE205</f>
        <v>0</v>
      </c>
      <c r="GN205" s="145" cm="1">
        <f t="array" ref="GN205">SUMPRODUCT(--($CR$7:$FW$7&gt;=GN$5),--($CR$7:$FW$7&lt;=GN$6),$CR205:$FW205)*GF205</f>
        <v>0</v>
      </c>
      <c r="GO205" s="145">
        <f t="shared" si="69"/>
        <v>84756.507101480311</v>
      </c>
      <c r="GP205" s="87"/>
      <c r="GR205" s="145" cm="1">
        <f t="array" ref="GR205">SUMPRODUCT(--($CR$7:$FW$7&gt;=GR$5),--($CR$7:$FW$7&lt;=GR$6),$CR205:$FW205)</f>
        <v>0</v>
      </c>
      <c r="GT205" s="214" cm="1">
        <f t="array" ref="GT205">--AND(MIN(IF($K205:$CP205&lt;&gt;0,$K$7:$CP$7))&gt;=GT$5,MIN(IF($K205:$CP205&lt;&gt;0,$K$7:$CP$7))&lt;=GT$6)</f>
        <v>0</v>
      </c>
      <c r="GU205" s="214" cm="1">
        <f t="array" ref="GU205">--AND(MIN(IF($K205:$CP205&lt;&gt;0,$K$7:$CP$7))&gt;=GU$5,MIN(IF($K205:$CP205&lt;&gt;0,$K$7:$CP$7))&lt;=GU$6)</f>
        <v>1</v>
      </c>
      <c r="GV205" s="214" cm="1">
        <f t="array" ref="GV205">--AND(MIN(IF($K205:$CP205&lt;&gt;0,$K$7:$CP$7))&gt;=GV$5,MIN(IF($K205:$CP205&lt;&gt;0,$K$7:$CP$7))&lt;=GV$6)</f>
        <v>0</v>
      </c>
      <c r="GW205" s="214" cm="1">
        <f t="array" ref="GW205">--AND(MIN(IF($K205:$CP205&lt;&gt;0,$K$7:$CP$7))&gt;=GW$5,MIN(IF($K205:$CP205&lt;&gt;0,$K$7:$CP$7))&lt;=GW$6)</f>
        <v>0</v>
      </c>
      <c r="GX205" s="214" cm="1">
        <f t="array" ref="GX205">--AND(MIN(IF($K205:$CP205&lt;&gt;0,$K$7:$CP$7))&gt;=GX$5,MIN(IF($K205:$CP205&lt;&gt;0,$K$7:$CP$7))&lt;=GX$6)</f>
        <v>0</v>
      </c>
      <c r="GY205" s="214" cm="1">
        <f t="array" ref="GY205">--AND(MIN(IF($K205:$CP205&lt;&gt;0,$K$7:$CP$7))&gt;=GY$5,MIN(IF($K205:$CP205&lt;&gt;0,$K$7:$CP$7))&lt;=GY$6)</f>
        <v>0</v>
      </c>
      <c r="GZ205" s="214" cm="1">
        <f t="array" ref="GZ205">--AND(MIN(IF($K205:$CP205&lt;&gt;0,$K$7:$CP$7))&gt;=GZ$5,MIN(IF($K205:$CP205&lt;&gt;0,$K$7:$CP$7))&lt;=GZ$6)</f>
        <v>0</v>
      </c>
      <c r="HA205" s="214">
        <f t="shared" si="70"/>
        <v>1</v>
      </c>
      <c r="HC205" s="214" cm="1">
        <f t="array" ref="HC205">--AND(MIN(IF($K205:$CP205&lt;&gt;0,$K$7:$CP$7))&gt;=HC$5,MIN(IF($K205:$CP205&lt;&gt;0,$K$7:$CP$7))&lt;=HC$6)</f>
        <v>0</v>
      </c>
      <c r="HE205" s="147" t="str">
        <f t="shared" si="89"/>
        <v>No</v>
      </c>
      <c r="HF205" s="147" t="str">
        <f t="shared" si="90"/>
        <v>No</v>
      </c>
      <c r="HG205" s="147">
        <f>IF($HF205="Yes",0,$H205*avg_hrs*12*'Key assumptions'!$D$87)</f>
        <v>375608.02275576669</v>
      </c>
      <c r="HH205" s="147">
        <f>IF(HE205="Yes",'Key assumptions'!$D$84*HG205,0)</f>
        <v>0</v>
      </c>
      <c r="HI205" s="144">
        <f>IFERROR(AVERAGEIFS($K205:$CP205,$K$7:$CP$7,"&gt;="&amp;'Key assumptions'!$D$24,$K$7:$CP$7,"&lt;="&amp;'Key assumptions'!$D$25),0)</f>
        <v>7.3106060606060605E-2</v>
      </c>
      <c r="HJ205" s="148">
        <f t="shared" si="91"/>
        <v>0</v>
      </c>
      <c r="HK205" s="148">
        <f t="shared" si="72"/>
        <v>0</v>
      </c>
      <c r="HL205" s="148">
        <f t="shared" si="73"/>
        <v>0</v>
      </c>
      <c r="HM205" s="148">
        <f t="shared" si="74"/>
        <v>0</v>
      </c>
      <c r="HN205" s="148">
        <f t="shared" si="75"/>
        <v>0</v>
      </c>
      <c r="HO205" s="148">
        <f t="shared" si="76"/>
        <v>0</v>
      </c>
      <c r="HP205" s="148">
        <f t="shared" si="77"/>
        <v>0</v>
      </c>
      <c r="HQ205" s="148">
        <f t="shared" si="78"/>
        <v>0</v>
      </c>
      <c r="HR205" s="147">
        <f t="shared" si="79"/>
        <v>0</v>
      </c>
      <c r="HU205" s="147">
        <f>$HJ205*HC205/(1+'Key assumptions'!G227)^0.75</f>
        <v>0</v>
      </c>
      <c r="HW205" s="216">
        <f t="shared" si="80"/>
        <v>0</v>
      </c>
      <c r="HX205" s="216">
        <f t="shared" si="81"/>
        <v>7.3106060606060605E-2</v>
      </c>
      <c r="HY205" s="216">
        <f t="shared" si="82"/>
        <v>0</v>
      </c>
      <c r="HZ205" s="216">
        <f t="shared" si="83"/>
        <v>0</v>
      </c>
      <c r="IA205" s="216">
        <f t="shared" si="84"/>
        <v>0</v>
      </c>
      <c r="IB205" s="216">
        <f t="shared" si="85"/>
        <v>0</v>
      </c>
      <c r="IC205" s="216">
        <f t="shared" si="86"/>
        <v>0</v>
      </c>
      <c r="ID205" s="216">
        <f t="shared" si="87"/>
        <v>7.3106060606060605E-2</v>
      </c>
      <c r="IF205" s="216">
        <f t="shared" si="88"/>
        <v>0</v>
      </c>
    </row>
    <row r="206" spans="2:240" x14ac:dyDescent="0.2">
      <c r="B206" s="141" t="str">
        <v>Project Delivery Management - Commissioning</v>
      </c>
      <c r="C206" s="141" t="str">
        <v>Commissioning Engineer (Construction)</v>
      </c>
      <c r="D206" s="141" t="str">
        <v>Internal Labour</v>
      </c>
      <c r="E206" s="141" t="str">
        <v>$ Nominal</v>
      </c>
      <c r="F206" s="141">
        <v>0</v>
      </c>
      <c r="G206" s="141" t="str">
        <v>Overtime</v>
      </c>
      <c r="H206" s="142">
        <v>210.04</v>
      </c>
      <c r="I206" s="126">
        <v>65823.199999999997</v>
      </c>
      <c r="J206" s="143">
        <v>0</v>
      </c>
      <c r="K206" s="144">
        <v>0</v>
      </c>
      <c r="L206" s="144">
        <v>0</v>
      </c>
      <c r="M206" s="144">
        <v>0</v>
      </c>
      <c r="N206" s="144">
        <v>0</v>
      </c>
      <c r="O206" s="144">
        <v>0</v>
      </c>
      <c r="P206" s="144">
        <v>0</v>
      </c>
      <c r="Q206" s="144">
        <v>0</v>
      </c>
      <c r="R206" s="144">
        <v>0</v>
      </c>
      <c r="S206" s="144">
        <v>0</v>
      </c>
      <c r="T206" s="144">
        <v>0</v>
      </c>
      <c r="U206" s="144">
        <v>0</v>
      </c>
      <c r="V206" s="144">
        <v>0</v>
      </c>
      <c r="W206" s="144">
        <v>0</v>
      </c>
      <c r="X206" s="144">
        <v>0</v>
      </c>
      <c r="Y206" s="144">
        <v>0</v>
      </c>
      <c r="Z206" s="144">
        <v>0</v>
      </c>
      <c r="AA206" s="144">
        <v>0</v>
      </c>
      <c r="AB206" s="144">
        <v>0</v>
      </c>
      <c r="AC206" s="144">
        <v>0</v>
      </c>
      <c r="AD206" s="144">
        <v>0</v>
      </c>
      <c r="AE206" s="144">
        <v>0</v>
      </c>
      <c r="AF206" s="144">
        <v>0.21428571428571427</v>
      </c>
      <c r="AG206" s="144">
        <v>7.1428571428571425E-2</v>
      </c>
      <c r="AH206" s="144">
        <v>0</v>
      </c>
      <c r="AI206" s="144">
        <v>0</v>
      </c>
      <c r="AJ206" s="144">
        <v>0</v>
      </c>
      <c r="AK206" s="144">
        <v>0</v>
      </c>
      <c r="AL206" s="144">
        <v>0</v>
      </c>
      <c r="AM206" s="144">
        <v>0</v>
      </c>
      <c r="AN206" s="144">
        <v>0</v>
      </c>
      <c r="AO206" s="144">
        <v>0</v>
      </c>
      <c r="AP206" s="144">
        <v>0</v>
      </c>
      <c r="AQ206" s="144">
        <v>0</v>
      </c>
      <c r="AR206" s="144">
        <v>0</v>
      </c>
      <c r="AS206" s="144">
        <v>0</v>
      </c>
      <c r="AT206" s="144">
        <v>0</v>
      </c>
      <c r="AU206" s="144">
        <v>0</v>
      </c>
      <c r="AV206" s="144">
        <v>0</v>
      </c>
      <c r="AW206" s="144">
        <v>0</v>
      </c>
      <c r="AX206" s="144">
        <v>0.47619047619047616</v>
      </c>
      <c r="AY206" s="144">
        <v>0</v>
      </c>
      <c r="AZ206" s="144">
        <v>0</v>
      </c>
      <c r="BA206" s="144">
        <v>0.21428571428571427</v>
      </c>
      <c r="BB206" s="144">
        <v>0.21428571428571427</v>
      </c>
      <c r="BC206" s="144">
        <v>0</v>
      </c>
      <c r="BD206" s="144">
        <v>0</v>
      </c>
      <c r="BE206" s="144">
        <v>0</v>
      </c>
      <c r="BF206" s="144">
        <v>0</v>
      </c>
      <c r="BG206" s="144">
        <v>0</v>
      </c>
      <c r="BH206" s="144">
        <v>0</v>
      </c>
      <c r="BI206" s="144">
        <v>0</v>
      </c>
      <c r="BJ206" s="144">
        <v>0</v>
      </c>
      <c r="BK206" s="144">
        <v>0</v>
      </c>
      <c r="BL206" s="144">
        <v>0</v>
      </c>
      <c r="BM206" s="144">
        <v>0</v>
      </c>
      <c r="BN206" s="144">
        <v>0</v>
      </c>
      <c r="BO206" s="144">
        <v>0</v>
      </c>
      <c r="BP206" s="144">
        <v>0</v>
      </c>
      <c r="BQ206" s="144">
        <v>0</v>
      </c>
      <c r="BR206" s="144">
        <v>0</v>
      </c>
      <c r="BS206" s="144">
        <v>0</v>
      </c>
      <c r="BT206" s="144">
        <v>0</v>
      </c>
      <c r="BU206" s="144">
        <v>0</v>
      </c>
      <c r="BV206" s="144">
        <v>0</v>
      </c>
      <c r="BW206" s="144">
        <v>0</v>
      </c>
      <c r="BX206" s="144">
        <v>0</v>
      </c>
      <c r="BY206" s="144">
        <v>0</v>
      </c>
      <c r="BZ206" s="144">
        <v>0</v>
      </c>
      <c r="CA206" s="144">
        <v>0</v>
      </c>
      <c r="CB206" s="144">
        <v>0</v>
      </c>
      <c r="CC206" s="144">
        <v>0</v>
      </c>
      <c r="CD206" s="144">
        <v>0</v>
      </c>
      <c r="CE206" s="144">
        <v>0</v>
      </c>
      <c r="CF206" s="144">
        <v>0</v>
      </c>
      <c r="CG206" s="144">
        <v>0</v>
      </c>
      <c r="CH206" s="144">
        <v>0</v>
      </c>
      <c r="CI206" s="144">
        <v>0</v>
      </c>
      <c r="CJ206" s="144">
        <v>0</v>
      </c>
      <c r="CK206" s="144">
        <v>0</v>
      </c>
      <c r="CL206" s="144">
        <v>0</v>
      </c>
      <c r="CM206" s="144">
        <v>0</v>
      </c>
      <c r="CN206" s="144">
        <v>0</v>
      </c>
      <c r="CO206" s="144">
        <v>0</v>
      </c>
      <c r="CP206" s="144">
        <v>0</v>
      </c>
      <c r="CQ206" s="143">
        <v>0</v>
      </c>
      <c r="CR206" s="145">
        <v>0</v>
      </c>
      <c r="CS206" s="145">
        <v>0</v>
      </c>
      <c r="CT206" s="145">
        <v>0</v>
      </c>
      <c r="CU206" s="145">
        <v>0</v>
      </c>
      <c r="CV206" s="145">
        <v>0</v>
      </c>
      <c r="CW206" s="145">
        <v>0</v>
      </c>
      <c r="CX206" s="145">
        <v>0</v>
      </c>
      <c r="CY206" s="145">
        <v>0</v>
      </c>
      <c r="CZ206" s="145">
        <v>0</v>
      </c>
      <c r="DA206" s="145">
        <v>0</v>
      </c>
      <c r="DB206" s="145">
        <v>0</v>
      </c>
      <c r="DC206" s="145">
        <v>0</v>
      </c>
      <c r="DD206" s="145">
        <v>0</v>
      </c>
      <c r="DE206" s="145">
        <v>0</v>
      </c>
      <c r="DF206" s="145">
        <v>0</v>
      </c>
      <c r="DG206" s="145">
        <v>0</v>
      </c>
      <c r="DH206" s="145">
        <v>0</v>
      </c>
      <c r="DI206" s="145">
        <v>0</v>
      </c>
      <c r="DJ206" s="145">
        <v>0</v>
      </c>
      <c r="DK206" s="145">
        <v>0</v>
      </c>
      <c r="DL206" s="145">
        <v>0</v>
      </c>
      <c r="DM206" s="145">
        <v>12602.1</v>
      </c>
      <c r="DN206" s="145">
        <v>4200.7</v>
      </c>
      <c r="DO206" s="145">
        <v>0</v>
      </c>
      <c r="DP206" s="145">
        <v>0</v>
      </c>
      <c r="DQ206" s="145">
        <v>0</v>
      </c>
      <c r="DR206" s="145">
        <v>0</v>
      </c>
      <c r="DS206" s="145">
        <v>0</v>
      </c>
      <c r="DT206" s="145">
        <v>0</v>
      </c>
      <c r="DU206" s="145">
        <v>0</v>
      </c>
      <c r="DV206" s="145">
        <v>0</v>
      </c>
      <c r="DW206" s="145">
        <v>0</v>
      </c>
      <c r="DX206" s="145">
        <v>0</v>
      </c>
      <c r="DY206" s="145">
        <v>0</v>
      </c>
      <c r="DZ206" s="145">
        <v>0</v>
      </c>
      <c r="EA206" s="145">
        <v>0</v>
      </c>
      <c r="EB206" s="145">
        <v>0</v>
      </c>
      <c r="EC206" s="145">
        <v>0</v>
      </c>
      <c r="ED206" s="145">
        <v>0</v>
      </c>
      <c r="EE206" s="145">
        <v>22282</v>
      </c>
      <c r="EF206" s="145">
        <v>0</v>
      </c>
      <c r="EG206" s="145">
        <v>0</v>
      </c>
      <c r="EH206" s="145">
        <v>13369.199999999999</v>
      </c>
      <c r="EI206" s="145">
        <v>13369.199999999999</v>
      </c>
      <c r="EJ206" s="145">
        <v>0</v>
      </c>
      <c r="EK206" s="145">
        <v>0</v>
      </c>
      <c r="EL206" s="145">
        <v>0</v>
      </c>
      <c r="EM206" s="145">
        <v>0</v>
      </c>
      <c r="EN206" s="145">
        <v>0</v>
      </c>
      <c r="EO206" s="145">
        <v>0</v>
      </c>
      <c r="EP206" s="145">
        <v>0</v>
      </c>
      <c r="EQ206" s="145">
        <v>0</v>
      </c>
      <c r="ER206" s="145">
        <v>0</v>
      </c>
      <c r="ES206" s="145">
        <v>0</v>
      </c>
      <c r="ET206" s="145">
        <v>0</v>
      </c>
      <c r="EU206" s="145">
        <v>0</v>
      </c>
      <c r="EV206" s="145">
        <v>0</v>
      </c>
      <c r="EW206" s="145">
        <v>0</v>
      </c>
      <c r="EX206" s="145">
        <v>0</v>
      </c>
      <c r="EY206" s="145">
        <v>0</v>
      </c>
      <c r="EZ206" s="145">
        <v>0</v>
      </c>
      <c r="FA206" s="145">
        <v>0</v>
      </c>
      <c r="FB206" s="145">
        <v>0</v>
      </c>
      <c r="FC206" s="145">
        <v>0</v>
      </c>
      <c r="FD206" s="145">
        <v>0</v>
      </c>
      <c r="FE206" s="145">
        <v>0</v>
      </c>
      <c r="FF206" s="145">
        <v>0</v>
      </c>
      <c r="FG206" s="145">
        <v>0</v>
      </c>
      <c r="FH206" s="145">
        <v>0</v>
      </c>
      <c r="FI206" s="145">
        <v>0</v>
      </c>
      <c r="FJ206" s="145">
        <v>0</v>
      </c>
      <c r="FK206" s="145">
        <v>0</v>
      </c>
      <c r="FL206" s="145">
        <v>0</v>
      </c>
      <c r="FM206" s="145">
        <v>0</v>
      </c>
      <c r="FN206" s="145">
        <v>0</v>
      </c>
      <c r="FO206" s="145">
        <v>0</v>
      </c>
      <c r="FP206" s="145">
        <v>0</v>
      </c>
      <c r="FQ206" s="145">
        <v>0</v>
      </c>
      <c r="FR206" s="145">
        <v>0</v>
      </c>
      <c r="FS206" s="145">
        <v>0</v>
      </c>
      <c r="FT206" s="145">
        <v>0</v>
      </c>
      <c r="FU206" s="145">
        <v>0</v>
      </c>
      <c r="FV206" s="145">
        <v>0</v>
      </c>
      <c r="FW206" s="145">
        <v>0</v>
      </c>
      <c r="FX206" s="143"/>
      <c r="FY206" s="146" t="str">
        <f>_xlfn.XLOOKUP($E206,'Key assumptions'!$B$112:$B$120,'Key assumptions'!$C$112:$C$120,0)</f>
        <v>Nominal</v>
      </c>
      <c r="FZ206" s="146" cm="1">
        <f t="array" ref="FZ206">IF($FY206=0,0,_xlfn.IFS($FY206='Key assumptions'!$C$120,_xlfn.XLOOKUP(LEFT(FZ$7,6),Inflation_Year,Inflation_NominaltoReal),TRUE,_xlfn.XLOOKUP($FY206,Inflation_Year,NominaltoReal)))</f>
        <v>1.0197075870962191</v>
      </c>
      <c r="GA206" s="146" cm="1">
        <f t="array" ref="GA206">IF($FY206=0,0,_xlfn.IFS($FY206='Key assumptions'!$C$120,_xlfn.XLOOKUP(LEFT(GA$7,6),Inflation_Year,Inflation_NominaltoReal),TRUE,_xlfn.XLOOKUP($FY206,Inflation_Year,NominaltoReal)))</f>
        <v>0.98700804022984445</v>
      </c>
      <c r="GB206" s="146" cm="1">
        <f t="array" ref="GB206">IF($FY206=0,0,_xlfn.IFS($FY206='Key assumptions'!$C$120,_xlfn.XLOOKUP(LEFT(GB$7,6),Inflation_Year,Inflation_NominaltoReal),TRUE,_xlfn.XLOOKUP($FY206,Inflation_Year,NominaltoReal)))</f>
        <v>0.96152830081941731</v>
      </c>
      <c r="GC206" s="146" cm="1">
        <f t="array" ref="GC206">IF($FY206=0,0,_xlfn.IFS($FY206='Key assumptions'!$C$120,_xlfn.XLOOKUP(LEFT(GC$7,6),Inflation_Year,Inflation_NominaltoReal),TRUE,_xlfn.XLOOKUP($FY206,Inflation_Year,NominaltoReal)))</f>
        <v>0.93670632415656829</v>
      </c>
      <c r="GD206" s="146" cm="1">
        <f t="array" ref="GD206">IF($FY206=0,0,_xlfn.IFS($FY206='Key assumptions'!$C$120,_xlfn.XLOOKUP(LEFT(GD$7,6),Inflation_Year,Inflation_NominaltoReal),TRUE,_xlfn.XLOOKUP($FY206,Inflation_Year,NominaltoReal)))</f>
        <v>0.91252513001143176</v>
      </c>
      <c r="GE206" s="146" cm="1">
        <f t="array" ref="GE206">IF($FY206=0,0,_xlfn.IFS($FY206='Key assumptions'!$C$120,_xlfn.XLOOKUP(LEFT(GE$7,6),Inflation_Year,Inflation_NominaltoReal),TRUE,_xlfn.XLOOKUP($FY206,Inflation_Year,NominaltoReal)))</f>
        <v>0.88896817650095872</v>
      </c>
      <c r="GF206" s="146" cm="1">
        <f t="array" ref="GF206">IF($FY206=0,0,_xlfn.IFS($FY206='Key assumptions'!$C$120,_xlfn.XLOOKUP(LEFT(GF$7,6),Inflation_Year,Inflation_NominaltoReal),TRUE,_xlfn.XLOOKUP($FY206,Inflation_Year,NominaltoReal)))</f>
        <v>0.86601934877293718</v>
      </c>
      <c r="GG206" s="143"/>
      <c r="GH206" s="145" cm="1">
        <f t="array" ref="GH206">SUMPRODUCT(--($CR$7:$FW$7&gt;=GH$5),--($CR$7:$FW$7&lt;=GH$6),$CR206:$FW206)*FZ206</f>
        <v>0</v>
      </c>
      <c r="GI206" s="145" cm="1">
        <f t="array" ref="GI206">SUMPRODUCT(--($CR$7:$FW$7&gt;=GI$5),--($CR$7:$FW$7&lt;=GI$6),$CR206:$FW206)*GA206</f>
        <v>16584.498698374031</v>
      </c>
      <c r="GJ206" s="145" cm="1">
        <f t="array" ref="GJ206">SUMPRODUCT(--($CR$7:$FW$7&gt;=GJ$5),--($CR$7:$FW$7&lt;=GJ$6),$CR206:$FW206)*GB206</f>
        <v>47134.50191748816</v>
      </c>
      <c r="GK206" s="145" cm="1">
        <f t="array" ref="GK206">SUMPRODUCT(--($CR$7:$FW$7&gt;=GK$5),--($CR$7:$FW$7&lt;=GK$6),$CR206:$FW206)*GC206</f>
        <v>0</v>
      </c>
      <c r="GL206" s="145" cm="1">
        <f t="array" ref="GL206">SUMPRODUCT(--($CR$7:$FW$7&gt;=GL$5),--($CR$7:$FW$7&lt;=GL$6),$CR206:$FW206)*GD206</f>
        <v>0</v>
      </c>
      <c r="GM206" s="145" cm="1">
        <f t="array" ref="GM206">SUMPRODUCT(--($CR$7:$FW$7&gt;=GM$5),--($CR$7:$FW$7&lt;=GM$6),$CR206:$FW206)*GE206</f>
        <v>0</v>
      </c>
      <c r="GN206" s="145" cm="1">
        <f t="array" ref="GN206">SUMPRODUCT(--($CR$7:$FW$7&gt;=GN$5),--($CR$7:$FW$7&lt;=GN$6),$CR206:$FW206)*GF206</f>
        <v>0</v>
      </c>
      <c r="GO206" s="145">
        <f t="shared" si="69"/>
        <v>63719.000615862191</v>
      </c>
      <c r="GP206" s="87"/>
      <c r="GR206" s="145" cm="1">
        <f t="array" ref="GR206">SUMPRODUCT(--($CR$7:$FW$7&gt;=GR$5),--($CR$7:$FW$7&lt;=GR$6),$CR206:$FW206)</f>
        <v>0</v>
      </c>
      <c r="GT206" s="214" cm="1">
        <f t="array" ref="GT206">--AND(MIN(IF($K206:$CP206&lt;&gt;0,$K$7:$CP$7))&gt;=GT$5,MIN(IF($K206:$CP206&lt;&gt;0,$K$7:$CP$7))&lt;=GT$6)</f>
        <v>0</v>
      </c>
      <c r="GU206" s="214" cm="1">
        <f t="array" ref="GU206">--AND(MIN(IF($K206:$CP206&lt;&gt;0,$K$7:$CP$7))&gt;=GU$5,MIN(IF($K206:$CP206&lt;&gt;0,$K$7:$CP$7))&lt;=GU$6)</f>
        <v>1</v>
      </c>
      <c r="GV206" s="214" cm="1">
        <f t="array" ref="GV206">--AND(MIN(IF($K206:$CP206&lt;&gt;0,$K$7:$CP$7))&gt;=GV$5,MIN(IF($K206:$CP206&lt;&gt;0,$K$7:$CP$7))&lt;=GV$6)</f>
        <v>0</v>
      </c>
      <c r="GW206" s="214" cm="1">
        <f t="array" ref="GW206">--AND(MIN(IF($K206:$CP206&lt;&gt;0,$K$7:$CP$7))&gt;=GW$5,MIN(IF($K206:$CP206&lt;&gt;0,$K$7:$CP$7))&lt;=GW$6)</f>
        <v>0</v>
      </c>
      <c r="GX206" s="214" cm="1">
        <f t="array" ref="GX206">--AND(MIN(IF($K206:$CP206&lt;&gt;0,$K$7:$CP$7))&gt;=GX$5,MIN(IF($K206:$CP206&lt;&gt;0,$K$7:$CP$7))&lt;=GX$6)</f>
        <v>0</v>
      </c>
      <c r="GY206" s="214" cm="1">
        <f t="array" ref="GY206">--AND(MIN(IF($K206:$CP206&lt;&gt;0,$K$7:$CP$7))&gt;=GY$5,MIN(IF($K206:$CP206&lt;&gt;0,$K$7:$CP$7))&lt;=GY$6)</f>
        <v>0</v>
      </c>
      <c r="GZ206" s="214" cm="1">
        <f t="array" ref="GZ206">--AND(MIN(IF($K206:$CP206&lt;&gt;0,$K$7:$CP$7))&gt;=GZ$5,MIN(IF($K206:$CP206&lt;&gt;0,$K$7:$CP$7))&lt;=GZ$6)</f>
        <v>0</v>
      </c>
      <c r="HA206" s="214">
        <f t="shared" si="70"/>
        <v>1</v>
      </c>
      <c r="HC206" s="214" cm="1">
        <f t="array" ref="HC206">--AND(MIN(IF($K206:$CP206&lt;&gt;0,$K$7:$CP$7))&gt;=HC$5,MIN(IF($K206:$CP206&lt;&gt;0,$K$7:$CP$7))&lt;=HC$6)</f>
        <v>0</v>
      </c>
      <c r="HE206" s="147" t="str">
        <f t="shared" si="89"/>
        <v>No</v>
      </c>
      <c r="HF206" s="147" t="str">
        <f t="shared" si="90"/>
        <v>Yes</v>
      </c>
      <c r="HG206" s="147">
        <f>IF($HF206="Yes",0,$H206*avg_hrs*12*'Key assumptions'!$D$87)</f>
        <v>0</v>
      </c>
      <c r="HH206" s="147">
        <f>IF(HE206="Yes",'Key assumptions'!$D$84*HG206,0)</f>
        <v>0</v>
      </c>
      <c r="HI206" s="144">
        <f>IFERROR(AVERAGEIFS($K206:$CP206,$K$7:$CP$7,"&gt;="&amp;'Key assumptions'!$D$24,$K$7:$CP$7,"&lt;="&amp;'Key assumptions'!$D$25),0)</f>
        <v>2.7056277056277056E-2</v>
      </c>
      <c r="HJ206" s="148">
        <f t="shared" si="91"/>
        <v>0</v>
      </c>
      <c r="HK206" s="148">
        <f t="shared" si="72"/>
        <v>0</v>
      </c>
      <c r="HL206" s="148">
        <f t="shared" si="73"/>
        <v>0</v>
      </c>
      <c r="HM206" s="148">
        <f t="shared" si="74"/>
        <v>0</v>
      </c>
      <c r="HN206" s="148">
        <f t="shared" si="75"/>
        <v>0</v>
      </c>
      <c r="HO206" s="148">
        <f t="shared" si="76"/>
        <v>0</v>
      </c>
      <c r="HP206" s="148">
        <f t="shared" si="77"/>
        <v>0</v>
      </c>
      <c r="HQ206" s="148">
        <f t="shared" si="78"/>
        <v>0</v>
      </c>
      <c r="HR206" s="147">
        <f t="shared" si="79"/>
        <v>0</v>
      </c>
      <c r="HU206" s="147">
        <f>$HJ206*HC206/(1+'Key assumptions'!G228)^0.75</f>
        <v>0</v>
      </c>
      <c r="HW206" s="216">
        <f t="shared" si="80"/>
        <v>0</v>
      </c>
      <c r="HX206" s="216">
        <f t="shared" si="81"/>
        <v>2.7056277056277056E-2</v>
      </c>
      <c r="HY206" s="216">
        <f t="shared" si="82"/>
        <v>0</v>
      </c>
      <c r="HZ206" s="216">
        <f t="shared" si="83"/>
        <v>0</v>
      </c>
      <c r="IA206" s="216">
        <f t="shared" si="84"/>
        <v>0</v>
      </c>
      <c r="IB206" s="216">
        <f t="shared" si="85"/>
        <v>0</v>
      </c>
      <c r="IC206" s="216">
        <f t="shared" si="86"/>
        <v>0</v>
      </c>
      <c r="ID206" s="216">
        <f t="shared" si="87"/>
        <v>2.7056277056277056E-2</v>
      </c>
      <c r="IF206" s="216">
        <f t="shared" si="88"/>
        <v>0</v>
      </c>
    </row>
    <row r="207" spans="2:240" x14ac:dyDescent="0.2">
      <c r="B207" s="141" t="str">
        <v>Project Delivery Management - Commissioning</v>
      </c>
      <c r="C207" s="141" t="str">
        <v>Control Technician (Construction)</v>
      </c>
      <c r="D207" s="141" t="str">
        <v>Internal Labour</v>
      </c>
      <c r="E207" s="141" t="str">
        <v>$ Nominal</v>
      </c>
      <c r="F207" s="141" t="str">
        <v>Existing</v>
      </c>
      <c r="G207" s="141" t="str">
        <v>Normal time</v>
      </c>
      <c r="H207" s="142">
        <v>221.91</v>
      </c>
      <c r="I207" s="126">
        <v>328202.28000000003</v>
      </c>
      <c r="J207" s="143">
        <v>0</v>
      </c>
      <c r="K207" s="144">
        <v>0</v>
      </c>
      <c r="L207" s="144">
        <v>0</v>
      </c>
      <c r="M207" s="144">
        <v>0</v>
      </c>
      <c r="N207" s="144">
        <v>0</v>
      </c>
      <c r="O207" s="144">
        <v>0</v>
      </c>
      <c r="P207" s="144">
        <v>0</v>
      </c>
      <c r="Q207" s="144">
        <v>0</v>
      </c>
      <c r="R207" s="144">
        <v>0</v>
      </c>
      <c r="S207" s="144">
        <v>0</v>
      </c>
      <c r="T207" s="144">
        <v>0</v>
      </c>
      <c r="U207" s="144">
        <v>0</v>
      </c>
      <c r="V207" s="144">
        <v>0</v>
      </c>
      <c r="W207" s="144">
        <v>0</v>
      </c>
      <c r="X207" s="144">
        <v>0</v>
      </c>
      <c r="Y207" s="144">
        <v>0</v>
      </c>
      <c r="Z207" s="144">
        <v>0</v>
      </c>
      <c r="AA207" s="144">
        <v>0</v>
      </c>
      <c r="AB207" s="144">
        <v>0</v>
      </c>
      <c r="AC207" s="144">
        <v>0</v>
      </c>
      <c r="AD207" s="144">
        <v>0</v>
      </c>
      <c r="AE207" s="144">
        <v>0</v>
      </c>
      <c r="AF207" s="144">
        <v>0.5</v>
      </c>
      <c r="AG207" s="144">
        <v>0.5</v>
      </c>
      <c r="AH207" s="144">
        <v>1.5333333333333334</v>
      </c>
      <c r="AI207" s="144">
        <v>1.4</v>
      </c>
      <c r="AJ207" s="144">
        <v>1</v>
      </c>
      <c r="AK207" s="144">
        <v>0</v>
      </c>
      <c r="AL207" s="144">
        <v>0</v>
      </c>
      <c r="AM207" s="144">
        <v>0</v>
      </c>
      <c r="AN207" s="144">
        <v>0</v>
      </c>
      <c r="AO207" s="144">
        <v>0</v>
      </c>
      <c r="AP207" s="144">
        <v>0</v>
      </c>
      <c r="AQ207" s="144">
        <v>0</v>
      </c>
      <c r="AR207" s="144">
        <v>0</v>
      </c>
      <c r="AS207" s="144">
        <v>0</v>
      </c>
      <c r="AT207" s="144">
        <v>0</v>
      </c>
      <c r="AU207" s="144">
        <v>0</v>
      </c>
      <c r="AV207" s="144">
        <v>0</v>
      </c>
      <c r="AW207" s="144">
        <v>0</v>
      </c>
      <c r="AX207" s="144">
        <v>2.1333333333333333</v>
      </c>
      <c r="AY207" s="144">
        <v>1.013157894736842</v>
      </c>
      <c r="AZ207" s="144">
        <v>0.96710526315789469</v>
      </c>
      <c r="BA207" s="144">
        <v>1.1000000000000001</v>
      </c>
      <c r="BB207" s="144">
        <v>1.1499999999999999</v>
      </c>
      <c r="BC207" s="144">
        <v>0</v>
      </c>
      <c r="BD207" s="144">
        <v>0</v>
      </c>
      <c r="BE207" s="144">
        <v>0</v>
      </c>
      <c r="BF207" s="144">
        <v>0</v>
      </c>
      <c r="BG207" s="144">
        <v>0</v>
      </c>
      <c r="BH207" s="144">
        <v>0</v>
      </c>
      <c r="BI207" s="144">
        <v>0</v>
      </c>
      <c r="BJ207" s="144">
        <v>0</v>
      </c>
      <c r="BK207" s="144">
        <v>0</v>
      </c>
      <c r="BL207" s="144">
        <v>0</v>
      </c>
      <c r="BM207" s="144">
        <v>0</v>
      </c>
      <c r="BN207" s="144">
        <v>0</v>
      </c>
      <c r="BO207" s="144">
        <v>0</v>
      </c>
      <c r="BP207" s="144">
        <v>0</v>
      </c>
      <c r="BQ207" s="144">
        <v>0</v>
      </c>
      <c r="BR207" s="144">
        <v>0</v>
      </c>
      <c r="BS207" s="144">
        <v>0</v>
      </c>
      <c r="BT207" s="144">
        <v>0</v>
      </c>
      <c r="BU207" s="144">
        <v>0</v>
      </c>
      <c r="BV207" s="144">
        <v>0</v>
      </c>
      <c r="BW207" s="144">
        <v>0</v>
      </c>
      <c r="BX207" s="144">
        <v>0</v>
      </c>
      <c r="BY207" s="144">
        <v>0</v>
      </c>
      <c r="BZ207" s="144">
        <v>0</v>
      </c>
      <c r="CA207" s="144">
        <v>0</v>
      </c>
      <c r="CB207" s="144">
        <v>0</v>
      </c>
      <c r="CC207" s="144">
        <v>0</v>
      </c>
      <c r="CD207" s="144">
        <v>0</v>
      </c>
      <c r="CE207" s="144">
        <v>0</v>
      </c>
      <c r="CF207" s="144">
        <v>0</v>
      </c>
      <c r="CG207" s="144">
        <v>0</v>
      </c>
      <c r="CH207" s="144">
        <v>0</v>
      </c>
      <c r="CI207" s="144">
        <v>0</v>
      </c>
      <c r="CJ207" s="144">
        <v>0</v>
      </c>
      <c r="CK207" s="144">
        <v>0</v>
      </c>
      <c r="CL207" s="144">
        <v>0</v>
      </c>
      <c r="CM207" s="144">
        <v>0</v>
      </c>
      <c r="CN207" s="144">
        <v>0</v>
      </c>
      <c r="CO207" s="144">
        <v>0</v>
      </c>
      <c r="CP207" s="144">
        <v>0</v>
      </c>
      <c r="CQ207" s="143">
        <v>0</v>
      </c>
      <c r="CR207" s="145">
        <v>0</v>
      </c>
      <c r="CS207" s="145">
        <v>0</v>
      </c>
      <c r="CT207" s="145">
        <v>0</v>
      </c>
      <c r="CU207" s="145">
        <v>0</v>
      </c>
      <c r="CV207" s="145">
        <v>0</v>
      </c>
      <c r="CW207" s="145">
        <v>0</v>
      </c>
      <c r="CX207" s="145">
        <v>0</v>
      </c>
      <c r="CY207" s="145">
        <v>0</v>
      </c>
      <c r="CZ207" s="145">
        <v>0</v>
      </c>
      <c r="DA207" s="145">
        <v>0</v>
      </c>
      <c r="DB207" s="145">
        <v>0</v>
      </c>
      <c r="DC207" s="145">
        <v>0</v>
      </c>
      <c r="DD207" s="145">
        <v>0</v>
      </c>
      <c r="DE207" s="145">
        <v>0</v>
      </c>
      <c r="DF207" s="145">
        <v>0</v>
      </c>
      <c r="DG207" s="145">
        <v>0</v>
      </c>
      <c r="DH207" s="145">
        <v>0</v>
      </c>
      <c r="DI207" s="145">
        <v>0</v>
      </c>
      <c r="DJ207" s="145">
        <v>0</v>
      </c>
      <c r="DK207" s="145">
        <v>0</v>
      </c>
      <c r="DL207" s="145">
        <v>0</v>
      </c>
      <c r="DM207" s="145">
        <v>15533.699999999999</v>
      </c>
      <c r="DN207" s="145">
        <v>15533.699999999999</v>
      </c>
      <c r="DO207" s="145">
        <v>35727.51</v>
      </c>
      <c r="DP207" s="145">
        <v>32620.77</v>
      </c>
      <c r="DQ207" s="145">
        <v>31067.399999999998</v>
      </c>
      <c r="DR207" s="145">
        <v>0</v>
      </c>
      <c r="DS207" s="145">
        <v>0</v>
      </c>
      <c r="DT207" s="145">
        <v>0</v>
      </c>
      <c r="DU207" s="145">
        <v>0</v>
      </c>
      <c r="DV207" s="145">
        <v>0</v>
      </c>
      <c r="DW207" s="145">
        <v>0</v>
      </c>
      <c r="DX207" s="145">
        <v>0</v>
      </c>
      <c r="DY207" s="145">
        <v>0</v>
      </c>
      <c r="DZ207" s="145">
        <v>0</v>
      </c>
      <c r="EA207" s="145">
        <v>0</v>
      </c>
      <c r="EB207" s="145">
        <v>0</v>
      </c>
      <c r="EC207" s="145">
        <v>0</v>
      </c>
      <c r="ED207" s="145">
        <v>0</v>
      </c>
      <c r="EE207" s="145">
        <v>52725.119999999995</v>
      </c>
      <c r="EF207" s="145">
        <v>36248.519999999997</v>
      </c>
      <c r="EG207" s="145">
        <v>34600.86</v>
      </c>
      <c r="EH207" s="145">
        <v>36248.519999999997</v>
      </c>
      <c r="EI207" s="145">
        <v>37896.18</v>
      </c>
      <c r="EJ207" s="145">
        <v>0</v>
      </c>
      <c r="EK207" s="145">
        <v>0</v>
      </c>
      <c r="EL207" s="145">
        <v>0</v>
      </c>
      <c r="EM207" s="145">
        <v>0</v>
      </c>
      <c r="EN207" s="145">
        <v>0</v>
      </c>
      <c r="EO207" s="145">
        <v>0</v>
      </c>
      <c r="EP207" s="145">
        <v>0</v>
      </c>
      <c r="EQ207" s="145">
        <v>0</v>
      </c>
      <c r="ER207" s="145">
        <v>0</v>
      </c>
      <c r="ES207" s="145">
        <v>0</v>
      </c>
      <c r="ET207" s="145">
        <v>0</v>
      </c>
      <c r="EU207" s="145">
        <v>0</v>
      </c>
      <c r="EV207" s="145">
        <v>0</v>
      </c>
      <c r="EW207" s="145">
        <v>0</v>
      </c>
      <c r="EX207" s="145">
        <v>0</v>
      </c>
      <c r="EY207" s="145">
        <v>0</v>
      </c>
      <c r="EZ207" s="145">
        <v>0</v>
      </c>
      <c r="FA207" s="145">
        <v>0</v>
      </c>
      <c r="FB207" s="145">
        <v>0</v>
      </c>
      <c r="FC207" s="145">
        <v>0</v>
      </c>
      <c r="FD207" s="145">
        <v>0</v>
      </c>
      <c r="FE207" s="145">
        <v>0</v>
      </c>
      <c r="FF207" s="145">
        <v>0</v>
      </c>
      <c r="FG207" s="145">
        <v>0</v>
      </c>
      <c r="FH207" s="145">
        <v>0</v>
      </c>
      <c r="FI207" s="145">
        <v>0</v>
      </c>
      <c r="FJ207" s="145">
        <v>0</v>
      </c>
      <c r="FK207" s="145">
        <v>0</v>
      </c>
      <c r="FL207" s="145">
        <v>0</v>
      </c>
      <c r="FM207" s="145">
        <v>0</v>
      </c>
      <c r="FN207" s="145">
        <v>0</v>
      </c>
      <c r="FO207" s="145">
        <v>0</v>
      </c>
      <c r="FP207" s="145">
        <v>0</v>
      </c>
      <c r="FQ207" s="145">
        <v>0</v>
      </c>
      <c r="FR207" s="145">
        <v>0</v>
      </c>
      <c r="FS207" s="145">
        <v>0</v>
      </c>
      <c r="FT207" s="145">
        <v>0</v>
      </c>
      <c r="FU207" s="145">
        <v>0</v>
      </c>
      <c r="FV207" s="145">
        <v>0</v>
      </c>
      <c r="FW207" s="145">
        <v>0</v>
      </c>
      <c r="FX207" s="143"/>
      <c r="FY207" s="146" t="str">
        <f>_xlfn.XLOOKUP($E207,'Key assumptions'!$B$112:$B$120,'Key assumptions'!$C$112:$C$120,0)</f>
        <v>Nominal</v>
      </c>
      <c r="FZ207" s="146" cm="1">
        <f t="array" ref="FZ207">IF($FY207=0,0,_xlfn.IFS($FY207='Key assumptions'!$C$120,_xlfn.XLOOKUP(LEFT(FZ$7,6),Inflation_Year,Inflation_NominaltoReal),TRUE,_xlfn.XLOOKUP($FY207,Inflation_Year,NominaltoReal)))</f>
        <v>1.0197075870962191</v>
      </c>
      <c r="GA207" s="146" cm="1">
        <f t="array" ref="GA207">IF($FY207=0,0,_xlfn.IFS($FY207='Key assumptions'!$C$120,_xlfn.XLOOKUP(LEFT(GA$7,6),Inflation_Year,Inflation_NominaltoReal),TRUE,_xlfn.XLOOKUP($FY207,Inflation_Year,NominaltoReal)))</f>
        <v>0.98700804022984445</v>
      </c>
      <c r="GB207" s="146" cm="1">
        <f t="array" ref="GB207">IF($FY207=0,0,_xlfn.IFS($FY207='Key assumptions'!$C$120,_xlfn.XLOOKUP(LEFT(GB$7,6),Inflation_Year,Inflation_NominaltoReal),TRUE,_xlfn.XLOOKUP($FY207,Inflation_Year,NominaltoReal)))</f>
        <v>0.96152830081941731</v>
      </c>
      <c r="GC207" s="146" cm="1">
        <f t="array" ref="GC207">IF($FY207=0,0,_xlfn.IFS($FY207='Key assumptions'!$C$120,_xlfn.XLOOKUP(LEFT(GC$7,6),Inflation_Year,Inflation_NominaltoReal),TRUE,_xlfn.XLOOKUP($FY207,Inflation_Year,NominaltoReal)))</f>
        <v>0.93670632415656829</v>
      </c>
      <c r="GD207" s="146" cm="1">
        <f t="array" ref="GD207">IF($FY207=0,0,_xlfn.IFS($FY207='Key assumptions'!$C$120,_xlfn.XLOOKUP(LEFT(GD$7,6),Inflation_Year,Inflation_NominaltoReal),TRUE,_xlfn.XLOOKUP($FY207,Inflation_Year,NominaltoReal)))</f>
        <v>0.91252513001143176</v>
      </c>
      <c r="GE207" s="146" cm="1">
        <f t="array" ref="GE207">IF($FY207=0,0,_xlfn.IFS($FY207='Key assumptions'!$C$120,_xlfn.XLOOKUP(LEFT(GE$7,6),Inflation_Year,Inflation_NominaltoReal),TRUE,_xlfn.XLOOKUP($FY207,Inflation_Year,NominaltoReal)))</f>
        <v>0.88896817650095872</v>
      </c>
      <c r="GF207" s="146" cm="1">
        <f t="array" ref="GF207">IF($FY207=0,0,_xlfn.IFS($FY207='Key assumptions'!$C$120,_xlfn.XLOOKUP(LEFT(GF$7,6),Inflation_Year,Inflation_NominaltoReal),TRUE,_xlfn.XLOOKUP($FY207,Inflation_Year,NominaltoReal)))</f>
        <v>0.86601934877293718</v>
      </c>
      <c r="GG207" s="143"/>
      <c r="GH207" s="145" cm="1">
        <f t="array" ref="GH207">SUMPRODUCT(--($CR$7:$FW$7&gt;=GH$5),--($CR$7:$FW$7&lt;=GH$6),$CR207:$FW207)*FZ207</f>
        <v>0</v>
      </c>
      <c r="GI207" s="145" cm="1">
        <f t="array" ref="GI207">SUMPRODUCT(--($CR$7:$FW$7&gt;=GI$5),--($CR$7:$FW$7&lt;=GI$6),$CR207:$FW207)*GA207</f>
        <v>128787.84907395401</v>
      </c>
      <c r="GJ207" s="145" cm="1">
        <f t="array" ref="GJ207">SUMPRODUCT(--($CR$7:$FW$7&gt;=GJ$5),--($CR$7:$FW$7&lt;=GJ$6),$CR207:$FW207)*GB207</f>
        <v>190112.60641537452</v>
      </c>
      <c r="GK207" s="145" cm="1">
        <f t="array" ref="GK207">SUMPRODUCT(--($CR$7:$FW$7&gt;=GK$5),--($CR$7:$FW$7&lt;=GK$6),$CR207:$FW207)*GC207</f>
        <v>0</v>
      </c>
      <c r="GL207" s="145" cm="1">
        <f t="array" ref="GL207">SUMPRODUCT(--($CR$7:$FW$7&gt;=GL$5),--($CR$7:$FW$7&lt;=GL$6),$CR207:$FW207)*GD207</f>
        <v>0</v>
      </c>
      <c r="GM207" s="145" cm="1">
        <f t="array" ref="GM207">SUMPRODUCT(--($CR$7:$FW$7&gt;=GM$5),--($CR$7:$FW$7&lt;=GM$6),$CR207:$FW207)*GE207</f>
        <v>0</v>
      </c>
      <c r="GN207" s="145" cm="1">
        <f t="array" ref="GN207">SUMPRODUCT(--($CR$7:$FW$7&gt;=GN$5),--($CR$7:$FW$7&lt;=GN$6),$CR207:$FW207)*GF207</f>
        <v>0</v>
      </c>
      <c r="GO207" s="145">
        <f t="shared" si="69"/>
        <v>318900.45548932854</v>
      </c>
      <c r="GP207" s="87"/>
      <c r="GR207" s="145" cm="1">
        <f t="array" ref="GR207">SUMPRODUCT(--($CR$7:$FW$7&gt;=GR$5),--($CR$7:$FW$7&lt;=GR$6),$CR207:$FW207)</f>
        <v>0</v>
      </c>
      <c r="GT207" s="214" cm="1">
        <f t="array" ref="GT207">--AND(MIN(IF($K207:$CP207&lt;&gt;0,$K$7:$CP$7))&gt;=GT$5,MIN(IF($K207:$CP207&lt;&gt;0,$K$7:$CP$7))&lt;=GT$6)</f>
        <v>0</v>
      </c>
      <c r="GU207" s="214" cm="1">
        <f t="array" ref="GU207">--AND(MIN(IF($K207:$CP207&lt;&gt;0,$K$7:$CP$7))&gt;=GU$5,MIN(IF($K207:$CP207&lt;&gt;0,$K$7:$CP$7))&lt;=GU$6)</f>
        <v>1</v>
      </c>
      <c r="GV207" s="214" cm="1">
        <f t="array" ref="GV207">--AND(MIN(IF($K207:$CP207&lt;&gt;0,$K$7:$CP$7))&gt;=GV$5,MIN(IF($K207:$CP207&lt;&gt;0,$K$7:$CP$7))&lt;=GV$6)</f>
        <v>0</v>
      </c>
      <c r="GW207" s="214" cm="1">
        <f t="array" ref="GW207">--AND(MIN(IF($K207:$CP207&lt;&gt;0,$K$7:$CP$7))&gt;=GW$5,MIN(IF($K207:$CP207&lt;&gt;0,$K$7:$CP$7))&lt;=GW$6)</f>
        <v>0</v>
      </c>
      <c r="GX207" s="214" cm="1">
        <f t="array" ref="GX207">--AND(MIN(IF($K207:$CP207&lt;&gt;0,$K$7:$CP$7))&gt;=GX$5,MIN(IF($K207:$CP207&lt;&gt;0,$K$7:$CP$7))&lt;=GX$6)</f>
        <v>0</v>
      </c>
      <c r="GY207" s="214" cm="1">
        <f t="array" ref="GY207">--AND(MIN(IF($K207:$CP207&lt;&gt;0,$K$7:$CP$7))&gt;=GY$5,MIN(IF($K207:$CP207&lt;&gt;0,$K$7:$CP$7))&lt;=GY$6)</f>
        <v>0</v>
      </c>
      <c r="GZ207" s="214" cm="1">
        <f t="array" ref="GZ207">--AND(MIN(IF($K207:$CP207&lt;&gt;0,$K$7:$CP$7))&gt;=GZ$5,MIN(IF($K207:$CP207&lt;&gt;0,$K$7:$CP$7))&lt;=GZ$6)</f>
        <v>0</v>
      </c>
      <c r="HA207" s="214">
        <f t="shared" si="70"/>
        <v>1</v>
      </c>
      <c r="HC207" s="214" cm="1">
        <f t="array" ref="HC207">--AND(MIN(IF($K207:$CP207&lt;&gt;0,$K$7:$CP$7))&gt;=HC$5,MIN(IF($K207:$CP207&lt;&gt;0,$K$7:$CP$7))&lt;=HC$6)</f>
        <v>0</v>
      </c>
      <c r="HE207" s="147" t="str">
        <f t="shared" si="89"/>
        <v>No</v>
      </c>
      <c r="HF207" s="147" t="str">
        <f t="shared" si="90"/>
        <v>No</v>
      </c>
      <c r="HG207" s="147">
        <f>IF($HF207="Yes",0,$H207*avg_hrs*12*'Key assumptions'!$D$87)</f>
        <v>396834.77589855355</v>
      </c>
      <c r="HH207" s="147">
        <f>IF(HE207="Yes",'Key assumptions'!$D$84*HG207,0)</f>
        <v>0</v>
      </c>
      <c r="HI207" s="144">
        <f>IFERROR(AVERAGEIFS($K207:$CP207,$K$7:$CP$7,"&gt;="&amp;'Key assumptions'!$D$24,$K$7:$CP$7,"&lt;="&amp;'Key assumptions'!$D$25),0)</f>
        <v>0.25674840510366825</v>
      </c>
      <c r="HJ207" s="148">
        <f t="shared" si="91"/>
        <v>0</v>
      </c>
      <c r="HK207" s="148">
        <f t="shared" si="72"/>
        <v>0</v>
      </c>
      <c r="HL207" s="148">
        <f t="shared" si="73"/>
        <v>0</v>
      </c>
      <c r="HM207" s="148">
        <f t="shared" si="74"/>
        <v>0</v>
      </c>
      <c r="HN207" s="148">
        <f t="shared" si="75"/>
        <v>0</v>
      </c>
      <c r="HO207" s="148">
        <f t="shared" si="76"/>
        <v>0</v>
      </c>
      <c r="HP207" s="148">
        <f t="shared" si="77"/>
        <v>0</v>
      </c>
      <c r="HQ207" s="148">
        <f t="shared" si="78"/>
        <v>0</v>
      </c>
      <c r="HR207" s="147">
        <f t="shared" si="79"/>
        <v>0</v>
      </c>
      <c r="HU207" s="147">
        <f>$HJ207*HC207/(1+'Key assumptions'!G229)^0.75</f>
        <v>0</v>
      </c>
      <c r="HW207" s="216">
        <f t="shared" si="80"/>
        <v>0</v>
      </c>
      <c r="HX207" s="216">
        <f t="shared" si="81"/>
        <v>0.25674840510366825</v>
      </c>
      <c r="HY207" s="216">
        <f t="shared" si="82"/>
        <v>0</v>
      </c>
      <c r="HZ207" s="216">
        <f t="shared" si="83"/>
        <v>0</v>
      </c>
      <c r="IA207" s="216">
        <f t="shared" si="84"/>
        <v>0</v>
      </c>
      <c r="IB207" s="216">
        <f t="shared" si="85"/>
        <v>0</v>
      </c>
      <c r="IC207" s="216">
        <f t="shared" si="86"/>
        <v>0</v>
      </c>
      <c r="ID207" s="216">
        <f t="shared" si="87"/>
        <v>0.25674840510366825</v>
      </c>
      <c r="IF207" s="216">
        <f t="shared" si="88"/>
        <v>0</v>
      </c>
    </row>
    <row r="208" spans="2:240" x14ac:dyDescent="0.2">
      <c r="B208" s="141" t="str">
        <v>Project Delivery Management - Commissioning</v>
      </c>
      <c r="C208" s="141" t="str">
        <v>Control Technician (Construction)</v>
      </c>
      <c r="D208" s="141" t="str">
        <v>Internal Labour</v>
      </c>
      <c r="E208" s="141" t="str">
        <v>$ Nominal</v>
      </c>
      <c r="F208" s="141">
        <v>0</v>
      </c>
      <c r="G208" s="141" t="str">
        <v>Overtime</v>
      </c>
      <c r="H208" s="142">
        <v>221.91</v>
      </c>
      <c r="I208" s="126">
        <v>225012.2</v>
      </c>
      <c r="J208" s="143">
        <v>0</v>
      </c>
      <c r="K208" s="144">
        <v>0</v>
      </c>
      <c r="L208" s="144">
        <v>0</v>
      </c>
      <c r="M208" s="144">
        <v>0</v>
      </c>
      <c r="N208" s="144">
        <v>0</v>
      </c>
      <c r="O208" s="144">
        <v>0</v>
      </c>
      <c r="P208" s="144">
        <v>0</v>
      </c>
      <c r="Q208" s="144">
        <v>0</v>
      </c>
      <c r="R208" s="144">
        <v>0</v>
      </c>
      <c r="S208" s="144">
        <v>0</v>
      </c>
      <c r="T208" s="144">
        <v>0</v>
      </c>
      <c r="U208" s="144">
        <v>0</v>
      </c>
      <c r="V208" s="144">
        <v>0</v>
      </c>
      <c r="W208" s="144">
        <v>0</v>
      </c>
      <c r="X208" s="144">
        <v>0</v>
      </c>
      <c r="Y208" s="144">
        <v>0</v>
      </c>
      <c r="Z208" s="144">
        <v>0</v>
      </c>
      <c r="AA208" s="144">
        <v>0</v>
      </c>
      <c r="AB208" s="144">
        <v>0</v>
      </c>
      <c r="AC208" s="144">
        <v>0</v>
      </c>
      <c r="AD208" s="144">
        <v>0</v>
      </c>
      <c r="AE208" s="144">
        <v>0</v>
      </c>
      <c r="AF208" s="144">
        <v>0.21428571428571427</v>
      </c>
      <c r="AG208" s="144">
        <v>0.21428571428571427</v>
      </c>
      <c r="AH208" s="144">
        <v>0.47619047619047616</v>
      </c>
      <c r="AI208" s="144">
        <v>0.47619047619047616</v>
      </c>
      <c r="AJ208" s="144">
        <v>0.35714285714285715</v>
      </c>
      <c r="AK208" s="144">
        <v>0</v>
      </c>
      <c r="AL208" s="144">
        <v>0</v>
      </c>
      <c r="AM208" s="144">
        <v>0</v>
      </c>
      <c r="AN208" s="144">
        <v>0</v>
      </c>
      <c r="AO208" s="144">
        <v>0</v>
      </c>
      <c r="AP208" s="144">
        <v>0</v>
      </c>
      <c r="AQ208" s="144">
        <v>0</v>
      </c>
      <c r="AR208" s="144">
        <v>0</v>
      </c>
      <c r="AS208" s="144">
        <v>0</v>
      </c>
      <c r="AT208" s="144">
        <v>0</v>
      </c>
      <c r="AU208" s="144">
        <v>0</v>
      </c>
      <c r="AV208" s="144">
        <v>0</v>
      </c>
      <c r="AW208" s="144">
        <v>0</v>
      </c>
      <c r="AX208" s="144">
        <v>0.76190476190476186</v>
      </c>
      <c r="AY208" s="144">
        <v>0.32894736842105265</v>
      </c>
      <c r="AZ208" s="144">
        <v>0.32894736842105265</v>
      </c>
      <c r="BA208" s="144">
        <v>0.35714285714285715</v>
      </c>
      <c r="BB208" s="144">
        <v>0.35714285714285715</v>
      </c>
      <c r="BC208" s="144">
        <v>0</v>
      </c>
      <c r="BD208" s="144">
        <v>0</v>
      </c>
      <c r="BE208" s="144">
        <v>0</v>
      </c>
      <c r="BF208" s="144">
        <v>0</v>
      </c>
      <c r="BG208" s="144">
        <v>0</v>
      </c>
      <c r="BH208" s="144">
        <v>0</v>
      </c>
      <c r="BI208" s="144">
        <v>0</v>
      </c>
      <c r="BJ208" s="144">
        <v>0</v>
      </c>
      <c r="BK208" s="144">
        <v>0</v>
      </c>
      <c r="BL208" s="144">
        <v>0</v>
      </c>
      <c r="BM208" s="144">
        <v>0</v>
      </c>
      <c r="BN208" s="144">
        <v>0</v>
      </c>
      <c r="BO208" s="144">
        <v>0</v>
      </c>
      <c r="BP208" s="144">
        <v>0</v>
      </c>
      <c r="BQ208" s="144">
        <v>0</v>
      </c>
      <c r="BR208" s="144">
        <v>0</v>
      </c>
      <c r="BS208" s="144">
        <v>0</v>
      </c>
      <c r="BT208" s="144">
        <v>0</v>
      </c>
      <c r="BU208" s="144">
        <v>0</v>
      </c>
      <c r="BV208" s="144">
        <v>0</v>
      </c>
      <c r="BW208" s="144">
        <v>0</v>
      </c>
      <c r="BX208" s="144">
        <v>0</v>
      </c>
      <c r="BY208" s="144">
        <v>0</v>
      </c>
      <c r="BZ208" s="144">
        <v>0</v>
      </c>
      <c r="CA208" s="144">
        <v>0</v>
      </c>
      <c r="CB208" s="144">
        <v>0</v>
      </c>
      <c r="CC208" s="144">
        <v>0</v>
      </c>
      <c r="CD208" s="144">
        <v>0</v>
      </c>
      <c r="CE208" s="144">
        <v>0</v>
      </c>
      <c r="CF208" s="144">
        <v>0</v>
      </c>
      <c r="CG208" s="144">
        <v>0</v>
      </c>
      <c r="CH208" s="144">
        <v>0</v>
      </c>
      <c r="CI208" s="144">
        <v>0</v>
      </c>
      <c r="CJ208" s="144">
        <v>0</v>
      </c>
      <c r="CK208" s="144">
        <v>0</v>
      </c>
      <c r="CL208" s="144">
        <v>0</v>
      </c>
      <c r="CM208" s="144">
        <v>0</v>
      </c>
      <c r="CN208" s="144">
        <v>0</v>
      </c>
      <c r="CO208" s="144">
        <v>0</v>
      </c>
      <c r="CP208" s="144">
        <v>0</v>
      </c>
      <c r="CQ208" s="143">
        <v>0</v>
      </c>
      <c r="CR208" s="145">
        <v>0</v>
      </c>
      <c r="CS208" s="145">
        <v>0</v>
      </c>
      <c r="CT208" s="145">
        <v>0</v>
      </c>
      <c r="CU208" s="145">
        <v>0</v>
      </c>
      <c r="CV208" s="145">
        <v>0</v>
      </c>
      <c r="CW208" s="145">
        <v>0</v>
      </c>
      <c r="CX208" s="145">
        <v>0</v>
      </c>
      <c r="CY208" s="145">
        <v>0</v>
      </c>
      <c r="CZ208" s="145">
        <v>0</v>
      </c>
      <c r="DA208" s="145">
        <v>0</v>
      </c>
      <c r="DB208" s="145">
        <v>0</v>
      </c>
      <c r="DC208" s="145">
        <v>0</v>
      </c>
      <c r="DD208" s="145">
        <v>0</v>
      </c>
      <c r="DE208" s="145">
        <v>0</v>
      </c>
      <c r="DF208" s="145">
        <v>0</v>
      </c>
      <c r="DG208" s="145">
        <v>0</v>
      </c>
      <c r="DH208" s="145">
        <v>0</v>
      </c>
      <c r="DI208" s="145">
        <v>0</v>
      </c>
      <c r="DJ208" s="145">
        <v>0</v>
      </c>
      <c r="DK208" s="145">
        <v>0</v>
      </c>
      <c r="DL208" s="145">
        <v>0</v>
      </c>
      <c r="DM208" s="145">
        <v>13314.6</v>
      </c>
      <c r="DN208" s="145">
        <v>13314.6</v>
      </c>
      <c r="DO208" s="145">
        <v>22191</v>
      </c>
      <c r="DP208" s="145">
        <v>22191</v>
      </c>
      <c r="DQ208" s="145">
        <v>22191</v>
      </c>
      <c r="DR208" s="145">
        <v>0</v>
      </c>
      <c r="DS208" s="145">
        <v>0</v>
      </c>
      <c r="DT208" s="145">
        <v>0</v>
      </c>
      <c r="DU208" s="145">
        <v>0</v>
      </c>
      <c r="DV208" s="145">
        <v>0</v>
      </c>
      <c r="DW208" s="145">
        <v>0</v>
      </c>
      <c r="DX208" s="145">
        <v>0</v>
      </c>
      <c r="DY208" s="145">
        <v>0</v>
      </c>
      <c r="DZ208" s="145">
        <v>0</v>
      </c>
      <c r="EA208" s="145">
        <v>0</v>
      </c>
      <c r="EB208" s="145">
        <v>0</v>
      </c>
      <c r="EC208" s="145">
        <v>0</v>
      </c>
      <c r="ED208" s="145">
        <v>0</v>
      </c>
      <c r="EE208" s="145">
        <v>37660</v>
      </c>
      <c r="EF208" s="145">
        <v>23537.5</v>
      </c>
      <c r="EG208" s="145">
        <v>23537.5</v>
      </c>
      <c r="EH208" s="145">
        <v>23537.5</v>
      </c>
      <c r="EI208" s="145">
        <v>23537.5</v>
      </c>
      <c r="EJ208" s="145">
        <v>0</v>
      </c>
      <c r="EK208" s="145">
        <v>0</v>
      </c>
      <c r="EL208" s="145">
        <v>0</v>
      </c>
      <c r="EM208" s="145">
        <v>0</v>
      </c>
      <c r="EN208" s="145">
        <v>0</v>
      </c>
      <c r="EO208" s="145">
        <v>0</v>
      </c>
      <c r="EP208" s="145">
        <v>0</v>
      </c>
      <c r="EQ208" s="145">
        <v>0</v>
      </c>
      <c r="ER208" s="145">
        <v>0</v>
      </c>
      <c r="ES208" s="145">
        <v>0</v>
      </c>
      <c r="ET208" s="145">
        <v>0</v>
      </c>
      <c r="EU208" s="145">
        <v>0</v>
      </c>
      <c r="EV208" s="145">
        <v>0</v>
      </c>
      <c r="EW208" s="145">
        <v>0</v>
      </c>
      <c r="EX208" s="145">
        <v>0</v>
      </c>
      <c r="EY208" s="145">
        <v>0</v>
      </c>
      <c r="EZ208" s="145">
        <v>0</v>
      </c>
      <c r="FA208" s="145">
        <v>0</v>
      </c>
      <c r="FB208" s="145">
        <v>0</v>
      </c>
      <c r="FC208" s="145">
        <v>0</v>
      </c>
      <c r="FD208" s="145">
        <v>0</v>
      </c>
      <c r="FE208" s="145">
        <v>0</v>
      </c>
      <c r="FF208" s="145">
        <v>0</v>
      </c>
      <c r="FG208" s="145">
        <v>0</v>
      </c>
      <c r="FH208" s="145">
        <v>0</v>
      </c>
      <c r="FI208" s="145">
        <v>0</v>
      </c>
      <c r="FJ208" s="145">
        <v>0</v>
      </c>
      <c r="FK208" s="145">
        <v>0</v>
      </c>
      <c r="FL208" s="145">
        <v>0</v>
      </c>
      <c r="FM208" s="145">
        <v>0</v>
      </c>
      <c r="FN208" s="145">
        <v>0</v>
      </c>
      <c r="FO208" s="145">
        <v>0</v>
      </c>
      <c r="FP208" s="145">
        <v>0</v>
      </c>
      <c r="FQ208" s="145">
        <v>0</v>
      </c>
      <c r="FR208" s="145">
        <v>0</v>
      </c>
      <c r="FS208" s="145">
        <v>0</v>
      </c>
      <c r="FT208" s="145">
        <v>0</v>
      </c>
      <c r="FU208" s="145">
        <v>0</v>
      </c>
      <c r="FV208" s="145">
        <v>0</v>
      </c>
      <c r="FW208" s="145">
        <v>0</v>
      </c>
      <c r="FX208" s="143"/>
      <c r="FY208" s="146" t="str">
        <f>_xlfn.XLOOKUP($E208,'Key assumptions'!$B$112:$B$120,'Key assumptions'!$C$112:$C$120,0)</f>
        <v>Nominal</v>
      </c>
      <c r="FZ208" s="146" cm="1">
        <f t="array" ref="FZ208">IF($FY208=0,0,_xlfn.IFS($FY208='Key assumptions'!$C$120,_xlfn.XLOOKUP(LEFT(FZ$7,6),Inflation_Year,Inflation_NominaltoReal),TRUE,_xlfn.XLOOKUP($FY208,Inflation_Year,NominaltoReal)))</f>
        <v>1.0197075870962191</v>
      </c>
      <c r="GA208" s="146" cm="1">
        <f t="array" ref="GA208">IF($FY208=0,0,_xlfn.IFS($FY208='Key assumptions'!$C$120,_xlfn.XLOOKUP(LEFT(GA$7,6),Inflation_Year,Inflation_NominaltoReal),TRUE,_xlfn.XLOOKUP($FY208,Inflation_Year,NominaltoReal)))</f>
        <v>0.98700804022984445</v>
      </c>
      <c r="GB208" s="146" cm="1">
        <f t="array" ref="GB208">IF($FY208=0,0,_xlfn.IFS($FY208='Key assumptions'!$C$120,_xlfn.XLOOKUP(LEFT(GB$7,6),Inflation_Year,Inflation_NominaltoReal),TRUE,_xlfn.XLOOKUP($FY208,Inflation_Year,NominaltoReal)))</f>
        <v>0.96152830081941731</v>
      </c>
      <c r="GC208" s="146" cm="1">
        <f t="array" ref="GC208">IF($FY208=0,0,_xlfn.IFS($FY208='Key assumptions'!$C$120,_xlfn.XLOOKUP(LEFT(GC$7,6),Inflation_Year,Inflation_NominaltoReal),TRUE,_xlfn.XLOOKUP($FY208,Inflation_Year,NominaltoReal)))</f>
        <v>0.93670632415656829</v>
      </c>
      <c r="GD208" s="146" cm="1">
        <f t="array" ref="GD208">IF($FY208=0,0,_xlfn.IFS($FY208='Key assumptions'!$C$120,_xlfn.XLOOKUP(LEFT(GD$7,6),Inflation_Year,Inflation_NominaltoReal),TRUE,_xlfn.XLOOKUP($FY208,Inflation_Year,NominaltoReal)))</f>
        <v>0.91252513001143176</v>
      </c>
      <c r="GE208" s="146" cm="1">
        <f t="array" ref="GE208">IF($FY208=0,0,_xlfn.IFS($FY208='Key assumptions'!$C$120,_xlfn.XLOOKUP(LEFT(GE$7,6),Inflation_Year,Inflation_NominaltoReal),TRUE,_xlfn.XLOOKUP($FY208,Inflation_Year,NominaltoReal)))</f>
        <v>0.88896817650095872</v>
      </c>
      <c r="GF208" s="146" cm="1">
        <f t="array" ref="GF208">IF($FY208=0,0,_xlfn.IFS($FY208='Key assumptions'!$C$120,_xlfn.XLOOKUP(LEFT(GF$7,6),Inflation_Year,Inflation_NominaltoReal),TRUE,_xlfn.XLOOKUP($FY208,Inflation_Year,NominaltoReal)))</f>
        <v>0.86601934877293718</v>
      </c>
      <c r="GG208" s="143"/>
      <c r="GH208" s="145" cm="1">
        <f t="array" ref="GH208">SUMPRODUCT(--($CR$7:$FW$7&gt;=GH$5),--($CR$7:$FW$7&lt;=GH$6),$CR208:$FW208)*FZ208</f>
        <v>0</v>
      </c>
      <c r="GI208" s="145" cm="1">
        <f t="array" ref="GI208">SUMPRODUCT(--($CR$7:$FW$7&gt;=GI$5),--($CR$7:$FW$7&lt;=GI$6),$CR208:$FW208)*GA208</f>
        <v>91991.32076711001</v>
      </c>
      <c r="GJ208" s="145" cm="1">
        <f t="array" ref="GJ208">SUMPRODUCT(--($CR$7:$FW$7&gt;=GJ$5),--($CR$7:$FW$7&lt;=GJ$6),$CR208:$FW208)*GB208</f>
        <v>126739.04533100739</v>
      </c>
      <c r="GK208" s="145" cm="1">
        <f t="array" ref="GK208">SUMPRODUCT(--($CR$7:$FW$7&gt;=GK$5),--($CR$7:$FW$7&lt;=GK$6),$CR208:$FW208)*GC208</f>
        <v>0</v>
      </c>
      <c r="GL208" s="145" cm="1">
        <f t="array" ref="GL208">SUMPRODUCT(--($CR$7:$FW$7&gt;=GL$5),--($CR$7:$FW$7&lt;=GL$6),$CR208:$FW208)*GD208</f>
        <v>0</v>
      </c>
      <c r="GM208" s="145" cm="1">
        <f t="array" ref="GM208">SUMPRODUCT(--($CR$7:$FW$7&gt;=GM$5),--($CR$7:$FW$7&lt;=GM$6),$CR208:$FW208)*GE208</f>
        <v>0</v>
      </c>
      <c r="GN208" s="145" cm="1">
        <f t="array" ref="GN208">SUMPRODUCT(--($CR$7:$FW$7&gt;=GN$5),--($CR$7:$FW$7&lt;=GN$6),$CR208:$FW208)*GF208</f>
        <v>0</v>
      </c>
      <c r="GO208" s="145">
        <f t="shared" si="69"/>
        <v>218730.3660981174</v>
      </c>
      <c r="GP208" s="87"/>
      <c r="GR208" s="145" cm="1">
        <f t="array" ref="GR208">SUMPRODUCT(--($CR$7:$FW$7&gt;=GR$5),--($CR$7:$FW$7&lt;=GR$6),$CR208:$FW208)</f>
        <v>0</v>
      </c>
      <c r="GT208" s="214" cm="1">
        <f t="array" ref="GT208">--AND(MIN(IF($K208:$CP208&lt;&gt;0,$K$7:$CP$7))&gt;=GT$5,MIN(IF($K208:$CP208&lt;&gt;0,$K$7:$CP$7))&lt;=GT$6)</f>
        <v>0</v>
      </c>
      <c r="GU208" s="214" cm="1">
        <f t="array" ref="GU208">--AND(MIN(IF($K208:$CP208&lt;&gt;0,$K$7:$CP$7))&gt;=GU$5,MIN(IF($K208:$CP208&lt;&gt;0,$K$7:$CP$7))&lt;=GU$6)</f>
        <v>1</v>
      </c>
      <c r="GV208" s="214" cm="1">
        <f t="array" ref="GV208">--AND(MIN(IF($K208:$CP208&lt;&gt;0,$K$7:$CP$7))&gt;=GV$5,MIN(IF($K208:$CP208&lt;&gt;0,$K$7:$CP$7))&lt;=GV$6)</f>
        <v>0</v>
      </c>
      <c r="GW208" s="214" cm="1">
        <f t="array" ref="GW208">--AND(MIN(IF($K208:$CP208&lt;&gt;0,$K$7:$CP$7))&gt;=GW$5,MIN(IF($K208:$CP208&lt;&gt;0,$K$7:$CP$7))&lt;=GW$6)</f>
        <v>0</v>
      </c>
      <c r="GX208" s="214" cm="1">
        <f t="array" ref="GX208">--AND(MIN(IF($K208:$CP208&lt;&gt;0,$K$7:$CP$7))&gt;=GX$5,MIN(IF($K208:$CP208&lt;&gt;0,$K$7:$CP$7))&lt;=GX$6)</f>
        <v>0</v>
      </c>
      <c r="GY208" s="214" cm="1">
        <f t="array" ref="GY208">--AND(MIN(IF($K208:$CP208&lt;&gt;0,$K$7:$CP$7))&gt;=GY$5,MIN(IF($K208:$CP208&lt;&gt;0,$K$7:$CP$7))&lt;=GY$6)</f>
        <v>0</v>
      </c>
      <c r="GZ208" s="214" cm="1">
        <f t="array" ref="GZ208">--AND(MIN(IF($K208:$CP208&lt;&gt;0,$K$7:$CP$7))&gt;=GZ$5,MIN(IF($K208:$CP208&lt;&gt;0,$K$7:$CP$7))&lt;=GZ$6)</f>
        <v>0</v>
      </c>
      <c r="HA208" s="214">
        <f t="shared" si="70"/>
        <v>1</v>
      </c>
      <c r="HC208" s="214" cm="1">
        <f t="array" ref="HC208">--AND(MIN(IF($K208:$CP208&lt;&gt;0,$K$7:$CP$7))&gt;=HC$5,MIN(IF($K208:$CP208&lt;&gt;0,$K$7:$CP$7))&lt;=HC$6)</f>
        <v>0</v>
      </c>
      <c r="HE208" s="147" t="str">
        <f t="shared" si="89"/>
        <v>No</v>
      </c>
      <c r="HF208" s="147" t="str">
        <f t="shared" si="90"/>
        <v>Yes</v>
      </c>
      <c r="HG208" s="147">
        <f>IF($HF208="Yes",0,$H208*avg_hrs*12*'Key assumptions'!$D$87)</f>
        <v>0</v>
      </c>
      <c r="HH208" s="147">
        <f>IF(HE208="Yes",'Key assumptions'!$D$84*HG208,0)</f>
        <v>0</v>
      </c>
      <c r="HI208" s="144">
        <f>IFERROR(AVERAGEIFS($K208:$CP208,$K$7:$CP$7,"&gt;="&amp;'Key assumptions'!$D$24,$K$7:$CP$7,"&lt;="&amp;'Key assumptions'!$D$25),0)</f>
        <v>8.8004101161995904E-2</v>
      </c>
      <c r="HJ208" s="148">
        <f t="shared" si="91"/>
        <v>0</v>
      </c>
      <c r="HK208" s="148">
        <f t="shared" si="72"/>
        <v>0</v>
      </c>
      <c r="HL208" s="148">
        <f t="shared" si="73"/>
        <v>0</v>
      </c>
      <c r="HM208" s="148">
        <f t="shared" si="74"/>
        <v>0</v>
      </c>
      <c r="HN208" s="148">
        <f t="shared" si="75"/>
        <v>0</v>
      </c>
      <c r="HO208" s="148">
        <f t="shared" si="76"/>
        <v>0</v>
      </c>
      <c r="HP208" s="148">
        <f t="shared" si="77"/>
        <v>0</v>
      </c>
      <c r="HQ208" s="148">
        <f t="shared" si="78"/>
        <v>0</v>
      </c>
      <c r="HR208" s="147">
        <f t="shared" si="79"/>
        <v>0</v>
      </c>
      <c r="HU208" s="147">
        <f>$HJ208*HC208/(1+'Key assumptions'!G230)^0.75</f>
        <v>0</v>
      </c>
      <c r="HW208" s="216">
        <f t="shared" si="80"/>
        <v>0</v>
      </c>
      <c r="HX208" s="216">
        <f t="shared" si="81"/>
        <v>8.8004101161995904E-2</v>
      </c>
      <c r="HY208" s="216">
        <f t="shared" si="82"/>
        <v>0</v>
      </c>
      <c r="HZ208" s="216">
        <f t="shared" si="83"/>
        <v>0</v>
      </c>
      <c r="IA208" s="216">
        <f t="shared" si="84"/>
        <v>0</v>
      </c>
      <c r="IB208" s="216">
        <f t="shared" si="85"/>
        <v>0</v>
      </c>
      <c r="IC208" s="216">
        <f t="shared" si="86"/>
        <v>0</v>
      </c>
      <c r="ID208" s="216">
        <f t="shared" si="87"/>
        <v>8.8004101161995904E-2</v>
      </c>
      <c r="IF208" s="216">
        <f t="shared" si="88"/>
        <v>0</v>
      </c>
    </row>
    <row r="209" spans="2:240" x14ac:dyDescent="0.2">
      <c r="B209" s="141" t="str">
        <v>Project Delivery Management - Commissioning</v>
      </c>
      <c r="C209" s="141" t="str">
        <v>Resource Coordinator (Construction)</v>
      </c>
      <c r="D209" s="141" t="str">
        <v>Internal Labour</v>
      </c>
      <c r="E209" s="141" t="str">
        <v>$ Nominal</v>
      </c>
      <c r="F209" s="141" t="str">
        <v>Existing</v>
      </c>
      <c r="G209" s="141" t="str">
        <v>Normal time</v>
      </c>
      <c r="H209" s="142">
        <v>202.73</v>
      </c>
      <c r="I209" s="126">
        <v>78875.159999999974</v>
      </c>
      <c r="J209" s="143">
        <v>0</v>
      </c>
      <c r="K209" s="144">
        <v>0</v>
      </c>
      <c r="L209" s="144">
        <v>0</v>
      </c>
      <c r="M209" s="144">
        <v>0</v>
      </c>
      <c r="N209" s="144">
        <v>0</v>
      </c>
      <c r="O209" s="144">
        <v>0</v>
      </c>
      <c r="P209" s="144">
        <v>0</v>
      </c>
      <c r="Q209" s="144">
        <v>0</v>
      </c>
      <c r="R209" s="144">
        <v>0</v>
      </c>
      <c r="S209" s="144">
        <v>0</v>
      </c>
      <c r="T209" s="144">
        <v>0</v>
      </c>
      <c r="U209" s="144">
        <v>0</v>
      </c>
      <c r="V209" s="144">
        <v>0</v>
      </c>
      <c r="W209" s="144">
        <v>0</v>
      </c>
      <c r="X209" s="144">
        <v>0</v>
      </c>
      <c r="Y209" s="144">
        <v>0</v>
      </c>
      <c r="Z209" s="144">
        <v>0</v>
      </c>
      <c r="AA209" s="144">
        <v>0</v>
      </c>
      <c r="AB209" s="144">
        <v>0</v>
      </c>
      <c r="AC209" s="144">
        <v>0.1</v>
      </c>
      <c r="AD209" s="144">
        <v>0.1</v>
      </c>
      <c r="AE209" s="144">
        <v>0.1</v>
      </c>
      <c r="AF209" s="144">
        <v>0.1</v>
      </c>
      <c r="AG209" s="144">
        <v>0.1</v>
      </c>
      <c r="AH209" s="144">
        <v>0.13333333333333333</v>
      </c>
      <c r="AI209" s="144">
        <v>0.13333333333333333</v>
      </c>
      <c r="AJ209" s="144">
        <v>0.1</v>
      </c>
      <c r="AK209" s="144">
        <v>0.1</v>
      </c>
      <c r="AL209" s="144">
        <v>0.13333333333333333</v>
      </c>
      <c r="AM209" s="144">
        <v>9.2105263157894732E-2</v>
      </c>
      <c r="AN209" s="144">
        <v>9.2105263157894732E-2</v>
      </c>
      <c r="AO209" s="144">
        <v>0.1</v>
      </c>
      <c r="AP209" s="144">
        <v>0.1</v>
      </c>
      <c r="AQ209" s="144">
        <v>0.1</v>
      </c>
      <c r="AR209" s="144">
        <v>0.1</v>
      </c>
      <c r="AS209" s="144">
        <v>0.1</v>
      </c>
      <c r="AT209" s="144">
        <v>0.13333333333333333</v>
      </c>
      <c r="AU209" s="144">
        <v>0.13333333333333333</v>
      </c>
      <c r="AV209" s="144">
        <v>0.1</v>
      </c>
      <c r="AW209" s="144">
        <v>0.1</v>
      </c>
      <c r="AX209" s="144">
        <v>0.13333333333333333</v>
      </c>
      <c r="AY209" s="144">
        <v>9.2105263157894732E-2</v>
      </c>
      <c r="AZ209" s="144">
        <v>9.2105263157894732E-2</v>
      </c>
      <c r="BA209" s="144">
        <v>0.1</v>
      </c>
      <c r="BB209" s="144">
        <v>0.1</v>
      </c>
      <c r="BC209" s="144">
        <v>0.1</v>
      </c>
      <c r="BD209" s="144">
        <v>0</v>
      </c>
      <c r="BE209" s="144">
        <v>0</v>
      </c>
      <c r="BF209" s="144">
        <v>0</v>
      </c>
      <c r="BG209" s="144">
        <v>0</v>
      </c>
      <c r="BH209" s="144">
        <v>0</v>
      </c>
      <c r="BI209" s="144">
        <v>0</v>
      </c>
      <c r="BJ209" s="144">
        <v>0</v>
      </c>
      <c r="BK209" s="144">
        <v>0</v>
      </c>
      <c r="BL209" s="144">
        <v>0</v>
      </c>
      <c r="BM209" s="144">
        <v>0</v>
      </c>
      <c r="BN209" s="144">
        <v>0</v>
      </c>
      <c r="BO209" s="144">
        <v>0</v>
      </c>
      <c r="BP209" s="144">
        <v>0</v>
      </c>
      <c r="BQ209" s="144">
        <v>0</v>
      </c>
      <c r="BR209" s="144">
        <v>0</v>
      </c>
      <c r="BS209" s="144">
        <v>0</v>
      </c>
      <c r="BT209" s="144">
        <v>0</v>
      </c>
      <c r="BU209" s="144">
        <v>0</v>
      </c>
      <c r="BV209" s="144">
        <v>0</v>
      </c>
      <c r="BW209" s="144">
        <v>0</v>
      </c>
      <c r="BX209" s="144">
        <v>0</v>
      </c>
      <c r="BY209" s="144">
        <v>0</v>
      </c>
      <c r="BZ209" s="144">
        <v>0</v>
      </c>
      <c r="CA209" s="144">
        <v>0</v>
      </c>
      <c r="CB209" s="144">
        <v>0</v>
      </c>
      <c r="CC209" s="144">
        <v>0</v>
      </c>
      <c r="CD209" s="144">
        <v>0</v>
      </c>
      <c r="CE209" s="144">
        <v>0</v>
      </c>
      <c r="CF209" s="144">
        <v>0</v>
      </c>
      <c r="CG209" s="144">
        <v>0</v>
      </c>
      <c r="CH209" s="144">
        <v>0</v>
      </c>
      <c r="CI209" s="144">
        <v>0</v>
      </c>
      <c r="CJ209" s="144">
        <v>0</v>
      </c>
      <c r="CK209" s="144">
        <v>0</v>
      </c>
      <c r="CL209" s="144">
        <v>0</v>
      </c>
      <c r="CM209" s="144">
        <v>0</v>
      </c>
      <c r="CN209" s="144">
        <v>0</v>
      </c>
      <c r="CO209" s="144">
        <v>0</v>
      </c>
      <c r="CP209" s="144">
        <v>0</v>
      </c>
      <c r="CQ209" s="143">
        <v>0</v>
      </c>
      <c r="CR209" s="145">
        <v>0</v>
      </c>
      <c r="CS209" s="145">
        <v>0</v>
      </c>
      <c r="CT209" s="145">
        <v>0</v>
      </c>
      <c r="CU209" s="145">
        <v>0</v>
      </c>
      <c r="CV209" s="145">
        <v>0</v>
      </c>
      <c r="CW209" s="145">
        <v>0</v>
      </c>
      <c r="CX209" s="145">
        <v>0</v>
      </c>
      <c r="CY209" s="145">
        <v>0</v>
      </c>
      <c r="CZ209" s="145">
        <v>0</v>
      </c>
      <c r="DA209" s="145">
        <v>0</v>
      </c>
      <c r="DB209" s="145">
        <v>0</v>
      </c>
      <c r="DC209" s="145">
        <v>0</v>
      </c>
      <c r="DD209" s="145">
        <v>0</v>
      </c>
      <c r="DE209" s="145">
        <v>0</v>
      </c>
      <c r="DF209" s="145">
        <v>0</v>
      </c>
      <c r="DG209" s="145">
        <v>0</v>
      </c>
      <c r="DH209" s="145">
        <v>0</v>
      </c>
      <c r="DI209" s="145">
        <v>0</v>
      </c>
      <c r="DJ209" s="145">
        <v>2838.22</v>
      </c>
      <c r="DK209" s="145">
        <v>2838.22</v>
      </c>
      <c r="DL209" s="145">
        <v>2838.22</v>
      </c>
      <c r="DM209" s="145">
        <v>2838.22</v>
      </c>
      <c r="DN209" s="145">
        <v>2838.22</v>
      </c>
      <c r="DO209" s="145">
        <v>2838.22</v>
      </c>
      <c r="DP209" s="145">
        <v>2838.22</v>
      </c>
      <c r="DQ209" s="145">
        <v>2838.22</v>
      </c>
      <c r="DR209" s="145">
        <v>2924.46</v>
      </c>
      <c r="DS209" s="145">
        <v>2924.46</v>
      </c>
      <c r="DT209" s="145">
        <v>2924.46</v>
      </c>
      <c r="DU209" s="145">
        <v>2924.46</v>
      </c>
      <c r="DV209" s="145">
        <v>2924.46</v>
      </c>
      <c r="DW209" s="145">
        <v>2924.46</v>
      </c>
      <c r="DX209" s="145">
        <v>2924.46</v>
      </c>
      <c r="DY209" s="145">
        <v>2924.46</v>
      </c>
      <c r="DZ209" s="145">
        <v>2924.46</v>
      </c>
      <c r="EA209" s="145">
        <v>2924.46</v>
      </c>
      <c r="EB209" s="145">
        <v>2924.46</v>
      </c>
      <c r="EC209" s="145">
        <v>2924.46</v>
      </c>
      <c r="ED209" s="145">
        <v>3010.84</v>
      </c>
      <c r="EE209" s="145">
        <v>3010.84</v>
      </c>
      <c r="EF209" s="145">
        <v>3010.84</v>
      </c>
      <c r="EG209" s="145">
        <v>3010.84</v>
      </c>
      <c r="EH209" s="145">
        <v>3010.84</v>
      </c>
      <c r="EI209" s="145">
        <v>3010.84</v>
      </c>
      <c r="EJ209" s="145">
        <v>3010.84</v>
      </c>
      <c r="EK209" s="145">
        <v>0</v>
      </c>
      <c r="EL209" s="145">
        <v>0</v>
      </c>
      <c r="EM209" s="145">
        <v>0</v>
      </c>
      <c r="EN209" s="145">
        <v>0</v>
      </c>
      <c r="EO209" s="145">
        <v>0</v>
      </c>
      <c r="EP209" s="145">
        <v>0</v>
      </c>
      <c r="EQ209" s="145">
        <v>0</v>
      </c>
      <c r="ER209" s="145">
        <v>0</v>
      </c>
      <c r="ES209" s="145">
        <v>0</v>
      </c>
      <c r="ET209" s="145">
        <v>0</v>
      </c>
      <c r="EU209" s="145">
        <v>0</v>
      </c>
      <c r="EV209" s="145">
        <v>0</v>
      </c>
      <c r="EW209" s="145">
        <v>0</v>
      </c>
      <c r="EX209" s="145">
        <v>0</v>
      </c>
      <c r="EY209" s="145">
        <v>0</v>
      </c>
      <c r="EZ209" s="145">
        <v>0</v>
      </c>
      <c r="FA209" s="145">
        <v>0</v>
      </c>
      <c r="FB209" s="145">
        <v>0</v>
      </c>
      <c r="FC209" s="145">
        <v>0</v>
      </c>
      <c r="FD209" s="145">
        <v>0</v>
      </c>
      <c r="FE209" s="145">
        <v>0</v>
      </c>
      <c r="FF209" s="145">
        <v>0</v>
      </c>
      <c r="FG209" s="145">
        <v>0</v>
      </c>
      <c r="FH209" s="145">
        <v>0</v>
      </c>
      <c r="FI209" s="145">
        <v>0</v>
      </c>
      <c r="FJ209" s="145">
        <v>0</v>
      </c>
      <c r="FK209" s="145">
        <v>0</v>
      </c>
      <c r="FL209" s="145">
        <v>0</v>
      </c>
      <c r="FM209" s="145">
        <v>0</v>
      </c>
      <c r="FN209" s="145">
        <v>0</v>
      </c>
      <c r="FO209" s="145">
        <v>0</v>
      </c>
      <c r="FP209" s="145">
        <v>0</v>
      </c>
      <c r="FQ209" s="145">
        <v>0</v>
      </c>
      <c r="FR209" s="145">
        <v>0</v>
      </c>
      <c r="FS209" s="145">
        <v>0</v>
      </c>
      <c r="FT209" s="145">
        <v>0</v>
      </c>
      <c r="FU209" s="145">
        <v>0</v>
      </c>
      <c r="FV209" s="145">
        <v>0</v>
      </c>
      <c r="FW209" s="145">
        <v>0</v>
      </c>
      <c r="FX209" s="143"/>
      <c r="FY209" s="146" t="str">
        <f>_xlfn.XLOOKUP($E209,'Key assumptions'!$B$112:$B$120,'Key assumptions'!$C$112:$C$120,0)</f>
        <v>Nominal</v>
      </c>
      <c r="FZ209" s="146" cm="1">
        <f t="array" ref="FZ209">IF($FY209=0,0,_xlfn.IFS($FY209='Key assumptions'!$C$120,_xlfn.XLOOKUP(LEFT(FZ$7,6),Inflation_Year,Inflation_NominaltoReal),TRUE,_xlfn.XLOOKUP($FY209,Inflation_Year,NominaltoReal)))</f>
        <v>1.0197075870962191</v>
      </c>
      <c r="GA209" s="146" cm="1">
        <f t="array" ref="GA209">IF($FY209=0,0,_xlfn.IFS($FY209='Key assumptions'!$C$120,_xlfn.XLOOKUP(LEFT(GA$7,6),Inflation_Year,Inflation_NominaltoReal),TRUE,_xlfn.XLOOKUP($FY209,Inflation_Year,NominaltoReal)))</f>
        <v>0.98700804022984445</v>
      </c>
      <c r="GB209" s="146" cm="1">
        <f t="array" ref="GB209">IF($FY209=0,0,_xlfn.IFS($FY209='Key assumptions'!$C$120,_xlfn.XLOOKUP(LEFT(GB$7,6),Inflation_Year,Inflation_NominaltoReal),TRUE,_xlfn.XLOOKUP($FY209,Inflation_Year,NominaltoReal)))</f>
        <v>0.96152830081941731</v>
      </c>
      <c r="GC209" s="146" cm="1">
        <f t="array" ref="GC209">IF($FY209=0,0,_xlfn.IFS($FY209='Key assumptions'!$C$120,_xlfn.XLOOKUP(LEFT(GC$7,6),Inflation_Year,Inflation_NominaltoReal),TRUE,_xlfn.XLOOKUP($FY209,Inflation_Year,NominaltoReal)))</f>
        <v>0.93670632415656829</v>
      </c>
      <c r="GD209" s="146" cm="1">
        <f t="array" ref="GD209">IF($FY209=0,0,_xlfn.IFS($FY209='Key assumptions'!$C$120,_xlfn.XLOOKUP(LEFT(GD$7,6),Inflation_Year,Inflation_NominaltoReal),TRUE,_xlfn.XLOOKUP($FY209,Inflation_Year,NominaltoReal)))</f>
        <v>0.91252513001143176</v>
      </c>
      <c r="GE209" s="146" cm="1">
        <f t="array" ref="GE209">IF($FY209=0,0,_xlfn.IFS($FY209='Key assumptions'!$C$120,_xlfn.XLOOKUP(LEFT(GE$7,6),Inflation_Year,Inflation_NominaltoReal),TRUE,_xlfn.XLOOKUP($FY209,Inflation_Year,NominaltoReal)))</f>
        <v>0.88896817650095872</v>
      </c>
      <c r="GF209" s="146" cm="1">
        <f t="array" ref="GF209">IF($FY209=0,0,_xlfn.IFS($FY209='Key assumptions'!$C$120,_xlfn.XLOOKUP(LEFT(GF$7,6),Inflation_Year,Inflation_NominaltoReal),TRUE,_xlfn.XLOOKUP($FY209,Inflation_Year,NominaltoReal)))</f>
        <v>0.86601934877293718</v>
      </c>
      <c r="GG209" s="143"/>
      <c r="GH209" s="145" cm="1">
        <f t="array" ref="GH209">SUMPRODUCT(--($CR$7:$FW$7&gt;=GH$5),--($CR$7:$FW$7&lt;=GH$6),$CR209:$FW209)*FZ209</f>
        <v>8682.4634035446925</v>
      </c>
      <c r="GI209" s="145" cm="1">
        <f t="array" ref="GI209">SUMPRODUCT(--($CR$7:$FW$7&gt;=GI$5),--($CR$7:$FW$7&lt;=GI$6),$CR209:$FW209)*GA209</f>
        <v>34211.988533019736</v>
      </c>
      <c r="GJ209" s="145" cm="1">
        <f t="array" ref="GJ209">SUMPRODUCT(--($CR$7:$FW$7&gt;=GJ$5),--($CR$7:$FW$7&lt;=GJ$6),$CR209:$FW209)*GB209</f>
        <v>34324.810357745708</v>
      </c>
      <c r="GK209" s="145" cm="1">
        <f t="array" ref="GK209">SUMPRODUCT(--($CR$7:$FW$7&gt;=GK$5),--($CR$7:$FW$7&lt;=GK$6),$CR209:$FW209)*GC209</f>
        <v>0</v>
      </c>
      <c r="GL209" s="145" cm="1">
        <f t="array" ref="GL209">SUMPRODUCT(--($CR$7:$FW$7&gt;=GL$5),--($CR$7:$FW$7&lt;=GL$6),$CR209:$FW209)*GD209</f>
        <v>0</v>
      </c>
      <c r="GM209" s="145" cm="1">
        <f t="array" ref="GM209">SUMPRODUCT(--($CR$7:$FW$7&gt;=GM$5),--($CR$7:$FW$7&lt;=GM$6),$CR209:$FW209)*GE209</f>
        <v>0</v>
      </c>
      <c r="GN209" s="145" cm="1">
        <f t="array" ref="GN209">SUMPRODUCT(--($CR$7:$FW$7&gt;=GN$5),--($CR$7:$FW$7&lt;=GN$6),$CR209:$FW209)*GF209</f>
        <v>0</v>
      </c>
      <c r="GO209" s="145">
        <f t="shared" si="69"/>
        <v>77219.262294310145</v>
      </c>
      <c r="GP209" s="87"/>
      <c r="GR209" s="145" cm="1">
        <f t="array" ref="GR209">SUMPRODUCT(--($CR$7:$FW$7&gt;=GR$5),--($CR$7:$FW$7&lt;=GR$6),$CR209:$FW209)</f>
        <v>0</v>
      </c>
      <c r="GT209" s="214" cm="1">
        <f t="array" ref="GT209">--AND(MIN(IF($K209:$CP209&lt;&gt;0,$K$7:$CP$7))&gt;=GT$5,MIN(IF($K209:$CP209&lt;&gt;0,$K$7:$CP$7))&lt;=GT$6)</f>
        <v>1</v>
      </c>
      <c r="GU209" s="214" cm="1">
        <f t="array" ref="GU209">--AND(MIN(IF($K209:$CP209&lt;&gt;0,$K$7:$CP$7))&gt;=GU$5,MIN(IF($K209:$CP209&lt;&gt;0,$K$7:$CP$7))&lt;=GU$6)</f>
        <v>0</v>
      </c>
      <c r="GV209" s="214" cm="1">
        <f t="array" ref="GV209">--AND(MIN(IF($K209:$CP209&lt;&gt;0,$K$7:$CP$7))&gt;=GV$5,MIN(IF($K209:$CP209&lt;&gt;0,$K$7:$CP$7))&lt;=GV$6)</f>
        <v>0</v>
      </c>
      <c r="GW209" s="214" cm="1">
        <f t="array" ref="GW209">--AND(MIN(IF($K209:$CP209&lt;&gt;0,$K$7:$CP$7))&gt;=GW$5,MIN(IF($K209:$CP209&lt;&gt;0,$K$7:$CP$7))&lt;=GW$6)</f>
        <v>0</v>
      </c>
      <c r="GX209" s="214" cm="1">
        <f t="array" ref="GX209">--AND(MIN(IF($K209:$CP209&lt;&gt;0,$K$7:$CP$7))&gt;=GX$5,MIN(IF($K209:$CP209&lt;&gt;0,$K$7:$CP$7))&lt;=GX$6)</f>
        <v>0</v>
      </c>
      <c r="GY209" s="214" cm="1">
        <f t="array" ref="GY209">--AND(MIN(IF($K209:$CP209&lt;&gt;0,$K$7:$CP$7))&gt;=GY$5,MIN(IF($K209:$CP209&lt;&gt;0,$K$7:$CP$7))&lt;=GY$6)</f>
        <v>0</v>
      </c>
      <c r="GZ209" s="214" cm="1">
        <f t="array" ref="GZ209">--AND(MIN(IF($K209:$CP209&lt;&gt;0,$K$7:$CP$7))&gt;=GZ$5,MIN(IF($K209:$CP209&lt;&gt;0,$K$7:$CP$7))&lt;=GZ$6)</f>
        <v>0</v>
      </c>
      <c r="HA209" s="214">
        <f t="shared" si="70"/>
        <v>1</v>
      </c>
      <c r="HC209" s="214" cm="1">
        <f t="array" ref="HC209">--AND(MIN(IF($K209:$CP209&lt;&gt;0,$K$7:$CP$7))&gt;=HC$5,MIN(IF($K209:$CP209&lt;&gt;0,$K$7:$CP$7))&lt;=HC$6)</f>
        <v>0</v>
      </c>
      <c r="HE209" s="147" t="str">
        <f t="shared" si="89"/>
        <v>No</v>
      </c>
      <c r="HF209" s="147" t="str">
        <f t="shared" si="90"/>
        <v>No</v>
      </c>
      <c r="HG209" s="147">
        <f>IF($HF209="Yes",0,$H209*avg_hrs*12*'Key assumptions'!$D$87)</f>
        <v>362535.77629630821</v>
      </c>
      <c r="HH209" s="147">
        <f>IF(HE209="Yes",'Key assumptions'!$D$84*HG209,0)</f>
        <v>0</v>
      </c>
      <c r="HI209" s="144">
        <f>IFERROR(AVERAGEIFS($K209:$CP209,$K$7:$CP$7,"&gt;="&amp;'Key assumptions'!$D$24,$K$7:$CP$7,"&lt;="&amp;'Key assumptions'!$D$25),0)</f>
        <v>6.5191387559808633E-2</v>
      </c>
      <c r="HJ209" s="148">
        <f t="shared" si="91"/>
        <v>0</v>
      </c>
      <c r="HK209" s="148">
        <f t="shared" si="72"/>
        <v>0</v>
      </c>
      <c r="HL209" s="148">
        <f t="shared" si="73"/>
        <v>0</v>
      </c>
      <c r="HM209" s="148">
        <f t="shared" si="74"/>
        <v>0</v>
      </c>
      <c r="HN209" s="148">
        <f t="shared" si="75"/>
        <v>0</v>
      </c>
      <c r="HO209" s="148">
        <f t="shared" si="76"/>
        <v>0</v>
      </c>
      <c r="HP209" s="148">
        <f t="shared" si="77"/>
        <v>0</v>
      </c>
      <c r="HQ209" s="148">
        <f t="shared" si="78"/>
        <v>0</v>
      </c>
      <c r="HR209" s="147">
        <f t="shared" si="79"/>
        <v>0</v>
      </c>
      <c r="HU209" s="147">
        <f>$HJ209*HC209/(1+'Key assumptions'!G231)^0.75</f>
        <v>0</v>
      </c>
      <c r="HW209" s="216">
        <f t="shared" si="80"/>
        <v>6.5191387559808633E-2</v>
      </c>
      <c r="HX209" s="216">
        <f t="shared" si="81"/>
        <v>0</v>
      </c>
      <c r="HY209" s="216">
        <f t="shared" si="82"/>
        <v>0</v>
      </c>
      <c r="HZ209" s="216">
        <f t="shared" si="83"/>
        <v>0</v>
      </c>
      <c r="IA209" s="216">
        <f t="shared" si="84"/>
        <v>0</v>
      </c>
      <c r="IB209" s="216">
        <f t="shared" si="85"/>
        <v>0</v>
      </c>
      <c r="IC209" s="216">
        <f t="shared" si="86"/>
        <v>0</v>
      </c>
      <c r="ID209" s="216">
        <f t="shared" si="87"/>
        <v>6.5191387559808633E-2</v>
      </c>
      <c r="IF209" s="216">
        <f t="shared" si="88"/>
        <v>0</v>
      </c>
    </row>
    <row r="210" spans="2:240" x14ac:dyDescent="0.2">
      <c r="B210" s="141" t="str">
        <v>Project Delivery Management - Commissioning</v>
      </c>
      <c r="C210" s="141" t="str">
        <v>SCADA Officer (Nwk Operations Tech)</v>
      </c>
      <c r="D210" s="141" t="str">
        <v>Internal Labour</v>
      </c>
      <c r="E210" s="141" t="str">
        <v>$ Nominal</v>
      </c>
      <c r="F210" s="141" t="str">
        <v>Existing</v>
      </c>
      <c r="G210" s="141" t="str">
        <v>Normal time</v>
      </c>
      <c r="H210" s="142">
        <v>202.73</v>
      </c>
      <c r="I210" s="126">
        <v>203420.35</v>
      </c>
      <c r="J210" s="143">
        <v>0</v>
      </c>
      <c r="K210" s="144">
        <v>0</v>
      </c>
      <c r="L210" s="144">
        <v>0</v>
      </c>
      <c r="M210" s="144">
        <v>0</v>
      </c>
      <c r="N210" s="144">
        <v>0</v>
      </c>
      <c r="O210" s="144">
        <v>0</v>
      </c>
      <c r="P210" s="144">
        <v>0</v>
      </c>
      <c r="Q210" s="144">
        <v>0</v>
      </c>
      <c r="R210" s="144">
        <v>0</v>
      </c>
      <c r="S210" s="144">
        <v>0</v>
      </c>
      <c r="T210" s="144">
        <v>0</v>
      </c>
      <c r="U210" s="144">
        <v>0</v>
      </c>
      <c r="V210" s="144">
        <v>0</v>
      </c>
      <c r="W210" s="144">
        <v>0</v>
      </c>
      <c r="X210" s="144">
        <v>0</v>
      </c>
      <c r="Y210" s="144">
        <v>0</v>
      </c>
      <c r="Z210" s="144">
        <v>0</v>
      </c>
      <c r="AA210" s="144">
        <v>0</v>
      </c>
      <c r="AB210" s="144">
        <v>0</v>
      </c>
      <c r="AC210" s="144">
        <v>0.5</v>
      </c>
      <c r="AD210" s="144">
        <v>0.5</v>
      </c>
      <c r="AE210" s="144">
        <v>0.5</v>
      </c>
      <c r="AF210" s="144">
        <v>0.5</v>
      </c>
      <c r="AG210" s="144">
        <v>0</v>
      </c>
      <c r="AH210" s="144">
        <v>0.33333333333333331</v>
      </c>
      <c r="AI210" s="144">
        <v>0.33333333333333331</v>
      </c>
      <c r="AJ210" s="144">
        <v>0.25</v>
      </c>
      <c r="AK210" s="144">
        <v>0</v>
      </c>
      <c r="AL210" s="144">
        <v>0</v>
      </c>
      <c r="AM210" s="144">
        <v>0</v>
      </c>
      <c r="AN210" s="144">
        <v>0</v>
      </c>
      <c r="AO210" s="144">
        <v>0</v>
      </c>
      <c r="AP210" s="144">
        <v>0</v>
      </c>
      <c r="AQ210" s="144">
        <v>0.5</v>
      </c>
      <c r="AR210" s="144">
        <v>0.5</v>
      </c>
      <c r="AS210" s="144">
        <v>0.5</v>
      </c>
      <c r="AT210" s="144">
        <v>0.66666666666666663</v>
      </c>
      <c r="AU210" s="144">
        <v>0.66666666666666663</v>
      </c>
      <c r="AV210" s="144">
        <v>0.5</v>
      </c>
      <c r="AW210" s="144">
        <v>0</v>
      </c>
      <c r="AX210" s="144">
        <v>0.33333333333333331</v>
      </c>
      <c r="AY210" s="144">
        <v>0.23026315789473684</v>
      </c>
      <c r="AZ210" s="144">
        <v>0.23026315789473684</v>
      </c>
      <c r="BA210" s="144">
        <v>0.25</v>
      </c>
      <c r="BB210" s="144">
        <v>0.25</v>
      </c>
      <c r="BC210" s="144">
        <v>0</v>
      </c>
      <c r="BD210" s="144">
        <v>0</v>
      </c>
      <c r="BE210" s="144">
        <v>0</v>
      </c>
      <c r="BF210" s="144">
        <v>0</v>
      </c>
      <c r="BG210" s="144">
        <v>0</v>
      </c>
      <c r="BH210" s="144">
        <v>0</v>
      </c>
      <c r="BI210" s="144">
        <v>0</v>
      </c>
      <c r="BJ210" s="144">
        <v>0</v>
      </c>
      <c r="BK210" s="144">
        <v>0</v>
      </c>
      <c r="BL210" s="144">
        <v>0</v>
      </c>
      <c r="BM210" s="144">
        <v>0</v>
      </c>
      <c r="BN210" s="144">
        <v>0</v>
      </c>
      <c r="BO210" s="144">
        <v>0</v>
      </c>
      <c r="BP210" s="144">
        <v>0</v>
      </c>
      <c r="BQ210" s="144">
        <v>0</v>
      </c>
      <c r="BR210" s="144">
        <v>0</v>
      </c>
      <c r="BS210" s="144">
        <v>0</v>
      </c>
      <c r="BT210" s="144">
        <v>0</v>
      </c>
      <c r="BU210" s="144">
        <v>0</v>
      </c>
      <c r="BV210" s="144">
        <v>0</v>
      </c>
      <c r="BW210" s="144">
        <v>0</v>
      </c>
      <c r="BX210" s="144">
        <v>0</v>
      </c>
      <c r="BY210" s="144">
        <v>0</v>
      </c>
      <c r="BZ210" s="144">
        <v>0</v>
      </c>
      <c r="CA210" s="144">
        <v>0</v>
      </c>
      <c r="CB210" s="144">
        <v>0</v>
      </c>
      <c r="CC210" s="144">
        <v>0</v>
      </c>
      <c r="CD210" s="144">
        <v>0</v>
      </c>
      <c r="CE210" s="144">
        <v>0</v>
      </c>
      <c r="CF210" s="144">
        <v>0</v>
      </c>
      <c r="CG210" s="144">
        <v>0</v>
      </c>
      <c r="CH210" s="144">
        <v>0</v>
      </c>
      <c r="CI210" s="144">
        <v>0</v>
      </c>
      <c r="CJ210" s="144">
        <v>0</v>
      </c>
      <c r="CK210" s="144">
        <v>0</v>
      </c>
      <c r="CL210" s="144">
        <v>0</v>
      </c>
      <c r="CM210" s="144">
        <v>0</v>
      </c>
      <c r="CN210" s="144">
        <v>0</v>
      </c>
      <c r="CO210" s="144">
        <v>0</v>
      </c>
      <c r="CP210" s="144">
        <v>0</v>
      </c>
      <c r="CQ210" s="143">
        <v>0</v>
      </c>
      <c r="CR210" s="145">
        <v>0</v>
      </c>
      <c r="CS210" s="145">
        <v>0</v>
      </c>
      <c r="CT210" s="145">
        <v>0</v>
      </c>
      <c r="CU210" s="145">
        <v>0</v>
      </c>
      <c r="CV210" s="145">
        <v>0</v>
      </c>
      <c r="CW210" s="145">
        <v>0</v>
      </c>
      <c r="CX210" s="145">
        <v>0</v>
      </c>
      <c r="CY210" s="145">
        <v>0</v>
      </c>
      <c r="CZ210" s="145">
        <v>0</v>
      </c>
      <c r="DA210" s="145">
        <v>0</v>
      </c>
      <c r="DB210" s="145">
        <v>0</v>
      </c>
      <c r="DC210" s="145">
        <v>0</v>
      </c>
      <c r="DD210" s="145">
        <v>0</v>
      </c>
      <c r="DE210" s="145">
        <v>0</v>
      </c>
      <c r="DF210" s="145">
        <v>0</v>
      </c>
      <c r="DG210" s="145">
        <v>0</v>
      </c>
      <c r="DH210" s="145">
        <v>0</v>
      </c>
      <c r="DI210" s="145">
        <v>0</v>
      </c>
      <c r="DJ210" s="145">
        <v>14191.099999999999</v>
      </c>
      <c r="DK210" s="145">
        <v>14191.099999999999</v>
      </c>
      <c r="DL210" s="145">
        <v>14191.099999999999</v>
      </c>
      <c r="DM210" s="145">
        <v>14191.099999999999</v>
      </c>
      <c r="DN210" s="145">
        <v>0</v>
      </c>
      <c r="DO210" s="145">
        <v>7095.5499999999993</v>
      </c>
      <c r="DP210" s="145">
        <v>7095.5499999999993</v>
      </c>
      <c r="DQ210" s="145">
        <v>7095.5499999999993</v>
      </c>
      <c r="DR210" s="145">
        <v>0</v>
      </c>
      <c r="DS210" s="145">
        <v>0</v>
      </c>
      <c r="DT210" s="145">
        <v>0</v>
      </c>
      <c r="DU210" s="145">
        <v>0</v>
      </c>
      <c r="DV210" s="145">
        <v>0</v>
      </c>
      <c r="DW210" s="145">
        <v>0</v>
      </c>
      <c r="DX210" s="145">
        <v>14622.3</v>
      </c>
      <c r="DY210" s="145">
        <v>14622.3</v>
      </c>
      <c r="DZ210" s="145">
        <v>14622.3</v>
      </c>
      <c r="EA210" s="145">
        <v>14622.3</v>
      </c>
      <c r="EB210" s="145">
        <v>14622.3</v>
      </c>
      <c r="EC210" s="145">
        <v>14622.3</v>
      </c>
      <c r="ED210" s="145">
        <v>0</v>
      </c>
      <c r="EE210" s="145">
        <v>7527.1</v>
      </c>
      <c r="EF210" s="145">
        <v>7527.1</v>
      </c>
      <c r="EG210" s="145">
        <v>7527.1</v>
      </c>
      <c r="EH210" s="145">
        <v>7527.1</v>
      </c>
      <c r="EI210" s="145">
        <v>7527.1</v>
      </c>
      <c r="EJ210" s="145">
        <v>0</v>
      </c>
      <c r="EK210" s="145">
        <v>0</v>
      </c>
      <c r="EL210" s="145">
        <v>0</v>
      </c>
      <c r="EM210" s="145">
        <v>0</v>
      </c>
      <c r="EN210" s="145">
        <v>0</v>
      </c>
      <c r="EO210" s="145">
        <v>0</v>
      </c>
      <c r="EP210" s="145">
        <v>0</v>
      </c>
      <c r="EQ210" s="145">
        <v>0</v>
      </c>
      <c r="ER210" s="145">
        <v>0</v>
      </c>
      <c r="ES210" s="145">
        <v>0</v>
      </c>
      <c r="ET210" s="145">
        <v>0</v>
      </c>
      <c r="EU210" s="145">
        <v>0</v>
      </c>
      <c r="EV210" s="145">
        <v>0</v>
      </c>
      <c r="EW210" s="145">
        <v>0</v>
      </c>
      <c r="EX210" s="145">
        <v>0</v>
      </c>
      <c r="EY210" s="145">
        <v>0</v>
      </c>
      <c r="EZ210" s="145">
        <v>0</v>
      </c>
      <c r="FA210" s="145">
        <v>0</v>
      </c>
      <c r="FB210" s="145">
        <v>0</v>
      </c>
      <c r="FC210" s="145">
        <v>0</v>
      </c>
      <c r="FD210" s="145">
        <v>0</v>
      </c>
      <c r="FE210" s="145">
        <v>0</v>
      </c>
      <c r="FF210" s="145">
        <v>0</v>
      </c>
      <c r="FG210" s="145">
        <v>0</v>
      </c>
      <c r="FH210" s="145">
        <v>0</v>
      </c>
      <c r="FI210" s="145">
        <v>0</v>
      </c>
      <c r="FJ210" s="145">
        <v>0</v>
      </c>
      <c r="FK210" s="145">
        <v>0</v>
      </c>
      <c r="FL210" s="145">
        <v>0</v>
      </c>
      <c r="FM210" s="145">
        <v>0</v>
      </c>
      <c r="FN210" s="145">
        <v>0</v>
      </c>
      <c r="FO210" s="145">
        <v>0</v>
      </c>
      <c r="FP210" s="145">
        <v>0</v>
      </c>
      <c r="FQ210" s="145">
        <v>0</v>
      </c>
      <c r="FR210" s="145">
        <v>0</v>
      </c>
      <c r="FS210" s="145">
        <v>0</v>
      </c>
      <c r="FT210" s="145">
        <v>0</v>
      </c>
      <c r="FU210" s="145">
        <v>0</v>
      </c>
      <c r="FV210" s="145">
        <v>0</v>
      </c>
      <c r="FW210" s="145">
        <v>0</v>
      </c>
      <c r="FX210" s="143"/>
      <c r="FY210" s="146" t="str">
        <f>_xlfn.XLOOKUP($E210,'Key assumptions'!$B$112:$B$120,'Key assumptions'!$C$112:$C$120,0)</f>
        <v>Nominal</v>
      </c>
      <c r="FZ210" s="146" cm="1">
        <f t="array" ref="FZ210">IF($FY210=0,0,_xlfn.IFS($FY210='Key assumptions'!$C$120,_xlfn.XLOOKUP(LEFT(FZ$7,6),Inflation_Year,Inflation_NominaltoReal),TRUE,_xlfn.XLOOKUP($FY210,Inflation_Year,NominaltoReal)))</f>
        <v>1.0197075870962191</v>
      </c>
      <c r="GA210" s="146" cm="1">
        <f t="array" ref="GA210">IF($FY210=0,0,_xlfn.IFS($FY210='Key assumptions'!$C$120,_xlfn.XLOOKUP(LEFT(GA$7,6),Inflation_Year,Inflation_NominaltoReal),TRUE,_xlfn.XLOOKUP($FY210,Inflation_Year,NominaltoReal)))</f>
        <v>0.98700804022984445</v>
      </c>
      <c r="GB210" s="146" cm="1">
        <f t="array" ref="GB210">IF($FY210=0,0,_xlfn.IFS($FY210='Key assumptions'!$C$120,_xlfn.XLOOKUP(LEFT(GB$7,6),Inflation_Year,Inflation_NominaltoReal),TRUE,_xlfn.XLOOKUP($FY210,Inflation_Year,NominaltoReal)))</f>
        <v>0.96152830081941731</v>
      </c>
      <c r="GC210" s="146" cm="1">
        <f t="array" ref="GC210">IF($FY210=0,0,_xlfn.IFS($FY210='Key assumptions'!$C$120,_xlfn.XLOOKUP(LEFT(GC$7,6),Inflation_Year,Inflation_NominaltoReal),TRUE,_xlfn.XLOOKUP($FY210,Inflation_Year,NominaltoReal)))</f>
        <v>0.93670632415656829</v>
      </c>
      <c r="GD210" s="146" cm="1">
        <f t="array" ref="GD210">IF($FY210=0,0,_xlfn.IFS($FY210='Key assumptions'!$C$120,_xlfn.XLOOKUP(LEFT(GD$7,6),Inflation_Year,Inflation_NominaltoReal),TRUE,_xlfn.XLOOKUP($FY210,Inflation_Year,NominaltoReal)))</f>
        <v>0.91252513001143176</v>
      </c>
      <c r="GE210" s="146" cm="1">
        <f t="array" ref="GE210">IF($FY210=0,0,_xlfn.IFS($FY210='Key assumptions'!$C$120,_xlfn.XLOOKUP(LEFT(GE$7,6),Inflation_Year,Inflation_NominaltoReal),TRUE,_xlfn.XLOOKUP($FY210,Inflation_Year,NominaltoReal)))</f>
        <v>0.88896817650095872</v>
      </c>
      <c r="GF210" s="146" cm="1">
        <f t="array" ref="GF210">IF($FY210=0,0,_xlfn.IFS($FY210='Key assumptions'!$C$120,_xlfn.XLOOKUP(LEFT(GF$7,6),Inflation_Year,Inflation_NominaltoReal),TRUE,_xlfn.XLOOKUP($FY210,Inflation_Year,NominaltoReal)))</f>
        <v>0.86601934877293718</v>
      </c>
      <c r="GG210" s="143"/>
      <c r="GH210" s="145" cm="1">
        <f t="array" ref="GH210">SUMPRODUCT(--($CR$7:$FW$7&gt;=GH$5),--($CR$7:$FW$7&lt;=GH$6),$CR210:$FW210)*FZ210</f>
        <v>43412.317017723464</v>
      </c>
      <c r="GI210" s="145" cm="1">
        <f t="array" ref="GI210">SUMPRODUCT(--($CR$7:$FW$7&gt;=GI$5),--($CR$7:$FW$7&lt;=GI$6),$CR210:$FW210)*GA210</f>
        <v>49449.152165917221</v>
      </c>
      <c r="GJ210" s="145" cm="1">
        <f t="array" ref="GJ210">SUMPRODUCT(--($CR$7:$FW$7&gt;=GJ$5),--($CR$7:$FW$7&lt;=GJ$6),$CR210:$FW210)*GB210</f>
        <v>106486.37473084804</v>
      </c>
      <c r="GK210" s="145" cm="1">
        <f t="array" ref="GK210">SUMPRODUCT(--($CR$7:$FW$7&gt;=GK$5),--($CR$7:$FW$7&lt;=GK$6),$CR210:$FW210)*GC210</f>
        <v>0</v>
      </c>
      <c r="GL210" s="145" cm="1">
        <f t="array" ref="GL210">SUMPRODUCT(--($CR$7:$FW$7&gt;=GL$5),--($CR$7:$FW$7&lt;=GL$6),$CR210:$FW210)*GD210</f>
        <v>0</v>
      </c>
      <c r="GM210" s="145" cm="1">
        <f t="array" ref="GM210">SUMPRODUCT(--($CR$7:$FW$7&gt;=GM$5),--($CR$7:$FW$7&lt;=GM$6),$CR210:$FW210)*GE210</f>
        <v>0</v>
      </c>
      <c r="GN210" s="145" cm="1">
        <f t="array" ref="GN210">SUMPRODUCT(--($CR$7:$FW$7&gt;=GN$5),--($CR$7:$FW$7&lt;=GN$6),$CR210:$FW210)*GF210</f>
        <v>0</v>
      </c>
      <c r="GO210" s="145">
        <f t="shared" si="69"/>
        <v>199347.84391448874</v>
      </c>
      <c r="GP210" s="87"/>
      <c r="GR210" s="145" cm="1">
        <f t="array" ref="GR210">SUMPRODUCT(--($CR$7:$FW$7&gt;=GR$5),--($CR$7:$FW$7&lt;=GR$6),$CR210:$FW210)</f>
        <v>0</v>
      </c>
      <c r="GT210" s="214" cm="1">
        <f t="array" ref="GT210">--AND(MIN(IF($K210:$CP210&lt;&gt;0,$K$7:$CP$7))&gt;=GT$5,MIN(IF($K210:$CP210&lt;&gt;0,$K$7:$CP$7))&lt;=GT$6)</f>
        <v>1</v>
      </c>
      <c r="GU210" s="214" cm="1">
        <f t="array" ref="GU210">--AND(MIN(IF($K210:$CP210&lt;&gt;0,$K$7:$CP$7))&gt;=GU$5,MIN(IF($K210:$CP210&lt;&gt;0,$K$7:$CP$7))&lt;=GU$6)</f>
        <v>0</v>
      </c>
      <c r="GV210" s="214" cm="1">
        <f t="array" ref="GV210">--AND(MIN(IF($K210:$CP210&lt;&gt;0,$K$7:$CP$7))&gt;=GV$5,MIN(IF($K210:$CP210&lt;&gt;0,$K$7:$CP$7))&lt;=GV$6)</f>
        <v>0</v>
      </c>
      <c r="GW210" s="214" cm="1">
        <f t="array" ref="GW210">--AND(MIN(IF($K210:$CP210&lt;&gt;0,$K$7:$CP$7))&gt;=GW$5,MIN(IF($K210:$CP210&lt;&gt;0,$K$7:$CP$7))&lt;=GW$6)</f>
        <v>0</v>
      </c>
      <c r="GX210" s="214" cm="1">
        <f t="array" ref="GX210">--AND(MIN(IF($K210:$CP210&lt;&gt;0,$K$7:$CP$7))&gt;=GX$5,MIN(IF($K210:$CP210&lt;&gt;0,$K$7:$CP$7))&lt;=GX$6)</f>
        <v>0</v>
      </c>
      <c r="GY210" s="214" cm="1">
        <f t="array" ref="GY210">--AND(MIN(IF($K210:$CP210&lt;&gt;0,$K$7:$CP$7))&gt;=GY$5,MIN(IF($K210:$CP210&lt;&gt;0,$K$7:$CP$7))&lt;=GY$6)</f>
        <v>0</v>
      </c>
      <c r="GZ210" s="214" cm="1">
        <f t="array" ref="GZ210">--AND(MIN(IF($K210:$CP210&lt;&gt;0,$K$7:$CP$7))&gt;=GZ$5,MIN(IF($K210:$CP210&lt;&gt;0,$K$7:$CP$7))&lt;=GZ$6)</f>
        <v>0</v>
      </c>
      <c r="HA210" s="214">
        <f t="shared" si="70"/>
        <v>1</v>
      </c>
      <c r="HC210" s="214" cm="1">
        <f t="array" ref="HC210">--AND(MIN(IF($K210:$CP210&lt;&gt;0,$K$7:$CP$7))&gt;=HC$5,MIN(IF($K210:$CP210&lt;&gt;0,$K$7:$CP$7))&lt;=HC$6)</f>
        <v>0</v>
      </c>
      <c r="HE210" s="147" t="str">
        <f t="shared" si="89"/>
        <v>No</v>
      </c>
      <c r="HF210" s="147" t="str">
        <f t="shared" si="90"/>
        <v>No</v>
      </c>
      <c r="HG210" s="147">
        <f>IF($HF210="Yes",0,$H210*avg_hrs*12*'Key assumptions'!$D$87)</f>
        <v>362535.77629630821</v>
      </c>
      <c r="HH210" s="147">
        <f>IF(HE210="Yes",'Key assumptions'!$D$84*HG210,0)</f>
        <v>0</v>
      </c>
      <c r="HI210" s="144">
        <f>IFERROR(AVERAGEIFS($K210:$CP210,$K$7:$CP$7,"&gt;="&amp;'Key assumptions'!$D$24,$K$7:$CP$7,"&lt;="&amp;'Key assumptions'!$D$25),0)</f>
        <v>0.17145135566188199</v>
      </c>
      <c r="HJ210" s="148">
        <f t="shared" si="91"/>
        <v>0</v>
      </c>
      <c r="HK210" s="148">
        <f t="shared" si="72"/>
        <v>0</v>
      </c>
      <c r="HL210" s="148">
        <f t="shared" si="73"/>
        <v>0</v>
      </c>
      <c r="HM210" s="148">
        <f t="shared" si="74"/>
        <v>0</v>
      </c>
      <c r="HN210" s="148">
        <f t="shared" si="75"/>
        <v>0</v>
      </c>
      <c r="HO210" s="148">
        <f t="shared" si="76"/>
        <v>0</v>
      </c>
      <c r="HP210" s="148">
        <f t="shared" si="77"/>
        <v>0</v>
      </c>
      <c r="HQ210" s="148">
        <f t="shared" si="78"/>
        <v>0</v>
      </c>
      <c r="HR210" s="147">
        <f t="shared" si="79"/>
        <v>0</v>
      </c>
      <c r="HU210" s="147">
        <f>$HJ210*HC210/(1+'Key assumptions'!G232)^0.75</f>
        <v>0</v>
      </c>
      <c r="HW210" s="216">
        <f t="shared" si="80"/>
        <v>0.17145135566188199</v>
      </c>
      <c r="HX210" s="216">
        <f t="shared" si="81"/>
        <v>0</v>
      </c>
      <c r="HY210" s="216">
        <f t="shared" si="82"/>
        <v>0</v>
      </c>
      <c r="HZ210" s="216">
        <f t="shared" si="83"/>
        <v>0</v>
      </c>
      <c r="IA210" s="216">
        <f t="shared" si="84"/>
        <v>0</v>
      </c>
      <c r="IB210" s="216">
        <f t="shared" si="85"/>
        <v>0</v>
      </c>
      <c r="IC210" s="216">
        <f t="shared" si="86"/>
        <v>0</v>
      </c>
      <c r="ID210" s="216">
        <f t="shared" si="87"/>
        <v>0.17145135566188199</v>
      </c>
      <c r="IF210" s="216">
        <f t="shared" si="88"/>
        <v>0</v>
      </c>
    </row>
    <row r="211" spans="2:240" x14ac:dyDescent="0.2">
      <c r="B211" s="141" t="str">
        <v>Project Delivery Management - Commissioning</v>
      </c>
      <c r="C211" s="141" t="str">
        <v>Secondary Systems Technician (Construction)</v>
      </c>
      <c r="D211" s="141" t="str">
        <v>Internal Labour</v>
      </c>
      <c r="E211" s="141" t="str">
        <v>$ Nominal</v>
      </c>
      <c r="F211" s="141" t="str">
        <v>Existing</v>
      </c>
      <c r="G211" s="141" t="str">
        <v>Normal time</v>
      </c>
      <c r="H211" s="142">
        <v>195.66</v>
      </c>
      <c r="I211" s="126">
        <v>217139.58000000002</v>
      </c>
      <c r="J211" s="143">
        <v>0</v>
      </c>
      <c r="K211" s="144">
        <v>0</v>
      </c>
      <c r="L211" s="144">
        <v>0</v>
      </c>
      <c r="M211" s="144">
        <v>0</v>
      </c>
      <c r="N211" s="144">
        <v>0</v>
      </c>
      <c r="O211" s="144">
        <v>0</v>
      </c>
      <c r="P211" s="144">
        <v>0</v>
      </c>
      <c r="Q211" s="144">
        <v>0</v>
      </c>
      <c r="R211" s="144">
        <v>0</v>
      </c>
      <c r="S211" s="144">
        <v>0</v>
      </c>
      <c r="T211" s="144">
        <v>0</v>
      </c>
      <c r="U211" s="144">
        <v>0</v>
      </c>
      <c r="V211" s="144">
        <v>0</v>
      </c>
      <c r="W211" s="144">
        <v>0</v>
      </c>
      <c r="X211" s="144">
        <v>0</v>
      </c>
      <c r="Y211" s="144">
        <v>0</v>
      </c>
      <c r="Z211" s="144">
        <v>0</v>
      </c>
      <c r="AA211" s="144">
        <v>0</v>
      </c>
      <c r="AB211" s="144">
        <v>0</v>
      </c>
      <c r="AC211" s="144">
        <v>0</v>
      </c>
      <c r="AD211" s="144">
        <v>0</v>
      </c>
      <c r="AE211" s="144">
        <v>0</v>
      </c>
      <c r="AF211" s="144">
        <v>1.1000000000000001</v>
      </c>
      <c r="AG211" s="144">
        <v>1.55</v>
      </c>
      <c r="AH211" s="144">
        <v>0</v>
      </c>
      <c r="AI211" s="144">
        <v>2.0666666666666669</v>
      </c>
      <c r="AJ211" s="144">
        <v>1.5</v>
      </c>
      <c r="AK211" s="144">
        <v>0</v>
      </c>
      <c r="AL211" s="144">
        <v>0</v>
      </c>
      <c r="AM211" s="144">
        <v>0</v>
      </c>
      <c r="AN211" s="144">
        <v>0</v>
      </c>
      <c r="AO211" s="144">
        <v>0</v>
      </c>
      <c r="AP211" s="144">
        <v>0</v>
      </c>
      <c r="AQ211" s="144">
        <v>0</v>
      </c>
      <c r="AR211" s="144">
        <v>0</v>
      </c>
      <c r="AS211" s="144">
        <v>0</v>
      </c>
      <c r="AT211" s="144">
        <v>0</v>
      </c>
      <c r="AU211" s="144">
        <v>0</v>
      </c>
      <c r="AV211" s="144">
        <v>0</v>
      </c>
      <c r="AW211" s="144">
        <v>0</v>
      </c>
      <c r="AX211" s="144">
        <v>1.4666666666666666</v>
      </c>
      <c r="AY211" s="144">
        <v>0.46052631578947367</v>
      </c>
      <c r="AZ211" s="144">
        <v>0.46052631578947367</v>
      </c>
      <c r="BA211" s="144">
        <v>0</v>
      </c>
      <c r="BB211" s="144">
        <v>0</v>
      </c>
      <c r="BC211" s="144">
        <v>0</v>
      </c>
      <c r="BD211" s="144">
        <v>0</v>
      </c>
      <c r="BE211" s="144">
        <v>0</v>
      </c>
      <c r="BF211" s="144">
        <v>0</v>
      </c>
      <c r="BG211" s="144">
        <v>0</v>
      </c>
      <c r="BH211" s="144">
        <v>0</v>
      </c>
      <c r="BI211" s="144">
        <v>0</v>
      </c>
      <c r="BJ211" s="144">
        <v>0</v>
      </c>
      <c r="BK211" s="144">
        <v>0</v>
      </c>
      <c r="BL211" s="144">
        <v>0</v>
      </c>
      <c r="BM211" s="144">
        <v>0</v>
      </c>
      <c r="BN211" s="144">
        <v>0</v>
      </c>
      <c r="BO211" s="144">
        <v>0</v>
      </c>
      <c r="BP211" s="144">
        <v>0</v>
      </c>
      <c r="BQ211" s="144">
        <v>0</v>
      </c>
      <c r="BR211" s="144">
        <v>0</v>
      </c>
      <c r="BS211" s="144">
        <v>0</v>
      </c>
      <c r="BT211" s="144">
        <v>0</v>
      </c>
      <c r="BU211" s="144">
        <v>0</v>
      </c>
      <c r="BV211" s="144">
        <v>0</v>
      </c>
      <c r="BW211" s="144">
        <v>0</v>
      </c>
      <c r="BX211" s="144">
        <v>0</v>
      </c>
      <c r="BY211" s="144">
        <v>0</v>
      </c>
      <c r="BZ211" s="144">
        <v>0</v>
      </c>
      <c r="CA211" s="144">
        <v>0</v>
      </c>
      <c r="CB211" s="144">
        <v>0</v>
      </c>
      <c r="CC211" s="144">
        <v>0</v>
      </c>
      <c r="CD211" s="144">
        <v>0</v>
      </c>
      <c r="CE211" s="144">
        <v>0</v>
      </c>
      <c r="CF211" s="144">
        <v>0</v>
      </c>
      <c r="CG211" s="144">
        <v>0</v>
      </c>
      <c r="CH211" s="144">
        <v>0</v>
      </c>
      <c r="CI211" s="144">
        <v>0</v>
      </c>
      <c r="CJ211" s="144">
        <v>0</v>
      </c>
      <c r="CK211" s="144">
        <v>0</v>
      </c>
      <c r="CL211" s="144">
        <v>0</v>
      </c>
      <c r="CM211" s="144">
        <v>0</v>
      </c>
      <c r="CN211" s="144">
        <v>0</v>
      </c>
      <c r="CO211" s="144">
        <v>0</v>
      </c>
      <c r="CP211" s="144">
        <v>0</v>
      </c>
      <c r="CQ211" s="143">
        <v>0</v>
      </c>
      <c r="CR211" s="145">
        <v>0</v>
      </c>
      <c r="CS211" s="145">
        <v>0</v>
      </c>
      <c r="CT211" s="145">
        <v>0</v>
      </c>
      <c r="CU211" s="145">
        <v>0</v>
      </c>
      <c r="CV211" s="145">
        <v>0</v>
      </c>
      <c r="CW211" s="145">
        <v>0</v>
      </c>
      <c r="CX211" s="145">
        <v>0</v>
      </c>
      <c r="CY211" s="145">
        <v>0</v>
      </c>
      <c r="CZ211" s="145">
        <v>0</v>
      </c>
      <c r="DA211" s="145">
        <v>0</v>
      </c>
      <c r="DB211" s="145">
        <v>0</v>
      </c>
      <c r="DC211" s="145">
        <v>0</v>
      </c>
      <c r="DD211" s="145">
        <v>0</v>
      </c>
      <c r="DE211" s="145">
        <v>0</v>
      </c>
      <c r="DF211" s="145">
        <v>0</v>
      </c>
      <c r="DG211" s="145">
        <v>0</v>
      </c>
      <c r="DH211" s="145">
        <v>0</v>
      </c>
      <c r="DI211" s="145">
        <v>0</v>
      </c>
      <c r="DJ211" s="145">
        <v>0</v>
      </c>
      <c r="DK211" s="145">
        <v>0</v>
      </c>
      <c r="DL211" s="145">
        <v>0</v>
      </c>
      <c r="DM211" s="145">
        <v>30130.100000000002</v>
      </c>
      <c r="DN211" s="145">
        <v>42456.05</v>
      </c>
      <c r="DO211" s="145">
        <v>0</v>
      </c>
      <c r="DP211" s="145">
        <v>42456.05</v>
      </c>
      <c r="DQ211" s="145">
        <v>41086.5</v>
      </c>
      <c r="DR211" s="145">
        <v>0</v>
      </c>
      <c r="DS211" s="145">
        <v>0</v>
      </c>
      <c r="DT211" s="145">
        <v>0</v>
      </c>
      <c r="DU211" s="145">
        <v>0</v>
      </c>
      <c r="DV211" s="145">
        <v>0</v>
      </c>
      <c r="DW211" s="145">
        <v>0</v>
      </c>
      <c r="DX211" s="145">
        <v>0</v>
      </c>
      <c r="DY211" s="145">
        <v>0</v>
      </c>
      <c r="DZ211" s="145">
        <v>0</v>
      </c>
      <c r="EA211" s="145">
        <v>0</v>
      </c>
      <c r="EB211" s="145">
        <v>0</v>
      </c>
      <c r="EC211" s="145">
        <v>0</v>
      </c>
      <c r="ED211" s="145">
        <v>0</v>
      </c>
      <c r="EE211" s="145">
        <v>31958.080000000002</v>
      </c>
      <c r="EF211" s="145">
        <v>14526.400000000001</v>
      </c>
      <c r="EG211" s="145">
        <v>14526.400000000001</v>
      </c>
      <c r="EH211" s="145">
        <v>0</v>
      </c>
      <c r="EI211" s="145">
        <v>0</v>
      </c>
      <c r="EJ211" s="145">
        <v>0</v>
      </c>
      <c r="EK211" s="145">
        <v>0</v>
      </c>
      <c r="EL211" s="145">
        <v>0</v>
      </c>
      <c r="EM211" s="145">
        <v>0</v>
      </c>
      <c r="EN211" s="145">
        <v>0</v>
      </c>
      <c r="EO211" s="145">
        <v>0</v>
      </c>
      <c r="EP211" s="145">
        <v>0</v>
      </c>
      <c r="EQ211" s="145">
        <v>0</v>
      </c>
      <c r="ER211" s="145">
        <v>0</v>
      </c>
      <c r="ES211" s="145">
        <v>0</v>
      </c>
      <c r="ET211" s="145">
        <v>0</v>
      </c>
      <c r="EU211" s="145">
        <v>0</v>
      </c>
      <c r="EV211" s="145">
        <v>0</v>
      </c>
      <c r="EW211" s="145">
        <v>0</v>
      </c>
      <c r="EX211" s="145">
        <v>0</v>
      </c>
      <c r="EY211" s="145">
        <v>0</v>
      </c>
      <c r="EZ211" s="145">
        <v>0</v>
      </c>
      <c r="FA211" s="145">
        <v>0</v>
      </c>
      <c r="FB211" s="145">
        <v>0</v>
      </c>
      <c r="FC211" s="145">
        <v>0</v>
      </c>
      <c r="FD211" s="145">
        <v>0</v>
      </c>
      <c r="FE211" s="145">
        <v>0</v>
      </c>
      <c r="FF211" s="145">
        <v>0</v>
      </c>
      <c r="FG211" s="145">
        <v>0</v>
      </c>
      <c r="FH211" s="145">
        <v>0</v>
      </c>
      <c r="FI211" s="145">
        <v>0</v>
      </c>
      <c r="FJ211" s="145">
        <v>0</v>
      </c>
      <c r="FK211" s="145">
        <v>0</v>
      </c>
      <c r="FL211" s="145">
        <v>0</v>
      </c>
      <c r="FM211" s="145">
        <v>0</v>
      </c>
      <c r="FN211" s="145">
        <v>0</v>
      </c>
      <c r="FO211" s="145">
        <v>0</v>
      </c>
      <c r="FP211" s="145">
        <v>0</v>
      </c>
      <c r="FQ211" s="145">
        <v>0</v>
      </c>
      <c r="FR211" s="145">
        <v>0</v>
      </c>
      <c r="FS211" s="145">
        <v>0</v>
      </c>
      <c r="FT211" s="145">
        <v>0</v>
      </c>
      <c r="FU211" s="145">
        <v>0</v>
      </c>
      <c r="FV211" s="145">
        <v>0</v>
      </c>
      <c r="FW211" s="145">
        <v>0</v>
      </c>
      <c r="FX211" s="143"/>
      <c r="FY211" s="146" t="str">
        <f>_xlfn.XLOOKUP($E211,'Key assumptions'!$B$112:$B$120,'Key assumptions'!$C$112:$C$120,0)</f>
        <v>Nominal</v>
      </c>
      <c r="FZ211" s="146" cm="1">
        <f t="array" ref="FZ211">IF($FY211=0,0,_xlfn.IFS($FY211='Key assumptions'!$C$120,_xlfn.XLOOKUP(LEFT(FZ$7,6),Inflation_Year,Inflation_NominaltoReal),TRUE,_xlfn.XLOOKUP($FY211,Inflation_Year,NominaltoReal)))</f>
        <v>1.0197075870962191</v>
      </c>
      <c r="GA211" s="146" cm="1">
        <f t="array" ref="GA211">IF($FY211=0,0,_xlfn.IFS($FY211='Key assumptions'!$C$120,_xlfn.XLOOKUP(LEFT(GA$7,6),Inflation_Year,Inflation_NominaltoReal),TRUE,_xlfn.XLOOKUP($FY211,Inflation_Year,NominaltoReal)))</f>
        <v>0.98700804022984445</v>
      </c>
      <c r="GB211" s="146" cm="1">
        <f t="array" ref="GB211">IF($FY211=0,0,_xlfn.IFS($FY211='Key assumptions'!$C$120,_xlfn.XLOOKUP(LEFT(GB$7,6),Inflation_Year,Inflation_NominaltoReal),TRUE,_xlfn.XLOOKUP($FY211,Inflation_Year,NominaltoReal)))</f>
        <v>0.96152830081941731</v>
      </c>
      <c r="GC211" s="146" cm="1">
        <f t="array" ref="GC211">IF($FY211=0,0,_xlfn.IFS($FY211='Key assumptions'!$C$120,_xlfn.XLOOKUP(LEFT(GC$7,6),Inflation_Year,Inflation_NominaltoReal),TRUE,_xlfn.XLOOKUP($FY211,Inflation_Year,NominaltoReal)))</f>
        <v>0.93670632415656829</v>
      </c>
      <c r="GD211" s="146" cm="1">
        <f t="array" ref="GD211">IF($FY211=0,0,_xlfn.IFS($FY211='Key assumptions'!$C$120,_xlfn.XLOOKUP(LEFT(GD$7,6),Inflation_Year,Inflation_NominaltoReal),TRUE,_xlfn.XLOOKUP($FY211,Inflation_Year,NominaltoReal)))</f>
        <v>0.91252513001143176</v>
      </c>
      <c r="GE211" s="146" cm="1">
        <f t="array" ref="GE211">IF($FY211=0,0,_xlfn.IFS($FY211='Key assumptions'!$C$120,_xlfn.XLOOKUP(LEFT(GE$7,6),Inflation_Year,Inflation_NominaltoReal),TRUE,_xlfn.XLOOKUP($FY211,Inflation_Year,NominaltoReal)))</f>
        <v>0.88896817650095872</v>
      </c>
      <c r="GF211" s="146" cm="1">
        <f t="array" ref="GF211">IF($FY211=0,0,_xlfn.IFS($FY211='Key assumptions'!$C$120,_xlfn.XLOOKUP(LEFT(GF$7,6),Inflation_Year,Inflation_NominaltoReal),TRUE,_xlfn.XLOOKUP($FY211,Inflation_Year,NominaltoReal)))</f>
        <v>0.86601934877293718</v>
      </c>
      <c r="GG211" s="143"/>
      <c r="GH211" s="145" cm="1">
        <f t="array" ref="GH211">SUMPRODUCT(--($CR$7:$FW$7&gt;=GH$5),--($CR$7:$FW$7&lt;=GH$6),$CR211:$FW211)*FZ211</f>
        <v>0</v>
      </c>
      <c r="GI211" s="145" cm="1">
        <f t="array" ref="GI211">SUMPRODUCT(--($CR$7:$FW$7&gt;=GI$5),--($CR$7:$FW$7&lt;=GI$6),$CR211:$FW211)*GA211</f>
        <v>154100.28221063333</v>
      </c>
      <c r="GJ211" s="145" cm="1">
        <f t="array" ref="GJ211">SUMPRODUCT(--($CR$7:$FW$7&gt;=GJ$5),--($CR$7:$FW$7&lt;=GJ$6),$CR211:$FW211)*GB211</f>
        <v>58663.687777897379</v>
      </c>
      <c r="GK211" s="145" cm="1">
        <f t="array" ref="GK211">SUMPRODUCT(--($CR$7:$FW$7&gt;=GK$5),--($CR$7:$FW$7&lt;=GK$6),$CR211:$FW211)*GC211</f>
        <v>0</v>
      </c>
      <c r="GL211" s="145" cm="1">
        <f t="array" ref="GL211">SUMPRODUCT(--($CR$7:$FW$7&gt;=GL$5),--($CR$7:$FW$7&lt;=GL$6),$CR211:$FW211)*GD211</f>
        <v>0</v>
      </c>
      <c r="GM211" s="145" cm="1">
        <f t="array" ref="GM211">SUMPRODUCT(--($CR$7:$FW$7&gt;=GM$5),--($CR$7:$FW$7&lt;=GM$6),$CR211:$FW211)*GE211</f>
        <v>0</v>
      </c>
      <c r="GN211" s="145" cm="1">
        <f t="array" ref="GN211">SUMPRODUCT(--($CR$7:$FW$7&gt;=GN$5),--($CR$7:$FW$7&lt;=GN$6),$CR211:$FW211)*GF211</f>
        <v>0</v>
      </c>
      <c r="GO211" s="145">
        <f t="shared" si="69"/>
        <v>212763.96998853071</v>
      </c>
      <c r="GP211" s="87"/>
      <c r="GR211" s="145" cm="1">
        <f t="array" ref="GR211">SUMPRODUCT(--($CR$7:$FW$7&gt;=GR$5),--($CR$7:$FW$7&lt;=GR$6),$CR211:$FW211)</f>
        <v>0</v>
      </c>
      <c r="GT211" s="214" cm="1">
        <f t="array" ref="GT211">--AND(MIN(IF($K211:$CP211&lt;&gt;0,$K$7:$CP$7))&gt;=GT$5,MIN(IF($K211:$CP211&lt;&gt;0,$K$7:$CP$7))&lt;=GT$6)</f>
        <v>0</v>
      </c>
      <c r="GU211" s="214" cm="1">
        <f t="array" ref="GU211">--AND(MIN(IF($K211:$CP211&lt;&gt;0,$K$7:$CP$7))&gt;=GU$5,MIN(IF($K211:$CP211&lt;&gt;0,$K$7:$CP$7))&lt;=GU$6)</f>
        <v>1</v>
      </c>
      <c r="GV211" s="214" cm="1">
        <f t="array" ref="GV211">--AND(MIN(IF($K211:$CP211&lt;&gt;0,$K$7:$CP$7))&gt;=GV$5,MIN(IF($K211:$CP211&lt;&gt;0,$K$7:$CP$7))&lt;=GV$6)</f>
        <v>0</v>
      </c>
      <c r="GW211" s="214" cm="1">
        <f t="array" ref="GW211">--AND(MIN(IF($K211:$CP211&lt;&gt;0,$K$7:$CP$7))&gt;=GW$5,MIN(IF($K211:$CP211&lt;&gt;0,$K$7:$CP$7))&lt;=GW$6)</f>
        <v>0</v>
      </c>
      <c r="GX211" s="214" cm="1">
        <f t="array" ref="GX211">--AND(MIN(IF($K211:$CP211&lt;&gt;0,$K$7:$CP$7))&gt;=GX$5,MIN(IF($K211:$CP211&lt;&gt;0,$K$7:$CP$7))&lt;=GX$6)</f>
        <v>0</v>
      </c>
      <c r="GY211" s="214" cm="1">
        <f t="array" ref="GY211">--AND(MIN(IF($K211:$CP211&lt;&gt;0,$K$7:$CP$7))&gt;=GY$5,MIN(IF($K211:$CP211&lt;&gt;0,$K$7:$CP$7))&lt;=GY$6)</f>
        <v>0</v>
      </c>
      <c r="GZ211" s="214" cm="1">
        <f t="array" ref="GZ211">--AND(MIN(IF($K211:$CP211&lt;&gt;0,$K$7:$CP$7))&gt;=GZ$5,MIN(IF($K211:$CP211&lt;&gt;0,$K$7:$CP$7))&lt;=GZ$6)</f>
        <v>0</v>
      </c>
      <c r="HA211" s="214">
        <f t="shared" si="70"/>
        <v>1</v>
      </c>
      <c r="HC211" s="214" cm="1">
        <f t="array" ref="HC211">--AND(MIN(IF($K211:$CP211&lt;&gt;0,$K$7:$CP$7))&gt;=HC$5,MIN(IF($K211:$CP211&lt;&gt;0,$K$7:$CP$7))&lt;=HC$6)</f>
        <v>0</v>
      </c>
      <c r="HE211" s="147" t="str">
        <f t="shared" si="89"/>
        <v>No</v>
      </c>
      <c r="HF211" s="147" t="str">
        <f t="shared" si="90"/>
        <v>No</v>
      </c>
      <c r="HG211" s="147">
        <f>IF($HF211="Yes",0,$H211*avg_hrs*12*'Key assumptions'!$D$87)</f>
        <v>349892.7143991302</v>
      </c>
      <c r="HH211" s="147">
        <f>IF(HE211="Yes",'Key assumptions'!$D$84*HG211,0)</f>
        <v>0</v>
      </c>
      <c r="HI211" s="144">
        <f>IFERROR(AVERAGEIFS($K211:$CP211,$K$7:$CP$7,"&gt;="&amp;'Key assumptions'!$D$24,$K$7:$CP$7,"&lt;="&amp;'Key assumptions'!$D$25),0)</f>
        <v>0.19555422647527915</v>
      </c>
      <c r="HJ211" s="148">
        <f t="shared" si="91"/>
        <v>0</v>
      </c>
      <c r="HK211" s="148">
        <f t="shared" si="72"/>
        <v>0</v>
      </c>
      <c r="HL211" s="148">
        <f t="shared" si="73"/>
        <v>0</v>
      </c>
      <c r="HM211" s="148">
        <f t="shared" si="74"/>
        <v>0</v>
      </c>
      <c r="HN211" s="148">
        <f t="shared" si="75"/>
        <v>0</v>
      </c>
      <c r="HO211" s="148">
        <f t="shared" si="76"/>
        <v>0</v>
      </c>
      <c r="HP211" s="148">
        <f t="shared" si="77"/>
        <v>0</v>
      </c>
      <c r="HQ211" s="148">
        <f t="shared" si="78"/>
        <v>0</v>
      </c>
      <c r="HR211" s="147">
        <f t="shared" si="79"/>
        <v>0</v>
      </c>
      <c r="HU211" s="147">
        <f>$HJ211*HC211/(1+'Key assumptions'!G233)^0.75</f>
        <v>0</v>
      </c>
      <c r="HW211" s="216">
        <f t="shared" si="80"/>
        <v>0</v>
      </c>
      <c r="HX211" s="216">
        <f t="shared" si="81"/>
        <v>0.19555422647527915</v>
      </c>
      <c r="HY211" s="216">
        <f t="shared" si="82"/>
        <v>0</v>
      </c>
      <c r="HZ211" s="216">
        <f t="shared" si="83"/>
        <v>0</v>
      </c>
      <c r="IA211" s="216">
        <f t="shared" si="84"/>
        <v>0</v>
      </c>
      <c r="IB211" s="216">
        <f t="shared" si="85"/>
        <v>0</v>
      </c>
      <c r="IC211" s="216">
        <f t="shared" si="86"/>
        <v>0</v>
      </c>
      <c r="ID211" s="216">
        <f t="shared" si="87"/>
        <v>0.19555422647527915</v>
      </c>
      <c r="IF211" s="216">
        <f t="shared" si="88"/>
        <v>0</v>
      </c>
    </row>
    <row r="212" spans="2:240" x14ac:dyDescent="0.2">
      <c r="B212" s="141" t="str">
        <v>Project Delivery Management - Commissioning</v>
      </c>
      <c r="C212" s="141" t="str">
        <v>Secondary Systems Technician (Construction)</v>
      </c>
      <c r="D212" s="141" t="str">
        <v>Internal Labour</v>
      </c>
      <c r="E212" s="141" t="str">
        <v>$ Nominal</v>
      </c>
      <c r="F212" s="141">
        <v>0</v>
      </c>
      <c r="G212" s="141" t="str">
        <v>Overtime</v>
      </c>
      <c r="H212" s="142">
        <v>195.66</v>
      </c>
      <c r="I212" s="126">
        <v>131743.70000000001</v>
      </c>
      <c r="J212" s="143">
        <v>0</v>
      </c>
      <c r="K212" s="144">
        <v>0</v>
      </c>
      <c r="L212" s="144">
        <v>0</v>
      </c>
      <c r="M212" s="144">
        <v>0</v>
      </c>
      <c r="N212" s="144">
        <v>0</v>
      </c>
      <c r="O212" s="144">
        <v>0</v>
      </c>
      <c r="P212" s="144">
        <v>0</v>
      </c>
      <c r="Q212" s="144">
        <v>0</v>
      </c>
      <c r="R212" s="144">
        <v>0</v>
      </c>
      <c r="S212" s="144">
        <v>0</v>
      </c>
      <c r="T212" s="144">
        <v>0</v>
      </c>
      <c r="U212" s="144">
        <v>0</v>
      </c>
      <c r="V212" s="144">
        <v>0</v>
      </c>
      <c r="W212" s="144">
        <v>0</v>
      </c>
      <c r="X212" s="144">
        <v>0</v>
      </c>
      <c r="Y212" s="144">
        <v>0</v>
      </c>
      <c r="Z212" s="144">
        <v>0</v>
      </c>
      <c r="AA212" s="144">
        <v>0</v>
      </c>
      <c r="AB212" s="144">
        <v>0</v>
      </c>
      <c r="AC212" s="144">
        <v>0</v>
      </c>
      <c r="AD212" s="144">
        <v>0</v>
      </c>
      <c r="AE212" s="144">
        <v>0</v>
      </c>
      <c r="AF212" s="144">
        <v>0.35714285714285715</v>
      </c>
      <c r="AG212" s="144">
        <v>0.35714285714285715</v>
      </c>
      <c r="AH212" s="144">
        <v>0</v>
      </c>
      <c r="AI212" s="144">
        <v>0.5714285714285714</v>
      </c>
      <c r="AJ212" s="144">
        <v>0.42857142857142855</v>
      </c>
      <c r="AK212" s="144">
        <v>0</v>
      </c>
      <c r="AL212" s="144">
        <v>0</v>
      </c>
      <c r="AM212" s="144">
        <v>0</v>
      </c>
      <c r="AN212" s="144">
        <v>0</v>
      </c>
      <c r="AO212" s="144">
        <v>0</v>
      </c>
      <c r="AP212" s="144">
        <v>0</v>
      </c>
      <c r="AQ212" s="144">
        <v>0</v>
      </c>
      <c r="AR212" s="144">
        <v>0</v>
      </c>
      <c r="AS212" s="144">
        <v>0</v>
      </c>
      <c r="AT212" s="144">
        <v>0</v>
      </c>
      <c r="AU212" s="144">
        <v>0</v>
      </c>
      <c r="AV212" s="144">
        <v>0</v>
      </c>
      <c r="AW212" s="144">
        <v>0</v>
      </c>
      <c r="AX212" s="144">
        <v>0.47619047619047616</v>
      </c>
      <c r="AY212" s="144">
        <v>0.19736842105263158</v>
      </c>
      <c r="AZ212" s="144">
        <v>0.19736842105263158</v>
      </c>
      <c r="BA212" s="144">
        <v>0</v>
      </c>
      <c r="BB212" s="144">
        <v>0</v>
      </c>
      <c r="BC212" s="144">
        <v>0</v>
      </c>
      <c r="BD212" s="144">
        <v>0</v>
      </c>
      <c r="BE212" s="144">
        <v>0</v>
      </c>
      <c r="BF212" s="144">
        <v>0</v>
      </c>
      <c r="BG212" s="144">
        <v>0</v>
      </c>
      <c r="BH212" s="144">
        <v>0</v>
      </c>
      <c r="BI212" s="144">
        <v>0</v>
      </c>
      <c r="BJ212" s="144">
        <v>0</v>
      </c>
      <c r="BK212" s="144">
        <v>0</v>
      </c>
      <c r="BL212" s="144">
        <v>0</v>
      </c>
      <c r="BM212" s="144">
        <v>0</v>
      </c>
      <c r="BN212" s="144">
        <v>0</v>
      </c>
      <c r="BO212" s="144">
        <v>0</v>
      </c>
      <c r="BP212" s="144">
        <v>0</v>
      </c>
      <c r="BQ212" s="144">
        <v>0</v>
      </c>
      <c r="BR212" s="144">
        <v>0</v>
      </c>
      <c r="BS212" s="144">
        <v>0</v>
      </c>
      <c r="BT212" s="144">
        <v>0</v>
      </c>
      <c r="BU212" s="144">
        <v>0</v>
      </c>
      <c r="BV212" s="144">
        <v>0</v>
      </c>
      <c r="BW212" s="144">
        <v>0</v>
      </c>
      <c r="BX212" s="144">
        <v>0</v>
      </c>
      <c r="BY212" s="144">
        <v>0</v>
      </c>
      <c r="BZ212" s="144">
        <v>0</v>
      </c>
      <c r="CA212" s="144">
        <v>0</v>
      </c>
      <c r="CB212" s="144">
        <v>0</v>
      </c>
      <c r="CC212" s="144">
        <v>0</v>
      </c>
      <c r="CD212" s="144">
        <v>0</v>
      </c>
      <c r="CE212" s="144">
        <v>0</v>
      </c>
      <c r="CF212" s="144">
        <v>0</v>
      </c>
      <c r="CG212" s="144">
        <v>0</v>
      </c>
      <c r="CH212" s="144">
        <v>0</v>
      </c>
      <c r="CI212" s="144">
        <v>0</v>
      </c>
      <c r="CJ212" s="144">
        <v>0</v>
      </c>
      <c r="CK212" s="144">
        <v>0</v>
      </c>
      <c r="CL212" s="144">
        <v>0</v>
      </c>
      <c r="CM212" s="144">
        <v>0</v>
      </c>
      <c r="CN212" s="144">
        <v>0</v>
      </c>
      <c r="CO212" s="144">
        <v>0</v>
      </c>
      <c r="CP212" s="144">
        <v>0</v>
      </c>
      <c r="CQ212" s="143">
        <v>0</v>
      </c>
      <c r="CR212" s="145">
        <v>0</v>
      </c>
      <c r="CS212" s="145">
        <v>0</v>
      </c>
      <c r="CT212" s="145">
        <v>0</v>
      </c>
      <c r="CU212" s="145">
        <v>0</v>
      </c>
      <c r="CV212" s="145">
        <v>0</v>
      </c>
      <c r="CW212" s="145">
        <v>0</v>
      </c>
      <c r="CX212" s="145">
        <v>0</v>
      </c>
      <c r="CY212" s="145">
        <v>0</v>
      </c>
      <c r="CZ212" s="145">
        <v>0</v>
      </c>
      <c r="DA212" s="145">
        <v>0</v>
      </c>
      <c r="DB212" s="145">
        <v>0</v>
      </c>
      <c r="DC212" s="145">
        <v>0</v>
      </c>
      <c r="DD212" s="145">
        <v>0</v>
      </c>
      <c r="DE212" s="145">
        <v>0</v>
      </c>
      <c r="DF212" s="145">
        <v>0</v>
      </c>
      <c r="DG212" s="145">
        <v>0</v>
      </c>
      <c r="DH212" s="145">
        <v>0</v>
      </c>
      <c r="DI212" s="145">
        <v>0</v>
      </c>
      <c r="DJ212" s="145">
        <v>0</v>
      </c>
      <c r="DK212" s="145">
        <v>0</v>
      </c>
      <c r="DL212" s="145">
        <v>0</v>
      </c>
      <c r="DM212" s="145">
        <v>19565.5</v>
      </c>
      <c r="DN212" s="145">
        <v>19565.5</v>
      </c>
      <c r="DO212" s="145">
        <v>0</v>
      </c>
      <c r="DP212" s="145">
        <v>23478.6</v>
      </c>
      <c r="DQ212" s="145">
        <v>23478.6</v>
      </c>
      <c r="DR212" s="145">
        <v>0</v>
      </c>
      <c r="DS212" s="145">
        <v>0</v>
      </c>
      <c r="DT212" s="145">
        <v>0</v>
      </c>
      <c r="DU212" s="145">
        <v>0</v>
      </c>
      <c r="DV212" s="145">
        <v>0</v>
      </c>
      <c r="DW212" s="145">
        <v>0</v>
      </c>
      <c r="DX212" s="145">
        <v>0</v>
      </c>
      <c r="DY212" s="145">
        <v>0</v>
      </c>
      <c r="DZ212" s="145">
        <v>0</v>
      </c>
      <c r="EA212" s="145">
        <v>0</v>
      </c>
      <c r="EB212" s="145">
        <v>0</v>
      </c>
      <c r="EC212" s="145">
        <v>0</v>
      </c>
      <c r="ED212" s="145">
        <v>0</v>
      </c>
      <c r="EE212" s="145">
        <v>20752.5</v>
      </c>
      <c r="EF212" s="145">
        <v>12451.5</v>
      </c>
      <c r="EG212" s="145">
        <v>12451.5</v>
      </c>
      <c r="EH212" s="145">
        <v>0</v>
      </c>
      <c r="EI212" s="145">
        <v>0</v>
      </c>
      <c r="EJ212" s="145">
        <v>0</v>
      </c>
      <c r="EK212" s="145">
        <v>0</v>
      </c>
      <c r="EL212" s="145">
        <v>0</v>
      </c>
      <c r="EM212" s="145">
        <v>0</v>
      </c>
      <c r="EN212" s="145">
        <v>0</v>
      </c>
      <c r="EO212" s="145">
        <v>0</v>
      </c>
      <c r="EP212" s="145">
        <v>0</v>
      </c>
      <c r="EQ212" s="145">
        <v>0</v>
      </c>
      <c r="ER212" s="145">
        <v>0</v>
      </c>
      <c r="ES212" s="145">
        <v>0</v>
      </c>
      <c r="ET212" s="145">
        <v>0</v>
      </c>
      <c r="EU212" s="145">
        <v>0</v>
      </c>
      <c r="EV212" s="145">
        <v>0</v>
      </c>
      <c r="EW212" s="145">
        <v>0</v>
      </c>
      <c r="EX212" s="145">
        <v>0</v>
      </c>
      <c r="EY212" s="145">
        <v>0</v>
      </c>
      <c r="EZ212" s="145">
        <v>0</v>
      </c>
      <c r="FA212" s="145">
        <v>0</v>
      </c>
      <c r="FB212" s="145">
        <v>0</v>
      </c>
      <c r="FC212" s="145">
        <v>0</v>
      </c>
      <c r="FD212" s="145">
        <v>0</v>
      </c>
      <c r="FE212" s="145">
        <v>0</v>
      </c>
      <c r="FF212" s="145">
        <v>0</v>
      </c>
      <c r="FG212" s="145">
        <v>0</v>
      </c>
      <c r="FH212" s="145">
        <v>0</v>
      </c>
      <c r="FI212" s="145">
        <v>0</v>
      </c>
      <c r="FJ212" s="145">
        <v>0</v>
      </c>
      <c r="FK212" s="145">
        <v>0</v>
      </c>
      <c r="FL212" s="145">
        <v>0</v>
      </c>
      <c r="FM212" s="145">
        <v>0</v>
      </c>
      <c r="FN212" s="145">
        <v>0</v>
      </c>
      <c r="FO212" s="145">
        <v>0</v>
      </c>
      <c r="FP212" s="145">
        <v>0</v>
      </c>
      <c r="FQ212" s="145">
        <v>0</v>
      </c>
      <c r="FR212" s="145">
        <v>0</v>
      </c>
      <c r="FS212" s="145">
        <v>0</v>
      </c>
      <c r="FT212" s="145">
        <v>0</v>
      </c>
      <c r="FU212" s="145">
        <v>0</v>
      </c>
      <c r="FV212" s="145">
        <v>0</v>
      </c>
      <c r="FW212" s="145">
        <v>0</v>
      </c>
      <c r="FX212" s="143"/>
      <c r="FY212" s="146" t="str">
        <f>_xlfn.XLOOKUP($E212,'Key assumptions'!$B$112:$B$120,'Key assumptions'!$C$112:$C$120,0)</f>
        <v>Nominal</v>
      </c>
      <c r="FZ212" s="146" cm="1">
        <f t="array" ref="FZ212">IF($FY212=0,0,_xlfn.IFS($FY212='Key assumptions'!$C$120,_xlfn.XLOOKUP(LEFT(FZ$7,6),Inflation_Year,Inflation_NominaltoReal),TRUE,_xlfn.XLOOKUP($FY212,Inflation_Year,NominaltoReal)))</f>
        <v>1.0197075870962191</v>
      </c>
      <c r="GA212" s="146" cm="1">
        <f t="array" ref="GA212">IF($FY212=0,0,_xlfn.IFS($FY212='Key assumptions'!$C$120,_xlfn.XLOOKUP(LEFT(GA$7,6),Inflation_Year,Inflation_NominaltoReal),TRUE,_xlfn.XLOOKUP($FY212,Inflation_Year,NominaltoReal)))</f>
        <v>0.98700804022984445</v>
      </c>
      <c r="GB212" s="146" cm="1">
        <f t="array" ref="GB212">IF($FY212=0,0,_xlfn.IFS($FY212='Key assumptions'!$C$120,_xlfn.XLOOKUP(LEFT(GB$7,6),Inflation_Year,Inflation_NominaltoReal),TRUE,_xlfn.XLOOKUP($FY212,Inflation_Year,NominaltoReal)))</f>
        <v>0.96152830081941731</v>
      </c>
      <c r="GC212" s="146" cm="1">
        <f t="array" ref="GC212">IF($FY212=0,0,_xlfn.IFS($FY212='Key assumptions'!$C$120,_xlfn.XLOOKUP(LEFT(GC$7,6),Inflation_Year,Inflation_NominaltoReal),TRUE,_xlfn.XLOOKUP($FY212,Inflation_Year,NominaltoReal)))</f>
        <v>0.93670632415656829</v>
      </c>
      <c r="GD212" s="146" cm="1">
        <f t="array" ref="GD212">IF($FY212=0,0,_xlfn.IFS($FY212='Key assumptions'!$C$120,_xlfn.XLOOKUP(LEFT(GD$7,6),Inflation_Year,Inflation_NominaltoReal),TRUE,_xlfn.XLOOKUP($FY212,Inflation_Year,NominaltoReal)))</f>
        <v>0.91252513001143176</v>
      </c>
      <c r="GE212" s="146" cm="1">
        <f t="array" ref="GE212">IF($FY212=0,0,_xlfn.IFS($FY212='Key assumptions'!$C$120,_xlfn.XLOOKUP(LEFT(GE$7,6),Inflation_Year,Inflation_NominaltoReal),TRUE,_xlfn.XLOOKUP($FY212,Inflation_Year,NominaltoReal)))</f>
        <v>0.88896817650095872</v>
      </c>
      <c r="GF212" s="146" cm="1">
        <f t="array" ref="GF212">IF($FY212=0,0,_xlfn.IFS($FY212='Key assumptions'!$C$120,_xlfn.XLOOKUP(LEFT(GF$7,6),Inflation_Year,Inflation_NominaltoReal),TRUE,_xlfn.XLOOKUP($FY212,Inflation_Year,NominaltoReal)))</f>
        <v>0.86601934877293718</v>
      </c>
      <c r="GG212" s="143"/>
      <c r="GH212" s="145" cm="1">
        <f t="array" ref="GH212">SUMPRODUCT(--($CR$7:$FW$7&gt;=GH$5),--($CR$7:$FW$7&lt;=GH$6),$CR212:$FW212)*FZ212</f>
        <v>0</v>
      </c>
      <c r="GI212" s="145" cm="1">
        <f t="array" ref="GI212">SUMPRODUCT(--($CR$7:$FW$7&gt;=GI$5),--($CR$7:$FW$7&lt;=GI$6),$CR212:$FW212)*GA212</f>
        <v>84969.745568914892</v>
      </c>
      <c r="GJ212" s="145" cm="1">
        <f t="array" ref="GJ212">SUMPRODUCT(--($CR$7:$FW$7&gt;=GJ$5),--($CR$7:$FW$7&lt;=GJ$6),$CR212:$FW212)*GB212</f>
        <v>43899.055338060905</v>
      </c>
      <c r="GK212" s="145" cm="1">
        <f t="array" ref="GK212">SUMPRODUCT(--($CR$7:$FW$7&gt;=GK$5),--($CR$7:$FW$7&lt;=GK$6),$CR212:$FW212)*GC212</f>
        <v>0</v>
      </c>
      <c r="GL212" s="145" cm="1">
        <f t="array" ref="GL212">SUMPRODUCT(--($CR$7:$FW$7&gt;=GL$5),--($CR$7:$FW$7&lt;=GL$6),$CR212:$FW212)*GD212</f>
        <v>0</v>
      </c>
      <c r="GM212" s="145" cm="1">
        <f t="array" ref="GM212">SUMPRODUCT(--($CR$7:$FW$7&gt;=GM$5),--($CR$7:$FW$7&lt;=GM$6),$CR212:$FW212)*GE212</f>
        <v>0</v>
      </c>
      <c r="GN212" s="145" cm="1">
        <f t="array" ref="GN212">SUMPRODUCT(--($CR$7:$FW$7&gt;=GN$5),--($CR$7:$FW$7&lt;=GN$6),$CR212:$FW212)*GF212</f>
        <v>0</v>
      </c>
      <c r="GO212" s="145">
        <f t="shared" si="69"/>
        <v>128868.8009069758</v>
      </c>
      <c r="GP212" s="87"/>
      <c r="GR212" s="145" cm="1">
        <f t="array" ref="GR212">SUMPRODUCT(--($CR$7:$FW$7&gt;=GR$5),--($CR$7:$FW$7&lt;=GR$6),$CR212:$FW212)</f>
        <v>0</v>
      </c>
      <c r="GT212" s="214" cm="1">
        <f t="array" ref="GT212">--AND(MIN(IF($K212:$CP212&lt;&gt;0,$K$7:$CP$7))&gt;=GT$5,MIN(IF($K212:$CP212&lt;&gt;0,$K$7:$CP$7))&lt;=GT$6)</f>
        <v>0</v>
      </c>
      <c r="GU212" s="214" cm="1">
        <f t="array" ref="GU212">--AND(MIN(IF($K212:$CP212&lt;&gt;0,$K$7:$CP$7))&gt;=GU$5,MIN(IF($K212:$CP212&lt;&gt;0,$K$7:$CP$7))&lt;=GU$6)</f>
        <v>1</v>
      </c>
      <c r="GV212" s="214" cm="1">
        <f t="array" ref="GV212">--AND(MIN(IF($K212:$CP212&lt;&gt;0,$K$7:$CP$7))&gt;=GV$5,MIN(IF($K212:$CP212&lt;&gt;0,$K$7:$CP$7))&lt;=GV$6)</f>
        <v>0</v>
      </c>
      <c r="GW212" s="214" cm="1">
        <f t="array" ref="GW212">--AND(MIN(IF($K212:$CP212&lt;&gt;0,$K$7:$CP$7))&gt;=GW$5,MIN(IF($K212:$CP212&lt;&gt;0,$K$7:$CP$7))&lt;=GW$6)</f>
        <v>0</v>
      </c>
      <c r="GX212" s="214" cm="1">
        <f t="array" ref="GX212">--AND(MIN(IF($K212:$CP212&lt;&gt;0,$K$7:$CP$7))&gt;=GX$5,MIN(IF($K212:$CP212&lt;&gt;0,$K$7:$CP$7))&lt;=GX$6)</f>
        <v>0</v>
      </c>
      <c r="GY212" s="214" cm="1">
        <f t="array" ref="GY212">--AND(MIN(IF($K212:$CP212&lt;&gt;0,$K$7:$CP$7))&gt;=GY$5,MIN(IF($K212:$CP212&lt;&gt;0,$K$7:$CP$7))&lt;=GY$6)</f>
        <v>0</v>
      </c>
      <c r="GZ212" s="214" cm="1">
        <f t="array" ref="GZ212">--AND(MIN(IF($K212:$CP212&lt;&gt;0,$K$7:$CP$7))&gt;=GZ$5,MIN(IF($K212:$CP212&lt;&gt;0,$K$7:$CP$7))&lt;=GZ$6)</f>
        <v>0</v>
      </c>
      <c r="HA212" s="214">
        <f t="shared" si="70"/>
        <v>1</v>
      </c>
      <c r="HC212" s="214" cm="1">
        <f t="array" ref="HC212">--AND(MIN(IF($K212:$CP212&lt;&gt;0,$K$7:$CP$7))&gt;=HC$5,MIN(IF($K212:$CP212&lt;&gt;0,$K$7:$CP$7))&lt;=HC$6)</f>
        <v>0</v>
      </c>
      <c r="HE212" s="147" t="str">
        <f t="shared" si="89"/>
        <v>No</v>
      </c>
      <c r="HF212" s="147" t="str">
        <f t="shared" si="90"/>
        <v>Yes</v>
      </c>
      <c r="HG212" s="147">
        <f>IF($HF212="Yes",0,$H212*avg_hrs*12*'Key assumptions'!$D$87)</f>
        <v>0</v>
      </c>
      <c r="HH212" s="147">
        <f>IF(HE212="Yes",'Key assumptions'!$D$84*HG212,0)</f>
        <v>0</v>
      </c>
      <c r="HI212" s="144">
        <f>IFERROR(AVERAGEIFS($K212:$CP212,$K$7:$CP$7,"&gt;="&amp;'Key assumptions'!$D$24,$K$7:$CP$7,"&lt;="&amp;'Key assumptions'!$D$25),0)</f>
        <v>5.8754841649578476E-2</v>
      </c>
      <c r="HJ212" s="148">
        <f t="shared" si="91"/>
        <v>0</v>
      </c>
      <c r="HK212" s="148">
        <f t="shared" si="72"/>
        <v>0</v>
      </c>
      <c r="HL212" s="148">
        <f t="shared" si="73"/>
        <v>0</v>
      </c>
      <c r="HM212" s="148">
        <f t="shared" si="74"/>
        <v>0</v>
      </c>
      <c r="HN212" s="148">
        <f t="shared" si="75"/>
        <v>0</v>
      </c>
      <c r="HO212" s="148">
        <f t="shared" si="76"/>
        <v>0</v>
      </c>
      <c r="HP212" s="148">
        <f t="shared" si="77"/>
        <v>0</v>
      </c>
      <c r="HQ212" s="148">
        <f t="shared" si="78"/>
        <v>0</v>
      </c>
      <c r="HR212" s="147">
        <f t="shared" si="79"/>
        <v>0</v>
      </c>
      <c r="HU212" s="147">
        <f>$HJ212*HC212/(1+'Key assumptions'!G234)^0.75</f>
        <v>0</v>
      </c>
      <c r="HW212" s="216">
        <f t="shared" si="80"/>
        <v>0</v>
      </c>
      <c r="HX212" s="216">
        <f t="shared" si="81"/>
        <v>5.8754841649578476E-2</v>
      </c>
      <c r="HY212" s="216">
        <f t="shared" si="82"/>
        <v>0</v>
      </c>
      <c r="HZ212" s="216">
        <f t="shared" si="83"/>
        <v>0</v>
      </c>
      <c r="IA212" s="216">
        <f t="shared" si="84"/>
        <v>0</v>
      </c>
      <c r="IB212" s="216">
        <f t="shared" si="85"/>
        <v>0</v>
      </c>
      <c r="IC212" s="216">
        <f t="shared" si="86"/>
        <v>0</v>
      </c>
      <c r="ID212" s="216">
        <f t="shared" si="87"/>
        <v>5.8754841649578476E-2</v>
      </c>
      <c r="IF212" s="216">
        <f t="shared" si="88"/>
        <v>0</v>
      </c>
    </row>
    <row r="213" spans="2:240" x14ac:dyDescent="0.2">
      <c r="B213" s="141" t="str">
        <v>Project Delivery Management - Commissioning</v>
      </c>
      <c r="C213" s="141" t="str">
        <v>Substations Technician (Field Delivery)</v>
      </c>
      <c r="D213" s="141" t="str">
        <v>Internal Labour</v>
      </c>
      <c r="E213" s="141" t="str">
        <v>$ Nominal</v>
      </c>
      <c r="F213" s="141" t="str">
        <v>Existing</v>
      </c>
      <c r="G213" s="141" t="str">
        <v>Normal time</v>
      </c>
      <c r="H213" s="142">
        <v>157.53</v>
      </c>
      <c r="I213" s="126">
        <v>926815.20000000019</v>
      </c>
      <c r="J213" s="143">
        <v>0</v>
      </c>
      <c r="K213" s="144">
        <v>0</v>
      </c>
      <c r="L213" s="144">
        <v>0</v>
      </c>
      <c r="M213" s="144">
        <v>0</v>
      </c>
      <c r="N213" s="144">
        <v>0</v>
      </c>
      <c r="O213" s="144">
        <v>0</v>
      </c>
      <c r="P213" s="144">
        <v>0</v>
      </c>
      <c r="Q213" s="144">
        <v>0</v>
      </c>
      <c r="R213" s="144">
        <v>0</v>
      </c>
      <c r="S213" s="144">
        <v>0</v>
      </c>
      <c r="T213" s="144">
        <v>0</v>
      </c>
      <c r="U213" s="144">
        <v>0</v>
      </c>
      <c r="V213" s="144">
        <v>0</v>
      </c>
      <c r="W213" s="144">
        <v>0</v>
      </c>
      <c r="X213" s="144">
        <v>0</v>
      </c>
      <c r="Y213" s="144">
        <v>0</v>
      </c>
      <c r="Z213" s="144">
        <v>0</v>
      </c>
      <c r="AA213" s="144">
        <v>0</v>
      </c>
      <c r="AB213" s="144">
        <v>0</v>
      </c>
      <c r="AC213" s="144">
        <v>0</v>
      </c>
      <c r="AD213" s="144">
        <v>0</v>
      </c>
      <c r="AE213" s="144">
        <v>1.35</v>
      </c>
      <c r="AF213" s="144">
        <v>1.35</v>
      </c>
      <c r="AG213" s="144">
        <v>1.2749999999999999</v>
      </c>
      <c r="AH213" s="144">
        <v>1.2</v>
      </c>
      <c r="AI213" s="144">
        <v>2.2999999999999998</v>
      </c>
      <c r="AJ213" s="144">
        <v>1.2</v>
      </c>
      <c r="AK213" s="144">
        <v>1.2</v>
      </c>
      <c r="AL213" s="144">
        <v>1.9</v>
      </c>
      <c r="AM213" s="144">
        <v>1.243421052631579</v>
      </c>
      <c r="AN213" s="144">
        <v>1.174342105263158</v>
      </c>
      <c r="AO213" s="144">
        <v>1.35</v>
      </c>
      <c r="AP213" s="144">
        <v>1.2749999999999999</v>
      </c>
      <c r="AQ213" s="144">
        <v>1.35</v>
      </c>
      <c r="AR213" s="144">
        <v>1.35</v>
      </c>
      <c r="AS213" s="144">
        <v>1.2749999999999999</v>
      </c>
      <c r="AT213" s="144">
        <v>1.6</v>
      </c>
      <c r="AU213" s="144">
        <v>1.9</v>
      </c>
      <c r="AV213" s="144">
        <v>1.2</v>
      </c>
      <c r="AW213" s="144">
        <v>1.425</v>
      </c>
      <c r="AX213" s="144">
        <v>1.6</v>
      </c>
      <c r="AY213" s="144">
        <v>1.3125</v>
      </c>
      <c r="AZ213" s="144">
        <v>1.3125</v>
      </c>
      <c r="BA213" s="144">
        <v>1.2</v>
      </c>
      <c r="BB213" s="144">
        <v>1.35</v>
      </c>
      <c r="BC213" s="144">
        <v>1.2749999999999999</v>
      </c>
      <c r="BD213" s="144">
        <v>1.35</v>
      </c>
      <c r="BE213" s="144">
        <v>6.3857142857142861</v>
      </c>
      <c r="BF213" s="144">
        <v>0</v>
      </c>
      <c r="BG213" s="144">
        <v>0</v>
      </c>
      <c r="BH213" s="144">
        <v>0</v>
      </c>
      <c r="BI213" s="144">
        <v>0</v>
      </c>
      <c r="BJ213" s="144">
        <v>0</v>
      </c>
      <c r="BK213" s="144">
        <v>0</v>
      </c>
      <c r="BL213" s="144">
        <v>0</v>
      </c>
      <c r="BM213" s="144">
        <v>0</v>
      </c>
      <c r="BN213" s="144">
        <v>0</v>
      </c>
      <c r="BO213" s="144">
        <v>0</v>
      </c>
      <c r="BP213" s="144">
        <v>0</v>
      </c>
      <c r="BQ213" s="144">
        <v>0</v>
      </c>
      <c r="BR213" s="144">
        <v>0</v>
      </c>
      <c r="BS213" s="144">
        <v>0</v>
      </c>
      <c r="BT213" s="144">
        <v>0</v>
      </c>
      <c r="BU213" s="144">
        <v>0</v>
      </c>
      <c r="BV213" s="144">
        <v>0</v>
      </c>
      <c r="BW213" s="144">
        <v>0</v>
      </c>
      <c r="BX213" s="144">
        <v>0</v>
      </c>
      <c r="BY213" s="144">
        <v>0</v>
      </c>
      <c r="BZ213" s="144">
        <v>0</v>
      </c>
      <c r="CA213" s="144">
        <v>0</v>
      </c>
      <c r="CB213" s="144">
        <v>0</v>
      </c>
      <c r="CC213" s="144">
        <v>0</v>
      </c>
      <c r="CD213" s="144">
        <v>0</v>
      </c>
      <c r="CE213" s="144">
        <v>0</v>
      </c>
      <c r="CF213" s="144">
        <v>0</v>
      </c>
      <c r="CG213" s="144">
        <v>0</v>
      </c>
      <c r="CH213" s="144">
        <v>0</v>
      </c>
      <c r="CI213" s="144">
        <v>0</v>
      </c>
      <c r="CJ213" s="144">
        <v>0</v>
      </c>
      <c r="CK213" s="144">
        <v>0</v>
      </c>
      <c r="CL213" s="144">
        <v>0</v>
      </c>
      <c r="CM213" s="144">
        <v>0</v>
      </c>
      <c r="CN213" s="144">
        <v>0</v>
      </c>
      <c r="CO213" s="144">
        <v>0</v>
      </c>
      <c r="CP213" s="144">
        <v>0</v>
      </c>
      <c r="CQ213" s="143">
        <v>0</v>
      </c>
      <c r="CR213" s="145">
        <v>0</v>
      </c>
      <c r="CS213" s="145">
        <v>0</v>
      </c>
      <c r="CT213" s="145">
        <v>0</v>
      </c>
      <c r="CU213" s="145">
        <v>0</v>
      </c>
      <c r="CV213" s="145">
        <v>0</v>
      </c>
      <c r="CW213" s="145">
        <v>0</v>
      </c>
      <c r="CX213" s="145">
        <v>0</v>
      </c>
      <c r="CY213" s="145">
        <v>0</v>
      </c>
      <c r="CZ213" s="145">
        <v>0</v>
      </c>
      <c r="DA213" s="145">
        <v>0</v>
      </c>
      <c r="DB213" s="145">
        <v>0</v>
      </c>
      <c r="DC213" s="145">
        <v>0</v>
      </c>
      <c r="DD213" s="145">
        <v>0</v>
      </c>
      <c r="DE213" s="145">
        <v>0</v>
      </c>
      <c r="DF213" s="145">
        <v>0</v>
      </c>
      <c r="DG213" s="145">
        <v>0</v>
      </c>
      <c r="DH213" s="145">
        <v>0</v>
      </c>
      <c r="DI213" s="145">
        <v>0</v>
      </c>
      <c r="DJ213" s="145">
        <v>0</v>
      </c>
      <c r="DK213" s="145">
        <v>0</v>
      </c>
      <c r="DL213" s="145">
        <v>29773.170000000002</v>
      </c>
      <c r="DM213" s="145">
        <v>29773.170000000002</v>
      </c>
      <c r="DN213" s="145">
        <v>28119.105</v>
      </c>
      <c r="DO213" s="145">
        <v>19848.78</v>
      </c>
      <c r="DP213" s="145">
        <v>38043.495000000003</v>
      </c>
      <c r="DQ213" s="145">
        <v>26465.040000000001</v>
      </c>
      <c r="DR213" s="145">
        <v>27269.759999999998</v>
      </c>
      <c r="DS213" s="145">
        <v>32382.84</v>
      </c>
      <c r="DT213" s="145">
        <v>30678.48</v>
      </c>
      <c r="DU213" s="145">
        <v>28974.12</v>
      </c>
      <c r="DV213" s="145">
        <v>30678.48</v>
      </c>
      <c r="DW213" s="145">
        <v>28974.12</v>
      </c>
      <c r="DX213" s="145">
        <v>30678.48</v>
      </c>
      <c r="DY213" s="145">
        <v>30678.48</v>
      </c>
      <c r="DZ213" s="145">
        <v>28974.12</v>
      </c>
      <c r="EA213" s="145">
        <v>27269.759999999998</v>
      </c>
      <c r="EB213" s="145">
        <v>32382.84</v>
      </c>
      <c r="EC213" s="145">
        <v>27269.759999999998</v>
      </c>
      <c r="ED213" s="145">
        <v>33340.44</v>
      </c>
      <c r="EE213" s="145">
        <v>28076.16</v>
      </c>
      <c r="EF213" s="145">
        <v>33340.44</v>
      </c>
      <c r="EG213" s="145">
        <v>33340.44</v>
      </c>
      <c r="EH213" s="145">
        <v>28076.16</v>
      </c>
      <c r="EI213" s="145">
        <v>31585.68</v>
      </c>
      <c r="EJ213" s="145">
        <v>29830.920000000002</v>
      </c>
      <c r="EK213" s="145">
        <v>31585.68</v>
      </c>
      <c r="EL213" s="145">
        <v>149405.28</v>
      </c>
      <c r="EM213" s="145">
        <v>0</v>
      </c>
      <c r="EN213" s="145">
        <v>0</v>
      </c>
      <c r="EO213" s="145">
        <v>0</v>
      </c>
      <c r="EP213" s="145">
        <v>0</v>
      </c>
      <c r="EQ213" s="145">
        <v>0</v>
      </c>
      <c r="ER213" s="145">
        <v>0</v>
      </c>
      <c r="ES213" s="145">
        <v>0</v>
      </c>
      <c r="ET213" s="145">
        <v>0</v>
      </c>
      <c r="EU213" s="145">
        <v>0</v>
      </c>
      <c r="EV213" s="145">
        <v>0</v>
      </c>
      <c r="EW213" s="145">
        <v>0</v>
      </c>
      <c r="EX213" s="145">
        <v>0</v>
      </c>
      <c r="EY213" s="145">
        <v>0</v>
      </c>
      <c r="EZ213" s="145">
        <v>0</v>
      </c>
      <c r="FA213" s="145">
        <v>0</v>
      </c>
      <c r="FB213" s="145">
        <v>0</v>
      </c>
      <c r="FC213" s="145">
        <v>0</v>
      </c>
      <c r="FD213" s="145">
        <v>0</v>
      </c>
      <c r="FE213" s="145">
        <v>0</v>
      </c>
      <c r="FF213" s="145">
        <v>0</v>
      </c>
      <c r="FG213" s="145">
        <v>0</v>
      </c>
      <c r="FH213" s="145">
        <v>0</v>
      </c>
      <c r="FI213" s="145">
        <v>0</v>
      </c>
      <c r="FJ213" s="145">
        <v>0</v>
      </c>
      <c r="FK213" s="145">
        <v>0</v>
      </c>
      <c r="FL213" s="145">
        <v>0</v>
      </c>
      <c r="FM213" s="145">
        <v>0</v>
      </c>
      <c r="FN213" s="145">
        <v>0</v>
      </c>
      <c r="FO213" s="145">
        <v>0</v>
      </c>
      <c r="FP213" s="145">
        <v>0</v>
      </c>
      <c r="FQ213" s="145">
        <v>0</v>
      </c>
      <c r="FR213" s="145">
        <v>0</v>
      </c>
      <c r="FS213" s="145">
        <v>0</v>
      </c>
      <c r="FT213" s="145">
        <v>0</v>
      </c>
      <c r="FU213" s="145">
        <v>0</v>
      </c>
      <c r="FV213" s="145">
        <v>0</v>
      </c>
      <c r="FW213" s="145">
        <v>0</v>
      </c>
      <c r="FX213" s="143"/>
      <c r="FY213" s="146" t="str">
        <f>_xlfn.XLOOKUP($E213,'Key assumptions'!$B$112:$B$120,'Key assumptions'!$C$112:$C$120,0)</f>
        <v>Nominal</v>
      </c>
      <c r="FZ213" s="146" cm="1">
        <f t="array" ref="FZ213">IF($FY213=0,0,_xlfn.IFS($FY213='Key assumptions'!$C$120,_xlfn.XLOOKUP(LEFT(FZ$7,6),Inflation_Year,Inflation_NominaltoReal),TRUE,_xlfn.XLOOKUP($FY213,Inflation_Year,NominaltoReal)))</f>
        <v>1.0197075870962191</v>
      </c>
      <c r="GA213" s="146" cm="1">
        <f t="array" ref="GA213">IF($FY213=0,0,_xlfn.IFS($FY213='Key assumptions'!$C$120,_xlfn.XLOOKUP(LEFT(GA$7,6),Inflation_Year,Inflation_NominaltoReal),TRUE,_xlfn.XLOOKUP($FY213,Inflation_Year,NominaltoReal)))</f>
        <v>0.98700804022984445</v>
      </c>
      <c r="GB213" s="146" cm="1">
        <f t="array" ref="GB213">IF($FY213=0,0,_xlfn.IFS($FY213='Key assumptions'!$C$120,_xlfn.XLOOKUP(LEFT(GB$7,6),Inflation_Year,Inflation_NominaltoReal),TRUE,_xlfn.XLOOKUP($FY213,Inflation_Year,NominaltoReal)))</f>
        <v>0.96152830081941731</v>
      </c>
      <c r="GC213" s="146" cm="1">
        <f t="array" ref="GC213">IF($FY213=0,0,_xlfn.IFS($FY213='Key assumptions'!$C$120,_xlfn.XLOOKUP(LEFT(GC$7,6),Inflation_Year,Inflation_NominaltoReal),TRUE,_xlfn.XLOOKUP($FY213,Inflation_Year,NominaltoReal)))</f>
        <v>0.93670632415656829</v>
      </c>
      <c r="GD213" s="146" cm="1">
        <f t="array" ref="GD213">IF($FY213=0,0,_xlfn.IFS($FY213='Key assumptions'!$C$120,_xlfn.XLOOKUP(LEFT(GD$7,6),Inflation_Year,Inflation_NominaltoReal),TRUE,_xlfn.XLOOKUP($FY213,Inflation_Year,NominaltoReal)))</f>
        <v>0.91252513001143176</v>
      </c>
      <c r="GE213" s="146" cm="1">
        <f t="array" ref="GE213">IF($FY213=0,0,_xlfn.IFS($FY213='Key assumptions'!$C$120,_xlfn.XLOOKUP(LEFT(GE$7,6),Inflation_Year,Inflation_NominaltoReal),TRUE,_xlfn.XLOOKUP($FY213,Inflation_Year,NominaltoReal)))</f>
        <v>0.88896817650095872</v>
      </c>
      <c r="GF213" s="146" cm="1">
        <f t="array" ref="GF213">IF($FY213=0,0,_xlfn.IFS($FY213='Key assumptions'!$C$120,_xlfn.XLOOKUP(LEFT(GF$7,6),Inflation_Year,Inflation_NominaltoReal),TRUE,_xlfn.XLOOKUP($FY213,Inflation_Year,NominaltoReal)))</f>
        <v>0.86601934877293718</v>
      </c>
      <c r="GG213" s="143"/>
      <c r="GH213" s="145" cm="1">
        <f t="array" ref="GH213">SUMPRODUCT(--($CR$7:$FW$7&gt;=GH$5),--($CR$7:$FW$7&lt;=GH$6),$CR213:$FW213)*FZ213</f>
        <v>30359.927340905539</v>
      </c>
      <c r="GI213" s="145" cm="1">
        <f t="array" ref="GI213">SUMPRODUCT(--($CR$7:$FW$7&gt;=GI$5),--($CR$7:$FW$7&lt;=GI$6),$CR213:$FW213)*GA213</f>
        <v>347314.18293327378</v>
      </c>
      <c r="GJ213" s="145" cm="1">
        <f t="array" ref="GJ213">SUMPRODUCT(--($CR$7:$FW$7&gt;=GJ$5),--($CR$7:$FW$7&lt;=GJ$6),$CR213:$FW213)*GB213</f>
        <v>350155.14597356325</v>
      </c>
      <c r="GK213" s="145" cm="1">
        <f t="array" ref="GK213">SUMPRODUCT(--($CR$7:$FW$7&gt;=GK$5),--($CR$7:$FW$7&lt;=GK$6),$CR213:$FW213)*GC213</f>
        <v>169535.37684716849</v>
      </c>
      <c r="GL213" s="145" cm="1">
        <f t="array" ref="GL213">SUMPRODUCT(--($CR$7:$FW$7&gt;=GL$5),--($CR$7:$FW$7&lt;=GL$6),$CR213:$FW213)*GD213</f>
        <v>0</v>
      </c>
      <c r="GM213" s="145" cm="1">
        <f t="array" ref="GM213">SUMPRODUCT(--($CR$7:$FW$7&gt;=GM$5),--($CR$7:$FW$7&lt;=GM$6),$CR213:$FW213)*GE213</f>
        <v>0</v>
      </c>
      <c r="GN213" s="145" cm="1">
        <f t="array" ref="GN213">SUMPRODUCT(--($CR$7:$FW$7&gt;=GN$5),--($CR$7:$FW$7&lt;=GN$6),$CR213:$FW213)*GF213</f>
        <v>0</v>
      </c>
      <c r="GO213" s="145">
        <f t="shared" si="69"/>
        <v>897364.633094911</v>
      </c>
      <c r="GP213" s="87"/>
      <c r="GR213" s="145" cm="1">
        <f t="array" ref="GR213">SUMPRODUCT(--($CR$7:$FW$7&gt;=GR$5),--($CR$7:$FW$7&lt;=GR$6),$CR213:$FW213)</f>
        <v>0</v>
      </c>
      <c r="GT213" s="214" cm="1">
        <f t="array" ref="GT213">--AND(MIN(IF($K213:$CP213&lt;&gt;0,$K$7:$CP$7))&gt;=GT$5,MIN(IF($K213:$CP213&lt;&gt;0,$K$7:$CP$7))&lt;=GT$6)</f>
        <v>1</v>
      </c>
      <c r="GU213" s="214" cm="1">
        <f t="array" ref="GU213">--AND(MIN(IF($K213:$CP213&lt;&gt;0,$K$7:$CP$7))&gt;=GU$5,MIN(IF($K213:$CP213&lt;&gt;0,$K$7:$CP$7))&lt;=GU$6)</f>
        <v>0</v>
      </c>
      <c r="GV213" s="214" cm="1">
        <f t="array" ref="GV213">--AND(MIN(IF($K213:$CP213&lt;&gt;0,$K$7:$CP$7))&gt;=GV$5,MIN(IF($K213:$CP213&lt;&gt;0,$K$7:$CP$7))&lt;=GV$6)</f>
        <v>0</v>
      </c>
      <c r="GW213" s="214" cm="1">
        <f t="array" ref="GW213">--AND(MIN(IF($K213:$CP213&lt;&gt;0,$K$7:$CP$7))&gt;=GW$5,MIN(IF($K213:$CP213&lt;&gt;0,$K$7:$CP$7))&lt;=GW$6)</f>
        <v>0</v>
      </c>
      <c r="GX213" s="214" cm="1">
        <f t="array" ref="GX213">--AND(MIN(IF($K213:$CP213&lt;&gt;0,$K$7:$CP$7))&gt;=GX$5,MIN(IF($K213:$CP213&lt;&gt;0,$K$7:$CP$7))&lt;=GX$6)</f>
        <v>0</v>
      </c>
      <c r="GY213" s="214" cm="1">
        <f t="array" ref="GY213">--AND(MIN(IF($K213:$CP213&lt;&gt;0,$K$7:$CP$7))&gt;=GY$5,MIN(IF($K213:$CP213&lt;&gt;0,$K$7:$CP$7))&lt;=GY$6)</f>
        <v>0</v>
      </c>
      <c r="GZ213" s="214" cm="1">
        <f t="array" ref="GZ213">--AND(MIN(IF($K213:$CP213&lt;&gt;0,$K$7:$CP$7))&gt;=GZ$5,MIN(IF($K213:$CP213&lt;&gt;0,$K$7:$CP$7))&lt;=GZ$6)</f>
        <v>0</v>
      </c>
      <c r="HA213" s="214">
        <f t="shared" si="70"/>
        <v>1</v>
      </c>
      <c r="HC213" s="214" cm="1">
        <f t="array" ref="HC213">--AND(MIN(IF($K213:$CP213&lt;&gt;0,$K$7:$CP$7))&gt;=HC$5,MIN(IF($K213:$CP213&lt;&gt;0,$K$7:$CP$7))&lt;=HC$6)</f>
        <v>0</v>
      </c>
      <c r="HE213" s="147" t="str">
        <f t="shared" si="89"/>
        <v>No</v>
      </c>
      <c r="HF213" s="147" t="str">
        <f t="shared" si="90"/>
        <v>No</v>
      </c>
      <c r="HG213" s="147">
        <f>IF($HF213="Yes",0,$H213*avg_hrs*12*'Key assumptions'!$D$87)</f>
        <v>281706.01706682501</v>
      </c>
      <c r="HH213" s="147">
        <f>IF(HE213="Yes",'Key assumptions'!$D$84*HG213,0)</f>
        <v>0</v>
      </c>
      <c r="HI213" s="144">
        <f>IFERROR(AVERAGEIFS($K213:$CP213,$K$7:$CP$7,"&gt;="&amp;'Key assumptions'!$D$24,$K$7:$CP$7,"&lt;="&amp;'Key assumptions'!$D$25),0)</f>
        <v>0.97053357826384146</v>
      </c>
      <c r="HJ213" s="148">
        <f t="shared" si="91"/>
        <v>0</v>
      </c>
      <c r="HK213" s="148">
        <f t="shared" si="72"/>
        <v>0</v>
      </c>
      <c r="HL213" s="148">
        <f t="shared" si="73"/>
        <v>0</v>
      </c>
      <c r="HM213" s="148">
        <f t="shared" si="74"/>
        <v>0</v>
      </c>
      <c r="HN213" s="148">
        <f t="shared" si="75"/>
        <v>0</v>
      </c>
      <c r="HO213" s="148">
        <f t="shared" si="76"/>
        <v>0</v>
      </c>
      <c r="HP213" s="148">
        <f t="shared" si="77"/>
        <v>0</v>
      </c>
      <c r="HQ213" s="148">
        <f t="shared" si="78"/>
        <v>0</v>
      </c>
      <c r="HR213" s="147">
        <f t="shared" si="79"/>
        <v>0</v>
      </c>
      <c r="HU213" s="147">
        <f>$HJ213*HC213/(1+'Key assumptions'!G235)^0.75</f>
        <v>0</v>
      </c>
      <c r="HW213" s="216">
        <f t="shared" si="80"/>
        <v>0.97053357826384146</v>
      </c>
      <c r="HX213" s="216">
        <f t="shared" si="81"/>
        <v>0</v>
      </c>
      <c r="HY213" s="216">
        <f t="shared" si="82"/>
        <v>0</v>
      </c>
      <c r="HZ213" s="216">
        <f t="shared" si="83"/>
        <v>0</v>
      </c>
      <c r="IA213" s="216">
        <f t="shared" si="84"/>
        <v>0</v>
      </c>
      <c r="IB213" s="216">
        <f t="shared" si="85"/>
        <v>0</v>
      </c>
      <c r="IC213" s="216">
        <f t="shared" si="86"/>
        <v>0</v>
      </c>
      <c r="ID213" s="216">
        <f t="shared" si="87"/>
        <v>0.97053357826384146</v>
      </c>
      <c r="IF213" s="216">
        <f t="shared" si="88"/>
        <v>0</v>
      </c>
    </row>
    <row r="214" spans="2:240" x14ac:dyDescent="0.2">
      <c r="B214" s="141" t="str">
        <v>Project Delivery Management - Commissioning</v>
      </c>
      <c r="C214" s="141" t="str">
        <v>Substations Technician (Field Delivery)</v>
      </c>
      <c r="D214" s="141" t="str">
        <v>Internal Labour</v>
      </c>
      <c r="E214" s="141" t="str">
        <v>$ Nominal</v>
      </c>
      <c r="F214" s="141">
        <v>0</v>
      </c>
      <c r="G214" s="141" t="str">
        <v>Overtime</v>
      </c>
      <c r="H214" s="142">
        <v>157.53</v>
      </c>
      <c r="I214" s="126">
        <v>1334227.7700000003</v>
      </c>
      <c r="J214" s="143">
        <v>0</v>
      </c>
      <c r="K214" s="144">
        <v>0</v>
      </c>
      <c r="L214" s="144">
        <v>0</v>
      </c>
      <c r="M214" s="144">
        <v>0</v>
      </c>
      <c r="N214" s="144">
        <v>0</v>
      </c>
      <c r="O214" s="144">
        <v>0</v>
      </c>
      <c r="P214" s="144">
        <v>0</v>
      </c>
      <c r="Q214" s="144">
        <v>0</v>
      </c>
      <c r="R214" s="144">
        <v>0</v>
      </c>
      <c r="S214" s="144">
        <v>0</v>
      </c>
      <c r="T214" s="144">
        <v>0</v>
      </c>
      <c r="U214" s="144">
        <v>0</v>
      </c>
      <c r="V214" s="144">
        <v>0</v>
      </c>
      <c r="W214" s="144">
        <v>0</v>
      </c>
      <c r="X214" s="144">
        <v>0</v>
      </c>
      <c r="Y214" s="144">
        <v>0</v>
      </c>
      <c r="Z214" s="144">
        <v>0</v>
      </c>
      <c r="AA214" s="144">
        <v>0</v>
      </c>
      <c r="AB214" s="144">
        <v>0</v>
      </c>
      <c r="AC214" s="144">
        <v>0</v>
      </c>
      <c r="AD214" s="144">
        <v>0</v>
      </c>
      <c r="AE214" s="144">
        <v>1.0928571428571427</v>
      </c>
      <c r="AF214" s="144">
        <v>1.0928571428571427</v>
      </c>
      <c r="AG214" s="144">
        <v>1.0607142857142857</v>
      </c>
      <c r="AH214" s="144">
        <v>1.2</v>
      </c>
      <c r="AI214" s="144">
        <v>2.0142857142857142</v>
      </c>
      <c r="AJ214" s="144">
        <v>1.0285714285714285</v>
      </c>
      <c r="AK214" s="144">
        <v>1.0285714285714285</v>
      </c>
      <c r="AL214" s="144">
        <v>1.5</v>
      </c>
      <c r="AM214" s="144">
        <v>1.125</v>
      </c>
      <c r="AN214" s="144">
        <v>1.0953947368421053</v>
      </c>
      <c r="AO214" s="144">
        <v>1.0928571428571427</v>
      </c>
      <c r="AP214" s="144">
        <v>1.0607142857142857</v>
      </c>
      <c r="AQ214" s="144">
        <v>1.0928571428571427</v>
      </c>
      <c r="AR214" s="144">
        <v>1.0928571428571427</v>
      </c>
      <c r="AS214" s="144">
        <v>1.3178571428571428</v>
      </c>
      <c r="AT214" s="144">
        <v>1.0285714285714285</v>
      </c>
      <c r="AU214" s="144">
        <v>1.8428571428571427</v>
      </c>
      <c r="AV214" s="144">
        <v>1.0285714285714285</v>
      </c>
      <c r="AW214" s="144">
        <v>1.125</v>
      </c>
      <c r="AX214" s="144">
        <v>1.3714285714285714</v>
      </c>
      <c r="AY214" s="144">
        <v>1.2730263157894737</v>
      </c>
      <c r="AZ214" s="144">
        <v>1.2730263157894737</v>
      </c>
      <c r="BA214" s="144">
        <v>1.0285714285714285</v>
      </c>
      <c r="BB214" s="144">
        <v>1.0928571428571427</v>
      </c>
      <c r="BC214" s="144">
        <v>1.0607142857142857</v>
      </c>
      <c r="BD214" s="144">
        <v>1.0928571428571427</v>
      </c>
      <c r="BE214" s="144">
        <v>0</v>
      </c>
      <c r="BF214" s="144">
        <v>0</v>
      </c>
      <c r="BG214" s="144">
        <v>0</v>
      </c>
      <c r="BH214" s="144">
        <v>0</v>
      </c>
      <c r="BI214" s="144">
        <v>0</v>
      </c>
      <c r="BJ214" s="144">
        <v>0</v>
      </c>
      <c r="BK214" s="144">
        <v>0</v>
      </c>
      <c r="BL214" s="144">
        <v>0</v>
      </c>
      <c r="BM214" s="144">
        <v>0</v>
      </c>
      <c r="BN214" s="144">
        <v>0</v>
      </c>
      <c r="BO214" s="144">
        <v>0</v>
      </c>
      <c r="BP214" s="144">
        <v>0</v>
      </c>
      <c r="BQ214" s="144">
        <v>0</v>
      </c>
      <c r="BR214" s="144">
        <v>0</v>
      </c>
      <c r="BS214" s="144">
        <v>0</v>
      </c>
      <c r="BT214" s="144">
        <v>0</v>
      </c>
      <c r="BU214" s="144">
        <v>0</v>
      </c>
      <c r="BV214" s="144">
        <v>0</v>
      </c>
      <c r="BW214" s="144">
        <v>0</v>
      </c>
      <c r="BX214" s="144">
        <v>0</v>
      </c>
      <c r="BY214" s="144">
        <v>0</v>
      </c>
      <c r="BZ214" s="144">
        <v>0</v>
      </c>
      <c r="CA214" s="144">
        <v>0</v>
      </c>
      <c r="CB214" s="144">
        <v>0</v>
      </c>
      <c r="CC214" s="144">
        <v>0</v>
      </c>
      <c r="CD214" s="144">
        <v>0</v>
      </c>
      <c r="CE214" s="144">
        <v>0</v>
      </c>
      <c r="CF214" s="144">
        <v>0</v>
      </c>
      <c r="CG214" s="144">
        <v>0</v>
      </c>
      <c r="CH214" s="144">
        <v>0</v>
      </c>
      <c r="CI214" s="144">
        <v>0</v>
      </c>
      <c r="CJ214" s="144">
        <v>0</v>
      </c>
      <c r="CK214" s="144">
        <v>0</v>
      </c>
      <c r="CL214" s="144">
        <v>0</v>
      </c>
      <c r="CM214" s="144">
        <v>0</v>
      </c>
      <c r="CN214" s="144">
        <v>0</v>
      </c>
      <c r="CO214" s="144">
        <v>0</v>
      </c>
      <c r="CP214" s="144">
        <v>0</v>
      </c>
      <c r="CQ214" s="143">
        <v>0</v>
      </c>
      <c r="CR214" s="145">
        <v>0</v>
      </c>
      <c r="CS214" s="145">
        <v>0</v>
      </c>
      <c r="CT214" s="145">
        <v>0</v>
      </c>
      <c r="CU214" s="145">
        <v>0</v>
      </c>
      <c r="CV214" s="145">
        <v>0</v>
      </c>
      <c r="CW214" s="145">
        <v>0</v>
      </c>
      <c r="CX214" s="145">
        <v>0</v>
      </c>
      <c r="CY214" s="145">
        <v>0</v>
      </c>
      <c r="CZ214" s="145">
        <v>0</v>
      </c>
      <c r="DA214" s="145">
        <v>0</v>
      </c>
      <c r="DB214" s="145">
        <v>0</v>
      </c>
      <c r="DC214" s="145">
        <v>0</v>
      </c>
      <c r="DD214" s="145">
        <v>0</v>
      </c>
      <c r="DE214" s="145">
        <v>0</v>
      </c>
      <c r="DF214" s="145">
        <v>0</v>
      </c>
      <c r="DG214" s="145">
        <v>0</v>
      </c>
      <c r="DH214" s="145">
        <v>0</v>
      </c>
      <c r="DI214" s="145">
        <v>0</v>
      </c>
      <c r="DJ214" s="145">
        <v>0</v>
      </c>
      <c r="DK214" s="145">
        <v>0</v>
      </c>
      <c r="DL214" s="145">
        <v>48202.65</v>
      </c>
      <c r="DM214" s="145">
        <v>48202.65</v>
      </c>
      <c r="DN214" s="145">
        <v>46784.925000000003</v>
      </c>
      <c r="DO214" s="145">
        <v>39696.300000000003</v>
      </c>
      <c r="DP214" s="145">
        <v>66633.074999999997</v>
      </c>
      <c r="DQ214" s="145">
        <v>45367.200000000004</v>
      </c>
      <c r="DR214" s="145">
        <v>46748.159999999996</v>
      </c>
      <c r="DS214" s="145">
        <v>51130.799999999996</v>
      </c>
      <c r="DT214" s="145">
        <v>55513.439999999995</v>
      </c>
      <c r="DU214" s="145">
        <v>54052.56</v>
      </c>
      <c r="DV214" s="145">
        <v>49669.919999999998</v>
      </c>
      <c r="DW214" s="145">
        <v>48209.04</v>
      </c>
      <c r="DX214" s="145">
        <v>49669.919999999998</v>
      </c>
      <c r="DY214" s="145">
        <v>49669.919999999998</v>
      </c>
      <c r="DZ214" s="145">
        <v>59896.079999999994</v>
      </c>
      <c r="EA214" s="145">
        <v>35061.119999999995</v>
      </c>
      <c r="EB214" s="145">
        <v>62817.84</v>
      </c>
      <c r="EC214" s="145">
        <v>46748.159999999996</v>
      </c>
      <c r="ED214" s="145">
        <v>52641.225000000006</v>
      </c>
      <c r="EE214" s="145">
        <v>48129.120000000003</v>
      </c>
      <c r="EF214" s="145">
        <v>64673.505000000005</v>
      </c>
      <c r="EG214" s="145">
        <v>64673.505000000005</v>
      </c>
      <c r="EH214" s="145">
        <v>48129.120000000003</v>
      </c>
      <c r="EI214" s="145">
        <v>51137.19</v>
      </c>
      <c r="EJ214" s="145">
        <v>49633.155000000006</v>
      </c>
      <c r="EK214" s="145">
        <v>51137.19</v>
      </c>
      <c r="EL214" s="145">
        <v>0</v>
      </c>
      <c r="EM214" s="145">
        <v>0</v>
      </c>
      <c r="EN214" s="145">
        <v>0</v>
      </c>
      <c r="EO214" s="145">
        <v>0</v>
      </c>
      <c r="EP214" s="145">
        <v>0</v>
      </c>
      <c r="EQ214" s="145">
        <v>0</v>
      </c>
      <c r="ER214" s="145">
        <v>0</v>
      </c>
      <c r="ES214" s="145">
        <v>0</v>
      </c>
      <c r="ET214" s="145">
        <v>0</v>
      </c>
      <c r="EU214" s="145">
        <v>0</v>
      </c>
      <c r="EV214" s="145">
        <v>0</v>
      </c>
      <c r="EW214" s="145">
        <v>0</v>
      </c>
      <c r="EX214" s="145">
        <v>0</v>
      </c>
      <c r="EY214" s="145">
        <v>0</v>
      </c>
      <c r="EZ214" s="145">
        <v>0</v>
      </c>
      <c r="FA214" s="145">
        <v>0</v>
      </c>
      <c r="FB214" s="145">
        <v>0</v>
      </c>
      <c r="FC214" s="145">
        <v>0</v>
      </c>
      <c r="FD214" s="145">
        <v>0</v>
      </c>
      <c r="FE214" s="145">
        <v>0</v>
      </c>
      <c r="FF214" s="145">
        <v>0</v>
      </c>
      <c r="FG214" s="145">
        <v>0</v>
      </c>
      <c r="FH214" s="145">
        <v>0</v>
      </c>
      <c r="FI214" s="145">
        <v>0</v>
      </c>
      <c r="FJ214" s="145">
        <v>0</v>
      </c>
      <c r="FK214" s="145">
        <v>0</v>
      </c>
      <c r="FL214" s="145">
        <v>0</v>
      </c>
      <c r="FM214" s="145">
        <v>0</v>
      </c>
      <c r="FN214" s="145">
        <v>0</v>
      </c>
      <c r="FO214" s="145">
        <v>0</v>
      </c>
      <c r="FP214" s="145">
        <v>0</v>
      </c>
      <c r="FQ214" s="145">
        <v>0</v>
      </c>
      <c r="FR214" s="145">
        <v>0</v>
      </c>
      <c r="FS214" s="145">
        <v>0</v>
      </c>
      <c r="FT214" s="145">
        <v>0</v>
      </c>
      <c r="FU214" s="145">
        <v>0</v>
      </c>
      <c r="FV214" s="145">
        <v>0</v>
      </c>
      <c r="FW214" s="145">
        <v>0</v>
      </c>
      <c r="FX214" s="143"/>
      <c r="FY214" s="146" t="str">
        <f>_xlfn.XLOOKUP($E214,'Key assumptions'!$B$112:$B$120,'Key assumptions'!$C$112:$C$120,0)</f>
        <v>Nominal</v>
      </c>
      <c r="FZ214" s="146" cm="1">
        <f t="array" ref="FZ214">IF($FY214=0,0,_xlfn.IFS($FY214='Key assumptions'!$C$120,_xlfn.XLOOKUP(LEFT(FZ$7,6),Inflation_Year,Inflation_NominaltoReal),TRUE,_xlfn.XLOOKUP($FY214,Inflation_Year,NominaltoReal)))</f>
        <v>1.0197075870962191</v>
      </c>
      <c r="GA214" s="146" cm="1">
        <f t="array" ref="GA214">IF($FY214=0,0,_xlfn.IFS($FY214='Key assumptions'!$C$120,_xlfn.XLOOKUP(LEFT(GA$7,6),Inflation_Year,Inflation_NominaltoReal),TRUE,_xlfn.XLOOKUP($FY214,Inflation_Year,NominaltoReal)))</f>
        <v>0.98700804022984445</v>
      </c>
      <c r="GB214" s="146" cm="1">
        <f t="array" ref="GB214">IF($FY214=0,0,_xlfn.IFS($FY214='Key assumptions'!$C$120,_xlfn.XLOOKUP(LEFT(GB$7,6),Inflation_Year,Inflation_NominaltoReal),TRUE,_xlfn.XLOOKUP($FY214,Inflation_Year,NominaltoReal)))</f>
        <v>0.96152830081941731</v>
      </c>
      <c r="GC214" s="146" cm="1">
        <f t="array" ref="GC214">IF($FY214=0,0,_xlfn.IFS($FY214='Key assumptions'!$C$120,_xlfn.XLOOKUP(LEFT(GC$7,6),Inflation_Year,Inflation_NominaltoReal),TRUE,_xlfn.XLOOKUP($FY214,Inflation_Year,NominaltoReal)))</f>
        <v>0.93670632415656829</v>
      </c>
      <c r="GD214" s="146" cm="1">
        <f t="array" ref="GD214">IF($FY214=0,0,_xlfn.IFS($FY214='Key assumptions'!$C$120,_xlfn.XLOOKUP(LEFT(GD$7,6),Inflation_Year,Inflation_NominaltoReal),TRUE,_xlfn.XLOOKUP($FY214,Inflation_Year,NominaltoReal)))</f>
        <v>0.91252513001143176</v>
      </c>
      <c r="GE214" s="146" cm="1">
        <f t="array" ref="GE214">IF($FY214=0,0,_xlfn.IFS($FY214='Key assumptions'!$C$120,_xlfn.XLOOKUP(LEFT(GE$7,6),Inflation_Year,Inflation_NominaltoReal),TRUE,_xlfn.XLOOKUP($FY214,Inflation_Year,NominaltoReal)))</f>
        <v>0.88896817650095872</v>
      </c>
      <c r="GF214" s="146" cm="1">
        <f t="array" ref="GF214">IF($FY214=0,0,_xlfn.IFS($FY214='Key assumptions'!$C$120,_xlfn.XLOOKUP(LEFT(GF$7,6),Inflation_Year,Inflation_NominaltoReal),TRUE,_xlfn.XLOOKUP($FY214,Inflation_Year,NominaltoReal)))</f>
        <v>0.86601934877293718</v>
      </c>
      <c r="GG214" s="143"/>
      <c r="GH214" s="145" cm="1">
        <f t="array" ref="GH214">SUMPRODUCT(--($CR$7:$FW$7&gt;=GH$5),--($CR$7:$FW$7&lt;=GH$6),$CR214:$FW214)*FZ214</f>
        <v>49152.607923143565</v>
      </c>
      <c r="GI214" s="145" cm="1">
        <f t="array" ref="GI214">SUMPRODUCT(--($CR$7:$FW$7&gt;=GI$5),--($CR$7:$FW$7&lt;=GI$6),$CR214:$FW214)*GA214</f>
        <v>593861.01375933189</v>
      </c>
      <c r="GJ214" s="145" cm="1">
        <f t="array" ref="GJ214">SUMPRODUCT(--($CR$7:$FW$7&gt;=GJ$5),--($CR$7:$FW$7&lt;=GJ$6),$CR214:$FW214)*GB214</f>
        <v>608849.27767016517</v>
      </c>
      <c r="GK214" s="145" cm="1">
        <f t="array" ref="GK214">SUMPRODUCT(--($CR$7:$FW$7&gt;=GK$5),--($CR$7:$FW$7&lt;=GK$6),$CR214:$FW214)*GC214</f>
        <v>47900.529272596024</v>
      </c>
      <c r="GL214" s="145" cm="1">
        <f t="array" ref="GL214">SUMPRODUCT(--($CR$7:$FW$7&gt;=GL$5),--($CR$7:$FW$7&lt;=GL$6),$CR214:$FW214)*GD214</f>
        <v>0</v>
      </c>
      <c r="GM214" s="145" cm="1">
        <f t="array" ref="GM214">SUMPRODUCT(--($CR$7:$FW$7&gt;=GM$5),--($CR$7:$FW$7&lt;=GM$6),$CR214:$FW214)*GE214</f>
        <v>0</v>
      </c>
      <c r="GN214" s="145" cm="1">
        <f t="array" ref="GN214">SUMPRODUCT(--($CR$7:$FW$7&gt;=GN$5),--($CR$7:$FW$7&lt;=GN$6),$CR214:$FW214)*GF214</f>
        <v>0</v>
      </c>
      <c r="GO214" s="145">
        <f t="shared" si="69"/>
        <v>1299763.4286252367</v>
      </c>
      <c r="GP214" s="87"/>
      <c r="GR214" s="145" cm="1">
        <f t="array" ref="GR214">SUMPRODUCT(--($CR$7:$FW$7&gt;=GR$5),--($CR$7:$FW$7&lt;=GR$6),$CR214:$FW214)</f>
        <v>0</v>
      </c>
      <c r="GT214" s="214" cm="1">
        <f t="array" ref="GT214">--AND(MIN(IF($K214:$CP214&lt;&gt;0,$K$7:$CP$7))&gt;=GT$5,MIN(IF($K214:$CP214&lt;&gt;0,$K$7:$CP$7))&lt;=GT$6)</f>
        <v>1</v>
      </c>
      <c r="GU214" s="214" cm="1">
        <f t="array" ref="GU214">--AND(MIN(IF($K214:$CP214&lt;&gt;0,$K$7:$CP$7))&gt;=GU$5,MIN(IF($K214:$CP214&lt;&gt;0,$K$7:$CP$7))&lt;=GU$6)</f>
        <v>0</v>
      </c>
      <c r="GV214" s="214" cm="1">
        <f t="array" ref="GV214">--AND(MIN(IF($K214:$CP214&lt;&gt;0,$K$7:$CP$7))&gt;=GV$5,MIN(IF($K214:$CP214&lt;&gt;0,$K$7:$CP$7))&lt;=GV$6)</f>
        <v>0</v>
      </c>
      <c r="GW214" s="214" cm="1">
        <f t="array" ref="GW214">--AND(MIN(IF($K214:$CP214&lt;&gt;0,$K$7:$CP$7))&gt;=GW$5,MIN(IF($K214:$CP214&lt;&gt;0,$K$7:$CP$7))&lt;=GW$6)</f>
        <v>0</v>
      </c>
      <c r="GX214" s="214" cm="1">
        <f t="array" ref="GX214">--AND(MIN(IF($K214:$CP214&lt;&gt;0,$K$7:$CP$7))&gt;=GX$5,MIN(IF($K214:$CP214&lt;&gt;0,$K$7:$CP$7))&lt;=GX$6)</f>
        <v>0</v>
      </c>
      <c r="GY214" s="214" cm="1">
        <f t="array" ref="GY214">--AND(MIN(IF($K214:$CP214&lt;&gt;0,$K$7:$CP$7))&gt;=GY$5,MIN(IF($K214:$CP214&lt;&gt;0,$K$7:$CP$7))&lt;=GY$6)</f>
        <v>0</v>
      </c>
      <c r="GZ214" s="214" cm="1">
        <f t="array" ref="GZ214">--AND(MIN(IF($K214:$CP214&lt;&gt;0,$K$7:$CP$7))&gt;=GZ$5,MIN(IF($K214:$CP214&lt;&gt;0,$K$7:$CP$7))&lt;=GZ$6)</f>
        <v>0</v>
      </c>
      <c r="HA214" s="214">
        <f t="shared" si="70"/>
        <v>1</v>
      </c>
      <c r="HC214" s="214" cm="1">
        <f t="array" ref="HC214">--AND(MIN(IF($K214:$CP214&lt;&gt;0,$K$7:$CP$7))&gt;=HC$5,MIN(IF($K214:$CP214&lt;&gt;0,$K$7:$CP$7))&lt;=HC$6)</f>
        <v>0</v>
      </c>
      <c r="HE214" s="147" t="str">
        <f t="shared" si="89"/>
        <v>No</v>
      </c>
      <c r="HF214" s="147" t="str">
        <f t="shared" si="90"/>
        <v>Yes</v>
      </c>
      <c r="HG214" s="147">
        <f>IF($HF214="Yes",0,$H214*avg_hrs*12*'Key assumptions'!$D$87)</f>
        <v>0</v>
      </c>
      <c r="HH214" s="147">
        <f>IF(HE214="Yes",'Key assumptions'!$D$84*HG214,0)</f>
        <v>0</v>
      </c>
      <c r="HI214" s="144">
        <f>IFERROR(AVERAGEIFS($K214:$CP214,$K$7:$CP$7,"&gt;="&amp;'Key assumptions'!$D$24,$K$7:$CP$7,"&lt;="&amp;'Key assumptions'!$D$25),0)</f>
        <v>0.70711081681476406</v>
      </c>
      <c r="HJ214" s="148">
        <f t="shared" si="91"/>
        <v>0</v>
      </c>
      <c r="HK214" s="148">
        <f t="shared" si="72"/>
        <v>0</v>
      </c>
      <c r="HL214" s="148">
        <f t="shared" si="73"/>
        <v>0</v>
      </c>
      <c r="HM214" s="148">
        <f t="shared" si="74"/>
        <v>0</v>
      </c>
      <c r="HN214" s="148">
        <f t="shared" si="75"/>
        <v>0</v>
      </c>
      <c r="HO214" s="148">
        <f t="shared" si="76"/>
        <v>0</v>
      </c>
      <c r="HP214" s="148">
        <f t="shared" si="77"/>
        <v>0</v>
      </c>
      <c r="HQ214" s="148">
        <f t="shared" si="78"/>
        <v>0</v>
      </c>
      <c r="HR214" s="147">
        <f t="shared" si="79"/>
        <v>0</v>
      </c>
      <c r="HU214" s="147">
        <f>$HJ214*HC214/(1+'Key assumptions'!G236)^0.75</f>
        <v>0</v>
      </c>
      <c r="HW214" s="216">
        <f t="shared" si="80"/>
        <v>0.70711081681476406</v>
      </c>
      <c r="HX214" s="216">
        <f t="shared" si="81"/>
        <v>0</v>
      </c>
      <c r="HY214" s="216">
        <f t="shared" si="82"/>
        <v>0</v>
      </c>
      <c r="HZ214" s="216">
        <f t="shared" si="83"/>
        <v>0</v>
      </c>
      <c r="IA214" s="216">
        <f t="shared" si="84"/>
        <v>0</v>
      </c>
      <c r="IB214" s="216">
        <f t="shared" si="85"/>
        <v>0</v>
      </c>
      <c r="IC214" s="216">
        <f t="shared" si="86"/>
        <v>0</v>
      </c>
      <c r="ID214" s="216">
        <f t="shared" si="87"/>
        <v>0.70711081681476406</v>
      </c>
      <c r="IF214" s="216">
        <f t="shared" si="88"/>
        <v>0</v>
      </c>
    </row>
    <row r="215" spans="2:240" x14ac:dyDescent="0.2">
      <c r="B215" s="141" t="str">
        <v>Project Delivery Management - Commissioning</v>
      </c>
      <c r="C215" s="141" t="str">
        <v>Network Operations Officer (Control Centre)</v>
      </c>
      <c r="D215" s="141" t="str">
        <v>Internal Labour</v>
      </c>
      <c r="E215" s="141" t="str">
        <v>$ Nominal</v>
      </c>
      <c r="F215" s="141" t="str">
        <v>Existing</v>
      </c>
      <c r="G215" s="141" t="str">
        <v>Normal time</v>
      </c>
      <c r="H215" s="142">
        <v>240.85</v>
      </c>
      <c r="I215" s="126">
        <v>53697</v>
      </c>
      <c r="J215" s="143">
        <v>0</v>
      </c>
      <c r="K215" s="144">
        <v>0</v>
      </c>
      <c r="L215" s="144">
        <v>0</v>
      </c>
      <c r="M215" s="144">
        <v>0</v>
      </c>
      <c r="N215" s="144">
        <v>0</v>
      </c>
      <c r="O215" s="144">
        <v>0</v>
      </c>
      <c r="P215" s="144">
        <v>0</v>
      </c>
      <c r="Q215" s="144">
        <v>0</v>
      </c>
      <c r="R215" s="144">
        <v>0</v>
      </c>
      <c r="S215" s="144">
        <v>0</v>
      </c>
      <c r="T215" s="144">
        <v>0</v>
      </c>
      <c r="U215" s="144">
        <v>0</v>
      </c>
      <c r="V215" s="144">
        <v>0</v>
      </c>
      <c r="W215" s="144">
        <v>0</v>
      </c>
      <c r="X215" s="144">
        <v>0</v>
      </c>
      <c r="Y215" s="144">
        <v>0</v>
      </c>
      <c r="Z215" s="144">
        <v>0</v>
      </c>
      <c r="AA215" s="144">
        <v>0</v>
      </c>
      <c r="AB215" s="144">
        <v>0</v>
      </c>
      <c r="AC215" s="144">
        <v>0</v>
      </c>
      <c r="AD215" s="144">
        <v>0</v>
      </c>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v>0</v>
      </c>
      <c r="AT215" s="144">
        <v>0</v>
      </c>
      <c r="AU215" s="144">
        <v>0</v>
      </c>
      <c r="AV215" s="144">
        <v>0</v>
      </c>
      <c r="AW215" s="144">
        <v>0</v>
      </c>
      <c r="AX215" s="144">
        <v>0</v>
      </c>
      <c r="AY215" s="144">
        <v>0</v>
      </c>
      <c r="AZ215" s="144">
        <v>0</v>
      </c>
      <c r="BA215" s="144">
        <v>0.5</v>
      </c>
      <c r="BB215" s="144">
        <v>0.5</v>
      </c>
      <c r="BC215" s="144">
        <v>0.5</v>
      </c>
      <c r="BD215" s="144">
        <v>0</v>
      </c>
      <c r="BE215" s="144">
        <v>0</v>
      </c>
      <c r="BF215" s="144">
        <v>0</v>
      </c>
      <c r="BG215" s="144">
        <v>0</v>
      </c>
      <c r="BH215" s="144">
        <v>0</v>
      </c>
      <c r="BI215" s="144">
        <v>0</v>
      </c>
      <c r="BJ215" s="144">
        <v>0</v>
      </c>
      <c r="BK215" s="144">
        <v>0</v>
      </c>
      <c r="BL215" s="144">
        <v>0</v>
      </c>
      <c r="BM215" s="144">
        <v>0</v>
      </c>
      <c r="BN215" s="144">
        <v>0</v>
      </c>
      <c r="BO215" s="144">
        <v>0</v>
      </c>
      <c r="BP215" s="144">
        <v>0</v>
      </c>
      <c r="BQ215" s="144">
        <v>0</v>
      </c>
      <c r="BR215" s="144">
        <v>0</v>
      </c>
      <c r="BS215" s="144">
        <v>0</v>
      </c>
      <c r="BT215" s="144">
        <v>0</v>
      </c>
      <c r="BU215" s="144">
        <v>0</v>
      </c>
      <c r="BV215" s="144">
        <v>0</v>
      </c>
      <c r="BW215" s="144">
        <v>0</v>
      </c>
      <c r="BX215" s="144">
        <v>0</v>
      </c>
      <c r="BY215" s="144">
        <v>0</v>
      </c>
      <c r="BZ215" s="144">
        <v>0</v>
      </c>
      <c r="CA215" s="144">
        <v>0</v>
      </c>
      <c r="CB215" s="144">
        <v>0</v>
      </c>
      <c r="CC215" s="144">
        <v>0</v>
      </c>
      <c r="CD215" s="144">
        <v>0</v>
      </c>
      <c r="CE215" s="144">
        <v>0</v>
      </c>
      <c r="CF215" s="144">
        <v>0</v>
      </c>
      <c r="CG215" s="144">
        <v>0</v>
      </c>
      <c r="CH215" s="144">
        <v>0</v>
      </c>
      <c r="CI215" s="144">
        <v>0</v>
      </c>
      <c r="CJ215" s="144">
        <v>0</v>
      </c>
      <c r="CK215" s="144">
        <v>0</v>
      </c>
      <c r="CL215" s="144">
        <v>0</v>
      </c>
      <c r="CM215" s="144">
        <v>0</v>
      </c>
      <c r="CN215" s="144">
        <v>0</v>
      </c>
      <c r="CO215" s="144">
        <v>0</v>
      </c>
      <c r="CP215" s="144">
        <v>0</v>
      </c>
      <c r="CQ215" s="143">
        <v>0</v>
      </c>
      <c r="CR215" s="145">
        <v>0</v>
      </c>
      <c r="CS215" s="145">
        <v>0</v>
      </c>
      <c r="CT215" s="145">
        <v>0</v>
      </c>
      <c r="CU215" s="145">
        <v>0</v>
      </c>
      <c r="CV215" s="145">
        <v>0</v>
      </c>
      <c r="CW215" s="145">
        <v>0</v>
      </c>
      <c r="CX215" s="145">
        <v>0</v>
      </c>
      <c r="CY215" s="145">
        <v>0</v>
      </c>
      <c r="CZ215" s="145">
        <v>0</v>
      </c>
      <c r="DA215" s="145">
        <v>0</v>
      </c>
      <c r="DB215" s="145">
        <v>0</v>
      </c>
      <c r="DC215" s="145">
        <v>0</v>
      </c>
      <c r="DD215" s="145">
        <v>0</v>
      </c>
      <c r="DE215" s="145">
        <v>0</v>
      </c>
      <c r="DF215" s="145">
        <v>0</v>
      </c>
      <c r="DG215" s="145">
        <v>0</v>
      </c>
      <c r="DH215" s="145">
        <v>0</v>
      </c>
      <c r="DI215" s="145">
        <v>0</v>
      </c>
      <c r="DJ215" s="145">
        <v>0</v>
      </c>
      <c r="DK215" s="145">
        <v>0</v>
      </c>
      <c r="DL215" s="145">
        <v>0</v>
      </c>
      <c r="DM215" s="145">
        <v>0</v>
      </c>
      <c r="DN215" s="145">
        <v>0</v>
      </c>
      <c r="DO215" s="145">
        <v>0</v>
      </c>
      <c r="DP215" s="145">
        <v>0</v>
      </c>
      <c r="DQ215" s="145">
        <v>0</v>
      </c>
      <c r="DR215" s="145">
        <v>0</v>
      </c>
      <c r="DS215" s="145">
        <v>0</v>
      </c>
      <c r="DT215" s="145">
        <v>0</v>
      </c>
      <c r="DU215" s="145">
        <v>0</v>
      </c>
      <c r="DV215" s="145">
        <v>0</v>
      </c>
      <c r="DW215" s="145">
        <v>0</v>
      </c>
      <c r="DX215" s="145">
        <v>0</v>
      </c>
      <c r="DY215" s="145">
        <v>0</v>
      </c>
      <c r="DZ215" s="145">
        <v>0</v>
      </c>
      <c r="EA215" s="145">
        <v>0</v>
      </c>
      <c r="EB215" s="145">
        <v>0</v>
      </c>
      <c r="EC215" s="145">
        <v>0</v>
      </c>
      <c r="ED215" s="145">
        <v>0</v>
      </c>
      <c r="EE215" s="145">
        <v>0</v>
      </c>
      <c r="EF215" s="145">
        <v>0</v>
      </c>
      <c r="EG215" s="145">
        <v>0</v>
      </c>
      <c r="EH215" s="145">
        <v>17899</v>
      </c>
      <c r="EI215" s="145">
        <v>17899</v>
      </c>
      <c r="EJ215" s="145">
        <v>17899</v>
      </c>
      <c r="EK215" s="145">
        <v>0</v>
      </c>
      <c r="EL215" s="145">
        <v>0</v>
      </c>
      <c r="EM215" s="145">
        <v>0</v>
      </c>
      <c r="EN215" s="145">
        <v>0</v>
      </c>
      <c r="EO215" s="145">
        <v>0</v>
      </c>
      <c r="EP215" s="145">
        <v>0</v>
      </c>
      <c r="EQ215" s="145">
        <v>0</v>
      </c>
      <c r="ER215" s="145">
        <v>0</v>
      </c>
      <c r="ES215" s="145">
        <v>0</v>
      </c>
      <c r="ET215" s="145">
        <v>0</v>
      </c>
      <c r="EU215" s="145">
        <v>0</v>
      </c>
      <c r="EV215" s="145">
        <v>0</v>
      </c>
      <c r="EW215" s="145">
        <v>0</v>
      </c>
      <c r="EX215" s="145">
        <v>0</v>
      </c>
      <c r="EY215" s="145">
        <v>0</v>
      </c>
      <c r="EZ215" s="145">
        <v>0</v>
      </c>
      <c r="FA215" s="145">
        <v>0</v>
      </c>
      <c r="FB215" s="145">
        <v>0</v>
      </c>
      <c r="FC215" s="145">
        <v>0</v>
      </c>
      <c r="FD215" s="145">
        <v>0</v>
      </c>
      <c r="FE215" s="145">
        <v>0</v>
      </c>
      <c r="FF215" s="145">
        <v>0</v>
      </c>
      <c r="FG215" s="145">
        <v>0</v>
      </c>
      <c r="FH215" s="145">
        <v>0</v>
      </c>
      <c r="FI215" s="145">
        <v>0</v>
      </c>
      <c r="FJ215" s="145">
        <v>0</v>
      </c>
      <c r="FK215" s="145">
        <v>0</v>
      </c>
      <c r="FL215" s="145">
        <v>0</v>
      </c>
      <c r="FM215" s="145">
        <v>0</v>
      </c>
      <c r="FN215" s="145">
        <v>0</v>
      </c>
      <c r="FO215" s="145">
        <v>0</v>
      </c>
      <c r="FP215" s="145">
        <v>0</v>
      </c>
      <c r="FQ215" s="145">
        <v>0</v>
      </c>
      <c r="FR215" s="145">
        <v>0</v>
      </c>
      <c r="FS215" s="145">
        <v>0</v>
      </c>
      <c r="FT215" s="145">
        <v>0</v>
      </c>
      <c r="FU215" s="145">
        <v>0</v>
      </c>
      <c r="FV215" s="145">
        <v>0</v>
      </c>
      <c r="FW215" s="145">
        <v>0</v>
      </c>
      <c r="FX215" s="143"/>
      <c r="FY215" s="146" t="str">
        <f>_xlfn.XLOOKUP($E215,'Key assumptions'!$B$112:$B$120,'Key assumptions'!$C$112:$C$120,0)</f>
        <v>Nominal</v>
      </c>
      <c r="FZ215" s="146" cm="1">
        <f t="array" ref="FZ215">IF($FY215=0,0,_xlfn.IFS($FY215='Key assumptions'!$C$120,_xlfn.XLOOKUP(LEFT(FZ$7,6),Inflation_Year,Inflation_NominaltoReal),TRUE,_xlfn.XLOOKUP($FY215,Inflation_Year,NominaltoReal)))</f>
        <v>1.0197075870962191</v>
      </c>
      <c r="GA215" s="146" cm="1">
        <f t="array" ref="GA215">IF($FY215=0,0,_xlfn.IFS($FY215='Key assumptions'!$C$120,_xlfn.XLOOKUP(LEFT(GA$7,6),Inflation_Year,Inflation_NominaltoReal),TRUE,_xlfn.XLOOKUP($FY215,Inflation_Year,NominaltoReal)))</f>
        <v>0.98700804022984445</v>
      </c>
      <c r="GB215" s="146" cm="1">
        <f t="array" ref="GB215">IF($FY215=0,0,_xlfn.IFS($FY215='Key assumptions'!$C$120,_xlfn.XLOOKUP(LEFT(GB$7,6),Inflation_Year,Inflation_NominaltoReal),TRUE,_xlfn.XLOOKUP($FY215,Inflation_Year,NominaltoReal)))</f>
        <v>0.96152830081941731</v>
      </c>
      <c r="GC215" s="146" cm="1">
        <f t="array" ref="GC215">IF($FY215=0,0,_xlfn.IFS($FY215='Key assumptions'!$C$120,_xlfn.XLOOKUP(LEFT(GC$7,6),Inflation_Year,Inflation_NominaltoReal),TRUE,_xlfn.XLOOKUP($FY215,Inflation_Year,NominaltoReal)))</f>
        <v>0.93670632415656829</v>
      </c>
      <c r="GD215" s="146" cm="1">
        <f t="array" ref="GD215">IF($FY215=0,0,_xlfn.IFS($FY215='Key assumptions'!$C$120,_xlfn.XLOOKUP(LEFT(GD$7,6),Inflation_Year,Inflation_NominaltoReal),TRUE,_xlfn.XLOOKUP($FY215,Inflation_Year,NominaltoReal)))</f>
        <v>0.91252513001143176</v>
      </c>
      <c r="GE215" s="146" cm="1">
        <f t="array" ref="GE215">IF($FY215=0,0,_xlfn.IFS($FY215='Key assumptions'!$C$120,_xlfn.XLOOKUP(LEFT(GE$7,6),Inflation_Year,Inflation_NominaltoReal),TRUE,_xlfn.XLOOKUP($FY215,Inflation_Year,NominaltoReal)))</f>
        <v>0.88896817650095872</v>
      </c>
      <c r="GF215" s="146" cm="1">
        <f t="array" ref="GF215">IF($FY215=0,0,_xlfn.IFS($FY215='Key assumptions'!$C$120,_xlfn.XLOOKUP(LEFT(GF$7,6),Inflation_Year,Inflation_NominaltoReal),TRUE,_xlfn.XLOOKUP($FY215,Inflation_Year,NominaltoReal)))</f>
        <v>0.86601934877293718</v>
      </c>
      <c r="GG215" s="143"/>
      <c r="GH215" s="145" cm="1">
        <f t="array" ref="GH215">SUMPRODUCT(--($CR$7:$FW$7&gt;=GH$5),--($CR$7:$FW$7&lt;=GH$6),$CR215:$FW215)*FZ215</f>
        <v>0</v>
      </c>
      <c r="GI215" s="145" cm="1">
        <f t="array" ref="GI215">SUMPRODUCT(--($CR$7:$FW$7&gt;=GI$5),--($CR$7:$FW$7&lt;=GI$6),$CR215:$FW215)*GA215</f>
        <v>0</v>
      </c>
      <c r="GJ215" s="145" cm="1">
        <f t="array" ref="GJ215">SUMPRODUCT(--($CR$7:$FW$7&gt;=GJ$5),--($CR$7:$FW$7&lt;=GJ$6),$CR215:$FW215)*GB215</f>
        <v>51631.185169100252</v>
      </c>
      <c r="GK215" s="145" cm="1">
        <f t="array" ref="GK215">SUMPRODUCT(--($CR$7:$FW$7&gt;=GK$5),--($CR$7:$FW$7&lt;=GK$6),$CR215:$FW215)*GC215</f>
        <v>0</v>
      </c>
      <c r="GL215" s="145" cm="1">
        <f t="array" ref="GL215">SUMPRODUCT(--($CR$7:$FW$7&gt;=GL$5),--($CR$7:$FW$7&lt;=GL$6),$CR215:$FW215)*GD215</f>
        <v>0</v>
      </c>
      <c r="GM215" s="145" cm="1">
        <f t="array" ref="GM215">SUMPRODUCT(--($CR$7:$FW$7&gt;=GM$5),--($CR$7:$FW$7&lt;=GM$6),$CR215:$FW215)*GE215</f>
        <v>0</v>
      </c>
      <c r="GN215" s="145" cm="1">
        <f t="array" ref="GN215">SUMPRODUCT(--($CR$7:$FW$7&gt;=GN$5),--($CR$7:$FW$7&lt;=GN$6),$CR215:$FW215)*GF215</f>
        <v>0</v>
      </c>
      <c r="GO215" s="145">
        <f t="shared" si="69"/>
        <v>51631.185169100252</v>
      </c>
      <c r="GP215" s="87"/>
      <c r="GR215" s="145" cm="1">
        <f t="array" ref="GR215">SUMPRODUCT(--($CR$7:$FW$7&gt;=GR$5),--($CR$7:$FW$7&lt;=GR$6),$CR215:$FW215)</f>
        <v>0</v>
      </c>
      <c r="GT215" s="214" cm="1">
        <f t="array" ref="GT215">--AND(MIN(IF($K215:$CP215&lt;&gt;0,$K$7:$CP$7))&gt;=GT$5,MIN(IF($K215:$CP215&lt;&gt;0,$K$7:$CP$7))&lt;=GT$6)</f>
        <v>0</v>
      </c>
      <c r="GU215" s="214" cm="1">
        <f t="array" ref="GU215">--AND(MIN(IF($K215:$CP215&lt;&gt;0,$K$7:$CP$7))&gt;=GU$5,MIN(IF($K215:$CP215&lt;&gt;0,$K$7:$CP$7))&lt;=GU$6)</f>
        <v>0</v>
      </c>
      <c r="GV215" s="214" cm="1">
        <f t="array" ref="GV215">--AND(MIN(IF($K215:$CP215&lt;&gt;0,$K$7:$CP$7))&gt;=GV$5,MIN(IF($K215:$CP215&lt;&gt;0,$K$7:$CP$7))&lt;=GV$6)</f>
        <v>1</v>
      </c>
      <c r="GW215" s="214" cm="1">
        <f t="array" ref="GW215">--AND(MIN(IF($K215:$CP215&lt;&gt;0,$K$7:$CP$7))&gt;=GW$5,MIN(IF($K215:$CP215&lt;&gt;0,$K$7:$CP$7))&lt;=GW$6)</f>
        <v>0</v>
      </c>
      <c r="GX215" s="214" cm="1">
        <f t="array" ref="GX215">--AND(MIN(IF($K215:$CP215&lt;&gt;0,$K$7:$CP$7))&gt;=GX$5,MIN(IF($K215:$CP215&lt;&gt;0,$K$7:$CP$7))&lt;=GX$6)</f>
        <v>0</v>
      </c>
      <c r="GY215" s="214" cm="1">
        <f t="array" ref="GY215">--AND(MIN(IF($K215:$CP215&lt;&gt;0,$K$7:$CP$7))&gt;=GY$5,MIN(IF($K215:$CP215&lt;&gt;0,$K$7:$CP$7))&lt;=GY$6)</f>
        <v>0</v>
      </c>
      <c r="GZ215" s="214" cm="1">
        <f t="array" ref="GZ215">--AND(MIN(IF($K215:$CP215&lt;&gt;0,$K$7:$CP$7))&gt;=GZ$5,MIN(IF($K215:$CP215&lt;&gt;0,$K$7:$CP$7))&lt;=GZ$6)</f>
        <v>0</v>
      </c>
      <c r="HA215" s="214">
        <f t="shared" si="70"/>
        <v>1</v>
      </c>
      <c r="HC215" s="214" cm="1">
        <f t="array" ref="HC215">--AND(MIN(IF($K215:$CP215&lt;&gt;0,$K$7:$CP$7))&gt;=HC$5,MIN(IF($K215:$CP215&lt;&gt;0,$K$7:$CP$7))&lt;=HC$6)</f>
        <v>0</v>
      </c>
      <c r="HE215" s="147" t="str">
        <f t="shared" si="89"/>
        <v>No</v>
      </c>
      <c r="HF215" s="147" t="str">
        <f t="shared" si="90"/>
        <v>No</v>
      </c>
      <c r="HG215" s="147">
        <f>IF($HF215="Yes",0,$H215*avg_hrs*12*'Key assumptions'!$D$87)</f>
        <v>430704.59093851841</v>
      </c>
      <c r="HH215" s="147">
        <f>IF(HE215="Yes",'Key assumptions'!$D$84*HG215,0)</f>
        <v>0</v>
      </c>
      <c r="HI215" s="144">
        <f>IFERROR(AVERAGEIFS($K215:$CP215,$K$7:$CP$7,"&gt;="&amp;'Key assumptions'!$D$24,$K$7:$CP$7,"&lt;="&amp;'Key assumptions'!$D$25),0)</f>
        <v>3.4090909090909088E-2</v>
      </c>
      <c r="HJ215" s="148">
        <f t="shared" si="91"/>
        <v>0</v>
      </c>
      <c r="HK215" s="148">
        <f t="shared" si="72"/>
        <v>0</v>
      </c>
      <c r="HL215" s="148">
        <f t="shared" si="73"/>
        <v>0</v>
      </c>
      <c r="HM215" s="148">
        <f t="shared" si="74"/>
        <v>0</v>
      </c>
      <c r="HN215" s="148">
        <f t="shared" si="75"/>
        <v>0</v>
      </c>
      <c r="HO215" s="148">
        <f t="shared" si="76"/>
        <v>0</v>
      </c>
      <c r="HP215" s="148">
        <f t="shared" si="77"/>
        <v>0</v>
      </c>
      <c r="HQ215" s="148">
        <f t="shared" si="78"/>
        <v>0</v>
      </c>
      <c r="HR215" s="147">
        <f t="shared" si="79"/>
        <v>0</v>
      </c>
      <c r="HU215" s="147">
        <f>$HJ215*HC215/(1+'Key assumptions'!G237)^0.75</f>
        <v>0</v>
      </c>
      <c r="HW215" s="216">
        <f t="shared" si="80"/>
        <v>0</v>
      </c>
      <c r="HX215" s="216">
        <f t="shared" si="81"/>
        <v>0</v>
      </c>
      <c r="HY215" s="216">
        <f t="shared" si="82"/>
        <v>3.4090909090909088E-2</v>
      </c>
      <c r="HZ215" s="216">
        <f t="shared" si="83"/>
        <v>0</v>
      </c>
      <c r="IA215" s="216">
        <f t="shared" si="84"/>
        <v>0</v>
      </c>
      <c r="IB215" s="216">
        <f t="shared" si="85"/>
        <v>0</v>
      </c>
      <c r="IC215" s="216">
        <f t="shared" si="86"/>
        <v>0</v>
      </c>
      <c r="ID215" s="216">
        <f t="shared" si="87"/>
        <v>3.4090909090909088E-2</v>
      </c>
      <c r="IF215" s="216">
        <f t="shared" si="88"/>
        <v>0</v>
      </c>
    </row>
    <row r="216" spans="2:240" x14ac:dyDescent="0.2">
      <c r="B216" s="141" t="str">
        <v>Project Delivery Management - Commissioning</v>
      </c>
      <c r="C216" s="141" t="str">
        <v>Network Operations Officer (Control Centre)</v>
      </c>
      <c r="D216" s="141" t="str">
        <v>Internal Labour</v>
      </c>
      <c r="E216" s="141" t="str">
        <v>$ Nominal</v>
      </c>
      <c r="F216" s="141" t="str">
        <v>Existing</v>
      </c>
      <c r="G216" s="141" t="str">
        <v>Normal time</v>
      </c>
      <c r="H216" s="142">
        <v>240.85</v>
      </c>
      <c r="I216" s="126">
        <v>53697</v>
      </c>
      <c r="J216" s="143">
        <v>0</v>
      </c>
      <c r="K216" s="144">
        <v>0</v>
      </c>
      <c r="L216" s="144">
        <v>0</v>
      </c>
      <c r="M216" s="144">
        <v>0</v>
      </c>
      <c r="N216" s="144">
        <v>0</v>
      </c>
      <c r="O216" s="144">
        <v>0</v>
      </c>
      <c r="P216" s="144">
        <v>0</v>
      </c>
      <c r="Q216" s="144">
        <v>0</v>
      </c>
      <c r="R216" s="144">
        <v>0</v>
      </c>
      <c r="S216" s="144">
        <v>0</v>
      </c>
      <c r="T216" s="144">
        <v>0</v>
      </c>
      <c r="U216" s="144">
        <v>0</v>
      </c>
      <c r="V216" s="144">
        <v>0</v>
      </c>
      <c r="W216" s="144">
        <v>0</v>
      </c>
      <c r="X216" s="144">
        <v>0</v>
      </c>
      <c r="Y216" s="144">
        <v>0</v>
      </c>
      <c r="Z216" s="144">
        <v>0</v>
      </c>
      <c r="AA216" s="144">
        <v>0</v>
      </c>
      <c r="AB216" s="144">
        <v>0</v>
      </c>
      <c r="AC216" s="144">
        <v>0</v>
      </c>
      <c r="AD216" s="144">
        <v>0</v>
      </c>
      <c r="AE216" s="144">
        <v>0</v>
      </c>
      <c r="AF216" s="144">
        <v>0</v>
      </c>
      <c r="AG216" s="144">
        <v>0</v>
      </c>
      <c r="AH216" s="144">
        <v>0</v>
      </c>
      <c r="AI216" s="144">
        <v>0</v>
      </c>
      <c r="AJ216" s="144">
        <v>0</v>
      </c>
      <c r="AK216" s="144">
        <v>0</v>
      </c>
      <c r="AL216" s="144">
        <v>0</v>
      </c>
      <c r="AM216" s="144">
        <v>0</v>
      </c>
      <c r="AN216" s="144">
        <v>0</v>
      </c>
      <c r="AO216" s="144">
        <v>0</v>
      </c>
      <c r="AP216" s="144">
        <v>0</v>
      </c>
      <c r="AQ216" s="144">
        <v>0</v>
      </c>
      <c r="AR216" s="144">
        <v>0</v>
      </c>
      <c r="AS216" s="144">
        <v>0</v>
      </c>
      <c r="AT216" s="144">
        <v>0</v>
      </c>
      <c r="AU216" s="144">
        <v>0</v>
      </c>
      <c r="AV216" s="144">
        <v>0</v>
      </c>
      <c r="AW216" s="144">
        <v>0</v>
      </c>
      <c r="AX216" s="144">
        <v>0</v>
      </c>
      <c r="AY216" s="144">
        <v>0</v>
      </c>
      <c r="AZ216" s="144">
        <v>0</v>
      </c>
      <c r="BA216" s="144">
        <v>0.5</v>
      </c>
      <c r="BB216" s="144">
        <v>0.5</v>
      </c>
      <c r="BC216" s="144">
        <v>0.5</v>
      </c>
      <c r="BD216" s="144">
        <v>0</v>
      </c>
      <c r="BE216" s="144">
        <v>0</v>
      </c>
      <c r="BF216" s="144">
        <v>0</v>
      </c>
      <c r="BG216" s="144">
        <v>0</v>
      </c>
      <c r="BH216" s="144">
        <v>0</v>
      </c>
      <c r="BI216" s="144">
        <v>0</v>
      </c>
      <c r="BJ216" s="144">
        <v>0</v>
      </c>
      <c r="BK216" s="144">
        <v>0</v>
      </c>
      <c r="BL216" s="144">
        <v>0</v>
      </c>
      <c r="BM216" s="144">
        <v>0</v>
      </c>
      <c r="BN216" s="144">
        <v>0</v>
      </c>
      <c r="BO216" s="144">
        <v>0</v>
      </c>
      <c r="BP216" s="144">
        <v>0</v>
      </c>
      <c r="BQ216" s="144">
        <v>0</v>
      </c>
      <c r="BR216" s="144">
        <v>0</v>
      </c>
      <c r="BS216" s="144">
        <v>0</v>
      </c>
      <c r="BT216" s="144">
        <v>0</v>
      </c>
      <c r="BU216" s="144">
        <v>0</v>
      </c>
      <c r="BV216" s="144">
        <v>0</v>
      </c>
      <c r="BW216" s="144">
        <v>0</v>
      </c>
      <c r="BX216" s="144">
        <v>0</v>
      </c>
      <c r="BY216" s="144">
        <v>0</v>
      </c>
      <c r="BZ216" s="144">
        <v>0</v>
      </c>
      <c r="CA216" s="144">
        <v>0</v>
      </c>
      <c r="CB216" s="144">
        <v>0</v>
      </c>
      <c r="CC216" s="144">
        <v>0</v>
      </c>
      <c r="CD216" s="144">
        <v>0</v>
      </c>
      <c r="CE216" s="144">
        <v>0</v>
      </c>
      <c r="CF216" s="144">
        <v>0</v>
      </c>
      <c r="CG216" s="144">
        <v>0</v>
      </c>
      <c r="CH216" s="144">
        <v>0</v>
      </c>
      <c r="CI216" s="144">
        <v>0</v>
      </c>
      <c r="CJ216" s="144">
        <v>0</v>
      </c>
      <c r="CK216" s="144">
        <v>0</v>
      </c>
      <c r="CL216" s="144">
        <v>0</v>
      </c>
      <c r="CM216" s="144">
        <v>0</v>
      </c>
      <c r="CN216" s="144">
        <v>0</v>
      </c>
      <c r="CO216" s="144">
        <v>0</v>
      </c>
      <c r="CP216" s="144">
        <v>0</v>
      </c>
      <c r="CQ216" s="143">
        <v>0</v>
      </c>
      <c r="CR216" s="145">
        <v>0</v>
      </c>
      <c r="CS216" s="145">
        <v>0</v>
      </c>
      <c r="CT216" s="145">
        <v>0</v>
      </c>
      <c r="CU216" s="145">
        <v>0</v>
      </c>
      <c r="CV216" s="145">
        <v>0</v>
      </c>
      <c r="CW216" s="145">
        <v>0</v>
      </c>
      <c r="CX216" s="145">
        <v>0</v>
      </c>
      <c r="CY216" s="145">
        <v>0</v>
      </c>
      <c r="CZ216" s="145">
        <v>0</v>
      </c>
      <c r="DA216" s="145">
        <v>0</v>
      </c>
      <c r="DB216" s="145">
        <v>0</v>
      </c>
      <c r="DC216" s="145">
        <v>0</v>
      </c>
      <c r="DD216" s="145">
        <v>0</v>
      </c>
      <c r="DE216" s="145">
        <v>0</v>
      </c>
      <c r="DF216" s="145">
        <v>0</v>
      </c>
      <c r="DG216" s="145">
        <v>0</v>
      </c>
      <c r="DH216" s="145">
        <v>0</v>
      </c>
      <c r="DI216" s="145">
        <v>0</v>
      </c>
      <c r="DJ216" s="145">
        <v>0</v>
      </c>
      <c r="DK216" s="145">
        <v>0</v>
      </c>
      <c r="DL216" s="145">
        <v>0</v>
      </c>
      <c r="DM216" s="145">
        <v>0</v>
      </c>
      <c r="DN216" s="145">
        <v>0</v>
      </c>
      <c r="DO216" s="145">
        <v>0</v>
      </c>
      <c r="DP216" s="145">
        <v>0</v>
      </c>
      <c r="DQ216" s="145">
        <v>0</v>
      </c>
      <c r="DR216" s="145">
        <v>0</v>
      </c>
      <c r="DS216" s="145">
        <v>0</v>
      </c>
      <c r="DT216" s="145">
        <v>0</v>
      </c>
      <c r="DU216" s="145">
        <v>0</v>
      </c>
      <c r="DV216" s="145">
        <v>0</v>
      </c>
      <c r="DW216" s="145">
        <v>0</v>
      </c>
      <c r="DX216" s="145">
        <v>0</v>
      </c>
      <c r="DY216" s="145">
        <v>0</v>
      </c>
      <c r="DZ216" s="145">
        <v>0</v>
      </c>
      <c r="EA216" s="145">
        <v>0</v>
      </c>
      <c r="EB216" s="145">
        <v>0</v>
      </c>
      <c r="EC216" s="145">
        <v>0</v>
      </c>
      <c r="ED216" s="145">
        <v>0</v>
      </c>
      <c r="EE216" s="145">
        <v>0</v>
      </c>
      <c r="EF216" s="145">
        <v>0</v>
      </c>
      <c r="EG216" s="145">
        <v>0</v>
      </c>
      <c r="EH216" s="145">
        <v>17899</v>
      </c>
      <c r="EI216" s="145">
        <v>17899</v>
      </c>
      <c r="EJ216" s="145">
        <v>17899</v>
      </c>
      <c r="EK216" s="145">
        <v>0</v>
      </c>
      <c r="EL216" s="145">
        <v>0</v>
      </c>
      <c r="EM216" s="145">
        <v>0</v>
      </c>
      <c r="EN216" s="145">
        <v>0</v>
      </c>
      <c r="EO216" s="145">
        <v>0</v>
      </c>
      <c r="EP216" s="145">
        <v>0</v>
      </c>
      <c r="EQ216" s="145">
        <v>0</v>
      </c>
      <c r="ER216" s="145">
        <v>0</v>
      </c>
      <c r="ES216" s="145">
        <v>0</v>
      </c>
      <c r="ET216" s="145">
        <v>0</v>
      </c>
      <c r="EU216" s="145">
        <v>0</v>
      </c>
      <c r="EV216" s="145">
        <v>0</v>
      </c>
      <c r="EW216" s="145">
        <v>0</v>
      </c>
      <c r="EX216" s="145">
        <v>0</v>
      </c>
      <c r="EY216" s="145">
        <v>0</v>
      </c>
      <c r="EZ216" s="145">
        <v>0</v>
      </c>
      <c r="FA216" s="145">
        <v>0</v>
      </c>
      <c r="FB216" s="145">
        <v>0</v>
      </c>
      <c r="FC216" s="145">
        <v>0</v>
      </c>
      <c r="FD216" s="145">
        <v>0</v>
      </c>
      <c r="FE216" s="145">
        <v>0</v>
      </c>
      <c r="FF216" s="145">
        <v>0</v>
      </c>
      <c r="FG216" s="145">
        <v>0</v>
      </c>
      <c r="FH216" s="145">
        <v>0</v>
      </c>
      <c r="FI216" s="145">
        <v>0</v>
      </c>
      <c r="FJ216" s="145">
        <v>0</v>
      </c>
      <c r="FK216" s="145">
        <v>0</v>
      </c>
      <c r="FL216" s="145">
        <v>0</v>
      </c>
      <c r="FM216" s="145">
        <v>0</v>
      </c>
      <c r="FN216" s="145">
        <v>0</v>
      </c>
      <c r="FO216" s="145">
        <v>0</v>
      </c>
      <c r="FP216" s="145">
        <v>0</v>
      </c>
      <c r="FQ216" s="145">
        <v>0</v>
      </c>
      <c r="FR216" s="145">
        <v>0</v>
      </c>
      <c r="FS216" s="145">
        <v>0</v>
      </c>
      <c r="FT216" s="145">
        <v>0</v>
      </c>
      <c r="FU216" s="145">
        <v>0</v>
      </c>
      <c r="FV216" s="145">
        <v>0</v>
      </c>
      <c r="FW216" s="145">
        <v>0</v>
      </c>
      <c r="FX216" s="143"/>
      <c r="FY216" s="146" t="str">
        <f>_xlfn.XLOOKUP($E216,'Key assumptions'!$B$112:$B$120,'Key assumptions'!$C$112:$C$120,0)</f>
        <v>Nominal</v>
      </c>
      <c r="FZ216" s="146" cm="1">
        <f t="array" ref="FZ216">IF($FY216=0,0,_xlfn.IFS($FY216='Key assumptions'!$C$120,_xlfn.XLOOKUP(LEFT(FZ$7,6),Inflation_Year,Inflation_NominaltoReal),TRUE,_xlfn.XLOOKUP($FY216,Inflation_Year,NominaltoReal)))</f>
        <v>1.0197075870962191</v>
      </c>
      <c r="GA216" s="146" cm="1">
        <f t="array" ref="GA216">IF($FY216=0,0,_xlfn.IFS($FY216='Key assumptions'!$C$120,_xlfn.XLOOKUP(LEFT(GA$7,6),Inflation_Year,Inflation_NominaltoReal),TRUE,_xlfn.XLOOKUP($FY216,Inflation_Year,NominaltoReal)))</f>
        <v>0.98700804022984445</v>
      </c>
      <c r="GB216" s="146" cm="1">
        <f t="array" ref="GB216">IF($FY216=0,0,_xlfn.IFS($FY216='Key assumptions'!$C$120,_xlfn.XLOOKUP(LEFT(GB$7,6),Inflation_Year,Inflation_NominaltoReal),TRUE,_xlfn.XLOOKUP($FY216,Inflation_Year,NominaltoReal)))</f>
        <v>0.96152830081941731</v>
      </c>
      <c r="GC216" s="146" cm="1">
        <f t="array" ref="GC216">IF($FY216=0,0,_xlfn.IFS($FY216='Key assumptions'!$C$120,_xlfn.XLOOKUP(LEFT(GC$7,6),Inflation_Year,Inflation_NominaltoReal),TRUE,_xlfn.XLOOKUP($FY216,Inflation_Year,NominaltoReal)))</f>
        <v>0.93670632415656829</v>
      </c>
      <c r="GD216" s="146" cm="1">
        <f t="array" ref="GD216">IF($FY216=0,0,_xlfn.IFS($FY216='Key assumptions'!$C$120,_xlfn.XLOOKUP(LEFT(GD$7,6),Inflation_Year,Inflation_NominaltoReal),TRUE,_xlfn.XLOOKUP($FY216,Inflation_Year,NominaltoReal)))</f>
        <v>0.91252513001143176</v>
      </c>
      <c r="GE216" s="146" cm="1">
        <f t="array" ref="GE216">IF($FY216=0,0,_xlfn.IFS($FY216='Key assumptions'!$C$120,_xlfn.XLOOKUP(LEFT(GE$7,6),Inflation_Year,Inflation_NominaltoReal),TRUE,_xlfn.XLOOKUP($FY216,Inflation_Year,NominaltoReal)))</f>
        <v>0.88896817650095872</v>
      </c>
      <c r="GF216" s="146" cm="1">
        <f t="array" ref="GF216">IF($FY216=0,0,_xlfn.IFS($FY216='Key assumptions'!$C$120,_xlfn.XLOOKUP(LEFT(GF$7,6),Inflation_Year,Inflation_NominaltoReal),TRUE,_xlfn.XLOOKUP($FY216,Inflation_Year,NominaltoReal)))</f>
        <v>0.86601934877293718</v>
      </c>
      <c r="GG216" s="143"/>
      <c r="GH216" s="145" cm="1">
        <f t="array" ref="GH216">SUMPRODUCT(--($CR$7:$FW$7&gt;=GH$5),--($CR$7:$FW$7&lt;=GH$6),$CR216:$FW216)*FZ216</f>
        <v>0</v>
      </c>
      <c r="GI216" s="145" cm="1">
        <f t="array" ref="GI216">SUMPRODUCT(--($CR$7:$FW$7&gt;=GI$5),--($CR$7:$FW$7&lt;=GI$6),$CR216:$FW216)*GA216</f>
        <v>0</v>
      </c>
      <c r="GJ216" s="145" cm="1">
        <f t="array" ref="GJ216">SUMPRODUCT(--($CR$7:$FW$7&gt;=GJ$5),--($CR$7:$FW$7&lt;=GJ$6),$CR216:$FW216)*GB216</f>
        <v>51631.185169100252</v>
      </c>
      <c r="GK216" s="145" cm="1">
        <f t="array" ref="GK216">SUMPRODUCT(--($CR$7:$FW$7&gt;=GK$5),--($CR$7:$FW$7&lt;=GK$6),$CR216:$FW216)*GC216</f>
        <v>0</v>
      </c>
      <c r="GL216" s="145" cm="1">
        <f t="array" ref="GL216">SUMPRODUCT(--($CR$7:$FW$7&gt;=GL$5),--($CR$7:$FW$7&lt;=GL$6),$CR216:$FW216)*GD216</f>
        <v>0</v>
      </c>
      <c r="GM216" s="145" cm="1">
        <f t="array" ref="GM216">SUMPRODUCT(--($CR$7:$FW$7&gt;=GM$5),--($CR$7:$FW$7&lt;=GM$6),$CR216:$FW216)*GE216</f>
        <v>0</v>
      </c>
      <c r="GN216" s="145" cm="1">
        <f t="array" ref="GN216">SUMPRODUCT(--($CR$7:$FW$7&gt;=GN$5),--($CR$7:$FW$7&lt;=GN$6),$CR216:$FW216)*GF216</f>
        <v>0</v>
      </c>
      <c r="GO216" s="145">
        <f t="shared" si="69"/>
        <v>51631.185169100252</v>
      </c>
      <c r="GP216" s="87"/>
      <c r="GR216" s="145" cm="1">
        <f t="array" ref="GR216">SUMPRODUCT(--($CR$7:$FW$7&gt;=GR$5),--($CR$7:$FW$7&lt;=GR$6),$CR216:$FW216)</f>
        <v>0</v>
      </c>
      <c r="GT216" s="214" cm="1">
        <f t="array" ref="GT216">--AND(MIN(IF($K216:$CP216&lt;&gt;0,$K$7:$CP$7))&gt;=GT$5,MIN(IF($K216:$CP216&lt;&gt;0,$K$7:$CP$7))&lt;=GT$6)</f>
        <v>0</v>
      </c>
      <c r="GU216" s="214" cm="1">
        <f t="array" ref="GU216">--AND(MIN(IF($K216:$CP216&lt;&gt;0,$K$7:$CP$7))&gt;=GU$5,MIN(IF($K216:$CP216&lt;&gt;0,$K$7:$CP$7))&lt;=GU$6)</f>
        <v>0</v>
      </c>
      <c r="GV216" s="214" cm="1">
        <f t="array" ref="GV216">--AND(MIN(IF($K216:$CP216&lt;&gt;0,$K$7:$CP$7))&gt;=GV$5,MIN(IF($K216:$CP216&lt;&gt;0,$K$7:$CP$7))&lt;=GV$6)</f>
        <v>1</v>
      </c>
      <c r="GW216" s="214" cm="1">
        <f t="array" ref="GW216">--AND(MIN(IF($K216:$CP216&lt;&gt;0,$K$7:$CP$7))&gt;=GW$5,MIN(IF($K216:$CP216&lt;&gt;0,$K$7:$CP$7))&lt;=GW$6)</f>
        <v>0</v>
      </c>
      <c r="GX216" s="214" cm="1">
        <f t="array" ref="GX216">--AND(MIN(IF($K216:$CP216&lt;&gt;0,$K$7:$CP$7))&gt;=GX$5,MIN(IF($K216:$CP216&lt;&gt;0,$K$7:$CP$7))&lt;=GX$6)</f>
        <v>0</v>
      </c>
      <c r="GY216" s="214" cm="1">
        <f t="array" ref="GY216">--AND(MIN(IF($K216:$CP216&lt;&gt;0,$K$7:$CP$7))&gt;=GY$5,MIN(IF($K216:$CP216&lt;&gt;0,$K$7:$CP$7))&lt;=GY$6)</f>
        <v>0</v>
      </c>
      <c r="GZ216" s="214" cm="1">
        <f t="array" ref="GZ216">--AND(MIN(IF($K216:$CP216&lt;&gt;0,$K$7:$CP$7))&gt;=GZ$5,MIN(IF($K216:$CP216&lt;&gt;0,$K$7:$CP$7))&lt;=GZ$6)</f>
        <v>0</v>
      </c>
      <c r="HA216" s="214">
        <f t="shared" si="70"/>
        <v>1</v>
      </c>
      <c r="HC216" s="214" cm="1">
        <f t="array" ref="HC216">--AND(MIN(IF($K216:$CP216&lt;&gt;0,$K$7:$CP$7))&gt;=HC$5,MIN(IF($K216:$CP216&lt;&gt;0,$K$7:$CP$7))&lt;=HC$6)</f>
        <v>0</v>
      </c>
      <c r="HE216" s="147" t="str">
        <f t="shared" si="89"/>
        <v>No</v>
      </c>
      <c r="HF216" s="147" t="str">
        <f t="shared" si="90"/>
        <v>No</v>
      </c>
      <c r="HG216" s="147">
        <f>IF($HF216="Yes",0,$H216*avg_hrs*12*'Key assumptions'!$D$87)</f>
        <v>430704.59093851841</v>
      </c>
      <c r="HH216" s="147">
        <f>IF(HE216="Yes",'Key assumptions'!$D$84*HG216,0)</f>
        <v>0</v>
      </c>
      <c r="HI216" s="144">
        <f>IFERROR(AVERAGEIFS($K216:$CP216,$K$7:$CP$7,"&gt;="&amp;'Key assumptions'!$D$24,$K$7:$CP$7,"&lt;="&amp;'Key assumptions'!$D$25),0)</f>
        <v>3.4090909090909088E-2</v>
      </c>
      <c r="HJ216" s="148">
        <f t="shared" si="91"/>
        <v>0</v>
      </c>
      <c r="HK216" s="148">
        <f t="shared" si="72"/>
        <v>0</v>
      </c>
      <c r="HL216" s="148">
        <f t="shared" si="73"/>
        <v>0</v>
      </c>
      <c r="HM216" s="148">
        <f t="shared" si="74"/>
        <v>0</v>
      </c>
      <c r="HN216" s="148">
        <f t="shared" si="75"/>
        <v>0</v>
      </c>
      <c r="HO216" s="148">
        <f t="shared" si="76"/>
        <v>0</v>
      </c>
      <c r="HP216" s="148">
        <f t="shared" si="77"/>
        <v>0</v>
      </c>
      <c r="HQ216" s="148">
        <f t="shared" si="78"/>
        <v>0</v>
      </c>
      <c r="HR216" s="147">
        <f t="shared" si="79"/>
        <v>0</v>
      </c>
      <c r="HU216" s="147">
        <f>$HJ216*HC216/(1+'Key assumptions'!G238)^0.75</f>
        <v>0</v>
      </c>
      <c r="HW216" s="216">
        <f t="shared" si="80"/>
        <v>0</v>
      </c>
      <c r="HX216" s="216">
        <f t="shared" si="81"/>
        <v>0</v>
      </c>
      <c r="HY216" s="216">
        <f t="shared" si="82"/>
        <v>3.4090909090909088E-2</v>
      </c>
      <c r="HZ216" s="216">
        <f t="shared" si="83"/>
        <v>0</v>
      </c>
      <c r="IA216" s="216">
        <f t="shared" si="84"/>
        <v>0</v>
      </c>
      <c r="IB216" s="216">
        <f t="shared" si="85"/>
        <v>0</v>
      </c>
      <c r="IC216" s="216">
        <f t="shared" si="86"/>
        <v>0</v>
      </c>
      <c r="ID216" s="216">
        <f t="shared" si="87"/>
        <v>3.4090909090909088E-2</v>
      </c>
      <c r="IF216" s="216">
        <f t="shared" si="88"/>
        <v>0</v>
      </c>
    </row>
    <row r="217" spans="2:240" x14ac:dyDescent="0.2">
      <c r="B217" s="141" t="str">
        <v>Project Delivery Management - Commissioning</v>
      </c>
      <c r="C217" s="141" t="str">
        <v>Technical Lead (Construction)</v>
      </c>
      <c r="D217" s="141" t="str">
        <v>Internal Labour</v>
      </c>
      <c r="E217" s="141" t="str">
        <v>$ Nominal</v>
      </c>
      <c r="F217" s="141" t="str">
        <v>Existing</v>
      </c>
      <c r="G217" s="141" t="str">
        <v>Normal time</v>
      </c>
      <c r="H217" s="142">
        <v>233.78</v>
      </c>
      <c r="I217" s="126">
        <v>120065.4</v>
      </c>
      <c r="J217" s="143">
        <v>0</v>
      </c>
      <c r="K217" s="144">
        <v>0</v>
      </c>
      <c r="L217" s="144">
        <v>0</v>
      </c>
      <c r="M217" s="144">
        <v>0</v>
      </c>
      <c r="N217" s="144">
        <v>0</v>
      </c>
      <c r="O217" s="144">
        <v>0</v>
      </c>
      <c r="P217" s="144">
        <v>0</v>
      </c>
      <c r="Q217" s="144">
        <v>0</v>
      </c>
      <c r="R217" s="144">
        <v>0</v>
      </c>
      <c r="S217" s="144">
        <v>0</v>
      </c>
      <c r="T217" s="144">
        <v>0</v>
      </c>
      <c r="U217" s="144">
        <v>0</v>
      </c>
      <c r="V217" s="144">
        <v>0</v>
      </c>
      <c r="W217" s="144">
        <v>0</v>
      </c>
      <c r="X217" s="144">
        <v>0</v>
      </c>
      <c r="Y217" s="144">
        <v>0</v>
      </c>
      <c r="Z217" s="144">
        <v>0</v>
      </c>
      <c r="AA217" s="144">
        <v>0</v>
      </c>
      <c r="AB217" s="144">
        <v>0</v>
      </c>
      <c r="AC217" s="144">
        <v>0</v>
      </c>
      <c r="AD217" s="144">
        <v>0</v>
      </c>
      <c r="AE217" s="144">
        <v>0</v>
      </c>
      <c r="AF217" s="144">
        <v>0</v>
      </c>
      <c r="AG217" s="144">
        <v>0</v>
      </c>
      <c r="AH217" s="144">
        <v>0</v>
      </c>
      <c r="AI217" s="144">
        <v>0</v>
      </c>
      <c r="AJ217" s="144">
        <v>0</v>
      </c>
      <c r="AK217" s="144">
        <v>0</v>
      </c>
      <c r="AL217" s="144">
        <v>0</v>
      </c>
      <c r="AM217" s="144">
        <v>0</v>
      </c>
      <c r="AN217" s="144">
        <v>0</v>
      </c>
      <c r="AO217" s="144">
        <v>0</v>
      </c>
      <c r="AP217" s="144">
        <v>0</v>
      </c>
      <c r="AQ217" s="144">
        <v>0.5</v>
      </c>
      <c r="AR217" s="144">
        <v>0.5</v>
      </c>
      <c r="AS217" s="144">
        <v>0.5</v>
      </c>
      <c r="AT217" s="144">
        <v>0</v>
      </c>
      <c r="AU217" s="144">
        <v>0</v>
      </c>
      <c r="AV217" s="144">
        <v>0</v>
      </c>
      <c r="AW217" s="144">
        <v>0</v>
      </c>
      <c r="AX217" s="144">
        <v>0</v>
      </c>
      <c r="AY217" s="144">
        <v>0</v>
      </c>
      <c r="AZ217" s="144">
        <v>0.46052631578947367</v>
      </c>
      <c r="BA217" s="144">
        <v>0.5</v>
      </c>
      <c r="BB217" s="144">
        <v>0.5</v>
      </c>
      <c r="BC217" s="144">
        <v>0.5</v>
      </c>
      <c r="BD217" s="144">
        <v>0</v>
      </c>
      <c r="BE217" s="144">
        <v>0</v>
      </c>
      <c r="BF217" s="144">
        <v>0</v>
      </c>
      <c r="BG217" s="144">
        <v>0</v>
      </c>
      <c r="BH217" s="144">
        <v>0</v>
      </c>
      <c r="BI217" s="144">
        <v>0</v>
      </c>
      <c r="BJ217" s="144">
        <v>0</v>
      </c>
      <c r="BK217" s="144">
        <v>0</v>
      </c>
      <c r="BL217" s="144">
        <v>0</v>
      </c>
      <c r="BM217" s="144">
        <v>0</v>
      </c>
      <c r="BN217" s="144">
        <v>0</v>
      </c>
      <c r="BO217" s="144">
        <v>0</v>
      </c>
      <c r="BP217" s="144">
        <v>0</v>
      </c>
      <c r="BQ217" s="144">
        <v>0</v>
      </c>
      <c r="BR217" s="144">
        <v>0</v>
      </c>
      <c r="BS217" s="144">
        <v>0</v>
      </c>
      <c r="BT217" s="144">
        <v>0</v>
      </c>
      <c r="BU217" s="144">
        <v>0</v>
      </c>
      <c r="BV217" s="144">
        <v>0</v>
      </c>
      <c r="BW217" s="144">
        <v>0</v>
      </c>
      <c r="BX217" s="144">
        <v>0</v>
      </c>
      <c r="BY217" s="144">
        <v>0</v>
      </c>
      <c r="BZ217" s="144">
        <v>0</v>
      </c>
      <c r="CA217" s="144">
        <v>0</v>
      </c>
      <c r="CB217" s="144">
        <v>0</v>
      </c>
      <c r="CC217" s="144">
        <v>0</v>
      </c>
      <c r="CD217" s="144">
        <v>0</v>
      </c>
      <c r="CE217" s="144">
        <v>0</v>
      </c>
      <c r="CF217" s="144">
        <v>0</v>
      </c>
      <c r="CG217" s="144">
        <v>0</v>
      </c>
      <c r="CH217" s="144">
        <v>0</v>
      </c>
      <c r="CI217" s="144">
        <v>0</v>
      </c>
      <c r="CJ217" s="144">
        <v>0</v>
      </c>
      <c r="CK217" s="144">
        <v>0</v>
      </c>
      <c r="CL217" s="144">
        <v>0</v>
      </c>
      <c r="CM217" s="144">
        <v>0</v>
      </c>
      <c r="CN217" s="144">
        <v>0</v>
      </c>
      <c r="CO217" s="144">
        <v>0</v>
      </c>
      <c r="CP217" s="144">
        <v>0</v>
      </c>
      <c r="CQ217" s="143">
        <v>0</v>
      </c>
      <c r="CR217" s="145">
        <v>0</v>
      </c>
      <c r="CS217" s="145">
        <v>0</v>
      </c>
      <c r="CT217" s="145">
        <v>0</v>
      </c>
      <c r="CU217" s="145">
        <v>0</v>
      </c>
      <c r="CV217" s="145">
        <v>0</v>
      </c>
      <c r="CW217" s="145">
        <v>0</v>
      </c>
      <c r="CX217" s="145">
        <v>0</v>
      </c>
      <c r="CY217" s="145">
        <v>0</v>
      </c>
      <c r="CZ217" s="145">
        <v>0</v>
      </c>
      <c r="DA217" s="145">
        <v>0</v>
      </c>
      <c r="DB217" s="145">
        <v>0</v>
      </c>
      <c r="DC217" s="145">
        <v>0</v>
      </c>
      <c r="DD217" s="145">
        <v>0</v>
      </c>
      <c r="DE217" s="145">
        <v>0</v>
      </c>
      <c r="DF217" s="145">
        <v>0</v>
      </c>
      <c r="DG217" s="145">
        <v>0</v>
      </c>
      <c r="DH217" s="145">
        <v>0</v>
      </c>
      <c r="DI217" s="145">
        <v>0</v>
      </c>
      <c r="DJ217" s="145">
        <v>0</v>
      </c>
      <c r="DK217" s="145">
        <v>0</v>
      </c>
      <c r="DL217" s="145">
        <v>0</v>
      </c>
      <c r="DM217" s="145">
        <v>0</v>
      </c>
      <c r="DN217" s="145">
        <v>0</v>
      </c>
      <c r="DO217" s="145">
        <v>0</v>
      </c>
      <c r="DP217" s="145">
        <v>0</v>
      </c>
      <c r="DQ217" s="145">
        <v>0</v>
      </c>
      <c r="DR217" s="145">
        <v>0</v>
      </c>
      <c r="DS217" s="145">
        <v>0</v>
      </c>
      <c r="DT217" s="145">
        <v>0</v>
      </c>
      <c r="DU217" s="145">
        <v>0</v>
      </c>
      <c r="DV217" s="145">
        <v>0</v>
      </c>
      <c r="DW217" s="145">
        <v>0</v>
      </c>
      <c r="DX217" s="145">
        <v>16860.2</v>
      </c>
      <c r="DY217" s="145">
        <v>16860.2</v>
      </c>
      <c r="DZ217" s="145">
        <v>16860.2</v>
      </c>
      <c r="EA217" s="145">
        <v>0</v>
      </c>
      <c r="EB217" s="145">
        <v>0</v>
      </c>
      <c r="EC217" s="145">
        <v>0</v>
      </c>
      <c r="ED217" s="145">
        <v>0</v>
      </c>
      <c r="EE217" s="145">
        <v>0</v>
      </c>
      <c r="EF217" s="145">
        <v>0</v>
      </c>
      <c r="EG217" s="145">
        <v>17371.2</v>
      </c>
      <c r="EH217" s="145">
        <v>17371.2</v>
      </c>
      <c r="EI217" s="145">
        <v>17371.2</v>
      </c>
      <c r="EJ217" s="145">
        <v>17371.2</v>
      </c>
      <c r="EK217" s="145">
        <v>0</v>
      </c>
      <c r="EL217" s="145">
        <v>0</v>
      </c>
      <c r="EM217" s="145">
        <v>0</v>
      </c>
      <c r="EN217" s="145">
        <v>0</v>
      </c>
      <c r="EO217" s="145">
        <v>0</v>
      </c>
      <c r="EP217" s="145">
        <v>0</v>
      </c>
      <c r="EQ217" s="145">
        <v>0</v>
      </c>
      <c r="ER217" s="145">
        <v>0</v>
      </c>
      <c r="ES217" s="145">
        <v>0</v>
      </c>
      <c r="ET217" s="145">
        <v>0</v>
      </c>
      <c r="EU217" s="145">
        <v>0</v>
      </c>
      <c r="EV217" s="145">
        <v>0</v>
      </c>
      <c r="EW217" s="145">
        <v>0</v>
      </c>
      <c r="EX217" s="145">
        <v>0</v>
      </c>
      <c r="EY217" s="145">
        <v>0</v>
      </c>
      <c r="EZ217" s="145">
        <v>0</v>
      </c>
      <c r="FA217" s="145">
        <v>0</v>
      </c>
      <c r="FB217" s="145">
        <v>0</v>
      </c>
      <c r="FC217" s="145">
        <v>0</v>
      </c>
      <c r="FD217" s="145">
        <v>0</v>
      </c>
      <c r="FE217" s="145">
        <v>0</v>
      </c>
      <c r="FF217" s="145">
        <v>0</v>
      </c>
      <c r="FG217" s="145">
        <v>0</v>
      </c>
      <c r="FH217" s="145">
        <v>0</v>
      </c>
      <c r="FI217" s="145">
        <v>0</v>
      </c>
      <c r="FJ217" s="145">
        <v>0</v>
      </c>
      <c r="FK217" s="145">
        <v>0</v>
      </c>
      <c r="FL217" s="145">
        <v>0</v>
      </c>
      <c r="FM217" s="145">
        <v>0</v>
      </c>
      <c r="FN217" s="145">
        <v>0</v>
      </c>
      <c r="FO217" s="145">
        <v>0</v>
      </c>
      <c r="FP217" s="145">
        <v>0</v>
      </c>
      <c r="FQ217" s="145">
        <v>0</v>
      </c>
      <c r="FR217" s="145">
        <v>0</v>
      </c>
      <c r="FS217" s="145">
        <v>0</v>
      </c>
      <c r="FT217" s="145">
        <v>0</v>
      </c>
      <c r="FU217" s="145">
        <v>0</v>
      </c>
      <c r="FV217" s="145">
        <v>0</v>
      </c>
      <c r="FW217" s="145">
        <v>0</v>
      </c>
      <c r="FX217" s="143"/>
      <c r="FY217" s="146" t="str">
        <f>_xlfn.XLOOKUP($E217,'Key assumptions'!$B$112:$B$120,'Key assumptions'!$C$112:$C$120,0)</f>
        <v>Nominal</v>
      </c>
      <c r="FZ217" s="146" cm="1">
        <f t="array" ref="FZ217">IF($FY217=0,0,_xlfn.IFS($FY217='Key assumptions'!$C$120,_xlfn.XLOOKUP(LEFT(FZ$7,6),Inflation_Year,Inflation_NominaltoReal),TRUE,_xlfn.XLOOKUP($FY217,Inflation_Year,NominaltoReal)))</f>
        <v>1.0197075870962191</v>
      </c>
      <c r="GA217" s="146" cm="1">
        <f t="array" ref="GA217">IF($FY217=0,0,_xlfn.IFS($FY217='Key assumptions'!$C$120,_xlfn.XLOOKUP(LEFT(GA$7,6),Inflation_Year,Inflation_NominaltoReal),TRUE,_xlfn.XLOOKUP($FY217,Inflation_Year,NominaltoReal)))</f>
        <v>0.98700804022984445</v>
      </c>
      <c r="GB217" s="146" cm="1">
        <f t="array" ref="GB217">IF($FY217=0,0,_xlfn.IFS($FY217='Key assumptions'!$C$120,_xlfn.XLOOKUP(LEFT(GB$7,6),Inflation_Year,Inflation_NominaltoReal),TRUE,_xlfn.XLOOKUP($FY217,Inflation_Year,NominaltoReal)))</f>
        <v>0.96152830081941731</v>
      </c>
      <c r="GC217" s="146" cm="1">
        <f t="array" ref="GC217">IF($FY217=0,0,_xlfn.IFS($FY217='Key assumptions'!$C$120,_xlfn.XLOOKUP(LEFT(GC$7,6),Inflation_Year,Inflation_NominaltoReal),TRUE,_xlfn.XLOOKUP($FY217,Inflation_Year,NominaltoReal)))</f>
        <v>0.93670632415656829</v>
      </c>
      <c r="GD217" s="146" cm="1">
        <f t="array" ref="GD217">IF($FY217=0,0,_xlfn.IFS($FY217='Key assumptions'!$C$120,_xlfn.XLOOKUP(LEFT(GD$7,6),Inflation_Year,Inflation_NominaltoReal),TRUE,_xlfn.XLOOKUP($FY217,Inflation_Year,NominaltoReal)))</f>
        <v>0.91252513001143176</v>
      </c>
      <c r="GE217" s="146" cm="1">
        <f t="array" ref="GE217">IF($FY217=0,0,_xlfn.IFS($FY217='Key assumptions'!$C$120,_xlfn.XLOOKUP(LEFT(GE$7,6),Inflation_Year,Inflation_NominaltoReal),TRUE,_xlfn.XLOOKUP($FY217,Inflation_Year,NominaltoReal)))</f>
        <v>0.88896817650095872</v>
      </c>
      <c r="GF217" s="146" cm="1">
        <f t="array" ref="GF217">IF($FY217=0,0,_xlfn.IFS($FY217='Key assumptions'!$C$120,_xlfn.XLOOKUP(LEFT(GF$7,6),Inflation_Year,Inflation_NominaltoReal),TRUE,_xlfn.XLOOKUP($FY217,Inflation_Year,NominaltoReal)))</f>
        <v>0.86601934877293718</v>
      </c>
      <c r="GG217" s="143"/>
      <c r="GH217" s="145" cm="1">
        <f t="array" ref="GH217">SUMPRODUCT(--($CR$7:$FW$7&gt;=GH$5),--($CR$7:$FW$7&lt;=GH$6),$CR217:$FW217)*FZ217</f>
        <v>0</v>
      </c>
      <c r="GI217" s="145" cm="1">
        <f t="array" ref="GI217">SUMPRODUCT(--($CR$7:$FW$7&gt;=GI$5),--($CR$7:$FW$7&lt;=GI$6),$CR217:$FW217)*GA217</f>
        <v>16641.152959883224</v>
      </c>
      <c r="GJ217" s="145" cm="1">
        <f t="array" ref="GJ217">SUMPRODUCT(--($CR$7:$FW$7&gt;=GJ$5),--($CR$7:$FW$7&lt;=GJ$6),$CR217:$FW217)*GB217</f>
        <v>99234.720591728124</v>
      </c>
      <c r="GK217" s="145" cm="1">
        <f t="array" ref="GK217">SUMPRODUCT(--($CR$7:$FW$7&gt;=GK$5),--($CR$7:$FW$7&lt;=GK$6),$CR217:$FW217)*GC217</f>
        <v>0</v>
      </c>
      <c r="GL217" s="145" cm="1">
        <f t="array" ref="GL217">SUMPRODUCT(--($CR$7:$FW$7&gt;=GL$5),--($CR$7:$FW$7&lt;=GL$6),$CR217:$FW217)*GD217</f>
        <v>0</v>
      </c>
      <c r="GM217" s="145" cm="1">
        <f t="array" ref="GM217">SUMPRODUCT(--($CR$7:$FW$7&gt;=GM$5),--($CR$7:$FW$7&lt;=GM$6),$CR217:$FW217)*GE217</f>
        <v>0</v>
      </c>
      <c r="GN217" s="145" cm="1">
        <f t="array" ref="GN217">SUMPRODUCT(--($CR$7:$FW$7&gt;=GN$5),--($CR$7:$FW$7&lt;=GN$6),$CR217:$FW217)*GF217</f>
        <v>0</v>
      </c>
      <c r="GO217" s="145">
        <f t="shared" si="69"/>
        <v>115875.87355161135</v>
      </c>
      <c r="GP217" s="87"/>
      <c r="GR217" s="145" cm="1">
        <f t="array" ref="GR217">SUMPRODUCT(--($CR$7:$FW$7&gt;=GR$5),--($CR$7:$FW$7&lt;=GR$6),$CR217:$FW217)</f>
        <v>0</v>
      </c>
      <c r="GT217" s="214" cm="1">
        <f t="array" ref="GT217">--AND(MIN(IF($K217:$CP217&lt;&gt;0,$K$7:$CP$7))&gt;=GT$5,MIN(IF($K217:$CP217&lt;&gt;0,$K$7:$CP$7))&lt;=GT$6)</f>
        <v>0</v>
      </c>
      <c r="GU217" s="214" cm="1">
        <f t="array" ref="GU217">--AND(MIN(IF($K217:$CP217&lt;&gt;0,$K$7:$CP$7))&gt;=GU$5,MIN(IF($K217:$CP217&lt;&gt;0,$K$7:$CP$7))&lt;=GU$6)</f>
        <v>1</v>
      </c>
      <c r="GV217" s="214" cm="1">
        <f t="array" ref="GV217">--AND(MIN(IF($K217:$CP217&lt;&gt;0,$K$7:$CP$7))&gt;=GV$5,MIN(IF($K217:$CP217&lt;&gt;0,$K$7:$CP$7))&lt;=GV$6)</f>
        <v>0</v>
      </c>
      <c r="GW217" s="214" cm="1">
        <f t="array" ref="GW217">--AND(MIN(IF($K217:$CP217&lt;&gt;0,$K$7:$CP$7))&gt;=GW$5,MIN(IF($K217:$CP217&lt;&gt;0,$K$7:$CP$7))&lt;=GW$6)</f>
        <v>0</v>
      </c>
      <c r="GX217" s="214" cm="1">
        <f t="array" ref="GX217">--AND(MIN(IF($K217:$CP217&lt;&gt;0,$K$7:$CP$7))&gt;=GX$5,MIN(IF($K217:$CP217&lt;&gt;0,$K$7:$CP$7))&lt;=GX$6)</f>
        <v>0</v>
      </c>
      <c r="GY217" s="214" cm="1">
        <f t="array" ref="GY217">--AND(MIN(IF($K217:$CP217&lt;&gt;0,$K$7:$CP$7))&gt;=GY$5,MIN(IF($K217:$CP217&lt;&gt;0,$K$7:$CP$7))&lt;=GY$6)</f>
        <v>0</v>
      </c>
      <c r="GZ217" s="214" cm="1">
        <f t="array" ref="GZ217">--AND(MIN(IF($K217:$CP217&lt;&gt;0,$K$7:$CP$7))&gt;=GZ$5,MIN(IF($K217:$CP217&lt;&gt;0,$K$7:$CP$7))&lt;=GZ$6)</f>
        <v>0</v>
      </c>
      <c r="HA217" s="214">
        <f t="shared" si="70"/>
        <v>1</v>
      </c>
      <c r="HC217" s="214" cm="1">
        <f t="array" ref="HC217">--AND(MIN(IF($K217:$CP217&lt;&gt;0,$K$7:$CP$7))&gt;=HC$5,MIN(IF($K217:$CP217&lt;&gt;0,$K$7:$CP$7))&lt;=HC$6)</f>
        <v>0</v>
      </c>
      <c r="HE217" s="147" t="str">
        <f t="shared" si="89"/>
        <v>No</v>
      </c>
      <c r="HF217" s="147" t="str">
        <f t="shared" si="90"/>
        <v>No</v>
      </c>
      <c r="HG217" s="147">
        <f>IF($HF217="Yes",0,$H217*avg_hrs*12*'Key assumptions'!$D$87)</f>
        <v>418061.5290413404</v>
      </c>
      <c r="HH217" s="147">
        <f>IF(HE217="Yes",'Key assumptions'!$D$84*HG217,0)</f>
        <v>0</v>
      </c>
      <c r="HI217" s="144">
        <f>IFERROR(AVERAGEIFS($K217:$CP217,$K$7:$CP$7,"&gt;="&amp;'Key assumptions'!$D$24,$K$7:$CP$7,"&lt;="&amp;'Key assumptions'!$D$25),0)</f>
        <v>7.8648325358851676E-2</v>
      </c>
      <c r="HJ217" s="148">
        <f t="shared" si="91"/>
        <v>0</v>
      </c>
      <c r="HK217" s="148">
        <f t="shared" si="72"/>
        <v>0</v>
      </c>
      <c r="HL217" s="148">
        <f t="shared" si="73"/>
        <v>0</v>
      </c>
      <c r="HM217" s="148">
        <f t="shared" si="74"/>
        <v>0</v>
      </c>
      <c r="HN217" s="148">
        <f t="shared" si="75"/>
        <v>0</v>
      </c>
      <c r="HO217" s="148">
        <f t="shared" si="76"/>
        <v>0</v>
      </c>
      <c r="HP217" s="148">
        <f t="shared" si="77"/>
        <v>0</v>
      </c>
      <c r="HQ217" s="148">
        <f t="shared" si="78"/>
        <v>0</v>
      </c>
      <c r="HR217" s="147">
        <f t="shared" si="79"/>
        <v>0</v>
      </c>
      <c r="HU217" s="147">
        <f>$HJ217*HC217/(1+'Key assumptions'!G239)^0.75</f>
        <v>0</v>
      </c>
      <c r="HW217" s="216">
        <f t="shared" si="80"/>
        <v>0</v>
      </c>
      <c r="HX217" s="216">
        <f t="shared" si="81"/>
        <v>7.8648325358851676E-2</v>
      </c>
      <c r="HY217" s="216">
        <f t="shared" si="82"/>
        <v>0</v>
      </c>
      <c r="HZ217" s="216">
        <f t="shared" si="83"/>
        <v>0</v>
      </c>
      <c r="IA217" s="216">
        <f t="shared" si="84"/>
        <v>0</v>
      </c>
      <c r="IB217" s="216">
        <f t="shared" si="85"/>
        <v>0</v>
      </c>
      <c r="IC217" s="216">
        <f t="shared" si="86"/>
        <v>0</v>
      </c>
      <c r="ID217" s="216">
        <f t="shared" si="87"/>
        <v>7.8648325358851676E-2</v>
      </c>
      <c r="IF217" s="216">
        <f t="shared" si="88"/>
        <v>0</v>
      </c>
    </row>
    <row r="218" spans="2:240" x14ac:dyDescent="0.2">
      <c r="B218" s="141" t="str">
        <v>Project Delivery Management - Commissioning</v>
      </c>
      <c r="C218" s="141" t="str">
        <v>Telecommunication Technician (Construction)</v>
      </c>
      <c r="D218" s="141" t="str">
        <v>Internal Labour</v>
      </c>
      <c r="E218" s="141" t="str">
        <v>$ Nominal</v>
      </c>
      <c r="F218" s="141" t="str">
        <v>Existing</v>
      </c>
      <c r="G218" s="141" t="str">
        <v>Normal time</v>
      </c>
      <c r="H218" s="142">
        <v>188.58</v>
      </c>
      <c r="I218" s="126">
        <v>85803.900000000009</v>
      </c>
      <c r="J218" s="143">
        <v>0</v>
      </c>
      <c r="K218" s="144">
        <v>0</v>
      </c>
      <c r="L218" s="144">
        <v>0</v>
      </c>
      <c r="M218" s="144">
        <v>0</v>
      </c>
      <c r="N218" s="144">
        <v>0</v>
      </c>
      <c r="O218" s="144">
        <v>0</v>
      </c>
      <c r="P218" s="144">
        <v>0</v>
      </c>
      <c r="Q218" s="144">
        <v>0</v>
      </c>
      <c r="R218" s="144">
        <v>0</v>
      </c>
      <c r="S218" s="144">
        <v>0</v>
      </c>
      <c r="T218" s="144">
        <v>0</v>
      </c>
      <c r="U218" s="144">
        <v>0</v>
      </c>
      <c r="V218" s="144">
        <v>0</v>
      </c>
      <c r="W218" s="144">
        <v>0</v>
      </c>
      <c r="X218" s="144">
        <v>0</v>
      </c>
      <c r="Y218" s="144">
        <v>0</v>
      </c>
      <c r="Z218" s="144">
        <v>0</v>
      </c>
      <c r="AA218" s="144">
        <v>0</v>
      </c>
      <c r="AB218" s="144">
        <v>0</v>
      </c>
      <c r="AC218" s="144">
        <v>0</v>
      </c>
      <c r="AD218" s="144">
        <v>0</v>
      </c>
      <c r="AE218" s="144">
        <v>0</v>
      </c>
      <c r="AF218" s="144">
        <v>1.05</v>
      </c>
      <c r="AG218" s="144">
        <v>1.1000000000000001</v>
      </c>
      <c r="AH218" s="144">
        <v>1.4666666666666666</v>
      </c>
      <c r="AI218" s="144">
        <v>0</v>
      </c>
      <c r="AJ218" s="144">
        <v>0</v>
      </c>
      <c r="AK218" s="144">
        <v>0</v>
      </c>
      <c r="AL218" s="144">
        <v>0</v>
      </c>
      <c r="AM218" s="144">
        <v>0</v>
      </c>
      <c r="AN218" s="144">
        <v>0</v>
      </c>
      <c r="AO218" s="144">
        <v>0</v>
      </c>
      <c r="AP218" s="144">
        <v>0</v>
      </c>
      <c r="AQ218" s="144">
        <v>0</v>
      </c>
      <c r="AR218" s="144">
        <v>0</v>
      </c>
      <c r="AS218" s="144">
        <v>0</v>
      </c>
      <c r="AT218" s="144">
        <v>0</v>
      </c>
      <c r="AU218" s="144">
        <v>0</v>
      </c>
      <c r="AV218" s="144">
        <v>0</v>
      </c>
      <c r="AW218" s="144">
        <v>0</v>
      </c>
      <c r="AX218" s="144">
        <v>0</v>
      </c>
      <c r="AY218" s="144">
        <v>0</v>
      </c>
      <c r="AZ218" s="144">
        <v>0</v>
      </c>
      <c r="BA218" s="144">
        <v>0</v>
      </c>
      <c r="BB218" s="144">
        <v>0</v>
      </c>
      <c r="BC218" s="144">
        <v>0</v>
      </c>
      <c r="BD218" s="144">
        <v>0</v>
      </c>
      <c r="BE218" s="144">
        <v>0</v>
      </c>
      <c r="BF218" s="144">
        <v>0</v>
      </c>
      <c r="BG218" s="144">
        <v>0</v>
      </c>
      <c r="BH218" s="144">
        <v>0</v>
      </c>
      <c r="BI218" s="144">
        <v>0</v>
      </c>
      <c r="BJ218" s="144">
        <v>0</v>
      </c>
      <c r="BK218" s="144">
        <v>0</v>
      </c>
      <c r="BL218" s="144">
        <v>0</v>
      </c>
      <c r="BM218" s="144">
        <v>0</v>
      </c>
      <c r="BN218" s="144">
        <v>0</v>
      </c>
      <c r="BO218" s="144">
        <v>0</v>
      </c>
      <c r="BP218" s="144">
        <v>0</v>
      </c>
      <c r="BQ218" s="144">
        <v>0</v>
      </c>
      <c r="BR218" s="144">
        <v>0</v>
      </c>
      <c r="BS218" s="144">
        <v>0</v>
      </c>
      <c r="BT218" s="144">
        <v>0</v>
      </c>
      <c r="BU218" s="144">
        <v>0</v>
      </c>
      <c r="BV218" s="144">
        <v>0</v>
      </c>
      <c r="BW218" s="144">
        <v>0</v>
      </c>
      <c r="BX218" s="144">
        <v>0</v>
      </c>
      <c r="BY218" s="144">
        <v>0</v>
      </c>
      <c r="BZ218" s="144">
        <v>0</v>
      </c>
      <c r="CA218" s="144">
        <v>0</v>
      </c>
      <c r="CB218" s="144">
        <v>0</v>
      </c>
      <c r="CC218" s="144">
        <v>0</v>
      </c>
      <c r="CD218" s="144">
        <v>0</v>
      </c>
      <c r="CE218" s="144">
        <v>0</v>
      </c>
      <c r="CF218" s="144">
        <v>0</v>
      </c>
      <c r="CG218" s="144">
        <v>0</v>
      </c>
      <c r="CH218" s="144">
        <v>0</v>
      </c>
      <c r="CI218" s="144">
        <v>0</v>
      </c>
      <c r="CJ218" s="144">
        <v>0</v>
      </c>
      <c r="CK218" s="144">
        <v>0</v>
      </c>
      <c r="CL218" s="144">
        <v>0</v>
      </c>
      <c r="CM218" s="144">
        <v>0</v>
      </c>
      <c r="CN218" s="144">
        <v>0</v>
      </c>
      <c r="CO218" s="144">
        <v>0</v>
      </c>
      <c r="CP218" s="144">
        <v>0</v>
      </c>
      <c r="CQ218" s="143">
        <v>0</v>
      </c>
      <c r="CR218" s="145">
        <v>0</v>
      </c>
      <c r="CS218" s="145">
        <v>0</v>
      </c>
      <c r="CT218" s="145">
        <v>0</v>
      </c>
      <c r="CU218" s="145">
        <v>0</v>
      </c>
      <c r="CV218" s="145">
        <v>0</v>
      </c>
      <c r="CW218" s="145">
        <v>0</v>
      </c>
      <c r="CX218" s="145">
        <v>0</v>
      </c>
      <c r="CY218" s="145">
        <v>0</v>
      </c>
      <c r="CZ218" s="145">
        <v>0</v>
      </c>
      <c r="DA218" s="145">
        <v>0</v>
      </c>
      <c r="DB218" s="145">
        <v>0</v>
      </c>
      <c r="DC218" s="145">
        <v>0</v>
      </c>
      <c r="DD218" s="145">
        <v>0</v>
      </c>
      <c r="DE218" s="145">
        <v>0</v>
      </c>
      <c r="DF218" s="145">
        <v>0</v>
      </c>
      <c r="DG218" s="145">
        <v>0</v>
      </c>
      <c r="DH218" s="145">
        <v>0</v>
      </c>
      <c r="DI218" s="145">
        <v>0</v>
      </c>
      <c r="DJ218" s="145">
        <v>0</v>
      </c>
      <c r="DK218" s="145">
        <v>0</v>
      </c>
      <c r="DL218" s="145">
        <v>0</v>
      </c>
      <c r="DM218" s="145">
        <v>27721.260000000002</v>
      </c>
      <c r="DN218" s="145">
        <v>29041.320000000003</v>
      </c>
      <c r="DO218" s="145">
        <v>29041.320000000003</v>
      </c>
      <c r="DP218" s="145">
        <v>0</v>
      </c>
      <c r="DQ218" s="145">
        <v>0</v>
      </c>
      <c r="DR218" s="145">
        <v>0</v>
      </c>
      <c r="DS218" s="145">
        <v>0</v>
      </c>
      <c r="DT218" s="145">
        <v>0</v>
      </c>
      <c r="DU218" s="145">
        <v>0</v>
      </c>
      <c r="DV218" s="145">
        <v>0</v>
      </c>
      <c r="DW218" s="145">
        <v>0</v>
      </c>
      <c r="DX218" s="145">
        <v>0</v>
      </c>
      <c r="DY218" s="145">
        <v>0</v>
      </c>
      <c r="DZ218" s="145">
        <v>0</v>
      </c>
      <c r="EA218" s="145">
        <v>0</v>
      </c>
      <c r="EB218" s="145">
        <v>0</v>
      </c>
      <c r="EC218" s="145">
        <v>0</v>
      </c>
      <c r="ED218" s="145">
        <v>0</v>
      </c>
      <c r="EE218" s="145">
        <v>0</v>
      </c>
      <c r="EF218" s="145">
        <v>0</v>
      </c>
      <c r="EG218" s="145">
        <v>0</v>
      </c>
      <c r="EH218" s="145">
        <v>0</v>
      </c>
      <c r="EI218" s="145">
        <v>0</v>
      </c>
      <c r="EJ218" s="145">
        <v>0</v>
      </c>
      <c r="EK218" s="145">
        <v>0</v>
      </c>
      <c r="EL218" s="145">
        <v>0</v>
      </c>
      <c r="EM218" s="145">
        <v>0</v>
      </c>
      <c r="EN218" s="145">
        <v>0</v>
      </c>
      <c r="EO218" s="145">
        <v>0</v>
      </c>
      <c r="EP218" s="145">
        <v>0</v>
      </c>
      <c r="EQ218" s="145">
        <v>0</v>
      </c>
      <c r="ER218" s="145">
        <v>0</v>
      </c>
      <c r="ES218" s="145">
        <v>0</v>
      </c>
      <c r="ET218" s="145">
        <v>0</v>
      </c>
      <c r="EU218" s="145">
        <v>0</v>
      </c>
      <c r="EV218" s="145">
        <v>0</v>
      </c>
      <c r="EW218" s="145">
        <v>0</v>
      </c>
      <c r="EX218" s="145">
        <v>0</v>
      </c>
      <c r="EY218" s="145">
        <v>0</v>
      </c>
      <c r="EZ218" s="145">
        <v>0</v>
      </c>
      <c r="FA218" s="145">
        <v>0</v>
      </c>
      <c r="FB218" s="145">
        <v>0</v>
      </c>
      <c r="FC218" s="145">
        <v>0</v>
      </c>
      <c r="FD218" s="145">
        <v>0</v>
      </c>
      <c r="FE218" s="145">
        <v>0</v>
      </c>
      <c r="FF218" s="145">
        <v>0</v>
      </c>
      <c r="FG218" s="145">
        <v>0</v>
      </c>
      <c r="FH218" s="145">
        <v>0</v>
      </c>
      <c r="FI218" s="145">
        <v>0</v>
      </c>
      <c r="FJ218" s="145">
        <v>0</v>
      </c>
      <c r="FK218" s="145">
        <v>0</v>
      </c>
      <c r="FL218" s="145">
        <v>0</v>
      </c>
      <c r="FM218" s="145">
        <v>0</v>
      </c>
      <c r="FN218" s="145">
        <v>0</v>
      </c>
      <c r="FO218" s="145">
        <v>0</v>
      </c>
      <c r="FP218" s="145">
        <v>0</v>
      </c>
      <c r="FQ218" s="145">
        <v>0</v>
      </c>
      <c r="FR218" s="145">
        <v>0</v>
      </c>
      <c r="FS218" s="145">
        <v>0</v>
      </c>
      <c r="FT218" s="145">
        <v>0</v>
      </c>
      <c r="FU218" s="145">
        <v>0</v>
      </c>
      <c r="FV218" s="145">
        <v>0</v>
      </c>
      <c r="FW218" s="145">
        <v>0</v>
      </c>
      <c r="FX218" s="143"/>
      <c r="FY218" s="146" t="str">
        <f>_xlfn.XLOOKUP($E218,'Key assumptions'!$B$112:$B$120,'Key assumptions'!$C$112:$C$120,0)</f>
        <v>Nominal</v>
      </c>
      <c r="FZ218" s="146" cm="1">
        <f t="array" ref="FZ218">IF($FY218=0,0,_xlfn.IFS($FY218='Key assumptions'!$C$120,_xlfn.XLOOKUP(LEFT(FZ$7,6),Inflation_Year,Inflation_NominaltoReal),TRUE,_xlfn.XLOOKUP($FY218,Inflation_Year,NominaltoReal)))</f>
        <v>1.0197075870962191</v>
      </c>
      <c r="GA218" s="146" cm="1">
        <f t="array" ref="GA218">IF($FY218=0,0,_xlfn.IFS($FY218='Key assumptions'!$C$120,_xlfn.XLOOKUP(LEFT(GA$7,6),Inflation_Year,Inflation_NominaltoReal),TRUE,_xlfn.XLOOKUP($FY218,Inflation_Year,NominaltoReal)))</f>
        <v>0.98700804022984445</v>
      </c>
      <c r="GB218" s="146" cm="1">
        <f t="array" ref="GB218">IF($FY218=0,0,_xlfn.IFS($FY218='Key assumptions'!$C$120,_xlfn.XLOOKUP(LEFT(GB$7,6),Inflation_Year,Inflation_NominaltoReal),TRUE,_xlfn.XLOOKUP($FY218,Inflation_Year,NominaltoReal)))</f>
        <v>0.96152830081941731</v>
      </c>
      <c r="GC218" s="146" cm="1">
        <f t="array" ref="GC218">IF($FY218=0,0,_xlfn.IFS($FY218='Key assumptions'!$C$120,_xlfn.XLOOKUP(LEFT(GC$7,6),Inflation_Year,Inflation_NominaltoReal),TRUE,_xlfn.XLOOKUP($FY218,Inflation_Year,NominaltoReal)))</f>
        <v>0.93670632415656829</v>
      </c>
      <c r="GD218" s="146" cm="1">
        <f t="array" ref="GD218">IF($FY218=0,0,_xlfn.IFS($FY218='Key assumptions'!$C$120,_xlfn.XLOOKUP(LEFT(GD$7,6),Inflation_Year,Inflation_NominaltoReal),TRUE,_xlfn.XLOOKUP($FY218,Inflation_Year,NominaltoReal)))</f>
        <v>0.91252513001143176</v>
      </c>
      <c r="GE218" s="146" cm="1">
        <f t="array" ref="GE218">IF($FY218=0,0,_xlfn.IFS($FY218='Key assumptions'!$C$120,_xlfn.XLOOKUP(LEFT(GE$7,6),Inflation_Year,Inflation_NominaltoReal),TRUE,_xlfn.XLOOKUP($FY218,Inflation_Year,NominaltoReal)))</f>
        <v>0.88896817650095872</v>
      </c>
      <c r="GF218" s="146" cm="1">
        <f t="array" ref="GF218">IF($FY218=0,0,_xlfn.IFS($FY218='Key assumptions'!$C$120,_xlfn.XLOOKUP(LEFT(GF$7,6),Inflation_Year,Inflation_NominaltoReal),TRUE,_xlfn.XLOOKUP($FY218,Inflation_Year,NominaltoReal)))</f>
        <v>0.86601934877293718</v>
      </c>
      <c r="GG218" s="143"/>
      <c r="GH218" s="145" cm="1">
        <f t="array" ref="GH218">SUMPRODUCT(--($CR$7:$FW$7&gt;=GH$5),--($CR$7:$FW$7&lt;=GH$6),$CR218:$FW218)*FZ218</f>
        <v>0</v>
      </c>
      <c r="GI218" s="145" cm="1">
        <f t="array" ref="GI218">SUMPRODUCT(--($CR$7:$FW$7&gt;=GI$5),--($CR$7:$FW$7&lt;=GI$6),$CR218:$FW218)*GA218</f>
        <v>84689.139183077554</v>
      </c>
      <c r="GJ218" s="145" cm="1">
        <f t="array" ref="GJ218">SUMPRODUCT(--($CR$7:$FW$7&gt;=GJ$5),--($CR$7:$FW$7&lt;=GJ$6),$CR218:$FW218)*GB218</f>
        <v>0</v>
      </c>
      <c r="GK218" s="145" cm="1">
        <f t="array" ref="GK218">SUMPRODUCT(--($CR$7:$FW$7&gt;=GK$5),--($CR$7:$FW$7&lt;=GK$6),$CR218:$FW218)*GC218</f>
        <v>0</v>
      </c>
      <c r="GL218" s="145" cm="1">
        <f t="array" ref="GL218">SUMPRODUCT(--($CR$7:$FW$7&gt;=GL$5),--($CR$7:$FW$7&lt;=GL$6),$CR218:$FW218)*GD218</f>
        <v>0</v>
      </c>
      <c r="GM218" s="145" cm="1">
        <f t="array" ref="GM218">SUMPRODUCT(--($CR$7:$FW$7&gt;=GM$5),--($CR$7:$FW$7&lt;=GM$6),$CR218:$FW218)*GE218</f>
        <v>0</v>
      </c>
      <c r="GN218" s="145" cm="1">
        <f t="array" ref="GN218">SUMPRODUCT(--($CR$7:$FW$7&gt;=GN$5),--($CR$7:$FW$7&lt;=GN$6),$CR218:$FW218)*GF218</f>
        <v>0</v>
      </c>
      <c r="GO218" s="145">
        <f t="shared" si="69"/>
        <v>84689.139183077554</v>
      </c>
      <c r="GP218" s="87"/>
      <c r="GR218" s="145" cm="1">
        <f t="array" ref="GR218">SUMPRODUCT(--($CR$7:$FW$7&gt;=GR$5),--($CR$7:$FW$7&lt;=GR$6),$CR218:$FW218)</f>
        <v>0</v>
      </c>
      <c r="GT218" s="214" cm="1">
        <f t="array" ref="GT218">--AND(MIN(IF($K218:$CP218&lt;&gt;0,$K$7:$CP$7))&gt;=GT$5,MIN(IF($K218:$CP218&lt;&gt;0,$K$7:$CP$7))&lt;=GT$6)</f>
        <v>0</v>
      </c>
      <c r="GU218" s="214" cm="1">
        <f t="array" ref="GU218">--AND(MIN(IF($K218:$CP218&lt;&gt;0,$K$7:$CP$7))&gt;=GU$5,MIN(IF($K218:$CP218&lt;&gt;0,$K$7:$CP$7))&lt;=GU$6)</f>
        <v>1</v>
      </c>
      <c r="GV218" s="214" cm="1">
        <f t="array" ref="GV218">--AND(MIN(IF($K218:$CP218&lt;&gt;0,$K$7:$CP$7))&gt;=GV$5,MIN(IF($K218:$CP218&lt;&gt;0,$K$7:$CP$7))&lt;=GV$6)</f>
        <v>0</v>
      </c>
      <c r="GW218" s="214" cm="1">
        <f t="array" ref="GW218">--AND(MIN(IF($K218:$CP218&lt;&gt;0,$K$7:$CP$7))&gt;=GW$5,MIN(IF($K218:$CP218&lt;&gt;0,$K$7:$CP$7))&lt;=GW$6)</f>
        <v>0</v>
      </c>
      <c r="GX218" s="214" cm="1">
        <f t="array" ref="GX218">--AND(MIN(IF($K218:$CP218&lt;&gt;0,$K$7:$CP$7))&gt;=GX$5,MIN(IF($K218:$CP218&lt;&gt;0,$K$7:$CP$7))&lt;=GX$6)</f>
        <v>0</v>
      </c>
      <c r="GY218" s="214" cm="1">
        <f t="array" ref="GY218">--AND(MIN(IF($K218:$CP218&lt;&gt;0,$K$7:$CP$7))&gt;=GY$5,MIN(IF($K218:$CP218&lt;&gt;0,$K$7:$CP$7))&lt;=GY$6)</f>
        <v>0</v>
      </c>
      <c r="GZ218" s="214" cm="1">
        <f t="array" ref="GZ218">--AND(MIN(IF($K218:$CP218&lt;&gt;0,$K$7:$CP$7))&gt;=GZ$5,MIN(IF($K218:$CP218&lt;&gt;0,$K$7:$CP$7))&lt;=GZ$6)</f>
        <v>0</v>
      </c>
      <c r="HA218" s="214">
        <f t="shared" si="70"/>
        <v>1</v>
      </c>
      <c r="HC218" s="214" cm="1">
        <f t="array" ref="HC218">--AND(MIN(IF($K218:$CP218&lt;&gt;0,$K$7:$CP$7))&gt;=HC$5,MIN(IF($K218:$CP218&lt;&gt;0,$K$7:$CP$7))&lt;=HC$6)</f>
        <v>0</v>
      </c>
      <c r="HE218" s="147" t="str">
        <f t="shared" si="89"/>
        <v>No</v>
      </c>
      <c r="HF218" s="147" t="str">
        <f t="shared" si="90"/>
        <v>No</v>
      </c>
      <c r="HG218" s="147">
        <f>IF($HF218="Yes",0,$H218*avg_hrs*12*'Key assumptions'!$D$87)</f>
        <v>337231.76981185726</v>
      </c>
      <c r="HH218" s="147">
        <f>IF(HE218="Yes",'Key assumptions'!$D$84*HG218,0)</f>
        <v>0</v>
      </c>
      <c r="HI218" s="144">
        <f>IFERROR(AVERAGEIFS($K218:$CP218,$K$7:$CP$7,"&gt;="&amp;'Key assumptions'!$D$24,$K$7:$CP$7,"&lt;="&amp;'Key assumptions'!$D$25),0)</f>
        <v>8.2196969696969713E-2</v>
      </c>
      <c r="HJ218" s="148">
        <f t="shared" si="91"/>
        <v>0</v>
      </c>
      <c r="HK218" s="148">
        <f t="shared" si="72"/>
        <v>0</v>
      </c>
      <c r="HL218" s="148">
        <f t="shared" si="73"/>
        <v>0</v>
      </c>
      <c r="HM218" s="148">
        <f t="shared" si="74"/>
        <v>0</v>
      </c>
      <c r="HN218" s="148">
        <f t="shared" si="75"/>
        <v>0</v>
      </c>
      <c r="HO218" s="148">
        <f t="shared" si="76"/>
        <v>0</v>
      </c>
      <c r="HP218" s="148">
        <f t="shared" si="77"/>
        <v>0</v>
      </c>
      <c r="HQ218" s="148">
        <f t="shared" si="78"/>
        <v>0</v>
      </c>
      <c r="HR218" s="147">
        <f t="shared" si="79"/>
        <v>0</v>
      </c>
      <c r="HU218" s="147">
        <f>$HJ218*HC218/(1+'Key assumptions'!G240)^0.75</f>
        <v>0</v>
      </c>
      <c r="HW218" s="216">
        <f t="shared" si="80"/>
        <v>0</v>
      </c>
      <c r="HX218" s="216">
        <f t="shared" si="81"/>
        <v>8.2196969696969713E-2</v>
      </c>
      <c r="HY218" s="216">
        <f t="shared" si="82"/>
        <v>0</v>
      </c>
      <c r="HZ218" s="216">
        <f t="shared" si="83"/>
        <v>0</v>
      </c>
      <c r="IA218" s="216">
        <f t="shared" si="84"/>
        <v>0</v>
      </c>
      <c r="IB218" s="216">
        <f t="shared" si="85"/>
        <v>0</v>
      </c>
      <c r="IC218" s="216">
        <f t="shared" si="86"/>
        <v>0</v>
      </c>
      <c r="ID218" s="216">
        <f t="shared" si="87"/>
        <v>8.2196969696969713E-2</v>
      </c>
      <c r="IF218" s="216">
        <f t="shared" si="88"/>
        <v>0</v>
      </c>
    </row>
    <row r="219" spans="2:240" x14ac:dyDescent="0.2">
      <c r="B219" s="141" t="str">
        <v>Project Delivery Management - Commissioning</v>
      </c>
      <c r="C219" s="141" t="str">
        <v>Telecommunication Technician (Construction)</v>
      </c>
      <c r="D219" s="141" t="str">
        <v>Internal Labour</v>
      </c>
      <c r="E219" s="141" t="str">
        <v>$ Nominal</v>
      </c>
      <c r="F219" s="141">
        <v>0</v>
      </c>
      <c r="G219" s="141" t="str">
        <v>Overtime</v>
      </c>
      <c r="H219" s="142">
        <v>188.58</v>
      </c>
      <c r="I219" s="126">
        <v>45258</v>
      </c>
      <c r="J219" s="143">
        <v>0</v>
      </c>
      <c r="K219" s="144">
        <v>0</v>
      </c>
      <c r="L219" s="144">
        <v>0</v>
      </c>
      <c r="M219" s="144">
        <v>0</v>
      </c>
      <c r="N219" s="144">
        <v>0</v>
      </c>
      <c r="O219" s="144">
        <v>0</v>
      </c>
      <c r="P219" s="144">
        <v>0</v>
      </c>
      <c r="Q219" s="144">
        <v>0</v>
      </c>
      <c r="R219" s="144">
        <v>0</v>
      </c>
      <c r="S219" s="144">
        <v>0</v>
      </c>
      <c r="T219" s="144">
        <v>0</v>
      </c>
      <c r="U219" s="144">
        <v>0</v>
      </c>
      <c r="V219" s="144">
        <v>0</v>
      </c>
      <c r="W219" s="144">
        <v>0</v>
      </c>
      <c r="X219" s="144">
        <v>0</v>
      </c>
      <c r="Y219" s="144">
        <v>0</v>
      </c>
      <c r="Z219" s="144">
        <v>0</v>
      </c>
      <c r="AA219" s="144">
        <v>0</v>
      </c>
      <c r="AB219" s="144">
        <v>0</v>
      </c>
      <c r="AC219" s="144">
        <v>0</v>
      </c>
      <c r="AD219" s="144">
        <v>0</v>
      </c>
      <c r="AE219" s="144">
        <v>0</v>
      </c>
      <c r="AF219" s="144">
        <v>0.2857142857142857</v>
      </c>
      <c r="AG219" s="144">
        <v>0.2857142857142857</v>
      </c>
      <c r="AH219" s="144">
        <v>0.38095238095238093</v>
      </c>
      <c r="AI219" s="144">
        <v>0</v>
      </c>
      <c r="AJ219" s="144">
        <v>0</v>
      </c>
      <c r="AK219" s="144">
        <v>0</v>
      </c>
      <c r="AL219" s="144">
        <v>0</v>
      </c>
      <c r="AM219" s="144">
        <v>0</v>
      </c>
      <c r="AN219" s="144">
        <v>0</v>
      </c>
      <c r="AO219" s="144">
        <v>0</v>
      </c>
      <c r="AP219" s="144">
        <v>0</v>
      </c>
      <c r="AQ219" s="144">
        <v>0</v>
      </c>
      <c r="AR219" s="144">
        <v>0</v>
      </c>
      <c r="AS219" s="144">
        <v>0</v>
      </c>
      <c r="AT219" s="144">
        <v>0</v>
      </c>
      <c r="AU219" s="144">
        <v>0</v>
      </c>
      <c r="AV219" s="144">
        <v>0</v>
      </c>
      <c r="AW219" s="144">
        <v>0</v>
      </c>
      <c r="AX219" s="144">
        <v>0</v>
      </c>
      <c r="AY219" s="144">
        <v>0</v>
      </c>
      <c r="AZ219" s="144">
        <v>0</v>
      </c>
      <c r="BA219" s="144">
        <v>0</v>
      </c>
      <c r="BB219" s="144">
        <v>0</v>
      </c>
      <c r="BC219" s="144">
        <v>0</v>
      </c>
      <c r="BD219" s="144">
        <v>0</v>
      </c>
      <c r="BE219" s="144">
        <v>0</v>
      </c>
      <c r="BF219" s="144">
        <v>0</v>
      </c>
      <c r="BG219" s="144">
        <v>0</v>
      </c>
      <c r="BH219" s="144">
        <v>0</v>
      </c>
      <c r="BI219" s="144">
        <v>0</v>
      </c>
      <c r="BJ219" s="144">
        <v>0</v>
      </c>
      <c r="BK219" s="144">
        <v>0</v>
      </c>
      <c r="BL219" s="144">
        <v>0</v>
      </c>
      <c r="BM219" s="144">
        <v>0</v>
      </c>
      <c r="BN219" s="144">
        <v>0</v>
      </c>
      <c r="BO219" s="144">
        <v>0</v>
      </c>
      <c r="BP219" s="144">
        <v>0</v>
      </c>
      <c r="BQ219" s="144">
        <v>0</v>
      </c>
      <c r="BR219" s="144">
        <v>0</v>
      </c>
      <c r="BS219" s="144">
        <v>0</v>
      </c>
      <c r="BT219" s="144">
        <v>0</v>
      </c>
      <c r="BU219" s="144">
        <v>0</v>
      </c>
      <c r="BV219" s="144">
        <v>0</v>
      </c>
      <c r="BW219" s="144">
        <v>0</v>
      </c>
      <c r="BX219" s="144">
        <v>0</v>
      </c>
      <c r="BY219" s="144">
        <v>0</v>
      </c>
      <c r="BZ219" s="144">
        <v>0</v>
      </c>
      <c r="CA219" s="144">
        <v>0</v>
      </c>
      <c r="CB219" s="144">
        <v>0</v>
      </c>
      <c r="CC219" s="144">
        <v>0</v>
      </c>
      <c r="CD219" s="144">
        <v>0</v>
      </c>
      <c r="CE219" s="144">
        <v>0</v>
      </c>
      <c r="CF219" s="144">
        <v>0</v>
      </c>
      <c r="CG219" s="144">
        <v>0</v>
      </c>
      <c r="CH219" s="144">
        <v>0</v>
      </c>
      <c r="CI219" s="144">
        <v>0</v>
      </c>
      <c r="CJ219" s="144">
        <v>0</v>
      </c>
      <c r="CK219" s="144">
        <v>0</v>
      </c>
      <c r="CL219" s="144">
        <v>0</v>
      </c>
      <c r="CM219" s="144">
        <v>0</v>
      </c>
      <c r="CN219" s="144">
        <v>0</v>
      </c>
      <c r="CO219" s="144">
        <v>0</v>
      </c>
      <c r="CP219" s="144">
        <v>0</v>
      </c>
      <c r="CQ219" s="143">
        <v>0</v>
      </c>
      <c r="CR219" s="145">
        <v>0</v>
      </c>
      <c r="CS219" s="145">
        <v>0</v>
      </c>
      <c r="CT219" s="145">
        <v>0</v>
      </c>
      <c r="CU219" s="145">
        <v>0</v>
      </c>
      <c r="CV219" s="145">
        <v>0</v>
      </c>
      <c r="CW219" s="145">
        <v>0</v>
      </c>
      <c r="CX219" s="145">
        <v>0</v>
      </c>
      <c r="CY219" s="145">
        <v>0</v>
      </c>
      <c r="CZ219" s="145">
        <v>0</v>
      </c>
      <c r="DA219" s="145">
        <v>0</v>
      </c>
      <c r="DB219" s="145">
        <v>0</v>
      </c>
      <c r="DC219" s="145">
        <v>0</v>
      </c>
      <c r="DD219" s="145">
        <v>0</v>
      </c>
      <c r="DE219" s="145">
        <v>0</v>
      </c>
      <c r="DF219" s="145">
        <v>0</v>
      </c>
      <c r="DG219" s="145">
        <v>0</v>
      </c>
      <c r="DH219" s="145">
        <v>0</v>
      </c>
      <c r="DI219" s="145">
        <v>0</v>
      </c>
      <c r="DJ219" s="145">
        <v>0</v>
      </c>
      <c r="DK219" s="145">
        <v>0</v>
      </c>
      <c r="DL219" s="145">
        <v>0</v>
      </c>
      <c r="DM219" s="145">
        <v>15086</v>
      </c>
      <c r="DN219" s="145">
        <v>15086</v>
      </c>
      <c r="DO219" s="145">
        <v>15086</v>
      </c>
      <c r="DP219" s="145">
        <v>0</v>
      </c>
      <c r="DQ219" s="145">
        <v>0</v>
      </c>
      <c r="DR219" s="145">
        <v>0</v>
      </c>
      <c r="DS219" s="145">
        <v>0</v>
      </c>
      <c r="DT219" s="145">
        <v>0</v>
      </c>
      <c r="DU219" s="145">
        <v>0</v>
      </c>
      <c r="DV219" s="145">
        <v>0</v>
      </c>
      <c r="DW219" s="145">
        <v>0</v>
      </c>
      <c r="DX219" s="145">
        <v>0</v>
      </c>
      <c r="DY219" s="145">
        <v>0</v>
      </c>
      <c r="DZ219" s="145">
        <v>0</v>
      </c>
      <c r="EA219" s="145">
        <v>0</v>
      </c>
      <c r="EB219" s="145">
        <v>0</v>
      </c>
      <c r="EC219" s="145">
        <v>0</v>
      </c>
      <c r="ED219" s="145">
        <v>0</v>
      </c>
      <c r="EE219" s="145">
        <v>0</v>
      </c>
      <c r="EF219" s="145">
        <v>0</v>
      </c>
      <c r="EG219" s="145">
        <v>0</v>
      </c>
      <c r="EH219" s="145">
        <v>0</v>
      </c>
      <c r="EI219" s="145">
        <v>0</v>
      </c>
      <c r="EJ219" s="145">
        <v>0</v>
      </c>
      <c r="EK219" s="145">
        <v>0</v>
      </c>
      <c r="EL219" s="145">
        <v>0</v>
      </c>
      <c r="EM219" s="145">
        <v>0</v>
      </c>
      <c r="EN219" s="145">
        <v>0</v>
      </c>
      <c r="EO219" s="145">
        <v>0</v>
      </c>
      <c r="EP219" s="145">
        <v>0</v>
      </c>
      <c r="EQ219" s="145">
        <v>0</v>
      </c>
      <c r="ER219" s="145">
        <v>0</v>
      </c>
      <c r="ES219" s="145">
        <v>0</v>
      </c>
      <c r="ET219" s="145">
        <v>0</v>
      </c>
      <c r="EU219" s="145">
        <v>0</v>
      </c>
      <c r="EV219" s="145">
        <v>0</v>
      </c>
      <c r="EW219" s="145">
        <v>0</v>
      </c>
      <c r="EX219" s="145">
        <v>0</v>
      </c>
      <c r="EY219" s="145">
        <v>0</v>
      </c>
      <c r="EZ219" s="145">
        <v>0</v>
      </c>
      <c r="FA219" s="145">
        <v>0</v>
      </c>
      <c r="FB219" s="145">
        <v>0</v>
      </c>
      <c r="FC219" s="145">
        <v>0</v>
      </c>
      <c r="FD219" s="145">
        <v>0</v>
      </c>
      <c r="FE219" s="145">
        <v>0</v>
      </c>
      <c r="FF219" s="145">
        <v>0</v>
      </c>
      <c r="FG219" s="145">
        <v>0</v>
      </c>
      <c r="FH219" s="145">
        <v>0</v>
      </c>
      <c r="FI219" s="145">
        <v>0</v>
      </c>
      <c r="FJ219" s="145">
        <v>0</v>
      </c>
      <c r="FK219" s="145">
        <v>0</v>
      </c>
      <c r="FL219" s="145">
        <v>0</v>
      </c>
      <c r="FM219" s="145">
        <v>0</v>
      </c>
      <c r="FN219" s="145">
        <v>0</v>
      </c>
      <c r="FO219" s="145">
        <v>0</v>
      </c>
      <c r="FP219" s="145">
        <v>0</v>
      </c>
      <c r="FQ219" s="145">
        <v>0</v>
      </c>
      <c r="FR219" s="145">
        <v>0</v>
      </c>
      <c r="FS219" s="145">
        <v>0</v>
      </c>
      <c r="FT219" s="145">
        <v>0</v>
      </c>
      <c r="FU219" s="145">
        <v>0</v>
      </c>
      <c r="FV219" s="145">
        <v>0</v>
      </c>
      <c r="FW219" s="145">
        <v>0</v>
      </c>
      <c r="FX219" s="143"/>
      <c r="FY219" s="146" t="str">
        <f>_xlfn.XLOOKUP($E219,'Key assumptions'!$B$112:$B$120,'Key assumptions'!$C$112:$C$120,0)</f>
        <v>Nominal</v>
      </c>
      <c r="FZ219" s="146" cm="1">
        <f t="array" ref="FZ219">IF($FY219=0,0,_xlfn.IFS($FY219='Key assumptions'!$C$120,_xlfn.XLOOKUP(LEFT(FZ$7,6),Inflation_Year,Inflation_NominaltoReal),TRUE,_xlfn.XLOOKUP($FY219,Inflation_Year,NominaltoReal)))</f>
        <v>1.0197075870962191</v>
      </c>
      <c r="GA219" s="146" cm="1">
        <f t="array" ref="GA219">IF($FY219=0,0,_xlfn.IFS($FY219='Key assumptions'!$C$120,_xlfn.XLOOKUP(LEFT(GA$7,6),Inflation_Year,Inflation_NominaltoReal),TRUE,_xlfn.XLOOKUP($FY219,Inflation_Year,NominaltoReal)))</f>
        <v>0.98700804022984445</v>
      </c>
      <c r="GB219" s="146" cm="1">
        <f t="array" ref="GB219">IF($FY219=0,0,_xlfn.IFS($FY219='Key assumptions'!$C$120,_xlfn.XLOOKUP(LEFT(GB$7,6),Inflation_Year,Inflation_NominaltoReal),TRUE,_xlfn.XLOOKUP($FY219,Inflation_Year,NominaltoReal)))</f>
        <v>0.96152830081941731</v>
      </c>
      <c r="GC219" s="146" cm="1">
        <f t="array" ref="GC219">IF($FY219=0,0,_xlfn.IFS($FY219='Key assumptions'!$C$120,_xlfn.XLOOKUP(LEFT(GC$7,6),Inflation_Year,Inflation_NominaltoReal),TRUE,_xlfn.XLOOKUP($FY219,Inflation_Year,NominaltoReal)))</f>
        <v>0.93670632415656829</v>
      </c>
      <c r="GD219" s="146" cm="1">
        <f t="array" ref="GD219">IF($FY219=0,0,_xlfn.IFS($FY219='Key assumptions'!$C$120,_xlfn.XLOOKUP(LEFT(GD$7,6),Inflation_Year,Inflation_NominaltoReal),TRUE,_xlfn.XLOOKUP($FY219,Inflation_Year,NominaltoReal)))</f>
        <v>0.91252513001143176</v>
      </c>
      <c r="GE219" s="146" cm="1">
        <f t="array" ref="GE219">IF($FY219=0,0,_xlfn.IFS($FY219='Key assumptions'!$C$120,_xlfn.XLOOKUP(LEFT(GE$7,6),Inflation_Year,Inflation_NominaltoReal),TRUE,_xlfn.XLOOKUP($FY219,Inflation_Year,NominaltoReal)))</f>
        <v>0.88896817650095872</v>
      </c>
      <c r="GF219" s="146" cm="1">
        <f t="array" ref="GF219">IF($FY219=0,0,_xlfn.IFS($FY219='Key assumptions'!$C$120,_xlfn.XLOOKUP(LEFT(GF$7,6),Inflation_Year,Inflation_NominaltoReal),TRUE,_xlfn.XLOOKUP($FY219,Inflation_Year,NominaltoReal)))</f>
        <v>0.86601934877293718</v>
      </c>
      <c r="GG219" s="143"/>
      <c r="GH219" s="145" cm="1">
        <f t="array" ref="GH219">SUMPRODUCT(--($CR$7:$FW$7&gt;=GH$5),--($CR$7:$FW$7&lt;=GH$6),$CR219:$FW219)*FZ219</f>
        <v>0</v>
      </c>
      <c r="GI219" s="145" cm="1">
        <f t="array" ref="GI219">SUMPRODUCT(--($CR$7:$FW$7&gt;=GI$5),--($CR$7:$FW$7&lt;=GI$6),$CR219:$FW219)*GA219</f>
        <v>44670.009884722298</v>
      </c>
      <c r="GJ219" s="145" cm="1">
        <f t="array" ref="GJ219">SUMPRODUCT(--($CR$7:$FW$7&gt;=GJ$5),--($CR$7:$FW$7&lt;=GJ$6),$CR219:$FW219)*GB219</f>
        <v>0</v>
      </c>
      <c r="GK219" s="145" cm="1">
        <f t="array" ref="GK219">SUMPRODUCT(--($CR$7:$FW$7&gt;=GK$5),--($CR$7:$FW$7&lt;=GK$6),$CR219:$FW219)*GC219</f>
        <v>0</v>
      </c>
      <c r="GL219" s="145" cm="1">
        <f t="array" ref="GL219">SUMPRODUCT(--($CR$7:$FW$7&gt;=GL$5),--($CR$7:$FW$7&lt;=GL$6),$CR219:$FW219)*GD219</f>
        <v>0</v>
      </c>
      <c r="GM219" s="145" cm="1">
        <f t="array" ref="GM219">SUMPRODUCT(--($CR$7:$FW$7&gt;=GM$5),--($CR$7:$FW$7&lt;=GM$6),$CR219:$FW219)*GE219</f>
        <v>0</v>
      </c>
      <c r="GN219" s="145" cm="1">
        <f t="array" ref="GN219">SUMPRODUCT(--($CR$7:$FW$7&gt;=GN$5),--($CR$7:$FW$7&lt;=GN$6),$CR219:$FW219)*GF219</f>
        <v>0</v>
      </c>
      <c r="GO219" s="145">
        <f t="shared" si="69"/>
        <v>44670.009884722298</v>
      </c>
      <c r="GP219" s="87"/>
      <c r="GR219" s="145" cm="1">
        <f t="array" ref="GR219">SUMPRODUCT(--($CR$7:$FW$7&gt;=GR$5),--($CR$7:$FW$7&lt;=GR$6),$CR219:$FW219)</f>
        <v>0</v>
      </c>
      <c r="GT219" s="214" cm="1">
        <f t="array" ref="GT219">--AND(MIN(IF($K219:$CP219&lt;&gt;0,$K$7:$CP$7))&gt;=GT$5,MIN(IF($K219:$CP219&lt;&gt;0,$K$7:$CP$7))&lt;=GT$6)</f>
        <v>0</v>
      </c>
      <c r="GU219" s="214" cm="1">
        <f t="array" ref="GU219">--AND(MIN(IF($K219:$CP219&lt;&gt;0,$K$7:$CP$7))&gt;=GU$5,MIN(IF($K219:$CP219&lt;&gt;0,$K$7:$CP$7))&lt;=GU$6)</f>
        <v>1</v>
      </c>
      <c r="GV219" s="214" cm="1">
        <f t="array" ref="GV219">--AND(MIN(IF($K219:$CP219&lt;&gt;0,$K$7:$CP$7))&gt;=GV$5,MIN(IF($K219:$CP219&lt;&gt;0,$K$7:$CP$7))&lt;=GV$6)</f>
        <v>0</v>
      </c>
      <c r="GW219" s="214" cm="1">
        <f t="array" ref="GW219">--AND(MIN(IF($K219:$CP219&lt;&gt;0,$K$7:$CP$7))&gt;=GW$5,MIN(IF($K219:$CP219&lt;&gt;0,$K$7:$CP$7))&lt;=GW$6)</f>
        <v>0</v>
      </c>
      <c r="GX219" s="214" cm="1">
        <f t="array" ref="GX219">--AND(MIN(IF($K219:$CP219&lt;&gt;0,$K$7:$CP$7))&gt;=GX$5,MIN(IF($K219:$CP219&lt;&gt;0,$K$7:$CP$7))&lt;=GX$6)</f>
        <v>0</v>
      </c>
      <c r="GY219" s="214" cm="1">
        <f t="array" ref="GY219">--AND(MIN(IF($K219:$CP219&lt;&gt;0,$K$7:$CP$7))&gt;=GY$5,MIN(IF($K219:$CP219&lt;&gt;0,$K$7:$CP$7))&lt;=GY$6)</f>
        <v>0</v>
      </c>
      <c r="GZ219" s="214" cm="1">
        <f t="array" ref="GZ219">--AND(MIN(IF($K219:$CP219&lt;&gt;0,$K$7:$CP$7))&gt;=GZ$5,MIN(IF($K219:$CP219&lt;&gt;0,$K$7:$CP$7))&lt;=GZ$6)</f>
        <v>0</v>
      </c>
      <c r="HA219" s="214">
        <f t="shared" si="70"/>
        <v>1</v>
      </c>
      <c r="HC219" s="214" cm="1">
        <f t="array" ref="HC219">--AND(MIN(IF($K219:$CP219&lt;&gt;0,$K$7:$CP$7))&gt;=HC$5,MIN(IF($K219:$CP219&lt;&gt;0,$K$7:$CP$7))&lt;=HC$6)</f>
        <v>0</v>
      </c>
      <c r="HE219" s="147" t="str">
        <f t="shared" si="89"/>
        <v>No</v>
      </c>
      <c r="HF219" s="147" t="str">
        <f t="shared" si="90"/>
        <v>Yes</v>
      </c>
      <c r="HG219" s="147">
        <f>IF($HF219="Yes",0,$H219*avg_hrs*12*'Key assumptions'!$D$87)</f>
        <v>0</v>
      </c>
      <c r="HH219" s="147">
        <f>IF(HE219="Yes",'Key assumptions'!$D$84*HG219,0)</f>
        <v>0</v>
      </c>
      <c r="HI219" s="144">
        <f>IFERROR(AVERAGEIFS($K219:$CP219,$K$7:$CP$7,"&gt;="&amp;'Key assumptions'!$D$24,$K$7:$CP$7,"&lt;="&amp;'Key assumptions'!$D$25),0)</f>
        <v>2.1645021645021644E-2</v>
      </c>
      <c r="HJ219" s="148">
        <f t="shared" si="91"/>
        <v>0</v>
      </c>
      <c r="HK219" s="148">
        <f t="shared" si="72"/>
        <v>0</v>
      </c>
      <c r="HL219" s="148">
        <f t="shared" si="73"/>
        <v>0</v>
      </c>
      <c r="HM219" s="148">
        <f t="shared" si="74"/>
        <v>0</v>
      </c>
      <c r="HN219" s="148">
        <f t="shared" si="75"/>
        <v>0</v>
      </c>
      <c r="HO219" s="148">
        <f t="shared" si="76"/>
        <v>0</v>
      </c>
      <c r="HP219" s="148">
        <f t="shared" si="77"/>
        <v>0</v>
      </c>
      <c r="HQ219" s="148">
        <f t="shared" si="78"/>
        <v>0</v>
      </c>
      <c r="HR219" s="147">
        <f t="shared" si="79"/>
        <v>0</v>
      </c>
      <c r="HU219" s="147">
        <f>$HJ219*HC219/(1+'Key assumptions'!G241)^0.75</f>
        <v>0</v>
      </c>
      <c r="HW219" s="216">
        <f t="shared" si="80"/>
        <v>0</v>
      </c>
      <c r="HX219" s="216">
        <f t="shared" si="81"/>
        <v>2.1645021645021644E-2</v>
      </c>
      <c r="HY219" s="216">
        <f t="shared" si="82"/>
        <v>0</v>
      </c>
      <c r="HZ219" s="216">
        <f t="shared" si="83"/>
        <v>0</v>
      </c>
      <c r="IA219" s="216">
        <f t="shared" si="84"/>
        <v>0</v>
      </c>
      <c r="IB219" s="216">
        <f t="shared" si="85"/>
        <v>0</v>
      </c>
      <c r="IC219" s="216">
        <f t="shared" si="86"/>
        <v>0</v>
      </c>
      <c r="ID219" s="216">
        <f t="shared" si="87"/>
        <v>2.1645021645021644E-2</v>
      </c>
      <c r="IF219" s="216">
        <f t="shared" si="88"/>
        <v>0</v>
      </c>
    </row>
    <row r="220" spans="2:240" x14ac:dyDescent="0.2">
      <c r="B220" s="141" t="str">
        <v>Project Delivery Management - Commissioning</v>
      </c>
      <c r="C220" s="141" t="str">
        <v>Project Engineer - Senior CO (Network Projects)</v>
      </c>
      <c r="D220" s="141" t="str">
        <v>Internal Labour</v>
      </c>
      <c r="E220" s="141" t="str">
        <v>$ Nominal</v>
      </c>
      <c r="F220" s="141" t="str">
        <v>Existing</v>
      </c>
      <c r="G220" s="141" t="str">
        <v>Normal time</v>
      </c>
      <c r="H220" s="142">
        <v>254.01</v>
      </c>
      <c r="I220" s="126">
        <v>218499.11999999994</v>
      </c>
      <c r="J220" s="143">
        <v>0</v>
      </c>
      <c r="K220" s="144">
        <v>0</v>
      </c>
      <c r="L220" s="144">
        <v>0</v>
      </c>
      <c r="M220" s="144">
        <v>0</v>
      </c>
      <c r="N220" s="144">
        <v>0</v>
      </c>
      <c r="O220" s="144">
        <v>0</v>
      </c>
      <c r="P220" s="144">
        <v>0</v>
      </c>
      <c r="Q220" s="144">
        <v>0</v>
      </c>
      <c r="R220" s="144">
        <v>0</v>
      </c>
      <c r="S220" s="144">
        <v>0</v>
      </c>
      <c r="T220" s="144">
        <v>0</v>
      </c>
      <c r="U220" s="144">
        <v>0</v>
      </c>
      <c r="V220" s="144">
        <v>0</v>
      </c>
      <c r="W220" s="144">
        <v>0</v>
      </c>
      <c r="X220" s="144">
        <v>0</v>
      </c>
      <c r="Y220" s="144">
        <v>0.2</v>
      </c>
      <c r="Z220" s="144">
        <v>0.2</v>
      </c>
      <c r="AA220" s="144">
        <v>0.18421052631578946</v>
      </c>
      <c r="AB220" s="144">
        <v>0.18421052631578946</v>
      </c>
      <c r="AC220" s="144">
        <v>0.2</v>
      </c>
      <c r="AD220" s="144">
        <v>0.2</v>
      </c>
      <c r="AE220" s="144">
        <v>0.2</v>
      </c>
      <c r="AF220" s="144">
        <v>0.2</v>
      </c>
      <c r="AG220" s="144">
        <v>0.2</v>
      </c>
      <c r="AH220" s="144">
        <v>0.2</v>
      </c>
      <c r="AI220" s="144">
        <v>0.2</v>
      </c>
      <c r="AJ220" s="144">
        <v>0.2</v>
      </c>
      <c r="AK220" s="144">
        <v>0.2</v>
      </c>
      <c r="AL220" s="144">
        <v>0.2</v>
      </c>
      <c r="AM220" s="144">
        <v>0.18421052631578946</v>
      </c>
      <c r="AN220" s="144">
        <v>0.18421052631578946</v>
      </c>
      <c r="AO220" s="144">
        <v>0.2</v>
      </c>
      <c r="AP220" s="144">
        <v>0.2</v>
      </c>
      <c r="AQ220" s="144">
        <v>0.2</v>
      </c>
      <c r="AR220" s="144">
        <v>0.2</v>
      </c>
      <c r="AS220" s="144">
        <v>0.2</v>
      </c>
      <c r="AT220" s="144">
        <v>0.2</v>
      </c>
      <c r="AU220" s="144">
        <v>0.2</v>
      </c>
      <c r="AV220" s="144">
        <v>0.2</v>
      </c>
      <c r="AW220" s="144">
        <v>0.2</v>
      </c>
      <c r="AX220" s="144">
        <v>0.2</v>
      </c>
      <c r="AY220" s="144">
        <v>0.18421052631578946</v>
      </c>
      <c r="AZ220" s="144">
        <v>0.18421052631578946</v>
      </c>
      <c r="BA220" s="144">
        <v>0.2</v>
      </c>
      <c r="BB220" s="144">
        <v>0.2</v>
      </c>
      <c r="BC220" s="144">
        <v>0.2</v>
      </c>
      <c r="BD220" s="144">
        <v>0.2</v>
      </c>
      <c r="BE220" s="144">
        <v>0</v>
      </c>
      <c r="BF220" s="144">
        <v>0</v>
      </c>
      <c r="BG220" s="144">
        <v>0</v>
      </c>
      <c r="BH220" s="144">
        <v>0</v>
      </c>
      <c r="BI220" s="144">
        <v>0</v>
      </c>
      <c r="BJ220" s="144">
        <v>0</v>
      </c>
      <c r="BK220" s="144">
        <v>0</v>
      </c>
      <c r="BL220" s="144">
        <v>0</v>
      </c>
      <c r="BM220" s="144">
        <v>0</v>
      </c>
      <c r="BN220" s="144">
        <v>0</v>
      </c>
      <c r="BO220" s="144">
        <v>0</v>
      </c>
      <c r="BP220" s="144">
        <v>0</v>
      </c>
      <c r="BQ220" s="144">
        <v>0</v>
      </c>
      <c r="BR220" s="144">
        <v>0</v>
      </c>
      <c r="BS220" s="144">
        <v>0</v>
      </c>
      <c r="BT220" s="144">
        <v>0</v>
      </c>
      <c r="BU220" s="144">
        <v>0</v>
      </c>
      <c r="BV220" s="144">
        <v>0</v>
      </c>
      <c r="BW220" s="144">
        <v>0</v>
      </c>
      <c r="BX220" s="144">
        <v>0</v>
      </c>
      <c r="BY220" s="144">
        <v>0</v>
      </c>
      <c r="BZ220" s="144">
        <v>0</v>
      </c>
      <c r="CA220" s="144">
        <v>0</v>
      </c>
      <c r="CB220" s="144">
        <v>0</v>
      </c>
      <c r="CC220" s="144">
        <v>0</v>
      </c>
      <c r="CD220" s="144">
        <v>0</v>
      </c>
      <c r="CE220" s="144">
        <v>0</v>
      </c>
      <c r="CF220" s="144">
        <v>0</v>
      </c>
      <c r="CG220" s="144">
        <v>0</v>
      </c>
      <c r="CH220" s="144">
        <v>0</v>
      </c>
      <c r="CI220" s="144">
        <v>0</v>
      </c>
      <c r="CJ220" s="144">
        <v>0</v>
      </c>
      <c r="CK220" s="144">
        <v>0</v>
      </c>
      <c r="CL220" s="144">
        <v>0</v>
      </c>
      <c r="CM220" s="144">
        <v>0</v>
      </c>
      <c r="CN220" s="144">
        <v>0</v>
      </c>
      <c r="CO220" s="144">
        <v>0</v>
      </c>
      <c r="CP220" s="144">
        <v>0</v>
      </c>
      <c r="CQ220" s="143">
        <v>0</v>
      </c>
      <c r="CR220" s="145">
        <v>0</v>
      </c>
      <c r="CS220" s="145">
        <v>0</v>
      </c>
      <c r="CT220" s="145">
        <v>0</v>
      </c>
      <c r="CU220" s="145">
        <v>0</v>
      </c>
      <c r="CV220" s="145">
        <v>0</v>
      </c>
      <c r="CW220" s="145">
        <v>0</v>
      </c>
      <c r="CX220" s="145">
        <v>0</v>
      </c>
      <c r="CY220" s="145">
        <v>0</v>
      </c>
      <c r="CZ220" s="145">
        <v>0</v>
      </c>
      <c r="DA220" s="145">
        <v>0</v>
      </c>
      <c r="DB220" s="145">
        <v>0</v>
      </c>
      <c r="DC220" s="145">
        <v>0</v>
      </c>
      <c r="DD220" s="145">
        <v>0</v>
      </c>
      <c r="DE220" s="145">
        <v>0</v>
      </c>
      <c r="DF220" s="145">
        <v>6905.6399999999994</v>
      </c>
      <c r="DG220" s="145">
        <v>5179.2299999999996</v>
      </c>
      <c r="DH220" s="145">
        <v>6905.6399999999994</v>
      </c>
      <c r="DI220" s="145">
        <v>6905.6399999999994</v>
      </c>
      <c r="DJ220" s="145">
        <v>7112.28</v>
      </c>
      <c r="DK220" s="145">
        <v>7112.28</v>
      </c>
      <c r="DL220" s="145">
        <v>7112.28</v>
      </c>
      <c r="DM220" s="145">
        <v>7112.28</v>
      </c>
      <c r="DN220" s="145">
        <v>7112.28</v>
      </c>
      <c r="DO220" s="145">
        <v>5334.21</v>
      </c>
      <c r="DP220" s="145">
        <v>5334.21</v>
      </c>
      <c r="DQ220" s="145">
        <v>7112.28</v>
      </c>
      <c r="DR220" s="145">
        <v>7112.28</v>
      </c>
      <c r="DS220" s="145">
        <v>5334.21</v>
      </c>
      <c r="DT220" s="145">
        <v>7112.28</v>
      </c>
      <c r="DU220" s="145">
        <v>7112.28</v>
      </c>
      <c r="DV220" s="145">
        <v>7325.3600000000006</v>
      </c>
      <c r="DW220" s="145">
        <v>7325.3600000000006</v>
      </c>
      <c r="DX220" s="145">
        <v>7325.3600000000006</v>
      </c>
      <c r="DY220" s="145">
        <v>7325.3600000000006</v>
      </c>
      <c r="DZ220" s="145">
        <v>7325.3600000000006</v>
      </c>
      <c r="EA220" s="145">
        <v>5494.02</v>
      </c>
      <c r="EB220" s="145">
        <v>5494.02</v>
      </c>
      <c r="EC220" s="145">
        <v>7325.3600000000006</v>
      </c>
      <c r="ED220" s="145">
        <v>7325.3600000000006</v>
      </c>
      <c r="EE220" s="145">
        <v>5494.02</v>
      </c>
      <c r="EF220" s="145">
        <v>7325.3600000000006</v>
      </c>
      <c r="EG220" s="145">
        <v>7325.3600000000006</v>
      </c>
      <c r="EH220" s="145">
        <v>7544.8799999999992</v>
      </c>
      <c r="EI220" s="145">
        <v>7544.8799999999992</v>
      </c>
      <c r="EJ220" s="145">
        <v>7544.8799999999992</v>
      </c>
      <c r="EK220" s="145">
        <v>7544.8799999999992</v>
      </c>
      <c r="EL220" s="145">
        <v>0</v>
      </c>
      <c r="EM220" s="145">
        <v>0</v>
      </c>
      <c r="EN220" s="145">
        <v>0</v>
      </c>
      <c r="EO220" s="145">
        <v>0</v>
      </c>
      <c r="EP220" s="145">
        <v>0</v>
      </c>
      <c r="EQ220" s="145">
        <v>0</v>
      </c>
      <c r="ER220" s="145">
        <v>0</v>
      </c>
      <c r="ES220" s="145">
        <v>0</v>
      </c>
      <c r="ET220" s="145">
        <v>0</v>
      </c>
      <c r="EU220" s="145">
        <v>0</v>
      </c>
      <c r="EV220" s="145">
        <v>0</v>
      </c>
      <c r="EW220" s="145">
        <v>0</v>
      </c>
      <c r="EX220" s="145">
        <v>0</v>
      </c>
      <c r="EY220" s="145">
        <v>0</v>
      </c>
      <c r="EZ220" s="145">
        <v>0</v>
      </c>
      <c r="FA220" s="145">
        <v>0</v>
      </c>
      <c r="FB220" s="145">
        <v>0</v>
      </c>
      <c r="FC220" s="145">
        <v>0</v>
      </c>
      <c r="FD220" s="145">
        <v>0</v>
      </c>
      <c r="FE220" s="145">
        <v>0</v>
      </c>
      <c r="FF220" s="145">
        <v>0</v>
      </c>
      <c r="FG220" s="145">
        <v>0</v>
      </c>
      <c r="FH220" s="145">
        <v>0</v>
      </c>
      <c r="FI220" s="145">
        <v>0</v>
      </c>
      <c r="FJ220" s="145">
        <v>0</v>
      </c>
      <c r="FK220" s="145">
        <v>0</v>
      </c>
      <c r="FL220" s="145">
        <v>0</v>
      </c>
      <c r="FM220" s="145">
        <v>0</v>
      </c>
      <c r="FN220" s="145">
        <v>0</v>
      </c>
      <c r="FO220" s="145">
        <v>0</v>
      </c>
      <c r="FP220" s="145">
        <v>0</v>
      </c>
      <c r="FQ220" s="145">
        <v>0</v>
      </c>
      <c r="FR220" s="145">
        <v>0</v>
      </c>
      <c r="FS220" s="145">
        <v>0</v>
      </c>
      <c r="FT220" s="145">
        <v>0</v>
      </c>
      <c r="FU220" s="145">
        <v>0</v>
      </c>
      <c r="FV220" s="145">
        <v>0</v>
      </c>
      <c r="FW220" s="145">
        <v>0</v>
      </c>
      <c r="FX220" s="143"/>
      <c r="FY220" s="146" t="str">
        <f>_xlfn.XLOOKUP($E220,'Key assumptions'!$B$112:$B$120,'Key assumptions'!$C$112:$C$120,0)</f>
        <v>Nominal</v>
      </c>
      <c r="FZ220" s="146" cm="1">
        <f t="array" ref="FZ220">IF($FY220=0,0,_xlfn.IFS($FY220='Key assumptions'!$C$120,_xlfn.XLOOKUP(LEFT(FZ$7,6),Inflation_Year,Inflation_NominaltoReal),TRUE,_xlfn.XLOOKUP($FY220,Inflation_Year,NominaltoReal)))</f>
        <v>1.0197075870962191</v>
      </c>
      <c r="GA220" s="146" cm="1">
        <f t="array" ref="GA220">IF($FY220=0,0,_xlfn.IFS($FY220='Key assumptions'!$C$120,_xlfn.XLOOKUP(LEFT(GA$7,6),Inflation_Year,Inflation_NominaltoReal),TRUE,_xlfn.XLOOKUP($FY220,Inflation_Year,NominaltoReal)))</f>
        <v>0.98700804022984445</v>
      </c>
      <c r="GB220" s="146" cm="1">
        <f t="array" ref="GB220">IF($FY220=0,0,_xlfn.IFS($FY220='Key assumptions'!$C$120,_xlfn.XLOOKUP(LEFT(GB$7,6),Inflation_Year,Inflation_NominaltoReal),TRUE,_xlfn.XLOOKUP($FY220,Inflation_Year,NominaltoReal)))</f>
        <v>0.96152830081941731</v>
      </c>
      <c r="GC220" s="146" cm="1">
        <f t="array" ref="GC220">IF($FY220=0,0,_xlfn.IFS($FY220='Key assumptions'!$C$120,_xlfn.XLOOKUP(LEFT(GC$7,6),Inflation_Year,Inflation_NominaltoReal),TRUE,_xlfn.XLOOKUP($FY220,Inflation_Year,NominaltoReal)))</f>
        <v>0.93670632415656829</v>
      </c>
      <c r="GD220" s="146" cm="1">
        <f t="array" ref="GD220">IF($FY220=0,0,_xlfn.IFS($FY220='Key assumptions'!$C$120,_xlfn.XLOOKUP(LEFT(GD$7,6),Inflation_Year,Inflation_NominaltoReal),TRUE,_xlfn.XLOOKUP($FY220,Inflation_Year,NominaltoReal)))</f>
        <v>0.91252513001143176</v>
      </c>
      <c r="GE220" s="146" cm="1">
        <f t="array" ref="GE220">IF($FY220=0,0,_xlfn.IFS($FY220='Key assumptions'!$C$120,_xlfn.XLOOKUP(LEFT(GE$7,6),Inflation_Year,Inflation_NominaltoReal),TRUE,_xlfn.XLOOKUP($FY220,Inflation_Year,NominaltoReal)))</f>
        <v>0.88896817650095872</v>
      </c>
      <c r="GF220" s="146" cm="1">
        <f t="array" ref="GF220">IF($FY220=0,0,_xlfn.IFS($FY220='Key assumptions'!$C$120,_xlfn.XLOOKUP(LEFT(GF$7,6),Inflation_Year,Inflation_NominaltoReal),TRUE,_xlfn.XLOOKUP($FY220,Inflation_Year,NominaltoReal)))</f>
        <v>0.86601934877293718</v>
      </c>
      <c r="GG220" s="143"/>
      <c r="GH220" s="145" cm="1">
        <f t="array" ref="GH220">SUMPRODUCT(--($CR$7:$FW$7&gt;=GH$5),--($CR$7:$FW$7&lt;=GH$6),$CR220:$FW220)*FZ220</f>
        <v>48163.838264239843</v>
      </c>
      <c r="GI220" s="145" cm="1">
        <f t="array" ref="GI220">SUMPRODUCT(--($CR$7:$FW$7&gt;=GI$5),--($CR$7:$FW$7&lt;=GI$6),$CR220:$FW220)*GA220</f>
        <v>79604.557393753101</v>
      </c>
      <c r="GJ220" s="145" cm="1">
        <f t="array" ref="GJ220">SUMPRODUCT(--($CR$7:$FW$7&gt;=GJ$5),--($CR$7:$FW$7&lt;=GJ$6),$CR220:$FW220)*GB220</f>
        <v>79873.059806806079</v>
      </c>
      <c r="GK220" s="145" cm="1">
        <f t="array" ref="GK220">SUMPRODUCT(--($CR$7:$FW$7&gt;=GK$5),--($CR$7:$FW$7&lt;=GK$6),$CR220:$FW220)*GC220</f>
        <v>7067.3368110024085</v>
      </c>
      <c r="GL220" s="145" cm="1">
        <f t="array" ref="GL220">SUMPRODUCT(--($CR$7:$FW$7&gt;=GL$5),--($CR$7:$FW$7&lt;=GL$6),$CR220:$FW220)*GD220</f>
        <v>0</v>
      </c>
      <c r="GM220" s="145" cm="1">
        <f t="array" ref="GM220">SUMPRODUCT(--($CR$7:$FW$7&gt;=GM$5),--($CR$7:$FW$7&lt;=GM$6),$CR220:$FW220)*GE220</f>
        <v>0</v>
      </c>
      <c r="GN220" s="145" cm="1">
        <f t="array" ref="GN220">SUMPRODUCT(--($CR$7:$FW$7&gt;=GN$5),--($CR$7:$FW$7&lt;=GN$6),$CR220:$FW220)*GF220</f>
        <v>0</v>
      </c>
      <c r="GO220" s="145">
        <f t="shared" si="69"/>
        <v>214708.79227580142</v>
      </c>
      <c r="GP220" s="87"/>
      <c r="GR220" s="145" cm="1">
        <f t="array" ref="GR220">SUMPRODUCT(--($CR$7:$FW$7&gt;=GR$5),--($CR$7:$FW$7&lt;=GR$6),$CR220:$FW220)</f>
        <v>25896.149999999998</v>
      </c>
      <c r="GT220" s="214" cm="1">
        <f t="array" ref="GT220">--AND(MIN(IF($K220:$CP220&lt;&gt;0,$K$7:$CP$7))&gt;=GT$5,MIN(IF($K220:$CP220&lt;&gt;0,$K$7:$CP$7))&lt;=GT$6)</f>
        <v>1</v>
      </c>
      <c r="GU220" s="214" cm="1">
        <f t="array" ref="GU220">--AND(MIN(IF($K220:$CP220&lt;&gt;0,$K$7:$CP$7))&gt;=GU$5,MIN(IF($K220:$CP220&lt;&gt;0,$K$7:$CP$7))&lt;=GU$6)</f>
        <v>0</v>
      </c>
      <c r="GV220" s="214" cm="1">
        <f t="array" ref="GV220">--AND(MIN(IF($K220:$CP220&lt;&gt;0,$K$7:$CP$7))&gt;=GV$5,MIN(IF($K220:$CP220&lt;&gt;0,$K$7:$CP$7))&lt;=GV$6)</f>
        <v>0</v>
      </c>
      <c r="GW220" s="214" cm="1">
        <f t="array" ref="GW220">--AND(MIN(IF($K220:$CP220&lt;&gt;0,$K$7:$CP$7))&gt;=GW$5,MIN(IF($K220:$CP220&lt;&gt;0,$K$7:$CP$7))&lt;=GW$6)</f>
        <v>0</v>
      </c>
      <c r="GX220" s="214" cm="1">
        <f t="array" ref="GX220">--AND(MIN(IF($K220:$CP220&lt;&gt;0,$K$7:$CP$7))&gt;=GX$5,MIN(IF($K220:$CP220&lt;&gt;0,$K$7:$CP$7))&lt;=GX$6)</f>
        <v>0</v>
      </c>
      <c r="GY220" s="214" cm="1">
        <f t="array" ref="GY220">--AND(MIN(IF($K220:$CP220&lt;&gt;0,$K$7:$CP$7))&gt;=GY$5,MIN(IF($K220:$CP220&lt;&gt;0,$K$7:$CP$7))&lt;=GY$6)</f>
        <v>0</v>
      </c>
      <c r="GZ220" s="214" cm="1">
        <f t="array" ref="GZ220">--AND(MIN(IF($K220:$CP220&lt;&gt;0,$K$7:$CP$7))&gt;=GZ$5,MIN(IF($K220:$CP220&lt;&gt;0,$K$7:$CP$7))&lt;=GZ$6)</f>
        <v>0</v>
      </c>
      <c r="HA220" s="214">
        <f t="shared" si="70"/>
        <v>1</v>
      </c>
      <c r="HC220" s="214" cm="1">
        <f t="array" ref="HC220">--AND(MIN(IF($K220:$CP220&lt;&gt;0,$K$7:$CP$7))&gt;=HC$5,MIN(IF($K220:$CP220&lt;&gt;0,$K$7:$CP$7))&lt;=HC$6)</f>
        <v>1</v>
      </c>
      <c r="HE220" s="147" t="str">
        <f t="shared" si="89"/>
        <v>No</v>
      </c>
      <c r="HF220" s="147" t="str">
        <f t="shared" si="90"/>
        <v>No</v>
      </c>
      <c r="HG220" s="147">
        <f>IF($HF220="Yes",0,$H220*avg_hrs*12*'Key assumptions'!$D$87)</f>
        <v>454238.21110356261</v>
      </c>
      <c r="HH220" s="147">
        <f>IF(HE220="Yes",'Key assumptions'!$D$84*HG220,0)</f>
        <v>0</v>
      </c>
      <c r="HI220" s="144">
        <f>IFERROR(AVERAGEIFS($K220:$CP220,$K$7:$CP$7,"&gt;="&amp;'Key assumptions'!$D$24,$K$7:$CP$7,"&lt;="&amp;'Key assumptions'!$D$25),0)</f>
        <v>0.14330143540669862</v>
      </c>
      <c r="HJ220" s="148">
        <f t="shared" si="91"/>
        <v>0</v>
      </c>
      <c r="HK220" s="148">
        <f t="shared" si="72"/>
        <v>0</v>
      </c>
      <c r="HL220" s="148">
        <f t="shared" si="73"/>
        <v>0</v>
      </c>
      <c r="HM220" s="148">
        <f t="shared" si="74"/>
        <v>0</v>
      </c>
      <c r="HN220" s="148">
        <f t="shared" si="75"/>
        <v>0</v>
      </c>
      <c r="HO220" s="148">
        <f t="shared" si="76"/>
        <v>0</v>
      </c>
      <c r="HP220" s="148">
        <f t="shared" si="77"/>
        <v>0</v>
      </c>
      <c r="HQ220" s="148">
        <f t="shared" si="78"/>
        <v>0</v>
      </c>
      <c r="HR220" s="147">
        <f t="shared" si="79"/>
        <v>0</v>
      </c>
      <c r="HU220" s="147">
        <f>$HJ220*HC220/(1+'Key assumptions'!G242)^0.75</f>
        <v>0</v>
      </c>
      <c r="HW220" s="216">
        <f t="shared" si="80"/>
        <v>0.14330143540669862</v>
      </c>
      <c r="HX220" s="216">
        <f t="shared" si="81"/>
        <v>0</v>
      </c>
      <c r="HY220" s="216">
        <f t="shared" si="82"/>
        <v>0</v>
      </c>
      <c r="HZ220" s="216">
        <f t="shared" si="83"/>
        <v>0</v>
      </c>
      <c r="IA220" s="216">
        <f t="shared" si="84"/>
        <v>0</v>
      </c>
      <c r="IB220" s="216">
        <f t="shared" si="85"/>
        <v>0</v>
      </c>
      <c r="IC220" s="216">
        <f t="shared" si="86"/>
        <v>0</v>
      </c>
      <c r="ID220" s="216">
        <f t="shared" si="87"/>
        <v>0.14330143540669862</v>
      </c>
      <c r="IF220" s="216">
        <f t="shared" si="88"/>
        <v>0.14330143540669862</v>
      </c>
    </row>
    <row r="221" spans="2:240" x14ac:dyDescent="0.2">
      <c r="B221" s="141" t="str">
        <v>Project Delivery Management - Commissioning</v>
      </c>
      <c r="C221" s="141" t="str">
        <v>Project Engineer - Senior CO (Network Projects)</v>
      </c>
      <c r="D221" s="141" t="str">
        <v>Internal Labour</v>
      </c>
      <c r="E221" s="141" t="str">
        <v>$ Nominal</v>
      </c>
      <c r="F221" s="141" t="str">
        <v>Existing</v>
      </c>
      <c r="G221" s="141" t="str">
        <v>Normal time</v>
      </c>
      <c r="H221" s="142">
        <v>254.01</v>
      </c>
      <c r="I221" s="126">
        <v>119702.10000000003</v>
      </c>
      <c r="J221" s="143">
        <v>0</v>
      </c>
      <c r="K221" s="144">
        <v>0</v>
      </c>
      <c r="L221" s="144">
        <v>0</v>
      </c>
      <c r="M221" s="144">
        <v>0</v>
      </c>
      <c r="N221" s="144">
        <v>0</v>
      </c>
      <c r="O221" s="144">
        <v>0</v>
      </c>
      <c r="P221" s="144">
        <v>0</v>
      </c>
      <c r="Q221" s="144">
        <v>0</v>
      </c>
      <c r="R221" s="144">
        <v>0</v>
      </c>
      <c r="S221" s="144">
        <v>0</v>
      </c>
      <c r="T221" s="144">
        <v>0</v>
      </c>
      <c r="U221" s="144">
        <v>0</v>
      </c>
      <c r="V221" s="144">
        <v>0</v>
      </c>
      <c r="W221" s="144">
        <v>0</v>
      </c>
      <c r="X221" s="144">
        <v>0</v>
      </c>
      <c r="Y221" s="144">
        <v>0</v>
      </c>
      <c r="Z221" s="144">
        <v>0</v>
      </c>
      <c r="AA221" s="144">
        <v>0</v>
      </c>
      <c r="AB221" s="144">
        <v>0</v>
      </c>
      <c r="AC221" s="144">
        <v>0</v>
      </c>
      <c r="AD221" s="144">
        <v>0</v>
      </c>
      <c r="AE221" s="144">
        <v>0</v>
      </c>
      <c r="AF221" s="144">
        <v>0</v>
      </c>
      <c r="AG221" s="144">
        <v>0</v>
      </c>
      <c r="AH221" s="144">
        <v>0</v>
      </c>
      <c r="AI221" s="144">
        <v>0</v>
      </c>
      <c r="AJ221" s="144">
        <v>0</v>
      </c>
      <c r="AK221" s="144">
        <v>0</v>
      </c>
      <c r="AL221" s="144">
        <v>0</v>
      </c>
      <c r="AM221" s="144">
        <v>0</v>
      </c>
      <c r="AN221" s="144">
        <v>0.18421052631578946</v>
      </c>
      <c r="AO221" s="144">
        <v>0.2</v>
      </c>
      <c r="AP221" s="144">
        <v>0.2</v>
      </c>
      <c r="AQ221" s="144">
        <v>0.2</v>
      </c>
      <c r="AR221" s="144">
        <v>0.2</v>
      </c>
      <c r="AS221" s="144">
        <v>0.2</v>
      </c>
      <c r="AT221" s="144">
        <v>0.2</v>
      </c>
      <c r="AU221" s="144">
        <v>0.2</v>
      </c>
      <c r="AV221" s="144">
        <v>0.2</v>
      </c>
      <c r="AW221" s="144">
        <v>0.2</v>
      </c>
      <c r="AX221" s="144">
        <v>0.2</v>
      </c>
      <c r="AY221" s="144">
        <v>0.18421052631578946</v>
      </c>
      <c r="AZ221" s="144">
        <v>0.18421052631578946</v>
      </c>
      <c r="BA221" s="144">
        <v>0.2</v>
      </c>
      <c r="BB221" s="144">
        <v>0.2</v>
      </c>
      <c r="BC221" s="144">
        <v>0.2</v>
      </c>
      <c r="BD221" s="144">
        <v>0.2</v>
      </c>
      <c r="BE221" s="144">
        <v>0</v>
      </c>
      <c r="BF221" s="144">
        <v>0</v>
      </c>
      <c r="BG221" s="144">
        <v>0</v>
      </c>
      <c r="BH221" s="144">
        <v>0</v>
      </c>
      <c r="BI221" s="144">
        <v>0</v>
      </c>
      <c r="BJ221" s="144">
        <v>0</v>
      </c>
      <c r="BK221" s="144">
        <v>0</v>
      </c>
      <c r="BL221" s="144">
        <v>0</v>
      </c>
      <c r="BM221" s="144">
        <v>0</v>
      </c>
      <c r="BN221" s="144">
        <v>0</v>
      </c>
      <c r="BO221" s="144">
        <v>0</v>
      </c>
      <c r="BP221" s="144">
        <v>0</v>
      </c>
      <c r="BQ221" s="144">
        <v>0</v>
      </c>
      <c r="BR221" s="144">
        <v>0</v>
      </c>
      <c r="BS221" s="144">
        <v>0</v>
      </c>
      <c r="BT221" s="144">
        <v>0</v>
      </c>
      <c r="BU221" s="144">
        <v>0</v>
      </c>
      <c r="BV221" s="144">
        <v>0</v>
      </c>
      <c r="BW221" s="144">
        <v>0</v>
      </c>
      <c r="BX221" s="144">
        <v>0</v>
      </c>
      <c r="BY221" s="144">
        <v>0</v>
      </c>
      <c r="BZ221" s="144">
        <v>0</v>
      </c>
      <c r="CA221" s="144">
        <v>0</v>
      </c>
      <c r="CB221" s="144">
        <v>0</v>
      </c>
      <c r="CC221" s="144">
        <v>0</v>
      </c>
      <c r="CD221" s="144">
        <v>0</v>
      </c>
      <c r="CE221" s="144">
        <v>0</v>
      </c>
      <c r="CF221" s="144">
        <v>0</v>
      </c>
      <c r="CG221" s="144">
        <v>0</v>
      </c>
      <c r="CH221" s="144">
        <v>0</v>
      </c>
      <c r="CI221" s="144">
        <v>0</v>
      </c>
      <c r="CJ221" s="144">
        <v>0</v>
      </c>
      <c r="CK221" s="144">
        <v>0</v>
      </c>
      <c r="CL221" s="144">
        <v>0</v>
      </c>
      <c r="CM221" s="144">
        <v>0</v>
      </c>
      <c r="CN221" s="144">
        <v>0</v>
      </c>
      <c r="CO221" s="144">
        <v>0</v>
      </c>
      <c r="CP221" s="144">
        <v>0</v>
      </c>
      <c r="CQ221" s="143">
        <v>0</v>
      </c>
      <c r="CR221" s="145">
        <v>0</v>
      </c>
      <c r="CS221" s="145">
        <v>0</v>
      </c>
      <c r="CT221" s="145">
        <v>0</v>
      </c>
      <c r="CU221" s="145">
        <v>0</v>
      </c>
      <c r="CV221" s="145">
        <v>0</v>
      </c>
      <c r="CW221" s="145">
        <v>0</v>
      </c>
      <c r="CX221" s="145">
        <v>0</v>
      </c>
      <c r="CY221" s="145">
        <v>0</v>
      </c>
      <c r="CZ221" s="145">
        <v>0</v>
      </c>
      <c r="DA221" s="145">
        <v>0</v>
      </c>
      <c r="DB221" s="145">
        <v>0</v>
      </c>
      <c r="DC221" s="145">
        <v>0</v>
      </c>
      <c r="DD221" s="145">
        <v>0</v>
      </c>
      <c r="DE221" s="145">
        <v>0</v>
      </c>
      <c r="DF221" s="145">
        <v>0</v>
      </c>
      <c r="DG221" s="145">
        <v>0</v>
      </c>
      <c r="DH221" s="145">
        <v>0</v>
      </c>
      <c r="DI221" s="145">
        <v>0</v>
      </c>
      <c r="DJ221" s="145">
        <v>0</v>
      </c>
      <c r="DK221" s="145">
        <v>0</v>
      </c>
      <c r="DL221" s="145">
        <v>0</v>
      </c>
      <c r="DM221" s="145">
        <v>0</v>
      </c>
      <c r="DN221" s="145">
        <v>0</v>
      </c>
      <c r="DO221" s="145">
        <v>0</v>
      </c>
      <c r="DP221" s="145">
        <v>0</v>
      </c>
      <c r="DQ221" s="145">
        <v>0</v>
      </c>
      <c r="DR221" s="145">
        <v>0</v>
      </c>
      <c r="DS221" s="145">
        <v>0</v>
      </c>
      <c r="DT221" s="145">
        <v>0</v>
      </c>
      <c r="DU221" s="145">
        <v>7112.28</v>
      </c>
      <c r="DV221" s="145">
        <v>7325.3600000000006</v>
      </c>
      <c r="DW221" s="145">
        <v>7325.3600000000006</v>
      </c>
      <c r="DX221" s="145">
        <v>7325.3600000000006</v>
      </c>
      <c r="DY221" s="145">
        <v>7325.3600000000006</v>
      </c>
      <c r="DZ221" s="145">
        <v>7325.3600000000006</v>
      </c>
      <c r="EA221" s="145">
        <v>5494.02</v>
      </c>
      <c r="EB221" s="145">
        <v>5494.02</v>
      </c>
      <c r="EC221" s="145">
        <v>7325.3600000000006</v>
      </c>
      <c r="ED221" s="145">
        <v>7325.3600000000006</v>
      </c>
      <c r="EE221" s="145">
        <v>5494.02</v>
      </c>
      <c r="EF221" s="145">
        <v>7325.3600000000006</v>
      </c>
      <c r="EG221" s="145">
        <v>7325.3600000000006</v>
      </c>
      <c r="EH221" s="145">
        <v>7544.8799999999992</v>
      </c>
      <c r="EI221" s="145">
        <v>7544.8799999999992</v>
      </c>
      <c r="EJ221" s="145">
        <v>7544.8799999999992</v>
      </c>
      <c r="EK221" s="145">
        <v>7544.8799999999992</v>
      </c>
      <c r="EL221" s="145">
        <v>0</v>
      </c>
      <c r="EM221" s="145">
        <v>0</v>
      </c>
      <c r="EN221" s="145">
        <v>0</v>
      </c>
      <c r="EO221" s="145">
        <v>0</v>
      </c>
      <c r="EP221" s="145">
        <v>0</v>
      </c>
      <c r="EQ221" s="145">
        <v>0</v>
      </c>
      <c r="ER221" s="145">
        <v>0</v>
      </c>
      <c r="ES221" s="145">
        <v>0</v>
      </c>
      <c r="ET221" s="145">
        <v>0</v>
      </c>
      <c r="EU221" s="145">
        <v>0</v>
      </c>
      <c r="EV221" s="145">
        <v>0</v>
      </c>
      <c r="EW221" s="145">
        <v>0</v>
      </c>
      <c r="EX221" s="145">
        <v>0</v>
      </c>
      <c r="EY221" s="145">
        <v>0</v>
      </c>
      <c r="EZ221" s="145">
        <v>0</v>
      </c>
      <c r="FA221" s="145">
        <v>0</v>
      </c>
      <c r="FB221" s="145">
        <v>0</v>
      </c>
      <c r="FC221" s="145">
        <v>0</v>
      </c>
      <c r="FD221" s="145">
        <v>0</v>
      </c>
      <c r="FE221" s="145">
        <v>0</v>
      </c>
      <c r="FF221" s="145">
        <v>0</v>
      </c>
      <c r="FG221" s="145">
        <v>0</v>
      </c>
      <c r="FH221" s="145">
        <v>0</v>
      </c>
      <c r="FI221" s="145">
        <v>0</v>
      </c>
      <c r="FJ221" s="145">
        <v>0</v>
      </c>
      <c r="FK221" s="145">
        <v>0</v>
      </c>
      <c r="FL221" s="145">
        <v>0</v>
      </c>
      <c r="FM221" s="145">
        <v>0</v>
      </c>
      <c r="FN221" s="145">
        <v>0</v>
      </c>
      <c r="FO221" s="145">
        <v>0</v>
      </c>
      <c r="FP221" s="145">
        <v>0</v>
      </c>
      <c r="FQ221" s="145">
        <v>0</v>
      </c>
      <c r="FR221" s="145">
        <v>0</v>
      </c>
      <c r="FS221" s="145">
        <v>0</v>
      </c>
      <c r="FT221" s="145">
        <v>0</v>
      </c>
      <c r="FU221" s="145">
        <v>0</v>
      </c>
      <c r="FV221" s="145">
        <v>0</v>
      </c>
      <c r="FW221" s="145">
        <v>0</v>
      </c>
      <c r="FX221" s="143"/>
      <c r="FY221" s="146" t="str">
        <f>_xlfn.XLOOKUP($E221,'Key assumptions'!$B$112:$B$120,'Key assumptions'!$C$112:$C$120,0)</f>
        <v>Nominal</v>
      </c>
      <c r="FZ221" s="146" cm="1">
        <f t="array" ref="FZ221">IF($FY221=0,0,_xlfn.IFS($FY221='Key assumptions'!$C$120,_xlfn.XLOOKUP(LEFT(FZ$7,6),Inflation_Year,Inflation_NominaltoReal),TRUE,_xlfn.XLOOKUP($FY221,Inflation_Year,NominaltoReal)))</f>
        <v>1.0197075870962191</v>
      </c>
      <c r="GA221" s="146" cm="1">
        <f t="array" ref="GA221">IF($FY221=0,0,_xlfn.IFS($FY221='Key assumptions'!$C$120,_xlfn.XLOOKUP(LEFT(GA$7,6),Inflation_Year,Inflation_NominaltoReal),TRUE,_xlfn.XLOOKUP($FY221,Inflation_Year,NominaltoReal)))</f>
        <v>0.98700804022984445</v>
      </c>
      <c r="GB221" s="146" cm="1">
        <f t="array" ref="GB221">IF($FY221=0,0,_xlfn.IFS($FY221='Key assumptions'!$C$120,_xlfn.XLOOKUP(LEFT(GB$7,6),Inflation_Year,Inflation_NominaltoReal),TRUE,_xlfn.XLOOKUP($FY221,Inflation_Year,NominaltoReal)))</f>
        <v>0.96152830081941731</v>
      </c>
      <c r="GC221" s="146" cm="1">
        <f t="array" ref="GC221">IF($FY221=0,0,_xlfn.IFS($FY221='Key assumptions'!$C$120,_xlfn.XLOOKUP(LEFT(GC$7,6),Inflation_Year,Inflation_NominaltoReal),TRUE,_xlfn.XLOOKUP($FY221,Inflation_Year,NominaltoReal)))</f>
        <v>0.93670632415656829</v>
      </c>
      <c r="GD221" s="146" cm="1">
        <f t="array" ref="GD221">IF($FY221=0,0,_xlfn.IFS($FY221='Key assumptions'!$C$120,_xlfn.XLOOKUP(LEFT(GD$7,6),Inflation_Year,Inflation_NominaltoReal),TRUE,_xlfn.XLOOKUP($FY221,Inflation_Year,NominaltoReal)))</f>
        <v>0.91252513001143176</v>
      </c>
      <c r="GE221" s="146" cm="1">
        <f t="array" ref="GE221">IF($FY221=0,0,_xlfn.IFS($FY221='Key assumptions'!$C$120,_xlfn.XLOOKUP(LEFT(GE$7,6),Inflation_Year,Inflation_NominaltoReal),TRUE,_xlfn.XLOOKUP($FY221,Inflation_Year,NominaltoReal)))</f>
        <v>0.88896817650095872</v>
      </c>
      <c r="GF221" s="146" cm="1">
        <f t="array" ref="GF221">IF($FY221=0,0,_xlfn.IFS($FY221='Key assumptions'!$C$120,_xlfn.XLOOKUP(LEFT(GF$7,6),Inflation_Year,Inflation_NominaltoReal),TRUE,_xlfn.XLOOKUP($FY221,Inflation_Year,NominaltoReal)))</f>
        <v>0.86601934877293718</v>
      </c>
      <c r="GG221" s="143"/>
      <c r="GH221" s="145" cm="1">
        <f t="array" ref="GH221">SUMPRODUCT(--($CR$7:$FW$7&gt;=GH$5),--($CR$7:$FW$7&lt;=GH$6),$CR221:$FW221)*FZ221</f>
        <v>0</v>
      </c>
      <c r="GI221" s="145" cm="1">
        <f t="array" ref="GI221">SUMPRODUCT(--($CR$7:$FW$7&gt;=GI$5),--($CR$7:$FW$7&lt;=GI$6),$CR221:$FW221)*GA221</f>
        <v>28710.445197100198</v>
      </c>
      <c r="GJ221" s="145" cm="1">
        <f t="array" ref="GJ221">SUMPRODUCT(--($CR$7:$FW$7&gt;=GJ$5),--($CR$7:$FW$7&lt;=GJ$6),$CR221:$FW221)*GB221</f>
        <v>79873.059806806079</v>
      </c>
      <c r="GK221" s="145" cm="1">
        <f t="array" ref="GK221">SUMPRODUCT(--($CR$7:$FW$7&gt;=GK$5),--($CR$7:$FW$7&lt;=GK$6),$CR221:$FW221)*GC221</f>
        <v>7067.3368110024085</v>
      </c>
      <c r="GL221" s="145" cm="1">
        <f t="array" ref="GL221">SUMPRODUCT(--($CR$7:$FW$7&gt;=GL$5),--($CR$7:$FW$7&lt;=GL$6),$CR221:$FW221)*GD221</f>
        <v>0</v>
      </c>
      <c r="GM221" s="145" cm="1">
        <f t="array" ref="GM221">SUMPRODUCT(--($CR$7:$FW$7&gt;=GM$5),--($CR$7:$FW$7&lt;=GM$6),$CR221:$FW221)*GE221</f>
        <v>0</v>
      </c>
      <c r="GN221" s="145" cm="1">
        <f t="array" ref="GN221">SUMPRODUCT(--($CR$7:$FW$7&gt;=GN$5),--($CR$7:$FW$7&lt;=GN$6),$CR221:$FW221)*GF221</f>
        <v>0</v>
      </c>
      <c r="GO221" s="145">
        <f t="shared" si="69"/>
        <v>115650.84181490868</v>
      </c>
      <c r="GP221" s="87"/>
      <c r="GR221" s="145" cm="1">
        <f t="array" ref="GR221">SUMPRODUCT(--($CR$7:$FW$7&gt;=GR$5),--($CR$7:$FW$7&lt;=GR$6),$CR221:$FW221)</f>
        <v>0</v>
      </c>
      <c r="GT221" s="214" cm="1">
        <f t="array" ref="GT221">--AND(MIN(IF($K221:$CP221&lt;&gt;0,$K$7:$CP$7))&gt;=GT$5,MIN(IF($K221:$CP221&lt;&gt;0,$K$7:$CP$7))&lt;=GT$6)</f>
        <v>0</v>
      </c>
      <c r="GU221" s="214" cm="1">
        <f t="array" ref="GU221">--AND(MIN(IF($K221:$CP221&lt;&gt;0,$K$7:$CP$7))&gt;=GU$5,MIN(IF($K221:$CP221&lt;&gt;0,$K$7:$CP$7))&lt;=GU$6)</f>
        <v>1</v>
      </c>
      <c r="GV221" s="214" cm="1">
        <f t="array" ref="GV221">--AND(MIN(IF($K221:$CP221&lt;&gt;0,$K$7:$CP$7))&gt;=GV$5,MIN(IF($K221:$CP221&lt;&gt;0,$K$7:$CP$7))&lt;=GV$6)</f>
        <v>0</v>
      </c>
      <c r="GW221" s="214" cm="1">
        <f t="array" ref="GW221">--AND(MIN(IF($K221:$CP221&lt;&gt;0,$K$7:$CP$7))&gt;=GW$5,MIN(IF($K221:$CP221&lt;&gt;0,$K$7:$CP$7))&lt;=GW$6)</f>
        <v>0</v>
      </c>
      <c r="GX221" s="214" cm="1">
        <f t="array" ref="GX221">--AND(MIN(IF($K221:$CP221&lt;&gt;0,$K$7:$CP$7))&gt;=GX$5,MIN(IF($K221:$CP221&lt;&gt;0,$K$7:$CP$7))&lt;=GX$6)</f>
        <v>0</v>
      </c>
      <c r="GY221" s="214" cm="1">
        <f t="array" ref="GY221">--AND(MIN(IF($K221:$CP221&lt;&gt;0,$K$7:$CP$7))&gt;=GY$5,MIN(IF($K221:$CP221&lt;&gt;0,$K$7:$CP$7))&lt;=GY$6)</f>
        <v>0</v>
      </c>
      <c r="GZ221" s="214" cm="1">
        <f t="array" ref="GZ221">--AND(MIN(IF($K221:$CP221&lt;&gt;0,$K$7:$CP$7))&gt;=GZ$5,MIN(IF($K221:$CP221&lt;&gt;0,$K$7:$CP$7))&lt;=GZ$6)</f>
        <v>0</v>
      </c>
      <c r="HA221" s="214">
        <f t="shared" si="70"/>
        <v>1</v>
      </c>
      <c r="HC221" s="214" cm="1">
        <f t="array" ref="HC221">--AND(MIN(IF($K221:$CP221&lt;&gt;0,$K$7:$CP$7))&gt;=HC$5,MIN(IF($K221:$CP221&lt;&gt;0,$K$7:$CP$7))&lt;=HC$6)</f>
        <v>0</v>
      </c>
      <c r="HE221" s="147" t="str">
        <f t="shared" si="89"/>
        <v>No</v>
      </c>
      <c r="HF221" s="147" t="str">
        <f t="shared" si="90"/>
        <v>No</v>
      </c>
      <c r="HG221" s="147">
        <f>IF($HF221="Yes",0,$H221*avg_hrs*12*'Key assumptions'!$D$87)</f>
        <v>454238.21110356261</v>
      </c>
      <c r="HH221" s="147">
        <f>IF(HE221="Yes",'Key assumptions'!$D$84*HG221,0)</f>
        <v>0</v>
      </c>
      <c r="HI221" s="144">
        <f>IFERROR(AVERAGEIFS($K221:$CP221,$K$7:$CP$7,"&gt;="&amp;'Key assumptions'!$D$24,$K$7:$CP$7,"&lt;="&amp;'Key assumptions'!$D$25),0)</f>
        <v>7.6196172248803831E-2</v>
      </c>
      <c r="HJ221" s="148">
        <f t="shared" si="91"/>
        <v>0</v>
      </c>
      <c r="HK221" s="148">
        <f t="shared" si="72"/>
        <v>0</v>
      </c>
      <c r="HL221" s="148">
        <f t="shared" si="73"/>
        <v>0</v>
      </c>
      <c r="HM221" s="148">
        <f t="shared" si="74"/>
        <v>0</v>
      </c>
      <c r="HN221" s="148">
        <f t="shared" si="75"/>
        <v>0</v>
      </c>
      <c r="HO221" s="148">
        <f t="shared" si="76"/>
        <v>0</v>
      </c>
      <c r="HP221" s="148">
        <f t="shared" si="77"/>
        <v>0</v>
      </c>
      <c r="HQ221" s="148">
        <f t="shared" si="78"/>
        <v>0</v>
      </c>
      <c r="HR221" s="147">
        <f t="shared" si="79"/>
        <v>0</v>
      </c>
      <c r="HU221" s="147">
        <f>$HJ221*HC221/(1+'Key assumptions'!G243)^0.75</f>
        <v>0</v>
      </c>
      <c r="HW221" s="216">
        <f t="shared" si="80"/>
        <v>0</v>
      </c>
      <c r="HX221" s="216">
        <f t="shared" si="81"/>
        <v>7.6196172248803831E-2</v>
      </c>
      <c r="HY221" s="216">
        <f t="shared" si="82"/>
        <v>0</v>
      </c>
      <c r="HZ221" s="216">
        <f t="shared" si="83"/>
        <v>0</v>
      </c>
      <c r="IA221" s="216">
        <f t="shared" si="84"/>
        <v>0</v>
      </c>
      <c r="IB221" s="216">
        <f t="shared" si="85"/>
        <v>0</v>
      </c>
      <c r="IC221" s="216">
        <f t="shared" si="86"/>
        <v>0</v>
      </c>
      <c r="ID221" s="216">
        <f t="shared" si="87"/>
        <v>7.6196172248803831E-2</v>
      </c>
      <c r="IF221" s="216">
        <f t="shared" si="88"/>
        <v>0</v>
      </c>
    </row>
    <row r="222" spans="2:240" x14ac:dyDescent="0.2">
      <c r="B222" s="141" t="str">
        <v>Project Delivery Management - Project Management</v>
      </c>
      <c r="C222" s="141" t="str">
        <v>Project Manager CO (Network Projects)</v>
      </c>
      <c r="D222" s="141" t="str">
        <v>Internal Labour</v>
      </c>
      <c r="E222" s="141" t="str">
        <v>$ Nominal</v>
      </c>
      <c r="F222" s="141" t="str">
        <v>New</v>
      </c>
      <c r="G222" s="141" t="str">
        <v>Normal time</v>
      </c>
      <c r="H222" s="142">
        <v>225.37</v>
      </c>
      <c r="I222" s="126">
        <v>1097345.55</v>
      </c>
      <c r="J222" s="143">
        <v>0</v>
      </c>
      <c r="K222" s="144">
        <v>0</v>
      </c>
      <c r="L222" s="144">
        <v>0</v>
      </c>
      <c r="M222" s="144">
        <v>0</v>
      </c>
      <c r="N222" s="144">
        <v>0</v>
      </c>
      <c r="O222" s="144">
        <v>0</v>
      </c>
      <c r="P222" s="144">
        <v>0</v>
      </c>
      <c r="Q222" s="144">
        <v>0</v>
      </c>
      <c r="R222" s="144">
        <v>0</v>
      </c>
      <c r="S222" s="144">
        <v>0</v>
      </c>
      <c r="T222" s="144">
        <v>0</v>
      </c>
      <c r="U222" s="144">
        <v>0</v>
      </c>
      <c r="V222" s="144">
        <v>0</v>
      </c>
      <c r="W222" s="144">
        <v>0</v>
      </c>
      <c r="X222" s="144">
        <v>0</v>
      </c>
      <c r="Y222" s="144">
        <v>1</v>
      </c>
      <c r="Z222" s="144">
        <v>1</v>
      </c>
      <c r="AA222" s="144">
        <v>0.92105263157894735</v>
      </c>
      <c r="AB222" s="144">
        <v>0.92105263157894735</v>
      </c>
      <c r="AC222" s="144">
        <v>1</v>
      </c>
      <c r="AD222" s="144">
        <v>1</v>
      </c>
      <c r="AE222" s="144">
        <v>1</v>
      </c>
      <c r="AF222" s="144">
        <v>1</v>
      </c>
      <c r="AG222" s="144">
        <v>1</v>
      </c>
      <c r="AH222" s="144">
        <v>1</v>
      </c>
      <c r="AI222" s="144">
        <v>1</v>
      </c>
      <c r="AJ222" s="144">
        <v>1</v>
      </c>
      <c r="AK222" s="144">
        <v>1</v>
      </c>
      <c r="AL222" s="144">
        <v>1</v>
      </c>
      <c r="AM222" s="144">
        <v>1</v>
      </c>
      <c r="AN222" s="144">
        <v>1</v>
      </c>
      <c r="AO222" s="144">
        <v>1</v>
      </c>
      <c r="AP222" s="144">
        <v>1</v>
      </c>
      <c r="AQ222" s="144">
        <v>1</v>
      </c>
      <c r="AR222" s="144">
        <v>1</v>
      </c>
      <c r="AS222" s="144">
        <v>1</v>
      </c>
      <c r="AT222" s="144">
        <v>1</v>
      </c>
      <c r="AU222" s="144">
        <v>1</v>
      </c>
      <c r="AV222" s="144">
        <v>1</v>
      </c>
      <c r="AW222" s="144">
        <v>1</v>
      </c>
      <c r="AX222" s="144">
        <v>1</v>
      </c>
      <c r="AY222" s="144">
        <v>1</v>
      </c>
      <c r="AZ222" s="144">
        <v>1</v>
      </c>
      <c r="BA222" s="144">
        <v>1</v>
      </c>
      <c r="BB222" s="144">
        <v>1</v>
      </c>
      <c r="BC222" s="144">
        <v>1</v>
      </c>
      <c r="BD222" s="144">
        <v>1</v>
      </c>
      <c r="BE222" s="144">
        <v>1</v>
      </c>
      <c r="BF222" s="144">
        <v>1</v>
      </c>
      <c r="BG222" s="144">
        <v>1</v>
      </c>
      <c r="BH222" s="144">
        <v>1</v>
      </c>
      <c r="BI222" s="144">
        <v>0</v>
      </c>
      <c r="BJ222" s="144">
        <v>0</v>
      </c>
      <c r="BK222" s="144">
        <v>0</v>
      </c>
      <c r="BL222" s="144">
        <v>0</v>
      </c>
      <c r="BM222" s="144">
        <v>0</v>
      </c>
      <c r="BN222" s="144">
        <v>0</v>
      </c>
      <c r="BO222" s="144">
        <v>0</v>
      </c>
      <c r="BP222" s="144">
        <v>0</v>
      </c>
      <c r="BQ222" s="144">
        <v>0</v>
      </c>
      <c r="BR222" s="144">
        <v>0</v>
      </c>
      <c r="BS222" s="144">
        <v>0</v>
      </c>
      <c r="BT222" s="144">
        <v>0</v>
      </c>
      <c r="BU222" s="144">
        <v>0</v>
      </c>
      <c r="BV222" s="144">
        <v>0</v>
      </c>
      <c r="BW222" s="144">
        <v>0</v>
      </c>
      <c r="BX222" s="144">
        <v>0</v>
      </c>
      <c r="BY222" s="144">
        <v>0</v>
      </c>
      <c r="BZ222" s="144">
        <v>0</v>
      </c>
      <c r="CA222" s="144">
        <v>0</v>
      </c>
      <c r="CB222" s="144">
        <v>0</v>
      </c>
      <c r="CC222" s="144">
        <v>0</v>
      </c>
      <c r="CD222" s="144">
        <v>0</v>
      </c>
      <c r="CE222" s="144">
        <v>0</v>
      </c>
      <c r="CF222" s="144">
        <v>0</v>
      </c>
      <c r="CG222" s="144">
        <v>0</v>
      </c>
      <c r="CH222" s="144">
        <v>0</v>
      </c>
      <c r="CI222" s="144">
        <v>0</v>
      </c>
      <c r="CJ222" s="144">
        <v>0</v>
      </c>
      <c r="CK222" s="144">
        <v>0</v>
      </c>
      <c r="CL222" s="144">
        <v>0</v>
      </c>
      <c r="CM222" s="144">
        <v>0</v>
      </c>
      <c r="CN222" s="144">
        <v>0</v>
      </c>
      <c r="CO222" s="144">
        <v>0</v>
      </c>
      <c r="CP222" s="144">
        <v>0</v>
      </c>
      <c r="CQ222" s="143">
        <v>0</v>
      </c>
      <c r="CR222" s="145">
        <v>0</v>
      </c>
      <c r="CS222" s="145">
        <v>0</v>
      </c>
      <c r="CT222" s="145">
        <v>0</v>
      </c>
      <c r="CU222" s="145">
        <v>0</v>
      </c>
      <c r="CV222" s="145">
        <v>0</v>
      </c>
      <c r="CW222" s="145">
        <v>0</v>
      </c>
      <c r="CX222" s="145">
        <v>0</v>
      </c>
      <c r="CY222" s="145">
        <v>0</v>
      </c>
      <c r="CZ222" s="145">
        <v>0</v>
      </c>
      <c r="DA222" s="145">
        <v>0</v>
      </c>
      <c r="DB222" s="145">
        <v>0</v>
      </c>
      <c r="DC222" s="145">
        <v>0</v>
      </c>
      <c r="DD222" s="145">
        <v>0</v>
      </c>
      <c r="DE222" s="145">
        <v>0</v>
      </c>
      <c r="DF222" s="145">
        <v>30643.200000000001</v>
      </c>
      <c r="DG222" s="145">
        <v>22982.399999999998</v>
      </c>
      <c r="DH222" s="145">
        <v>30643.200000000001</v>
      </c>
      <c r="DI222" s="145">
        <v>30643.200000000001</v>
      </c>
      <c r="DJ222" s="145">
        <v>31551.8</v>
      </c>
      <c r="DK222" s="145">
        <v>31551.8</v>
      </c>
      <c r="DL222" s="145">
        <v>31551.8</v>
      </c>
      <c r="DM222" s="145">
        <v>31551.8</v>
      </c>
      <c r="DN222" s="145">
        <v>31551.8</v>
      </c>
      <c r="DO222" s="145">
        <v>23663.850000000002</v>
      </c>
      <c r="DP222" s="145">
        <v>23663.850000000002</v>
      </c>
      <c r="DQ222" s="145">
        <v>31551.8</v>
      </c>
      <c r="DR222" s="145">
        <v>31551.8</v>
      </c>
      <c r="DS222" s="145">
        <v>23663.850000000002</v>
      </c>
      <c r="DT222" s="145">
        <v>34256.239999999998</v>
      </c>
      <c r="DU222" s="145">
        <v>34256.239999999998</v>
      </c>
      <c r="DV222" s="145">
        <v>32491.200000000001</v>
      </c>
      <c r="DW222" s="145">
        <v>32491.200000000001</v>
      </c>
      <c r="DX222" s="145">
        <v>32491.200000000001</v>
      </c>
      <c r="DY222" s="145">
        <v>32491.200000000001</v>
      </c>
      <c r="DZ222" s="145">
        <v>32491.200000000001</v>
      </c>
      <c r="EA222" s="145">
        <v>24368.400000000001</v>
      </c>
      <c r="EB222" s="145">
        <v>24368.400000000001</v>
      </c>
      <c r="EC222" s="145">
        <v>32491.200000000001</v>
      </c>
      <c r="ED222" s="145">
        <v>32491.200000000001</v>
      </c>
      <c r="EE222" s="145">
        <v>24368.400000000001</v>
      </c>
      <c r="EF222" s="145">
        <v>35276.160000000003</v>
      </c>
      <c r="EG222" s="145">
        <v>35276.160000000003</v>
      </c>
      <c r="EH222" s="145">
        <v>33462.800000000003</v>
      </c>
      <c r="EI222" s="145">
        <v>33462.800000000003</v>
      </c>
      <c r="EJ222" s="145">
        <v>33462.800000000003</v>
      </c>
      <c r="EK222" s="145">
        <v>33462.800000000003</v>
      </c>
      <c r="EL222" s="145">
        <v>33462.800000000003</v>
      </c>
      <c r="EM222" s="145">
        <v>25097.100000000002</v>
      </c>
      <c r="EN222" s="145">
        <v>25097.100000000002</v>
      </c>
      <c r="EO222" s="145">
        <v>33462.800000000003</v>
      </c>
      <c r="EP222" s="145">
        <v>0</v>
      </c>
      <c r="EQ222" s="145">
        <v>0</v>
      </c>
      <c r="ER222" s="145">
        <v>0</v>
      </c>
      <c r="ES222" s="145">
        <v>0</v>
      </c>
      <c r="ET222" s="145">
        <v>0</v>
      </c>
      <c r="EU222" s="145">
        <v>0</v>
      </c>
      <c r="EV222" s="145">
        <v>0</v>
      </c>
      <c r="EW222" s="145">
        <v>0</v>
      </c>
      <c r="EX222" s="145">
        <v>0</v>
      </c>
      <c r="EY222" s="145">
        <v>0</v>
      </c>
      <c r="EZ222" s="145">
        <v>0</v>
      </c>
      <c r="FA222" s="145">
        <v>0</v>
      </c>
      <c r="FB222" s="145">
        <v>0</v>
      </c>
      <c r="FC222" s="145">
        <v>0</v>
      </c>
      <c r="FD222" s="145">
        <v>0</v>
      </c>
      <c r="FE222" s="145">
        <v>0</v>
      </c>
      <c r="FF222" s="145">
        <v>0</v>
      </c>
      <c r="FG222" s="145">
        <v>0</v>
      </c>
      <c r="FH222" s="145">
        <v>0</v>
      </c>
      <c r="FI222" s="145">
        <v>0</v>
      </c>
      <c r="FJ222" s="145">
        <v>0</v>
      </c>
      <c r="FK222" s="145">
        <v>0</v>
      </c>
      <c r="FL222" s="145">
        <v>0</v>
      </c>
      <c r="FM222" s="145">
        <v>0</v>
      </c>
      <c r="FN222" s="145">
        <v>0</v>
      </c>
      <c r="FO222" s="145">
        <v>0</v>
      </c>
      <c r="FP222" s="145">
        <v>0</v>
      </c>
      <c r="FQ222" s="145">
        <v>0</v>
      </c>
      <c r="FR222" s="145">
        <v>0</v>
      </c>
      <c r="FS222" s="145">
        <v>0</v>
      </c>
      <c r="FT222" s="145">
        <v>0</v>
      </c>
      <c r="FU222" s="145">
        <v>0</v>
      </c>
      <c r="FV222" s="145">
        <v>0</v>
      </c>
      <c r="FW222" s="145">
        <v>0</v>
      </c>
      <c r="FX222" s="143"/>
      <c r="FY222" s="146" t="str">
        <f>_xlfn.XLOOKUP($E222,'Key assumptions'!$B$112:$B$120,'Key assumptions'!$C$112:$C$120,0)</f>
        <v>Nominal</v>
      </c>
      <c r="FZ222" s="146" cm="1">
        <f t="array" ref="FZ222">IF($FY222=0,0,_xlfn.IFS($FY222='Key assumptions'!$C$120,_xlfn.XLOOKUP(LEFT(FZ$7,6),Inflation_Year,Inflation_NominaltoReal),TRUE,_xlfn.XLOOKUP($FY222,Inflation_Year,NominaltoReal)))</f>
        <v>1.0197075870962191</v>
      </c>
      <c r="GA222" s="146" cm="1">
        <f t="array" ref="GA222">IF($FY222=0,0,_xlfn.IFS($FY222='Key assumptions'!$C$120,_xlfn.XLOOKUP(LEFT(GA$7,6),Inflation_Year,Inflation_NominaltoReal),TRUE,_xlfn.XLOOKUP($FY222,Inflation_Year,NominaltoReal)))</f>
        <v>0.98700804022984445</v>
      </c>
      <c r="GB222" s="146" cm="1">
        <f t="array" ref="GB222">IF($FY222=0,0,_xlfn.IFS($FY222='Key assumptions'!$C$120,_xlfn.XLOOKUP(LEFT(GB$7,6),Inflation_Year,Inflation_NominaltoReal),TRUE,_xlfn.XLOOKUP($FY222,Inflation_Year,NominaltoReal)))</f>
        <v>0.96152830081941731</v>
      </c>
      <c r="GC222" s="146" cm="1">
        <f t="array" ref="GC222">IF($FY222=0,0,_xlfn.IFS($FY222='Key assumptions'!$C$120,_xlfn.XLOOKUP(LEFT(GC$7,6),Inflation_Year,Inflation_NominaltoReal),TRUE,_xlfn.XLOOKUP($FY222,Inflation_Year,NominaltoReal)))</f>
        <v>0.93670632415656829</v>
      </c>
      <c r="GD222" s="146" cm="1">
        <f t="array" ref="GD222">IF($FY222=0,0,_xlfn.IFS($FY222='Key assumptions'!$C$120,_xlfn.XLOOKUP(LEFT(GD$7,6),Inflation_Year,Inflation_NominaltoReal),TRUE,_xlfn.XLOOKUP($FY222,Inflation_Year,NominaltoReal)))</f>
        <v>0.91252513001143176</v>
      </c>
      <c r="GE222" s="146" cm="1">
        <f t="array" ref="GE222">IF($FY222=0,0,_xlfn.IFS($FY222='Key assumptions'!$C$120,_xlfn.XLOOKUP(LEFT(GE$7,6),Inflation_Year,Inflation_NominaltoReal),TRUE,_xlfn.XLOOKUP($FY222,Inflation_Year,NominaltoReal)))</f>
        <v>0.88896817650095872</v>
      </c>
      <c r="GF222" s="146" cm="1">
        <f t="array" ref="GF222">IF($FY222=0,0,_xlfn.IFS($FY222='Key assumptions'!$C$120,_xlfn.XLOOKUP(LEFT(GF$7,6),Inflation_Year,Inflation_NominaltoReal),TRUE,_xlfn.XLOOKUP($FY222,Inflation_Year,NominaltoReal)))</f>
        <v>0.86601934877293718</v>
      </c>
      <c r="GG222" s="143"/>
      <c r="GH222" s="145" cm="1">
        <f t="array" ref="GH222">SUMPRODUCT(--($CR$7:$FW$7&gt;=GH$5),--($CR$7:$FW$7&lt;=GH$6),$CR222:$FW222)*FZ222</f>
        <v>213697.46778802815</v>
      </c>
      <c r="GI222" s="145" cm="1">
        <f t="array" ref="GI222">SUMPRODUCT(--($CR$7:$FW$7&gt;=GI$5),--($CR$7:$FW$7&lt;=GI$6),$CR222:$FW222)*GA222</f>
        <v>358466.34729950922</v>
      </c>
      <c r="GJ222" s="145" cm="1">
        <f t="array" ref="GJ222">SUMPRODUCT(--($CR$7:$FW$7&gt;=GJ$5),--($CR$7:$FW$7&lt;=GJ$6),$CR222:$FW222)*GB222</f>
        <v>359621.89208984689</v>
      </c>
      <c r="GK222" s="145" cm="1">
        <f t="array" ref="GK222">SUMPRODUCT(--($CR$7:$FW$7&gt;=GK$5),--($CR$7:$FW$7&lt;=GK$6),$CR222:$FW222)*GC222</f>
        <v>141051.67372793891</v>
      </c>
      <c r="GL222" s="145" cm="1">
        <f t="array" ref="GL222">SUMPRODUCT(--($CR$7:$FW$7&gt;=GL$5),--($CR$7:$FW$7&lt;=GL$6),$CR222:$FW222)*GD222</f>
        <v>0</v>
      </c>
      <c r="GM222" s="145" cm="1">
        <f t="array" ref="GM222">SUMPRODUCT(--($CR$7:$FW$7&gt;=GM$5),--($CR$7:$FW$7&lt;=GM$6),$CR222:$FW222)*GE222</f>
        <v>0</v>
      </c>
      <c r="GN222" s="145" cm="1">
        <f t="array" ref="GN222">SUMPRODUCT(--($CR$7:$FW$7&gt;=GN$5),--($CR$7:$FW$7&lt;=GN$6),$CR222:$FW222)*GF222</f>
        <v>0</v>
      </c>
      <c r="GO222" s="145">
        <f t="shared" si="69"/>
        <v>1072837.3809053232</v>
      </c>
      <c r="GP222" s="87"/>
      <c r="GR222" s="145" cm="1">
        <f t="array" ref="GR222">SUMPRODUCT(--($CR$7:$FW$7&gt;=GR$5),--($CR$7:$FW$7&lt;=GR$6),$CR222:$FW222)</f>
        <v>114912</v>
      </c>
      <c r="GT222" s="214" cm="1">
        <f t="array" ref="GT222">--AND(MIN(IF($K222:$CP222&lt;&gt;0,$K$7:$CP$7))&gt;=GT$5,MIN(IF($K222:$CP222&lt;&gt;0,$K$7:$CP$7))&lt;=GT$6)</f>
        <v>1</v>
      </c>
      <c r="GU222" s="214" cm="1">
        <f t="array" ref="GU222">--AND(MIN(IF($K222:$CP222&lt;&gt;0,$K$7:$CP$7))&gt;=GU$5,MIN(IF($K222:$CP222&lt;&gt;0,$K$7:$CP$7))&lt;=GU$6)</f>
        <v>0</v>
      </c>
      <c r="GV222" s="214" cm="1">
        <f t="array" ref="GV222">--AND(MIN(IF($K222:$CP222&lt;&gt;0,$K$7:$CP$7))&gt;=GV$5,MIN(IF($K222:$CP222&lt;&gt;0,$K$7:$CP$7))&lt;=GV$6)</f>
        <v>0</v>
      </c>
      <c r="GW222" s="214" cm="1">
        <f t="array" ref="GW222">--AND(MIN(IF($K222:$CP222&lt;&gt;0,$K$7:$CP$7))&gt;=GW$5,MIN(IF($K222:$CP222&lt;&gt;0,$K$7:$CP$7))&lt;=GW$6)</f>
        <v>0</v>
      </c>
      <c r="GX222" s="214" cm="1">
        <f t="array" ref="GX222">--AND(MIN(IF($K222:$CP222&lt;&gt;0,$K$7:$CP$7))&gt;=GX$5,MIN(IF($K222:$CP222&lt;&gt;0,$K$7:$CP$7))&lt;=GX$6)</f>
        <v>0</v>
      </c>
      <c r="GY222" s="214" cm="1">
        <f t="array" ref="GY222">--AND(MIN(IF($K222:$CP222&lt;&gt;0,$K$7:$CP$7))&gt;=GY$5,MIN(IF($K222:$CP222&lt;&gt;0,$K$7:$CP$7))&lt;=GY$6)</f>
        <v>0</v>
      </c>
      <c r="GZ222" s="214" cm="1">
        <f t="array" ref="GZ222">--AND(MIN(IF($K222:$CP222&lt;&gt;0,$K$7:$CP$7))&gt;=GZ$5,MIN(IF($K222:$CP222&lt;&gt;0,$K$7:$CP$7))&lt;=GZ$6)</f>
        <v>0</v>
      </c>
      <c r="HA222" s="214">
        <f t="shared" si="70"/>
        <v>1</v>
      </c>
      <c r="HC222" s="214" cm="1">
        <f t="array" ref="HC222">--AND(MIN(IF($K222:$CP222&lt;&gt;0,$K$7:$CP$7))&gt;=HC$5,MIN(IF($K222:$CP222&lt;&gt;0,$K$7:$CP$7))&lt;=HC$6)</f>
        <v>1</v>
      </c>
      <c r="HE222" s="147" t="str">
        <f t="shared" si="89"/>
        <v>Yes</v>
      </c>
      <c r="HF222" s="147" t="str">
        <f t="shared" si="90"/>
        <v>No</v>
      </c>
      <c r="HG222" s="147">
        <f>IF($HF222="Yes",0,$H222*avg_hrs*12*'Key assumptions'!$D$87)</f>
        <v>403022.1866714299</v>
      </c>
      <c r="HH222" s="147">
        <f>IF(HE222="Yes",'Key assumptions'!$D$84*HG222,0)</f>
        <v>60453.328000714479</v>
      </c>
      <c r="HI222" s="144">
        <f>IFERROR(AVERAGEIFS($K222:$CP222,$K$7:$CP$7,"&gt;="&amp;'Key assumptions'!$D$24,$K$7:$CP$7,"&lt;="&amp;'Key assumptions'!$D$25),0)</f>
        <v>0.81459330143540665</v>
      </c>
      <c r="HJ222" s="148">
        <f t="shared" si="91"/>
        <v>49244.876038859518</v>
      </c>
      <c r="HK222" s="148">
        <f t="shared" si="72"/>
        <v>49244.876038859518</v>
      </c>
      <c r="HL222" s="148">
        <f t="shared" si="73"/>
        <v>0</v>
      </c>
      <c r="HM222" s="148">
        <f t="shared" si="74"/>
        <v>0</v>
      </c>
      <c r="HN222" s="148">
        <f t="shared" si="75"/>
        <v>0</v>
      </c>
      <c r="HO222" s="148">
        <f t="shared" si="76"/>
        <v>0</v>
      </c>
      <c r="HP222" s="148">
        <f t="shared" si="77"/>
        <v>0</v>
      </c>
      <c r="HQ222" s="148">
        <f t="shared" si="78"/>
        <v>0</v>
      </c>
      <c r="HR222" s="147">
        <f t="shared" si="79"/>
        <v>49244.876038859518</v>
      </c>
      <c r="HU222" s="147">
        <f>$HJ222*HC222/(1+'Key assumptions'!G244)^0.75</f>
        <v>49244.876038859518</v>
      </c>
      <c r="HW222" s="216">
        <f t="shared" si="80"/>
        <v>0.81459330143540665</v>
      </c>
      <c r="HX222" s="216">
        <f t="shared" si="81"/>
        <v>0</v>
      </c>
      <c r="HY222" s="216">
        <f t="shared" si="82"/>
        <v>0</v>
      </c>
      <c r="HZ222" s="216">
        <f t="shared" si="83"/>
        <v>0</v>
      </c>
      <c r="IA222" s="216">
        <f t="shared" si="84"/>
        <v>0</v>
      </c>
      <c r="IB222" s="216">
        <f t="shared" si="85"/>
        <v>0</v>
      </c>
      <c r="IC222" s="216">
        <f t="shared" si="86"/>
        <v>0</v>
      </c>
      <c r="ID222" s="216">
        <f t="shared" si="87"/>
        <v>0.81459330143540665</v>
      </c>
      <c r="IF222" s="216">
        <f t="shared" si="88"/>
        <v>0.81459330143540665</v>
      </c>
    </row>
    <row r="223" spans="2:240" x14ac:dyDescent="0.2">
      <c r="B223" s="141" t="str">
        <v>Project Delivery Management - Project Management</v>
      </c>
      <c r="C223" s="141" t="str">
        <v>Project Engineer - Senior CO (Network Projects)</v>
      </c>
      <c r="D223" s="141" t="str">
        <v>Internal Labour</v>
      </c>
      <c r="E223" s="141" t="str">
        <v>$ Nominal</v>
      </c>
      <c r="F223" s="141" t="str">
        <v>New</v>
      </c>
      <c r="G223" s="141" t="str">
        <v>Normal time</v>
      </c>
      <c r="H223" s="142">
        <v>254.01</v>
      </c>
      <c r="I223" s="126">
        <v>1236906.1200000001</v>
      </c>
      <c r="J223" s="143">
        <v>0</v>
      </c>
      <c r="K223" s="144">
        <v>0</v>
      </c>
      <c r="L223" s="144">
        <v>0</v>
      </c>
      <c r="M223" s="144">
        <v>0</v>
      </c>
      <c r="N223" s="144">
        <v>0</v>
      </c>
      <c r="O223" s="144">
        <v>0</v>
      </c>
      <c r="P223" s="144">
        <v>0</v>
      </c>
      <c r="Q223" s="144">
        <v>0</v>
      </c>
      <c r="R223" s="144">
        <v>0</v>
      </c>
      <c r="S223" s="144">
        <v>0</v>
      </c>
      <c r="T223" s="144">
        <v>0</v>
      </c>
      <c r="U223" s="144">
        <v>0</v>
      </c>
      <c r="V223" s="144">
        <v>0</v>
      </c>
      <c r="W223" s="144">
        <v>0</v>
      </c>
      <c r="X223" s="144">
        <v>0</v>
      </c>
      <c r="Y223" s="144">
        <v>1</v>
      </c>
      <c r="Z223" s="144">
        <v>1</v>
      </c>
      <c r="AA223" s="144">
        <v>0.92105263157894735</v>
      </c>
      <c r="AB223" s="144">
        <v>0.92105263157894735</v>
      </c>
      <c r="AC223" s="144">
        <v>1</v>
      </c>
      <c r="AD223" s="144">
        <v>1</v>
      </c>
      <c r="AE223" s="144">
        <v>1</v>
      </c>
      <c r="AF223" s="144">
        <v>1</v>
      </c>
      <c r="AG223" s="144">
        <v>1</v>
      </c>
      <c r="AH223" s="144">
        <v>1</v>
      </c>
      <c r="AI223" s="144">
        <v>1</v>
      </c>
      <c r="AJ223" s="144">
        <v>1</v>
      </c>
      <c r="AK223" s="144">
        <v>1</v>
      </c>
      <c r="AL223" s="144">
        <v>1</v>
      </c>
      <c r="AM223" s="144">
        <v>1</v>
      </c>
      <c r="AN223" s="144">
        <v>1</v>
      </c>
      <c r="AO223" s="144">
        <v>1</v>
      </c>
      <c r="AP223" s="144">
        <v>1</v>
      </c>
      <c r="AQ223" s="144">
        <v>1</v>
      </c>
      <c r="AR223" s="144">
        <v>1</v>
      </c>
      <c r="AS223" s="144">
        <v>1</v>
      </c>
      <c r="AT223" s="144">
        <v>1</v>
      </c>
      <c r="AU223" s="144">
        <v>1</v>
      </c>
      <c r="AV223" s="144">
        <v>1</v>
      </c>
      <c r="AW223" s="144">
        <v>1</v>
      </c>
      <c r="AX223" s="144">
        <v>1</v>
      </c>
      <c r="AY223" s="144">
        <v>1</v>
      </c>
      <c r="AZ223" s="144">
        <v>1</v>
      </c>
      <c r="BA223" s="144">
        <v>1</v>
      </c>
      <c r="BB223" s="144">
        <v>1</v>
      </c>
      <c r="BC223" s="144">
        <v>1</v>
      </c>
      <c r="BD223" s="144">
        <v>1</v>
      </c>
      <c r="BE223" s="144">
        <v>1</v>
      </c>
      <c r="BF223" s="144">
        <v>1</v>
      </c>
      <c r="BG223" s="144">
        <v>1</v>
      </c>
      <c r="BH223" s="144">
        <v>1</v>
      </c>
      <c r="BI223" s="144">
        <v>0</v>
      </c>
      <c r="BJ223" s="144">
        <v>0</v>
      </c>
      <c r="BK223" s="144">
        <v>0</v>
      </c>
      <c r="BL223" s="144">
        <v>0</v>
      </c>
      <c r="BM223" s="144">
        <v>0</v>
      </c>
      <c r="BN223" s="144">
        <v>0</v>
      </c>
      <c r="BO223" s="144">
        <v>0</v>
      </c>
      <c r="BP223" s="144">
        <v>0</v>
      </c>
      <c r="BQ223" s="144">
        <v>0</v>
      </c>
      <c r="BR223" s="144">
        <v>0</v>
      </c>
      <c r="BS223" s="144">
        <v>0</v>
      </c>
      <c r="BT223" s="144">
        <v>0</v>
      </c>
      <c r="BU223" s="144">
        <v>0</v>
      </c>
      <c r="BV223" s="144">
        <v>0</v>
      </c>
      <c r="BW223" s="144">
        <v>0</v>
      </c>
      <c r="BX223" s="144">
        <v>0</v>
      </c>
      <c r="BY223" s="144">
        <v>0</v>
      </c>
      <c r="BZ223" s="144">
        <v>0</v>
      </c>
      <c r="CA223" s="144">
        <v>0</v>
      </c>
      <c r="CB223" s="144">
        <v>0</v>
      </c>
      <c r="CC223" s="144">
        <v>0</v>
      </c>
      <c r="CD223" s="144">
        <v>0</v>
      </c>
      <c r="CE223" s="144">
        <v>0</v>
      </c>
      <c r="CF223" s="144">
        <v>0</v>
      </c>
      <c r="CG223" s="144">
        <v>0</v>
      </c>
      <c r="CH223" s="144">
        <v>0</v>
      </c>
      <c r="CI223" s="144">
        <v>0</v>
      </c>
      <c r="CJ223" s="144">
        <v>0</v>
      </c>
      <c r="CK223" s="144">
        <v>0</v>
      </c>
      <c r="CL223" s="144">
        <v>0</v>
      </c>
      <c r="CM223" s="144">
        <v>0</v>
      </c>
      <c r="CN223" s="144">
        <v>0</v>
      </c>
      <c r="CO223" s="144">
        <v>0</v>
      </c>
      <c r="CP223" s="144">
        <v>0</v>
      </c>
      <c r="CQ223" s="143">
        <v>0</v>
      </c>
      <c r="CR223" s="145">
        <v>0</v>
      </c>
      <c r="CS223" s="145">
        <v>0</v>
      </c>
      <c r="CT223" s="145">
        <v>0</v>
      </c>
      <c r="CU223" s="145">
        <v>0</v>
      </c>
      <c r="CV223" s="145">
        <v>0</v>
      </c>
      <c r="CW223" s="145">
        <v>0</v>
      </c>
      <c r="CX223" s="145">
        <v>0</v>
      </c>
      <c r="CY223" s="145">
        <v>0</v>
      </c>
      <c r="CZ223" s="145">
        <v>0</v>
      </c>
      <c r="DA223" s="145">
        <v>0</v>
      </c>
      <c r="DB223" s="145">
        <v>0</v>
      </c>
      <c r="DC223" s="145">
        <v>0</v>
      </c>
      <c r="DD223" s="145">
        <v>0</v>
      </c>
      <c r="DE223" s="145">
        <v>0</v>
      </c>
      <c r="DF223" s="145">
        <v>34528.199999999997</v>
      </c>
      <c r="DG223" s="145">
        <v>25896.149999999998</v>
      </c>
      <c r="DH223" s="145">
        <v>34528.199999999997</v>
      </c>
      <c r="DI223" s="145">
        <v>34528.199999999997</v>
      </c>
      <c r="DJ223" s="145">
        <v>35561.4</v>
      </c>
      <c r="DK223" s="145">
        <v>35561.4</v>
      </c>
      <c r="DL223" s="145">
        <v>35561.4</v>
      </c>
      <c r="DM223" s="145">
        <v>35561.4</v>
      </c>
      <c r="DN223" s="145">
        <v>35561.4</v>
      </c>
      <c r="DO223" s="145">
        <v>26671.05</v>
      </c>
      <c r="DP223" s="145">
        <v>26671.05</v>
      </c>
      <c r="DQ223" s="145">
        <v>35561.4</v>
      </c>
      <c r="DR223" s="145">
        <v>35561.4</v>
      </c>
      <c r="DS223" s="145">
        <v>26671.05</v>
      </c>
      <c r="DT223" s="145">
        <v>38609.519999999997</v>
      </c>
      <c r="DU223" s="145">
        <v>38609.519999999997</v>
      </c>
      <c r="DV223" s="145">
        <v>36626.800000000003</v>
      </c>
      <c r="DW223" s="145">
        <v>36626.800000000003</v>
      </c>
      <c r="DX223" s="145">
        <v>36626.800000000003</v>
      </c>
      <c r="DY223" s="145">
        <v>36626.800000000003</v>
      </c>
      <c r="DZ223" s="145">
        <v>36626.800000000003</v>
      </c>
      <c r="EA223" s="145">
        <v>27470.100000000002</v>
      </c>
      <c r="EB223" s="145">
        <v>27470.100000000002</v>
      </c>
      <c r="EC223" s="145">
        <v>36626.800000000003</v>
      </c>
      <c r="ED223" s="145">
        <v>36626.800000000003</v>
      </c>
      <c r="EE223" s="145">
        <v>27470.100000000002</v>
      </c>
      <c r="EF223" s="145">
        <v>39766.239999999998</v>
      </c>
      <c r="EG223" s="145">
        <v>39766.239999999998</v>
      </c>
      <c r="EH223" s="145">
        <v>37724.399999999994</v>
      </c>
      <c r="EI223" s="145">
        <v>37724.399999999994</v>
      </c>
      <c r="EJ223" s="145">
        <v>37724.399999999994</v>
      </c>
      <c r="EK223" s="145">
        <v>37724.399999999994</v>
      </c>
      <c r="EL223" s="145">
        <v>37724.399999999994</v>
      </c>
      <c r="EM223" s="145">
        <v>28293.299999999996</v>
      </c>
      <c r="EN223" s="145">
        <v>28293.299999999996</v>
      </c>
      <c r="EO223" s="145">
        <v>37724.399999999994</v>
      </c>
      <c r="EP223" s="145">
        <v>0</v>
      </c>
      <c r="EQ223" s="145">
        <v>0</v>
      </c>
      <c r="ER223" s="145">
        <v>0</v>
      </c>
      <c r="ES223" s="145">
        <v>0</v>
      </c>
      <c r="ET223" s="145">
        <v>0</v>
      </c>
      <c r="EU223" s="145">
        <v>0</v>
      </c>
      <c r="EV223" s="145">
        <v>0</v>
      </c>
      <c r="EW223" s="145">
        <v>0</v>
      </c>
      <c r="EX223" s="145">
        <v>0</v>
      </c>
      <c r="EY223" s="145">
        <v>0</v>
      </c>
      <c r="EZ223" s="145">
        <v>0</v>
      </c>
      <c r="FA223" s="145">
        <v>0</v>
      </c>
      <c r="FB223" s="145">
        <v>0</v>
      </c>
      <c r="FC223" s="145">
        <v>0</v>
      </c>
      <c r="FD223" s="145">
        <v>0</v>
      </c>
      <c r="FE223" s="145">
        <v>0</v>
      </c>
      <c r="FF223" s="145">
        <v>0</v>
      </c>
      <c r="FG223" s="145">
        <v>0</v>
      </c>
      <c r="FH223" s="145">
        <v>0</v>
      </c>
      <c r="FI223" s="145">
        <v>0</v>
      </c>
      <c r="FJ223" s="145">
        <v>0</v>
      </c>
      <c r="FK223" s="145">
        <v>0</v>
      </c>
      <c r="FL223" s="145">
        <v>0</v>
      </c>
      <c r="FM223" s="145">
        <v>0</v>
      </c>
      <c r="FN223" s="145">
        <v>0</v>
      </c>
      <c r="FO223" s="145">
        <v>0</v>
      </c>
      <c r="FP223" s="145">
        <v>0</v>
      </c>
      <c r="FQ223" s="145">
        <v>0</v>
      </c>
      <c r="FR223" s="145">
        <v>0</v>
      </c>
      <c r="FS223" s="145">
        <v>0</v>
      </c>
      <c r="FT223" s="145">
        <v>0</v>
      </c>
      <c r="FU223" s="145">
        <v>0</v>
      </c>
      <c r="FV223" s="145">
        <v>0</v>
      </c>
      <c r="FW223" s="145">
        <v>0</v>
      </c>
      <c r="FX223" s="143"/>
      <c r="FY223" s="146" t="str">
        <f>_xlfn.XLOOKUP($E223,'Key assumptions'!$B$112:$B$120,'Key assumptions'!$C$112:$C$120,0)</f>
        <v>Nominal</v>
      </c>
      <c r="FZ223" s="146" cm="1">
        <f t="array" ref="FZ223">IF($FY223=0,0,_xlfn.IFS($FY223='Key assumptions'!$C$120,_xlfn.XLOOKUP(LEFT(FZ$7,6),Inflation_Year,Inflation_NominaltoReal),TRUE,_xlfn.XLOOKUP($FY223,Inflation_Year,NominaltoReal)))</f>
        <v>1.0197075870962191</v>
      </c>
      <c r="GA223" s="146" cm="1">
        <f t="array" ref="GA223">IF($FY223=0,0,_xlfn.IFS($FY223='Key assumptions'!$C$120,_xlfn.XLOOKUP(LEFT(GA$7,6),Inflation_Year,Inflation_NominaltoReal),TRUE,_xlfn.XLOOKUP($FY223,Inflation_Year,NominaltoReal)))</f>
        <v>0.98700804022984445</v>
      </c>
      <c r="GB223" s="146" cm="1">
        <f t="array" ref="GB223">IF($FY223=0,0,_xlfn.IFS($FY223='Key assumptions'!$C$120,_xlfn.XLOOKUP(LEFT(GB$7,6),Inflation_Year,Inflation_NominaltoReal),TRUE,_xlfn.XLOOKUP($FY223,Inflation_Year,NominaltoReal)))</f>
        <v>0.96152830081941731</v>
      </c>
      <c r="GC223" s="146" cm="1">
        <f t="array" ref="GC223">IF($FY223=0,0,_xlfn.IFS($FY223='Key assumptions'!$C$120,_xlfn.XLOOKUP(LEFT(GC$7,6),Inflation_Year,Inflation_NominaltoReal),TRUE,_xlfn.XLOOKUP($FY223,Inflation_Year,NominaltoReal)))</f>
        <v>0.93670632415656829</v>
      </c>
      <c r="GD223" s="146" cm="1">
        <f t="array" ref="GD223">IF($FY223=0,0,_xlfn.IFS($FY223='Key assumptions'!$C$120,_xlfn.XLOOKUP(LEFT(GD$7,6),Inflation_Year,Inflation_NominaltoReal),TRUE,_xlfn.XLOOKUP($FY223,Inflation_Year,NominaltoReal)))</f>
        <v>0.91252513001143176</v>
      </c>
      <c r="GE223" s="146" cm="1">
        <f t="array" ref="GE223">IF($FY223=0,0,_xlfn.IFS($FY223='Key assumptions'!$C$120,_xlfn.XLOOKUP(LEFT(GE$7,6),Inflation_Year,Inflation_NominaltoReal),TRUE,_xlfn.XLOOKUP($FY223,Inflation_Year,NominaltoReal)))</f>
        <v>0.88896817650095872</v>
      </c>
      <c r="GF223" s="146" cm="1">
        <f t="array" ref="GF223">IF($FY223=0,0,_xlfn.IFS($FY223='Key assumptions'!$C$120,_xlfn.XLOOKUP(LEFT(GF$7,6),Inflation_Year,Inflation_NominaltoReal),TRUE,_xlfn.XLOOKUP($FY223,Inflation_Year,NominaltoReal)))</f>
        <v>0.86601934877293718</v>
      </c>
      <c r="GG223" s="143"/>
      <c r="GH223" s="145" cm="1">
        <f t="array" ref="GH223">SUMPRODUCT(--($CR$7:$FW$7&gt;=GH$5),--($CR$7:$FW$7&lt;=GH$6),$CR223:$FW223)*FZ223</f>
        <v>240819.19132119921</v>
      </c>
      <c r="GI223" s="145" cm="1">
        <f t="array" ref="GI223">SUMPRODUCT(--($CR$7:$FW$7&gt;=GI$5),--($CR$7:$FW$7&lt;=GI$6),$CR223:$FW223)*GA223</f>
        <v>404039.82486393623</v>
      </c>
      <c r="GJ223" s="145" cm="1">
        <f t="array" ref="GJ223">SUMPRODUCT(--($CR$7:$FW$7&gt;=GJ$5),--($CR$7:$FW$7&lt;=GJ$6),$CR223:$FW223)*GB223</f>
        <v>405402.61985147937</v>
      </c>
      <c r="GK223" s="145" cm="1">
        <f t="array" ref="GK223">SUMPRODUCT(--($CR$7:$FW$7&gt;=GK$5),--($CR$7:$FW$7&lt;=GK$6),$CR223:$FW223)*GC223</f>
        <v>159015.07824755416</v>
      </c>
      <c r="GL223" s="145" cm="1">
        <f t="array" ref="GL223">SUMPRODUCT(--($CR$7:$FW$7&gt;=GL$5),--($CR$7:$FW$7&lt;=GL$6),$CR223:$FW223)*GD223</f>
        <v>0</v>
      </c>
      <c r="GM223" s="145" cm="1">
        <f t="array" ref="GM223">SUMPRODUCT(--($CR$7:$FW$7&gt;=GM$5),--($CR$7:$FW$7&lt;=GM$6),$CR223:$FW223)*GE223</f>
        <v>0</v>
      </c>
      <c r="GN223" s="145" cm="1">
        <f t="array" ref="GN223">SUMPRODUCT(--($CR$7:$FW$7&gt;=GN$5),--($CR$7:$FW$7&lt;=GN$6),$CR223:$FW223)*GF223</f>
        <v>0</v>
      </c>
      <c r="GO223" s="145">
        <f t="shared" si="69"/>
        <v>1209276.714284169</v>
      </c>
      <c r="GP223" s="87"/>
      <c r="GR223" s="145" cm="1">
        <f t="array" ref="GR223">SUMPRODUCT(--($CR$7:$FW$7&gt;=GR$5),--($CR$7:$FW$7&lt;=GR$6),$CR223:$FW223)</f>
        <v>129480.74999999999</v>
      </c>
      <c r="GT223" s="214" cm="1">
        <f t="array" ref="GT223">--AND(MIN(IF($K223:$CP223&lt;&gt;0,$K$7:$CP$7))&gt;=GT$5,MIN(IF($K223:$CP223&lt;&gt;0,$K$7:$CP$7))&lt;=GT$6)</f>
        <v>1</v>
      </c>
      <c r="GU223" s="214" cm="1">
        <f t="array" ref="GU223">--AND(MIN(IF($K223:$CP223&lt;&gt;0,$K$7:$CP$7))&gt;=GU$5,MIN(IF($K223:$CP223&lt;&gt;0,$K$7:$CP$7))&lt;=GU$6)</f>
        <v>0</v>
      </c>
      <c r="GV223" s="214" cm="1">
        <f t="array" ref="GV223">--AND(MIN(IF($K223:$CP223&lt;&gt;0,$K$7:$CP$7))&gt;=GV$5,MIN(IF($K223:$CP223&lt;&gt;0,$K$7:$CP$7))&lt;=GV$6)</f>
        <v>0</v>
      </c>
      <c r="GW223" s="214" cm="1">
        <f t="array" ref="GW223">--AND(MIN(IF($K223:$CP223&lt;&gt;0,$K$7:$CP$7))&gt;=GW$5,MIN(IF($K223:$CP223&lt;&gt;0,$K$7:$CP$7))&lt;=GW$6)</f>
        <v>0</v>
      </c>
      <c r="GX223" s="214" cm="1">
        <f t="array" ref="GX223">--AND(MIN(IF($K223:$CP223&lt;&gt;0,$K$7:$CP$7))&gt;=GX$5,MIN(IF($K223:$CP223&lt;&gt;0,$K$7:$CP$7))&lt;=GX$6)</f>
        <v>0</v>
      </c>
      <c r="GY223" s="214" cm="1">
        <f t="array" ref="GY223">--AND(MIN(IF($K223:$CP223&lt;&gt;0,$K$7:$CP$7))&gt;=GY$5,MIN(IF($K223:$CP223&lt;&gt;0,$K$7:$CP$7))&lt;=GY$6)</f>
        <v>0</v>
      </c>
      <c r="GZ223" s="214" cm="1">
        <f t="array" ref="GZ223">--AND(MIN(IF($K223:$CP223&lt;&gt;0,$K$7:$CP$7))&gt;=GZ$5,MIN(IF($K223:$CP223&lt;&gt;0,$K$7:$CP$7))&lt;=GZ$6)</f>
        <v>0</v>
      </c>
      <c r="HA223" s="214">
        <f t="shared" si="70"/>
        <v>1</v>
      </c>
      <c r="HC223" s="214" cm="1">
        <f t="array" ref="HC223">--AND(MIN(IF($K223:$CP223&lt;&gt;0,$K$7:$CP$7))&gt;=HC$5,MIN(IF($K223:$CP223&lt;&gt;0,$K$7:$CP$7))&lt;=HC$6)</f>
        <v>1</v>
      </c>
      <c r="HE223" s="147" t="str">
        <f t="shared" si="89"/>
        <v>Yes</v>
      </c>
      <c r="HF223" s="147" t="str">
        <f t="shared" si="90"/>
        <v>No</v>
      </c>
      <c r="HG223" s="147">
        <f>IF($HF223="Yes",0,$H223*avg_hrs*12*'Key assumptions'!$D$87)</f>
        <v>454238.21110356261</v>
      </c>
      <c r="HH223" s="147">
        <f>IF(HE223="Yes",'Key assumptions'!$D$84*HG223,0)</f>
        <v>68135.731665534389</v>
      </c>
      <c r="HI223" s="144">
        <f>IFERROR(AVERAGEIFS($K223:$CP223,$K$7:$CP$7,"&gt;="&amp;'Key assumptions'!$D$24,$K$7:$CP$7,"&lt;="&amp;'Key assumptions'!$D$25),0)</f>
        <v>0.81459330143540665</v>
      </c>
      <c r="HJ223" s="148">
        <f t="shared" si="91"/>
        <v>55502.910603144635</v>
      </c>
      <c r="HK223" s="148">
        <f t="shared" si="72"/>
        <v>55502.910603144635</v>
      </c>
      <c r="HL223" s="148">
        <f t="shared" si="73"/>
        <v>0</v>
      </c>
      <c r="HM223" s="148">
        <f t="shared" si="74"/>
        <v>0</v>
      </c>
      <c r="HN223" s="148">
        <f t="shared" si="75"/>
        <v>0</v>
      </c>
      <c r="HO223" s="148">
        <f t="shared" si="76"/>
        <v>0</v>
      </c>
      <c r="HP223" s="148">
        <f t="shared" si="77"/>
        <v>0</v>
      </c>
      <c r="HQ223" s="148">
        <f t="shared" si="78"/>
        <v>0</v>
      </c>
      <c r="HR223" s="147">
        <f t="shared" si="79"/>
        <v>55502.910603144635</v>
      </c>
      <c r="HU223" s="147">
        <f>$HJ223*HC223/(1+'Key assumptions'!G245)^0.75</f>
        <v>55502.910603144635</v>
      </c>
      <c r="HW223" s="216">
        <f t="shared" si="80"/>
        <v>0.81459330143540665</v>
      </c>
      <c r="HX223" s="216">
        <f t="shared" si="81"/>
        <v>0</v>
      </c>
      <c r="HY223" s="216">
        <f t="shared" si="82"/>
        <v>0</v>
      </c>
      <c r="HZ223" s="216">
        <f t="shared" si="83"/>
        <v>0</v>
      </c>
      <c r="IA223" s="216">
        <f t="shared" si="84"/>
        <v>0</v>
      </c>
      <c r="IB223" s="216">
        <f t="shared" si="85"/>
        <v>0</v>
      </c>
      <c r="IC223" s="216">
        <f t="shared" si="86"/>
        <v>0</v>
      </c>
      <c r="ID223" s="216">
        <f t="shared" si="87"/>
        <v>0.81459330143540665</v>
      </c>
      <c r="IF223" s="216">
        <f t="shared" si="88"/>
        <v>0.81459330143540665</v>
      </c>
    </row>
    <row r="224" spans="2:240" x14ac:dyDescent="0.2">
      <c r="B224" s="141" t="str">
        <v>Project Delivery Management - Project Management</v>
      </c>
      <c r="C224" s="141" t="str">
        <v>Project Engineer (Network Projects)</v>
      </c>
      <c r="D224" s="141" t="str">
        <v>Internal Labour</v>
      </c>
      <c r="E224" s="141" t="str">
        <v>$ Nominal</v>
      </c>
      <c r="F224" s="141" t="str">
        <v>New</v>
      </c>
      <c r="G224" s="141" t="str">
        <v>Normal time</v>
      </c>
      <c r="H224" s="142">
        <v>202.73</v>
      </c>
      <c r="I224" s="126">
        <v>997195.80000000016</v>
      </c>
      <c r="J224" s="143">
        <v>0</v>
      </c>
      <c r="K224" s="144">
        <v>0</v>
      </c>
      <c r="L224" s="144">
        <v>0</v>
      </c>
      <c r="M224" s="144">
        <v>0</v>
      </c>
      <c r="N224" s="144">
        <v>0</v>
      </c>
      <c r="O224" s="144">
        <v>0</v>
      </c>
      <c r="P224" s="144">
        <v>0</v>
      </c>
      <c r="Q224" s="144">
        <v>0</v>
      </c>
      <c r="R224" s="144">
        <v>0</v>
      </c>
      <c r="S224" s="144">
        <v>0</v>
      </c>
      <c r="T224" s="144">
        <v>0</v>
      </c>
      <c r="U224" s="144">
        <v>0</v>
      </c>
      <c r="V224" s="144">
        <v>0</v>
      </c>
      <c r="W224" s="144">
        <v>0</v>
      </c>
      <c r="X224" s="144">
        <v>0</v>
      </c>
      <c r="Y224" s="144">
        <v>1</v>
      </c>
      <c r="Z224" s="144">
        <v>1</v>
      </c>
      <c r="AA224" s="144">
        <v>0.92105263157894735</v>
      </c>
      <c r="AB224" s="144">
        <v>0.92105263157894735</v>
      </c>
      <c r="AC224" s="144">
        <v>1</v>
      </c>
      <c r="AD224" s="144">
        <v>1</v>
      </c>
      <c r="AE224" s="144">
        <v>1</v>
      </c>
      <c r="AF224" s="144">
        <v>1</v>
      </c>
      <c r="AG224" s="144">
        <v>1</v>
      </c>
      <c r="AH224" s="144">
        <v>1</v>
      </c>
      <c r="AI224" s="144">
        <v>1</v>
      </c>
      <c r="AJ224" s="144">
        <v>1</v>
      </c>
      <c r="AK224" s="144">
        <v>1</v>
      </c>
      <c r="AL224" s="144">
        <v>1</v>
      </c>
      <c r="AM224" s="144">
        <v>1</v>
      </c>
      <c r="AN224" s="144">
        <v>1</v>
      </c>
      <c r="AO224" s="144">
        <v>1</v>
      </c>
      <c r="AP224" s="144">
        <v>1</v>
      </c>
      <c r="AQ224" s="144">
        <v>1</v>
      </c>
      <c r="AR224" s="144">
        <v>1</v>
      </c>
      <c r="AS224" s="144">
        <v>1</v>
      </c>
      <c r="AT224" s="144">
        <v>1</v>
      </c>
      <c r="AU224" s="144">
        <v>1</v>
      </c>
      <c r="AV224" s="144">
        <v>1</v>
      </c>
      <c r="AW224" s="144">
        <v>1</v>
      </c>
      <c r="AX224" s="144">
        <v>1</v>
      </c>
      <c r="AY224" s="144">
        <v>1</v>
      </c>
      <c r="AZ224" s="144">
        <v>1</v>
      </c>
      <c r="BA224" s="144">
        <v>1</v>
      </c>
      <c r="BB224" s="144">
        <v>1</v>
      </c>
      <c r="BC224" s="144">
        <v>1</v>
      </c>
      <c r="BD224" s="144">
        <v>1</v>
      </c>
      <c r="BE224" s="144">
        <v>1</v>
      </c>
      <c r="BF224" s="144">
        <v>1</v>
      </c>
      <c r="BG224" s="144">
        <v>1</v>
      </c>
      <c r="BH224" s="144">
        <v>1</v>
      </c>
      <c r="BI224" s="144">
        <v>0</v>
      </c>
      <c r="BJ224" s="144">
        <v>0</v>
      </c>
      <c r="BK224" s="144">
        <v>0</v>
      </c>
      <c r="BL224" s="144">
        <v>0</v>
      </c>
      <c r="BM224" s="144">
        <v>0</v>
      </c>
      <c r="BN224" s="144">
        <v>0</v>
      </c>
      <c r="BO224" s="144">
        <v>0</v>
      </c>
      <c r="BP224" s="144">
        <v>0</v>
      </c>
      <c r="BQ224" s="144">
        <v>0</v>
      </c>
      <c r="BR224" s="144">
        <v>0</v>
      </c>
      <c r="BS224" s="144">
        <v>0</v>
      </c>
      <c r="BT224" s="144">
        <v>0</v>
      </c>
      <c r="BU224" s="144">
        <v>0</v>
      </c>
      <c r="BV224" s="144">
        <v>0</v>
      </c>
      <c r="BW224" s="144">
        <v>0</v>
      </c>
      <c r="BX224" s="144">
        <v>0</v>
      </c>
      <c r="BY224" s="144">
        <v>0</v>
      </c>
      <c r="BZ224" s="144">
        <v>0</v>
      </c>
      <c r="CA224" s="144">
        <v>0</v>
      </c>
      <c r="CB224" s="144">
        <v>0</v>
      </c>
      <c r="CC224" s="144">
        <v>0</v>
      </c>
      <c r="CD224" s="144">
        <v>0</v>
      </c>
      <c r="CE224" s="144">
        <v>0</v>
      </c>
      <c r="CF224" s="144">
        <v>0</v>
      </c>
      <c r="CG224" s="144">
        <v>0</v>
      </c>
      <c r="CH224" s="144">
        <v>0</v>
      </c>
      <c r="CI224" s="144">
        <v>0</v>
      </c>
      <c r="CJ224" s="144">
        <v>0</v>
      </c>
      <c r="CK224" s="144">
        <v>0</v>
      </c>
      <c r="CL224" s="144">
        <v>0</v>
      </c>
      <c r="CM224" s="144">
        <v>0</v>
      </c>
      <c r="CN224" s="144">
        <v>0</v>
      </c>
      <c r="CO224" s="144">
        <v>0</v>
      </c>
      <c r="CP224" s="144">
        <v>0</v>
      </c>
      <c r="CQ224" s="143">
        <v>0</v>
      </c>
      <c r="CR224" s="145">
        <v>0</v>
      </c>
      <c r="CS224" s="145">
        <v>0</v>
      </c>
      <c r="CT224" s="145">
        <v>0</v>
      </c>
      <c r="CU224" s="145">
        <v>0</v>
      </c>
      <c r="CV224" s="145">
        <v>0</v>
      </c>
      <c r="CW224" s="145">
        <v>0</v>
      </c>
      <c r="CX224" s="145">
        <v>0</v>
      </c>
      <c r="CY224" s="145">
        <v>0</v>
      </c>
      <c r="CZ224" s="145">
        <v>0</v>
      </c>
      <c r="DA224" s="145">
        <v>0</v>
      </c>
      <c r="DB224" s="145">
        <v>0</v>
      </c>
      <c r="DC224" s="145">
        <v>0</v>
      </c>
      <c r="DD224" s="145">
        <v>0</v>
      </c>
      <c r="DE224" s="145">
        <v>0</v>
      </c>
      <c r="DF224" s="145">
        <v>28382.199999999997</v>
      </c>
      <c r="DG224" s="145">
        <v>21286.649999999998</v>
      </c>
      <c r="DH224" s="145">
        <v>28382.199999999997</v>
      </c>
      <c r="DI224" s="145">
        <v>28382.199999999997</v>
      </c>
      <c r="DJ224" s="145">
        <v>28382.199999999997</v>
      </c>
      <c r="DK224" s="145">
        <v>28382.199999999997</v>
      </c>
      <c r="DL224" s="145">
        <v>28382.199999999997</v>
      </c>
      <c r="DM224" s="145">
        <v>28382.199999999997</v>
      </c>
      <c r="DN224" s="145">
        <v>28382.199999999997</v>
      </c>
      <c r="DO224" s="145">
        <v>21286.649999999998</v>
      </c>
      <c r="DP224" s="145">
        <v>21286.649999999998</v>
      </c>
      <c r="DQ224" s="145">
        <v>28382.199999999997</v>
      </c>
      <c r="DR224" s="145">
        <v>29244.6</v>
      </c>
      <c r="DS224" s="145">
        <v>21933.449999999997</v>
      </c>
      <c r="DT224" s="145">
        <v>31751.279999999999</v>
      </c>
      <c r="DU224" s="145">
        <v>31751.279999999999</v>
      </c>
      <c r="DV224" s="145">
        <v>29244.6</v>
      </c>
      <c r="DW224" s="145">
        <v>29244.6</v>
      </c>
      <c r="DX224" s="145">
        <v>29244.6</v>
      </c>
      <c r="DY224" s="145">
        <v>29244.6</v>
      </c>
      <c r="DZ224" s="145">
        <v>29244.6</v>
      </c>
      <c r="EA224" s="145">
        <v>21933.449999999997</v>
      </c>
      <c r="EB224" s="145">
        <v>21933.449999999997</v>
      </c>
      <c r="EC224" s="145">
        <v>29244.6</v>
      </c>
      <c r="ED224" s="145">
        <v>30108.400000000001</v>
      </c>
      <c r="EE224" s="145">
        <v>22581.3</v>
      </c>
      <c r="EF224" s="145">
        <v>32689.119999999999</v>
      </c>
      <c r="EG224" s="145">
        <v>32689.119999999999</v>
      </c>
      <c r="EH224" s="145">
        <v>30108.400000000001</v>
      </c>
      <c r="EI224" s="145">
        <v>30108.400000000001</v>
      </c>
      <c r="EJ224" s="145">
        <v>30108.400000000001</v>
      </c>
      <c r="EK224" s="145">
        <v>30108.400000000001</v>
      </c>
      <c r="EL224" s="145">
        <v>30108.400000000001</v>
      </c>
      <c r="EM224" s="145">
        <v>22581.300000000003</v>
      </c>
      <c r="EN224" s="145">
        <v>22581.300000000003</v>
      </c>
      <c r="EO224" s="145">
        <v>30108.400000000001</v>
      </c>
      <c r="EP224" s="145">
        <v>0</v>
      </c>
      <c r="EQ224" s="145">
        <v>0</v>
      </c>
      <c r="ER224" s="145">
        <v>0</v>
      </c>
      <c r="ES224" s="145">
        <v>0</v>
      </c>
      <c r="ET224" s="145">
        <v>0</v>
      </c>
      <c r="EU224" s="145">
        <v>0</v>
      </c>
      <c r="EV224" s="145">
        <v>0</v>
      </c>
      <c r="EW224" s="145">
        <v>0</v>
      </c>
      <c r="EX224" s="145">
        <v>0</v>
      </c>
      <c r="EY224" s="145">
        <v>0</v>
      </c>
      <c r="EZ224" s="145">
        <v>0</v>
      </c>
      <c r="FA224" s="145">
        <v>0</v>
      </c>
      <c r="FB224" s="145">
        <v>0</v>
      </c>
      <c r="FC224" s="145">
        <v>0</v>
      </c>
      <c r="FD224" s="145">
        <v>0</v>
      </c>
      <c r="FE224" s="145">
        <v>0</v>
      </c>
      <c r="FF224" s="145">
        <v>0</v>
      </c>
      <c r="FG224" s="145">
        <v>0</v>
      </c>
      <c r="FH224" s="145">
        <v>0</v>
      </c>
      <c r="FI224" s="145">
        <v>0</v>
      </c>
      <c r="FJ224" s="145">
        <v>0</v>
      </c>
      <c r="FK224" s="145">
        <v>0</v>
      </c>
      <c r="FL224" s="145">
        <v>0</v>
      </c>
      <c r="FM224" s="145">
        <v>0</v>
      </c>
      <c r="FN224" s="145">
        <v>0</v>
      </c>
      <c r="FO224" s="145">
        <v>0</v>
      </c>
      <c r="FP224" s="145">
        <v>0</v>
      </c>
      <c r="FQ224" s="145">
        <v>0</v>
      </c>
      <c r="FR224" s="145">
        <v>0</v>
      </c>
      <c r="FS224" s="145">
        <v>0</v>
      </c>
      <c r="FT224" s="145">
        <v>0</v>
      </c>
      <c r="FU224" s="145">
        <v>0</v>
      </c>
      <c r="FV224" s="145">
        <v>0</v>
      </c>
      <c r="FW224" s="145">
        <v>0</v>
      </c>
      <c r="FX224" s="143"/>
      <c r="FY224" s="146" t="str">
        <f>_xlfn.XLOOKUP($E224,'Key assumptions'!$B$112:$B$120,'Key assumptions'!$C$112:$C$120,0)</f>
        <v>Nominal</v>
      </c>
      <c r="FZ224" s="146" cm="1">
        <f t="array" ref="FZ224">IF($FY224=0,0,_xlfn.IFS($FY224='Key assumptions'!$C$120,_xlfn.XLOOKUP(LEFT(FZ$7,6),Inflation_Year,Inflation_NominaltoReal),TRUE,_xlfn.XLOOKUP($FY224,Inflation_Year,NominaltoReal)))</f>
        <v>1.0197075870962191</v>
      </c>
      <c r="GA224" s="146" cm="1">
        <f t="array" ref="GA224">IF($FY224=0,0,_xlfn.IFS($FY224='Key assumptions'!$C$120,_xlfn.XLOOKUP(LEFT(GA$7,6),Inflation_Year,Inflation_NominaltoReal),TRUE,_xlfn.XLOOKUP($FY224,Inflation_Year,NominaltoReal)))</f>
        <v>0.98700804022984445</v>
      </c>
      <c r="GB224" s="146" cm="1">
        <f t="array" ref="GB224">IF($FY224=0,0,_xlfn.IFS($FY224='Key assumptions'!$C$120,_xlfn.XLOOKUP(LEFT(GB$7,6),Inflation_Year,Inflation_NominaltoReal),TRUE,_xlfn.XLOOKUP($FY224,Inflation_Year,NominaltoReal)))</f>
        <v>0.96152830081941731</v>
      </c>
      <c r="GC224" s="146" cm="1">
        <f t="array" ref="GC224">IF($FY224=0,0,_xlfn.IFS($FY224='Key assumptions'!$C$120,_xlfn.XLOOKUP(LEFT(GC$7,6),Inflation_Year,Inflation_NominaltoReal),TRUE,_xlfn.XLOOKUP($FY224,Inflation_Year,NominaltoReal)))</f>
        <v>0.93670632415656829</v>
      </c>
      <c r="GD224" s="146" cm="1">
        <f t="array" ref="GD224">IF($FY224=0,0,_xlfn.IFS($FY224='Key assumptions'!$C$120,_xlfn.XLOOKUP(LEFT(GD$7,6),Inflation_Year,Inflation_NominaltoReal),TRUE,_xlfn.XLOOKUP($FY224,Inflation_Year,NominaltoReal)))</f>
        <v>0.91252513001143176</v>
      </c>
      <c r="GE224" s="146" cm="1">
        <f t="array" ref="GE224">IF($FY224=0,0,_xlfn.IFS($FY224='Key assumptions'!$C$120,_xlfn.XLOOKUP(LEFT(GE$7,6),Inflation_Year,Inflation_NominaltoReal),TRUE,_xlfn.XLOOKUP($FY224,Inflation_Year,NominaltoReal)))</f>
        <v>0.88896817650095872</v>
      </c>
      <c r="GF224" s="146" cm="1">
        <f t="array" ref="GF224">IF($FY224=0,0,_xlfn.IFS($FY224='Key assumptions'!$C$120,_xlfn.XLOOKUP(LEFT(GF$7,6),Inflation_Year,Inflation_NominaltoReal),TRUE,_xlfn.XLOOKUP($FY224,Inflation_Year,NominaltoReal)))</f>
        <v>0.86601934877293718</v>
      </c>
      <c r="GG224" s="143"/>
      <c r="GH224" s="145" cm="1">
        <f t="array" ref="GH224">SUMPRODUCT(--($CR$7:$FW$7&gt;=GH$5),--($CR$7:$FW$7&lt;=GH$6),$CR224:$FW224)*FZ224</f>
        <v>195355.42657975556</v>
      </c>
      <c r="GI224" s="145" cm="1">
        <f t="array" ref="GI224">SUMPRODUCT(--($CR$7:$FW$7&gt;=GI$5),--($CR$7:$FW$7&lt;=GI$6),$CR224:$FW224)*GA224</f>
        <v>325845.21832573181</v>
      </c>
      <c r="GJ224" s="145" cm="1">
        <f t="array" ref="GJ224">SUMPRODUCT(--($CR$7:$FW$7&gt;=GJ$5),--($CR$7:$FW$7&lt;=GJ$6),$CR224:$FW224)*GB224</f>
        <v>326913.69926426886</v>
      </c>
      <c r="GK224" s="145" cm="1">
        <f t="array" ref="GK224">SUMPRODUCT(--($CR$7:$FW$7&gt;=GK$5),--($CR$7:$FW$7&lt;=GK$6),$CR224:$FW224)*GC224</f>
        <v>126912.2791060603</v>
      </c>
      <c r="GL224" s="145" cm="1">
        <f t="array" ref="GL224">SUMPRODUCT(--($CR$7:$FW$7&gt;=GL$5),--($CR$7:$FW$7&lt;=GL$6),$CR224:$FW224)*GD224</f>
        <v>0</v>
      </c>
      <c r="GM224" s="145" cm="1">
        <f t="array" ref="GM224">SUMPRODUCT(--($CR$7:$FW$7&gt;=GM$5),--($CR$7:$FW$7&lt;=GM$6),$CR224:$FW224)*GE224</f>
        <v>0</v>
      </c>
      <c r="GN224" s="145" cm="1">
        <f t="array" ref="GN224">SUMPRODUCT(--($CR$7:$FW$7&gt;=GN$5),--($CR$7:$FW$7&lt;=GN$6),$CR224:$FW224)*GF224</f>
        <v>0</v>
      </c>
      <c r="GO224" s="145">
        <f t="shared" si="69"/>
        <v>975026.62327581644</v>
      </c>
      <c r="GP224" s="87"/>
      <c r="GR224" s="145" cm="1">
        <f t="array" ref="GR224">SUMPRODUCT(--($CR$7:$FW$7&gt;=GR$5),--($CR$7:$FW$7&lt;=GR$6),$CR224:$FW224)</f>
        <v>106433.24999999999</v>
      </c>
      <c r="GT224" s="214" cm="1">
        <f t="array" ref="GT224">--AND(MIN(IF($K224:$CP224&lt;&gt;0,$K$7:$CP$7))&gt;=GT$5,MIN(IF($K224:$CP224&lt;&gt;0,$K$7:$CP$7))&lt;=GT$6)</f>
        <v>1</v>
      </c>
      <c r="GU224" s="214" cm="1">
        <f t="array" ref="GU224">--AND(MIN(IF($K224:$CP224&lt;&gt;0,$K$7:$CP$7))&gt;=GU$5,MIN(IF($K224:$CP224&lt;&gt;0,$K$7:$CP$7))&lt;=GU$6)</f>
        <v>0</v>
      </c>
      <c r="GV224" s="214" cm="1">
        <f t="array" ref="GV224">--AND(MIN(IF($K224:$CP224&lt;&gt;0,$K$7:$CP$7))&gt;=GV$5,MIN(IF($K224:$CP224&lt;&gt;0,$K$7:$CP$7))&lt;=GV$6)</f>
        <v>0</v>
      </c>
      <c r="GW224" s="214" cm="1">
        <f t="array" ref="GW224">--AND(MIN(IF($K224:$CP224&lt;&gt;0,$K$7:$CP$7))&gt;=GW$5,MIN(IF($K224:$CP224&lt;&gt;0,$K$7:$CP$7))&lt;=GW$6)</f>
        <v>0</v>
      </c>
      <c r="GX224" s="214" cm="1">
        <f t="array" ref="GX224">--AND(MIN(IF($K224:$CP224&lt;&gt;0,$K$7:$CP$7))&gt;=GX$5,MIN(IF($K224:$CP224&lt;&gt;0,$K$7:$CP$7))&lt;=GX$6)</f>
        <v>0</v>
      </c>
      <c r="GY224" s="214" cm="1">
        <f t="array" ref="GY224">--AND(MIN(IF($K224:$CP224&lt;&gt;0,$K$7:$CP$7))&gt;=GY$5,MIN(IF($K224:$CP224&lt;&gt;0,$K$7:$CP$7))&lt;=GY$6)</f>
        <v>0</v>
      </c>
      <c r="GZ224" s="214" cm="1">
        <f t="array" ref="GZ224">--AND(MIN(IF($K224:$CP224&lt;&gt;0,$K$7:$CP$7))&gt;=GZ$5,MIN(IF($K224:$CP224&lt;&gt;0,$K$7:$CP$7))&lt;=GZ$6)</f>
        <v>0</v>
      </c>
      <c r="HA224" s="214">
        <f t="shared" si="70"/>
        <v>1</v>
      </c>
      <c r="HC224" s="214" cm="1">
        <f t="array" ref="HC224">--AND(MIN(IF($K224:$CP224&lt;&gt;0,$K$7:$CP$7))&gt;=HC$5,MIN(IF($K224:$CP224&lt;&gt;0,$K$7:$CP$7))&lt;=HC$6)</f>
        <v>1</v>
      </c>
      <c r="HE224" s="147" t="str">
        <f t="shared" si="89"/>
        <v>Yes</v>
      </c>
      <c r="HF224" s="147" t="str">
        <f t="shared" si="90"/>
        <v>No</v>
      </c>
      <c r="HG224" s="147">
        <f>IF($HF224="Yes",0,$H224*avg_hrs*12*'Key assumptions'!$D$87)</f>
        <v>362535.77629630821</v>
      </c>
      <c r="HH224" s="147">
        <f>IF(HE224="Yes",'Key assumptions'!$D$84*HG224,0)</f>
        <v>54380.366444446227</v>
      </c>
      <c r="HI224" s="144">
        <f>IFERROR(AVERAGEIFS($K224:$CP224,$K$7:$CP$7,"&gt;="&amp;'Key assumptions'!$D$24,$K$7:$CP$7,"&lt;="&amp;'Key assumptions'!$D$25),0)</f>
        <v>0.81459330143540665</v>
      </c>
      <c r="HJ224" s="148">
        <f t="shared" si="91"/>
        <v>44297.88223524866</v>
      </c>
      <c r="HK224" s="148">
        <f t="shared" si="72"/>
        <v>44297.88223524866</v>
      </c>
      <c r="HL224" s="148">
        <f t="shared" si="73"/>
        <v>0</v>
      </c>
      <c r="HM224" s="148">
        <f t="shared" si="74"/>
        <v>0</v>
      </c>
      <c r="HN224" s="148">
        <f t="shared" si="75"/>
        <v>0</v>
      </c>
      <c r="HO224" s="148">
        <f t="shared" si="76"/>
        <v>0</v>
      </c>
      <c r="HP224" s="148">
        <f t="shared" si="77"/>
        <v>0</v>
      </c>
      <c r="HQ224" s="148">
        <f t="shared" si="78"/>
        <v>0</v>
      </c>
      <c r="HR224" s="147">
        <f t="shared" si="79"/>
        <v>44297.88223524866</v>
      </c>
      <c r="HU224" s="147">
        <f>$HJ224*HC224/(1+'Key assumptions'!G246)^0.75</f>
        <v>44297.88223524866</v>
      </c>
      <c r="HW224" s="216">
        <f t="shared" si="80"/>
        <v>0.81459330143540665</v>
      </c>
      <c r="HX224" s="216">
        <f t="shared" si="81"/>
        <v>0</v>
      </c>
      <c r="HY224" s="216">
        <f t="shared" si="82"/>
        <v>0</v>
      </c>
      <c r="HZ224" s="216">
        <f t="shared" si="83"/>
        <v>0</v>
      </c>
      <c r="IA224" s="216">
        <f t="shared" si="84"/>
        <v>0</v>
      </c>
      <c r="IB224" s="216">
        <f t="shared" si="85"/>
        <v>0</v>
      </c>
      <c r="IC224" s="216">
        <f t="shared" si="86"/>
        <v>0</v>
      </c>
      <c r="ID224" s="216">
        <f t="shared" si="87"/>
        <v>0.81459330143540665</v>
      </c>
      <c r="IF224" s="216">
        <f t="shared" si="88"/>
        <v>0.81459330143540665</v>
      </c>
    </row>
    <row r="225" spans="2:240" x14ac:dyDescent="0.2">
      <c r="B225" s="141" t="str">
        <v>Project Delivery Management - Commercial Management</v>
      </c>
      <c r="C225" s="141" t="str">
        <v>Contract Manager - Senior (Commercial)</v>
      </c>
      <c r="D225" s="141" t="str">
        <v>Internal Labour</v>
      </c>
      <c r="E225" s="141" t="str">
        <v>$ Nominal</v>
      </c>
      <c r="F225" s="141" t="str">
        <v>New</v>
      </c>
      <c r="G225" s="141" t="str">
        <v>Normal time</v>
      </c>
      <c r="H225" s="142">
        <v>333.23</v>
      </c>
      <c r="I225" s="126">
        <v>1622978.7000000002</v>
      </c>
      <c r="J225" s="143">
        <v>0</v>
      </c>
      <c r="K225" s="144">
        <v>0</v>
      </c>
      <c r="L225" s="144">
        <v>0</v>
      </c>
      <c r="M225" s="144">
        <v>0</v>
      </c>
      <c r="N225" s="144">
        <v>0</v>
      </c>
      <c r="O225" s="144">
        <v>0</v>
      </c>
      <c r="P225" s="144">
        <v>0</v>
      </c>
      <c r="Q225" s="144">
        <v>0</v>
      </c>
      <c r="R225" s="144">
        <v>0</v>
      </c>
      <c r="S225" s="144">
        <v>0</v>
      </c>
      <c r="T225" s="144">
        <v>0</v>
      </c>
      <c r="U225" s="144">
        <v>0</v>
      </c>
      <c r="V225" s="144">
        <v>0</v>
      </c>
      <c r="W225" s="144">
        <v>0</v>
      </c>
      <c r="X225" s="144">
        <v>0</v>
      </c>
      <c r="Y225" s="144">
        <v>1</v>
      </c>
      <c r="Z225" s="144">
        <v>1</v>
      </c>
      <c r="AA225" s="144">
        <v>0.92105263157894735</v>
      </c>
      <c r="AB225" s="144">
        <v>0.92105263157894735</v>
      </c>
      <c r="AC225" s="144">
        <v>1</v>
      </c>
      <c r="AD225" s="144">
        <v>1</v>
      </c>
      <c r="AE225" s="144">
        <v>1</v>
      </c>
      <c r="AF225" s="144">
        <v>1</v>
      </c>
      <c r="AG225" s="144">
        <v>1</v>
      </c>
      <c r="AH225" s="144">
        <v>1</v>
      </c>
      <c r="AI225" s="144">
        <v>1</v>
      </c>
      <c r="AJ225" s="144">
        <v>1</v>
      </c>
      <c r="AK225" s="144">
        <v>1</v>
      </c>
      <c r="AL225" s="144">
        <v>1</v>
      </c>
      <c r="AM225" s="144">
        <v>1</v>
      </c>
      <c r="AN225" s="144">
        <v>1</v>
      </c>
      <c r="AO225" s="144">
        <v>1</v>
      </c>
      <c r="AP225" s="144">
        <v>1</v>
      </c>
      <c r="AQ225" s="144">
        <v>1</v>
      </c>
      <c r="AR225" s="144">
        <v>1</v>
      </c>
      <c r="AS225" s="144">
        <v>1</v>
      </c>
      <c r="AT225" s="144">
        <v>1</v>
      </c>
      <c r="AU225" s="144">
        <v>1</v>
      </c>
      <c r="AV225" s="144">
        <v>1</v>
      </c>
      <c r="AW225" s="144">
        <v>1</v>
      </c>
      <c r="AX225" s="144">
        <v>1</v>
      </c>
      <c r="AY225" s="144">
        <v>1</v>
      </c>
      <c r="AZ225" s="144">
        <v>1</v>
      </c>
      <c r="BA225" s="144">
        <v>1</v>
      </c>
      <c r="BB225" s="144">
        <v>1</v>
      </c>
      <c r="BC225" s="144">
        <v>1</v>
      </c>
      <c r="BD225" s="144">
        <v>1</v>
      </c>
      <c r="BE225" s="144">
        <v>1</v>
      </c>
      <c r="BF225" s="144">
        <v>1</v>
      </c>
      <c r="BG225" s="144">
        <v>1</v>
      </c>
      <c r="BH225" s="144">
        <v>1</v>
      </c>
      <c r="BI225" s="144">
        <v>0</v>
      </c>
      <c r="BJ225" s="144">
        <v>0</v>
      </c>
      <c r="BK225" s="144">
        <v>0</v>
      </c>
      <c r="BL225" s="144">
        <v>0</v>
      </c>
      <c r="BM225" s="144">
        <v>0</v>
      </c>
      <c r="BN225" s="144">
        <v>0</v>
      </c>
      <c r="BO225" s="144">
        <v>0</v>
      </c>
      <c r="BP225" s="144">
        <v>0</v>
      </c>
      <c r="BQ225" s="144">
        <v>0</v>
      </c>
      <c r="BR225" s="144">
        <v>0</v>
      </c>
      <c r="BS225" s="144">
        <v>0</v>
      </c>
      <c r="BT225" s="144">
        <v>0</v>
      </c>
      <c r="BU225" s="144">
        <v>0</v>
      </c>
      <c r="BV225" s="144">
        <v>0</v>
      </c>
      <c r="BW225" s="144">
        <v>0</v>
      </c>
      <c r="BX225" s="144">
        <v>0</v>
      </c>
      <c r="BY225" s="144">
        <v>0</v>
      </c>
      <c r="BZ225" s="144">
        <v>0</v>
      </c>
      <c r="CA225" s="144">
        <v>0</v>
      </c>
      <c r="CB225" s="144">
        <v>0</v>
      </c>
      <c r="CC225" s="144">
        <v>0</v>
      </c>
      <c r="CD225" s="144">
        <v>0</v>
      </c>
      <c r="CE225" s="144">
        <v>0</v>
      </c>
      <c r="CF225" s="144">
        <v>0</v>
      </c>
      <c r="CG225" s="144">
        <v>0</v>
      </c>
      <c r="CH225" s="144">
        <v>0</v>
      </c>
      <c r="CI225" s="144">
        <v>0</v>
      </c>
      <c r="CJ225" s="144">
        <v>0</v>
      </c>
      <c r="CK225" s="144">
        <v>0</v>
      </c>
      <c r="CL225" s="144">
        <v>0</v>
      </c>
      <c r="CM225" s="144">
        <v>0</v>
      </c>
      <c r="CN225" s="144">
        <v>0</v>
      </c>
      <c r="CO225" s="144">
        <v>0</v>
      </c>
      <c r="CP225" s="144">
        <v>0</v>
      </c>
      <c r="CQ225" s="143">
        <v>0</v>
      </c>
      <c r="CR225" s="145">
        <v>0</v>
      </c>
      <c r="CS225" s="145">
        <v>0</v>
      </c>
      <c r="CT225" s="145">
        <v>0</v>
      </c>
      <c r="CU225" s="145">
        <v>0</v>
      </c>
      <c r="CV225" s="145">
        <v>0</v>
      </c>
      <c r="CW225" s="145">
        <v>0</v>
      </c>
      <c r="CX225" s="145">
        <v>0</v>
      </c>
      <c r="CY225" s="145">
        <v>0</v>
      </c>
      <c r="CZ225" s="145">
        <v>0</v>
      </c>
      <c r="DA225" s="145">
        <v>0</v>
      </c>
      <c r="DB225" s="145">
        <v>0</v>
      </c>
      <c r="DC225" s="145">
        <v>0</v>
      </c>
      <c r="DD225" s="145">
        <v>0</v>
      </c>
      <c r="DE225" s="145">
        <v>0</v>
      </c>
      <c r="DF225" s="145">
        <v>45305.4</v>
      </c>
      <c r="DG225" s="145">
        <v>33979.050000000003</v>
      </c>
      <c r="DH225" s="145">
        <v>45305.4</v>
      </c>
      <c r="DI225" s="145">
        <v>45305.4</v>
      </c>
      <c r="DJ225" s="145">
        <v>46653.599999999999</v>
      </c>
      <c r="DK225" s="145">
        <v>46653.599999999999</v>
      </c>
      <c r="DL225" s="145">
        <v>46653.599999999999</v>
      </c>
      <c r="DM225" s="145">
        <v>46653.599999999999</v>
      </c>
      <c r="DN225" s="145">
        <v>46653.599999999999</v>
      </c>
      <c r="DO225" s="145">
        <v>34990.200000000004</v>
      </c>
      <c r="DP225" s="145">
        <v>34990.200000000004</v>
      </c>
      <c r="DQ225" s="145">
        <v>46653.599999999999</v>
      </c>
      <c r="DR225" s="145">
        <v>46653.599999999999</v>
      </c>
      <c r="DS225" s="145">
        <v>34990.200000000004</v>
      </c>
      <c r="DT225" s="145">
        <v>50652.480000000003</v>
      </c>
      <c r="DU225" s="145">
        <v>50652.480000000003</v>
      </c>
      <c r="DV225" s="145">
        <v>48063.4</v>
      </c>
      <c r="DW225" s="145">
        <v>48063.4</v>
      </c>
      <c r="DX225" s="145">
        <v>48063.4</v>
      </c>
      <c r="DY225" s="145">
        <v>48063.4</v>
      </c>
      <c r="DZ225" s="145">
        <v>48063.4</v>
      </c>
      <c r="EA225" s="145">
        <v>36047.550000000003</v>
      </c>
      <c r="EB225" s="145">
        <v>36047.550000000003</v>
      </c>
      <c r="EC225" s="145">
        <v>48063.4</v>
      </c>
      <c r="ED225" s="145">
        <v>48063.4</v>
      </c>
      <c r="EE225" s="145">
        <v>36047.550000000003</v>
      </c>
      <c r="EF225" s="145">
        <v>52183.12</v>
      </c>
      <c r="EG225" s="145">
        <v>52183.12</v>
      </c>
      <c r="EH225" s="145">
        <v>49504</v>
      </c>
      <c r="EI225" s="145">
        <v>49504</v>
      </c>
      <c r="EJ225" s="145">
        <v>49504</v>
      </c>
      <c r="EK225" s="145">
        <v>49504</v>
      </c>
      <c r="EL225" s="145">
        <v>49504</v>
      </c>
      <c r="EM225" s="145">
        <v>37128</v>
      </c>
      <c r="EN225" s="145">
        <v>37128</v>
      </c>
      <c r="EO225" s="145">
        <v>49504</v>
      </c>
      <c r="EP225" s="145">
        <v>0</v>
      </c>
      <c r="EQ225" s="145">
        <v>0</v>
      </c>
      <c r="ER225" s="145">
        <v>0</v>
      </c>
      <c r="ES225" s="145">
        <v>0</v>
      </c>
      <c r="ET225" s="145">
        <v>0</v>
      </c>
      <c r="EU225" s="145">
        <v>0</v>
      </c>
      <c r="EV225" s="145">
        <v>0</v>
      </c>
      <c r="EW225" s="145">
        <v>0</v>
      </c>
      <c r="EX225" s="145">
        <v>0</v>
      </c>
      <c r="EY225" s="145">
        <v>0</v>
      </c>
      <c r="EZ225" s="145">
        <v>0</v>
      </c>
      <c r="FA225" s="145">
        <v>0</v>
      </c>
      <c r="FB225" s="145">
        <v>0</v>
      </c>
      <c r="FC225" s="145">
        <v>0</v>
      </c>
      <c r="FD225" s="145">
        <v>0</v>
      </c>
      <c r="FE225" s="145">
        <v>0</v>
      </c>
      <c r="FF225" s="145">
        <v>0</v>
      </c>
      <c r="FG225" s="145">
        <v>0</v>
      </c>
      <c r="FH225" s="145">
        <v>0</v>
      </c>
      <c r="FI225" s="145">
        <v>0</v>
      </c>
      <c r="FJ225" s="145">
        <v>0</v>
      </c>
      <c r="FK225" s="145">
        <v>0</v>
      </c>
      <c r="FL225" s="145">
        <v>0</v>
      </c>
      <c r="FM225" s="145">
        <v>0</v>
      </c>
      <c r="FN225" s="145">
        <v>0</v>
      </c>
      <c r="FO225" s="145">
        <v>0</v>
      </c>
      <c r="FP225" s="145">
        <v>0</v>
      </c>
      <c r="FQ225" s="145">
        <v>0</v>
      </c>
      <c r="FR225" s="145">
        <v>0</v>
      </c>
      <c r="FS225" s="145">
        <v>0</v>
      </c>
      <c r="FT225" s="145">
        <v>0</v>
      </c>
      <c r="FU225" s="145">
        <v>0</v>
      </c>
      <c r="FV225" s="145">
        <v>0</v>
      </c>
      <c r="FW225" s="145">
        <v>0</v>
      </c>
      <c r="FX225" s="143"/>
      <c r="FY225" s="146" t="str">
        <f>_xlfn.XLOOKUP($E225,'Key assumptions'!$B$112:$B$120,'Key assumptions'!$C$112:$C$120,0)</f>
        <v>Nominal</v>
      </c>
      <c r="FZ225" s="146" cm="1">
        <f t="array" ref="FZ225">IF($FY225=0,0,_xlfn.IFS($FY225='Key assumptions'!$C$120,_xlfn.XLOOKUP(LEFT(FZ$7,6),Inflation_Year,Inflation_NominaltoReal),TRUE,_xlfn.XLOOKUP($FY225,Inflation_Year,NominaltoReal)))</f>
        <v>1.0197075870962191</v>
      </c>
      <c r="GA225" s="146" cm="1">
        <f t="array" ref="GA225">IF($FY225=0,0,_xlfn.IFS($FY225='Key assumptions'!$C$120,_xlfn.XLOOKUP(LEFT(GA$7,6),Inflation_Year,Inflation_NominaltoReal),TRUE,_xlfn.XLOOKUP($FY225,Inflation_Year,NominaltoReal)))</f>
        <v>0.98700804022984445</v>
      </c>
      <c r="GB225" s="146" cm="1">
        <f t="array" ref="GB225">IF($FY225=0,0,_xlfn.IFS($FY225='Key assumptions'!$C$120,_xlfn.XLOOKUP(LEFT(GB$7,6),Inflation_Year,Inflation_NominaltoReal),TRUE,_xlfn.XLOOKUP($FY225,Inflation_Year,NominaltoReal)))</f>
        <v>0.96152830081941731</v>
      </c>
      <c r="GC225" s="146" cm="1">
        <f t="array" ref="GC225">IF($FY225=0,0,_xlfn.IFS($FY225='Key assumptions'!$C$120,_xlfn.XLOOKUP(LEFT(GC$7,6),Inflation_Year,Inflation_NominaltoReal),TRUE,_xlfn.XLOOKUP($FY225,Inflation_Year,NominaltoReal)))</f>
        <v>0.93670632415656829</v>
      </c>
      <c r="GD225" s="146" cm="1">
        <f t="array" ref="GD225">IF($FY225=0,0,_xlfn.IFS($FY225='Key assumptions'!$C$120,_xlfn.XLOOKUP(LEFT(GD$7,6),Inflation_Year,Inflation_NominaltoReal),TRUE,_xlfn.XLOOKUP($FY225,Inflation_Year,NominaltoReal)))</f>
        <v>0.91252513001143176</v>
      </c>
      <c r="GE225" s="146" cm="1">
        <f t="array" ref="GE225">IF($FY225=0,0,_xlfn.IFS($FY225='Key assumptions'!$C$120,_xlfn.XLOOKUP(LEFT(GE$7,6),Inflation_Year,Inflation_NominaltoReal),TRUE,_xlfn.XLOOKUP($FY225,Inflation_Year,NominaltoReal)))</f>
        <v>0.88896817650095872</v>
      </c>
      <c r="GF225" s="146" cm="1">
        <f t="array" ref="GF225">IF($FY225=0,0,_xlfn.IFS($FY225='Key assumptions'!$C$120,_xlfn.XLOOKUP(LEFT(GF$7,6),Inflation_Year,Inflation_NominaltoReal),TRUE,_xlfn.XLOOKUP($FY225,Inflation_Year,NominaltoReal)))</f>
        <v>0.86601934877293718</v>
      </c>
      <c r="GG225" s="143"/>
      <c r="GH225" s="145" cm="1">
        <f t="array" ref="GH225">SUMPRODUCT(--($CR$7:$FW$7&gt;=GH$5),--($CR$7:$FW$7&lt;=GH$6),$CR225:$FW225)*FZ225</f>
        <v>315962.56509266543</v>
      </c>
      <c r="GI225" s="145" cm="1">
        <f t="array" ref="GI225">SUMPRODUCT(--($CR$7:$FW$7&gt;=GI$5),--($CR$7:$FW$7&lt;=GI$6),$CR225:$FW225)*GA225</f>
        <v>530102.4361679313</v>
      </c>
      <c r="GJ225" s="145" cm="1">
        <f t="array" ref="GJ225">SUMPRODUCT(--($CR$7:$FW$7&gt;=GJ$5),--($CR$7:$FW$7&lt;=GJ$6),$CR225:$FW225)*GB225</f>
        <v>531989.08025642973</v>
      </c>
      <c r="GK225" s="145" cm="1">
        <f t="array" ref="GK225">SUMPRODUCT(--($CR$7:$FW$7&gt;=GK$5),--($CR$7:$FW$7&lt;=GK$6),$CR225:$FW225)*GC225</f>
        <v>208668.1944197104</v>
      </c>
      <c r="GL225" s="145" cm="1">
        <f t="array" ref="GL225">SUMPRODUCT(--($CR$7:$FW$7&gt;=GL$5),--($CR$7:$FW$7&lt;=GL$6),$CR225:$FW225)*GD225</f>
        <v>0</v>
      </c>
      <c r="GM225" s="145" cm="1">
        <f t="array" ref="GM225">SUMPRODUCT(--($CR$7:$FW$7&gt;=GM$5),--($CR$7:$FW$7&lt;=GM$6),$CR225:$FW225)*GE225</f>
        <v>0</v>
      </c>
      <c r="GN225" s="145" cm="1">
        <f t="array" ref="GN225">SUMPRODUCT(--($CR$7:$FW$7&gt;=GN$5),--($CR$7:$FW$7&lt;=GN$6),$CR225:$FW225)*GF225</f>
        <v>0</v>
      </c>
      <c r="GO225" s="145">
        <f t="shared" si="69"/>
        <v>1586722.275936737</v>
      </c>
      <c r="GP225" s="87"/>
      <c r="GR225" s="145" cm="1">
        <f t="array" ref="GR225">SUMPRODUCT(--($CR$7:$FW$7&gt;=GR$5),--($CR$7:$FW$7&lt;=GR$6),$CR225:$FW225)</f>
        <v>169895.25</v>
      </c>
      <c r="GT225" s="214" cm="1">
        <f t="array" ref="GT225">--AND(MIN(IF($K225:$CP225&lt;&gt;0,$K$7:$CP$7))&gt;=GT$5,MIN(IF($K225:$CP225&lt;&gt;0,$K$7:$CP$7))&lt;=GT$6)</f>
        <v>1</v>
      </c>
      <c r="GU225" s="214" cm="1">
        <f t="array" ref="GU225">--AND(MIN(IF($K225:$CP225&lt;&gt;0,$K$7:$CP$7))&gt;=GU$5,MIN(IF($K225:$CP225&lt;&gt;0,$K$7:$CP$7))&lt;=GU$6)</f>
        <v>0</v>
      </c>
      <c r="GV225" s="214" cm="1">
        <f t="array" ref="GV225">--AND(MIN(IF($K225:$CP225&lt;&gt;0,$K$7:$CP$7))&gt;=GV$5,MIN(IF($K225:$CP225&lt;&gt;0,$K$7:$CP$7))&lt;=GV$6)</f>
        <v>0</v>
      </c>
      <c r="GW225" s="214" cm="1">
        <f t="array" ref="GW225">--AND(MIN(IF($K225:$CP225&lt;&gt;0,$K$7:$CP$7))&gt;=GW$5,MIN(IF($K225:$CP225&lt;&gt;0,$K$7:$CP$7))&lt;=GW$6)</f>
        <v>0</v>
      </c>
      <c r="GX225" s="214" cm="1">
        <f t="array" ref="GX225">--AND(MIN(IF($K225:$CP225&lt;&gt;0,$K$7:$CP$7))&gt;=GX$5,MIN(IF($K225:$CP225&lt;&gt;0,$K$7:$CP$7))&lt;=GX$6)</f>
        <v>0</v>
      </c>
      <c r="GY225" s="214" cm="1">
        <f t="array" ref="GY225">--AND(MIN(IF($K225:$CP225&lt;&gt;0,$K$7:$CP$7))&gt;=GY$5,MIN(IF($K225:$CP225&lt;&gt;0,$K$7:$CP$7))&lt;=GY$6)</f>
        <v>0</v>
      </c>
      <c r="GZ225" s="214" cm="1">
        <f t="array" ref="GZ225">--AND(MIN(IF($K225:$CP225&lt;&gt;0,$K$7:$CP$7))&gt;=GZ$5,MIN(IF($K225:$CP225&lt;&gt;0,$K$7:$CP$7))&lt;=GZ$6)</f>
        <v>0</v>
      </c>
      <c r="HA225" s="214">
        <f t="shared" si="70"/>
        <v>1</v>
      </c>
      <c r="HC225" s="214" cm="1">
        <f t="array" ref="HC225">--AND(MIN(IF($K225:$CP225&lt;&gt;0,$K$7:$CP$7))&gt;=HC$5,MIN(IF($K225:$CP225&lt;&gt;0,$K$7:$CP$7))&lt;=HC$6)</f>
        <v>1</v>
      </c>
      <c r="HE225" s="147" t="str">
        <f t="shared" si="89"/>
        <v>Yes</v>
      </c>
      <c r="HF225" s="147" t="str">
        <f t="shared" si="90"/>
        <v>No</v>
      </c>
      <c r="HG225" s="147">
        <f>IF($HF225="Yes",0,$H225*avg_hrs*12*'Key assumptions'!$D$87)</f>
        <v>595904.88203629851</v>
      </c>
      <c r="HH225" s="147">
        <f>IF(HE225="Yes",'Key assumptions'!$D$84*HG225,0)</f>
        <v>89385.732305444777</v>
      </c>
      <c r="HI225" s="144">
        <f>IFERROR(AVERAGEIFS($K225:$CP225,$K$7:$CP$7,"&gt;="&amp;'Key assumptions'!$D$24,$K$7:$CP$7,"&lt;="&amp;'Key assumptions'!$D$25),0)</f>
        <v>0.81459330143540665</v>
      </c>
      <c r="HJ225" s="148">
        <f t="shared" si="91"/>
        <v>72813.018779913749</v>
      </c>
      <c r="HK225" s="148">
        <f t="shared" si="72"/>
        <v>72813.018779913749</v>
      </c>
      <c r="HL225" s="148">
        <f t="shared" si="73"/>
        <v>0</v>
      </c>
      <c r="HM225" s="148">
        <f t="shared" si="74"/>
        <v>0</v>
      </c>
      <c r="HN225" s="148">
        <f t="shared" si="75"/>
        <v>0</v>
      </c>
      <c r="HO225" s="148">
        <f t="shared" si="76"/>
        <v>0</v>
      </c>
      <c r="HP225" s="148">
        <f t="shared" si="77"/>
        <v>0</v>
      </c>
      <c r="HQ225" s="148">
        <f t="shared" si="78"/>
        <v>0</v>
      </c>
      <c r="HR225" s="147">
        <f t="shared" si="79"/>
        <v>72813.018779913749</v>
      </c>
      <c r="HU225" s="147">
        <f>$HJ225*HC225/(1+'Key assumptions'!G247)^0.75</f>
        <v>72813.018779913749</v>
      </c>
      <c r="HW225" s="216">
        <f t="shared" si="80"/>
        <v>0.81459330143540665</v>
      </c>
      <c r="HX225" s="216">
        <f t="shared" si="81"/>
        <v>0</v>
      </c>
      <c r="HY225" s="216">
        <f t="shared" si="82"/>
        <v>0</v>
      </c>
      <c r="HZ225" s="216">
        <f t="shared" si="83"/>
        <v>0</v>
      </c>
      <c r="IA225" s="216">
        <f t="shared" si="84"/>
        <v>0</v>
      </c>
      <c r="IB225" s="216">
        <f t="shared" si="85"/>
        <v>0</v>
      </c>
      <c r="IC225" s="216">
        <f t="shared" si="86"/>
        <v>0</v>
      </c>
      <c r="ID225" s="216">
        <f t="shared" si="87"/>
        <v>0.81459330143540665</v>
      </c>
      <c r="IF225" s="216">
        <f t="shared" si="88"/>
        <v>0.81459330143540665</v>
      </c>
    </row>
    <row r="226" spans="2:240" x14ac:dyDescent="0.2">
      <c r="B226" s="141" t="str">
        <v>Project Delivery Management - Commercial Management</v>
      </c>
      <c r="C226" s="141" t="str">
        <v>Contract Administrator (Commercial)</v>
      </c>
      <c r="D226" s="141" t="str">
        <v>Internal Labour</v>
      </c>
      <c r="E226" s="141" t="str">
        <v>$ Nominal</v>
      </c>
      <c r="F226" s="141" t="str">
        <v>New</v>
      </c>
      <c r="G226" s="141" t="str">
        <v>Normal time</v>
      </c>
      <c r="H226" s="142">
        <v>202.73</v>
      </c>
      <c r="I226" s="126">
        <v>997195.80000000016</v>
      </c>
      <c r="J226" s="143">
        <v>0</v>
      </c>
      <c r="K226" s="144">
        <v>0</v>
      </c>
      <c r="L226" s="144">
        <v>0</v>
      </c>
      <c r="M226" s="144">
        <v>0</v>
      </c>
      <c r="N226" s="144">
        <v>0</v>
      </c>
      <c r="O226" s="144">
        <v>0</v>
      </c>
      <c r="P226" s="144">
        <v>0</v>
      </c>
      <c r="Q226" s="144">
        <v>0</v>
      </c>
      <c r="R226" s="144">
        <v>0</v>
      </c>
      <c r="S226" s="144">
        <v>0</v>
      </c>
      <c r="T226" s="144">
        <v>0</v>
      </c>
      <c r="U226" s="144">
        <v>0</v>
      </c>
      <c r="V226" s="144">
        <v>0</v>
      </c>
      <c r="W226" s="144">
        <v>0</v>
      </c>
      <c r="X226" s="144">
        <v>0</v>
      </c>
      <c r="Y226" s="144">
        <v>1</v>
      </c>
      <c r="Z226" s="144">
        <v>1</v>
      </c>
      <c r="AA226" s="144">
        <v>0.92105263157894735</v>
      </c>
      <c r="AB226" s="144">
        <v>0.92105263157894735</v>
      </c>
      <c r="AC226" s="144">
        <v>1</v>
      </c>
      <c r="AD226" s="144">
        <v>1</v>
      </c>
      <c r="AE226" s="144">
        <v>1</v>
      </c>
      <c r="AF226" s="144">
        <v>1</v>
      </c>
      <c r="AG226" s="144">
        <v>1</v>
      </c>
      <c r="AH226" s="144">
        <v>1</v>
      </c>
      <c r="AI226" s="144">
        <v>1</v>
      </c>
      <c r="AJ226" s="144">
        <v>1</v>
      </c>
      <c r="AK226" s="144">
        <v>1</v>
      </c>
      <c r="AL226" s="144">
        <v>1</v>
      </c>
      <c r="AM226" s="144">
        <v>1</v>
      </c>
      <c r="AN226" s="144">
        <v>1</v>
      </c>
      <c r="AO226" s="144">
        <v>1</v>
      </c>
      <c r="AP226" s="144">
        <v>1</v>
      </c>
      <c r="AQ226" s="144">
        <v>1</v>
      </c>
      <c r="AR226" s="144">
        <v>1</v>
      </c>
      <c r="AS226" s="144">
        <v>1</v>
      </c>
      <c r="AT226" s="144">
        <v>1</v>
      </c>
      <c r="AU226" s="144">
        <v>1</v>
      </c>
      <c r="AV226" s="144">
        <v>1</v>
      </c>
      <c r="AW226" s="144">
        <v>1</v>
      </c>
      <c r="AX226" s="144">
        <v>1</v>
      </c>
      <c r="AY226" s="144">
        <v>1</v>
      </c>
      <c r="AZ226" s="144">
        <v>1</v>
      </c>
      <c r="BA226" s="144">
        <v>1</v>
      </c>
      <c r="BB226" s="144">
        <v>1</v>
      </c>
      <c r="BC226" s="144">
        <v>1</v>
      </c>
      <c r="BD226" s="144">
        <v>1</v>
      </c>
      <c r="BE226" s="144">
        <v>1</v>
      </c>
      <c r="BF226" s="144">
        <v>1</v>
      </c>
      <c r="BG226" s="144">
        <v>1</v>
      </c>
      <c r="BH226" s="144">
        <v>1</v>
      </c>
      <c r="BI226" s="144">
        <v>0</v>
      </c>
      <c r="BJ226" s="144">
        <v>0</v>
      </c>
      <c r="BK226" s="144">
        <v>0</v>
      </c>
      <c r="BL226" s="144">
        <v>0</v>
      </c>
      <c r="BM226" s="144">
        <v>0</v>
      </c>
      <c r="BN226" s="144">
        <v>0</v>
      </c>
      <c r="BO226" s="144">
        <v>0</v>
      </c>
      <c r="BP226" s="144">
        <v>0</v>
      </c>
      <c r="BQ226" s="144">
        <v>0</v>
      </c>
      <c r="BR226" s="144">
        <v>0</v>
      </c>
      <c r="BS226" s="144">
        <v>0</v>
      </c>
      <c r="BT226" s="144">
        <v>0</v>
      </c>
      <c r="BU226" s="144">
        <v>0</v>
      </c>
      <c r="BV226" s="144">
        <v>0</v>
      </c>
      <c r="BW226" s="144">
        <v>0</v>
      </c>
      <c r="BX226" s="144">
        <v>0</v>
      </c>
      <c r="BY226" s="144">
        <v>0</v>
      </c>
      <c r="BZ226" s="144">
        <v>0</v>
      </c>
      <c r="CA226" s="144">
        <v>0</v>
      </c>
      <c r="CB226" s="144">
        <v>0</v>
      </c>
      <c r="CC226" s="144">
        <v>0</v>
      </c>
      <c r="CD226" s="144">
        <v>0</v>
      </c>
      <c r="CE226" s="144">
        <v>0</v>
      </c>
      <c r="CF226" s="144">
        <v>0</v>
      </c>
      <c r="CG226" s="144">
        <v>0</v>
      </c>
      <c r="CH226" s="144">
        <v>0</v>
      </c>
      <c r="CI226" s="144">
        <v>0</v>
      </c>
      <c r="CJ226" s="144">
        <v>0</v>
      </c>
      <c r="CK226" s="144">
        <v>0</v>
      </c>
      <c r="CL226" s="144">
        <v>0</v>
      </c>
      <c r="CM226" s="144">
        <v>0</v>
      </c>
      <c r="CN226" s="144">
        <v>0</v>
      </c>
      <c r="CO226" s="144">
        <v>0</v>
      </c>
      <c r="CP226" s="144">
        <v>0</v>
      </c>
      <c r="CQ226" s="143">
        <v>0</v>
      </c>
      <c r="CR226" s="145">
        <v>0</v>
      </c>
      <c r="CS226" s="145">
        <v>0</v>
      </c>
      <c r="CT226" s="145">
        <v>0</v>
      </c>
      <c r="CU226" s="145">
        <v>0</v>
      </c>
      <c r="CV226" s="145">
        <v>0</v>
      </c>
      <c r="CW226" s="145">
        <v>0</v>
      </c>
      <c r="CX226" s="145">
        <v>0</v>
      </c>
      <c r="CY226" s="145">
        <v>0</v>
      </c>
      <c r="CZ226" s="145">
        <v>0</v>
      </c>
      <c r="DA226" s="145">
        <v>0</v>
      </c>
      <c r="DB226" s="145">
        <v>0</v>
      </c>
      <c r="DC226" s="145">
        <v>0</v>
      </c>
      <c r="DD226" s="145">
        <v>0</v>
      </c>
      <c r="DE226" s="145">
        <v>0</v>
      </c>
      <c r="DF226" s="145">
        <v>28382.199999999997</v>
      </c>
      <c r="DG226" s="145">
        <v>21286.649999999998</v>
      </c>
      <c r="DH226" s="145">
        <v>28382.199999999997</v>
      </c>
      <c r="DI226" s="145">
        <v>28382.199999999997</v>
      </c>
      <c r="DJ226" s="145">
        <v>28382.199999999997</v>
      </c>
      <c r="DK226" s="145">
        <v>28382.199999999997</v>
      </c>
      <c r="DL226" s="145">
        <v>28382.199999999997</v>
      </c>
      <c r="DM226" s="145">
        <v>28382.199999999997</v>
      </c>
      <c r="DN226" s="145">
        <v>28382.199999999997</v>
      </c>
      <c r="DO226" s="145">
        <v>21286.649999999998</v>
      </c>
      <c r="DP226" s="145">
        <v>21286.649999999998</v>
      </c>
      <c r="DQ226" s="145">
        <v>28382.199999999997</v>
      </c>
      <c r="DR226" s="145">
        <v>29244.6</v>
      </c>
      <c r="DS226" s="145">
        <v>21933.449999999997</v>
      </c>
      <c r="DT226" s="145">
        <v>31751.279999999999</v>
      </c>
      <c r="DU226" s="145">
        <v>31751.279999999999</v>
      </c>
      <c r="DV226" s="145">
        <v>29244.6</v>
      </c>
      <c r="DW226" s="145">
        <v>29244.6</v>
      </c>
      <c r="DX226" s="145">
        <v>29244.6</v>
      </c>
      <c r="DY226" s="145">
        <v>29244.6</v>
      </c>
      <c r="DZ226" s="145">
        <v>29244.6</v>
      </c>
      <c r="EA226" s="145">
        <v>21933.449999999997</v>
      </c>
      <c r="EB226" s="145">
        <v>21933.449999999997</v>
      </c>
      <c r="EC226" s="145">
        <v>29244.6</v>
      </c>
      <c r="ED226" s="145">
        <v>30108.400000000001</v>
      </c>
      <c r="EE226" s="145">
        <v>22581.3</v>
      </c>
      <c r="EF226" s="145">
        <v>32689.119999999999</v>
      </c>
      <c r="EG226" s="145">
        <v>32689.119999999999</v>
      </c>
      <c r="EH226" s="145">
        <v>30108.400000000001</v>
      </c>
      <c r="EI226" s="145">
        <v>30108.400000000001</v>
      </c>
      <c r="EJ226" s="145">
        <v>30108.400000000001</v>
      </c>
      <c r="EK226" s="145">
        <v>30108.400000000001</v>
      </c>
      <c r="EL226" s="145">
        <v>30108.400000000001</v>
      </c>
      <c r="EM226" s="145">
        <v>22581.300000000003</v>
      </c>
      <c r="EN226" s="145">
        <v>22581.300000000003</v>
      </c>
      <c r="EO226" s="145">
        <v>30108.400000000001</v>
      </c>
      <c r="EP226" s="145">
        <v>0</v>
      </c>
      <c r="EQ226" s="145">
        <v>0</v>
      </c>
      <c r="ER226" s="145">
        <v>0</v>
      </c>
      <c r="ES226" s="145">
        <v>0</v>
      </c>
      <c r="ET226" s="145">
        <v>0</v>
      </c>
      <c r="EU226" s="145">
        <v>0</v>
      </c>
      <c r="EV226" s="145">
        <v>0</v>
      </c>
      <c r="EW226" s="145">
        <v>0</v>
      </c>
      <c r="EX226" s="145">
        <v>0</v>
      </c>
      <c r="EY226" s="145">
        <v>0</v>
      </c>
      <c r="EZ226" s="145">
        <v>0</v>
      </c>
      <c r="FA226" s="145">
        <v>0</v>
      </c>
      <c r="FB226" s="145">
        <v>0</v>
      </c>
      <c r="FC226" s="145">
        <v>0</v>
      </c>
      <c r="FD226" s="145">
        <v>0</v>
      </c>
      <c r="FE226" s="145">
        <v>0</v>
      </c>
      <c r="FF226" s="145">
        <v>0</v>
      </c>
      <c r="FG226" s="145">
        <v>0</v>
      </c>
      <c r="FH226" s="145">
        <v>0</v>
      </c>
      <c r="FI226" s="145">
        <v>0</v>
      </c>
      <c r="FJ226" s="145">
        <v>0</v>
      </c>
      <c r="FK226" s="145">
        <v>0</v>
      </c>
      <c r="FL226" s="145">
        <v>0</v>
      </c>
      <c r="FM226" s="145">
        <v>0</v>
      </c>
      <c r="FN226" s="145">
        <v>0</v>
      </c>
      <c r="FO226" s="145">
        <v>0</v>
      </c>
      <c r="FP226" s="145">
        <v>0</v>
      </c>
      <c r="FQ226" s="145">
        <v>0</v>
      </c>
      <c r="FR226" s="145">
        <v>0</v>
      </c>
      <c r="FS226" s="145">
        <v>0</v>
      </c>
      <c r="FT226" s="145">
        <v>0</v>
      </c>
      <c r="FU226" s="145">
        <v>0</v>
      </c>
      <c r="FV226" s="145">
        <v>0</v>
      </c>
      <c r="FW226" s="145">
        <v>0</v>
      </c>
      <c r="FX226" s="143"/>
      <c r="FY226" s="146" t="str">
        <f>_xlfn.XLOOKUP($E226,'Key assumptions'!$B$112:$B$120,'Key assumptions'!$C$112:$C$120,0)</f>
        <v>Nominal</v>
      </c>
      <c r="FZ226" s="146" cm="1">
        <f t="array" ref="FZ226">IF($FY226=0,0,_xlfn.IFS($FY226='Key assumptions'!$C$120,_xlfn.XLOOKUP(LEFT(FZ$7,6),Inflation_Year,Inflation_NominaltoReal),TRUE,_xlfn.XLOOKUP($FY226,Inflation_Year,NominaltoReal)))</f>
        <v>1.0197075870962191</v>
      </c>
      <c r="GA226" s="146" cm="1">
        <f t="array" ref="GA226">IF($FY226=0,0,_xlfn.IFS($FY226='Key assumptions'!$C$120,_xlfn.XLOOKUP(LEFT(GA$7,6),Inflation_Year,Inflation_NominaltoReal),TRUE,_xlfn.XLOOKUP($FY226,Inflation_Year,NominaltoReal)))</f>
        <v>0.98700804022984445</v>
      </c>
      <c r="GB226" s="146" cm="1">
        <f t="array" ref="GB226">IF($FY226=0,0,_xlfn.IFS($FY226='Key assumptions'!$C$120,_xlfn.XLOOKUP(LEFT(GB$7,6),Inflation_Year,Inflation_NominaltoReal),TRUE,_xlfn.XLOOKUP($FY226,Inflation_Year,NominaltoReal)))</f>
        <v>0.96152830081941731</v>
      </c>
      <c r="GC226" s="146" cm="1">
        <f t="array" ref="GC226">IF($FY226=0,0,_xlfn.IFS($FY226='Key assumptions'!$C$120,_xlfn.XLOOKUP(LEFT(GC$7,6),Inflation_Year,Inflation_NominaltoReal),TRUE,_xlfn.XLOOKUP($FY226,Inflation_Year,NominaltoReal)))</f>
        <v>0.93670632415656829</v>
      </c>
      <c r="GD226" s="146" cm="1">
        <f t="array" ref="GD226">IF($FY226=0,0,_xlfn.IFS($FY226='Key assumptions'!$C$120,_xlfn.XLOOKUP(LEFT(GD$7,6),Inflation_Year,Inflation_NominaltoReal),TRUE,_xlfn.XLOOKUP($FY226,Inflation_Year,NominaltoReal)))</f>
        <v>0.91252513001143176</v>
      </c>
      <c r="GE226" s="146" cm="1">
        <f t="array" ref="GE226">IF($FY226=0,0,_xlfn.IFS($FY226='Key assumptions'!$C$120,_xlfn.XLOOKUP(LEFT(GE$7,6),Inflation_Year,Inflation_NominaltoReal),TRUE,_xlfn.XLOOKUP($FY226,Inflation_Year,NominaltoReal)))</f>
        <v>0.88896817650095872</v>
      </c>
      <c r="GF226" s="146" cm="1">
        <f t="array" ref="GF226">IF($FY226=0,0,_xlfn.IFS($FY226='Key assumptions'!$C$120,_xlfn.XLOOKUP(LEFT(GF$7,6),Inflation_Year,Inflation_NominaltoReal),TRUE,_xlfn.XLOOKUP($FY226,Inflation_Year,NominaltoReal)))</f>
        <v>0.86601934877293718</v>
      </c>
      <c r="GG226" s="143"/>
      <c r="GH226" s="145" cm="1">
        <f t="array" ref="GH226">SUMPRODUCT(--($CR$7:$FW$7&gt;=GH$5),--($CR$7:$FW$7&lt;=GH$6),$CR226:$FW226)*FZ226</f>
        <v>195355.42657975556</v>
      </c>
      <c r="GI226" s="145" cm="1">
        <f t="array" ref="GI226">SUMPRODUCT(--($CR$7:$FW$7&gt;=GI$5),--($CR$7:$FW$7&lt;=GI$6),$CR226:$FW226)*GA226</f>
        <v>325845.21832573181</v>
      </c>
      <c r="GJ226" s="145" cm="1">
        <f t="array" ref="GJ226">SUMPRODUCT(--($CR$7:$FW$7&gt;=GJ$5),--($CR$7:$FW$7&lt;=GJ$6),$CR226:$FW226)*GB226</f>
        <v>326913.69926426886</v>
      </c>
      <c r="GK226" s="145" cm="1">
        <f t="array" ref="GK226">SUMPRODUCT(--($CR$7:$FW$7&gt;=GK$5),--($CR$7:$FW$7&lt;=GK$6),$CR226:$FW226)*GC226</f>
        <v>126912.2791060603</v>
      </c>
      <c r="GL226" s="145" cm="1">
        <f t="array" ref="GL226">SUMPRODUCT(--($CR$7:$FW$7&gt;=GL$5),--($CR$7:$FW$7&lt;=GL$6),$CR226:$FW226)*GD226</f>
        <v>0</v>
      </c>
      <c r="GM226" s="145" cm="1">
        <f t="array" ref="GM226">SUMPRODUCT(--($CR$7:$FW$7&gt;=GM$5),--($CR$7:$FW$7&lt;=GM$6),$CR226:$FW226)*GE226</f>
        <v>0</v>
      </c>
      <c r="GN226" s="145" cm="1">
        <f t="array" ref="GN226">SUMPRODUCT(--($CR$7:$FW$7&gt;=GN$5),--($CR$7:$FW$7&lt;=GN$6),$CR226:$FW226)*GF226</f>
        <v>0</v>
      </c>
      <c r="GO226" s="145">
        <f t="shared" si="69"/>
        <v>975026.62327581644</v>
      </c>
      <c r="GP226" s="87"/>
      <c r="GR226" s="145" cm="1">
        <f t="array" ref="GR226">SUMPRODUCT(--($CR$7:$FW$7&gt;=GR$5),--($CR$7:$FW$7&lt;=GR$6),$CR226:$FW226)</f>
        <v>106433.24999999999</v>
      </c>
      <c r="GT226" s="214" cm="1">
        <f t="array" ref="GT226">--AND(MIN(IF($K226:$CP226&lt;&gt;0,$K$7:$CP$7))&gt;=GT$5,MIN(IF($K226:$CP226&lt;&gt;0,$K$7:$CP$7))&lt;=GT$6)</f>
        <v>1</v>
      </c>
      <c r="GU226" s="214" cm="1">
        <f t="array" ref="GU226">--AND(MIN(IF($K226:$CP226&lt;&gt;0,$K$7:$CP$7))&gt;=GU$5,MIN(IF($K226:$CP226&lt;&gt;0,$K$7:$CP$7))&lt;=GU$6)</f>
        <v>0</v>
      </c>
      <c r="GV226" s="214" cm="1">
        <f t="array" ref="GV226">--AND(MIN(IF($K226:$CP226&lt;&gt;0,$K$7:$CP$7))&gt;=GV$5,MIN(IF($K226:$CP226&lt;&gt;0,$K$7:$CP$7))&lt;=GV$6)</f>
        <v>0</v>
      </c>
      <c r="GW226" s="214" cm="1">
        <f t="array" ref="GW226">--AND(MIN(IF($K226:$CP226&lt;&gt;0,$K$7:$CP$7))&gt;=GW$5,MIN(IF($K226:$CP226&lt;&gt;0,$K$7:$CP$7))&lt;=GW$6)</f>
        <v>0</v>
      </c>
      <c r="GX226" s="214" cm="1">
        <f t="array" ref="GX226">--AND(MIN(IF($K226:$CP226&lt;&gt;0,$K$7:$CP$7))&gt;=GX$5,MIN(IF($K226:$CP226&lt;&gt;0,$K$7:$CP$7))&lt;=GX$6)</f>
        <v>0</v>
      </c>
      <c r="GY226" s="214" cm="1">
        <f t="array" ref="GY226">--AND(MIN(IF($K226:$CP226&lt;&gt;0,$K$7:$CP$7))&gt;=GY$5,MIN(IF($K226:$CP226&lt;&gt;0,$K$7:$CP$7))&lt;=GY$6)</f>
        <v>0</v>
      </c>
      <c r="GZ226" s="214" cm="1">
        <f t="array" ref="GZ226">--AND(MIN(IF($K226:$CP226&lt;&gt;0,$K$7:$CP$7))&gt;=GZ$5,MIN(IF($K226:$CP226&lt;&gt;0,$K$7:$CP$7))&lt;=GZ$6)</f>
        <v>0</v>
      </c>
      <c r="HA226" s="214">
        <f t="shared" si="70"/>
        <v>1</v>
      </c>
      <c r="HC226" s="214" cm="1">
        <f t="array" ref="HC226">--AND(MIN(IF($K226:$CP226&lt;&gt;0,$K$7:$CP$7))&gt;=HC$5,MIN(IF($K226:$CP226&lt;&gt;0,$K$7:$CP$7))&lt;=HC$6)</f>
        <v>1</v>
      </c>
      <c r="HE226" s="147" t="str">
        <f t="shared" si="89"/>
        <v>Yes</v>
      </c>
      <c r="HF226" s="147" t="str">
        <f t="shared" si="90"/>
        <v>No</v>
      </c>
      <c r="HG226" s="147">
        <f>IF($HF226="Yes",0,$H226*avg_hrs*12*'Key assumptions'!$D$87)</f>
        <v>362535.77629630821</v>
      </c>
      <c r="HH226" s="147">
        <f>IF(HE226="Yes",'Key assumptions'!$D$84*HG226,0)</f>
        <v>54380.366444446227</v>
      </c>
      <c r="HI226" s="144">
        <f>IFERROR(AVERAGEIFS($K226:$CP226,$K$7:$CP$7,"&gt;="&amp;'Key assumptions'!$D$24,$K$7:$CP$7,"&lt;="&amp;'Key assumptions'!$D$25),0)</f>
        <v>0.81459330143540665</v>
      </c>
      <c r="HJ226" s="148">
        <f t="shared" si="91"/>
        <v>44297.88223524866</v>
      </c>
      <c r="HK226" s="148">
        <f t="shared" si="72"/>
        <v>44297.88223524866</v>
      </c>
      <c r="HL226" s="148">
        <f t="shared" si="73"/>
        <v>0</v>
      </c>
      <c r="HM226" s="148">
        <f t="shared" si="74"/>
        <v>0</v>
      </c>
      <c r="HN226" s="148">
        <f t="shared" si="75"/>
        <v>0</v>
      </c>
      <c r="HO226" s="148">
        <f t="shared" si="76"/>
        <v>0</v>
      </c>
      <c r="HP226" s="148">
        <f t="shared" si="77"/>
        <v>0</v>
      </c>
      <c r="HQ226" s="148">
        <f t="shared" si="78"/>
        <v>0</v>
      </c>
      <c r="HR226" s="147">
        <f t="shared" si="79"/>
        <v>44297.88223524866</v>
      </c>
      <c r="HU226" s="147">
        <f>$HJ226*HC226/(1+'Key assumptions'!G248)^0.75</f>
        <v>44297.88223524866</v>
      </c>
      <c r="HW226" s="216">
        <f t="shared" si="80"/>
        <v>0.81459330143540665</v>
      </c>
      <c r="HX226" s="216">
        <f t="shared" si="81"/>
        <v>0</v>
      </c>
      <c r="HY226" s="216">
        <f t="shared" si="82"/>
        <v>0</v>
      </c>
      <c r="HZ226" s="216">
        <f t="shared" si="83"/>
        <v>0</v>
      </c>
      <c r="IA226" s="216">
        <f t="shared" si="84"/>
        <v>0</v>
      </c>
      <c r="IB226" s="216">
        <f t="shared" si="85"/>
        <v>0</v>
      </c>
      <c r="IC226" s="216">
        <f t="shared" si="86"/>
        <v>0</v>
      </c>
      <c r="ID226" s="216">
        <f t="shared" si="87"/>
        <v>0.81459330143540665</v>
      </c>
      <c r="IF226" s="216">
        <f t="shared" si="88"/>
        <v>0.81459330143540665</v>
      </c>
    </row>
    <row r="227" spans="2:240" x14ac:dyDescent="0.2">
      <c r="B227" s="141" t="str">
        <v>Project Delivery Management - Construction Management</v>
      </c>
      <c r="C227" s="141" t="str">
        <v>Construction Manager EA (Construction)</v>
      </c>
      <c r="D227" s="141" t="str">
        <v>Internal Labour</v>
      </c>
      <c r="E227" s="141" t="str">
        <v>$ Nominal</v>
      </c>
      <c r="F227" s="141" t="str">
        <v>Existing</v>
      </c>
      <c r="G227" s="141" t="str">
        <v>Normal time</v>
      </c>
      <c r="H227" s="142">
        <v>245.65</v>
      </c>
      <c r="I227" s="126">
        <v>1131762.4500000002</v>
      </c>
      <c r="J227" s="143">
        <v>0</v>
      </c>
      <c r="K227" s="144">
        <v>0</v>
      </c>
      <c r="L227" s="144">
        <v>0</v>
      </c>
      <c r="M227" s="144">
        <v>0</v>
      </c>
      <c r="N227" s="144">
        <v>0</v>
      </c>
      <c r="O227" s="144">
        <v>0</v>
      </c>
      <c r="P227" s="144">
        <v>0</v>
      </c>
      <c r="Q227" s="144">
        <v>0</v>
      </c>
      <c r="R227" s="144">
        <v>0</v>
      </c>
      <c r="S227" s="144">
        <v>0</v>
      </c>
      <c r="T227" s="144">
        <v>0</v>
      </c>
      <c r="U227" s="144">
        <v>0</v>
      </c>
      <c r="V227" s="144">
        <v>0</v>
      </c>
      <c r="W227" s="144">
        <v>0</v>
      </c>
      <c r="X227" s="144">
        <v>0</v>
      </c>
      <c r="Y227" s="144">
        <v>1</v>
      </c>
      <c r="Z227" s="144">
        <v>1</v>
      </c>
      <c r="AA227" s="144">
        <v>0.92105263157894735</v>
      </c>
      <c r="AB227" s="144">
        <v>0.92105263157894735</v>
      </c>
      <c r="AC227" s="144">
        <v>1</v>
      </c>
      <c r="AD227" s="144">
        <v>1</v>
      </c>
      <c r="AE227" s="144">
        <v>1</v>
      </c>
      <c r="AF227" s="144">
        <v>1</v>
      </c>
      <c r="AG227" s="144">
        <v>1</v>
      </c>
      <c r="AH227" s="144">
        <v>1</v>
      </c>
      <c r="AI227" s="144">
        <v>1</v>
      </c>
      <c r="AJ227" s="144">
        <v>1</v>
      </c>
      <c r="AK227" s="144">
        <v>1</v>
      </c>
      <c r="AL227" s="144">
        <v>1</v>
      </c>
      <c r="AM227" s="144">
        <v>0.92105263157894735</v>
      </c>
      <c r="AN227" s="144">
        <v>0.92105263157894735</v>
      </c>
      <c r="AO227" s="144">
        <v>1</v>
      </c>
      <c r="AP227" s="144">
        <v>1</v>
      </c>
      <c r="AQ227" s="144">
        <v>1</v>
      </c>
      <c r="AR227" s="144">
        <v>1</v>
      </c>
      <c r="AS227" s="144">
        <v>1</v>
      </c>
      <c r="AT227" s="144">
        <v>1</v>
      </c>
      <c r="AU227" s="144">
        <v>1</v>
      </c>
      <c r="AV227" s="144">
        <v>1</v>
      </c>
      <c r="AW227" s="144">
        <v>1</v>
      </c>
      <c r="AX227" s="144">
        <v>1</v>
      </c>
      <c r="AY227" s="144">
        <v>0.92105263157894735</v>
      </c>
      <c r="AZ227" s="144">
        <v>0.92105263157894735</v>
      </c>
      <c r="BA227" s="144">
        <v>1</v>
      </c>
      <c r="BB227" s="144">
        <v>1</v>
      </c>
      <c r="BC227" s="144">
        <v>1</v>
      </c>
      <c r="BD227" s="144">
        <v>1</v>
      </c>
      <c r="BE227" s="144">
        <v>1</v>
      </c>
      <c r="BF227" s="144">
        <v>1</v>
      </c>
      <c r="BG227" s="144">
        <v>0</v>
      </c>
      <c r="BH227" s="144">
        <v>0</v>
      </c>
      <c r="BI227" s="144">
        <v>0</v>
      </c>
      <c r="BJ227" s="144">
        <v>0</v>
      </c>
      <c r="BK227" s="144">
        <v>0</v>
      </c>
      <c r="BL227" s="144">
        <v>0</v>
      </c>
      <c r="BM227" s="144">
        <v>0</v>
      </c>
      <c r="BN227" s="144">
        <v>0</v>
      </c>
      <c r="BO227" s="144">
        <v>0</v>
      </c>
      <c r="BP227" s="144">
        <v>0</v>
      </c>
      <c r="BQ227" s="144">
        <v>0</v>
      </c>
      <c r="BR227" s="144">
        <v>0</v>
      </c>
      <c r="BS227" s="144">
        <v>0</v>
      </c>
      <c r="BT227" s="144">
        <v>0</v>
      </c>
      <c r="BU227" s="144">
        <v>0</v>
      </c>
      <c r="BV227" s="144">
        <v>0</v>
      </c>
      <c r="BW227" s="144">
        <v>0</v>
      </c>
      <c r="BX227" s="144">
        <v>0</v>
      </c>
      <c r="BY227" s="144">
        <v>0</v>
      </c>
      <c r="BZ227" s="144">
        <v>0</v>
      </c>
      <c r="CA227" s="144">
        <v>0</v>
      </c>
      <c r="CB227" s="144">
        <v>0</v>
      </c>
      <c r="CC227" s="144">
        <v>0</v>
      </c>
      <c r="CD227" s="144">
        <v>0</v>
      </c>
      <c r="CE227" s="144">
        <v>0</v>
      </c>
      <c r="CF227" s="144">
        <v>0</v>
      </c>
      <c r="CG227" s="144">
        <v>0</v>
      </c>
      <c r="CH227" s="144">
        <v>0</v>
      </c>
      <c r="CI227" s="144">
        <v>0</v>
      </c>
      <c r="CJ227" s="144">
        <v>0</v>
      </c>
      <c r="CK227" s="144">
        <v>0</v>
      </c>
      <c r="CL227" s="144">
        <v>0</v>
      </c>
      <c r="CM227" s="144">
        <v>0</v>
      </c>
      <c r="CN227" s="144">
        <v>0</v>
      </c>
      <c r="CO227" s="144">
        <v>0</v>
      </c>
      <c r="CP227" s="144">
        <v>0</v>
      </c>
      <c r="CQ227" s="143">
        <v>0</v>
      </c>
      <c r="CR227" s="145">
        <v>0</v>
      </c>
      <c r="CS227" s="145">
        <v>0</v>
      </c>
      <c r="CT227" s="145">
        <v>0</v>
      </c>
      <c r="CU227" s="145">
        <v>0</v>
      </c>
      <c r="CV227" s="145">
        <v>0</v>
      </c>
      <c r="CW227" s="145">
        <v>0</v>
      </c>
      <c r="CX227" s="145">
        <v>0</v>
      </c>
      <c r="CY227" s="145">
        <v>0</v>
      </c>
      <c r="CZ227" s="145">
        <v>0</v>
      </c>
      <c r="DA227" s="145">
        <v>0</v>
      </c>
      <c r="DB227" s="145">
        <v>0</v>
      </c>
      <c r="DC227" s="145">
        <v>0</v>
      </c>
      <c r="DD227" s="145">
        <v>0</v>
      </c>
      <c r="DE227" s="145">
        <v>0</v>
      </c>
      <c r="DF227" s="145">
        <v>34391</v>
      </c>
      <c r="DG227" s="145">
        <v>25793.25</v>
      </c>
      <c r="DH227" s="145">
        <v>34391</v>
      </c>
      <c r="DI227" s="145">
        <v>34391</v>
      </c>
      <c r="DJ227" s="145">
        <v>34391</v>
      </c>
      <c r="DK227" s="145">
        <v>34391</v>
      </c>
      <c r="DL227" s="145">
        <v>34391</v>
      </c>
      <c r="DM227" s="145">
        <v>34391</v>
      </c>
      <c r="DN227" s="145">
        <v>34391</v>
      </c>
      <c r="DO227" s="145">
        <v>25793.25</v>
      </c>
      <c r="DP227" s="145">
        <v>25793.25</v>
      </c>
      <c r="DQ227" s="145">
        <v>34391</v>
      </c>
      <c r="DR227" s="145">
        <v>35414.400000000001</v>
      </c>
      <c r="DS227" s="145">
        <v>26560.799999999999</v>
      </c>
      <c r="DT227" s="145">
        <v>35414.400000000001</v>
      </c>
      <c r="DU227" s="145">
        <v>35414.400000000001</v>
      </c>
      <c r="DV227" s="145">
        <v>35414.400000000001</v>
      </c>
      <c r="DW227" s="145">
        <v>35414.400000000001</v>
      </c>
      <c r="DX227" s="145">
        <v>35414.400000000001</v>
      </c>
      <c r="DY227" s="145">
        <v>35414.400000000001</v>
      </c>
      <c r="DZ227" s="145">
        <v>35414.400000000001</v>
      </c>
      <c r="EA227" s="145">
        <v>26560.799999999999</v>
      </c>
      <c r="EB227" s="145">
        <v>26560.799999999999</v>
      </c>
      <c r="EC227" s="145">
        <v>35414.400000000001</v>
      </c>
      <c r="ED227" s="145">
        <v>36468.6</v>
      </c>
      <c r="EE227" s="145">
        <v>27351.45</v>
      </c>
      <c r="EF227" s="145">
        <v>36468.6</v>
      </c>
      <c r="EG227" s="145">
        <v>36468.6</v>
      </c>
      <c r="EH227" s="145">
        <v>36468.6</v>
      </c>
      <c r="EI227" s="145">
        <v>36468.6</v>
      </c>
      <c r="EJ227" s="145">
        <v>36468.6</v>
      </c>
      <c r="EK227" s="145">
        <v>36468.6</v>
      </c>
      <c r="EL227" s="145">
        <v>36468.6</v>
      </c>
      <c r="EM227" s="145">
        <v>27351.449999999997</v>
      </c>
      <c r="EN227" s="145">
        <v>0</v>
      </c>
      <c r="EO227" s="145">
        <v>0</v>
      </c>
      <c r="EP227" s="145">
        <v>0</v>
      </c>
      <c r="EQ227" s="145">
        <v>0</v>
      </c>
      <c r="ER227" s="145">
        <v>0</v>
      </c>
      <c r="ES227" s="145">
        <v>0</v>
      </c>
      <c r="ET227" s="145">
        <v>0</v>
      </c>
      <c r="EU227" s="145">
        <v>0</v>
      </c>
      <c r="EV227" s="145">
        <v>0</v>
      </c>
      <c r="EW227" s="145">
        <v>0</v>
      </c>
      <c r="EX227" s="145">
        <v>0</v>
      </c>
      <c r="EY227" s="145">
        <v>0</v>
      </c>
      <c r="EZ227" s="145">
        <v>0</v>
      </c>
      <c r="FA227" s="145">
        <v>0</v>
      </c>
      <c r="FB227" s="145">
        <v>0</v>
      </c>
      <c r="FC227" s="145">
        <v>0</v>
      </c>
      <c r="FD227" s="145">
        <v>0</v>
      </c>
      <c r="FE227" s="145">
        <v>0</v>
      </c>
      <c r="FF227" s="145">
        <v>0</v>
      </c>
      <c r="FG227" s="145">
        <v>0</v>
      </c>
      <c r="FH227" s="145">
        <v>0</v>
      </c>
      <c r="FI227" s="145">
        <v>0</v>
      </c>
      <c r="FJ227" s="145">
        <v>0</v>
      </c>
      <c r="FK227" s="145">
        <v>0</v>
      </c>
      <c r="FL227" s="145">
        <v>0</v>
      </c>
      <c r="FM227" s="145">
        <v>0</v>
      </c>
      <c r="FN227" s="145">
        <v>0</v>
      </c>
      <c r="FO227" s="145">
        <v>0</v>
      </c>
      <c r="FP227" s="145">
        <v>0</v>
      </c>
      <c r="FQ227" s="145">
        <v>0</v>
      </c>
      <c r="FR227" s="145">
        <v>0</v>
      </c>
      <c r="FS227" s="145">
        <v>0</v>
      </c>
      <c r="FT227" s="145">
        <v>0</v>
      </c>
      <c r="FU227" s="145">
        <v>0</v>
      </c>
      <c r="FV227" s="145">
        <v>0</v>
      </c>
      <c r="FW227" s="145">
        <v>0</v>
      </c>
      <c r="FX227" s="143"/>
      <c r="FY227" s="146" t="str">
        <f>_xlfn.XLOOKUP($E227,'Key assumptions'!$B$112:$B$120,'Key assumptions'!$C$112:$C$120,0)</f>
        <v>Nominal</v>
      </c>
      <c r="FZ227" s="146" cm="1">
        <f t="array" ref="FZ227">IF($FY227=0,0,_xlfn.IFS($FY227='Key assumptions'!$C$120,_xlfn.XLOOKUP(LEFT(FZ$7,6),Inflation_Year,Inflation_NominaltoReal),TRUE,_xlfn.XLOOKUP($FY227,Inflation_Year,NominaltoReal)))</f>
        <v>1.0197075870962191</v>
      </c>
      <c r="GA227" s="146" cm="1">
        <f t="array" ref="GA227">IF($FY227=0,0,_xlfn.IFS($FY227='Key assumptions'!$C$120,_xlfn.XLOOKUP(LEFT(GA$7,6),Inflation_Year,Inflation_NominaltoReal),TRUE,_xlfn.XLOOKUP($FY227,Inflation_Year,NominaltoReal)))</f>
        <v>0.98700804022984445</v>
      </c>
      <c r="GB227" s="146" cm="1">
        <f t="array" ref="GB227">IF($FY227=0,0,_xlfn.IFS($FY227='Key assumptions'!$C$120,_xlfn.XLOOKUP(LEFT(GB$7,6),Inflation_Year,Inflation_NominaltoReal),TRUE,_xlfn.XLOOKUP($FY227,Inflation_Year,NominaltoReal)))</f>
        <v>0.96152830081941731</v>
      </c>
      <c r="GC227" s="146" cm="1">
        <f t="array" ref="GC227">IF($FY227=0,0,_xlfn.IFS($FY227='Key assumptions'!$C$120,_xlfn.XLOOKUP(LEFT(GC$7,6),Inflation_Year,Inflation_NominaltoReal),TRUE,_xlfn.XLOOKUP($FY227,Inflation_Year,NominaltoReal)))</f>
        <v>0.93670632415656829</v>
      </c>
      <c r="GD227" s="146" cm="1">
        <f t="array" ref="GD227">IF($FY227=0,0,_xlfn.IFS($FY227='Key assumptions'!$C$120,_xlfn.XLOOKUP(LEFT(GD$7,6),Inflation_Year,Inflation_NominaltoReal),TRUE,_xlfn.XLOOKUP($FY227,Inflation_Year,NominaltoReal)))</f>
        <v>0.91252513001143176</v>
      </c>
      <c r="GE227" s="146" cm="1">
        <f t="array" ref="GE227">IF($FY227=0,0,_xlfn.IFS($FY227='Key assumptions'!$C$120,_xlfn.XLOOKUP(LEFT(GE$7,6),Inflation_Year,Inflation_NominaltoReal),TRUE,_xlfn.XLOOKUP($FY227,Inflation_Year,NominaltoReal)))</f>
        <v>0.88896817650095872</v>
      </c>
      <c r="GF227" s="146" cm="1">
        <f t="array" ref="GF227">IF($FY227=0,0,_xlfn.IFS($FY227='Key assumptions'!$C$120,_xlfn.XLOOKUP(LEFT(GF$7,6),Inflation_Year,Inflation_NominaltoReal),TRUE,_xlfn.XLOOKUP($FY227,Inflation_Year,NominaltoReal)))</f>
        <v>0.86601934877293718</v>
      </c>
      <c r="GG227" s="143"/>
      <c r="GH227" s="145" cm="1">
        <f t="array" ref="GH227">SUMPRODUCT(--($CR$7:$FW$7&gt;=GH$5),--($CR$7:$FW$7&lt;=GH$6),$CR227:$FW227)*FZ227</f>
        <v>236714.15448782599</v>
      </c>
      <c r="GI227" s="145" cm="1">
        <f t="array" ref="GI227">SUMPRODUCT(--($CR$7:$FW$7&gt;=GI$5),--($CR$7:$FW$7&lt;=GI$6),$CR227:$FW227)*GA227</f>
        <v>388690.37919638236</v>
      </c>
      <c r="GJ227" s="145" cm="1">
        <f t="array" ref="GJ227">SUMPRODUCT(--($CR$7:$FW$7&gt;=GJ$5),--($CR$7:$FW$7&lt;=GJ$6),$CR227:$FW227)*GB227</f>
        <v>389926.50454545149</v>
      </c>
      <c r="GK227" s="145" cm="1">
        <f t="array" ref="GK227">SUMPRODUCT(--($CR$7:$FW$7&gt;=GK$5),--($CR$7:$FW$7&lt;=GK$6),$CR227:$FW227)*GC227</f>
        <v>93941.012696124613</v>
      </c>
      <c r="GL227" s="145" cm="1">
        <f t="array" ref="GL227">SUMPRODUCT(--($CR$7:$FW$7&gt;=GL$5),--($CR$7:$FW$7&lt;=GL$6),$CR227:$FW227)*GD227</f>
        <v>0</v>
      </c>
      <c r="GM227" s="145" cm="1">
        <f t="array" ref="GM227">SUMPRODUCT(--($CR$7:$FW$7&gt;=GM$5),--($CR$7:$FW$7&lt;=GM$6),$CR227:$FW227)*GE227</f>
        <v>0</v>
      </c>
      <c r="GN227" s="145" cm="1">
        <f t="array" ref="GN227">SUMPRODUCT(--($CR$7:$FW$7&gt;=GN$5),--($CR$7:$FW$7&lt;=GN$6),$CR227:$FW227)*GF227</f>
        <v>0</v>
      </c>
      <c r="GO227" s="145">
        <f t="shared" si="69"/>
        <v>1109272.0509257843</v>
      </c>
      <c r="GP227" s="87"/>
      <c r="GR227" s="145" cm="1">
        <f t="array" ref="GR227">SUMPRODUCT(--($CR$7:$FW$7&gt;=GR$5),--($CR$7:$FW$7&lt;=GR$6),$CR227:$FW227)</f>
        <v>128966.25</v>
      </c>
      <c r="GT227" s="214" cm="1">
        <f t="array" ref="GT227">--AND(MIN(IF($K227:$CP227&lt;&gt;0,$K$7:$CP$7))&gt;=GT$5,MIN(IF($K227:$CP227&lt;&gt;0,$K$7:$CP$7))&lt;=GT$6)</f>
        <v>1</v>
      </c>
      <c r="GU227" s="214" cm="1">
        <f t="array" ref="GU227">--AND(MIN(IF($K227:$CP227&lt;&gt;0,$K$7:$CP$7))&gt;=GU$5,MIN(IF($K227:$CP227&lt;&gt;0,$K$7:$CP$7))&lt;=GU$6)</f>
        <v>0</v>
      </c>
      <c r="GV227" s="214" cm="1">
        <f t="array" ref="GV227">--AND(MIN(IF($K227:$CP227&lt;&gt;0,$K$7:$CP$7))&gt;=GV$5,MIN(IF($K227:$CP227&lt;&gt;0,$K$7:$CP$7))&lt;=GV$6)</f>
        <v>0</v>
      </c>
      <c r="GW227" s="214" cm="1">
        <f t="array" ref="GW227">--AND(MIN(IF($K227:$CP227&lt;&gt;0,$K$7:$CP$7))&gt;=GW$5,MIN(IF($K227:$CP227&lt;&gt;0,$K$7:$CP$7))&lt;=GW$6)</f>
        <v>0</v>
      </c>
      <c r="GX227" s="214" cm="1">
        <f t="array" ref="GX227">--AND(MIN(IF($K227:$CP227&lt;&gt;0,$K$7:$CP$7))&gt;=GX$5,MIN(IF($K227:$CP227&lt;&gt;0,$K$7:$CP$7))&lt;=GX$6)</f>
        <v>0</v>
      </c>
      <c r="GY227" s="214" cm="1">
        <f t="array" ref="GY227">--AND(MIN(IF($K227:$CP227&lt;&gt;0,$K$7:$CP$7))&gt;=GY$5,MIN(IF($K227:$CP227&lt;&gt;0,$K$7:$CP$7))&lt;=GY$6)</f>
        <v>0</v>
      </c>
      <c r="GZ227" s="214" cm="1">
        <f t="array" ref="GZ227">--AND(MIN(IF($K227:$CP227&lt;&gt;0,$K$7:$CP$7))&gt;=GZ$5,MIN(IF($K227:$CP227&lt;&gt;0,$K$7:$CP$7))&lt;=GZ$6)</f>
        <v>0</v>
      </c>
      <c r="HA227" s="214">
        <f t="shared" si="70"/>
        <v>1</v>
      </c>
      <c r="HC227" s="214" cm="1">
        <f t="array" ref="HC227">--AND(MIN(IF($K227:$CP227&lt;&gt;0,$K$7:$CP$7))&gt;=HC$5,MIN(IF($K227:$CP227&lt;&gt;0,$K$7:$CP$7))&lt;=HC$6)</f>
        <v>1</v>
      </c>
      <c r="HE227" s="147" t="str">
        <f t="shared" si="89"/>
        <v>No</v>
      </c>
      <c r="HF227" s="147" t="str">
        <f t="shared" si="90"/>
        <v>No</v>
      </c>
      <c r="HG227" s="147">
        <f>IF($HF227="Yes",0,$H227*avg_hrs*12*'Key assumptions'!$D$87)</f>
        <v>439288.28218412725</v>
      </c>
      <c r="HH227" s="147">
        <f>IF(HE227="Yes",'Key assumptions'!$D$84*HG227,0)</f>
        <v>0</v>
      </c>
      <c r="HI227" s="144">
        <f>IFERROR(AVERAGEIFS($K227:$CP227,$K$7:$CP$7,"&gt;="&amp;'Key assumptions'!$D$24,$K$7:$CP$7,"&lt;="&amp;'Key assumptions'!$D$25),0)</f>
        <v>0.76196172248803828</v>
      </c>
      <c r="HJ227" s="148">
        <f t="shared" si="91"/>
        <v>0</v>
      </c>
      <c r="HK227" s="148">
        <f t="shared" si="72"/>
        <v>0</v>
      </c>
      <c r="HL227" s="148">
        <f t="shared" si="73"/>
        <v>0</v>
      </c>
      <c r="HM227" s="148">
        <f t="shared" si="74"/>
        <v>0</v>
      </c>
      <c r="HN227" s="148">
        <f t="shared" si="75"/>
        <v>0</v>
      </c>
      <c r="HO227" s="148">
        <f t="shared" si="76"/>
        <v>0</v>
      </c>
      <c r="HP227" s="148">
        <f t="shared" si="77"/>
        <v>0</v>
      </c>
      <c r="HQ227" s="148">
        <f t="shared" si="78"/>
        <v>0</v>
      </c>
      <c r="HR227" s="147">
        <f t="shared" si="79"/>
        <v>0</v>
      </c>
      <c r="HU227" s="147">
        <f>$HJ227*HC227/(1+'Key assumptions'!G249)^0.75</f>
        <v>0</v>
      </c>
      <c r="HW227" s="216">
        <f t="shared" si="80"/>
        <v>0.76196172248803828</v>
      </c>
      <c r="HX227" s="216">
        <f t="shared" si="81"/>
        <v>0</v>
      </c>
      <c r="HY227" s="216">
        <f t="shared" si="82"/>
        <v>0</v>
      </c>
      <c r="HZ227" s="216">
        <f t="shared" si="83"/>
        <v>0</v>
      </c>
      <c r="IA227" s="216">
        <f t="shared" si="84"/>
        <v>0</v>
      </c>
      <c r="IB227" s="216">
        <f t="shared" si="85"/>
        <v>0</v>
      </c>
      <c r="IC227" s="216">
        <f t="shared" si="86"/>
        <v>0</v>
      </c>
      <c r="ID227" s="216">
        <f t="shared" si="87"/>
        <v>0.76196172248803828</v>
      </c>
      <c r="IF227" s="216">
        <f t="shared" si="88"/>
        <v>0.76196172248803828</v>
      </c>
    </row>
    <row r="228" spans="2:240" x14ac:dyDescent="0.2">
      <c r="B228" s="141" t="str">
        <v>Project Delivery Management - Construction Management</v>
      </c>
      <c r="C228" s="141" t="str">
        <v>Construction Manager EA (Construction)</v>
      </c>
      <c r="D228" s="141" t="str">
        <v>Internal Labour</v>
      </c>
      <c r="E228" s="141" t="str">
        <v>$ Nominal</v>
      </c>
      <c r="F228" s="141">
        <v>0</v>
      </c>
      <c r="G228" s="141" t="str">
        <v>Overtime</v>
      </c>
      <c r="H228" s="142">
        <v>245.65</v>
      </c>
      <c r="I228" s="126">
        <v>1303853.3999999997</v>
      </c>
      <c r="J228" s="143">
        <v>0</v>
      </c>
      <c r="K228" s="144">
        <v>0</v>
      </c>
      <c r="L228" s="144">
        <v>0</v>
      </c>
      <c r="M228" s="144">
        <v>0</v>
      </c>
      <c r="N228" s="144">
        <v>0</v>
      </c>
      <c r="O228" s="144">
        <v>0</v>
      </c>
      <c r="P228" s="144">
        <v>0</v>
      </c>
      <c r="Q228" s="144">
        <v>0</v>
      </c>
      <c r="R228" s="144">
        <v>0</v>
      </c>
      <c r="S228" s="144">
        <v>0</v>
      </c>
      <c r="T228" s="144">
        <v>0</v>
      </c>
      <c r="U228" s="144">
        <v>0</v>
      </c>
      <c r="V228" s="144">
        <v>0</v>
      </c>
      <c r="W228" s="144">
        <v>0</v>
      </c>
      <c r="X228" s="144">
        <v>0</v>
      </c>
      <c r="Y228" s="144">
        <v>0.5714285714285714</v>
      </c>
      <c r="Z228" s="144">
        <v>0.5714285714285714</v>
      </c>
      <c r="AA228" s="144">
        <v>0.52631578947368418</v>
      </c>
      <c r="AB228" s="144">
        <v>0.52631578947368418</v>
      </c>
      <c r="AC228" s="144">
        <v>0.5714285714285714</v>
      </c>
      <c r="AD228" s="144">
        <v>0.5714285714285714</v>
      </c>
      <c r="AE228" s="144">
        <v>0.5714285714285714</v>
      </c>
      <c r="AF228" s="144">
        <v>0.5714285714285714</v>
      </c>
      <c r="AG228" s="144">
        <v>0.5714285714285714</v>
      </c>
      <c r="AH228" s="144">
        <v>0.5714285714285714</v>
      </c>
      <c r="AI228" s="144">
        <v>0.5714285714285714</v>
      </c>
      <c r="AJ228" s="144">
        <v>0.5714285714285714</v>
      </c>
      <c r="AK228" s="144">
        <v>0.5714285714285714</v>
      </c>
      <c r="AL228" s="144">
        <v>0.5714285714285714</v>
      </c>
      <c r="AM228" s="144">
        <v>0.52631578947368418</v>
      </c>
      <c r="AN228" s="144">
        <v>0.52631578947368418</v>
      </c>
      <c r="AO228" s="144">
        <v>0.5714285714285714</v>
      </c>
      <c r="AP228" s="144">
        <v>0.5714285714285714</v>
      </c>
      <c r="AQ228" s="144">
        <v>0.5714285714285714</v>
      </c>
      <c r="AR228" s="144">
        <v>0.5714285714285714</v>
      </c>
      <c r="AS228" s="144">
        <v>0.5714285714285714</v>
      </c>
      <c r="AT228" s="144">
        <v>0.5714285714285714</v>
      </c>
      <c r="AU228" s="144">
        <v>0.5714285714285714</v>
      </c>
      <c r="AV228" s="144">
        <v>0.5714285714285714</v>
      </c>
      <c r="AW228" s="144">
        <v>0.5714285714285714</v>
      </c>
      <c r="AX228" s="144">
        <v>0.5714285714285714</v>
      </c>
      <c r="AY228" s="144">
        <v>0.52631578947368418</v>
      </c>
      <c r="AZ228" s="144">
        <v>0.52631578947368418</v>
      </c>
      <c r="BA228" s="144">
        <v>0.5714285714285714</v>
      </c>
      <c r="BB228" s="144">
        <v>0.5714285714285714</v>
      </c>
      <c r="BC228" s="144">
        <v>0.5714285714285714</v>
      </c>
      <c r="BD228" s="144">
        <v>0.5714285714285714</v>
      </c>
      <c r="BE228" s="144">
        <v>0.5714285714285714</v>
      </c>
      <c r="BF228" s="144">
        <v>0.76190476190476186</v>
      </c>
      <c r="BG228" s="144">
        <v>0</v>
      </c>
      <c r="BH228" s="144">
        <v>0</v>
      </c>
      <c r="BI228" s="144">
        <v>0</v>
      </c>
      <c r="BJ228" s="144">
        <v>0</v>
      </c>
      <c r="BK228" s="144">
        <v>0</v>
      </c>
      <c r="BL228" s="144">
        <v>0</v>
      </c>
      <c r="BM228" s="144">
        <v>0</v>
      </c>
      <c r="BN228" s="144">
        <v>0</v>
      </c>
      <c r="BO228" s="144">
        <v>0</v>
      </c>
      <c r="BP228" s="144">
        <v>0</v>
      </c>
      <c r="BQ228" s="144">
        <v>0</v>
      </c>
      <c r="BR228" s="144">
        <v>0</v>
      </c>
      <c r="BS228" s="144">
        <v>0</v>
      </c>
      <c r="BT228" s="144">
        <v>0</v>
      </c>
      <c r="BU228" s="144">
        <v>0</v>
      </c>
      <c r="BV228" s="144">
        <v>0</v>
      </c>
      <c r="BW228" s="144">
        <v>0</v>
      </c>
      <c r="BX228" s="144">
        <v>0</v>
      </c>
      <c r="BY228" s="144">
        <v>0</v>
      </c>
      <c r="BZ228" s="144">
        <v>0</v>
      </c>
      <c r="CA228" s="144">
        <v>0</v>
      </c>
      <c r="CB228" s="144">
        <v>0</v>
      </c>
      <c r="CC228" s="144">
        <v>0</v>
      </c>
      <c r="CD228" s="144">
        <v>0</v>
      </c>
      <c r="CE228" s="144">
        <v>0</v>
      </c>
      <c r="CF228" s="144">
        <v>0</v>
      </c>
      <c r="CG228" s="144">
        <v>0</v>
      </c>
      <c r="CH228" s="144">
        <v>0</v>
      </c>
      <c r="CI228" s="144">
        <v>0</v>
      </c>
      <c r="CJ228" s="144">
        <v>0</v>
      </c>
      <c r="CK228" s="144">
        <v>0</v>
      </c>
      <c r="CL228" s="144">
        <v>0</v>
      </c>
      <c r="CM228" s="144">
        <v>0</v>
      </c>
      <c r="CN228" s="144">
        <v>0</v>
      </c>
      <c r="CO228" s="144">
        <v>0</v>
      </c>
      <c r="CP228" s="144">
        <v>0</v>
      </c>
      <c r="CQ228" s="143">
        <v>0</v>
      </c>
      <c r="CR228" s="145">
        <v>0</v>
      </c>
      <c r="CS228" s="145">
        <v>0</v>
      </c>
      <c r="CT228" s="145">
        <v>0</v>
      </c>
      <c r="CU228" s="145">
        <v>0</v>
      </c>
      <c r="CV228" s="145">
        <v>0</v>
      </c>
      <c r="CW228" s="145">
        <v>0</v>
      </c>
      <c r="CX228" s="145">
        <v>0</v>
      </c>
      <c r="CY228" s="145">
        <v>0</v>
      </c>
      <c r="CZ228" s="145">
        <v>0</v>
      </c>
      <c r="DA228" s="145">
        <v>0</v>
      </c>
      <c r="DB228" s="145">
        <v>0</v>
      </c>
      <c r="DC228" s="145">
        <v>0</v>
      </c>
      <c r="DD228" s="145">
        <v>0</v>
      </c>
      <c r="DE228" s="145">
        <v>0</v>
      </c>
      <c r="DF228" s="145">
        <v>39304</v>
      </c>
      <c r="DG228" s="145">
        <v>29478</v>
      </c>
      <c r="DH228" s="145">
        <v>39304</v>
      </c>
      <c r="DI228" s="145">
        <v>39304</v>
      </c>
      <c r="DJ228" s="145">
        <v>39304</v>
      </c>
      <c r="DK228" s="145">
        <v>39304</v>
      </c>
      <c r="DL228" s="145">
        <v>39304</v>
      </c>
      <c r="DM228" s="145">
        <v>39304</v>
      </c>
      <c r="DN228" s="145">
        <v>39304</v>
      </c>
      <c r="DO228" s="145">
        <v>29478</v>
      </c>
      <c r="DP228" s="145">
        <v>29478</v>
      </c>
      <c r="DQ228" s="145">
        <v>39304</v>
      </c>
      <c r="DR228" s="145">
        <v>40472.800000000003</v>
      </c>
      <c r="DS228" s="145">
        <v>30354.600000000002</v>
      </c>
      <c r="DT228" s="145">
        <v>40472.800000000003</v>
      </c>
      <c r="DU228" s="145">
        <v>40472.800000000003</v>
      </c>
      <c r="DV228" s="145">
        <v>40472.800000000003</v>
      </c>
      <c r="DW228" s="145">
        <v>40472.800000000003</v>
      </c>
      <c r="DX228" s="145">
        <v>40472.800000000003</v>
      </c>
      <c r="DY228" s="145">
        <v>40472.800000000003</v>
      </c>
      <c r="DZ228" s="145">
        <v>40472.800000000003</v>
      </c>
      <c r="EA228" s="145">
        <v>30354.600000000002</v>
      </c>
      <c r="EB228" s="145">
        <v>30354.600000000002</v>
      </c>
      <c r="EC228" s="145">
        <v>40472.800000000003</v>
      </c>
      <c r="ED228" s="145">
        <v>41678.400000000001</v>
      </c>
      <c r="EE228" s="145">
        <v>31258.800000000003</v>
      </c>
      <c r="EF228" s="145">
        <v>41678.400000000001</v>
      </c>
      <c r="EG228" s="145">
        <v>41678.400000000001</v>
      </c>
      <c r="EH228" s="145">
        <v>41678.400000000001</v>
      </c>
      <c r="EI228" s="145">
        <v>41678.400000000001</v>
      </c>
      <c r="EJ228" s="145">
        <v>41678.400000000001</v>
      </c>
      <c r="EK228" s="145">
        <v>41678.400000000001</v>
      </c>
      <c r="EL228" s="145">
        <v>41678.400000000001</v>
      </c>
      <c r="EM228" s="145">
        <v>41678.400000000001</v>
      </c>
      <c r="EN228" s="145">
        <v>0</v>
      </c>
      <c r="EO228" s="145">
        <v>0</v>
      </c>
      <c r="EP228" s="145">
        <v>0</v>
      </c>
      <c r="EQ228" s="145">
        <v>0</v>
      </c>
      <c r="ER228" s="145">
        <v>0</v>
      </c>
      <c r="ES228" s="145">
        <v>0</v>
      </c>
      <c r="ET228" s="145">
        <v>0</v>
      </c>
      <c r="EU228" s="145">
        <v>0</v>
      </c>
      <c r="EV228" s="145">
        <v>0</v>
      </c>
      <c r="EW228" s="145">
        <v>0</v>
      </c>
      <c r="EX228" s="145">
        <v>0</v>
      </c>
      <c r="EY228" s="145">
        <v>0</v>
      </c>
      <c r="EZ228" s="145">
        <v>0</v>
      </c>
      <c r="FA228" s="145">
        <v>0</v>
      </c>
      <c r="FB228" s="145">
        <v>0</v>
      </c>
      <c r="FC228" s="145">
        <v>0</v>
      </c>
      <c r="FD228" s="145">
        <v>0</v>
      </c>
      <c r="FE228" s="145">
        <v>0</v>
      </c>
      <c r="FF228" s="145">
        <v>0</v>
      </c>
      <c r="FG228" s="145">
        <v>0</v>
      </c>
      <c r="FH228" s="145">
        <v>0</v>
      </c>
      <c r="FI228" s="145">
        <v>0</v>
      </c>
      <c r="FJ228" s="145">
        <v>0</v>
      </c>
      <c r="FK228" s="145">
        <v>0</v>
      </c>
      <c r="FL228" s="145">
        <v>0</v>
      </c>
      <c r="FM228" s="145">
        <v>0</v>
      </c>
      <c r="FN228" s="145">
        <v>0</v>
      </c>
      <c r="FO228" s="145">
        <v>0</v>
      </c>
      <c r="FP228" s="145">
        <v>0</v>
      </c>
      <c r="FQ228" s="145">
        <v>0</v>
      </c>
      <c r="FR228" s="145">
        <v>0</v>
      </c>
      <c r="FS228" s="145">
        <v>0</v>
      </c>
      <c r="FT228" s="145">
        <v>0</v>
      </c>
      <c r="FU228" s="145">
        <v>0</v>
      </c>
      <c r="FV228" s="145">
        <v>0</v>
      </c>
      <c r="FW228" s="145">
        <v>0</v>
      </c>
      <c r="FX228" s="143"/>
      <c r="FY228" s="146" t="str">
        <f>_xlfn.XLOOKUP($E228,'Key assumptions'!$B$112:$B$120,'Key assumptions'!$C$112:$C$120,0)</f>
        <v>Nominal</v>
      </c>
      <c r="FZ228" s="146" cm="1">
        <f t="array" ref="FZ228">IF($FY228=0,0,_xlfn.IFS($FY228='Key assumptions'!$C$120,_xlfn.XLOOKUP(LEFT(FZ$7,6),Inflation_Year,Inflation_NominaltoReal),TRUE,_xlfn.XLOOKUP($FY228,Inflation_Year,NominaltoReal)))</f>
        <v>1.0197075870962191</v>
      </c>
      <c r="GA228" s="146" cm="1">
        <f t="array" ref="GA228">IF($FY228=0,0,_xlfn.IFS($FY228='Key assumptions'!$C$120,_xlfn.XLOOKUP(LEFT(GA$7,6),Inflation_Year,Inflation_NominaltoReal),TRUE,_xlfn.XLOOKUP($FY228,Inflation_Year,NominaltoReal)))</f>
        <v>0.98700804022984445</v>
      </c>
      <c r="GB228" s="146" cm="1">
        <f t="array" ref="GB228">IF($FY228=0,0,_xlfn.IFS($FY228='Key assumptions'!$C$120,_xlfn.XLOOKUP(LEFT(GB$7,6),Inflation_Year,Inflation_NominaltoReal),TRUE,_xlfn.XLOOKUP($FY228,Inflation_Year,NominaltoReal)))</f>
        <v>0.96152830081941731</v>
      </c>
      <c r="GC228" s="146" cm="1">
        <f t="array" ref="GC228">IF($FY228=0,0,_xlfn.IFS($FY228='Key assumptions'!$C$120,_xlfn.XLOOKUP(LEFT(GC$7,6),Inflation_Year,Inflation_NominaltoReal),TRUE,_xlfn.XLOOKUP($FY228,Inflation_Year,NominaltoReal)))</f>
        <v>0.93670632415656829</v>
      </c>
      <c r="GD228" s="146" cm="1">
        <f t="array" ref="GD228">IF($FY228=0,0,_xlfn.IFS($FY228='Key assumptions'!$C$120,_xlfn.XLOOKUP(LEFT(GD$7,6),Inflation_Year,Inflation_NominaltoReal),TRUE,_xlfn.XLOOKUP($FY228,Inflation_Year,NominaltoReal)))</f>
        <v>0.91252513001143176</v>
      </c>
      <c r="GE228" s="146" cm="1">
        <f t="array" ref="GE228">IF($FY228=0,0,_xlfn.IFS($FY228='Key assumptions'!$C$120,_xlfn.XLOOKUP(LEFT(GE$7,6),Inflation_Year,Inflation_NominaltoReal),TRUE,_xlfn.XLOOKUP($FY228,Inflation_Year,NominaltoReal)))</f>
        <v>0.88896817650095872</v>
      </c>
      <c r="GF228" s="146" cm="1">
        <f t="array" ref="GF228">IF($FY228=0,0,_xlfn.IFS($FY228='Key assumptions'!$C$120,_xlfn.XLOOKUP(LEFT(GF$7,6),Inflation_Year,Inflation_NominaltoReal),TRUE,_xlfn.XLOOKUP($FY228,Inflation_Year,NominaltoReal)))</f>
        <v>0.86601934877293718</v>
      </c>
      <c r="GG228" s="143"/>
      <c r="GH228" s="145" cm="1">
        <f t="array" ref="GH228">SUMPRODUCT(--($CR$7:$FW$7&gt;=GH$5),--($CR$7:$FW$7&lt;=GH$6),$CR228:$FW228)*FZ228</f>
        <v>270530.46227180114</v>
      </c>
      <c r="GI228" s="145" cm="1">
        <f t="array" ref="GI228">SUMPRODUCT(--($CR$7:$FW$7&gt;=GI$5),--($CR$7:$FW$7&lt;=GI$6),$CR228:$FW228)*GA228</f>
        <v>444212.24638101965</v>
      </c>
      <c r="GJ228" s="145" cm="1">
        <f t="array" ref="GJ228">SUMPRODUCT(--($CR$7:$FW$7&gt;=GJ$5),--($CR$7:$FW$7&lt;=GJ$6),$CR228:$FW228)*GB228</f>
        <v>445626.8294072047</v>
      </c>
      <c r="GK228" s="145" cm="1">
        <f t="array" ref="GK228">SUMPRODUCT(--($CR$7:$FW$7&gt;=GK$5),--($CR$7:$FW$7&lt;=GK$6),$CR228:$FW228)*GC228</f>
        <v>117121.26258218136</v>
      </c>
      <c r="GL228" s="145" cm="1">
        <f t="array" ref="GL228">SUMPRODUCT(--($CR$7:$FW$7&gt;=GL$5),--($CR$7:$FW$7&lt;=GL$6),$CR228:$FW228)*GD228</f>
        <v>0</v>
      </c>
      <c r="GM228" s="145" cm="1">
        <f t="array" ref="GM228">SUMPRODUCT(--($CR$7:$FW$7&gt;=GM$5),--($CR$7:$FW$7&lt;=GM$6),$CR228:$FW228)*GE228</f>
        <v>0</v>
      </c>
      <c r="GN228" s="145" cm="1">
        <f t="array" ref="GN228">SUMPRODUCT(--($CR$7:$FW$7&gt;=GN$5),--($CR$7:$FW$7&lt;=GN$6),$CR228:$FW228)*GF228</f>
        <v>0</v>
      </c>
      <c r="GO228" s="145">
        <f t="shared" si="69"/>
        <v>1277490.8006422068</v>
      </c>
      <c r="GP228" s="87"/>
      <c r="GR228" s="145" cm="1">
        <f t="array" ref="GR228">SUMPRODUCT(--($CR$7:$FW$7&gt;=GR$5),--($CR$7:$FW$7&lt;=GR$6),$CR228:$FW228)</f>
        <v>147390</v>
      </c>
      <c r="GT228" s="214" cm="1">
        <f t="array" ref="GT228">--AND(MIN(IF($K228:$CP228&lt;&gt;0,$K$7:$CP$7))&gt;=GT$5,MIN(IF($K228:$CP228&lt;&gt;0,$K$7:$CP$7))&lt;=GT$6)</f>
        <v>1</v>
      </c>
      <c r="GU228" s="214" cm="1">
        <f t="array" ref="GU228">--AND(MIN(IF($K228:$CP228&lt;&gt;0,$K$7:$CP$7))&gt;=GU$5,MIN(IF($K228:$CP228&lt;&gt;0,$K$7:$CP$7))&lt;=GU$6)</f>
        <v>0</v>
      </c>
      <c r="GV228" s="214" cm="1">
        <f t="array" ref="GV228">--AND(MIN(IF($K228:$CP228&lt;&gt;0,$K$7:$CP$7))&gt;=GV$5,MIN(IF($K228:$CP228&lt;&gt;0,$K$7:$CP$7))&lt;=GV$6)</f>
        <v>0</v>
      </c>
      <c r="GW228" s="214" cm="1">
        <f t="array" ref="GW228">--AND(MIN(IF($K228:$CP228&lt;&gt;0,$K$7:$CP$7))&gt;=GW$5,MIN(IF($K228:$CP228&lt;&gt;0,$K$7:$CP$7))&lt;=GW$6)</f>
        <v>0</v>
      </c>
      <c r="GX228" s="214" cm="1">
        <f t="array" ref="GX228">--AND(MIN(IF($K228:$CP228&lt;&gt;0,$K$7:$CP$7))&gt;=GX$5,MIN(IF($K228:$CP228&lt;&gt;0,$K$7:$CP$7))&lt;=GX$6)</f>
        <v>0</v>
      </c>
      <c r="GY228" s="214" cm="1">
        <f t="array" ref="GY228">--AND(MIN(IF($K228:$CP228&lt;&gt;0,$K$7:$CP$7))&gt;=GY$5,MIN(IF($K228:$CP228&lt;&gt;0,$K$7:$CP$7))&lt;=GY$6)</f>
        <v>0</v>
      </c>
      <c r="GZ228" s="214" cm="1">
        <f t="array" ref="GZ228">--AND(MIN(IF($K228:$CP228&lt;&gt;0,$K$7:$CP$7))&gt;=GZ$5,MIN(IF($K228:$CP228&lt;&gt;0,$K$7:$CP$7))&lt;=GZ$6)</f>
        <v>0</v>
      </c>
      <c r="HA228" s="214">
        <f t="shared" si="70"/>
        <v>1</v>
      </c>
      <c r="HC228" s="214" cm="1">
        <f t="array" ref="HC228">--AND(MIN(IF($K228:$CP228&lt;&gt;0,$K$7:$CP$7))&gt;=HC$5,MIN(IF($K228:$CP228&lt;&gt;0,$K$7:$CP$7))&lt;=HC$6)</f>
        <v>1</v>
      </c>
      <c r="HE228" s="147" t="str">
        <f t="shared" si="89"/>
        <v>No</v>
      </c>
      <c r="HF228" s="147" t="str">
        <f t="shared" si="90"/>
        <v>Yes</v>
      </c>
      <c r="HG228" s="147">
        <f>IF($HF228="Yes",0,$H228*avg_hrs*12*'Key assumptions'!$D$87)</f>
        <v>0</v>
      </c>
      <c r="HH228" s="147">
        <f>IF(HE228="Yes",'Key assumptions'!$D$84*HG228,0)</f>
        <v>0</v>
      </c>
      <c r="HI228" s="144">
        <f>IFERROR(AVERAGEIFS($K228:$CP228,$K$7:$CP$7,"&gt;="&amp;'Key assumptions'!$D$24,$K$7:$CP$7,"&lt;="&amp;'Key assumptions'!$D$25),0)</f>
        <v>0.4397357028935977</v>
      </c>
      <c r="HJ228" s="148">
        <f t="shared" si="91"/>
        <v>0</v>
      </c>
      <c r="HK228" s="148">
        <f t="shared" si="72"/>
        <v>0</v>
      </c>
      <c r="HL228" s="148">
        <f t="shared" si="73"/>
        <v>0</v>
      </c>
      <c r="HM228" s="148">
        <f t="shared" si="74"/>
        <v>0</v>
      </c>
      <c r="HN228" s="148">
        <f t="shared" si="75"/>
        <v>0</v>
      </c>
      <c r="HO228" s="148">
        <f t="shared" si="76"/>
        <v>0</v>
      </c>
      <c r="HP228" s="148">
        <f t="shared" si="77"/>
        <v>0</v>
      </c>
      <c r="HQ228" s="148">
        <f t="shared" si="78"/>
        <v>0</v>
      </c>
      <c r="HR228" s="147">
        <f t="shared" si="79"/>
        <v>0</v>
      </c>
      <c r="HU228" s="147">
        <f>$HJ228*HC228/(1+'Key assumptions'!G250)^0.75</f>
        <v>0</v>
      </c>
      <c r="HW228" s="216">
        <f t="shared" si="80"/>
        <v>0.4397357028935977</v>
      </c>
      <c r="HX228" s="216">
        <f t="shared" si="81"/>
        <v>0</v>
      </c>
      <c r="HY228" s="216">
        <f t="shared" si="82"/>
        <v>0</v>
      </c>
      <c r="HZ228" s="216">
        <f t="shared" si="83"/>
        <v>0</v>
      </c>
      <c r="IA228" s="216">
        <f t="shared" si="84"/>
        <v>0</v>
      </c>
      <c r="IB228" s="216">
        <f t="shared" si="85"/>
        <v>0</v>
      </c>
      <c r="IC228" s="216">
        <f t="shared" si="86"/>
        <v>0</v>
      </c>
      <c r="ID228" s="216">
        <f t="shared" si="87"/>
        <v>0.4397357028935977</v>
      </c>
      <c r="IF228" s="216">
        <f t="shared" si="88"/>
        <v>0.4397357028935977</v>
      </c>
    </row>
    <row r="229" spans="2:240" x14ac:dyDescent="0.2">
      <c r="B229" s="141" t="str">
        <v>Project Delivery Management - Construction Management</v>
      </c>
      <c r="C229" s="141" t="str">
        <v>Substation Site Manager - Senior (Construction)</v>
      </c>
      <c r="D229" s="141" t="str">
        <v>Internal Labour</v>
      </c>
      <c r="E229" s="141" t="str">
        <v>$ Nominal</v>
      </c>
      <c r="F229" s="141" t="str">
        <v>Existing</v>
      </c>
      <c r="G229" s="141" t="str">
        <v>Normal time</v>
      </c>
      <c r="H229" s="142">
        <v>214.83</v>
      </c>
      <c r="I229" s="126">
        <v>846449.88999999978</v>
      </c>
      <c r="J229" s="143">
        <v>0</v>
      </c>
      <c r="K229" s="144">
        <v>0</v>
      </c>
      <c r="L229" s="144">
        <v>0</v>
      </c>
      <c r="M229" s="144">
        <v>0</v>
      </c>
      <c r="N229" s="144">
        <v>0</v>
      </c>
      <c r="O229" s="144">
        <v>0</v>
      </c>
      <c r="P229" s="144">
        <v>0</v>
      </c>
      <c r="Q229" s="144">
        <v>0</v>
      </c>
      <c r="R229" s="144">
        <v>0</v>
      </c>
      <c r="S229" s="144">
        <v>0</v>
      </c>
      <c r="T229" s="144">
        <v>0</v>
      </c>
      <c r="U229" s="144">
        <v>0</v>
      </c>
      <c r="V229" s="144">
        <v>0</v>
      </c>
      <c r="W229" s="144">
        <v>0</v>
      </c>
      <c r="X229" s="144">
        <v>0</v>
      </c>
      <c r="Y229" s="144">
        <v>0</v>
      </c>
      <c r="Z229" s="144">
        <v>0</v>
      </c>
      <c r="AA229" s="144">
        <v>0</v>
      </c>
      <c r="AB229" s="144">
        <v>0</v>
      </c>
      <c r="AC229" s="144">
        <v>0</v>
      </c>
      <c r="AD229" s="144">
        <v>0</v>
      </c>
      <c r="AE229" s="144">
        <v>0</v>
      </c>
      <c r="AF229" s="144">
        <v>0</v>
      </c>
      <c r="AG229" s="144">
        <v>0</v>
      </c>
      <c r="AH229" s="144">
        <v>0.8</v>
      </c>
      <c r="AI229" s="144">
        <v>1.5333333333333334</v>
      </c>
      <c r="AJ229" s="144">
        <v>0.8</v>
      </c>
      <c r="AK229" s="144">
        <v>0.8</v>
      </c>
      <c r="AL229" s="144">
        <v>1.2666666666666666</v>
      </c>
      <c r="AM229" s="144">
        <v>0.82894736842105265</v>
      </c>
      <c r="AN229" s="144">
        <v>0.78289473684210531</v>
      </c>
      <c r="AO229" s="144">
        <v>0.9</v>
      </c>
      <c r="AP229" s="144">
        <v>0.85</v>
      </c>
      <c r="AQ229" s="144">
        <v>0.9</v>
      </c>
      <c r="AR229" s="144">
        <v>0.9</v>
      </c>
      <c r="AS229" s="144">
        <v>0.85</v>
      </c>
      <c r="AT229" s="144">
        <v>1.0666666666666667</v>
      </c>
      <c r="AU229" s="144">
        <v>1.2666666666666666</v>
      </c>
      <c r="AV229" s="144">
        <v>0.8</v>
      </c>
      <c r="AW229" s="144">
        <v>0.95</v>
      </c>
      <c r="AX229" s="144">
        <v>1.0666666666666667</v>
      </c>
      <c r="AY229" s="144">
        <v>0.875</v>
      </c>
      <c r="AZ229" s="144">
        <v>0.875</v>
      </c>
      <c r="BA229" s="144">
        <v>0.8</v>
      </c>
      <c r="BB229" s="144">
        <v>0.9</v>
      </c>
      <c r="BC229" s="144">
        <v>0.85</v>
      </c>
      <c r="BD229" s="144">
        <v>0.9</v>
      </c>
      <c r="BE229" s="144">
        <v>0.9</v>
      </c>
      <c r="BF229" s="144">
        <v>0.93333333333333335</v>
      </c>
      <c r="BG229" s="144">
        <v>7.0476190476190474</v>
      </c>
      <c r="BH229" s="144">
        <v>0</v>
      </c>
      <c r="BI229" s="144">
        <v>0</v>
      </c>
      <c r="BJ229" s="144">
        <v>0</v>
      </c>
      <c r="BK229" s="144">
        <v>0</v>
      </c>
      <c r="BL229" s="144">
        <v>0</v>
      </c>
      <c r="BM229" s="144">
        <v>0</v>
      </c>
      <c r="BN229" s="144">
        <v>0</v>
      </c>
      <c r="BO229" s="144">
        <v>0</v>
      </c>
      <c r="BP229" s="144">
        <v>0</v>
      </c>
      <c r="BQ229" s="144">
        <v>0</v>
      </c>
      <c r="BR229" s="144">
        <v>0</v>
      </c>
      <c r="BS229" s="144">
        <v>0</v>
      </c>
      <c r="BT229" s="144">
        <v>0</v>
      </c>
      <c r="BU229" s="144">
        <v>0</v>
      </c>
      <c r="BV229" s="144">
        <v>0</v>
      </c>
      <c r="BW229" s="144">
        <v>0</v>
      </c>
      <c r="BX229" s="144">
        <v>0</v>
      </c>
      <c r="BY229" s="144">
        <v>0</v>
      </c>
      <c r="BZ229" s="144">
        <v>0</v>
      </c>
      <c r="CA229" s="144">
        <v>0</v>
      </c>
      <c r="CB229" s="144">
        <v>0</v>
      </c>
      <c r="CC229" s="144">
        <v>0</v>
      </c>
      <c r="CD229" s="144">
        <v>0</v>
      </c>
      <c r="CE229" s="144">
        <v>0</v>
      </c>
      <c r="CF229" s="144">
        <v>0</v>
      </c>
      <c r="CG229" s="144">
        <v>0</v>
      </c>
      <c r="CH229" s="144">
        <v>0</v>
      </c>
      <c r="CI229" s="144">
        <v>0</v>
      </c>
      <c r="CJ229" s="144">
        <v>0</v>
      </c>
      <c r="CK229" s="144">
        <v>0</v>
      </c>
      <c r="CL229" s="144">
        <v>0</v>
      </c>
      <c r="CM229" s="144">
        <v>0</v>
      </c>
      <c r="CN229" s="144">
        <v>0</v>
      </c>
      <c r="CO229" s="144">
        <v>0</v>
      </c>
      <c r="CP229" s="144">
        <v>0</v>
      </c>
      <c r="CQ229" s="143">
        <v>0</v>
      </c>
      <c r="CR229" s="145">
        <v>0</v>
      </c>
      <c r="CS229" s="145">
        <v>0</v>
      </c>
      <c r="CT229" s="145">
        <v>0</v>
      </c>
      <c r="CU229" s="145">
        <v>0</v>
      </c>
      <c r="CV229" s="145">
        <v>0</v>
      </c>
      <c r="CW229" s="145">
        <v>0</v>
      </c>
      <c r="CX229" s="145">
        <v>0</v>
      </c>
      <c r="CY229" s="145">
        <v>0</v>
      </c>
      <c r="CZ229" s="145">
        <v>0</v>
      </c>
      <c r="DA229" s="145">
        <v>0</v>
      </c>
      <c r="DB229" s="145">
        <v>0</v>
      </c>
      <c r="DC229" s="145">
        <v>0</v>
      </c>
      <c r="DD229" s="145">
        <v>0</v>
      </c>
      <c r="DE229" s="145">
        <v>0</v>
      </c>
      <c r="DF229" s="145">
        <v>0</v>
      </c>
      <c r="DG229" s="145">
        <v>0</v>
      </c>
      <c r="DH229" s="145">
        <v>0</v>
      </c>
      <c r="DI229" s="145">
        <v>0</v>
      </c>
      <c r="DJ229" s="145">
        <v>0</v>
      </c>
      <c r="DK229" s="145">
        <v>0</v>
      </c>
      <c r="DL229" s="145">
        <v>0</v>
      </c>
      <c r="DM229" s="145">
        <v>0</v>
      </c>
      <c r="DN229" s="145">
        <v>0</v>
      </c>
      <c r="DO229" s="145">
        <v>18045.72</v>
      </c>
      <c r="DP229" s="145">
        <v>34587.630000000005</v>
      </c>
      <c r="DQ229" s="145">
        <v>24060.960000000003</v>
      </c>
      <c r="DR229" s="145">
        <v>24776.639999999999</v>
      </c>
      <c r="DS229" s="145">
        <v>29422.26</v>
      </c>
      <c r="DT229" s="145">
        <v>27873.72</v>
      </c>
      <c r="DU229" s="145">
        <v>26325.18</v>
      </c>
      <c r="DV229" s="145">
        <v>27873.72</v>
      </c>
      <c r="DW229" s="145">
        <v>26325.18</v>
      </c>
      <c r="DX229" s="145">
        <v>27873.72</v>
      </c>
      <c r="DY229" s="145">
        <v>27873.72</v>
      </c>
      <c r="DZ229" s="145">
        <v>26325.18</v>
      </c>
      <c r="EA229" s="145">
        <v>24776.639999999999</v>
      </c>
      <c r="EB229" s="145">
        <v>29422.26</v>
      </c>
      <c r="EC229" s="145">
        <v>24776.639999999999</v>
      </c>
      <c r="ED229" s="145">
        <v>30302.720000000001</v>
      </c>
      <c r="EE229" s="145">
        <v>25518.080000000002</v>
      </c>
      <c r="EF229" s="145">
        <v>30302.720000000001</v>
      </c>
      <c r="EG229" s="145">
        <v>30302.720000000001</v>
      </c>
      <c r="EH229" s="145">
        <v>25518.080000000002</v>
      </c>
      <c r="EI229" s="145">
        <v>28707.84</v>
      </c>
      <c r="EJ229" s="145">
        <v>27112.959999999999</v>
      </c>
      <c r="EK229" s="145">
        <v>28707.84</v>
      </c>
      <c r="EL229" s="145">
        <v>28707.84</v>
      </c>
      <c r="EM229" s="145">
        <v>22328.32</v>
      </c>
      <c r="EN229" s="145">
        <v>168601.60000000001</v>
      </c>
      <c r="EO229" s="145">
        <v>0</v>
      </c>
      <c r="EP229" s="145">
        <v>0</v>
      </c>
      <c r="EQ229" s="145">
        <v>0</v>
      </c>
      <c r="ER229" s="145">
        <v>0</v>
      </c>
      <c r="ES229" s="145">
        <v>0</v>
      </c>
      <c r="ET229" s="145">
        <v>0</v>
      </c>
      <c r="EU229" s="145">
        <v>0</v>
      </c>
      <c r="EV229" s="145">
        <v>0</v>
      </c>
      <c r="EW229" s="145">
        <v>0</v>
      </c>
      <c r="EX229" s="145">
        <v>0</v>
      </c>
      <c r="EY229" s="145">
        <v>0</v>
      </c>
      <c r="EZ229" s="145">
        <v>0</v>
      </c>
      <c r="FA229" s="145">
        <v>0</v>
      </c>
      <c r="FB229" s="145">
        <v>0</v>
      </c>
      <c r="FC229" s="145">
        <v>0</v>
      </c>
      <c r="FD229" s="145">
        <v>0</v>
      </c>
      <c r="FE229" s="145">
        <v>0</v>
      </c>
      <c r="FF229" s="145">
        <v>0</v>
      </c>
      <c r="FG229" s="145">
        <v>0</v>
      </c>
      <c r="FH229" s="145">
        <v>0</v>
      </c>
      <c r="FI229" s="145">
        <v>0</v>
      </c>
      <c r="FJ229" s="145">
        <v>0</v>
      </c>
      <c r="FK229" s="145">
        <v>0</v>
      </c>
      <c r="FL229" s="145">
        <v>0</v>
      </c>
      <c r="FM229" s="145">
        <v>0</v>
      </c>
      <c r="FN229" s="145">
        <v>0</v>
      </c>
      <c r="FO229" s="145">
        <v>0</v>
      </c>
      <c r="FP229" s="145">
        <v>0</v>
      </c>
      <c r="FQ229" s="145">
        <v>0</v>
      </c>
      <c r="FR229" s="145">
        <v>0</v>
      </c>
      <c r="FS229" s="145">
        <v>0</v>
      </c>
      <c r="FT229" s="145">
        <v>0</v>
      </c>
      <c r="FU229" s="145">
        <v>0</v>
      </c>
      <c r="FV229" s="145">
        <v>0</v>
      </c>
      <c r="FW229" s="145">
        <v>0</v>
      </c>
      <c r="FX229" s="143"/>
      <c r="FY229" s="146" t="str">
        <f>_xlfn.XLOOKUP($E229,'Key assumptions'!$B$112:$B$120,'Key assumptions'!$C$112:$C$120,0)</f>
        <v>Nominal</v>
      </c>
      <c r="FZ229" s="146" cm="1">
        <f t="array" ref="FZ229">IF($FY229=0,0,_xlfn.IFS($FY229='Key assumptions'!$C$120,_xlfn.XLOOKUP(LEFT(FZ$7,6),Inflation_Year,Inflation_NominaltoReal),TRUE,_xlfn.XLOOKUP($FY229,Inflation_Year,NominaltoReal)))</f>
        <v>1.0197075870962191</v>
      </c>
      <c r="GA229" s="146" cm="1">
        <f t="array" ref="GA229">IF($FY229=0,0,_xlfn.IFS($FY229='Key assumptions'!$C$120,_xlfn.XLOOKUP(LEFT(GA$7,6),Inflation_Year,Inflation_NominaltoReal),TRUE,_xlfn.XLOOKUP($FY229,Inflation_Year,NominaltoReal)))</f>
        <v>0.98700804022984445</v>
      </c>
      <c r="GB229" s="146" cm="1">
        <f t="array" ref="GB229">IF($FY229=0,0,_xlfn.IFS($FY229='Key assumptions'!$C$120,_xlfn.XLOOKUP(LEFT(GB$7,6),Inflation_Year,Inflation_NominaltoReal),TRUE,_xlfn.XLOOKUP($FY229,Inflation_Year,NominaltoReal)))</f>
        <v>0.96152830081941731</v>
      </c>
      <c r="GC229" s="146" cm="1">
        <f t="array" ref="GC229">IF($FY229=0,0,_xlfn.IFS($FY229='Key assumptions'!$C$120,_xlfn.XLOOKUP(LEFT(GC$7,6),Inflation_Year,Inflation_NominaltoReal),TRUE,_xlfn.XLOOKUP($FY229,Inflation_Year,NominaltoReal)))</f>
        <v>0.93670632415656829</v>
      </c>
      <c r="GD229" s="146" cm="1">
        <f t="array" ref="GD229">IF($FY229=0,0,_xlfn.IFS($FY229='Key assumptions'!$C$120,_xlfn.XLOOKUP(LEFT(GD$7,6),Inflation_Year,Inflation_NominaltoReal),TRUE,_xlfn.XLOOKUP($FY229,Inflation_Year,NominaltoReal)))</f>
        <v>0.91252513001143176</v>
      </c>
      <c r="GE229" s="146" cm="1">
        <f t="array" ref="GE229">IF($FY229=0,0,_xlfn.IFS($FY229='Key assumptions'!$C$120,_xlfn.XLOOKUP(LEFT(GE$7,6),Inflation_Year,Inflation_NominaltoReal),TRUE,_xlfn.XLOOKUP($FY229,Inflation_Year,NominaltoReal)))</f>
        <v>0.88896817650095872</v>
      </c>
      <c r="GF229" s="146" cm="1">
        <f t="array" ref="GF229">IF($FY229=0,0,_xlfn.IFS($FY229='Key assumptions'!$C$120,_xlfn.XLOOKUP(LEFT(GF$7,6),Inflation_Year,Inflation_NominaltoReal),TRUE,_xlfn.XLOOKUP($FY229,Inflation_Year,NominaltoReal)))</f>
        <v>0.86601934877293718</v>
      </c>
      <c r="GG229" s="143"/>
      <c r="GH229" s="145" cm="1">
        <f t="array" ref="GH229">SUMPRODUCT(--($CR$7:$FW$7&gt;=GH$5),--($CR$7:$FW$7&lt;=GH$6),$CR229:$FW229)*FZ229</f>
        <v>0</v>
      </c>
      <c r="GI229" s="145" cm="1">
        <f t="array" ref="GI229">SUMPRODUCT(--($CR$7:$FW$7&gt;=GI$5),--($CR$7:$FW$7&lt;=GI$6),$CR229:$FW229)*GA229</f>
        <v>263693.7365758355</v>
      </c>
      <c r="GJ229" s="145" cm="1">
        <f t="array" ref="GJ229">SUMPRODUCT(--($CR$7:$FW$7&gt;=GJ$5),--($CR$7:$FW$7&lt;=GJ$6),$CR229:$FW229)*GB229</f>
        <v>318207.75280072563</v>
      </c>
      <c r="GK229" s="145" cm="1">
        <f t="array" ref="GK229">SUMPRODUCT(--($CR$7:$FW$7&gt;=GK$5),--($CR$7:$FW$7&lt;=GK$6),$CR229:$FW229)*GC229</f>
        <v>232626.89409645746</v>
      </c>
      <c r="GL229" s="145" cm="1">
        <f t="array" ref="GL229">SUMPRODUCT(--($CR$7:$FW$7&gt;=GL$5),--($CR$7:$FW$7&lt;=GL$6),$CR229:$FW229)*GD229</f>
        <v>0</v>
      </c>
      <c r="GM229" s="145" cm="1">
        <f t="array" ref="GM229">SUMPRODUCT(--($CR$7:$FW$7&gt;=GM$5),--($CR$7:$FW$7&lt;=GM$6),$CR229:$FW229)*GE229</f>
        <v>0</v>
      </c>
      <c r="GN229" s="145" cm="1">
        <f t="array" ref="GN229">SUMPRODUCT(--($CR$7:$FW$7&gt;=GN$5),--($CR$7:$FW$7&lt;=GN$6),$CR229:$FW229)*GF229</f>
        <v>0</v>
      </c>
      <c r="GO229" s="145">
        <f t="shared" si="69"/>
        <v>814528.38347301865</v>
      </c>
      <c r="GP229" s="87"/>
      <c r="GR229" s="145" cm="1">
        <f t="array" ref="GR229">SUMPRODUCT(--($CR$7:$FW$7&gt;=GR$5),--($CR$7:$FW$7&lt;=GR$6),$CR229:$FW229)</f>
        <v>0</v>
      </c>
      <c r="GT229" s="214" cm="1">
        <f t="array" ref="GT229">--AND(MIN(IF($K229:$CP229&lt;&gt;0,$K$7:$CP$7))&gt;=GT$5,MIN(IF($K229:$CP229&lt;&gt;0,$K$7:$CP$7))&lt;=GT$6)</f>
        <v>0</v>
      </c>
      <c r="GU229" s="214" cm="1">
        <f t="array" ref="GU229">--AND(MIN(IF($K229:$CP229&lt;&gt;0,$K$7:$CP$7))&gt;=GU$5,MIN(IF($K229:$CP229&lt;&gt;0,$K$7:$CP$7))&lt;=GU$6)</f>
        <v>1</v>
      </c>
      <c r="GV229" s="214" cm="1">
        <f t="array" ref="GV229">--AND(MIN(IF($K229:$CP229&lt;&gt;0,$K$7:$CP$7))&gt;=GV$5,MIN(IF($K229:$CP229&lt;&gt;0,$K$7:$CP$7))&lt;=GV$6)</f>
        <v>0</v>
      </c>
      <c r="GW229" s="214" cm="1">
        <f t="array" ref="GW229">--AND(MIN(IF($K229:$CP229&lt;&gt;0,$K$7:$CP$7))&gt;=GW$5,MIN(IF($K229:$CP229&lt;&gt;0,$K$7:$CP$7))&lt;=GW$6)</f>
        <v>0</v>
      </c>
      <c r="GX229" s="214" cm="1">
        <f t="array" ref="GX229">--AND(MIN(IF($K229:$CP229&lt;&gt;0,$K$7:$CP$7))&gt;=GX$5,MIN(IF($K229:$CP229&lt;&gt;0,$K$7:$CP$7))&lt;=GX$6)</f>
        <v>0</v>
      </c>
      <c r="GY229" s="214" cm="1">
        <f t="array" ref="GY229">--AND(MIN(IF($K229:$CP229&lt;&gt;0,$K$7:$CP$7))&gt;=GY$5,MIN(IF($K229:$CP229&lt;&gt;0,$K$7:$CP$7))&lt;=GY$6)</f>
        <v>0</v>
      </c>
      <c r="GZ229" s="214" cm="1">
        <f t="array" ref="GZ229">--AND(MIN(IF($K229:$CP229&lt;&gt;0,$K$7:$CP$7))&gt;=GZ$5,MIN(IF($K229:$CP229&lt;&gt;0,$K$7:$CP$7))&lt;=GZ$6)</f>
        <v>0</v>
      </c>
      <c r="HA229" s="214">
        <f t="shared" si="70"/>
        <v>1</v>
      </c>
      <c r="HC229" s="214" cm="1">
        <f t="array" ref="HC229">--AND(MIN(IF($K229:$CP229&lt;&gt;0,$K$7:$CP$7))&gt;=HC$5,MIN(IF($K229:$CP229&lt;&gt;0,$K$7:$CP$7))&lt;=HC$6)</f>
        <v>0</v>
      </c>
      <c r="HE229" s="147" t="str">
        <f t="shared" si="89"/>
        <v>No</v>
      </c>
      <c r="HF229" s="147" t="str">
        <f t="shared" si="90"/>
        <v>No</v>
      </c>
      <c r="HG229" s="147">
        <f>IF($HF229="Yes",0,$H229*avg_hrs*12*'Key assumptions'!$D$87)</f>
        <v>384173.83131128055</v>
      </c>
      <c r="HH229" s="147">
        <f>IF(HE229="Yes",'Key assumptions'!$D$84*HG229,0)</f>
        <v>0</v>
      </c>
      <c r="HI229" s="144">
        <f>IFERROR(AVERAGEIFS($K229:$CP229,$K$7:$CP$7,"&gt;="&amp;'Key assumptions'!$D$24,$K$7:$CP$7,"&lt;="&amp;'Key assumptions'!$D$25),0)</f>
        <v>0.69188169286853496</v>
      </c>
      <c r="HJ229" s="148">
        <f t="shared" si="91"/>
        <v>0</v>
      </c>
      <c r="HK229" s="148">
        <f t="shared" si="72"/>
        <v>0</v>
      </c>
      <c r="HL229" s="148">
        <f t="shared" si="73"/>
        <v>0</v>
      </c>
      <c r="HM229" s="148">
        <f t="shared" si="74"/>
        <v>0</v>
      </c>
      <c r="HN229" s="148">
        <f t="shared" si="75"/>
        <v>0</v>
      </c>
      <c r="HO229" s="148">
        <f t="shared" si="76"/>
        <v>0</v>
      </c>
      <c r="HP229" s="148">
        <f t="shared" si="77"/>
        <v>0</v>
      </c>
      <c r="HQ229" s="148">
        <f t="shared" si="78"/>
        <v>0</v>
      </c>
      <c r="HR229" s="147">
        <f t="shared" si="79"/>
        <v>0</v>
      </c>
      <c r="HU229" s="147">
        <f>$HJ229*HC229/(1+'Key assumptions'!G251)^0.75</f>
        <v>0</v>
      </c>
      <c r="HW229" s="216">
        <f t="shared" si="80"/>
        <v>0</v>
      </c>
      <c r="HX229" s="216">
        <f t="shared" si="81"/>
        <v>0.69188169286853496</v>
      </c>
      <c r="HY229" s="216">
        <f t="shared" si="82"/>
        <v>0</v>
      </c>
      <c r="HZ229" s="216">
        <f t="shared" si="83"/>
        <v>0</v>
      </c>
      <c r="IA229" s="216">
        <f t="shared" si="84"/>
        <v>0</v>
      </c>
      <c r="IB229" s="216">
        <f t="shared" si="85"/>
        <v>0</v>
      </c>
      <c r="IC229" s="216">
        <f t="shared" si="86"/>
        <v>0</v>
      </c>
      <c r="ID229" s="216">
        <f t="shared" si="87"/>
        <v>0.69188169286853496</v>
      </c>
      <c r="IF229" s="216">
        <f t="shared" si="88"/>
        <v>0</v>
      </c>
    </row>
    <row r="230" spans="2:240" x14ac:dyDescent="0.2">
      <c r="B230" s="141" t="str">
        <v>Project Delivery Management - Construction Management</v>
      </c>
      <c r="C230" s="141" t="str">
        <v>Substation Site Manager - Senior (Construction)</v>
      </c>
      <c r="D230" s="141" t="str">
        <v>Internal Labour</v>
      </c>
      <c r="E230" s="141" t="str">
        <v>$ Nominal</v>
      </c>
      <c r="F230" s="141">
        <v>0</v>
      </c>
      <c r="G230" s="141" t="str">
        <v>Overtime</v>
      </c>
      <c r="H230" s="142">
        <v>214.83</v>
      </c>
      <c r="I230" s="126">
        <v>1169900.3099999998</v>
      </c>
      <c r="J230" s="143">
        <v>0</v>
      </c>
      <c r="K230" s="144">
        <v>0</v>
      </c>
      <c r="L230" s="144">
        <v>0</v>
      </c>
      <c r="M230" s="144">
        <v>0</v>
      </c>
      <c r="N230" s="144">
        <v>0</v>
      </c>
      <c r="O230" s="144">
        <v>0</v>
      </c>
      <c r="P230" s="144">
        <v>0</v>
      </c>
      <c r="Q230" s="144">
        <v>0</v>
      </c>
      <c r="R230" s="144">
        <v>0</v>
      </c>
      <c r="S230" s="144">
        <v>0</v>
      </c>
      <c r="T230" s="144">
        <v>0</v>
      </c>
      <c r="U230" s="144">
        <v>0</v>
      </c>
      <c r="V230" s="144">
        <v>0</v>
      </c>
      <c r="W230" s="144">
        <v>0</v>
      </c>
      <c r="X230" s="144">
        <v>0</v>
      </c>
      <c r="Y230" s="144">
        <v>0</v>
      </c>
      <c r="Z230" s="144">
        <v>0</v>
      </c>
      <c r="AA230" s="144">
        <v>0</v>
      </c>
      <c r="AB230" s="144">
        <v>0</v>
      </c>
      <c r="AC230" s="144">
        <v>0</v>
      </c>
      <c r="AD230" s="144">
        <v>0</v>
      </c>
      <c r="AE230" s="144">
        <v>0</v>
      </c>
      <c r="AF230" s="144">
        <v>0</v>
      </c>
      <c r="AG230" s="144">
        <v>0</v>
      </c>
      <c r="AH230" s="144">
        <v>0.8</v>
      </c>
      <c r="AI230" s="144">
        <v>1.3428571428571427</v>
      </c>
      <c r="AJ230" s="144">
        <v>0.68571428571428572</v>
      </c>
      <c r="AK230" s="144">
        <v>0.68571428571428572</v>
      </c>
      <c r="AL230" s="144">
        <v>1</v>
      </c>
      <c r="AM230" s="144">
        <v>0.75</v>
      </c>
      <c r="AN230" s="144">
        <v>0.73026315789473684</v>
      </c>
      <c r="AO230" s="144">
        <v>0.72857142857142854</v>
      </c>
      <c r="AP230" s="144">
        <v>0.70714285714285718</v>
      </c>
      <c r="AQ230" s="144">
        <v>0.72857142857142854</v>
      </c>
      <c r="AR230" s="144">
        <v>0.72857142857142854</v>
      </c>
      <c r="AS230" s="144">
        <v>0.87857142857142856</v>
      </c>
      <c r="AT230" s="144">
        <v>0.68571428571428572</v>
      </c>
      <c r="AU230" s="144">
        <v>1.2285714285714286</v>
      </c>
      <c r="AV230" s="144">
        <v>0.68571428571428572</v>
      </c>
      <c r="AW230" s="144">
        <v>0.75</v>
      </c>
      <c r="AX230" s="144">
        <v>0.91428571428571426</v>
      </c>
      <c r="AY230" s="144">
        <v>0.84868421052631582</v>
      </c>
      <c r="AZ230" s="144">
        <v>0.84868421052631582</v>
      </c>
      <c r="BA230" s="144">
        <v>0.68571428571428572</v>
      </c>
      <c r="BB230" s="144">
        <v>0.72857142857142854</v>
      </c>
      <c r="BC230" s="144">
        <v>0.70714285714285718</v>
      </c>
      <c r="BD230" s="144">
        <v>0.72857142857142854</v>
      </c>
      <c r="BE230" s="144">
        <v>0.9</v>
      </c>
      <c r="BF230" s="144">
        <v>0.62857142857142856</v>
      </c>
      <c r="BG230" s="144">
        <v>0</v>
      </c>
      <c r="BH230" s="144">
        <v>0</v>
      </c>
      <c r="BI230" s="144">
        <v>0</v>
      </c>
      <c r="BJ230" s="144">
        <v>0</v>
      </c>
      <c r="BK230" s="144">
        <v>0</v>
      </c>
      <c r="BL230" s="144">
        <v>0</v>
      </c>
      <c r="BM230" s="144">
        <v>0</v>
      </c>
      <c r="BN230" s="144">
        <v>0</v>
      </c>
      <c r="BO230" s="144">
        <v>0</v>
      </c>
      <c r="BP230" s="144">
        <v>0</v>
      </c>
      <c r="BQ230" s="144">
        <v>0</v>
      </c>
      <c r="BR230" s="144">
        <v>0</v>
      </c>
      <c r="BS230" s="144">
        <v>0</v>
      </c>
      <c r="BT230" s="144">
        <v>0</v>
      </c>
      <c r="BU230" s="144">
        <v>0</v>
      </c>
      <c r="BV230" s="144">
        <v>0</v>
      </c>
      <c r="BW230" s="144">
        <v>0</v>
      </c>
      <c r="BX230" s="144">
        <v>0</v>
      </c>
      <c r="BY230" s="144">
        <v>0</v>
      </c>
      <c r="BZ230" s="144">
        <v>0</v>
      </c>
      <c r="CA230" s="144">
        <v>0</v>
      </c>
      <c r="CB230" s="144">
        <v>0</v>
      </c>
      <c r="CC230" s="144">
        <v>0</v>
      </c>
      <c r="CD230" s="144">
        <v>0</v>
      </c>
      <c r="CE230" s="144">
        <v>0</v>
      </c>
      <c r="CF230" s="144">
        <v>0</v>
      </c>
      <c r="CG230" s="144">
        <v>0</v>
      </c>
      <c r="CH230" s="144">
        <v>0</v>
      </c>
      <c r="CI230" s="144">
        <v>0</v>
      </c>
      <c r="CJ230" s="144">
        <v>0</v>
      </c>
      <c r="CK230" s="144">
        <v>0</v>
      </c>
      <c r="CL230" s="144">
        <v>0</v>
      </c>
      <c r="CM230" s="144">
        <v>0</v>
      </c>
      <c r="CN230" s="144">
        <v>0</v>
      </c>
      <c r="CO230" s="144">
        <v>0</v>
      </c>
      <c r="CP230" s="144">
        <v>0</v>
      </c>
      <c r="CQ230" s="143">
        <v>0</v>
      </c>
      <c r="CR230" s="145">
        <v>0</v>
      </c>
      <c r="CS230" s="145">
        <v>0</v>
      </c>
      <c r="CT230" s="145">
        <v>0</v>
      </c>
      <c r="CU230" s="145">
        <v>0</v>
      </c>
      <c r="CV230" s="145">
        <v>0</v>
      </c>
      <c r="CW230" s="145">
        <v>0</v>
      </c>
      <c r="CX230" s="145">
        <v>0</v>
      </c>
      <c r="CY230" s="145">
        <v>0</v>
      </c>
      <c r="CZ230" s="145">
        <v>0</v>
      </c>
      <c r="DA230" s="145">
        <v>0</v>
      </c>
      <c r="DB230" s="145">
        <v>0</v>
      </c>
      <c r="DC230" s="145">
        <v>0</v>
      </c>
      <c r="DD230" s="145">
        <v>0</v>
      </c>
      <c r="DE230" s="145">
        <v>0</v>
      </c>
      <c r="DF230" s="145">
        <v>0</v>
      </c>
      <c r="DG230" s="145">
        <v>0</v>
      </c>
      <c r="DH230" s="145">
        <v>0</v>
      </c>
      <c r="DI230" s="145">
        <v>0</v>
      </c>
      <c r="DJ230" s="145">
        <v>0</v>
      </c>
      <c r="DK230" s="145">
        <v>0</v>
      </c>
      <c r="DL230" s="145">
        <v>0</v>
      </c>
      <c r="DM230" s="145">
        <v>0</v>
      </c>
      <c r="DN230" s="145">
        <v>0</v>
      </c>
      <c r="DO230" s="145">
        <v>36091.440000000002</v>
      </c>
      <c r="DP230" s="145">
        <v>60582.060000000005</v>
      </c>
      <c r="DQ230" s="145">
        <v>41247.360000000001</v>
      </c>
      <c r="DR230" s="145">
        <v>42475.199999999997</v>
      </c>
      <c r="DS230" s="145">
        <v>46457.25</v>
      </c>
      <c r="DT230" s="145">
        <v>50439.299999999996</v>
      </c>
      <c r="DU230" s="145">
        <v>49111.95</v>
      </c>
      <c r="DV230" s="145">
        <v>45129.9</v>
      </c>
      <c r="DW230" s="145">
        <v>43802.549999999996</v>
      </c>
      <c r="DX230" s="145">
        <v>45129.9</v>
      </c>
      <c r="DY230" s="145">
        <v>45129.9</v>
      </c>
      <c r="DZ230" s="145">
        <v>54421.35</v>
      </c>
      <c r="EA230" s="145">
        <v>31856.399999999998</v>
      </c>
      <c r="EB230" s="145">
        <v>57076.049999999996</v>
      </c>
      <c r="EC230" s="145">
        <v>42475.199999999997</v>
      </c>
      <c r="ED230" s="145">
        <v>47847.45</v>
      </c>
      <c r="EE230" s="145">
        <v>43746.239999999998</v>
      </c>
      <c r="EF230" s="145">
        <v>58784.01</v>
      </c>
      <c r="EG230" s="145">
        <v>58784.01</v>
      </c>
      <c r="EH230" s="145">
        <v>43746.239999999998</v>
      </c>
      <c r="EI230" s="145">
        <v>46480.38</v>
      </c>
      <c r="EJ230" s="145">
        <v>45113.31</v>
      </c>
      <c r="EK230" s="145">
        <v>46480.38</v>
      </c>
      <c r="EL230" s="145">
        <v>57416.94</v>
      </c>
      <c r="EM230" s="145">
        <v>30075.54</v>
      </c>
      <c r="EN230" s="145">
        <v>0</v>
      </c>
      <c r="EO230" s="145">
        <v>0</v>
      </c>
      <c r="EP230" s="145">
        <v>0</v>
      </c>
      <c r="EQ230" s="145">
        <v>0</v>
      </c>
      <c r="ER230" s="145">
        <v>0</v>
      </c>
      <c r="ES230" s="145">
        <v>0</v>
      </c>
      <c r="ET230" s="145">
        <v>0</v>
      </c>
      <c r="EU230" s="145">
        <v>0</v>
      </c>
      <c r="EV230" s="145">
        <v>0</v>
      </c>
      <c r="EW230" s="145">
        <v>0</v>
      </c>
      <c r="EX230" s="145">
        <v>0</v>
      </c>
      <c r="EY230" s="145">
        <v>0</v>
      </c>
      <c r="EZ230" s="145">
        <v>0</v>
      </c>
      <c r="FA230" s="145">
        <v>0</v>
      </c>
      <c r="FB230" s="145">
        <v>0</v>
      </c>
      <c r="FC230" s="145">
        <v>0</v>
      </c>
      <c r="FD230" s="145">
        <v>0</v>
      </c>
      <c r="FE230" s="145">
        <v>0</v>
      </c>
      <c r="FF230" s="145">
        <v>0</v>
      </c>
      <c r="FG230" s="145">
        <v>0</v>
      </c>
      <c r="FH230" s="145">
        <v>0</v>
      </c>
      <c r="FI230" s="145">
        <v>0</v>
      </c>
      <c r="FJ230" s="145">
        <v>0</v>
      </c>
      <c r="FK230" s="145">
        <v>0</v>
      </c>
      <c r="FL230" s="145">
        <v>0</v>
      </c>
      <c r="FM230" s="145">
        <v>0</v>
      </c>
      <c r="FN230" s="145">
        <v>0</v>
      </c>
      <c r="FO230" s="145">
        <v>0</v>
      </c>
      <c r="FP230" s="145">
        <v>0</v>
      </c>
      <c r="FQ230" s="145">
        <v>0</v>
      </c>
      <c r="FR230" s="145">
        <v>0</v>
      </c>
      <c r="FS230" s="145">
        <v>0</v>
      </c>
      <c r="FT230" s="145">
        <v>0</v>
      </c>
      <c r="FU230" s="145">
        <v>0</v>
      </c>
      <c r="FV230" s="145">
        <v>0</v>
      </c>
      <c r="FW230" s="145">
        <v>0</v>
      </c>
      <c r="FX230" s="143"/>
      <c r="FY230" s="146" t="str">
        <f>_xlfn.XLOOKUP($E230,'Key assumptions'!$B$112:$B$120,'Key assumptions'!$C$112:$C$120,0)</f>
        <v>Nominal</v>
      </c>
      <c r="FZ230" s="146" cm="1">
        <f t="array" ref="FZ230">IF($FY230=0,0,_xlfn.IFS($FY230='Key assumptions'!$C$120,_xlfn.XLOOKUP(LEFT(FZ$7,6),Inflation_Year,Inflation_NominaltoReal),TRUE,_xlfn.XLOOKUP($FY230,Inflation_Year,NominaltoReal)))</f>
        <v>1.0197075870962191</v>
      </c>
      <c r="GA230" s="146" cm="1">
        <f t="array" ref="GA230">IF($FY230=0,0,_xlfn.IFS($FY230='Key assumptions'!$C$120,_xlfn.XLOOKUP(LEFT(GA$7,6),Inflation_Year,Inflation_NominaltoReal),TRUE,_xlfn.XLOOKUP($FY230,Inflation_Year,NominaltoReal)))</f>
        <v>0.98700804022984445</v>
      </c>
      <c r="GB230" s="146" cm="1">
        <f t="array" ref="GB230">IF($FY230=0,0,_xlfn.IFS($FY230='Key assumptions'!$C$120,_xlfn.XLOOKUP(LEFT(GB$7,6),Inflation_Year,Inflation_NominaltoReal),TRUE,_xlfn.XLOOKUP($FY230,Inflation_Year,NominaltoReal)))</f>
        <v>0.96152830081941731</v>
      </c>
      <c r="GC230" s="146" cm="1">
        <f t="array" ref="GC230">IF($FY230=0,0,_xlfn.IFS($FY230='Key assumptions'!$C$120,_xlfn.XLOOKUP(LEFT(GC$7,6),Inflation_Year,Inflation_NominaltoReal),TRUE,_xlfn.XLOOKUP($FY230,Inflation_Year,NominaltoReal)))</f>
        <v>0.93670632415656829</v>
      </c>
      <c r="GD230" s="146" cm="1">
        <f t="array" ref="GD230">IF($FY230=0,0,_xlfn.IFS($FY230='Key assumptions'!$C$120,_xlfn.XLOOKUP(LEFT(GD$7,6),Inflation_Year,Inflation_NominaltoReal),TRUE,_xlfn.XLOOKUP($FY230,Inflation_Year,NominaltoReal)))</f>
        <v>0.91252513001143176</v>
      </c>
      <c r="GE230" s="146" cm="1">
        <f t="array" ref="GE230">IF($FY230=0,0,_xlfn.IFS($FY230='Key assumptions'!$C$120,_xlfn.XLOOKUP(LEFT(GE$7,6),Inflation_Year,Inflation_NominaltoReal),TRUE,_xlfn.XLOOKUP($FY230,Inflation_Year,NominaltoReal)))</f>
        <v>0.88896817650095872</v>
      </c>
      <c r="GF230" s="146" cm="1">
        <f t="array" ref="GF230">IF($FY230=0,0,_xlfn.IFS($FY230='Key assumptions'!$C$120,_xlfn.XLOOKUP(LEFT(GF$7,6),Inflation_Year,Inflation_NominaltoReal),TRUE,_xlfn.XLOOKUP($FY230,Inflation_Year,NominaltoReal)))</f>
        <v>0.86601934877293718</v>
      </c>
      <c r="GG230" s="143"/>
      <c r="GH230" s="145" cm="1">
        <f t="array" ref="GH230">SUMPRODUCT(--($CR$7:$FW$7&gt;=GH$5),--($CR$7:$FW$7&lt;=GH$6),$CR230:$FW230)*FZ230</f>
        <v>0</v>
      </c>
      <c r="GI230" s="145" cm="1">
        <f t="array" ref="GI230">SUMPRODUCT(--($CR$7:$FW$7&gt;=GI$5),--($CR$7:$FW$7&lt;=GI$6),$CR230:$FW230)*GA230</f>
        <v>454484.54242979217</v>
      </c>
      <c r="GJ230" s="145" cm="1">
        <f t="array" ref="GJ230">SUMPRODUCT(--($CR$7:$FW$7&gt;=GJ$5),--($CR$7:$FW$7&lt;=GJ$6),$CR230:$FW230)*GB230</f>
        <v>553321.59521482431</v>
      </c>
      <c r="GK230" s="145" cm="1">
        <f t="array" ref="GK230">SUMPRODUCT(--($CR$7:$FW$7&gt;=GK$5),--($CR$7:$FW$7&lt;=GK$6),$CR230:$FW230)*GC230</f>
        <v>125493.22522734255</v>
      </c>
      <c r="GL230" s="145" cm="1">
        <f t="array" ref="GL230">SUMPRODUCT(--($CR$7:$FW$7&gt;=GL$5),--($CR$7:$FW$7&lt;=GL$6),$CR230:$FW230)*GD230</f>
        <v>0</v>
      </c>
      <c r="GM230" s="145" cm="1">
        <f t="array" ref="GM230">SUMPRODUCT(--($CR$7:$FW$7&gt;=GM$5),--($CR$7:$FW$7&lt;=GM$6),$CR230:$FW230)*GE230</f>
        <v>0</v>
      </c>
      <c r="GN230" s="145" cm="1">
        <f t="array" ref="GN230">SUMPRODUCT(--($CR$7:$FW$7&gt;=GN$5),--($CR$7:$FW$7&lt;=GN$6),$CR230:$FW230)*GF230</f>
        <v>0</v>
      </c>
      <c r="GO230" s="145">
        <f t="shared" si="69"/>
        <v>1133299.3628719589</v>
      </c>
      <c r="GP230" s="87"/>
      <c r="GR230" s="145" cm="1">
        <f t="array" ref="GR230">SUMPRODUCT(--($CR$7:$FW$7&gt;=GR$5),--($CR$7:$FW$7&lt;=GR$6),$CR230:$FW230)</f>
        <v>0</v>
      </c>
      <c r="GT230" s="214" cm="1">
        <f t="array" ref="GT230">--AND(MIN(IF($K230:$CP230&lt;&gt;0,$K$7:$CP$7))&gt;=GT$5,MIN(IF($K230:$CP230&lt;&gt;0,$K$7:$CP$7))&lt;=GT$6)</f>
        <v>0</v>
      </c>
      <c r="GU230" s="214" cm="1">
        <f t="array" ref="GU230">--AND(MIN(IF($K230:$CP230&lt;&gt;0,$K$7:$CP$7))&gt;=GU$5,MIN(IF($K230:$CP230&lt;&gt;0,$K$7:$CP$7))&lt;=GU$6)</f>
        <v>1</v>
      </c>
      <c r="GV230" s="214" cm="1">
        <f t="array" ref="GV230">--AND(MIN(IF($K230:$CP230&lt;&gt;0,$K$7:$CP$7))&gt;=GV$5,MIN(IF($K230:$CP230&lt;&gt;0,$K$7:$CP$7))&lt;=GV$6)</f>
        <v>0</v>
      </c>
      <c r="GW230" s="214" cm="1">
        <f t="array" ref="GW230">--AND(MIN(IF($K230:$CP230&lt;&gt;0,$K$7:$CP$7))&gt;=GW$5,MIN(IF($K230:$CP230&lt;&gt;0,$K$7:$CP$7))&lt;=GW$6)</f>
        <v>0</v>
      </c>
      <c r="GX230" s="214" cm="1">
        <f t="array" ref="GX230">--AND(MIN(IF($K230:$CP230&lt;&gt;0,$K$7:$CP$7))&gt;=GX$5,MIN(IF($K230:$CP230&lt;&gt;0,$K$7:$CP$7))&lt;=GX$6)</f>
        <v>0</v>
      </c>
      <c r="GY230" s="214" cm="1">
        <f t="array" ref="GY230">--AND(MIN(IF($K230:$CP230&lt;&gt;0,$K$7:$CP$7))&gt;=GY$5,MIN(IF($K230:$CP230&lt;&gt;0,$K$7:$CP$7))&lt;=GY$6)</f>
        <v>0</v>
      </c>
      <c r="GZ230" s="214" cm="1">
        <f t="array" ref="GZ230">--AND(MIN(IF($K230:$CP230&lt;&gt;0,$K$7:$CP$7))&gt;=GZ$5,MIN(IF($K230:$CP230&lt;&gt;0,$K$7:$CP$7))&lt;=GZ$6)</f>
        <v>0</v>
      </c>
      <c r="HA230" s="214">
        <f t="shared" si="70"/>
        <v>1</v>
      </c>
      <c r="HC230" s="214" cm="1">
        <f t="array" ref="HC230">--AND(MIN(IF($K230:$CP230&lt;&gt;0,$K$7:$CP$7))&gt;=HC$5,MIN(IF($K230:$CP230&lt;&gt;0,$K$7:$CP$7))&lt;=HC$6)</f>
        <v>0</v>
      </c>
      <c r="HE230" s="147" t="str">
        <f t="shared" si="89"/>
        <v>No</v>
      </c>
      <c r="HF230" s="147" t="str">
        <f t="shared" si="90"/>
        <v>Yes</v>
      </c>
      <c r="HG230" s="147">
        <f>IF($HF230="Yes",0,$H230*avg_hrs*12*'Key assumptions'!$D$87)</f>
        <v>0</v>
      </c>
      <c r="HH230" s="147">
        <f>IF(HE230="Yes",'Key assumptions'!$D$84*HG230,0)</f>
        <v>0</v>
      </c>
      <c r="HI230" s="144">
        <f>IFERROR(AVERAGEIFS($K230:$CP230,$K$7:$CP$7,"&gt;="&amp;'Key assumptions'!$D$24,$K$7:$CP$7,"&lt;="&amp;'Key assumptions'!$D$25),0)</f>
        <v>0.4569591592617907</v>
      </c>
      <c r="HJ230" s="148">
        <f t="shared" si="91"/>
        <v>0</v>
      </c>
      <c r="HK230" s="148">
        <f t="shared" si="72"/>
        <v>0</v>
      </c>
      <c r="HL230" s="148">
        <f t="shared" si="73"/>
        <v>0</v>
      </c>
      <c r="HM230" s="148">
        <f t="shared" si="74"/>
        <v>0</v>
      </c>
      <c r="HN230" s="148">
        <f t="shared" si="75"/>
        <v>0</v>
      </c>
      <c r="HO230" s="148">
        <f t="shared" si="76"/>
        <v>0</v>
      </c>
      <c r="HP230" s="148">
        <f t="shared" si="77"/>
        <v>0</v>
      </c>
      <c r="HQ230" s="148">
        <f t="shared" si="78"/>
        <v>0</v>
      </c>
      <c r="HR230" s="147">
        <f t="shared" si="79"/>
        <v>0</v>
      </c>
      <c r="HU230" s="147">
        <f>$HJ230*HC230/(1+'Key assumptions'!G252)^0.75</f>
        <v>0</v>
      </c>
      <c r="HW230" s="216">
        <f t="shared" si="80"/>
        <v>0</v>
      </c>
      <c r="HX230" s="216">
        <f t="shared" si="81"/>
        <v>0.4569591592617907</v>
      </c>
      <c r="HY230" s="216">
        <f t="shared" si="82"/>
        <v>0</v>
      </c>
      <c r="HZ230" s="216">
        <f t="shared" si="83"/>
        <v>0</v>
      </c>
      <c r="IA230" s="216">
        <f t="shared" si="84"/>
        <v>0</v>
      </c>
      <c r="IB230" s="216">
        <f t="shared" si="85"/>
        <v>0</v>
      </c>
      <c r="IC230" s="216">
        <f t="shared" si="86"/>
        <v>0</v>
      </c>
      <c r="ID230" s="216">
        <f t="shared" si="87"/>
        <v>0.4569591592617907</v>
      </c>
      <c r="IF230" s="216">
        <f t="shared" si="88"/>
        <v>0</v>
      </c>
    </row>
    <row r="231" spans="2:240" x14ac:dyDescent="0.2">
      <c r="B231" s="141" t="str">
        <v>Project Delivery Management - Construction Management</v>
      </c>
      <c r="C231" s="141" t="str">
        <v>Safety Officer (Safety and Environmental Delivery)</v>
      </c>
      <c r="D231" s="141" t="str">
        <v>Internal Labour</v>
      </c>
      <c r="E231" s="141" t="str">
        <v>$ Nominal</v>
      </c>
      <c r="F231" s="141" t="str">
        <v>Existing</v>
      </c>
      <c r="G231" s="141" t="str">
        <v>Normal time</v>
      </c>
      <c r="H231" s="142">
        <v>205.24</v>
      </c>
      <c r="I231" s="126">
        <v>170370.49400000006</v>
      </c>
      <c r="J231" s="143">
        <v>0</v>
      </c>
      <c r="K231" s="144">
        <v>0</v>
      </c>
      <c r="L231" s="144">
        <v>0</v>
      </c>
      <c r="M231" s="144">
        <v>0</v>
      </c>
      <c r="N231" s="144">
        <v>0</v>
      </c>
      <c r="O231" s="144">
        <v>0</v>
      </c>
      <c r="P231" s="144">
        <v>0</v>
      </c>
      <c r="Q231" s="144">
        <v>0</v>
      </c>
      <c r="R231" s="144">
        <v>0</v>
      </c>
      <c r="S231" s="144">
        <v>0</v>
      </c>
      <c r="T231" s="144">
        <v>0</v>
      </c>
      <c r="U231" s="144">
        <v>0</v>
      </c>
      <c r="V231" s="144">
        <v>0</v>
      </c>
      <c r="W231" s="144">
        <v>0</v>
      </c>
      <c r="X231" s="144">
        <v>0</v>
      </c>
      <c r="Y231" s="144">
        <v>0.1</v>
      </c>
      <c r="Z231" s="144">
        <v>0.13333333333333333</v>
      </c>
      <c r="AA231" s="144">
        <v>0.15657894736842107</v>
      </c>
      <c r="AB231" s="144">
        <v>0.16578947368421051</v>
      </c>
      <c r="AC231" s="144">
        <v>0.19</v>
      </c>
      <c r="AD231" s="144">
        <v>0.15</v>
      </c>
      <c r="AE231" s="144">
        <v>0.18</v>
      </c>
      <c r="AF231" s="144">
        <v>0.18</v>
      </c>
      <c r="AG231" s="144">
        <v>0.17</v>
      </c>
      <c r="AH231" s="144">
        <v>0.16</v>
      </c>
      <c r="AI231" s="144">
        <v>0.3066666666666667</v>
      </c>
      <c r="AJ231" s="144">
        <v>0.16</v>
      </c>
      <c r="AK231" s="144">
        <v>0.16</v>
      </c>
      <c r="AL231" s="144">
        <v>0.25333333333333335</v>
      </c>
      <c r="AM231" s="144">
        <v>0.16578947368421051</v>
      </c>
      <c r="AN231" s="144">
        <v>0.15657894736842107</v>
      </c>
      <c r="AO231" s="144">
        <v>0.18</v>
      </c>
      <c r="AP231" s="144">
        <v>0.17</v>
      </c>
      <c r="AQ231" s="144">
        <v>0.18</v>
      </c>
      <c r="AR231" s="144">
        <v>0.18</v>
      </c>
      <c r="AS231" s="144">
        <v>0.17</v>
      </c>
      <c r="AT231" s="144">
        <v>0.21333333333333332</v>
      </c>
      <c r="AU231" s="144">
        <v>0.25333333333333335</v>
      </c>
      <c r="AV231" s="144">
        <v>0.16</v>
      </c>
      <c r="AW231" s="144">
        <v>0.19</v>
      </c>
      <c r="AX231" s="144">
        <v>0.21333333333333332</v>
      </c>
      <c r="AY231" s="144">
        <v>0.17500000000000002</v>
      </c>
      <c r="AZ231" s="144">
        <v>0.17500000000000002</v>
      </c>
      <c r="BA231" s="144">
        <v>0.16</v>
      </c>
      <c r="BB231" s="144">
        <v>0.18</v>
      </c>
      <c r="BC231" s="144">
        <v>0.17</v>
      </c>
      <c r="BD231" s="144">
        <v>0.18</v>
      </c>
      <c r="BE231" s="144">
        <v>0.18</v>
      </c>
      <c r="BF231" s="144">
        <v>0.18666666666666668</v>
      </c>
      <c r="BG231" s="144">
        <v>0</v>
      </c>
      <c r="BH231" s="144">
        <v>0</v>
      </c>
      <c r="BI231" s="144">
        <v>0</v>
      </c>
      <c r="BJ231" s="144">
        <v>0</v>
      </c>
      <c r="BK231" s="144">
        <v>0</v>
      </c>
      <c r="BL231" s="144">
        <v>0</v>
      </c>
      <c r="BM231" s="144">
        <v>0</v>
      </c>
      <c r="BN231" s="144">
        <v>0</v>
      </c>
      <c r="BO231" s="144">
        <v>0</v>
      </c>
      <c r="BP231" s="144">
        <v>0</v>
      </c>
      <c r="BQ231" s="144">
        <v>0</v>
      </c>
      <c r="BR231" s="144">
        <v>0</v>
      </c>
      <c r="BS231" s="144">
        <v>0</v>
      </c>
      <c r="BT231" s="144">
        <v>0</v>
      </c>
      <c r="BU231" s="144">
        <v>0</v>
      </c>
      <c r="BV231" s="144">
        <v>0</v>
      </c>
      <c r="BW231" s="144">
        <v>0</v>
      </c>
      <c r="BX231" s="144">
        <v>0</v>
      </c>
      <c r="BY231" s="144">
        <v>0</v>
      </c>
      <c r="BZ231" s="144">
        <v>0</v>
      </c>
      <c r="CA231" s="144">
        <v>0</v>
      </c>
      <c r="CB231" s="144">
        <v>0</v>
      </c>
      <c r="CC231" s="144">
        <v>0</v>
      </c>
      <c r="CD231" s="144">
        <v>0</v>
      </c>
      <c r="CE231" s="144">
        <v>0</v>
      </c>
      <c r="CF231" s="144">
        <v>0</v>
      </c>
      <c r="CG231" s="144">
        <v>0</v>
      </c>
      <c r="CH231" s="144">
        <v>0</v>
      </c>
      <c r="CI231" s="144">
        <v>0</v>
      </c>
      <c r="CJ231" s="144">
        <v>0</v>
      </c>
      <c r="CK231" s="144">
        <v>0</v>
      </c>
      <c r="CL231" s="144">
        <v>0</v>
      </c>
      <c r="CM231" s="144">
        <v>0</v>
      </c>
      <c r="CN231" s="144">
        <v>0</v>
      </c>
      <c r="CO231" s="144">
        <v>0</v>
      </c>
      <c r="CP231" s="144">
        <v>0</v>
      </c>
      <c r="CQ231" s="143">
        <v>0</v>
      </c>
      <c r="CR231" s="145">
        <v>0</v>
      </c>
      <c r="CS231" s="145">
        <v>0</v>
      </c>
      <c r="CT231" s="145">
        <v>0</v>
      </c>
      <c r="CU231" s="145">
        <v>0</v>
      </c>
      <c r="CV231" s="145">
        <v>0</v>
      </c>
      <c r="CW231" s="145">
        <v>0</v>
      </c>
      <c r="CX231" s="145">
        <v>0</v>
      </c>
      <c r="CY231" s="145">
        <v>0</v>
      </c>
      <c r="CZ231" s="145">
        <v>0</v>
      </c>
      <c r="DA231" s="145">
        <v>0</v>
      </c>
      <c r="DB231" s="145">
        <v>0</v>
      </c>
      <c r="DC231" s="145">
        <v>0</v>
      </c>
      <c r="DD231" s="145">
        <v>0</v>
      </c>
      <c r="DE231" s="145">
        <v>0</v>
      </c>
      <c r="DF231" s="145">
        <v>2873.36</v>
      </c>
      <c r="DG231" s="145">
        <v>2873.36</v>
      </c>
      <c r="DH231" s="145">
        <v>4884.7120000000004</v>
      </c>
      <c r="DI231" s="145">
        <v>5172.0479999999998</v>
      </c>
      <c r="DJ231" s="145">
        <v>5459.3840000000009</v>
      </c>
      <c r="DK231" s="145">
        <v>4310.04</v>
      </c>
      <c r="DL231" s="145">
        <v>5172.0479999999998</v>
      </c>
      <c r="DM231" s="145">
        <v>5172.0479999999998</v>
      </c>
      <c r="DN231" s="145">
        <v>4884.7120000000004</v>
      </c>
      <c r="DO231" s="145">
        <v>3448.0320000000002</v>
      </c>
      <c r="DP231" s="145">
        <v>6608.728000000001</v>
      </c>
      <c r="DQ231" s="145">
        <v>4597.3760000000002</v>
      </c>
      <c r="DR231" s="145">
        <v>4735.5839999999998</v>
      </c>
      <c r="DS231" s="145">
        <v>5623.5060000000003</v>
      </c>
      <c r="DT231" s="145">
        <v>5327.5320000000002</v>
      </c>
      <c r="DU231" s="145">
        <v>5031.558</v>
      </c>
      <c r="DV231" s="145">
        <v>5327.5320000000002</v>
      </c>
      <c r="DW231" s="145">
        <v>5031.558</v>
      </c>
      <c r="DX231" s="145">
        <v>5327.5320000000002</v>
      </c>
      <c r="DY231" s="145">
        <v>5327.5320000000002</v>
      </c>
      <c r="DZ231" s="145">
        <v>5031.558</v>
      </c>
      <c r="EA231" s="145">
        <v>4735.5839999999998</v>
      </c>
      <c r="EB231" s="145">
        <v>5623.5060000000003</v>
      </c>
      <c r="EC231" s="145">
        <v>4735.5839999999998</v>
      </c>
      <c r="ED231" s="145">
        <v>5793.4800000000005</v>
      </c>
      <c r="EE231" s="145">
        <v>4878.72</v>
      </c>
      <c r="EF231" s="145">
        <v>5793.4800000000005</v>
      </c>
      <c r="EG231" s="145">
        <v>5793.4800000000005</v>
      </c>
      <c r="EH231" s="145">
        <v>4878.72</v>
      </c>
      <c r="EI231" s="145">
        <v>5488.56</v>
      </c>
      <c r="EJ231" s="145">
        <v>5183.6400000000003</v>
      </c>
      <c r="EK231" s="145">
        <v>5488.56</v>
      </c>
      <c r="EL231" s="145">
        <v>5488.56</v>
      </c>
      <c r="EM231" s="145">
        <v>4268.88</v>
      </c>
      <c r="EN231" s="145">
        <v>0</v>
      </c>
      <c r="EO231" s="145">
        <v>0</v>
      </c>
      <c r="EP231" s="145">
        <v>0</v>
      </c>
      <c r="EQ231" s="145">
        <v>0</v>
      </c>
      <c r="ER231" s="145">
        <v>0</v>
      </c>
      <c r="ES231" s="145">
        <v>0</v>
      </c>
      <c r="ET231" s="145">
        <v>0</v>
      </c>
      <c r="EU231" s="145">
        <v>0</v>
      </c>
      <c r="EV231" s="145">
        <v>0</v>
      </c>
      <c r="EW231" s="145">
        <v>0</v>
      </c>
      <c r="EX231" s="145">
        <v>0</v>
      </c>
      <c r="EY231" s="145">
        <v>0</v>
      </c>
      <c r="EZ231" s="145">
        <v>0</v>
      </c>
      <c r="FA231" s="145">
        <v>0</v>
      </c>
      <c r="FB231" s="145">
        <v>0</v>
      </c>
      <c r="FC231" s="145">
        <v>0</v>
      </c>
      <c r="FD231" s="145">
        <v>0</v>
      </c>
      <c r="FE231" s="145">
        <v>0</v>
      </c>
      <c r="FF231" s="145">
        <v>0</v>
      </c>
      <c r="FG231" s="145">
        <v>0</v>
      </c>
      <c r="FH231" s="145">
        <v>0</v>
      </c>
      <c r="FI231" s="145">
        <v>0</v>
      </c>
      <c r="FJ231" s="145">
        <v>0</v>
      </c>
      <c r="FK231" s="145">
        <v>0</v>
      </c>
      <c r="FL231" s="145">
        <v>0</v>
      </c>
      <c r="FM231" s="145">
        <v>0</v>
      </c>
      <c r="FN231" s="145">
        <v>0</v>
      </c>
      <c r="FO231" s="145">
        <v>0</v>
      </c>
      <c r="FP231" s="145">
        <v>0</v>
      </c>
      <c r="FQ231" s="145">
        <v>0</v>
      </c>
      <c r="FR231" s="145">
        <v>0</v>
      </c>
      <c r="FS231" s="145">
        <v>0</v>
      </c>
      <c r="FT231" s="145">
        <v>0</v>
      </c>
      <c r="FU231" s="145">
        <v>0</v>
      </c>
      <c r="FV231" s="145">
        <v>0</v>
      </c>
      <c r="FW231" s="145">
        <v>0</v>
      </c>
      <c r="FX231" s="143"/>
      <c r="FY231" s="146" t="str">
        <f>_xlfn.XLOOKUP($E231,'Key assumptions'!$B$112:$B$120,'Key assumptions'!$C$112:$C$120,0)</f>
        <v>Nominal</v>
      </c>
      <c r="FZ231" s="146" cm="1">
        <f t="array" ref="FZ231">IF($FY231=0,0,_xlfn.IFS($FY231='Key assumptions'!$C$120,_xlfn.XLOOKUP(LEFT(FZ$7,6),Inflation_Year,Inflation_NominaltoReal),TRUE,_xlfn.XLOOKUP($FY231,Inflation_Year,NominaltoReal)))</f>
        <v>1.0197075870962191</v>
      </c>
      <c r="GA231" s="146" cm="1">
        <f t="array" ref="GA231">IF($FY231=0,0,_xlfn.IFS($FY231='Key assumptions'!$C$120,_xlfn.XLOOKUP(LEFT(GA$7,6),Inflation_Year,Inflation_NominaltoReal),TRUE,_xlfn.XLOOKUP($FY231,Inflation_Year,NominaltoReal)))</f>
        <v>0.98700804022984445</v>
      </c>
      <c r="GB231" s="146" cm="1">
        <f t="array" ref="GB231">IF($FY231=0,0,_xlfn.IFS($FY231='Key assumptions'!$C$120,_xlfn.XLOOKUP(LEFT(GB$7,6),Inflation_Year,Inflation_NominaltoReal),TRUE,_xlfn.XLOOKUP($FY231,Inflation_Year,NominaltoReal)))</f>
        <v>0.96152830081941731</v>
      </c>
      <c r="GC231" s="146" cm="1">
        <f t="array" ref="GC231">IF($FY231=0,0,_xlfn.IFS($FY231='Key assumptions'!$C$120,_xlfn.XLOOKUP(LEFT(GC$7,6),Inflation_Year,Inflation_NominaltoReal),TRUE,_xlfn.XLOOKUP($FY231,Inflation_Year,NominaltoReal)))</f>
        <v>0.93670632415656829</v>
      </c>
      <c r="GD231" s="146" cm="1">
        <f t="array" ref="GD231">IF($FY231=0,0,_xlfn.IFS($FY231='Key assumptions'!$C$120,_xlfn.XLOOKUP(LEFT(GD$7,6),Inflation_Year,Inflation_NominaltoReal),TRUE,_xlfn.XLOOKUP($FY231,Inflation_Year,NominaltoReal)))</f>
        <v>0.91252513001143176</v>
      </c>
      <c r="GE231" s="146" cm="1">
        <f t="array" ref="GE231">IF($FY231=0,0,_xlfn.IFS($FY231='Key assumptions'!$C$120,_xlfn.XLOOKUP(LEFT(GE$7,6),Inflation_Year,Inflation_NominaltoReal),TRUE,_xlfn.XLOOKUP($FY231,Inflation_Year,NominaltoReal)))</f>
        <v>0.88896817650095872</v>
      </c>
      <c r="GF231" s="146" cm="1">
        <f t="array" ref="GF231">IF($FY231=0,0,_xlfn.IFS($FY231='Key assumptions'!$C$120,_xlfn.XLOOKUP(LEFT(GF$7,6),Inflation_Year,Inflation_NominaltoReal),TRUE,_xlfn.XLOOKUP($FY231,Inflation_Year,NominaltoReal)))</f>
        <v>0.86601934877293718</v>
      </c>
      <c r="GG231" s="143"/>
      <c r="GH231" s="145" cm="1">
        <f t="array" ref="GH231">SUMPRODUCT(--($CR$7:$FW$7&gt;=GH$5),--($CR$7:$FW$7&lt;=GH$6),$CR231:$FW231)*FZ231</f>
        <v>31350.860819309077</v>
      </c>
      <c r="GI231" s="145" cm="1">
        <f t="array" ref="GI231">SUMPRODUCT(--($CR$7:$FW$7&gt;=GI$5),--($CR$7:$FW$7&lt;=GI$6),$CR231:$FW231)*GA231</f>
        <v>60321.685310259018</v>
      </c>
      <c r="GJ231" s="145" cm="1">
        <f t="array" ref="GJ231">SUMPRODUCT(--($CR$7:$FW$7&gt;=GJ$5),--($CR$7:$FW$7&lt;=GJ$6),$CR231:$FW231)*GB231</f>
        <v>60829.976424624692</v>
      </c>
      <c r="GK231" s="145" cm="1">
        <f t="array" ref="GK231">SUMPRODUCT(--($CR$7:$FW$7&gt;=GK$5),--($CR$7:$FW$7&lt;=GK$6),$CR231:$FW231)*GC231</f>
        <v>14281.02461809104</v>
      </c>
      <c r="GL231" s="145" cm="1">
        <f t="array" ref="GL231">SUMPRODUCT(--($CR$7:$FW$7&gt;=GL$5),--($CR$7:$FW$7&lt;=GL$6),$CR231:$FW231)*GD231</f>
        <v>0</v>
      </c>
      <c r="GM231" s="145" cm="1">
        <f t="array" ref="GM231">SUMPRODUCT(--($CR$7:$FW$7&gt;=GM$5),--($CR$7:$FW$7&lt;=GM$6),$CR231:$FW231)*GE231</f>
        <v>0</v>
      </c>
      <c r="GN231" s="145" cm="1">
        <f t="array" ref="GN231">SUMPRODUCT(--($CR$7:$FW$7&gt;=GN$5),--($CR$7:$FW$7&lt;=GN$6),$CR231:$FW231)*GF231</f>
        <v>0</v>
      </c>
      <c r="GO231" s="145">
        <f t="shared" si="69"/>
        <v>166783.54717228384</v>
      </c>
      <c r="GP231" s="87"/>
      <c r="GR231" s="145" cm="1">
        <f t="array" ref="GR231">SUMPRODUCT(--($CR$7:$FW$7&gt;=GR$5),--($CR$7:$FW$7&lt;=GR$6),$CR231:$FW231)</f>
        <v>15803.48</v>
      </c>
      <c r="GT231" s="214" cm="1">
        <f t="array" ref="GT231">--AND(MIN(IF($K231:$CP231&lt;&gt;0,$K$7:$CP$7))&gt;=GT$5,MIN(IF($K231:$CP231&lt;&gt;0,$K$7:$CP$7))&lt;=GT$6)</f>
        <v>1</v>
      </c>
      <c r="GU231" s="214" cm="1">
        <f t="array" ref="GU231">--AND(MIN(IF($K231:$CP231&lt;&gt;0,$K$7:$CP$7))&gt;=GU$5,MIN(IF($K231:$CP231&lt;&gt;0,$K$7:$CP$7))&lt;=GU$6)</f>
        <v>0</v>
      </c>
      <c r="GV231" s="214" cm="1">
        <f t="array" ref="GV231">--AND(MIN(IF($K231:$CP231&lt;&gt;0,$K$7:$CP$7))&gt;=GV$5,MIN(IF($K231:$CP231&lt;&gt;0,$K$7:$CP$7))&lt;=GV$6)</f>
        <v>0</v>
      </c>
      <c r="GW231" s="214" cm="1">
        <f t="array" ref="GW231">--AND(MIN(IF($K231:$CP231&lt;&gt;0,$K$7:$CP$7))&gt;=GW$5,MIN(IF($K231:$CP231&lt;&gt;0,$K$7:$CP$7))&lt;=GW$6)</f>
        <v>0</v>
      </c>
      <c r="GX231" s="214" cm="1">
        <f t="array" ref="GX231">--AND(MIN(IF($K231:$CP231&lt;&gt;0,$K$7:$CP$7))&gt;=GX$5,MIN(IF($K231:$CP231&lt;&gt;0,$K$7:$CP$7))&lt;=GX$6)</f>
        <v>0</v>
      </c>
      <c r="GY231" s="214" cm="1">
        <f t="array" ref="GY231">--AND(MIN(IF($K231:$CP231&lt;&gt;0,$K$7:$CP$7))&gt;=GY$5,MIN(IF($K231:$CP231&lt;&gt;0,$K$7:$CP$7))&lt;=GY$6)</f>
        <v>0</v>
      </c>
      <c r="GZ231" s="214" cm="1">
        <f t="array" ref="GZ231">--AND(MIN(IF($K231:$CP231&lt;&gt;0,$K$7:$CP$7))&gt;=GZ$5,MIN(IF($K231:$CP231&lt;&gt;0,$K$7:$CP$7))&lt;=GZ$6)</f>
        <v>0</v>
      </c>
      <c r="HA231" s="214">
        <f t="shared" si="70"/>
        <v>1</v>
      </c>
      <c r="HC231" s="214" cm="1">
        <f t="array" ref="HC231">--AND(MIN(IF($K231:$CP231&lt;&gt;0,$K$7:$CP$7))&gt;=HC$5,MIN(IF($K231:$CP231&lt;&gt;0,$K$7:$CP$7))&lt;=HC$6)</f>
        <v>1</v>
      </c>
      <c r="HE231" s="147" t="str">
        <f t="shared" si="89"/>
        <v>No</v>
      </c>
      <c r="HF231" s="147" t="str">
        <f t="shared" si="90"/>
        <v>No</v>
      </c>
      <c r="HG231" s="147">
        <f>IF($HF231="Yes",0,$H231*avg_hrs*12*'Key assumptions'!$D$87)</f>
        <v>367024.33151015785</v>
      </c>
      <c r="HH231" s="147">
        <f>IF(HE231="Yes",'Key assumptions'!$D$84*HG231,0)</f>
        <v>0</v>
      </c>
      <c r="HI231" s="144">
        <f>IFERROR(AVERAGEIFS($K231:$CP231,$K$7:$CP$7,"&gt;="&amp;'Key assumptions'!$D$24,$K$7:$CP$7,"&lt;="&amp;'Key assumptions'!$D$25),0)</f>
        <v>0.13874401913875598</v>
      </c>
      <c r="HJ231" s="148">
        <f t="shared" si="91"/>
        <v>0</v>
      </c>
      <c r="HK231" s="148">
        <f t="shared" si="72"/>
        <v>0</v>
      </c>
      <c r="HL231" s="148">
        <f t="shared" si="73"/>
        <v>0</v>
      </c>
      <c r="HM231" s="148">
        <f t="shared" si="74"/>
        <v>0</v>
      </c>
      <c r="HN231" s="148">
        <f t="shared" si="75"/>
        <v>0</v>
      </c>
      <c r="HO231" s="148">
        <f t="shared" si="76"/>
        <v>0</v>
      </c>
      <c r="HP231" s="148">
        <f t="shared" si="77"/>
        <v>0</v>
      </c>
      <c r="HQ231" s="148">
        <f t="shared" si="78"/>
        <v>0</v>
      </c>
      <c r="HR231" s="147">
        <f t="shared" si="79"/>
        <v>0</v>
      </c>
      <c r="HU231" s="147">
        <f>$HJ231*HC231/(1+'Key assumptions'!G253)^0.75</f>
        <v>0</v>
      </c>
      <c r="HW231" s="216">
        <f t="shared" si="80"/>
        <v>0.13874401913875598</v>
      </c>
      <c r="HX231" s="216">
        <f t="shared" si="81"/>
        <v>0</v>
      </c>
      <c r="HY231" s="216">
        <f t="shared" si="82"/>
        <v>0</v>
      </c>
      <c r="HZ231" s="216">
        <f t="shared" si="83"/>
        <v>0</v>
      </c>
      <c r="IA231" s="216">
        <f t="shared" si="84"/>
        <v>0</v>
      </c>
      <c r="IB231" s="216">
        <f t="shared" si="85"/>
        <v>0</v>
      </c>
      <c r="IC231" s="216">
        <f t="shared" si="86"/>
        <v>0</v>
      </c>
      <c r="ID231" s="216">
        <f t="shared" si="87"/>
        <v>0.13874401913875598</v>
      </c>
      <c r="IF231" s="216">
        <f t="shared" si="88"/>
        <v>0.13874401913875598</v>
      </c>
    </row>
    <row r="232" spans="2:240" x14ac:dyDescent="0.2">
      <c r="B232" s="141" t="str">
        <v>Project Delivery Management - Construction Management</v>
      </c>
      <c r="C232" s="141" t="str">
        <v>Safety Officer (Safety and Environmental Delivery)</v>
      </c>
      <c r="D232" s="141" t="str">
        <v>Internal Labour</v>
      </c>
      <c r="E232" s="141" t="str">
        <v>$ Nominal</v>
      </c>
      <c r="F232" s="141">
        <v>0</v>
      </c>
      <c r="G232" s="141" t="str">
        <v>Overtime</v>
      </c>
      <c r="H232" s="142">
        <v>205.24</v>
      </c>
      <c r="I232" s="126">
        <v>283217.57399999996</v>
      </c>
      <c r="J232" s="143">
        <v>0</v>
      </c>
      <c r="K232" s="144">
        <v>0</v>
      </c>
      <c r="L232" s="144">
        <v>0</v>
      </c>
      <c r="M232" s="144">
        <v>0</v>
      </c>
      <c r="N232" s="144">
        <v>0</v>
      </c>
      <c r="O232" s="144">
        <v>0</v>
      </c>
      <c r="P232" s="144">
        <v>0</v>
      </c>
      <c r="Q232" s="144">
        <v>0</v>
      </c>
      <c r="R232" s="144">
        <v>0</v>
      </c>
      <c r="S232" s="144">
        <v>0</v>
      </c>
      <c r="T232" s="144">
        <v>0</v>
      </c>
      <c r="U232" s="144">
        <v>0</v>
      </c>
      <c r="V232" s="144">
        <v>0</v>
      </c>
      <c r="W232" s="144">
        <v>0</v>
      </c>
      <c r="X232" s="144">
        <v>0</v>
      </c>
      <c r="Y232" s="144">
        <v>0</v>
      </c>
      <c r="Z232" s="144">
        <v>0</v>
      </c>
      <c r="AA232" s="144">
        <v>0.13026315789473686</v>
      </c>
      <c r="AB232" s="144">
        <v>0.13421052631578947</v>
      </c>
      <c r="AC232" s="144">
        <v>0.1842857142857143</v>
      </c>
      <c r="AD232" s="144">
        <v>0.13285714285714287</v>
      </c>
      <c r="AE232" s="144">
        <v>0.14571428571428571</v>
      </c>
      <c r="AF232" s="144">
        <v>0.14571428571428571</v>
      </c>
      <c r="AG232" s="144">
        <v>0.14142857142857143</v>
      </c>
      <c r="AH232" s="144">
        <v>0.16</v>
      </c>
      <c r="AI232" s="144">
        <v>0.26857142857142857</v>
      </c>
      <c r="AJ232" s="144">
        <v>0.13714285714285715</v>
      </c>
      <c r="AK232" s="144">
        <v>0.13714285714285715</v>
      </c>
      <c r="AL232" s="144">
        <v>0.2</v>
      </c>
      <c r="AM232" s="144">
        <v>0.15</v>
      </c>
      <c r="AN232" s="144">
        <v>0.14605263157894735</v>
      </c>
      <c r="AO232" s="144">
        <v>0.14571428571428571</v>
      </c>
      <c r="AP232" s="144">
        <v>0.14142857142857143</v>
      </c>
      <c r="AQ232" s="144">
        <v>0.14571428571428571</v>
      </c>
      <c r="AR232" s="144">
        <v>0.14571428571428571</v>
      </c>
      <c r="AS232" s="144">
        <v>0.17571428571428571</v>
      </c>
      <c r="AT232" s="144">
        <v>0.13714285714285715</v>
      </c>
      <c r="AU232" s="144">
        <v>0.24571428571428572</v>
      </c>
      <c r="AV232" s="144">
        <v>0.13714285714285715</v>
      </c>
      <c r="AW232" s="144">
        <v>0.15</v>
      </c>
      <c r="AX232" s="144">
        <v>0.18285714285714286</v>
      </c>
      <c r="AY232" s="144">
        <v>0.16973684210526316</v>
      </c>
      <c r="AZ232" s="144">
        <v>0.16973684210526316</v>
      </c>
      <c r="BA232" s="144">
        <v>0.13714285714285715</v>
      </c>
      <c r="BB232" s="144">
        <v>0.14571428571428571</v>
      </c>
      <c r="BC232" s="144">
        <v>0.14142857142857143</v>
      </c>
      <c r="BD232" s="144">
        <v>0.14571428571428571</v>
      </c>
      <c r="BE232" s="144">
        <v>0.18</v>
      </c>
      <c r="BF232" s="144">
        <v>0.1257142857142857</v>
      </c>
      <c r="BG232" s="144">
        <v>0</v>
      </c>
      <c r="BH232" s="144">
        <v>0</v>
      </c>
      <c r="BI232" s="144">
        <v>0</v>
      </c>
      <c r="BJ232" s="144">
        <v>0</v>
      </c>
      <c r="BK232" s="144">
        <v>0</v>
      </c>
      <c r="BL232" s="144">
        <v>0</v>
      </c>
      <c r="BM232" s="144">
        <v>0</v>
      </c>
      <c r="BN232" s="144">
        <v>0</v>
      </c>
      <c r="BO232" s="144">
        <v>0</v>
      </c>
      <c r="BP232" s="144">
        <v>0</v>
      </c>
      <c r="BQ232" s="144">
        <v>0</v>
      </c>
      <c r="BR232" s="144">
        <v>0</v>
      </c>
      <c r="BS232" s="144">
        <v>0</v>
      </c>
      <c r="BT232" s="144">
        <v>0</v>
      </c>
      <c r="BU232" s="144">
        <v>0</v>
      </c>
      <c r="BV232" s="144">
        <v>0</v>
      </c>
      <c r="BW232" s="144">
        <v>0</v>
      </c>
      <c r="BX232" s="144">
        <v>0</v>
      </c>
      <c r="BY232" s="144">
        <v>0</v>
      </c>
      <c r="BZ232" s="144">
        <v>0</v>
      </c>
      <c r="CA232" s="144">
        <v>0</v>
      </c>
      <c r="CB232" s="144">
        <v>0</v>
      </c>
      <c r="CC232" s="144">
        <v>0</v>
      </c>
      <c r="CD232" s="144">
        <v>0</v>
      </c>
      <c r="CE232" s="144">
        <v>0</v>
      </c>
      <c r="CF232" s="144">
        <v>0</v>
      </c>
      <c r="CG232" s="144">
        <v>0</v>
      </c>
      <c r="CH232" s="144">
        <v>0</v>
      </c>
      <c r="CI232" s="144">
        <v>0</v>
      </c>
      <c r="CJ232" s="144">
        <v>0</v>
      </c>
      <c r="CK232" s="144">
        <v>0</v>
      </c>
      <c r="CL232" s="144">
        <v>0</v>
      </c>
      <c r="CM232" s="144">
        <v>0</v>
      </c>
      <c r="CN232" s="144">
        <v>0</v>
      </c>
      <c r="CO232" s="144">
        <v>0</v>
      </c>
      <c r="CP232" s="144">
        <v>0</v>
      </c>
      <c r="CQ232" s="143">
        <v>0</v>
      </c>
      <c r="CR232" s="145">
        <v>0</v>
      </c>
      <c r="CS232" s="145">
        <v>0</v>
      </c>
      <c r="CT232" s="145">
        <v>0</v>
      </c>
      <c r="CU232" s="145">
        <v>0</v>
      </c>
      <c r="CV232" s="145">
        <v>0</v>
      </c>
      <c r="CW232" s="145">
        <v>0</v>
      </c>
      <c r="CX232" s="145">
        <v>0</v>
      </c>
      <c r="CY232" s="145">
        <v>0</v>
      </c>
      <c r="CZ232" s="145">
        <v>0</v>
      </c>
      <c r="DA232" s="145">
        <v>0</v>
      </c>
      <c r="DB232" s="145">
        <v>0</v>
      </c>
      <c r="DC232" s="145">
        <v>0</v>
      </c>
      <c r="DD232" s="145">
        <v>0</v>
      </c>
      <c r="DE232" s="145">
        <v>0</v>
      </c>
      <c r="DF232" s="145">
        <v>0</v>
      </c>
      <c r="DG232" s="145">
        <v>0</v>
      </c>
      <c r="DH232" s="145">
        <v>8127.5040000000008</v>
      </c>
      <c r="DI232" s="145">
        <v>8373.7919999999995</v>
      </c>
      <c r="DJ232" s="145">
        <v>10590.384</v>
      </c>
      <c r="DK232" s="145">
        <v>7634.9280000000008</v>
      </c>
      <c r="DL232" s="145">
        <v>8373.7919999999995</v>
      </c>
      <c r="DM232" s="145">
        <v>8373.7919999999995</v>
      </c>
      <c r="DN232" s="145">
        <v>8127.5040000000008</v>
      </c>
      <c r="DO232" s="145">
        <v>6896.0640000000003</v>
      </c>
      <c r="DP232" s="145">
        <v>11575.536</v>
      </c>
      <c r="DQ232" s="145">
        <v>7881.2160000000003</v>
      </c>
      <c r="DR232" s="145">
        <v>8117.9519999999993</v>
      </c>
      <c r="DS232" s="145">
        <v>8879.01</v>
      </c>
      <c r="DT232" s="145">
        <v>9640.0680000000011</v>
      </c>
      <c r="DU232" s="145">
        <v>9386.3819999999996</v>
      </c>
      <c r="DV232" s="145">
        <v>8625.3239999999987</v>
      </c>
      <c r="DW232" s="145">
        <v>8371.6380000000008</v>
      </c>
      <c r="DX232" s="145">
        <v>8625.3239999999987</v>
      </c>
      <c r="DY232" s="145">
        <v>8625.3239999999987</v>
      </c>
      <c r="DZ232" s="145">
        <v>10401.126</v>
      </c>
      <c r="EA232" s="145">
        <v>6088.4639999999999</v>
      </c>
      <c r="EB232" s="145">
        <v>10908.498</v>
      </c>
      <c r="EC232" s="145">
        <v>8117.9519999999993</v>
      </c>
      <c r="ED232" s="145">
        <v>9147.6</v>
      </c>
      <c r="EE232" s="145">
        <v>8363.52</v>
      </c>
      <c r="EF232" s="145">
        <v>11238.480000000001</v>
      </c>
      <c r="EG232" s="145">
        <v>11238.480000000001</v>
      </c>
      <c r="EH232" s="145">
        <v>8363.52</v>
      </c>
      <c r="EI232" s="145">
        <v>8886.24</v>
      </c>
      <c r="EJ232" s="145">
        <v>8624.880000000001</v>
      </c>
      <c r="EK232" s="145">
        <v>8886.24</v>
      </c>
      <c r="EL232" s="145">
        <v>10977.12</v>
      </c>
      <c r="EM232" s="145">
        <v>5749.92</v>
      </c>
      <c r="EN232" s="145">
        <v>0</v>
      </c>
      <c r="EO232" s="145">
        <v>0</v>
      </c>
      <c r="EP232" s="145">
        <v>0</v>
      </c>
      <c r="EQ232" s="145">
        <v>0</v>
      </c>
      <c r="ER232" s="145">
        <v>0</v>
      </c>
      <c r="ES232" s="145">
        <v>0</v>
      </c>
      <c r="ET232" s="145">
        <v>0</v>
      </c>
      <c r="EU232" s="145">
        <v>0</v>
      </c>
      <c r="EV232" s="145">
        <v>0</v>
      </c>
      <c r="EW232" s="145">
        <v>0</v>
      </c>
      <c r="EX232" s="145">
        <v>0</v>
      </c>
      <c r="EY232" s="145">
        <v>0</v>
      </c>
      <c r="EZ232" s="145">
        <v>0</v>
      </c>
      <c r="FA232" s="145">
        <v>0</v>
      </c>
      <c r="FB232" s="145">
        <v>0</v>
      </c>
      <c r="FC232" s="145">
        <v>0</v>
      </c>
      <c r="FD232" s="145">
        <v>0</v>
      </c>
      <c r="FE232" s="145">
        <v>0</v>
      </c>
      <c r="FF232" s="145">
        <v>0</v>
      </c>
      <c r="FG232" s="145">
        <v>0</v>
      </c>
      <c r="FH232" s="145">
        <v>0</v>
      </c>
      <c r="FI232" s="145">
        <v>0</v>
      </c>
      <c r="FJ232" s="145">
        <v>0</v>
      </c>
      <c r="FK232" s="145">
        <v>0</v>
      </c>
      <c r="FL232" s="145">
        <v>0</v>
      </c>
      <c r="FM232" s="145">
        <v>0</v>
      </c>
      <c r="FN232" s="145">
        <v>0</v>
      </c>
      <c r="FO232" s="145">
        <v>0</v>
      </c>
      <c r="FP232" s="145">
        <v>0</v>
      </c>
      <c r="FQ232" s="145">
        <v>0</v>
      </c>
      <c r="FR232" s="145">
        <v>0</v>
      </c>
      <c r="FS232" s="145">
        <v>0</v>
      </c>
      <c r="FT232" s="145">
        <v>0</v>
      </c>
      <c r="FU232" s="145">
        <v>0</v>
      </c>
      <c r="FV232" s="145">
        <v>0</v>
      </c>
      <c r="FW232" s="145">
        <v>0</v>
      </c>
      <c r="FX232" s="143"/>
      <c r="FY232" s="146" t="str">
        <f>_xlfn.XLOOKUP($E232,'Key assumptions'!$B$112:$B$120,'Key assumptions'!$C$112:$C$120,0)</f>
        <v>Nominal</v>
      </c>
      <c r="FZ232" s="146" cm="1">
        <f t="array" ref="FZ232">IF($FY232=0,0,_xlfn.IFS($FY232='Key assumptions'!$C$120,_xlfn.XLOOKUP(LEFT(FZ$7,6),Inflation_Year,Inflation_NominaltoReal),TRUE,_xlfn.XLOOKUP($FY232,Inflation_Year,NominaltoReal)))</f>
        <v>1.0197075870962191</v>
      </c>
      <c r="GA232" s="146" cm="1">
        <f t="array" ref="GA232">IF($FY232=0,0,_xlfn.IFS($FY232='Key assumptions'!$C$120,_xlfn.XLOOKUP(LEFT(GA$7,6),Inflation_Year,Inflation_NominaltoReal),TRUE,_xlfn.XLOOKUP($FY232,Inflation_Year,NominaltoReal)))</f>
        <v>0.98700804022984445</v>
      </c>
      <c r="GB232" s="146" cm="1">
        <f t="array" ref="GB232">IF($FY232=0,0,_xlfn.IFS($FY232='Key assumptions'!$C$120,_xlfn.XLOOKUP(LEFT(GB$7,6),Inflation_Year,Inflation_NominaltoReal),TRUE,_xlfn.XLOOKUP($FY232,Inflation_Year,NominaltoReal)))</f>
        <v>0.96152830081941731</v>
      </c>
      <c r="GC232" s="146" cm="1">
        <f t="array" ref="GC232">IF($FY232=0,0,_xlfn.IFS($FY232='Key assumptions'!$C$120,_xlfn.XLOOKUP(LEFT(GC$7,6),Inflation_Year,Inflation_NominaltoReal),TRUE,_xlfn.XLOOKUP($FY232,Inflation_Year,NominaltoReal)))</f>
        <v>0.93670632415656829</v>
      </c>
      <c r="GD232" s="146" cm="1">
        <f t="array" ref="GD232">IF($FY232=0,0,_xlfn.IFS($FY232='Key assumptions'!$C$120,_xlfn.XLOOKUP(LEFT(GD$7,6),Inflation_Year,Inflation_NominaltoReal),TRUE,_xlfn.XLOOKUP($FY232,Inflation_Year,NominaltoReal)))</f>
        <v>0.91252513001143176</v>
      </c>
      <c r="GE232" s="146" cm="1">
        <f t="array" ref="GE232">IF($FY232=0,0,_xlfn.IFS($FY232='Key assumptions'!$C$120,_xlfn.XLOOKUP(LEFT(GE$7,6),Inflation_Year,Inflation_NominaltoReal),TRUE,_xlfn.XLOOKUP($FY232,Inflation_Year,NominaltoReal)))</f>
        <v>0.88896817650095872</v>
      </c>
      <c r="GF232" s="146" cm="1">
        <f t="array" ref="GF232">IF($FY232=0,0,_xlfn.IFS($FY232='Key assumptions'!$C$120,_xlfn.XLOOKUP(LEFT(GF$7,6),Inflation_Year,Inflation_NominaltoReal),TRUE,_xlfn.XLOOKUP($FY232,Inflation_Year,NominaltoReal)))</f>
        <v>0.86601934877293718</v>
      </c>
      <c r="GG232" s="143"/>
      <c r="GH232" s="145" cm="1">
        <f t="array" ref="GH232">SUMPRODUCT(--($CR$7:$FW$7&gt;=GH$5),--($CR$7:$FW$7&lt;=GH$6),$CR232:$FW232)*FZ232</f>
        <v>43949.804886881881</v>
      </c>
      <c r="GI232" s="145" cm="1">
        <f t="array" ref="GI232">SUMPRODUCT(--($CR$7:$FW$7&gt;=GI$5),--($CR$7:$FW$7&lt;=GI$6),$CR232:$FW232)*GA232</f>
        <v>103142.15267249109</v>
      </c>
      <c r="GJ232" s="145" cm="1">
        <f t="array" ref="GJ232">SUMPRODUCT(--($CR$7:$FW$7&gt;=GJ$5),--($CR$7:$FW$7&lt;=GJ$6),$CR232:$FW232)*GB232</f>
        <v>105772.03997171645</v>
      </c>
      <c r="GK232" s="145" cm="1">
        <f t="array" ref="GK232">SUMPRODUCT(--($CR$7:$FW$7&gt;=GK$5),--($CR$7:$FW$7&lt;=GK$6),$CR232:$FW232)*GC232</f>
        <v>23992.121358392946</v>
      </c>
      <c r="GL232" s="145" cm="1">
        <f t="array" ref="GL232">SUMPRODUCT(--($CR$7:$FW$7&gt;=GL$5),--($CR$7:$FW$7&lt;=GL$6),$CR232:$FW232)*GD232</f>
        <v>0</v>
      </c>
      <c r="GM232" s="145" cm="1">
        <f t="array" ref="GM232">SUMPRODUCT(--($CR$7:$FW$7&gt;=GM$5),--($CR$7:$FW$7&lt;=GM$6),$CR232:$FW232)*GE232</f>
        <v>0</v>
      </c>
      <c r="GN232" s="145" cm="1">
        <f t="array" ref="GN232">SUMPRODUCT(--($CR$7:$FW$7&gt;=GN$5),--($CR$7:$FW$7&lt;=GN$6),$CR232:$FW232)*GF232</f>
        <v>0</v>
      </c>
      <c r="GO232" s="145">
        <f t="shared" si="69"/>
        <v>276856.11888948234</v>
      </c>
      <c r="GP232" s="87"/>
      <c r="GR232" s="145" cm="1">
        <f t="array" ref="GR232">SUMPRODUCT(--($CR$7:$FW$7&gt;=GR$5),--($CR$7:$FW$7&lt;=GR$6),$CR232:$FW232)</f>
        <v>16501.296000000002</v>
      </c>
      <c r="GT232" s="214" cm="1">
        <f t="array" ref="GT232">--AND(MIN(IF($K232:$CP232&lt;&gt;0,$K$7:$CP$7))&gt;=GT$5,MIN(IF($K232:$CP232&lt;&gt;0,$K$7:$CP$7))&lt;=GT$6)</f>
        <v>1</v>
      </c>
      <c r="GU232" s="214" cm="1">
        <f t="array" ref="GU232">--AND(MIN(IF($K232:$CP232&lt;&gt;0,$K$7:$CP$7))&gt;=GU$5,MIN(IF($K232:$CP232&lt;&gt;0,$K$7:$CP$7))&lt;=GU$6)</f>
        <v>0</v>
      </c>
      <c r="GV232" s="214" cm="1">
        <f t="array" ref="GV232">--AND(MIN(IF($K232:$CP232&lt;&gt;0,$K$7:$CP$7))&gt;=GV$5,MIN(IF($K232:$CP232&lt;&gt;0,$K$7:$CP$7))&lt;=GV$6)</f>
        <v>0</v>
      </c>
      <c r="GW232" s="214" cm="1">
        <f t="array" ref="GW232">--AND(MIN(IF($K232:$CP232&lt;&gt;0,$K$7:$CP$7))&gt;=GW$5,MIN(IF($K232:$CP232&lt;&gt;0,$K$7:$CP$7))&lt;=GW$6)</f>
        <v>0</v>
      </c>
      <c r="GX232" s="214" cm="1">
        <f t="array" ref="GX232">--AND(MIN(IF($K232:$CP232&lt;&gt;0,$K$7:$CP$7))&gt;=GX$5,MIN(IF($K232:$CP232&lt;&gt;0,$K$7:$CP$7))&lt;=GX$6)</f>
        <v>0</v>
      </c>
      <c r="GY232" s="214" cm="1">
        <f t="array" ref="GY232">--AND(MIN(IF($K232:$CP232&lt;&gt;0,$K$7:$CP$7))&gt;=GY$5,MIN(IF($K232:$CP232&lt;&gt;0,$K$7:$CP$7))&lt;=GY$6)</f>
        <v>0</v>
      </c>
      <c r="GZ232" s="214" cm="1">
        <f t="array" ref="GZ232">--AND(MIN(IF($K232:$CP232&lt;&gt;0,$K$7:$CP$7))&gt;=GZ$5,MIN(IF($K232:$CP232&lt;&gt;0,$K$7:$CP$7))&lt;=GZ$6)</f>
        <v>0</v>
      </c>
      <c r="HA232" s="214">
        <f t="shared" si="70"/>
        <v>1</v>
      </c>
      <c r="HC232" s="214" cm="1">
        <f t="array" ref="HC232">--AND(MIN(IF($K232:$CP232&lt;&gt;0,$K$7:$CP$7))&gt;=HC$5,MIN(IF($K232:$CP232&lt;&gt;0,$K$7:$CP$7))&lt;=HC$6)</f>
        <v>1</v>
      </c>
      <c r="HE232" s="147" t="str">
        <f t="shared" si="89"/>
        <v>No</v>
      </c>
      <c r="HF232" s="147" t="str">
        <f t="shared" si="90"/>
        <v>Yes</v>
      </c>
      <c r="HG232" s="147">
        <f>IF($HF232="Yes",0,$H232*avg_hrs*12*'Key assumptions'!$D$87)</f>
        <v>0</v>
      </c>
      <c r="HH232" s="147">
        <f>IF(HE232="Yes",'Key assumptions'!$D$84*HG232,0)</f>
        <v>0</v>
      </c>
      <c r="HI232" s="144">
        <f>IFERROR(AVERAGEIFS($K232:$CP232,$K$7:$CP$7,"&gt;="&amp;'Key assumptions'!$D$24,$K$7:$CP$7,"&lt;="&amp;'Key assumptions'!$D$25),0)</f>
        <v>0.11444805194805195</v>
      </c>
      <c r="HJ232" s="148">
        <f t="shared" si="91"/>
        <v>0</v>
      </c>
      <c r="HK232" s="148">
        <f t="shared" si="72"/>
        <v>0</v>
      </c>
      <c r="HL232" s="148">
        <f t="shared" si="73"/>
        <v>0</v>
      </c>
      <c r="HM232" s="148">
        <f t="shared" si="74"/>
        <v>0</v>
      </c>
      <c r="HN232" s="148">
        <f t="shared" si="75"/>
        <v>0</v>
      </c>
      <c r="HO232" s="148">
        <f t="shared" si="76"/>
        <v>0</v>
      </c>
      <c r="HP232" s="148">
        <f t="shared" si="77"/>
        <v>0</v>
      </c>
      <c r="HQ232" s="148">
        <f t="shared" si="78"/>
        <v>0</v>
      </c>
      <c r="HR232" s="147">
        <f t="shared" si="79"/>
        <v>0</v>
      </c>
      <c r="HU232" s="147">
        <f>$HJ232*HC232/(1+'Key assumptions'!G254)^0.75</f>
        <v>0</v>
      </c>
      <c r="HW232" s="216">
        <f t="shared" si="80"/>
        <v>0.11444805194805195</v>
      </c>
      <c r="HX232" s="216">
        <f t="shared" si="81"/>
        <v>0</v>
      </c>
      <c r="HY232" s="216">
        <f t="shared" si="82"/>
        <v>0</v>
      </c>
      <c r="HZ232" s="216">
        <f t="shared" si="83"/>
        <v>0</v>
      </c>
      <c r="IA232" s="216">
        <f t="shared" si="84"/>
        <v>0</v>
      </c>
      <c r="IB232" s="216">
        <f t="shared" si="85"/>
        <v>0</v>
      </c>
      <c r="IC232" s="216">
        <f t="shared" si="86"/>
        <v>0</v>
      </c>
      <c r="ID232" s="216">
        <f t="shared" si="87"/>
        <v>0.11444805194805195</v>
      </c>
      <c r="IF232" s="216">
        <f t="shared" si="88"/>
        <v>0.11444805194805195</v>
      </c>
    </row>
    <row r="233" spans="2:240" x14ac:dyDescent="0.2">
      <c r="B233" s="141" t="str">
        <v>Project Delivery Management - Construction Management</v>
      </c>
      <c r="C233" s="141" t="str">
        <v>Safety Officer (Safety and Environmental Delivery)</v>
      </c>
      <c r="D233" s="141" t="str">
        <v>Internal Labour</v>
      </c>
      <c r="E233" s="141" t="str">
        <v>$ Nominal</v>
      </c>
      <c r="F233" s="141" t="str">
        <v>Existing</v>
      </c>
      <c r="G233" s="141" t="str">
        <v>Normal time</v>
      </c>
      <c r="H233" s="142">
        <v>205.24</v>
      </c>
      <c r="I233" s="126">
        <v>411559.435</v>
      </c>
      <c r="J233" s="143">
        <v>0</v>
      </c>
      <c r="K233" s="144">
        <v>0</v>
      </c>
      <c r="L233" s="144">
        <v>0</v>
      </c>
      <c r="M233" s="144">
        <v>0</v>
      </c>
      <c r="N233" s="144">
        <v>0</v>
      </c>
      <c r="O233" s="144">
        <v>0</v>
      </c>
      <c r="P233" s="144">
        <v>0</v>
      </c>
      <c r="Q233" s="144">
        <v>0</v>
      </c>
      <c r="R233" s="144">
        <v>0</v>
      </c>
      <c r="S233" s="144">
        <v>0</v>
      </c>
      <c r="T233" s="144">
        <v>0</v>
      </c>
      <c r="U233" s="144">
        <v>0</v>
      </c>
      <c r="V233" s="144">
        <v>0</v>
      </c>
      <c r="W233" s="144">
        <v>0</v>
      </c>
      <c r="X233" s="144">
        <v>0</v>
      </c>
      <c r="Y233" s="144">
        <v>0</v>
      </c>
      <c r="Z233" s="144">
        <v>0</v>
      </c>
      <c r="AA233" s="144">
        <v>0.39144736842105265</v>
      </c>
      <c r="AB233" s="144">
        <v>0.41447368421052633</v>
      </c>
      <c r="AC233" s="144">
        <v>0.47499999999999998</v>
      </c>
      <c r="AD233" s="144">
        <v>0.375</v>
      </c>
      <c r="AE233" s="144">
        <v>0.45</v>
      </c>
      <c r="AF233" s="144">
        <v>0.45</v>
      </c>
      <c r="AG233" s="144">
        <v>0.42499999999999999</v>
      </c>
      <c r="AH233" s="144">
        <v>0.4</v>
      </c>
      <c r="AI233" s="144">
        <v>0.76666666666666672</v>
      </c>
      <c r="AJ233" s="144">
        <v>0.4</v>
      </c>
      <c r="AK233" s="144">
        <v>0.4</v>
      </c>
      <c r="AL233" s="144">
        <v>0.6333333333333333</v>
      </c>
      <c r="AM233" s="144">
        <v>0.41447368421052633</v>
      </c>
      <c r="AN233" s="144">
        <v>0.39144736842105265</v>
      </c>
      <c r="AO233" s="144">
        <v>0.45</v>
      </c>
      <c r="AP233" s="144">
        <v>0.42499999999999999</v>
      </c>
      <c r="AQ233" s="144">
        <v>0.45</v>
      </c>
      <c r="AR233" s="144">
        <v>0.45</v>
      </c>
      <c r="AS233" s="144">
        <v>0.42499999999999999</v>
      </c>
      <c r="AT233" s="144">
        <v>0.53333333333333333</v>
      </c>
      <c r="AU233" s="144">
        <v>0.6333333333333333</v>
      </c>
      <c r="AV233" s="144">
        <v>0.4</v>
      </c>
      <c r="AW233" s="144">
        <v>0.47499999999999998</v>
      </c>
      <c r="AX233" s="144">
        <v>0.53333333333333333</v>
      </c>
      <c r="AY233" s="144">
        <v>0.4375</v>
      </c>
      <c r="AZ233" s="144">
        <v>0.4375</v>
      </c>
      <c r="BA233" s="144">
        <v>0.4</v>
      </c>
      <c r="BB233" s="144">
        <v>0.45</v>
      </c>
      <c r="BC233" s="144">
        <v>0.42499999999999999</v>
      </c>
      <c r="BD233" s="144">
        <v>0.45</v>
      </c>
      <c r="BE233" s="144">
        <v>0.45</v>
      </c>
      <c r="BF233" s="144">
        <v>0.46666666666666667</v>
      </c>
      <c r="BG233" s="144">
        <v>0</v>
      </c>
      <c r="BH233" s="144">
        <v>0</v>
      </c>
      <c r="BI233" s="144">
        <v>0</v>
      </c>
      <c r="BJ233" s="144">
        <v>0</v>
      </c>
      <c r="BK233" s="144">
        <v>0</v>
      </c>
      <c r="BL233" s="144">
        <v>0</v>
      </c>
      <c r="BM233" s="144">
        <v>0</v>
      </c>
      <c r="BN233" s="144">
        <v>0</v>
      </c>
      <c r="BO233" s="144">
        <v>0</v>
      </c>
      <c r="BP233" s="144">
        <v>0</v>
      </c>
      <c r="BQ233" s="144">
        <v>0</v>
      </c>
      <c r="BR233" s="144">
        <v>0</v>
      </c>
      <c r="BS233" s="144">
        <v>0</v>
      </c>
      <c r="BT233" s="144">
        <v>0</v>
      </c>
      <c r="BU233" s="144">
        <v>0</v>
      </c>
      <c r="BV233" s="144">
        <v>0</v>
      </c>
      <c r="BW233" s="144">
        <v>0</v>
      </c>
      <c r="BX233" s="144">
        <v>0</v>
      </c>
      <c r="BY233" s="144">
        <v>0</v>
      </c>
      <c r="BZ233" s="144">
        <v>0</v>
      </c>
      <c r="CA233" s="144">
        <v>0</v>
      </c>
      <c r="CB233" s="144">
        <v>0</v>
      </c>
      <c r="CC233" s="144">
        <v>0</v>
      </c>
      <c r="CD233" s="144">
        <v>0</v>
      </c>
      <c r="CE233" s="144">
        <v>0</v>
      </c>
      <c r="CF233" s="144">
        <v>0</v>
      </c>
      <c r="CG233" s="144">
        <v>0</v>
      </c>
      <c r="CH233" s="144">
        <v>0</v>
      </c>
      <c r="CI233" s="144">
        <v>0</v>
      </c>
      <c r="CJ233" s="144">
        <v>0</v>
      </c>
      <c r="CK233" s="144">
        <v>0</v>
      </c>
      <c r="CL233" s="144">
        <v>0</v>
      </c>
      <c r="CM233" s="144">
        <v>0</v>
      </c>
      <c r="CN233" s="144">
        <v>0</v>
      </c>
      <c r="CO233" s="144">
        <v>0</v>
      </c>
      <c r="CP233" s="144">
        <v>0</v>
      </c>
      <c r="CQ233" s="143">
        <v>0</v>
      </c>
      <c r="CR233" s="145">
        <v>0</v>
      </c>
      <c r="CS233" s="145">
        <v>0</v>
      </c>
      <c r="CT233" s="145">
        <v>0</v>
      </c>
      <c r="CU233" s="145">
        <v>0</v>
      </c>
      <c r="CV233" s="145">
        <v>0</v>
      </c>
      <c r="CW233" s="145">
        <v>0</v>
      </c>
      <c r="CX233" s="145">
        <v>0</v>
      </c>
      <c r="CY233" s="145">
        <v>0</v>
      </c>
      <c r="CZ233" s="145">
        <v>0</v>
      </c>
      <c r="DA233" s="145">
        <v>0</v>
      </c>
      <c r="DB233" s="145">
        <v>0</v>
      </c>
      <c r="DC233" s="145">
        <v>0</v>
      </c>
      <c r="DD233" s="145">
        <v>0</v>
      </c>
      <c r="DE233" s="145">
        <v>0</v>
      </c>
      <c r="DF233" s="145">
        <v>0</v>
      </c>
      <c r="DG233" s="145">
        <v>0</v>
      </c>
      <c r="DH233" s="145">
        <v>12211.78</v>
      </c>
      <c r="DI233" s="145">
        <v>12930.12</v>
      </c>
      <c r="DJ233" s="145">
        <v>13648.460000000001</v>
      </c>
      <c r="DK233" s="145">
        <v>10775.1</v>
      </c>
      <c r="DL233" s="145">
        <v>12930.12</v>
      </c>
      <c r="DM233" s="145">
        <v>12930.12</v>
      </c>
      <c r="DN233" s="145">
        <v>12211.78</v>
      </c>
      <c r="DO233" s="145">
        <v>8620.08</v>
      </c>
      <c r="DP233" s="145">
        <v>16521.82</v>
      </c>
      <c r="DQ233" s="145">
        <v>11493.44</v>
      </c>
      <c r="DR233" s="145">
        <v>11838.96</v>
      </c>
      <c r="DS233" s="145">
        <v>14058.764999999999</v>
      </c>
      <c r="DT233" s="145">
        <v>13318.83</v>
      </c>
      <c r="DU233" s="145">
        <v>12578.895</v>
      </c>
      <c r="DV233" s="145">
        <v>13318.83</v>
      </c>
      <c r="DW233" s="145">
        <v>12578.895</v>
      </c>
      <c r="DX233" s="145">
        <v>13318.83</v>
      </c>
      <c r="DY233" s="145">
        <v>13318.83</v>
      </c>
      <c r="DZ233" s="145">
        <v>12578.895</v>
      </c>
      <c r="EA233" s="145">
        <v>11838.96</v>
      </c>
      <c r="EB233" s="145">
        <v>14058.764999999999</v>
      </c>
      <c r="EC233" s="145">
        <v>11838.96</v>
      </c>
      <c r="ED233" s="145">
        <v>14483.7</v>
      </c>
      <c r="EE233" s="145">
        <v>12196.800000000001</v>
      </c>
      <c r="EF233" s="145">
        <v>14483.7</v>
      </c>
      <c r="EG233" s="145">
        <v>14483.7</v>
      </c>
      <c r="EH233" s="145">
        <v>12196.800000000001</v>
      </c>
      <c r="EI233" s="145">
        <v>13721.400000000001</v>
      </c>
      <c r="EJ233" s="145">
        <v>12959.1</v>
      </c>
      <c r="EK233" s="145">
        <v>13721.400000000001</v>
      </c>
      <c r="EL233" s="145">
        <v>13721.400000000001</v>
      </c>
      <c r="EM233" s="145">
        <v>10672.2</v>
      </c>
      <c r="EN233" s="145">
        <v>0</v>
      </c>
      <c r="EO233" s="145">
        <v>0</v>
      </c>
      <c r="EP233" s="145">
        <v>0</v>
      </c>
      <c r="EQ233" s="145">
        <v>0</v>
      </c>
      <c r="ER233" s="145">
        <v>0</v>
      </c>
      <c r="ES233" s="145">
        <v>0</v>
      </c>
      <c r="ET233" s="145">
        <v>0</v>
      </c>
      <c r="EU233" s="145">
        <v>0</v>
      </c>
      <c r="EV233" s="145">
        <v>0</v>
      </c>
      <c r="EW233" s="145">
        <v>0</v>
      </c>
      <c r="EX233" s="145">
        <v>0</v>
      </c>
      <c r="EY233" s="145">
        <v>0</v>
      </c>
      <c r="EZ233" s="145">
        <v>0</v>
      </c>
      <c r="FA233" s="145">
        <v>0</v>
      </c>
      <c r="FB233" s="145">
        <v>0</v>
      </c>
      <c r="FC233" s="145">
        <v>0</v>
      </c>
      <c r="FD233" s="145">
        <v>0</v>
      </c>
      <c r="FE233" s="145">
        <v>0</v>
      </c>
      <c r="FF233" s="145">
        <v>0</v>
      </c>
      <c r="FG233" s="145">
        <v>0</v>
      </c>
      <c r="FH233" s="145">
        <v>0</v>
      </c>
      <c r="FI233" s="145">
        <v>0</v>
      </c>
      <c r="FJ233" s="145">
        <v>0</v>
      </c>
      <c r="FK233" s="145">
        <v>0</v>
      </c>
      <c r="FL233" s="145">
        <v>0</v>
      </c>
      <c r="FM233" s="145">
        <v>0</v>
      </c>
      <c r="FN233" s="145">
        <v>0</v>
      </c>
      <c r="FO233" s="145">
        <v>0</v>
      </c>
      <c r="FP233" s="145">
        <v>0</v>
      </c>
      <c r="FQ233" s="145">
        <v>0</v>
      </c>
      <c r="FR233" s="145">
        <v>0</v>
      </c>
      <c r="FS233" s="145">
        <v>0</v>
      </c>
      <c r="FT233" s="145">
        <v>0</v>
      </c>
      <c r="FU233" s="145">
        <v>0</v>
      </c>
      <c r="FV233" s="145">
        <v>0</v>
      </c>
      <c r="FW233" s="145">
        <v>0</v>
      </c>
      <c r="FX233" s="143"/>
      <c r="FY233" s="146" t="str">
        <f>_xlfn.XLOOKUP($E233,'Key assumptions'!$B$112:$B$120,'Key assumptions'!$C$112:$C$120,0)</f>
        <v>Nominal</v>
      </c>
      <c r="FZ233" s="146" cm="1">
        <f t="array" ref="FZ233">IF($FY233=0,0,_xlfn.IFS($FY233='Key assumptions'!$C$120,_xlfn.XLOOKUP(LEFT(FZ$7,6),Inflation_Year,Inflation_NominaltoReal),TRUE,_xlfn.XLOOKUP($FY233,Inflation_Year,NominaltoReal)))</f>
        <v>1.0197075870962191</v>
      </c>
      <c r="GA233" s="146" cm="1">
        <f t="array" ref="GA233">IF($FY233=0,0,_xlfn.IFS($FY233='Key assumptions'!$C$120,_xlfn.XLOOKUP(LEFT(GA$7,6),Inflation_Year,Inflation_NominaltoReal),TRUE,_xlfn.XLOOKUP($FY233,Inflation_Year,NominaltoReal)))</f>
        <v>0.98700804022984445</v>
      </c>
      <c r="GB233" s="146" cm="1">
        <f t="array" ref="GB233">IF($FY233=0,0,_xlfn.IFS($FY233='Key assumptions'!$C$120,_xlfn.XLOOKUP(LEFT(GB$7,6),Inflation_Year,Inflation_NominaltoReal),TRUE,_xlfn.XLOOKUP($FY233,Inflation_Year,NominaltoReal)))</f>
        <v>0.96152830081941731</v>
      </c>
      <c r="GC233" s="146" cm="1">
        <f t="array" ref="GC233">IF($FY233=0,0,_xlfn.IFS($FY233='Key assumptions'!$C$120,_xlfn.XLOOKUP(LEFT(GC$7,6),Inflation_Year,Inflation_NominaltoReal),TRUE,_xlfn.XLOOKUP($FY233,Inflation_Year,NominaltoReal)))</f>
        <v>0.93670632415656829</v>
      </c>
      <c r="GD233" s="146" cm="1">
        <f t="array" ref="GD233">IF($FY233=0,0,_xlfn.IFS($FY233='Key assumptions'!$C$120,_xlfn.XLOOKUP(LEFT(GD$7,6),Inflation_Year,Inflation_NominaltoReal),TRUE,_xlfn.XLOOKUP($FY233,Inflation_Year,NominaltoReal)))</f>
        <v>0.91252513001143176</v>
      </c>
      <c r="GE233" s="146" cm="1">
        <f t="array" ref="GE233">IF($FY233=0,0,_xlfn.IFS($FY233='Key assumptions'!$C$120,_xlfn.XLOOKUP(LEFT(GE$7,6),Inflation_Year,Inflation_NominaltoReal),TRUE,_xlfn.XLOOKUP($FY233,Inflation_Year,NominaltoReal)))</f>
        <v>0.88896817650095872</v>
      </c>
      <c r="GF233" s="146" cm="1">
        <f t="array" ref="GF233">IF($FY233=0,0,_xlfn.IFS($FY233='Key assumptions'!$C$120,_xlfn.XLOOKUP(LEFT(GF$7,6),Inflation_Year,Inflation_NominaltoReal),TRUE,_xlfn.XLOOKUP($FY233,Inflation_Year,NominaltoReal)))</f>
        <v>0.86601934877293718</v>
      </c>
      <c r="GG233" s="143"/>
      <c r="GH233" s="145" cm="1">
        <f t="array" ref="GH233">SUMPRODUCT(--($CR$7:$FW$7&gt;=GH$5),--($CR$7:$FW$7&lt;=GH$6),$CR233:$FW233)*FZ233</f>
        <v>63727.217085978729</v>
      </c>
      <c r="GI233" s="145" cm="1">
        <f t="array" ref="GI233">SUMPRODUCT(--($CR$7:$FW$7&gt;=GI$5),--($CR$7:$FW$7&lt;=GI$6),$CR233:$FW233)*GA233</f>
        <v>150804.21327564755</v>
      </c>
      <c r="GJ233" s="145" cm="1">
        <f t="array" ref="GJ233">SUMPRODUCT(--($CR$7:$FW$7&gt;=GJ$5),--($CR$7:$FW$7&lt;=GJ$6),$CR233:$FW233)*GB233</f>
        <v>152074.94106156172</v>
      </c>
      <c r="GK233" s="145" cm="1">
        <f t="array" ref="GK233">SUMPRODUCT(--($CR$7:$FW$7&gt;=GK$5),--($CR$7:$FW$7&lt;=GK$6),$CR233:$FW233)*GC233</f>
        <v>35702.561545227603</v>
      </c>
      <c r="GL233" s="145" cm="1">
        <f t="array" ref="GL233">SUMPRODUCT(--($CR$7:$FW$7&gt;=GL$5),--($CR$7:$FW$7&lt;=GL$6),$CR233:$FW233)*GD233</f>
        <v>0</v>
      </c>
      <c r="GM233" s="145" cm="1">
        <f t="array" ref="GM233">SUMPRODUCT(--($CR$7:$FW$7&gt;=GM$5),--($CR$7:$FW$7&lt;=GM$6),$CR233:$FW233)*GE233</f>
        <v>0</v>
      </c>
      <c r="GN233" s="145" cm="1">
        <f t="array" ref="GN233">SUMPRODUCT(--($CR$7:$FW$7&gt;=GN$5),--($CR$7:$FW$7&lt;=GN$6),$CR233:$FW233)*GF233</f>
        <v>0</v>
      </c>
      <c r="GO233" s="145">
        <f t="shared" si="69"/>
        <v>402308.93296841561</v>
      </c>
      <c r="GP233" s="87"/>
      <c r="GR233" s="145" cm="1">
        <f t="array" ref="GR233">SUMPRODUCT(--($CR$7:$FW$7&gt;=GR$5),--($CR$7:$FW$7&lt;=GR$6),$CR233:$FW233)</f>
        <v>25141.9</v>
      </c>
      <c r="GT233" s="214" cm="1">
        <f t="array" ref="GT233">--AND(MIN(IF($K233:$CP233&lt;&gt;0,$K$7:$CP$7))&gt;=GT$5,MIN(IF($K233:$CP233&lt;&gt;0,$K$7:$CP$7))&lt;=GT$6)</f>
        <v>1</v>
      </c>
      <c r="GU233" s="214" cm="1">
        <f t="array" ref="GU233">--AND(MIN(IF($K233:$CP233&lt;&gt;0,$K$7:$CP$7))&gt;=GU$5,MIN(IF($K233:$CP233&lt;&gt;0,$K$7:$CP$7))&lt;=GU$6)</f>
        <v>0</v>
      </c>
      <c r="GV233" s="214" cm="1">
        <f t="array" ref="GV233">--AND(MIN(IF($K233:$CP233&lt;&gt;0,$K$7:$CP$7))&gt;=GV$5,MIN(IF($K233:$CP233&lt;&gt;0,$K$7:$CP$7))&lt;=GV$6)</f>
        <v>0</v>
      </c>
      <c r="GW233" s="214" cm="1">
        <f t="array" ref="GW233">--AND(MIN(IF($K233:$CP233&lt;&gt;0,$K$7:$CP$7))&gt;=GW$5,MIN(IF($K233:$CP233&lt;&gt;0,$K$7:$CP$7))&lt;=GW$6)</f>
        <v>0</v>
      </c>
      <c r="GX233" s="214" cm="1">
        <f t="array" ref="GX233">--AND(MIN(IF($K233:$CP233&lt;&gt;0,$K$7:$CP$7))&gt;=GX$5,MIN(IF($K233:$CP233&lt;&gt;0,$K$7:$CP$7))&lt;=GX$6)</f>
        <v>0</v>
      </c>
      <c r="GY233" s="214" cm="1">
        <f t="array" ref="GY233">--AND(MIN(IF($K233:$CP233&lt;&gt;0,$K$7:$CP$7))&gt;=GY$5,MIN(IF($K233:$CP233&lt;&gt;0,$K$7:$CP$7))&lt;=GY$6)</f>
        <v>0</v>
      </c>
      <c r="GZ233" s="214" cm="1">
        <f t="array" ref="GZ233">--AND(MIN(IF($K233:$CP233&lt;&gt;0,$K$7:$CP$7))&gt;=GZ$5,MIN(IF($K233:$CP233&lt;&gt;0,$K$7:$CP$7))&lt;=GZ$6)</f>
        <v>0</v>
      </c>
      <c r="HA233" s="214">
        <f t="shared" si="70"/>
        <v>1</v>
      </c>
      <c r="HC233" s="214" cm="1">
        <f t="array" ref="HC233">--AND(MIN(IF($K233:$CP233&lt;&gt;0,$K$7:$CP$7))&gt;=HC$5,MIN(IF($K233:$CP233&lt;&gt;0,$K$7:$CP$7))&lt;=HC$6)</f>
        <v>1</v>
      </c>
      <c r="HE233" s="147" t="str">
        <f t="shared" si="89"/>
        <v>No</v>
      </c>
      <c r="HF233" s="147" t="str">
        <f t="shared" si="90"/>
        <v>No</v>
      </c>
      <c r="HG233" s="147">
        <f>IF($HF233="Yes",0,$H233*avg_hrs*12*'Key assumptions'!$D$87)</f>
        <v>367024.33151015785</v>
      </c>
      <c r="HH233" s="147">
        <f>IF(HE233="Yes",'Key assumptions'!$D$84*HG233,0)</f>
        <v>0</v>
      </c>
      <c r="HI233" s="144">
        <f>IFERROR(AVERAGEIFS($K233:$CP233,$K$7:$CP$7,"&gt;="&amp;'Key assumptions'!$D$24,$K$7:$CP$7,"&lt;="&amp;'Key assumptions'!$D$25),0)</f>
        <v>0.33360247208931421</v>
      </c>
      <c r="HJ233" s="148">
        <f t="shared" si="91"/>
        <v>0</v>
      </c>
      <c r="HK233" s="148">
        <f t="shared" si="72"/>
        <v>0</v>
      </c>
      <c r="HL233" s="148">
        <f t="shared" si="73"/>
        <v>0</v>
      </c>
      <c r="HM233" s="148">
        <f t="shared" si="74"/>
        <v>0</v>
      </c>
      <c r="HN233" s="148">
        <f t="shared" si="75"/>
        <v>0</v>
      </c>
      <c r="HO233" s="148">
        <f t="shared" si="76"/>
        <v>0</v>
      </c>
      <c r="HP233" s="148">
        <f t="shared" si="77"/>
        <v>0</v>
      </c>
      <c r="HQ233" s="148">
        <f t="shared" si="78"/>
        <v>0</v>
      </c>
      <c r="HR233" s="147">
        <f t="shared" si="79"/>
        <v>0</v>
      </c>
      <c r="HU233" s="147">
        <f>$HJ233*HC233/(1+'Key assumptions'!G255)^0.75</f>
        <v>0</v>
      </c>
      <c r="HW233" s="216">
        <f t="shared" si="80"/>
        <v>0.33360247208931421</v>
      </c>
      <c r="HX233" s="216">
        <f t="shared" si="81"/>
        <v>0</v>
      </c>
      <c r="HY233" s="216">
        <f t="shared" si="82"/>
        <v>0</v>
      </c>
      <c r="HZ233" s="216">
        <f t="shared" si="83"/>
        <v>0</v>
      </c>
      <c r="IA233" s="216">
        <f t="shared" si="84"/>
        <v>0</v>
      </c>
      <c r="IB233" s="216">
        <f t="shared" si="85"/>
        <v>0</v>
      </c>
      <c r="IC233" s="216">
        <f t="shared" si="86"/>
        <v>0</v>
      </c>
      <c r="ID233" s="216">
        <f t="shared" si="87"/>
        <v>0.33360247208931421</v>
      </c>
      <c r="IF233" s="216">
        <f t="shared" si="88"/>
        <v>0.33360247208931421</v>
      </c>
    </row>
    <row r="234" spans="2:240" x14ac:dyDescent="0.2">
      <c r="B234" s="141" t="str">
        <v>Project Delivery Management - Construction Management</v>
      </c>
      <c r="C234" s="141" t="str">
        <v>Safety Officer (Safety and Environmental Delivery)</v>
      </c>
      <c r="D234" s="141" t="str">
        <v>Internal Labour</v>
      </c>
      <c r="E234" s="141" t="str">
        <v>$ Nominal</v>
      </c>
      <c r="F234" s="141">
        <v>0</v>
      </c>
      <c r="G234" s="141" t="str">
        <v>Overtime</v>
      </c>
      <c r="H234" s="142">
        <v>205.24</v>
      </c>
      <c r="I234" s="126">
        <v>708043.93500000006</v>
      </c>
      <c r="J234" s="143">
        <v>0</v>
      </c>
      <c r="K234" s="144">
        <v>0</v>
      </c>
      <c r="L234" s="144">
        <v>0</v>
      </c>
      <c r="M234" s="144">
        <v>0</v>
      </c>
      <c r="N234" s="144">
        <v>0</v>
      </c>
      <c r="O234" s="144">
        <v>0</v>
      </c>
      <c r="P234" s="144">
        <v>0</v>
      </c>
      <c r="Q234" s="144">
        <v>0</v>
      </c>
      <c r="R234" s="144">
        <v>0</v>
      </c>
      <c r="S234" s="144">
        <v>0</v>
      </c>
      <c r="T234" s="144">
        <v>0</v>
      </c>
      <c r="U234" s="144">
        <v>0</v>
      </c>
      <c r="V234" s="144">
        <v>0</v>
      </c>
      <c r="W234" s="144">
        <v>0</v>
      </c>
      <c r="X234" s="144">
        <v>0</v>
      </c>
      <c r="Y234" s="144">
        <v>0</v>
      </c>
      <c r="Z234" s="144">
        <v>0</v>
      </c>
      <c r="AA234" s="144">
        <v>0.32565789473684209</v>
      </c>
      <c r="AB234" s="144">
        <v>0.33552631578947367</v>
      </c>
      <c r="AC234" s="144">
        <v>0.46071428571428569</v>
      </c>
      <c r="AD234" s="144">
        <v>0.33214285714285713</v>
      </c>
      <c r="AE234" s="144">
        <v>0.36428571428571427</v>
      </c>
      <c r="AF234" s="144">
        <v>0.36428571428571427</v>
      </c>
      <c r="AG234" s="144">
        <v>0.35357142857142859</v>
      </c>
      <c r="AH234" s="144">
        <v>0.4</v>
      </c>
      <c r="AI234" s="144">
        <v>0.67142857142857137</v>
      </c>
      <c r="AJ234" s="144">
        <v>0.34285714285714286</v>
      </c>
      <c r="AK234" s="144">
        <v>0.34285714285714286</v>
      </c>
      <c r="AL234" s="144">
        <v>0.5</v>
      </c>
      <c r="AM234" s="144">
        <v>0.375</v>
      </c>
      <c r="AN234" s="144">
        <v>0.36513157894736842</v>
      </c>
      <c r="AO234" s="144">
        <v>0.36428571428571427</v>
      </c>
      <c r="AP234" s="144">
        <v>0.35357142857142859</v>
      </c>
      <c r="AQ234" s="144">
        <v>0.36428571428571427</v>
      </c>
      <c r="AR234" s="144">
        <v>0.36428571428571427</v>
      </c>
      <c r="AS234" s="144">
        <v>0.43928571428571428</v>
      </c>
      <c r="AT234" s="144">
        <v>0.34285714285714286</v>
      </c>
      <c r="AU234" s="144">
        <v>0.61428571428571432</v>
      </c>
      <c r="AV234" s="144">
        <v>0.34285714285714286</v>
      </c>
      <c r="AW234" s="144">
        <v>0.375</v>
      </c>
      <c r="AX234" s="144">
        <v>0.45714285714285713</v>
      </c>
      <c r="AY234" s="144">
        <v>0.42434210526315791</v>
      </c>
      <c r="AZ234" s="144">
        <v>0.42434210526315791</v>
      </c>
      <c r="BA234" s="144">
        <v>0.34285714285714286</v>
      </c>
      <c r="BB234" s="144">
        <v>0.36428571428571427</v>
      </c>
      <c r="BC234" s="144">
        <v>0.35357142857142859</v>
      </c>
      <c r="BD234" s="144">
        <v>0.36428571428571427</v>
      </c>
      <c r="BE234" s="144">
        <v>0.45</v>
      </c>
      <c r="BF234" s="144">
        <v>0.31428571428571428</v>
      </c>
      <c r="BG234" s="144">
        <v>0</v>
      </c>
      <c r="BH234" s="144">
        <v>0</v>
      </c>
      <c r="BI234" s="144">
        <v>0</v>
      </c>
      <c r="BJ234" s="144">
        <v>0</v>
      </c>
      <c r="BK234" s="144">
        <v>0</v>
      </c>
      <c r="BL234" s="144">
        <v>0</v>
      </c>
      <c r="BM234" s="144">
        <v>0</v>
      </c>
      <c r="BN234" s="144">
        <v>0</v>
      </c>
      <c r="BO234" s="144">
        <v>0</v>
      </c>
      <c r="BP234" s="144">
        <v>0</v>
      </c>
      <c r="BQ234" s="144">
        <v>0</v>
      </c>
      <c r="BR234" s="144">
        <v>0</v>
      </c>
      <c r="BS234" s="144">
        <v>0</v>
      </c>
      <c r="BT234" s="144">
        <v>0</v>
      </c>
      <c r="BU234" s="144">
        <v>0</v>
      </c>
      <c r="BV234" s="144">
        <v>0</v>
      </c>
      <c r="BW234" s="144">
        <v>0</v>
      </c>
      <c r="BX234" s="144">
        <v>0</v>
      </c>
      <c r="BY234" s="144">
        <v>0</v>
      </c>
      <c r="BZ234" s="144">
        <v>0</v>
      </c>
      <c r="CA234" s="144">
        <v>0</v>
      </c>
      <c r="CB234" s="144">
        <v>0</v>
      </c>
      <c r="CC234" s="144">
        <v>0</v>
      </c>
      <c r="CD234" s="144">
        <v>0</v>
      </c>
      <c r="CE234" s="144">
        <v>0</v>
      </c>
      <c r="CF234" s="144">
        <v>0</v>
      </c>
      <c r="CG234" s="144">
        <v>0</v>
      </c>
      <c r="CH234" s="144">
        <v>0</v>
      </c>
      <c r="CI234" s="144">
        <v>0</v>
      </c>
      <c r="CJ234" s="144">
        <v>0</v>
      </c>
      <c r="CK234" s="144">
        <v>0</v>
      </c>
      <c r="CL234" s="144">
        <v>0</v>
      </c>
      <c r="CM234" s="144">
        <v>0</v>
      </c>
      <c r="CN234" s="144">
        <v>0</v>
      </c>
      <c r="CO234" s="144">
        <v>0</v>
      </c>
      <c r="CP234" s="144">
        <v>0</v>
      </c>
      <c r="CQ234" s="143">
        <v>0</v>
      </c>
      <c r="CR234" s="145">
        <v>0</v>
      </c>
      <c r="CS234" s="145">
        <v>0</v>
      </c>
      <c r="CT234" s="145">
        <v>0</v>
      </c>
      <c r="CU234" s="145">
        <v>0</v>
      </c>
      <c r="CV234" s="145">
        <v>0</v>
      </c>
      <c r="CW234" s="145">
        <v>0</v>
      </c>
      <c r="CX234" s="145">
        <v>0</v>
      </c>
      <c r="CY234" s="145">
        <v>0</v>
      </c>
      <c r="CZ234" s="145">
        <v>0</v>
      </c>
      <c r="DA234" s="145">
        <v>0</v>
      </c>
      <c r="DB234" s="145">
        <v>0</v>
      </c>
      <c r="DC234" s="145">
        <v>0</v>
      </c>
      <c r="DD234" s="145">
        <v>0</v>
      </c>
      <c r="DE234" s="145">
        <v>0</v>
      </c>
      <c r="DF234" s="145">
        <v>0</v>
      </c>
      <c r="DG234" s="145">
        <v>0</v>
      </c>
      <c r="DH234" s="145">
        <v>20318.760000000002</v>
      </c>
      <c r="DI234" s="145">
        <v>20934.48</v>
      </c>
      <c r="DJ234" s="145">
        <v>26475.960000000003</v>
      </c>
      <c r="DK234" s="145">
        <v>19087.32</v>
      </c>
      <c r="DL234" s="145">
        <v>20934.48</v>
      </c>
      <c r="DM234" s="145">
        <v>20934.48</v>
      </c>
      <c r="DN234" s="145">
        <v>20318.760000000002</v>
      </c>
      <c r="DO234" s="145">
        <v>17240.16</v>
      </c>
      <c r="DP234" s="145">
        <v>28938.84</v>
      </c>
      <c r="DQ234" s="145">
        <v>19703.04</v>
      </c>
      <c r="DR234" s="145">
        <v>20294.88</v>
      </c>
      <c r="DS234" s="145">
        <v>22197.525000000001</v>
      </c>
      <c r="DT234" s="145">
        <v>24100.170000000002</v>
      </c>
      <c r="DU234" s="145">
        <v>23465.955000000002</v>
      </c>
      <c r="DV234" s="145">
        <v>21563.31</v>
      </c>
      <c r="DW234" s="145">
        <v>20929.095000000001</v>
      </c>
      <c r="DX234" s="145">
        <v>21563.31</v>
      </c>
      <c r="DY234" s="145">
        <v>21563.31</v>
      </c>
      <c r="DZ234" s="145">
        <v>26002.814999999999</v>
      </c>
      <c r="EA234" s="145">
        <v>15221.16</v>
      </c>
      <c r="EB234" s="145">
        <v>27271.244999999999</v>
      </c>
      <c r="EC234" s="145">
        <v>20294.88</v>
      </c>
      <c r="ED234" s="145">
        <v>22869</v>
      </c>
      <c r="EE234" s="145">
        <v>20908.800000000003</v>
      </c>
      <c r="EF234" s="145">
        <v>28096.2</v>
      </c>
      <c r="EG234" s="145">
        <v>28096.2</v>
      </c>
      <c r="EH234" s="145">
        <v>20908.800000000003</v>
      </c>
      <c r="EI234" s="145">
        <v>22215.600000000002</v>
      </c>
      <c r="EJ234" s="145">
        <v>21562.2</v>
      </c>
      <c r="EK234" s="145">
        <v>22215.600000000002</v>
      </c>
      <c r="EL234" s="145">
        <v>27442.800000000003</v>
      </c>
      <c r="EM234" s="145">
        <v>14374.800000000001</v>
      </c>
      <c r="EN234" s="145">
        <v>0</v>
      </c>
      <c r="EO234" s="145">
        <v>0</v>
      </c>
      <c r="EP234" s="145">
        <v>0</v>
      </c>
      <c r="EQ234" s="145">
        <v>0</v>
      </c>
      <c r="ER234" s="145">
        <v>0</v>
      </c>
      <c r="ES234" s="145">
        <v>0</v>
      </c>
      <c r="ET234" s="145">
        <v>0</v>
      </c>
      <c r="EU234" s="145">
        <v>0</v>
      </c>
      <c r="EV234" s="145">
        <v>0</v>
      </c>
      <c r="EW234" s="145">
        <v>0</v>
      </c>
      <c r="EX234" s="145">
        <v>0</v>
      </c>
      <c r="EY234" s="145">
        <v>0</v>
      </c>
      <c r="EZ234" s="145">
        <v>0</v>
      </c>
      <c r="FA234" s="145">
        <v>0</v>
      </c>
      <c r="FB234" s="145">
        <v>0</v>
      </c>
      <c r="FC234" s="145">
        <v>0</v>
      </c>
      <c r="FD234" s="145">
        <v>0</v>
      </c>
      <c r="FE234" s="145">
        <v>0</v>
      </c>
      <c r="FF234" s="145">
        <v>0</v>
      </c>
      <c r="FG234" s="145">
        <v>0</v>
      </c>
      <c r="FH234" s="145">
        <v>0</v>
      </c>
      <c r="FI234" s="145">
        <v>0</v>
      </c>
      <c r="FJ234" s="145">
        <v>0</v>
      </c>
      <c r="FK234" s="145">
        <v>0</v>
      </c>
      <c r="FL234" s="145">
        <v>0</v>
      </c>
      <c r="FM234" s="145">
        <v>0</v>
      </c>
      <c r="FN234" s="145">
        <v>0</v>
      </c>
      <c r="FO234" s="145">
        <v>0</v>
      </c>
      <c r="FP234" s="145">
        <v>0</v>
      </c>
      <c r="FQ234" s="145">
        <v>0</v>
      </c>
      <c r="FR234" s="145">
        <v>0</v>
      </c>
      <c r="FS234" s="145">
        <v>0</v>
      </c>
      <c r="FT234" s="145">
        <v>0</v>
      </c>
      <c r="FU234" s="145">
        <v>0</v>
      </c>
      <c r="FV234" s="145">
        <v>0</v>
      </c>
      <c r="FW234" s="145">
        <v>0</v>
      </c>
      <c r="FX234" s="143"/>
      <c r="FY234" s="146" t="str">
        <f>_xlfn.XLOOKUP($E234,'Key assumptions'!$B$112:$B$120,'Key assumptions'!$C$112:$C$120,0)</f>
        <v>Nominal</v>
      </c>
      <c r="FZ234" s="146" cm="1">
        <f t="array" ref="FZ234">IF($FY234=0,0,_xlfn.IFS($FY234='Key assumptions'!$C$120,_xlfn.XLOOKUP(LEFT(FZ$7,6),Inflation_Year,Inflation_NominaltoReal),TRUE,_xlfn.XLOOKUP($FY234,Inflation_Year,NominaltoReal)))</f>
        <v>1.0197075870962191</v>
      </c>
      <c r="GA234" s="146" cm="1">
        <f t="array" ref="GA234">IF($FY234=0,0,_xlfn.IFS($FY234='Key assumptions'!$C$120,_xlfn.XLOOKUP(LEFT(GA$7,6),Inflation_Year,Inflation_NominaltoReal),TRUE,_xlfn.XLOOKUP($FY234,Inflation_Year,NominaltoReal)))</f>
        <v>0.98700804022984445</v>
      </c>
      <c r="GB234" s="146" cm="1">
        <f t="array" ref="GB234">IF($FY234=0,0,_xlfn.IFS($FY234='Key assumptions'!$C$120,_xlfn.XLOOKUP(LEFT(GB$7,6),Inflation_Year,Inflation_NominaltoReal),TRUE,_xlfn.XLOOKUP($FY234,Inflation_Year,NominaltoReal)))</f>
        <v>0.96152830081941731</v>
      </c>
      <c r="GC234" s="146" cm="1">
        <f t="array" ref="GC234">IF($FY234=0,0,_xlfn.IFS($FY234='Key assumptions'!$C$120,_xlfn.XLOOKUP(LEFT(GC$7,6),Inflation_Year,Inflation_NominaltoReal),TRUE,_xlfn.XLOOKUP($FY234,Inflation_Year,NominaltoReal)))</f>
        <v>0.93670632415656829</v>
      </c>
      <c r="GD234" s="146" cm="1">
        <f t="array" ref="GD234">IF($FY234=0,0,_xlfn.IFS($FY234='Key assumptions'!$C$120,_xlfn.XLOOKUP(LEFT(GD$7,6),Inflation_Year,Inflation_NominaltoReal),TRUE,_xlfn.XLOOKUP($FY234,Inflation_Year,NominaltoReal)))</f>
        <v>0.91252513001143176</v>
      </c>
      <c r="GE234" s="146" cm="1">
        <f t="array" ref="GE234">IF($FY234=0,0,_xlfn.IFS($FY234='Key assumptions'!$C$120,_xlfn.XLOOKUP(LEFT(GE$7,6),Inflation_Year,Inflation_NominaltoReal),TRUE,_xlfn.XLOOKUP($FY234,Inflation_Year,NominaltoReal)))</f>
        <v>0.88896817650095872</v>
      </c>
      <c r="GF234" s="146" cm="1">
        <f t="array" ref="GF234">IF($FY234=0,0,_xlfn.IFS($FY234='Key assumptions'!$C$120,_xlfn.XLOOKUP(LEFT(GF$7,6),Inflation_Year,Inflation_NominaltoReal),TRUE,_xlfn.XLOOKUP($FY234,Inflation_Year,NominaltoReal)))</f>
        <v>0.86601934877293718</v>
      </c>
      <c r="GG234" s="143"/>
      <c r="GH234" s="145" cm="1">
        <f t="array" ref="GH234">SUMPRODUCT(--($CR$7:$FW$7&gt;=GH$5),--($CR$7:$FW$7&lt;=GH$6),$CR234:$FW234)*FZ234</f>
        <v>109874.51221720473</v>
      </c>
      <c r="GI234" s="145" cm="1">
        <f t="array" ref="GI234">SUMPRODUCT(--($CR$7:$FW$7&gt;=GI$5),--($CR$7:$FW$7&lt;=GI$6),$CR234:$FW234)*GA234</f>
        <v>257855.38168122774</v>
      </c>
      <c r="GJ234" s="145" cm="1">
        <f t="array" ref="GJ234">SUMPRODUCT(--($CR$7:$FW$7&gt;=GJ$5),--($CR$7:$FW$7&lt;=GJ$6),$CR234:$FW234)*GB234</f>
        <v>264430.09992929117</v>
      </c>
      <c r="GK234" s="145" cm="1">
        <f t="array" ref="GK234">SUMPRODUCT(--($CR$7:$FW$7&gt;=GK$5),--($CR$7:$FW$7&lt;=GK$6),$CR234:$FW234)*GC234</f>
        <v>59980.303395982381</v>
      </c>
      <c r="GL234" s="145" cm="1">
        <f t="array" ref="GL234">SUMPRODUCT(--($CR$7:$FW$7&gt;=GL$5),--($CR$7:$FW$7&lt;=GL$6),$CR234:$FW234)*GD234</f>
        <v>0</v>
      </c>
      <c r="GM234" s="145" cm="1">
        <f t="array" ref="GM234">SUMPRODUCT(--($CR$7:$FW$7&gt;=GM$5),--($CR$7:$FW$7&lt;=GM$6),$CR234:$FW234)*GE234</f>
        <v>0</v>
      </c>
      <c r="GN234" s="145" cm="1">
        <f t="array" ref="GN234">SUMPRODUCT(--($CR$7:$FW$7&gt;=GN$5),--($CR$7:$FW$7&lt;=GN$6),$CR234:$FW234)*GF234</f>
        <v>0</v>
      </c>
      <c r="GO234" s="145">
        <f t="shared" si="69"/>
        <v>692140.29722370603</v>
      </c>
      <c r="GP234" s="87"/>
      <c r="GR234" s="145" cm="1">
        <f t="array" ref="GR234">SUMPRODUCT(--($CR$7:$FW$7&gt;=GR$5),--($CR$7:$FW$7&lt;=GR$6),$CR234:$FW234)</f>
        <v>41253.240000000005</v>
      </c>
      <c r="GT234" s="214" cm="1">
        <f t="array" ref="GT234">--AND(MIN(IF($K234:$CP234&lt;&gt;0,$K$7:$CP$7))&gt;=GT$5,MIN(IF($K234:$CP234&lt;&gt;0,$K$7:$CP$7))&lt;=GT$6)</f>
        <v>1</v>
      </c>
      <c r="GU234" s="214" cm="1">
        <f t="array" ref="GU234">--AND(MIN(IF($K234:$CP234&lt;&gt;0,$K$7:$CP$7))&gt;=GU$5,MIN(IF($K234:$CP234&lt;&gt;0,$K$7:$CP$7))&lt;=GU$6)</f>
        <v>0</v>
      </c>
      <c r="GV234" s="214" cm="1">
        <f t="array" ref="GV234">--AND(MIN(IF($K234:$CP234&lt;&gt;0,$K$7:$CP$7))&gt;=GV$5,MIN(IF($K234:$CP234&lt;&gt;0,$K$7:$CP$7))&lt;=GV$6)</f>
        <v>0</v>
      </c>
      <c r="GW234" s="214" cm="1">
        <f t="array" ref="GW234">--AND(MIN(IF($K234:$CP234&lt;&gt;0,$K$7:$CP$7))&gt;=GW$5,MIN(IF($K234:$CP234&lt;&gt;0,$K$7:$CP$7))&lt;=GW$6)</f>
        <v>0</v>
      </c>
      <c r="GX234" s="214" cm="1">
        <f t="array" ref="GX234">--AND(MIN(IF($K234:$CP234&lt;&gt;0,$K$7:$CP$7))&gt;=GX$5,MIN(IF($K234:$CP234&lt;&gt;0,$K$7:$CP$7))&lt;=GX$6)</f>
        <v>0</v>
      </c>
      <c r="GY234" s="214" cm="1">
        <f t="array" ref="GY234">--AND(MIN(IF($K234:$CP234&lt;&gt;0,$K$7:$CP$7))&gt;=GY$5,MIN(IF($K234:$CP234&lt;&gt;0,$K$7:$CP$7))&lt;=GY$6)</f>
        <v>0</v>
      </c>
      <c r="GZ234" s="214" cm="1">
        <f t="array" ref="GZ234">--AND(MIN(IF($K234:$CP234&lt;&gt;0,$K$7:$CP$7))&gt;=GZ$5,MIN(IF($K234:$CP234&lt;&gt;0,$K$7:$CP$7))&lt;=GZ$6)</f>
        <v>0</v>
      </c>
      <c r="HA234" s="214">
        <f t="shared" si="70"/>
        <v>1</v>
      </c>
      <c r="HC234" s="214" cm="1">
        <f t="array" ref="HC234">--AND(MIN(IF($K234:$CP234&lt;&gt;0,$K$7:$CP$7))&gt;=HC$5,MIN(IF($K234:$CP234&lt;&gt;0,$K$7:$CP$7))&lt;=HC$6)</f>
        <v>1</v>
      </c>
      <c r="HE234" s="147" t="str">
        <f t="shared" si="89"/>
        <v>No</v>
      </c>
      <c r="HF234" s="147" t="str">
        <f t="shared" si="90"/>
        <v>Yes</v>
      </c>
      <c r="HG234" s="147">
        <f>IF($HF234="Yes",0,$H234*avg_hrs*12*'Key assumptions'!$D$87)</f>
        <v>0</v>
      </c>
      <c r="HH234" s="147">
        <f>IF(HE234="Yes",'Key assumptions'!$D$84*HG234,0)</f>
        <v>0</v>
      </c>
      <c r="HI234" s="144">
        <f>IFERROR(AVERAGEIFS($K234:$CP234,$K$7:$CP$7,"&gt;="&amp;'Key assumptions'!$D$24,$K$7:$CP$7,"&lt;="&amp;'Key assumptions'!$D$25),0)</f>
        <v>0.28612012987012975</v>
      </c>
      <c r="HJ234" s="148">
        <f t="shared" si="91"/>
        <v>0</v>
      </c>
      <c r="HK234" s="148">
        <f t="shared" si="72"/>
        <v>0</v>
      </c>
      <c r="HL234" s="148">
        <f t="shared" si="73"/>
        <v>0</v>
      </c>
      <c r="HM234" s="148">
        <f t="shared" si="74"/>
        <v>0</v>
      </c>
      <c r="HN234" s="148">
        <f t="shared" si="75"/>
        <v>0</v>
      </c>
      <c r="HO234" s="148">
        <f t="shared" si="76"/>
        <v>0</v>
      </c>
      <c r="HP234" s="148">
        <f t="shared" si="77"/>
        <v>0</v>
      </c>
      <c r="HQ234" s="148">
        <f t="shared" si="78"/>
        <v>0</v>
      </c>
      <c r="HR234" s="147">
        <f t="shared" si="79"/>
        <v>0</v>
      </c>
      <c r="HU234" s="147">
        <f>$HJ234*HC234/(1+'Key assumptions'!G256)^0.75</f>
        <v>0</v>
      </c>
      <c r="HW234" s="216">
        <f t="shared" si="80"/>
        <v>0.28612012987012975</v>
      </c>
      <c r="HX234" s="216">
        <f t="shared" si="81"/>
        <v>0</v>
      </c>
      <c r="HY234" s="216">
        <f t="shared" si="82"/>
        <v>0</v>
      </c>
      <c r="HZ234" s="216">
        <f t="shared" si="83"/>
        <v>0</v>
      </c>
      <c r="IA234" s="216">
        <f t="shared" si="84"/>
        <v>0</v>
      </c>
      <c r="IB234" s="216">
        <f t="shared" si="85"/>
        <v>0</v>
      </c>
      <c r="IC234" s="216">
        <f t="shared" si="86"/>
        <v>0</v>
      </c>
      <c r="ID234" s="216">
        <f t="shared" si="87"/>
        <v>0.28612012987012975</v>
      </c>
      <c r="IF234" s="216">
        <f t="shared" si="88"/>
        <v>0.28612012987012975</v>
      </c>
    </row>
    <row r="235" spans="2:240" x14ac:dyDescent="0.2">
      <c r="B235" s="141" t="str">
        <v>Land and Environment</v>
      </c>
      <c r="C235" s="141" t="str">
        <v>Environment Officer (Safety and Environmental Delivery)</v>
      </c>
      <c r="D235" s="141" t="str">
        <v>Internal Labour</v>
      </c>
      <c r="E235" s="141" t="str">
        <v>$ Nominal</v>
      </c>
      <c r="F235" s="141" t="str">
        <v>Existing</v>
      </c>
      <c r="G235" s="141" t="str">
        <v>Normal time</v>
      </c>
      <c r="H235" s="142">
        <v>210.04</v>
      </c>
      <c r="I235" s="126">
        <v>174359.17800000004</v>
      </c>
      <c r="J235" s="143">
        <v>0</v>
      </c>
      <c r="K235" s="144">
        <v>0</v>
      </c>
      <c r="L235" s="144">
        <v>0</v>
      </c>
      <c r="M235" s="144">
        <v>0</v>
      </c>
      <c r="N235" s="144">
        <v>0</v>
      </c>
      <c r="O235" s="144">
        <v>0</v>
      </c>
      <c r="P235" s="144">
        <v>0</v>
      </c>
      <c r="Q235" s="144">
        <v>0</v>
      </c>
      <c r="R235" s="144">
        <v>0</v>
      </c>
      <c r="S235" s="144">
        <v>0</v>
      </c>
      <c r="T235" s="144">
        <v>0</v>
      </c>
      <c r="U235" s="144">
        <v>0</v>
      </c>
      <c r="V235" s="144">
        <v>0</v>
      </c>
      <c r="W235" s="144">
        <v>0</v>
      </c>
      <c r="X235" s="144">
        <v>0</v>
      </c>
      <c r="Y235" s="144">
        <v>0.1</v>
      </c>
      <c r="Z235" s="144">
        <v>0.13333333333333333</v>
      </c>
      <c r="AA235" s="144">
        <v>0.15657894736842107</v>
      </c>
      <c r="AB235" s="144">
        <v>0.16578947368421051</v>
      </c>
      <c r="AC235" s="144">
        <v>0.19</v>
      </c>
      <c r="AD235" s="144">
        <v>0.15</v>
      </c>
      <c r="AE235" s="144">
        <v>0.18</v>
      </c>
      <c r="AF235" s="144">
        <v>0.18</v>
      </c>
      <c r="AG235" s="144">
        <v>0.17</v>
      </c>
      <c r="AH235" s="144">
        <v>0.16</v>
      </c>
      <c r="AI235" s="144">
        <v>0.3066666666666667</v>
      </c>
      <c r="AJ235" s="144">
        <v>0.16</v>
      </c>
      <c r="AK235" s="144">
        <v>0.16</v>
      </c>
      <c r="AL235" s="144">
        <v>0.25333333333333335</v>
      </c>
      <c r="AM235" s="144">
        <v>0.16578947368421051</v>
      </c>
      <c r="AN235" s="144">
        <v>0.15657894736842107</v>
      </c>
      <c r="AO235" s="144">
        <v>0.18</v>
      </c>
      <c r="AP235" s="144">
        <v>0.17</v>
      </c>
      <c r="AQ235" s="144">
        <v>0.18</v>
      </c>
      <c r="AR235" s="144">
        <v>0.18</v>
      </c>
      <c r="AS235" s="144">
        <v>0.17</v>
      </c>
      <c r="AT235" s="144">
        <v>0.21333333333333332</v>
      </c>
      <c r="AU235" s="144">
        <v>0.25333333333333335</v>
      </c>
      <c r="AV235" s="144">
        <v>0.16</v>
      </c>
      <c r="AW235" s="144">
        <v>0.19</v>
      </c>
      <c r="AX235" s="144">
        <v>0.21333333333333332</v>
      </c>
      <c r="AY235" s="144">
        <v>0.17500000000000002</v>
      </c>
      <c r="AZ235" s="144">
        <v>0.17500000000000002</v>
      </c>
      <c r="BA235" s="144">
        <v>0.16</v>
      </c>
      <c r="BB235" s="144">
        <v>0.18</v>
      </c>
      <c r="BC235" s="144">
        <v>0.17</v>
      </c>
      <c r="BD235" s="144">
        <v>0.18</v>
      </c>
      <c r="BE235" s="144">
        <v>0.18</v>
      </c>
      <c r="BF235" s="144">
        <v>0.18666666666666668</v>
      </c>
      <c r="BG235" s="144">
        <v>0</v>
      </c>
      <c r="BH235" s="144">
        <v>0</v>
      </c>
      <c r="BI235" s="144">
        <v>0</v>
      </c>
      <c r="BJ235" s="144">
        <v>0</v>
      </c>
      <c r="BK235" s="144">
        <v>0</v>
      </c>
      <c r="BL235" s="144">
        <v>0</v>
      </c>
      <c r="BM235" s="144">
        <v>0</v>
      </c>
      <c r="BN235" s="144">
        <v>0</v>
      </c>
      <c r="BO235" s="144">
        <v>0</v>
      </c>
      <c r="BP235" s="144">
        <v>0</v>
      </c>
      <c r="BQ235" s="144">
        <v>0</v>
      </c>
      <c r="BR235" s="144">
        <v>0</v>
      </c>
      <c r="BS235" s="144">
        <v>0</v>
      </c>
      <c r="BT235" s="144">
        <v>0</v>
      </c>
      <c r="BU235" s="144">
        <v>0</v>
      </c>
      <c r="BV235" s="144">
        <v>0</v>
      </c>
      <c r="BW235" s="144">
        <v>0</v>
      </c>
      <c r="BX235" s="144">
        <v>0</v>
      </c>
      <c r="BY235" s="144">
        <v>0</v>
      </c>
      <c r="BZ235" s="144">
        <v>0</v>
      </c>
      <c r="CA235" s="144">
        <v>0</v>
      </c>
      <c r="CB235" s="144">
        <v>0</v>
      </c>
      <c r="CC235" s="144">
        <v>0</v>
      </c>
      <c r="CD235" s="144">
        <v>0</v>
      </c>
      <c r="CE235" s="144">
        <v>0</v>
      </c>
      <c r="CF235" s="144">
        <v>0</v>
      </c>
      <c r="CG235" s="144">
        <v>0</v>
      </c>
      <c r="CH235" s="144">
        <v>0</v>
      </c>
      <c r="CI235" s="144">
        <v>0</v>
      </c>
      <c r="CJ235" s="144">
        <v>0</v>
      </c>
      <c r="CK235" s="144">
        <v>0</v>
      </c>
      <c r="CL235" s="144">
        <v>0</v>
      </c>
      <c r="CM235" s="144">
        <v>0</v>
      </c>
      <c r="CN235" s="144">
        <v>0</v>
      </c>
      <c r="CO235" s="144">
        <v>0</v>
      </c>
      <c r="CP235" s="144">
        <v>0</v>
      </c>
      <c r="CQ235" s="143">
        <v>0</v>
      </c>
      <c r="CR235" s="145">
        <v>0</v>
      </c>
      <c r="CS235" s="145">
        <v>0</v>
      </c>
      <c r="CT235" s="145">
        <v>0</v>
      </c>
      <c r="CU235" s="145">
        <v>0</v>
      </c>
      <c r="CV235" s="145">
        <v>0</v>
      </c>
      <c r="CW235" s="145">
        <v>0</v>
      </c>
      <c r="CX235" s="145">
        <v>0</v>
      </c>
      <c r="CY235" s="145">
        <v>0</v>
      </c>
      <c r="CZ235" s="145">
        <v>0</v>
      </c>
      <c r="DA235" s="145">
        <v>0</v>
      </c>
      <c r="DB235" s="145">
        <v>0</v>
      </c>
      <c r="DC235" s="145">
        <v>0</v>
      </c>
      <c r="DD235" s="145">
        <v>0</v>
      </c>
      <c r="DE235" s="145">
        <v>0</v>
      </c>
      <c r="DF235" s="145">
        <v>2940.56</v>
      </c>
      <c r="DG235" s="145">
        <v>2940.56</v>
      </c>
      <c r="DH235" s="145">
        <v>4998.9520000000002</v>
      </c>
      <c r="DI235" s="145">
        <v>5293.0079999999998</v>
      </c>
      <c r="DJ235" s="145">
        <v>5587.0640000000003</v>
      </c>
      <c r="DK235" s="145">
        <v>4410.84</v>
      </c>
      <c r="DL235" s="145">
        <v>5293.0079999999998</v>
      </c>
      <c r="DM235" s="145">
        <v>5293.0079999999998</v>
      </c>
      <c r="DN235" s="145">
        <v>4998.9520000000002</v>
      </c>
      <c r="DO235" s="145">
        <v>3528.672</v>
      </c>
      <c r="DP235" s="145">
        <v>6763.2880000000005</v>
      </c>
      <c r="DQ235" s="145">
        <v>4704.8959999999997</v>
      </c>
      <c r="DR235" s="145">
        <v>4848.0320000000002</v>
      </c>
      <c r="DS235" s="145">
        <v>5757.0380000000005</v>
      </c>
      <c r="DT235" s="145">
        <v>5454.0360000000001</v>
      </c>
      <c r="DU235" s="145">
        <v>5151.0340000000006</v>
      </c>
      <c r="DV235" s="145">
        <v>5454.0360000000001</v>
      </c>
      <c r="DW235" s="145">
        <v>5151.0340000000006</v>
      </c>
      <c r="DX235" s="145">
        <v>5454.0360000000001</v>
      </c>
      <c r="DY235" s="145">
        <v>5454.0360000000001</v>
      </c>
      <c r="DZ235" s="145">
        <v>5151.0340000000006</v>
      </c>
      <c r="EA235" s="145">
        <v>4848.0320000000002</v>
      </c>
      <c r="EB235" s="145">
        <v>5757.0380000000005</v>
      </c>
      <c r="EC235" s="145">
        <v>4848.0320000000002</v>
      </c>
      <c r="ED235" s="145">
        <v>5927.0119999999997</v>
      </c>
      <c r="EE235" s="145">
        <v>4991.1679999999997</v>
      </c>
      <c r="EF235" s="145">
        <v>5927.0119999999997</v>
      </c>
      <c r="EG235" s="145">
        <v>5927.0119999999997</v>
      </c>
      <c r="EH235" s="145">
        <v>4991.1679999999997</v>
      </c>
      <c r="EI235" s="145">
        <v>5615.0639999999994</v>
      </c>
      <c r="EJ235" s="145">
        <v>5303.116</v>
      </c>
      <c r="EK235" s="145">
        <v>5615.0639999999994</v>
      </c>
      <c r="EL235" s="145">
        <v>5615.0639999999994</v>
      </c>
      <c r="EM235" s="145">
        <v>4367.2719999999999</v>
      </c>
      <c r="EN235" s="145">
        <v>0</v>
      </c>
      <c r="EO235" s="145">
        <v>0</v>
      </c>
      <c r="EP235" s="145">
        <v>0</v>
      </c>
      <c r="EQ235" s="145">
        <v>0</v>
      </c>
      <c r="ER235" s="145">
        <v>0</v>
      </c>
      <c r="ES235" s="145">
        <v>0</v>
      </c>
      <c r="ET235" s="145">
        <v>0</v>
      </c>
      <c r="EU235" s="145">
        <v>0</v>
      </c>
      <c r="EV235" s="145">
        <v>0</v>
      </c>
      <c r="EW235" s="145">
        <v>0</v>
      </c>
      <c r="EX235" s="145">
        <v>0</v>
      </c>
      <c r="EY235" s="145">
        <v>0</v>
      </c>
      <c r="EZ235" s="145">
        <v>0</v>
      </c>
      <c r="FA235" s="145">
        <v>0</v>
      </c>
      <c r="FB235" s="145">
        <v>0</v>
      </c>
      <c r="FC235" s="145">
        <v>0</v>
      </c>
      <c r="FD235" s="145">
        <v>0</v>
      </c>
      <c r="FE235" s="145">
        <v>0</v>
      </c>
      <c r="FF235" s="145">
        <v>0</v>
      </c>
      <c r="FG235" s="145">
        <v>0</v>
      </c>
      <c r="FH235" s="145">
        <v>0</v>
      </c>
      <c r="FI235" s="145">
        <v>0</v>
      </c>
      <c r="FJ235" s="145">
        <v>0</v>
      </c>
      <c r="FK235" s="145">
        <v>0</v>
      </c>
      <c r="FL235" s="145">
        <v>0</v>
      </c>
      <c r="FM235" s="145">
        <v>0</v>
      </c>
      <c r="FN235" s="145">
        <v>0</v>
      </c>
      <c r="FO235" s="145">
        <v>0</v>
      </c>
      <c r="FP235" s="145">
        <v>0</v>
      </c>
      <c r="FQ235" s="145">
        <v>0</v>
      </c>
      <c r="FR235" s="145">
        <v>0</v>
      </c>
      <c r="FS235" s="145">
        <v>0</v>
      </c>
      <c r="FT235" s="145">
        <v>0</v>
      </c>
      <c r="FU235" s="145">
        <v>0</v>
      </c>
      <c r="FV235" s="145">
        <v>0</v>
      </c>
      <c r="FW235" s="145">
        <v>0</v>
      </c>
      <c r="FX235" s="143"/>
      <c r="FY235" s="146" t="str">
        <f>_xlfn.XLOOKUP($E235,'Key assumptions'!$B$112:$B$120,'Key assumptions'!$C$112:$C$120,0)</f>
        <v>Nominal</v>
      </c>
      <c r="FZ235" s="146" cm="1">
        <f t="array" ref="FZ235">IF($FY235=0,0,_xlfn.IFS($FY235='Key assumptions'!$C$120,_xlfn.XLOOKUP(LEFT(FZ$7,6),Inflation_Year,Inflation_NominaltoReal),TRUE,_xlfn.XLOOKUP($FY235,Inflation_Year,NominaltoReal)))</f>
        <v>1.0197075870962191</v>
      </c>
      <c r="GA235" s="146" cm="1">
        <f t="array" ref="GA235">IF($FY235=0,0,_xlfn.IFS($FY235='Key assumptions'!$C$120,_xlfn.XLOOKUP(LEFT(GA$7,6),Inflation_Year,Inflation_NominaltoReal),TRUE,_xlfn.XLOOKUP($FY235,Inflation_Year,NominaltoReal)))</f>
        <v>0.98700804022984445</v>
      </c>
      <c r="GB235" s="146" cm="1">
        <f t="array" ref="GB235">IF($FY235=0,0,_xlfn.IFS($FY235='Key assumptions'!$C$120,_xlfn.XLOOKUP(LEFT(GB$7,6),Inflation_Year,Inflation_NominaltoReal),TRUE,_xlfn.XLOOKUP($FY235,Inflation_Year,NominaltoReal)))</f>
        <v>0.96152830081941731</v>
      </c>
      <c r="GC235" s="146" cm="1">
        <f t="array" ref="GC235">IF($FY235=0,0,_xlfn.IFS($FY235='Key assumptions'!$C$120,_xlfn.XLOOKUP(LEFT(GC$7,6),Inflation_Year,Inflation_NominaltoReal),TRUE,_xlfn.XLOOKUP($FY235,Inflation_Year,NominaltoReal)))</f>
        <v>0.93670632415656829</v>
      </c>
      <c r="GD235" s="146" cm="1">
        <f t="array" ref="GD235">IF($FY235=0,0,_xlfn.IFS($FY235='Key assumptions'!$C$120,_xlfn.XLOOKUP(LEFT(GD$7,6),Inflation_Year,Inflation_NominaltoReal),TRUE,_xlfn.XLOOKUP($FY235,Inflation_Year,NominaltoReal)))</f>
        <v>0.91252513001143176</v>
      </c>
      <c r="GE235" s="146" cm="1">
        <f t="array" ref="GE235">IF($FY235=0,0,_xlfn.IFS($FY235='Key assumptions'!$C$120,_xlfn.XLOOKUP(LEFT(GE$7,6),Inflation_Year,Inflation_NominaltoReal),TRUE,_xlfn.XLOOKUP($FY235,Inflation_Year,NominaltoReal)))</f>
        <v>0.88896817650095872</v>
      </c>
      <c r="GF235" s="146" cm="1">
        <f t="array" ref="GF235">IF($FY235=0,0,_xlfn.IFS($FY235='Key assumptions'!$C$120,_xlfn.XLOOKUP(LEFT(GF$7,6),Inflation_Year,Inflation_NominaltoReal),TRUE,_xlfn.XLOOKUP($FY235,Inflation_Year,NominaltoReal)))</f>
        <v>0.86601934877293718</v>
      </c>
      <c r="GG235" s="143"/>
      <c r="GH235" s="145" cm="1">
        <f t="array" ref="GH235">SUMPRODUCT(--($CR$7:$FW$7&gt;=GH$5),--($CR$7:$FW$7&lt;=GH$6),$CR235:$FW235)*FZ235</f>
        <v>32084.07136273474</v>
      </c>
      <c r="GI235" s="145" cm="1">
        <f t="array" ref="GI235">SUMPRODUCT(--($CR$7:$FW$7&gt;=GI$5),--($CR$7:$FW$7&lt;=GI$6),$CR235:$FW235)*GA235</f>
        <v>61745.310175197104</v>
      </c>
      <c r="GJ235" s="145" cm="1">
        <f t="array" ref="GJ235">SUMPRODUCT(--($CR$7:$FW$7&gt;=GJ$5),--($CR$7:$FW$7&lt;=GJ$6),$CR235:$FW235)*GB235</f>
        <v>62249.076813238054</v>
      </c>
      <c r="GK235" s="145" cm="1">
        <f t="array" ref="GK235">SUMPRODUCT(--($CR$7:$FW$7&gt;=GK$5),--($CR$7:$FW$7&lt;=GK$6),$CR235:$FW235)*GC235</f>
        <v>14610.183220399656</v>
      </c>
      <c r="GL235" s="145" cm="1">
        <f t="array" ref="GL235">SUMPRODUCT(--($CR$7:$FW$7&gt;=GL$5),--($CR$7:$FW$7&lt;=GL$6),$CR235:$FW235)*GD235</f>
        <v>0</v>
      </c>
      <c r="GM235" s="145" cm="1">
        <f t="array" ref="GM235">SUMPRODUCT(--($CR$7:$FW$7&gt;=GM$5),--($CR$7:$FW$7&lt;=GM$6),$CR235:$FW235)*GE235</f>
        <v>0</v>
      </c>
      <c r="GN235" s="145" cm="1">
        <f t="array" ref="GN235">SUMPRODUCT(--($CR$7:$FW$7&gt;=GN$5),--($CR$7:$FW$7&lt;=GN$6),$CR235:$FW235)*GF235</f>
        <v>0</v>
      </c>
      <c r="GO235" s="145">
        <f t="shared" si="69"/>
        <v>170688.64157156955</v>
      </c>
      <c r="GP235" s="87"/>
      <c r="GR235" s="145" cm="1">
        <f t="array" ref="GR235">SUMPRODUCT(--($CR$7:$FW$7&gt;=GR$5),--($CR$7:$FW$7&lt;=GR$6),$CR235:$FW235)</f>
        <v>16173.08</v>
      </c>
      <c r="GT235" s="214" cm="1">
        <f t="array" ref="GT235">--AND(MIN(IF($K235:$CP235&lt;&gt;0,$K$7:$CP$7))&gt;=GT$5,MIN(IF($K235:$CP235&lt;&gt;0,$K$7:$CP$7))&lt;=GT$6)</f>
        <v>1</v>
      </c>
      <c r="GU235" s="214" cm="1">
        <f t="array" ref="GU235">--AND(MIN(IF($K235:$CP235&lt;&gt;0,$K$7:$CP$7))&gt;=GU$5,MIN(IF($K235:$CP235&lt;&gt;0,$K$7:$CP$7))&lt;=GU$6)</f>
        <v>0</v>
      </c>
      <c r="GV235" s="214" cm="1">
        <f t="array" ref="GV235">--AND(MIN(IF($K235:$CP235&lt;&gt;0,$K$7:$CP$7))&gt;=GV$5,MIN(IF($K235:$CP235&lt;&gt;0,$K$7:$CP$7))&lt;=GV$6)</f>
        <v>0</v>
      </c>
      <c r="GW235" s="214" cm="1">
        <f t="array" ref="GW235">--AND(MIN(IF($K235:$CP235&lt;&gt;0,$K$7:$CP$7))&gt;=GW$5,MIN(IF($K235:$CP235&lt;&gt;0,$K$7:$CP$7))&lt;=GW$6)</f>
        <v>0</v>
      </c>
      <c r="GX235" s="214" cm="1">
        <f t="array" ref="GX235">--AND(MIN(IF($K235:$CP235&lt;&gt;0,$K$7:$CP$7))&gt;=GX$5,MIN(IF($K235:$CP235&lt;&gt;0,$K$7:$CP$7))&lt;=GX$6)</f>
        <v>0</v>
      </c>
      <c r="GY235" s="214" cm="1">
        <f t="array" ref="GY235">--AND(MIN(IF($K235:$CP235&lt;&gt;0,$K$7:$CP$7))&gt;=GY$5,MIN(IF($K235:$CP235&lt;&gt;0,$K$7:$CP$7))&lt;=GY$6)</f>
        <v>0</v>
      </c>
      <c r="GZ235" s="214" cm="1">
        <f t="array" ref="GZ235">--AND(MIN(IF($K235:$CP235&lt;&gt;0,$K$7:$CP$7))&gt;=GZ$5,MIN(IF($K235:$CP235&lt;&gt;0,$K$7:$CP$7))&lt;=GZ$6)</f>
        <v>0</v>
      </c>
      <c r="HA235" s="214">
        <f t="shared" si="70"/>
        <v>1</v>
      </c>
      <c r="HC235" s="214" cm="1">
        <f t="array" ref="HC235">--AND(MIN(IF($K235:$CP235&lt;&gt;0,$K$7:$CP$7))&gt;=HC$5,MIN(IF($K235:$CP235&lt;&gt;0,$K$7:$CP$7))&lt;=HC$6)</f>
        <v>1</v>
      </c>
      <c r="HE235" s="147" t="str">
        <f t="shared" si="89"/>
        <v>No</v>
      </c>
      <c r="HF235" s="147" t="str">
        <f t="shared" si="90"/>
        <v>No</v>
      </c>
      <c r="HG235" s="147">
        <f>IF($HF235="Yes",0,$H235*avg_hrs*12*'Key assumptions'!$D$87)</f>
        <v>375608.02275576669</v>
      </c>
      <c r="HH235" s="147">
        <f>IF(HE235="Yes",'Key assumptions'!$D$84*HG235,0)</f>
        <v>0</v>
      </c>
      <c r="HI235" s="144">
        <f>IFERROR(AVERAGEIFS($K235:$CP235,$K$7:$CP$7,"&gt;="&amp;'Key assumptions'!$D$24,$K$7:$CP$7,"&lt;="&amp;'Key assumptions'!$D$25),0)</f>
        <v>0.13874401913875598</v>
      </c>
      <c r="HJ235" s="148">
        <f t="shared" si="91"/>
        <v>0</v>
      </c>
      <c r="HK235" s="148">
        <f t="shared" si="72"/>
        <v>0</v>
      </c>
      <c r="HL235" s="148">
        <f t="shared" si="73"/>
        <v>0</v>
      </c>
      <c r="HM235" s="148">
        <f t="shared" si="74"/>
        <v>0</v>
      </c>
      <c r="HN235" s="148">
        <f t="shared" si="75"/>
        <v>0</v>
      </c>
      <c r="HO235" s="148">
        <f t="shared" si="76"/>
        <v>0</v>
      </c>
      <c r="HP235" s="148">
        <f t="shared" si="77"/>
        <v>0</v>
      </c>
      <c r="HQ235" s="148">
        <f t="shared" si="78"/>
        <v>0</v>
      </c>
      <c r="HR235" s="147">
        <f t="shared" si="79"/>
        <v>0</v>
      </c>
      <c r="HU235" s="147">
        <f>$HJ235*HC235/(1+'Key assumptions'!G257)^0.75</f>
        <v>0</v>
      </c>
      <c r="HW235" s="216">
        <f t="shared" si="80"/>
        <v>0.13874401913875598</v>
      </c>
      <c r="HX235" s="216">
        <f t="shared" si="81"/>
        <v>0</v>
      </c>
      <c r="HY235" s="216">
        <f t="shared" si="82"/>
        <v>0</v>
      </c>
      <c r="HZ235" s="216">
        <f t="shared" si="83"/>
        <v>0</v>
      </c>
      <c r="IA235" s="216">
        <f t="shared" si="84"/>
        <v>0</v>
      </c>
      <c r="IB235" s="216">
        <f t="shared" si="85"/>
        <v>0</v>
      </c>
      <c r="IC235" s="216">
        <f t="shared" si="86"/>
        <v>0</v>
      </c>
      <c r="ID235" s="216">
        <f t="shared" si="87"/>
        <v>0.13874401913875598</v>
      </c>
      <c r="IF235" s="216">
        <f t="shared" si="88"/>
        <v>0.13874401913875598</v>
      </c>
    </row>
    <row r="236" spans="2:240" x14ac:dyDescent="0.2">
      <c r="B236" s="141" t="str">
        <v>Land and Environment</v>
      </c>
      <c r="C236" s="141" t="str">
        <v>Environment Officer (Safety and Environmental Delivery)</v>
      </c>
      <c r="D236" s="141" t="str">
        <v>Internal Labour</v>
      </c>
      <c r="E236" s="141" t="str">
        <v>$ Nominal</v>
      </c>
      <c r="F236" s="141">
        <v>0</v>
      </c>
      <c r="G236" s="141" t="str">
        <v>Overtime</v>
      </c>
      <c r="H236" s="142">
        <v>210.04</v>
      </c>
      <c r="I236" s="126">
        <v>289848.63</v>
      </c>
      <c r="J236" s="143">
        <v>0</v>
      </c>
      <c r="K236" s="144">
        <v>0</v>
      </c>
      <c r="L236" s="144">
        <v>0</v>
      </c>
      <c r="M236" s="144">
        <v>0</v>
      </c>
      <c r="N236" s="144">
        <v>0</v>
      </c>
      <c r="O236" s="144">
        <v>0</v>
      </c>
      <c r="P236" s="144">
        <v>0</v>
      </c>
      <c r="Q236" s="144">
        <v>0</v>
      </c>
      <c r="R236" s="144">
        <v>0</v>
      </c>
      <c r="S236" s="144">
        <v>0</v>
      </c>
      <c r="T236" s="144">
        <v>0</v>
      </c>
      <c r="U236" s="144">
        <v>0</v>
      </c>
      <c r="V236" s="144">
        <v>0</v>
      </c>
      <c r="W236" s="144">
        <v>0</v>
      </c>
      <c r="X236" s="144">
        <v>0</v>
      </c>
      <c r="Y236" s="144">
        <v>0</v>
      </c>
      <c r="Z236" s="144">
        <v>0</v>
      </c>
      <c r="AA236" s="144">
        <v>0.13026315789473686</v>
      </c>
      <c r="AB236" s="144">
        <v>0.13421052631578947</v>
      </c>
      <c r="AC236" s="144">
        <v>0.1842857142857143</v>
      </c>
      <c r="AD236" s="144">
        <v>0.13285714285714287</v>
      </c>
      <c r="AE236" s="144">
        <v>0.14571428571428571</v>
      </c>
      <c r="AF236" s="144">
        <v>0.14571428571428571</v>
      </c>
      <c r="AG236" s="144">
        <v>0.14142857142857143</v>
      </c>
      <c r="AH236" s="144">
        <v>0.16</v>
      </c>
      <c r="AI236" s="144">
        <v>0.26857142857142857</v>
      </c>
      <c r="AJ236" s="144">
        <v>0.13714285714285715</v>
      </c>
      <c r="AK236" s="144">
        <v>0.13714285714285715</v>
      </c>
      <c r="AL236" s="144">
        <v>0.2</v>
      </c>
      <c r="AM236" s="144">
        <v>0.15</v>
      </c>
      <c r="AN236" s="144">
        <v>0.14605263157894735</v>
      </c>
      <c r="AO236" s="144">
        <v>0.14571428571428571</v>
      </c>
      <c r="AP236" s="144">
        <v>0.14142857142857143</v>
      </c>
      <c r="AQ236" s="144">
        <v>0.14571428571428571</v>
      </c>
      <c r="AR236" s="144">
        <v>0.14571428571428571</v>
      </c>
      <c r="AS236" s="144">
        <v>0.17571428571428571</v>
      </c>
      <c r="AT236" s="144">
        <v>0.13714285714285715</v>
      </c>
      <c r="AU236" s="144">
        <v>0.24571428571428572</v>
      </c>
      <c r="AV236" s="144">
        <v>0.13714285714285715</v>
      </c>
      <c r="AW236" s="144">
        <v>0.15</v>
      </c>
      <c r="AX236" s="144">
        <v>0.18285714285714286</v>
      </c>
      <c r="AY236" s="144">
        <v>0.16973684210526316</v>
      </c>
      <c r="AZ236" s="144">
        <v>0.16973684210526316</v>
      </c>
      <c r="BA236" s="144">
        <v>0.13714285714285715</v>
      </c>
      <c r="BB236" s="144">
        <v>0.14571428571428571</v>
      </c>
      <c r="BC236" s="144">
        <v>0.14142857142857143</v>
      </c>
      <c r="BD236" s="144">
        <v>0.14571428571428571</v>
      </c>
      <c r="BE236" s="144">
        <v>0.18</v>
      </c>
      <c r="BF236" s="144">
        <v>0.1257142857142857</v>
      </c>
      <c r="BG236" s="144">
        <v>0</v>
      </c>
      <c r="BH236" s="144">
        <v>0</v>
      </c>
      <c r="BI236" s="144">
        <v>0</v>
      </c>
      <c r="BJ236" s="144">
        <v>0</v>
      </c>
      <c r="BK236" s="144">
        <v>0</v>
      </c>
      <c r="BL236" s="144">
        <v>0</v>
      </c>
      <c r="BM236" s="144">
        <v>0</v>
      </c>
      <c r="BN236" s="144">
        <v>0</v>
      </c>
      <c r="BO236" s="144">
        <v>0</v>
      </c>
      <c r="BP236" s="144">
        <v>0</v>
      </c>
      <c r="BQ236" s="144">
        <v>0</v>
      </c>
      <c r="BR236" s="144">
        <v>0</v>
      </c>
      <c r="BS236" s="144">
        <v>0</v>
      </c>
      <c r="BT236" s="144">
        <v>0</v>
      </c>
      <c r="BU236" s="144">
        <v>0</v>
      </c>
      <c r="BV236" s="144">
        <v>0</v>
      </c>
      <c r="BW236" s="144">
        <v>0</v>
      </c>
      <c r="BX236" s="144">
        <v>0</v>
      </c>
      <c r="BY236" s="144">
        <v>0</v>
      </c>
      <c r="BZ236" s="144">
        <v>0</v>
      </c>
      <c r="CA236" s="144">
        <v>0</v>
      </c>
      <c r="CB236" s="144">
        <v>0</v>
      </c>
      <c r="CC236" s="144">
        <v>0</v>
      </c>
      <c r="CD236" s="144">
        <v>0</v>
      </c>
      <c r="CE236" s="144">
        <v>0</v>
      </c>
      <c r="CF236" s="144">
        <v>0</v>
      </c>
      <c r="CG236" s="144">
        <v>0</v>
      </c>
      <c r="CH236" s="144">
        <v>0</v>
      </c>
      <c r="CI236" s="144">
        <v>0</v>
      </c>
      <c r="CJ236" s="144">
        <v>0</v>
      </c>
      <c r="CK236" s="144">
        <v>0</v>
      </c>
      <c r="CL236" s="144">
        <v>0</v>
      </c>
      <c r="CM236" s="144">
        <v>0</v>
      </c>
      <c r="CN236" s="144">
        <v>0</v>
      </c>
      <c r="CO236" s="144">
        <v>0</v>
      </c>
      <c r="CP236" s="144">
        <v>0</v>
      </c>
      <c r="CQ236" s="143">
        <v>0</v>
      </c>
      <c r="CR236" s="145">
        <v>0</v>
      </c>
      <c r="CS236" s="145">
        <v>0</v>
      </c>
      <c r="CT236" s="145">
        <v>0</v>
      </c>
      <c r="CU236" s="145">
        <v>0</v>
      </c>
      <c r="CV236" s="145">
        <v>0</v>
      </c>
      <c r="CW236" s="145">
        <v>0</v>
      </c>
      <c r="CX236" s="145">
        <v>0</v>
      </c>
      <c r="CY236" s="145">
        <v>0</v>
      </c>
      <c r="CZ236" s="145">
        <v>0</v>
      </c>
      <c r="DA236" s="145">
        <v>0</v>
      </c>
      <c r="DB236" s="145">
        <v>0</v>
      </c>
      <c r="DC236" s="145">
        <v>0</v>
      </c>
      <c r="DD236" s="145">
        <v>0</v>
      </c>
      <c r="DE236" s="145">
        <v>0</v>
      </c>
      <c r="DF236" s="145">
        <v>0</v>
      </c>
      <c r="DG236" s="145">
        <v>0</v>
      </c>
      <c r="DH236" s="145">
        <v>8317.3860000000004</v>
      </c>
      <c r="DI236" s="145">
        <v>8569.4279999999999</v>
      </c>
      <c r="DJ236" s="145">
        <v>10837.806</v>
      </c>
      <c r="DK236" s="145">
        <v>7813.3020000000006</v>
      </c>
      <c r="DL236" s="145">
        <v>8569.4279999999999</v>
      </c>
      <c r="DM236" s="145">
        <v>8569.4279999999999</v>
      </c>
      <c r="DN236" s="145">
        <v>8317.3860000000004</v>
      </c>
      <c r="DO236" s="145">
        <v>7057.1760000000004</v>
      </c>
      <c r="DP236" s="145">
        <v>11845.974</v>
      </c>
      <c r="DQ236" s="145">
        <v>8065.3439999999991</v>
      </c>
      <c r="DR236" s="145">
        <v>8310.9120000000003</v>
      </c>
      <c r="DS236" s="145">
        <v>9090.06</v>
      </c>
      <c r="DT236" s="145">
        <v>9869.2080000000005</v>
      </c>
      <c r="DU236" s="145">
        <v>9609.4920000000002</v>
      </c>
      <c r="DV236" s="145">
        <v>8830.3439999999991</v>
      </c>
      <c r="DW236" s="145">
        <v>8570.6280000000006</v>
      </c>
      <c r="DX236" s="145">
        <v>8830.3439999999991</v>
      </c>
      <c r="DY236" s="145">
        <v>8830.3439999999991</v>
      </c>
      <c r="DZ236" s="145">
        <v>10648.356000000002</v>
      </c>
      <c r="EA236" s="145">
        <v>6233.1840000000002</v>
      </c>
      <c r="EB236" s="145">
        <v>11167.788</v>
      </c>
      <c r="EC236" s="145">
        <v>8310.9120000000003</v>
      </c>
      <c r="ED236" s="145">
        <v>9358.44</v>
      </c>
      <c r="EE236" s="145">
        <v>8556.2879999999986</v>
      </c>
      <c r="EF236" s="145">
        <v>11497.512000000001</v>
      </c>
      <c r="EG236" s="145">
        <v>11497.512000000001</v>
      </c>
      <c r="EH236" s="145">
        <v>8556.2879999999986</v>
      </c>
      <c r="EI236" s="145">
        <v>9091.0559999999987</v>
      </c>
      <c r="EJ236" s="145">
        <v>8823.6720000000005</v>
      </c>
      <c r="EK236" s="145">
        <v>9091.0559999999987</v>
      </c>
      <c r="EL236" s="145">
        <v>11230.127999999999</v>
      </c>
      <c r="EM236" s="145">
        <v>5882.4479999999994</v>
      </c>
      <c r="EN236" s="145">
        <v>0</v>
      </c>
      <c r="EO236" s="145">
        <v>0</v>
      </c>
      <c r="EP236" s="145">
        <v>0</v>
      </c>
      <c r="EQ236" s="145">
        <v>0</v>
      </c>
      <c r="ER236" s="145">
        <v>0</v>
      </c>
      <c r="ES236" s="145">
        <v>0</v>
      </c>
      <c r="ET236" s="145">
        <v>0</v>
      </c>
      <c r="EU236" s="145">
        <v>0</v>
      </c>
      <c r="EV236" s="145">
        <v>0</v>
      </c>
      <c r="EW236" s="145">
        <v>0</v>
      </c>
      <c r="EX236" s="145">
        <v>0</v>
      </c>
      <c r="EY236" s="145">
        <v>0</v>
      </c>
      <c r="EZ236" s="145">
        <v>0</v>
      </c>
      <c r="FA236" s="145">
        <v>0</v>
      </c>
      <c r="FB236" s="145">
        <v>0</v>
      </c>
      <c r="FC236" s="145">
        <v>0</v>
      </c>
      <c r="FD236" s="145">
        <v>0</v>
      </c>
      <c r="FE236" s="145">
        <v>0</v>
      </c>
      <c r="FF236" s="145">
        <v>0</v>
      </c>
      <c r="FG236" s="145">
        <v>0</v>
      </c>
      <c r="FH236" s="145">
        <v>0</v>
      </c>
      <c r="FI236" s="145">
        <v>0</v>
      </c>
      <c r="FJ236" s="145">
        <v>0</v>
      </c>
      <c r="FK236" s="145">
        <v>0</v>
      </c>
      <c r="FL236" s="145">
        <v>0</v>
      </c>
      <c r="FM236" s="145">
        <v>0</v>
      </c>
      <c r="FN236" s="145">
        <v>0</v>
      </c>
      <c r="FO236" s="145">
        <v>0</v>
      </c>
      <c r="FP236" s="145">
        <v>0</v>
      </c>
      <c r="FQ236" s="145">
        <v>0</v>
      </c>
      <c r="FR236" s="145">
        <v>0</v>
      </c>
      <c r="FS236" s="145">
        <v>0</v>
      </c>
      <c r="FT236" s="145">
        <v>0</v>
      </c>
      <c r="FU236" s="145">
        <v>0</v>
      </c>
      <c r="FV236" s="145">
        <v>0</v>
      </c>
      <c r="FW236" s="145">
        <v>0</v>
      </c>
      <c r="FX236" s="143"/>
      <c r="FY236" s="146" t="str">
        <f>_xlfn.XLOOKUP($E236,'Key assumptions'!$B$112:$B$120,'Key assumptions'!$C$112:$C$120,0)</f>
        <v>Nominal</v>
      </c>
      <c r="FZ236" s="146" cm="1">
        <f t="array" ref="FZ236">IF($FY236=0,0,_xlfn.IFS($FY236='Key assumptions'!$C$120,_xlfn.XLOOKUP(LEFT(FZ$7,6),Inflation_Year,Inflation_NominaltoReal),TRUE,_xlfn.XLOOKUP($FY236,Inflation_Year,NominaltoReal)))</f>
        <v>1.0197075870962191</v>
      </c>
      <c r="GA236" s="146" cm="1">
        <f t="array" ref="GA236">IF($FY236=0,0,_xlfn.IFS($FY236='Key assumptions'!$C$120,_xlfn.XLOOKUP(LEFT(GA$7,6),Inflation_Year,Inflation_NominaltoReal),TRUE,_xlfn.XLOOKUP($FY236,Inflation_Year,NominaltoReal)))</f>
        <v>0.98700804022984445</v>
      </c>
      <c r="GB236" s="146" cm="1">
        <f t="array" ref="GB236">IF($FY236=0,0,_xlfn.IFS($FY236='Key assumptions'!$C$120,_xlfn.XLOOKUP(LEFT(GB$7,6),Inflation_Year,Inflation_NominaltoReal),TRUE,_xlfn.XLOOKUP($FY236,Inflation_Year,NominaltoReal)))</f>
        <v>0.96152830081941731</v>
      </c>
      <c r="GC236" s="146" cm="1">
        <f t="array" ref="GC236">IF($FY236=0,0,_xlfn.IFS($FY236='Key assumptions'!$C$120,_xlfn.XLOOKUP(LEFT(GC$7,6),Inflation_Year,Inflation_NominaltoReal),TRUE,_xlfn.XLOOKUP($FY236,Inflation_Year,NominaltoReal)))</f>
        <v>0.93670632415656829</v>
      </c>
      <c r="GD236" s="146" cm="1">
        <f t="array" ref="GD236">IF($FY236=0,0,_xlfn.IFS($FY236='Key assumptions'!$C$120,_xlfn.XLOOKUP(LEFT(GD$7,6),Inflation_Year,Inflation_NominaltoReal),TRUE,_xlfn.XLOOKUP($FY236,Inflation_Year,NominaltoReal)))</f>
        <v>0.91252513001143176</v>
      </c>
      <c r="GE236" s="146" cm="1">
        <f t="array" ref="GE236">IF($FY236=0,0,_xlfn.IFS($FY236='Key assumptions'!$C$120,_xlfn.XLOOKUP(LEFT(GE$7,6),Inflation_Year,Inflation_NominaltoReal),TRUE,_xlfn.XLOOKUP($FY236,Inflation_Year,NominaltoReal)))</f>
        <v>0.88896817650095872</v>
      </c>
      <c r="GF236" s="146" cm="1">
        <f t="array" ref="GF236">IF($FY236=0,0,_xlfn.IFS($FY236='Key assumptions'!$C$120,_xlfn.XLOOKUP(LEFT(GF$7,6),Inflation_Year,Inflation_NominaltoReal),TRUE,_xlfn.XLOOKUP($FY236,Inflation_Year,NominaltoReal)))</f>
        <v>0.86601934877293718</v>
      </c>
      <c r="GG236" s="143"/>
      <c r="GH236" s="145" cm="1">
        <f t="array" ref="GH236">SUMPRODUCT(--($CR$7:$FW$7&gt;=GH$5),--($CR$7:$FW$7&lt;=GH$6),$CR236:$FW236)*FZ236</f>
        <v>44976.599441708422</v>
      </c>
      <c r="GI236" s="145" cm="1">
        <f t="array" ref="GI236">SUMPRODUCT(--($CR$7:$FW$7&gt;=GI$5),--($CR$7:$FW$7&lt;=GI$6),$CR236:$FW236)*GA236</f>
        <v>105576.59418560544</v>
      </c>
      <c r="GJ236" s="145" cm="1">
        <f t="array" ref="GJ236">SUMPRODUCT(--($CR$7:$FW$7&gt;=GJ$5),--($CR$7:$FW$7&lt;=GJ$6),$CR236:$FW236)*GB236</f>
        <v>108240.54080950453</v>
      </c>
      <c r="GK236" s="145" cm="1">
        <f t="array" ref="GK236">SUMPRODUCT(--($CR$7:$FW$7&gt;=GK$5),--($CR$7:$FW$7&lt;=GK$6),$CR236:$FW236)*GC236</f>
        <v>24545.107810271424</v>
      </c>
      <c r="GL236" s="145" cm="1">
        <f t="array" ref="GL236">SUMPRODUCT(--($CR$7:$FW$7&gt;=GL$5),--($CR$7:$FW$7&lt;=GL$6),$CR236:$FW236)*GD236</f>
        <v>0</v>
      </c>
      <c r="GM236" s="145" cm="1">
        <f t="array" ref="GM236">SUMPRODUCT(--($CR$7:$FW$7&gt;=GM$5),--($CR$7:$FW$7&lt;=GM$6),$CR236:$FW236)*GE236</f>
        <v>0</v>
      </c>
      <c r="GN236" s="145" cm="1">
        <f t="array" ref="GN236">SUMPRODUCT(--($CR$7:$FW$7&gt;=GN$5),--($CR$7:$FW$7&lt;=GN$6),$CR236:$FW236)*GF236</f>
        <v>0</v>
      </c>
      <c r="GO236" s="145">
        <f t="shared" si="69"/>
        <v>283338.84224708984</v>
      </c>
      <c r="GP236" s="87"/>
      <c r="GR236" s="145" cm="1">
        <f t="array" ref="GR236">SUMPRODUCT(--($CR$7:$FW$7&gt;=GR$5),--($CR$7:$FW$7&lt;=GR$6),$CR236:$FW236)</f>
        <v>16886.813999999998</v>
      </c>
      <c r="GT236" s="214" cm="1">
        <f t="array" ref="GT236">--AND(MIN(IF($K236:$CP236&lt;&gt;0,$K$7:$CP$7))&gt;=GT$5,MIN(IF($K236:$CP236&lt;&gt;0,$K$7:$CP$7))&lt;=GT$6)</f>
        <v>1</v>
      </c>
      <c r="GU236" s="214" cm="1">
        <f t="array" ref="GU236">--AND(MIN(IF($K236:$CP236&lt;&gt;0,$K$7:$CP$7))&gt;=GU$5,MIN(IF($K236:$CP236&lt;&gt;0,$K$7:$CP$7))&lt;=GU$6)</f>
        <v>0</v>
      </c>
      <c r="GV236" s="214" cm="1">
        <f t="array" ref="GV236">--AND(MIN(IF($K236:$CP236&lt;&gt;0,$K$7:$CP$7))&gt;=GV$5,MIN(IF($K236:$CP236&lt;&gt;0,$K$7:$CP$7))&lt;=GV$6)</f>
        <v>0</v>
      </c>
      <c r="GW236" s="214" cm="1">
        <f t="array" ref="GW236">--AND(MIN(IF($K236:$CP236&lt;&gt;0,$K$7:$CP$7))&gt;=GW$5,MIN(IF($K236:$CP236&lt;&gt;0,$K$7:$CP$7))&lt;=GW$6)</f>
        <v>0</v>
      </c>
      <c r="GX236" s="214" cm="1">
        <f t="array" ref="GX236">--AND(MIN(IF($K236:$CP236&lt;&gt;0,$K$7:$CP$7))&gt;=GX$5,MIN(IF($K236:$CP236&lt;&gt;0,$K$7:$CP$7))&lt;=GX$6)</f>
        <v>0</v>
      </c>
      <c r="GY236" s="214" cm="1">
        <f t="array" ref="GY236">--AND(MIN(IF($K236:$CP236&lt;&gt;0,$K$7:$CP$7))&gt;=GY$5,MIN(IF($K236:$CP236&lt;&gt;0,$K$7:$CP$7))&lt;=GY$6)</f>
        <v>0</v>
      </c>
      <c r="GZ236" s="214" cm="1">
        <f t="array" ref="GZ236">--AND(MIN(IF($K236:$CP236&lt;&gt;0,$K$7:$CP$7))&gt;=GZ$5,MIN(IF($K236:$CP236&lt;&gt;0,$K$7:$CP$7))&lt;=GZ$6)</f>
        <v>0</v>
      </c>
      <c r="HA236" s="214">
        <f t="shared" si="70"/>
        <v>1</v>
      </c>
      <c r="HC236" s="214" cm="1">
        <f t="array" ref="HC236">--AND(MIN(IF($K236:$CP236&lt;&gt;0,$K$7:$CP$7))&gt;=HC$5,MIN(IF($K236:$CP236&lt;&gt;0,$K$7:$CP$7))&lt;=HC$6)</f>
        <v>1</v>
      </c>
      <c r="HE236" s="147" t="str">
        <f t="shared" si="89"/>
        <v>No</v>
      </c>
      <c r="HF236" s="147" t="str">
        <f t="shared" si="90"/>
        <v>Yes</v>
      </c>
      <c r="HG236" s="147">
        <f>IF($HF236="Yes",0,$H236*avg_hrs*12*'Key assumptions'!$D$87)</f>
        <v>0</v>
      </c>
      <c r="HH236" s="147">
        <f>IF(HE236="Yes",'Key assumptions'!$D$84*HG236,0)</f>
        <v>0</v>
      </c>
      <c r="HI236" s="144">
        <f>IFERROR(AVERAGEIFS($K236:$CP236,$K$7:$CP$7,"&gt;="&amp;'Key assumptions'!$D$24,$K$7:$CP$7,"&lt;="&amp;'Key assumptions'!$D$25),0)</f>
        <v>0.11444805194805195</v>
      </c>
      <c r="HJ236" s="148">
        <f t="shared" si="91"/>
        <v>0</v>
      </c>
      <c r="HK236" s="148">
        <f t="shared" si="72"/>
        <v>0</v>
      </c>
      <c r="HL236" s="148">
        <f t="shared" si="73"/>
        <v>0</v>
      </c>
      <c r="HM236" s="148">
        <f t="shared" si="74"/>
        <v>0</v>
      </c>
      <c r="HN236" s="148">
        <f t="shared" si="75"/>
        <v>0</v>
      </c>
      <c r="HO236" s="148">
        <f t="shared" si="76"/>
        <v>0</v>
      </c>
      <c r="HP236" s="148">
        <f t="shared" si="77"/>
        <v>0</v>
      </c>
      <c r="HQ236" s="148">
        <f t="shared" si="78"/>
        <v>0</v>
      </c>
      <c r="HR236" s="147">
        <f t="shared" si="79"/>
        <v>0</v>
      </c>
      <c r="HU236" s="147">
        <f>$HJ236*HC236/(1+'Key assumptions'!G258)^0.75</f>
        <v>0</v>
      </c>
      <c r="HW236" s="216">
        <f t="shared" si="80"/>
        <v>0.11444805194805195</v>
      </c>
      <c r="HX236" s="216">
        <f t="shared" si="81"/>
        <v>0</v>
      </c>
      <c r="HY236" s="216">
        <f t="shared" si="82"/>
        <v>0</v>
      </c>
      <c r="HZ236" s="216">
        <f t="shared" si="83"/>
        <v>0</v>
      </c>
      <c r="IA236" s="216">
        <f t="shared" si="84"/>
        <v>0</v>
      </c>
      <c r="IB236" s="216">
        <f t="shared" si="85"/>
        <v>0</v>
      </c>
      <c r="IC236" s="216">
        <f t="shared" si="86"/>
        <v>0</v>
      </c>
      <c r="ID236" s="216">
        <f t="shared" si="87"/>
        <v>0.11444805194805195</v>
      </c>
      <c r="IF236" s="216">
        <f t="shared" si="88"/>
        <v>0.11444805194805195</v>
      </c>
    </row>
    <row r="237" spans="2:240" x14ac:dyDescent="0.2">
      <c r="B237" s="141" t="str">
        <v>Land and Environment</v>
      </c>
      <c r="C237" s="141" t="str">
        <v>Environment Officer (Safety and Environmental Delivery)</v>
      </c>
      <c r="D237" s="141" t="str">
        <v>Internal Labour</v>
      </c>
      <c r="E237" s="141" t="str">
        <v>$ Nominal</v>
      </c>
      <c r="F237" s="141" t="str">
        <v>New</v>
      </c>
      <c r="G237" s="141" t="str">
        <v>Normal time</v>
      </c>
      <c r="H237" s="142">
        <v>210.04</v>
      </c>
      <c r="I237" s="126">
        <v>168478.05800000008</v>
      </c>
      <c r="J237" s="143">
        <v>0</v>
      </c>
      <c r="K237" s="144">
        <v>0</v>
      </c>
      <c r="L237" s="144">
        <v>0</v>
      </c>
      <c r="M237" s="144">
        <v>0</v>
      </c>
      <c r="N237" s="144">
        <v>0</v>
      </c>
      <c r="O237" s="144">
        <v>0</v>
      </c>
      <c r="P237" s="144">
        <v>0</v>
      </c>
      <c r="Q237" s="144">
        <v>0</v>
      </c>
      <c r="R237" s="144">
        <v>0</v>
      </c>
      <c r="S237" s="144">
        <v>0</v>
      </c>
      <c r="T237" s="144">
        <v>0</v>
      </c>
      <c r="U237" s="144">
        <v>0</v>
      </c>
      <c r="V237" s="144">
        <v>0</v>
      </c>
      <c r="W237" s="144">
        <v>0</v>
      </c>
      <c r="X237" s="144">
        <v>0</v>
      </c>
      <c r="Y237" s="144">
        <v>0</v>
      </c>
      <c r="Z237" s="144">
        <v>0</v>
      </c>
      <c r="AA237" s="144">
        <v>0.15657894736842107</v>
      </c>
      <c r="AB237" s="144">
        <v>0.16578947368421051</v>
      </c>
      <c r="AC237" s="144">
        <v>0.19</v>
      </c>
      <c r="AD237" s="144">
        <v>0.15</v>
      </c>
      <c r="AE237" s="144">
        <v>0.18</v>
      </c>
      <c r="AF237" s="144">
        <v>0.18</v>
      </c>
      <c r="AG237" s="144">
        <v>0.17</v>
      </c>
      <c r="AH237" s="144">
        <v>0.16</v>
      </c>
      <c r="AI237" s="144">
        <v>0.3066666666666667</v>
      </c>
      <c r="AJ237" s="144">
        <v>0.16</v>
      </c>
      <c r="AK237" s="144">
        <v>0.16</v>
      </c>
      <c r="AL237" s="144">
        <v>0.25333333333333335</v>
      </c>
      <c r="AM237" s="144">
        <v>0.16578947368421051</v>
      </c>
      <c r="AN237" s="144">
        <v>0.15657894736842107</v>
      </c>
      <c r="AO237" s="144">
        <v>0.18</v>
      </c>
      <c r="AP237" s="144">
        <v>0.17</v>
      </c>
      <c r="AQ237" s="144">
        <v>0.18</v>
      </c>
      <c r="AR237" s="144">
        <v>0.18</v>
      </c>
      <c r="AS237" s="144">
        <v>0.17</v>
      </c>
      <c r="AT237" s="144">
        <v>0.21333333333333332</v>
      </c>
      <c r="AU237" s="144">
        <v>0.25333333333333335</v>
      </c>
      <c r="AV237" s="144">
        <v>0.16</v>
      </c>
      <c r="AW237" s="144">
        <v>0.19</v>
      </c>
      <c r="AX237" s="144">
        <v>0.21333333333333332</v>
      </c>
      <c r="AY237" s="144">
        <v>0.17500000000000002</v>
      </c>
      <c r="AZ237" s="144">
        <v>0.17500000000000002</v>
      </c>
      <c r="BA237" s="144">
        <v>0.16</v>
      </c>
      <c r="BB237" s="144">
        <v>0.18</v>
      </c>
      <c r="BC237" s="144">
        <v>0.17</v>
      </c>
      <c r="BD237" s="144">
        <v>0.18</v>
      </c>
      <c r="BE237" s="144">
        <v>0.18</v>
      </c>
      <c r="BF237" s="144">
        <v>0.18666666666666668</v>
      </c>
      <c r="BG237" s="144">
        <v>0</v>
      </c>
      <c r="BH237" s="144">
        <v>0</v>
      </c>
      <c r="BI237" s="144">
        <v>0</v>
      </c>
      <c r="BJ237" s="144">
        <v>0</v>
      </c>
      <c r="BK237" s="144">
        <v>0</v>
      </c>
      <c r="BL237" s="144">
        <v>0</v>
      </c>
      <c r="BM237" s="144">
        <v>0</v>
      </c>
      <c r="BN237" s="144">
        <v>0</v>
      </c>
      <c r="BO237" s="144">
        <v>0</v>
      </c>
      <c r="BP237" s="144">
        <v>0</v>
      </c>
      <c r="BQ237" s="144">
        <v>0</v>
      </c>
      <c r="BR237" s="144">
        <v>0</v>
      </c>
      <c r="BS237" s="144">
        <v>0</v>
      </c>
      <c r="BT237" s="144">
        <v>0</v>
      </c>
      <c r="BU237" s="144">
        <v>0</v>
      </c>
      <c r="BV237" s="144">
        <v>0</v>
      </c>
      <c r="BW237" s="144">
        <v>0</v>
      </c>
      <c r="BX237" s="144">
        <v>0</v>
      </c>
      <c r="BY237" s="144">
        <v>0</v>
      </c>
      <c r="BZ237" s="144">
        <v>0</v>
      </c>
      <c r="CA237" s="144">
        <v>0</v>
      </c>
      <c r="CB237" s="144">
        <v>0</v>
      </c>
      <c r="CC237" s="144">
        <v>0</v>
      </c>
      <c r="CD237" s="144">
        <v>0</v>
      </c>
      <c r="CE237" s="144">
        <v>0</v>
      </c>
      <c r="CF237" s="144">
        <v>0</v>
      </c>
      <c r="CG237" s="144">
        <v>0</v>
      </c>
      <c r="CH237" s="144">
        <v>0</v>
      </c>
      <c r="CI237" s="144">
        <v>0</v>
      </c>
      <c r="CJ237" s="144">
        <v>0</v>
      </c>
      <c r="CK237" s="144">
        <v>0</v>
      </c>
      <c r="CL237" s="144">
        <v>0</v>
      </c>
      <c r="CM237" s="144">
        <v>0</v>
      </c>
      <c r="CN237" s="144">
        <v>0</v>
      </c>
      <c r="CO237" s="144">
        <v>0</v>
      </c>
      <c r="CP237" s="144">
        <v>0</v>
      </c>
      <c r="CQ237" s="143">
        <v>0</v>
      </c>
      <c r="CR237" s="145">
        <v>0</v>
      </c>
      <c r="CS237" s="145">
        <v>0</v>
      </c>
      <c r="CT237" s="145">
        <v>0</v>
      </c>
      <c r="CU237" s="145">
        <v>0</v>
      </c>
      <c r="CV237" s="145">
        <v>0</v>
      </c>
      <c r="CW237" s="145">
        <v>0</v>
      </c>
      <c r="CX237" s="145">
        <v>0</v>
      </c>
      <c r="CY237" s="145">
        <v>0</v>
      </c>
      <c r="CZ237" s="145">
        <v>0</v>
      </c>
      <c r="DA237" s="145">
        <v>0</v>
      </c>
      <c r="DB237" s="145">
        <v>0</v>
      </c>
      <c r="DC237" s="145">
        <v>0</v>
      </c>
      <c r="DD237" s="145">
        <v>0</v>
      </c>
      <c r="DE237" s="145">
        <v>0</v>
      </c>
      <c r="DF237" s="145">
        <v>0</v>
      </c>
      <c r="DG237" s="145">
        <v>0</v>
      </c>
      <c r="DH237" s="145">
        <v>4998.9520000000002</v>
      </c>
      <c r="DI237" s="145">
        <v>5293.0079999999998</v>
      </c>
      <c r="DJ237" s="145">
        <v>5587.0640000000003</v>
      </c>
      <c r="DK237" s="145">
        <v>4410.84</v>
      </c>
      <c r="DL237" s="145">
        <v>5293.0079999999998</v>
      </c>
      <c r="DM237" s="145">
        <v>5293.0079999999998</v>
      </c>
      <c r="DN237" s="145">
        <v>4998.9520000000002</v>
      </c>
      <c r="DO237" s="145">
        <v>3528.672</v>
      </c>
      <c r="DP237" s="145">
        <v>6763.2880000000005</v>
      </c>
      <c r="DQ237" s="145">
        <v>4704.8959999999997</v>
      </c>
      <c r="DR237" s="145">
        <v>4848.0320000000002</v>
      </c>
      <c r="DS237" s="145">
        <v>5757.0380000000005</v>
      </c>
      <c r="DT237" s="145">
        <v>5454.0360000000001</v>
      </c>
      <c r="DU237" s="145">
        <v>5151.0340000000006</v>
      </c>
      <c r="DV237" s="145">
        <v>5454.0360000000001</v>
      </c>
      <c r="DW237" s="145">
        <v>5151.0340000000006</v>
      </c>
      <c r="DX237" s="145">
        <v>5454.0360000000001</v>
      </c>
      <c r="DY237" s="145">
        <v>5454.0360000000001</v>
      </c>
      <c r="DZ237" s="145">
        <v>5151.0340000000006</v>
      </c>
      <c r="EA237" s="145">
        <v>4848.0320000000002</v>
      </c>
      <c r="EB237" s="145">
        <v>5757.0380000000005</v>
      </c>
      <c r="EC237" s="145">
        <v>4848.0320000000002</v>
      </c>
      <c r="ED237" s="145">
        <v>5927.0119999999997</v>
      </c>
      <c r="EE237" s="145">
        <v>4991.1679999999997</v>
      </c>
      <c r="EF237" s="145">
        <v>5927.0119999999997</v>
      </c>
      <c r="EG237" s="145">
        <v>5927.0119999999997</v>
      </c>
      <c r="EH237" s="145">
        <v>4991.1679999999997</v>
      </c>
      <c r="EI237" s="145">
        <v>5615.0639999999994</v>
      </c>
      <c r="EJ237" s="145">
        <v>5303.116</v>
      </c>
      <c r="EK237" s="145">
        <v>5615.0639999999994</v>
      </c>
      <c r="EL237" s="145">
        <v>5615.0639999999994</v>
      </c>
      <c r="EM237" s="145">
        <v>4367.2719999999999</v>
      </c>
      <c r="EN237" s="145">
        <v>0</v>
      </c>
      <c r="EO237" s="145">
        <v>0</v>
      </c>
      <c r="EP237" s="145">
        <v>0</v>
      </c>
      <c r="EQ237" s="145">
        <v>0</v>
      </c>
      <c r="ER237" s="145">
        <v>0</v>
      </c>
      <c r="ES237" s="145">
        <v>0</v>
      </c>
      <c r="ET237" s="145">
        <v>0</v>
      </c>
      <c r="EU237" s="145">
        <v>0</v>
      </c>
      <c r="EV237" s="145">
        <v>0</v>
      </c>
      <c r="EW237" s="145">
        <v>0</v>
      </c>
      <c r="EX237" s="145">
        <v>0</v>
      </c>
      <c r="EY237" s="145">
        <v>0</v>
      </c>
      <c r="EZ237" s="145">
        <v>0</v>
      </c>
      <c r="FA237" s="145">
        <v>0</v>
      </c>
      <c r="FB237" s="145">
        <v>0</v>
      </c>
      <c r="FC237" s="145">
        <v>0</v>
      </c>
      <c r="FD237" s="145">
        <v>0</v>
      </c>
      <c r="FE237" s="145">
        <v>0</v>
      </c>
      <c r="FF237" s="145">
        <v>0</v>
      </c>
      <c r="FG237" s="145">
        <v>0</v>
      </c>
      <c r="FH237" s="145">
        <v>0</v>
      </c>
      <c r="FI237" s="145">
        <v>0</v>
      </c>
      <c r="FJ237" s="145">
        <v>0</v>
      </c>
      <c r="FK237" s="145">
        <v>0</v>
      </c>
      <c r="FL237" s="145">
        <v>0</v>
      </c>
      <c r="FM237" s="145">
        <v>0</v>
      </c>
      <c r="FN237" s="145">
        <v>0</v>
      </c>
      <c r="FO237" s="145">
        <v>0</v>
      </c>
      <c r="FP237" s="145">
        <v>0</v>
      </c>
      <c r="FQ237" s="145">
        <v>0</v>
      </c>
      <c r="FR237" s="145">
        <v>0</v>
      </c>
      <c r="FS237" s="145">
        <v>0</v>
      </c>
      <c r="FT237" s="145">
        <v>0</v>
      </c>
      <c r="FU237" s="145">
        <v>0</v>
      </c>
      <c r="FV237" s="145">
        <v>0</v>
      </c>
      <c r="FW237" s="145">
        <v>0</v>
      </c>
      <c r="FX237" s="143"/>
      <c r="FY237" s="146" t="str">
        <f>_xlfn.XLOOKUP($E237,'Key assumptions'!$B$112:$B$120,'Key assumptions'!$C$112:$C$120,0)</f>
        <v>Nominal</v>
      </c>
      <c r="FZ237" s="146" cm="1">
        <f t="array" ref="FZ237">IF($FY237=0,0,_xlfn.IFS($FY237='Key assumptions'!$C$120,_xlfn.XLOOKUP(LEFT(FZ$7,6),Inflation_Year,Inflation_NominaltoReal),TRUE,_xlfn.XLOOKUP($FY237,Inflation_Year,NominaltoReal)))</f>
        <v>1.0197075870962191</v>
      </c>
      <c r="GA237" s="146" cm="1">
        <f t="array" ref="GA237">IF($FY237=0,0,_xlfn.IFS($FY237='Key assumptions'!$C$120,_xlfn.XLOOKUP(LEFT(GA$7,6),Inflation_Year,Inflation_NominaltoReal),TRUE,_xlfn.XLOOKUP($FY237,Inflation_Year,NominaltoReal)))</f>
        <v>0.98700804022984445</v>
      </c>
      <c r="GB237" s="146" cm="1">
        <f t="array" ref="GB237">IF($FY237=0,0,_xlfn.IFS($FY237='Key assumptions'!$C$120,_xlfn.XLOOKUP(LEFT(GB$7,6),Inflation_Year,Inflation_NominaltoReal),TRUE,_xlfn.XLOOKUP($FY237,Inflation_Year,NominaltoReal)))</f>
        <v>0.96152830081941731</v>
      </c>
      <c r="GC237" s="146" cm="1">
        <f t="array" ref="GC237">IF($FY237=0,0,_xlfn.IFS($FY237='Key assumptions'!$C$120,_xlfn.XLOOKUP(LEFT(GC$7,6),Inflation_Year,Inflation_NominaltoReal),TRUE,_xlfn.XLOOKUP($FY237,Inflation_Year,NominaltoReal)))</f>
        <v>0.93670632415656829</v>
      </c>
      <c r="GD237" s="146" cm="1">
        <f t="array" ref="GD237">IF($FY237=0,0,_xlfn.IFS($FY237='Key assumptions'!$C$120,_xlfn.XLOOKUP(LEFT(GD$7,6),Inflation_Year,Inflation_NominaltoReal),TRUE,_xlfn.XLOOKUP($FY237,Inflation_Year,NominaltoReal)))</f>
        <v>0.91252513001143176</v>
      </c>
      <c r="GE237" s="146" cm="1">
        <f t="array" ref="GE237">IF($FY237=0,0,_xlfn.IFS($FY237='Key assumptions'!$C$120,_xlfn.XLOOKUP(LEFT(GE$7,6),Inflation_Year,Inflation_NominaltoReal),TRUE,_xlfn.XLOOKUP($FY237,Inflation_Year,NominaltoReal)))</f>
        <v>0.88896817650095872</v>
      </c>
      <c r="GF237" s="146" cm="1">
        <f t="array" ref="GF237">IF($FY237=0,0,_xlfn.IFS($FY237='Key assumptions'!$C$120,_xlfn.XLOOKUP(LEFT(GF$7,6),Inflation_Year,Inflation_NominaltoReal),TRUE,_xlfn.XLOOKUP($FY237,Inflation_Year,NominaltoReal)))</f>
        <v>0.86601934877293718</v>
      </c>
      <c r="GG237" s="143"/>
      <c r="GH237" s="145" cm="1">
        <f t="array" ref="GH237">SUMPRODUCT(--($CR$7:$FW$7&gt;=GH$5),--($CR$7:$FW$7&lt;=GH$6),$CR237:$FW237)*FZ237</f>
        <v>26087.048678111427</v>
      </c>
      <c r="GI237" s="145" cm="1">
        <f t="array" ref="GI237">SUMPRODUCT(--($CR$7:$FW$7&gt;=GI$5),--($CR$7:$FW$7&lt;=GI$6),$CR237:$FW237)*GA237</f>
        <v>61745.310175197104</v>
      </c>
      <c r="GJ237" s="145" cm="1">
        <f t="array" ref="GJ237">SUMPRODUCT(--($CR$7:$FW$7&gt;=GJ$5),--($CR$7:$FW$7&lt;=GJ$6),$CR237:$FW237)*GB237</f>
        <v>62249.076813238054</v>
      </c>
      <c r="GK237" s="145" cm="1">
        <f t="array" ref="GK237">SUMPRODUCT(--($CR$7:$FW$7&gt;=GK$5),--($CR$7:$FW$7&lt;=GK$6),$CR237:$FW237)*GC237</f>
        <v>14610.183220399656</v>
      </c>
      <c r="GL237" s="145" cm="1">
        <f t="array" ref="GL237">SUMPRODUCT(--($CR$7:$FW$7&gt;=GL$5),--($CR$7:$FW$7&lt;=GL$6),$CR237:$FW237)*GD237</f>
        <v>0</v>
      </c>
      <c r="GM237" s="145" cm="1">
        <f t="array" ref="GM237">SUMPRODUCT(--($CR$7:$FW$7&gt;=GM$5),--($CR$7:$FW$7&lt;=GM$6),$CR237:$FW237)*GE237</f>
        <v>0</v>
      </c>
      <c r="GN237" s="145" cm="1">
        <f t="array" ref="GN237">SUMPRODUCT(--($CR$7:$FW$7&gt;=GN$5),--($CR$7:$FW$7&lt;=GN$6),$CR237:$FW237)*GF237</f>
        <v>0</v>
      </c>
      <c r="GO237" s="145">
        <f t="shared" si="69"/>
        <v>164691.61888694623</v>
      </c>
      <c r="GP237" s="87"/>
      <c r="GR237" s="145" cm="1">
        <f t="array" ref="GR237">SUMPRODUCT(--($CR$7:$FW$7&gt;=GR$5),--($CR$7:$FW$7&lt;=GR$6),$CR237:$FW237)</f>
        <v>10291.959999999999</v>
      </c>
      <c r="GT237" s="214" cm="1">
        <f t="array" ref="GT237">--AND(MIN(IF($K237:$CP237&lt;&gt;0,$K$7:$CP$7))&gt;=GT$5,MIN(IF($K237:$CP237&lt;&gt;0,$K$7:$CP$7))&lt;=GT$6)</f>
        <v>1</v>
      </c>
      <c r="GU237" s="214" cm="1">
        <f t="array" ref="GU237">--AND(MIN(IF($K237:$CP237&lt;&gt;0,$K$7:$CP$7))&gt;=GU$5,MIN(IF($K237:$CP237&lt;&gt;0,$K$7:$CP$7))&lt;=GU$6)</f>
        <v>0</v>
      </c>
      <c r="GV237" s="214" cm="1">
        <f t="array" ref="GV237">--AND(MIN(IF($K237:$CP237&lt;&gt;0,$K$7:$CP$7))&gt;=GV$5,MIN(IF($K237:$CP237&lt;&gt;0,$K$7:$CP$7))&lt;=GV$6)</f>
        <v>0</v>
      </c>
      <c r="GW237" s="214" cm="1">
        <f t="array" ref="GW237">--AND(MIN(IF($K237:$CP237&lt;&gt;0,$K$7:$CP$7))&gt;=GW$5,MIN(IF($K237:$CP237&lt;&gt;0,$K$7:$CP$7))&lt;=GW$6)</f>
        <v>0</v>
      </c>
      <c r="GX237" s="214" cm="1">
        <f t="array" ref="GX237">--AND(MIN(IF($K237:$CP237&lt;&gt;0,$K$7:$CP$7))&gt;=GX$5,MIN(IF($K237:$CP237&lt;&gt;0,$K$7:$CP$7))&lt;=GX$6)</f>
        <v>0</v>
      </c>
      <c r="GY237" s="214" cm="1">
        <f t="array" ref="GY237">--AND(MIN(IF($K237:$CP237&lt;&gt;0,$K$7:$CP$7))&gt;=GY$5,MIN(IF($K237:$CP237&lt;&gt;0,$K$7:$CP$7))&lt;=GY$6)</f>
        <v>0</v>
      </c>
      <c r="GZ237" s="214" cm="1">
        <f t="array" ref="GZ237">--AND(MIN(IF($K237:$CP237&lt;&gt;0,$K$7:$CP$7))&gt;=GZ$5,MIN(IF($K237:$CP237&lt;&gt;0,$K$7:$CP$7))&lt;=GZ$6)</f>
        <v>0</v>
      </c>
      <c r="HA237" s="214">
        <f t="shared" si="70"/>
        <v>1</v>
      </c>
      <c r="HC237" s="214" cm="1">
        <f t="array" ref="HC237">--AND(MIN(IF($K237:$CP237&lt;&gt;0,$K$7:$CP$7))&gt;=HC$5,MIN(IF($K237:$CP237&lt;&gt;0,$K$7:$CP$7))&lt;=HC$6)</f>
        <v>1</v>
      </c>
      <c r="HE237" s="147" t="str">
        <f t="shared" si="89"/>
        <v>Yes</v>
      </c>
      <c r="HF237" s="147" t="str">
        <f t="shared" si="90"/>
        <v>No</v>
      </c>
      <c r="HG237" s="147">
        <f>IF($HF237="Yes",0,$H237*avg_hrs*12*'Key assumptions'!$D$87)</f>
        <v>375608.02275576669</v>
      </c>
      <c r="HH237" s="147">
        <f>IF(HE237="Yes",'Key assumptions'!$D$84*HG237,0)</f>
        <v>56341.203413365001</v>
      </c>
      <c r="HI237" s="144">
        <f>IFERROR(AVERAGEIFS($K237:$CP237,$K$7:$CP$7,"&gt;="&amp;'Key assumptions'!$D$24,$K$7:$CP$7,"&lt;="&amp;'Key assumptions'!$D$25),0)</f>
        <v>0.13344098883572564</v>
      </c>
      <c r="HJ237" s="148">
        <f t="shared" si="91"/>
        <v>7518.2258956741862</v>
      </c>
      <c r="HK237" s="148">
        <f t="shared" si="72"/>
        <v>7518.2258956741862</v>
      </c>
      <c r="HL237" s="148">
        <f t="shared" si="73"/>
        <v>0</v>
      </c>
      <c r="HM237" s="148">
        <f t="shared" si="74"/>
        <v>0</v>
      </c>
      <c r="HN237" s="148">
        <f t="shared" si="75"/>
        <v>0</v>
      </c>
      <c r="HO237" s="148">
        <f t="shared" si="76"/>
        <v>0</v>
      </c>
      <c r="HP237" s="148">
        <f t="shared" si="77"/>
        <v>0</v>
      </c>
      <c r="HQ237" s="148">
        <f t="shared" si="78"/>
        <v>0</v>
      </c>
      <c r="HR237" s="147">
        <f t="shared" si="79"/>
        <v>7518.2258956741862</v>
      </c>
      <c r="HU237" s="147">
        <f>$HJ237*HC237/(1+'Key assumptions'!G259)^0.75</f>
        <v>7518.2258956741862</v>
      </c>
      <c r="HW237" s="216">
        <f t="shared" si="80"/>
        <v>0.13344098883572564</v>
      </c>
      <c r="HX237" s="216">
        <f t="shared" si="81"/>
        <v>0</v>
      </c>
      <c r="HY237" s="216">
        <f t="shared" si="82"/>
        <v>0</v>
      </c>
      <c r="HZ237" s="216">
        <f t="shared" si="83"/>
        <v>0</v>
      </c>
      <c r="IA237" s="216">
        <f t="shared" si="84"/>
        <v>0</v>
      </c>
      <c r="IB237" s="216">
        <f t="shared" si="85"/>
        <v>0</v>
      </c>
      <c r="IC237" s="216">
        <f t="shared" si="86"/>
        <v>0</v>
      </c>
      <c r="ID237" s="216">
        <f t="shared" si="87"/>
        <v>0.13344098883572564</v>
      </c>
      <c r="IF237" s="216">
        <f t="shared" si="88"/>
        <v>0.13344098883572564</v>
      </c>
    </row>
    <row r="238" spans="2:240" x14ac:dyDescent="0.2">
      <c r="B238" s="141" t="str">
        <v>Land and Environment</v>
      </c>
      <c r="C238" s="141" t="str">
        <v>Environment Officer (Safety and Environmental Delivery)</v>
      </c>
      <c r="D238" s="141" t="str">
        <v>Internal Labour</v>
      </c>
      <c r="E238" s="141" t="str">
        <v>$ Nominal</v>
      </c>
      <c r="F238" s="141">
        <v>0</v>
      </c>
      <c r="G238" s="141" t="str">
        <v>Overtime</v>
      </c>
      <c r="H238" s="142">
        <v>210.04</v>
      </c>
      <c r="I238" s="126">
        <v>289848.63</v>
      </c>
      <c r="J238" s="143">
        <v>0</v>
      </c>
      <c r="K238" s="144">
        <v>0</v>
      </c>
      <c r="L238" s="144">
        <v>0</v>
      </c>
      <c r="M238" s="144">
        <v>0</v>
      </c>
      <c r="N238" s="144">
        <v>0</v>
      </c>
      <c r="O238" s="144">
        <v>0</v>
      </c>
      <c r="P238" s="144">
        <v>0</v>
      </c>
      <c r="Q238" s="144">
        <v>0</v>
      </c>
      <c r="R238" s="144">
        <v>0</v>
      </c>
      <c r="S238" s="144">
        <v>0</v>
      </c>
      <c r="T238" s="144">
        <v>0</v>
      </c>
      <c r="U238" s="144">
        <v>0</v>
      </c>
      <c r="V238" s="144">
        <v>0</v>
      </c>
      <c r="W238" s="144">
        <v>0</v>
      </c>
      <c r="X238" s="144">
        <v>0</v>
      </c>
      <c r="Y238" s="144">
        <v>0</v>
      </c>
      <c r="Z238" s="144">
        <v>0</v>
      </c>
      <c r="AA238" s="144">
        <v>0.13026315789473686</v>
      </c>
      <c r="AB238" s="144">
        <v>0.13421052631578947</v>
      </c>
      <c r="AC238" s="144">
        <v>0.1842857142857143</v>
      </c>
      <c r="AD238" s="144">
        <v>0.13285714285714287</v>
      </c>
      <c r="AE238" s="144">
        <v>0.14571428571428571</v>
      </c>
      <c r="AF238" s="144">
        <v>0.14571428571428571</v>
      </c>
      <c r="AG238" s="144">
        <v>0.14142857142857143</v>
      </c>
      <c r="AH238" s="144">
        <v>0.16</v>
      </c>
      <c r="AI238" s="144">
        <v>0.26857142857142857</v>
      </c>
      <c r="AJ238" s="144">
        <v>0.13714285714285715</v>
      </c>
      <c r="AK238" s="144">
        <v>0.13714285714285715</v>
      </c>
      <c r="AL238" s="144">
        <v>0.2</v>
      </c>
      <c r="AM238" s="144">
        <v>0.15</v>
      </c>
      <c r="AN238" s="144">
        <v>0.14605263157894735</v>
      </c>
      <c r="AO238" s="144">
        <v>0.14571428571428571</v>
      </c>
      <c r="AP238" s="144">
        <v>0.14142857142857143</v>
      </c>
      <c r="AQ238" s="144">
        <v>0.14571428571428571</v>
      </c>
      <c r="AR238" s="144">
        <v>0.14571428571428571</v>
      </c>
      <c r="AS238" s="144">
        <v>0.17571428571428571</v>
      </c>
      <c r="AT238" s="144">
        <v>0.13714285714285715</v>
      </c>
      <c r="AU238" s="144">
        <v>0.24571428571428572</v>
      </c>
      <c r="AV238" s="144">
        <v>0.13714285714285715</v>
      </c>
      <c r="AW238" s="144">
        <v>0.15</v>
      </c>
      <c r="AX238" s="144">
        <v>0.18285714285714286</v>
      </c>
      <c r="AY238" s="144">
        <v>0.16973684210526316</v>
      </c>
      <c r="AZ238" s="144">
        <v>0.16973684210526316</v>
      </c>
      <c r="BA238" s="144">
        <v>0.13714285714285715</v>
      </c>
      <c r="BB238" s="144">
        <v>0.14571428571428571</v>
      </c>
      <c r="BC238" s="144">
        <v>0.14142857142857143</v>
      </c>
      <c r="BD238" s="144">
        <v>0.14571428571428571</v>
      </c>
      <c r="BE238" s="144">
        <v>0.18</v>
      </c>
      <c r="BF238" s="144">
        <v>0.1257142857142857</v>
      </c>
      <c r="BG238" s="144">
        <v>0</v>
      </c>
      <c r="BH238" s="144">
        <v>0</v>
      </c>
      <c r="BI238" s="144">
        <v>0</v>
      </c>
      <c r="BJ238" s="144">
        <v>0</v>
      </c>
      <c r="BK238" s="144">
        <v>0</v>
      </c>
      <c r="BL238" s="144">
        <v>0</v>
      </c>
      <c r="BM238" s="144">
        <v>0</v>
      </c>
      <c r="BN238" s="144">
        <v>0</v>
      </c>
      <c r="BO238" s="144">
        <v>0</v>
      </c>
      <c r="BP238" s="144">
        <v>0</v>
      </c>
      <c r="BQ238" s="144">
        <v>0</v>
      </c>
      <c r="BR238" s="144">
        <v>0</v>
      </c>
      <c r="BS238" s="144">
        <v>0</v>
      </c>
      <c r="BT238" s="144">
        <v>0</v>
      </c>
      <c r="BU238" s="144">
        <v>0</v>
      </c>
      <c r="BV238" s="144">
        <v>0</v>
      </c>
      <c r="BW238" s="144">
        <v>0</v>
      </c>
      <c r="BX238" s="144">
        <v>0</v>
      </c>
      <c r="BY238" s="144">
        <v>0</v>
      </c>
      <c r="BZ238" s="144">
        <v>0</v>
      </c>
      <c r="CA238" s="144">
        <v>0</v>
      </c>
      <c r="CB238" s="144">
        <v>0</v>
      </c>
      <c r="CC238" s="144">
        <v>0</v>
      </c>
      <c r="CD238" s="144">
        <v>0</v>
      </c>
      <c r="CE238" s="144">
        <v>0</v>
      </c>
      <c r="CF238" s="144">
        <v>0</v>
      </c>
      <c r="CG238" s="144">
        <v>0</v>
      </c>
      <c r="CH238" s="144">
        <v>0</v>
      </c>
      <c r="CI238" s="144">
        <v>0</v>
      </c>
      <c r="CJ238" s="144">
        <v>0</v>
      </c>
      <c r="CK238" s="144">
        <v>0</v>
      </c>
      <c r="CL238" s="144">
        <v>0</v>
      </c>
      <c r="CM238" s="144">
        <v>0</v>
      </c>
      <c r="CN238" s="144">
        <v>0</v>
      </c>
      <c r="CO238" s="144">
        <v>0</v>
      </c>
      <c r="CP238" s="144">
        <v>0</v>
      </c>
      <c r="CQ238" s="143">
        <v>0</v>
      </c>
      <c r="CR238" s="145">
        <v>0</v>
      </c>
      <c r="CS238" s="145">
        <v>0</v>
      </c>
      <c r="CT238" s="145">
        <v>0</v>
      </c>
      <c r="CU238" s="145">
        <v>0</v>
      </c>
      <c r="CV238" s="145">
        <v>0</v>
      </c>
      <c r="CW238" s="145">
        <v>0</v>
      </c>
      <c r="CX238" s="145">
        <v>0</v>
      </c>
      <c r="CY238" s="145">
        <v>0</v>
      </c>
      <c r="CZ238" s="145">
        <v>0</v>
      </c>
      <c r="DA238" s="145">
        <v>0</v>
      </c>
      <c r="DB238" s="145">
        <v>0</v>
      </c>
      <c r="DC238" s="145">
        <v>0</v>
      </c>
      <c r="DD238" s="145">
        <v>0</v>
      </c>
      <c r="DE238" s="145">
        <v>0</v>
      </c>
      <c r="DF238" s="145">
        <v>0</v>
      </c>
      <c r="DG238" s="145">
        <v>0</v>
      </c>
      <c r="DH238" s="145">
        <v>8317.3860000000004</v>
      </c>
      <c r="DI238" s="145">
        <v>8569.4279999999999</v>
      </c>
      <c r="DJ238" s="145">
        <v>10837.806</v>
      </c>
      <c r="DK238" s="145">
        <v>7813.3020000000006</v>
      </c>
      <c r="DL238" s="145">
        <v>8569.4279999999999</v>
      </c>
      <c r="DM238" s="145">
        <v>8569.4279999999999</v>
      </c>
      <c r="DN238" s="145">
        <v>8317.3860000000004</v>
      </c>
      <c r="DO238" s="145">
        <v>7057.1760000000004</v>
      </c>
      <c r="DP238" s="145">
        <v>11845.974</v>
      </c>
      <c r="DQ238" s="145">
        <v>8065.3439999999991</v>
      </c>
      <c r="DR238" s="145">
        <v>8310.9120000000003</v>
      </c>
      <c r="DS238" s="145">
        <v>9090.06</v>
      </c>
      <c r="DT238" s="145">
        <v>9869.2080000000005</v>
      </c>
      <c r="DU238" s="145">
        <v>9609.4920000000002</v>
      </c>
      <c r="DV238" s="145">
        <v>8830.3439999999991</v>
      </c>
      <c r="DW238" s="145">
        <v>8570.6280000000006</v>
      </c>
      <c r="DX238" s="145">
        <v>8830.3439999999991</v>
      </c>
      <c r="DY238" s="145">
        <v>8830.3439999999991</v>
      </c>
      <c r="DZ238" s="145">
        <v>10648.356000000002</v>
      </c>
      <c r="EA238" s="145">
        <v>6233.1840000000002</v>
      </c>
      <c r="EB238" s="145">
        <v>11167.788</v>
      </c>
      <c r="EC238" s="145">
        <v>8310.9120000000003</v>
      </c>
      <c r="ED238" s="145">
        <v>9358.44</v>
      </c>
      <c r="EE238" s="145">
        <v>8556.2879999999986</v>
      </c>
      <c r="EF238" s="145">
        <v>11497.512000000001</v>
      </c>
      <c r="EG238" s="145">
        <v>11497.512000000001</v>
      </c>
      <c r="EH238" s="145">
        <v>8556.2879999999986</v>
      </c>
      <c r="EI238" s="145">
        <v>9091.0559999999987</v>
      </c>
      <c r="EJ238" s="145">
        <v>8823.6720000000005</v>
      </c>
      <c r="EK238" s="145">
        <v>9091.0559999999987</v>
      </c>
      <c r="EL238" s="145">
        <v>11230.127999999999</v>
      </c>
      <c r="EM238" s="145">
        <v>5882.4479999999994</v>
      </c>
      <c r="EN238" s="145">
        <v>0</v>
      </c>
      <c r="EO238" s="145">
        <v>0</v>
      </c>
      <c r="EP238" s="145">
        <v>0</v>
      </c>
      <c r="EQ238" s="145">
        <v>0</v>
      </c>
      <c r="ER238" s="145">
        <v>0</v>
      </c>
      <c r="ES238" s="145">
        <v>0</v>
      </c>
      <c r="ET238" s="145">
        <v>0</v>
      </c>
      <c r="EU238" s="145">
        <v>0</v>
      </c>
      <c r="EV238" s="145">
        <v>0</v>
      </c>
      <c r="EW238" s="145">
        <v>0</v>
      </c>
      <c r="EX238" s="145">
        <v>0</v>
      </c>
      <c r="EY238" s="145">
        <v>0</v>
      </c>
      <c r="EZ238" s="145">
        <v>0</v>
      </c>
      <c r="FA238" s="145">
        <v>0</v>
      </c>
      <c r="FB238" s="145">
        <v>0</v>
      </c>
      <c r="FC238" s="145">
        <v>0</v>
      </c>
      <c r="FD238" s="145">
        <v>0</v>
      </c>
      <c r="FE238" s="145">
        <v>0</v>
      </c>
      <c r="FF238" s="145">
        <v>0</v>
      </c>
      <c r="FG238" s="145">
        <v>0</v>
      </c>
      <c r="FH238" s="145">
        <v>0</v>
      </c>
      <c r="FI238" s="145">
        <v>0</v>
      </c>
      <c r="FJ238" s="145">
        <v>0</v>
      </c>
      <c r="FK238" s="145">
        <v>0</v>
      </c>
      <c r="FL238" s="145">
        <v>0</v>
      </c>
      <c r="FM238" s="145">
        <v>0</v>
      </c>
      <c r="FN238" s="145">
        <v>0</v>
      </c>
      <c r="FO238" s="145">
        <v>0</v>
      </c>
      <c r="FP238" s="145">
        <v>0</v>
      </c>
      <c r="FQ238" s="145">
        <v>0</v>
      </c>
      <c r="FR238" s="145">
        <v>0</v>
      </c>
      <c r="FS238" s="145">
        <v>0</v>
      </c>
      <c r="FT238" s="145">
        <v>0</v>
      </c>
      <c r="FU238" s="145">
        <v>0</v>
      </c>
      <c r="FV238" s="145">
        <v>0</v>
      </c>
      <c r="FW238" s="145">
        <v>0</v>
      </c>
      <c r="FX238" s="143"/>
      <c r="FY238" s="146" t="str">
        <f>_xlfn.XLOOKUP($E238,'Key assumptions'!$B$112:$B$120,'Key assumptions'!$C$112:$C$120,0)</f>
        <v>Nominal</v>
      </c>
      <c r="FZ238" s="146" cm="1">
        <f t="array" ref="FZ238">IF($FY238=0,0,_xlfn.IFS($FY238='Key assumptions'!$C$120,_xlfn.XLOOKUP(LEFT(FZ$7,6),Inflation_Year,Inflation_NominaltoReal),TRUE,_xlfn.XLOOKUP($FY238,Inflation_Year,NominaltoReal)))</f>
        <v>1.0197075870962191</v>
      </c>
      <c r="GA238" s="146" cm="1">
        <f t="array" ref="GA238">IF($FY238=0,0,_xlfn.IFS($FY238='Key assumptions'!$C$120,_xlfn.XLOOKUP(LEFT(GA$7,6),Inflation_Year,Inflation_NominaltoReal),TRUE,_xlfn.XLOOKUP($FY238,Inflation_Year,NominaltoReal)))</f>
        <v>0.98700804022984445</v>
      </c>
      <c r="GB238" s="146" cm="1">
        <f t="array" ref="GB238">IF($FY238=0,0,_xlfn.IFS($FY238='Key assumptions'!$C$120,_xlfn.XLOOKUP(LEFT(GB$7,6),Inflation_Year,Inflation_NominaltoReal),TRUE,_xlfn.XLOOKUP($FY238,Inflation_Year,NominaltoReal)))</f>
        <v>0.96152830081941731</v>
      </c>
      <c r="GC238" s="146" cm="1">
        <f t="array" ref="GC238">IF($FY238=0,0,_xlfn.IFS($FY238='Key assumptions'!$C$120,_xlfn.XLOOKUP(LEFT(GC$7,6),Inflation_Year,Inflation_NominaltoReal),TRUE,_xlfn.XLOOKUP($FY238,Inflation_Year,NominaltoReal)))</f>
        <v>0.93670632415656829</v>
      </c>
      <c r="GD238" s="146" cm="1">
        <f t="array" ref="GD238">IF($FY238=0,0,_xlfn.IFS($FY238='Key assumptions'!$C$120,_xlfn.XLOOKUP(LEFT(GD$7,6),Inflation_Year,Inflation_NominaltoReal),TRUE,_xlfn.XLOOKUP($FY238,Inflation_Year,NominaltoReal)))</f>
        <v>0.91252513001143176</v>
      </c>
      <c r="GE238" s="146" cm="1">
        <f t="array" ref="GE238">IF($FY238=0,0,_xlfn.IFS($FY238='Key assumptions'!$C$120,_xlfn.XLOOKUP(LEFT(GE$7,6),Inflation_Year,Inflation_NominaltoReal),TRUE,_xlfn.XLOOKUP($FY238,Inflation_Year,NominaltoReal)))</f>
        <v>0.88896817650095872</v>
      </c>
      <c r="GF238" s="146" cm="1">
        <f t="array" ref="GF238">IF($FY238=0,0,_xlfn.IFS($FY238='Key assumptions'!$C$120,_xlfn.XLOOKUP(LEFT(GF$7,6),Inflation_Year,Inflation_NominaltoReal),TRUE,_xlfn.XLOOKUP($FY238,Inflation_Year,NominaltoReal)))</f>
        <v>0.86601934877293718</v>
      </c>
      <c r="GG238" s="143"/>
      <c r="GH238" s="145" cm="1">
        <f t="array" ref="GH238">SUMPRODUCT(--($CR$7:$FW$7&gt;=GH$5),--($CR$7:$FW$7&lt;=GH$6),$CR238:$FW238)*FZ238</f>
        <v>44976.599441708422</v>
      </c>
      <c r="GI238" s="145" cm="1">
        <f t="array" ref="GI238">SUMPRODUCT(--($CR$7:$FW$7&gt;=GI$5),--($CR$7:$FW$7&lt;=GI$6),$CR238:$FW238)*GA238</f>
        <v>105576.59418560544</v>
      </c>
      <c r="GJ238" s="145" cm="1">
        <f t="array" ref="GJ238">SUMPRODUCT(--($CR$7:$FW$7&gt;=GJ$5),--($CR$7:$FW$7&lt;=GJ$6),$CR238:$FW238)*GB238</f>
        <v>108240.54080950453</v>
      </c>
      <c r="GK238" s="145" cm="1">
        <f t="array" ref="GK238">SUMPRODUCT(--($CR$7:$FW$7&gt;=GK$5),--($CR$7:$FW$7&lt;=GK$6),$CR238:$FW238)*GC238</f>
        <v>24545.107810271424</v>
      </c>
      <c r="GL238" s="145" cm="1">
        <f t="array" ref="GL238">SUMPRODUCT(--($CR$7:$FW$7&gt;=GL$5),--($CR$7:$FW$7&lt;=GL$6),$CR238:$FW238)*GD238</f>
        <v>0</v>
      </c>
      <c r="GM238" s="145" cm="1">
        <f t="array" ref="GM238">SUMPRODUCT(--($CR$7:$FW$7&gt;=GM$5),--($CR$7:$FW$7&lt;=GM$6),$CR238:$FW238)*GE238</f>
        <v>0</v>
      </c>
      <c r="GN238" s="145" cm="1">
        <f t="array" ref="GN238">SUMPRODUCT(--($CR$7:$FW$7&gt;=GN$5),--($CR$7:$FW$7&lt;=GN$6),$CR238:$FW238)*GF238</f>
        <v>0</v>
      </c>
      <c r="GO238" s="145">
        <f t="shared" si="69"/>
        <v>283338.84224708984</v>
      </c>
      <c r="GP238" s="87"/>
      <c r="GR238" s="145" cm="1">
        <f t="array" ref="GR238">SUMPRODUCT(--($CR$7:$FW$7&gt;=GR$5),--($CR$7:$FW$7&lt;=GR$6),$CR238:$FW238)</f>
        <v>16886.813999999998</v>
      </c>
      <c r="GT238" s="214" cm="1">
        <f t="array" ref="GT238">--AND(MIN(IF($K238:$CP238&lt;&gt;0,$K$7:$CP$7))&gt;=GT$5,MIN(IF($K238:$CP238&lt;&gt;0,$K$7:$CP$7))&lt;=GT$6)</f>
        <v>1</v>
      </c>
      <c r="GU238" s="214" cm="1">
        <f t="array" ref="GU238">--AND(MIN(IF($K238:$CP238&lt;&gt;0,$K$7:$CP$7))&gt;=GU$5,MIN(IF($K238:$CP238&lt;&gt;0,$K$7:$CP$7))&lt;=GU$6)</f>
        <v>0</v>
      </c>
      <c r="GV238" s="214" cm="1">
        <f t="array" ref="GV238">--AND(MIN(IF($K238:$CP238&lt;&gt;0,$K$7:$CP$7))&gt;=GV$5,MIN(IF($K238:$CP238&lt;&gt;0,$K$7:$CP$7))&lt;=GV$6)</f>
        <v>0</v>
      </c>
      <c r="GW238" s="214" cm="1">
        <f t="array" ref="GW238">--AND(MIN(IF($K238:$CP238&lt;&gt;0,$K$7:$CP$7))&gt;=GW$5,MIN(IF($K238:$CP238&lt;&gt;0,$K$7:$CP$7))&lt;=GW$6)</f>
        <v>0</v>
      </c>
      <c r="GX238" s="214" cm="1">
        <f t="array" ref="GX238">--AND(MIN(IF($K238:$CP238&lt;&gt;0,$K$7:$CP$7))&gt;=GX$5,MIN(IF($K238:$CP238&lt;&gt;0,$K$7:$CP$7))&lt;=GX$6)</f>
        <v>0</v>
      </c>
      <c r="GY238" s="214" cm="1">
        <f t="array" ref="GY238">--AND(MIN(IF($K238:$CP238&lt;&gt;0,$K$7:$CP$7))&gt;=GY$5,MIN(IF($K238:$CP238&lt;&gt;0,$K$7:$CP$7))&lt;=GY$6)</f>
        <v>0</v>
      </c>
      <c r="GZ238" s="214" cm="1">
        <f t="array" ref="GZ238">--AND(MIN(IF($K238:$CP238&lt;&gt;0,$K$7:$CP$7))&gt;=GZ$5,MIN(IF($K238:$CP238&lt;&gt;0,$K$7:$CP$7))&lt;=GZ$6)</f>
        <v>0</v>
      </c>
      <c r="HA238" s="214">
        <f t="shared" si="70"/>
        <v>1</v>
      </c>
      <c r="HC238" s="214" cm="1">
        <f t="array" ref="HC238">--AND(MIN(IF($K238:$CP238&lt;&gt;0,$K$7:$CP$7))&gt;=HC$5,MIN(IF($K238:$CP238&lt;&gt;0,$K$7:$CP$7))&lt;=HC$6)</f>
        <v>1</v>
      </c>
      <c r="HE238" s="147" t="str">
        <f t="shared" si="89"/>
        <v>No</v>
      </c>
      <c r="HF238" s="147" t="str">
        <f t="shared" si="90"/>
        <v>Yes</v>
      </c>
      <c r="HG238" s="147">
        <f>IF($HF238="Yes",0,$H238*avg_hrs*12*'Key assumptions'!$D$87)</f>
        <v>0</v>
      </c>
      <c r="HH238" s="147">
        <f>IF(HE238="Yes",'Key assumptions'!$D$84*HG238,0)</f>
        <v>0</v>
      </c>
      <c r="HI238" s="144">
        <f>IFERROR(AVERAGEIFS($K238:$CP238,$K$7:$CP$7,"&gt;="&amp;'Key assumptions'!$D$24,$K$7:$CP$7,"&lt;="&amp;'Key assumptions'!$D$25),0)</f>
        <v>0.11444805194805195</v>
      </c>
      <c r="HJ238" s="148">
        <f t="shared" si="91"/>
        <v>0</v>
      </c>
      <c r="HK238" s="148">
        <f t="shared" si="72"/>
        <v>0</v>
      </c>
      <c r="HL238" s="148">
        <f t="shared" si="73"/>
        <v>0</v>
      </c>
      <c r="HM238" s="148">
        <f t="shared" si="74"/>
        <v>0</v>
      </c>
      <c r="HN238" s="148">
        <f t="shared" si="75"/>
        <v>0</v>
      </c>
      <c r="HO238" s="148">
        <f t="shared" si="76"/>
        <v>0</v>
      </c>
      <c r="HP238" s="148">
        <f t="shared" si="77"/>
        <v>0</v>
      </c>
      <c r="HQ238" s="148">
        <f t="shared" si="78"/>
        <v>0</v>
      </c>
      <c r="HR238" s="147">
        <f t="shared" si="79"/>
        <v>0</v>
      </c>
      <c r="HU238" s="147">
        <f>$HJ238*HC238/(1+'Key assumptions'!G260)^0.75</f>
        <v>0</v>
      </c>
      <c r="HW238" s="216">
        <f t="shared" si="80"/>
        <v>0.11444805194805195</v>
      </c>
      <c r="HX238" s="216">
        <f t="shared" si="81"/>
        <v>0</v>
      </c>
      <c r="HY238" s="216">
        <f t="shared" si="82"/>
        <v>0</v>
      </c>
      <c r="HZ238" s="216">
        <f t="shared" si="83"/>
        <v>0</v>
      </c>
      <c r="IA238" s="216">
        <f t="shared" si="84"/>
        <v>0</v>
      </c>
      <c r="IB238" s="216">
        <f t="shared" si="85"/>
        <v>0</v>
      </c>
      <c r="IC238" s="216">
        <f t="shared" si="86"/>
        <v>0</v>
      </c>
      <c r="ID238" s="216">
        <f t="shared" si="87"/>
        <v>0.11444805194805195</v>
      </c>
      <c r="IF238" s="216">
        <f t="shared" si="88"/>
        <v>0.11444805194805195</v>
      </c>
    </row>
    <row r="239" spans="2:240" x14ac:dyDescent="0.2">
      <c r="B239" s="141" t="str">
        <v>Project Delivery Management - Commissioning</v>
      </c>
      <c r="C239" s="141" t="str">
        <v>Commissioning Engineer (Construction)</v>
      </c>
      <c r="D239" s="141" t="str">
        <v>Internal Labour</v>
      </c>
      <c r="E239" s="141" t="str">
        <v>$ Nominal</v>
      </c>
      <c r="F239" s="141" t="str">
        <v>Existing</v>
      </c>
      <c r="G239" s="141" t="str">
        <v>Normal time</v>
      </c>
      <c r="H239" s="142">
        <v>210.04</v>
      </c>
      <c r="I239" s="126">
        <v>87786.93</v>
      </c>
      <c r="J239" s="143">
        <v>0</v>
      </c>
      <c r="K239" s="144">
        <v>0</v>
      </c>
      <c r="L239" s="144">
        <v>0</v>
      </c>
      <c r="M239" s="144">
        <v>0</v>
      </c>
      <c r="N239" s="144">
        <v>0</v>
      </c>
      <c r="O239" s="144">
        <v>0</v>
      </c>
      <c r="P239" s="144">
        <v>0</v>
      </c>
      <c r="Q239" s="144">
        <v>0</v>
      </c>
      <c r="R239" s="144">
        <v>0</v>
      </c>
      <c r="S239" s="144">
        <v>0</v>
      </c>
      <c r="T239" s="144">
        <v>0</v>
      </c>
      <c r="U239" s="144">
        <v>0</v>
      </c>
      <c r="V239" s="144">
        <v>0</v>
      </c>
      <c r="W239" s="144">
        <v>0</v>
      </c>
      <c r="X239" s="144">
        <v>0</v>
      </c>
      <c r="Y239" s="144">
        <v>0</v>
      </c>
      <c r="Z239" s="144">
        <v>0</v>
      </c>
      <c r="AA239" s="144">
        <v>0</v>
      </c>
      <c r="AB239" s="144">
        <v>0</v>
      </c>
      <c r="AC239" s="144">
        <v>0</v>
      </c>
      <c r="AD239" s="144">
        <v>0</v>
      </c>
      <c r="AE239" s="144">
        <v>0</v>
      </c>
      <c r="AF239" s="144">
        <v>0</v>
      </c>
      <c r="AG239" s="144">
        <v>0</v>
      </c>
      <c r="AH239" s="144">
        <v>0</v>
      </c>
      <c r="AI239" s="144">
        <v>0</v>
      </c>
      <c r="AJ239" s="144">
        <v>0.5</v>
      </c>
      <c r="AK239" s="144">
        <v>0.25</v>
      </c>
      <c r="AL239" s="144">
        <v>0</v>
      </c>
      <c r="AM239" s="144">
        <v>0</v>
      </c>
      <c r="AN239" s="144">
        <v>0</v>
      </c>
      <c r="AO239" s="144">
        <v>0</v>
      </c>
      <c r="AP239" s="144">
        <v>0</v>
      </c>
      <c r="AQ239" s="144">
        <v>0</v>
      </c>
      <c r="AR239" s="144">
        <v>0</v>
      </c>
      <c r="AS239" s="144">
        <v>0</v>
      </c>
      <c r="AT239" s="144">
        <v>0</v>
      </c>
      <c r="AU239" s="144">
        <v>0</v>
      </c>
      <c r="AV239" s="144">
        <v>0</v>
      </c>
      <c r="AW239" s="144">
        <v>0</v>
      </c>
      <c r="AX239" s="144">
        <v>0</v>
      </c>
      <c r="AY239" s="144">
        <v>0</v>
      </c>
      <c r="AZ239" s="144">
        <v>0</v>
      </c>
      <c r="BA239" s="144">
        <v>1.1000000000000001</v>
      </c>
      <c r="BB239" s="144">
        <v>0</v>
      </c>
      <c r="BC239" s="144">
        <v>0</v>
      </c>
      <c r="BD239" s="144">
        <v>0.5</v>
      </c>
      <c r="BE239" s="144">
        <v>0.5</v>
      </c>
      <c r="BF239" s="144">
        <v>0</v>
      </c>
      <c r="BG239" s="144">
        <v>0</v>
      </c>
      <c r="BH239" s="144">
        <v>0</v>
      </c>
      <c r="BI239" s="144">
        <v>0</v>
      </c>
      <c r="BJ239" s="144">
        <v>0</v>
      </c>
      <c r="BK239" s="144">
        <v>0</v>
      </c>
      <c r="BL239" s="144">
        <v>0</v>
      </c>
      <c r="BM239" s="144">
        <v>0</v>
      </c>
      <c r="BN239" s="144">
        <v>0</v>
      </c>
      <c r="BO239" s="144">
        <v>0</v>
      </c>
      <c r="BP239" s="144">
        <v>0</v>
      </c>
      <c r="BQ239" s="144">
        <v>0</v>
      </c>
      <c r="BR239" s="144">
        <v>0</v>
      </c>
      <c r="BS239" s="144">
        <v>0</v>
      </c>
      <c r="BT239" s="144">
        <v>0</v>
      </c>
      <c r="BU239" s="144">
        <v>0</v>
      </c>
      <c r="BV239" s="144">
        <v>0</v>
      </c>
      <c r="BW239" s="144">
        <v>0</v>
      </c>
      <c r="BX239" s="144">
        <v>0</v>
      </c>
      <c r="BY239" s="144">
        <v>0</v>
      </c>
      <c r="BZ239" s="144">
        <v>0</v>
      </c>
      <c r="CA239" s="144">
        <v>0</v>
      </c>
      <c r="CB239" s="144">
        <v>0</v>
      </c>
      <c r="CC239" s="144">
        <v>0</v>
      </c>
      <c r="CD239" s="144">
        <v>0</v>
      </c>
      <c r="CE239" s="144">
        <v>0</v>
      </c>
      <c r="CF239" s="144">
        <v>0</v>
      </c>
      <c r="CG239" s="144">
        <v>0</v>
      </c>
      <c r="CH239" s="144">
        <v>0</v>
      </c>
      <c r="CI239" s="144">
        <v>0</v>
      </c>
      <c r="CJ239" s="144">
        <v>0</v>
      </c>
      <c r="CK239" s="144">
        <v>0</v>
      </c>
      <c r="CL239" s="144">
        <v>0</v>
      </c>
      <c r="CM239" s="144">
        <v>0</v>
      </c>
      <c r="CN239" s="144">
        <v>0</v>
      </c>
      <c r="CO239" s="144">
        <v>0</v>
      </c>
      <c r="CP239" s="144">
        <v>0</v>
      </c>
      <c r="CQ239" s="143">
        <v>0</v>
      </c>
      <c r="CR239" s="145">
        <v>0</v>
      </c>
      <c r="CS239" s="145">
        <v>0</v>
      </c>
      <c r="CT239" s="145">
        <v>0</v>
      </c>
      <c r="CU239" s="145">
        <v>0</v>
      </c>
      <c r="CV239" s="145">
        <v>0</v>
      </c>
      <c r="CW239" s="145">
        <v>0</v>
      </c>
      <c r="CX239" s="145">
        <v>0</v>
      </c>
      <c r="CY239" s="145">
        <v>0</v>
      </c>
      <c r="CZ239" s="145">
        <v>0</v>
      </c>
      <c r="DA239" s="145">
        <v>0</v>
      </c>
      <c r="DB239" s="145">
        <v>0</v>
      </c>
      <c r="DC239" s="145">
        <v>0</v>
      </c>
      <c r="DD239" s="145">
        <v>0</v>
      </c>
      <c r="DE239" s="145">
        <v>0</v>
      </c>
      <c r="DF239" s="145">
        <v>0</v>
      </c>
      <c r="DG239" s="145">
        <v>0</v>
      </c>
      <c r="DH239" s="145">
        <v>0</v>
      </c>
      <c r="DI239" s="145">
        <v>0</v>
      </c>
      <c r="DJ239" s="145">
        <v>0</v>
      </c>
      <c r="DK239" s="145">
        <v>0</v>
      </c>
      <c r="DL239" s="145">
        <v>0</v>
      </c>
      <c r="DM239" s="145">
        <v>0</v>
      </c>
      <c r="DN239" s="145">
        <v>0</v>
      </c>
      <c r="DO239" s="145">
        <v>0</v>
      </c>
      <c r="DP239" s="145">
        <v>0</v>
      </c>
      <c r="DQ239" s="145">
        <v>14702.8</v>
      </c>
      <c r="DR239" s="145">
        <v>7575.05</v>
      </c>
      <c r="DS239" s="145">
        <v>0</v>
      </c>
      <c r="DT239" s="145">
        <v>0</v>
      </c>
      <c r="DU239" s="145">
        <v>0</v>
      </c>
      <c r="DV239" s="145">
        <v>0</v>
      </c>
      <c r="DW239" s="145">
        <v>0</v>
      </c>
      <c r="DX239" s="145">
        <v>0</v>
      </c>
      <c r="DY239" s="145">
        <v>0</v>
      </c>
      <c r="DZ239" s="145">
        <v>0</v>
      </c>
      <c r="EA239" s="145">
        <v>0</v>
      </c>
      <c r="EB239" s="145">
        <v>0</v>
      </c>
      <c r="EC239" s="145">
        <v>0</v>
      </c>
      <c r="ED239" s="145">
        <v>0</v>
      </c>
      <c r="EE239" s="145">
        <v>0</v>
      </c>
      <c r="EF239" s="145">
        <v>0</v>
      </c>
      <c r="EG239" s="145">
        <v>0</v>
      </c>
      <c r="EH239" s="145">
        <v>34314.28</v>
      </c>
      <c r="EI239" s="145">
        <v>0</v>
      </c>
      <c r="EJ239" s="145">
        <v>0</v>
      </c>
      <c r="EK239" s="145">
        <v>15597.4</v>
      </c>
      <c r="EL239" s="145">
        <v>15597.4</v>
      </c>
      <c r="EM239" s="145">
        <v>0</v>
      </c>
      <c r="EN239" s="145">
        <v>0</v>
      </c>
      <c r="EO239" s="145">
        <v>0</v>
      </c>
      <c r="EP239" s="145">
        <v>0</v>
      </c>
      <c r="EQ239" s="145">
        <v>0</v>
      </c>
      <c r="ER239" s="145">
        <v>0</v>
      </c>
      <c r="ES239" s="145">
        <v>0</v>
      </c>
      <c r="ET239" s="145">
        <v>0</v>
      </c>
      <c r="EU239" s="145">
        <v>0</v>
      </c>
      <c r="EV239" s="145">
        <v>0</v>
      </c>
      <c r="EW239" s="145">
        <v>0</v>
      </c>
      <c r="EX239" s="145">
        <v>0</v>
      </c>
      <c r="EY239" s="145">
        <v>0</v>
      </c>
      <c r="EZ239" s="145">
        <v>0</v>
      </c>
      <c r="FA239" s="145">
        <v>0</v>
      </c>
      <c r="FB239" s="145">
        <v>0</v>
      </c>
      <c r="FC239" s="145">
        <v>0</v>
      </c>
      <c r="FD239" s="145">
        <v>0</v>
      </c>
      <c r="FE239" s="145">
        <v>0</v>
      </c>
      <c r="FF239" s="145">
        <v>0</v>
      </c>
      <c r="FG239" s="145">
        <v>0</v>
      </c>
      <c r="FH239" s="145">
        <v>0</v>
      </c>
      <c r="FI239" s="145">
        <v>0</v>
      </c>
      <c r="FJ239" s="145">
        <v>0</v>
      </c>
      <c r="FK239" s="145">
        <v>0</v>
      </c>
      <c r="FL239" s="145">
        <v>0</v>
      </c>
      <c r="FM239" s="145">
        <v>0</v>
      </c>
      <c r="FN239" s="145">
        <v>0</v>
      </c>
      <c r="FO239" s="145">
        <v>0</v>
      </c>
      <c r="FP239" s="145">
        <v>0</v>
      </c>
      <c r="FQ239" s="145">
        <v>0</v>
      </c>
      <c r="FR239" s="145">
        <v>0</v>
      </c>
      <c r="FS239" s="145">
        <v>0</v>
      </c>
      <c r="FT239" s="145">
        <v>0</v>
      </c>
      <c r="FU239" s="145">
        <v>0</v>
      </c>
      <c r="FV239" s="145">
        <v>0</v>
      </c>
      <c r="FW239" s="145">
        <v>0</v>
      </c>
      <c r="FX239" s="143"/>
      <c r="FY239" s="146" t="str">
        <f>_xlfn.XLOOKUP($E239,'Key assumptions'!$B$112:$B$120,'Key assumptions'!$C$112:$C$120,0)</f>
        <v>Nominal</v>
      </c>
      <c r="FZ239" s="146" cm="1">
        <f t="array" ref="FZ239">IF($FY239=0,0,_xlfn.IFS($FY239='Key assumptions'!$C$120,_xlfn.XLOOKUP(LEFT(FZ$7,6),Inflation_Year,Inflation_NominaltoReal),TRUE,_xlfn.XLOOKUP($FY239,Inflation_Year,NominaltoReal)))</f>
        <v>1.0197075870962191</v>
      </c>
      <c r="GA239" s="146" cm="1">
        <f t="array" ref="GA239">IF($FY239=0,0,_xlfn.IFS($FY239='Key assumptions'!$C$120,_xlfn.XLOOKUP(LEFT(GA$7,6),Inflation_Year,Inflation_NominaltoReal),TRUE,_xlfn.XLOOKUP($FY239,Inflation_Year,NominaltoReal)))</f>
        <v>0.98700804022984445</v>
      </c>
      <c r="GB239" s="146" cm="1">
        <f t="array" ref="GB239">IF($FY239=0,0,_xlfn.IFS($FY239='Key assumptions'!$C$120,_xlfn.XLOOKUP(LEFT(GB$7,6),Inflation_Year,Inflation_NominaltoReal),TRUE,_xlfn.XLOOKUP($FY239,Inflation_Year,NominaltoReal)))</f>
        <v>0.96152830081941731</v>
      </c>
      <c r="GC239" s="146" cm="1">
        <f t="array" ref="GC239">IF($FY239=0,0,_xlfn.IFS($FY239='Key assumptions'!$C$120,_xlfn.XLOOKUP(LEFT(GC$7,6),Inflation_Year,Inflation_NominaltoReal),TRUE,_xlfn.XLOOKUP($FY239,Inflation_Year,NominaltoReal)))</f>
        <v>0.93670632415656829</v>
      </c>
      <c r="GD239" s="146" cm="1">
        <f t="array" ref="GD239">IF($FY239=0,0,_xlfn.IFS($FY239='Key assumptions'!$C$120,_xlfn.XLOOKUP(LEFT(GD$7,6),Inflation_Year,Inflation_NominaltoReal),TRUE,_xlfn.XLOOKUP($FY239,Inflation_Year,NominaltoReal)))</f>
        <v>0.91252513001143176</v>
      </c>
      <c r="GE239" s="146" cm="1">
        <f t="array" ref="GE239">IF($FY239=0,0,_xlfn.IFS($FY239='Key assumptions'!$C$120,_xlfn.XLOOKUP(LEFT(GE$7,6),Inflation_Year,Inflation_NominaltoReal),TRUE,_xlfn.XLOOKUP($FY239,Inflation_Year,NominaltoReal)))</f>
        <v>0.88896817650095872</v>
      </c>
      <c r="GF239" s="146" cm="1">
        <f t="array" ref="GF239">IF($FY239=0,0,_xlfn.IFS($FY239='Key assumptions'!$C$120,_xlfn.XLOOKUP(LEFT(GF$7,6),Inflation_Year,Inflation_NominaltoReal),TRUE,_xlfn.XLOOKUP($FY239,Inflation_Year,NominaltoReal)))</f>
        <v>0.86601934877293718</v>
      </c>
      <c r="GG239" s="143"/>
      <c r="GH239" s="145" cm="1">
        <f t="array" ref="GH239">SUMPRODUCT(--($CR$7:$FW$7&gt;=GH$5),--($CR$7:$FW$7&lt;=GH$6),$CR239:$FW239)*FZ239</f>
        <v>0</v>
      </c>
      <c r="GI239" s="145" cm="1">
        <f t="array" ref="GI239">SUMPRODUCT(--($CR$7:$FW$7&gt;=GI$5),--($CR$7:$FW$7&lt;=GI$6),$CR239:$FW239)*GA239</f>
        <v>21988.41706903444</v>
      </c>
      <c r="GJ239" s="145" cm="1">
        <f t="array" ref="GJ239">SUMPRODUCT(--($CR$7:$FW$7&gt;=GJ$5),--($CR$7:$FW$7&lt;=GJ$6),$CR239:$FW239)*GB239</f>
        <v>32994.151342241712</v>
      </c>
      <c r="GK239" s="145" cm="1">
        <f t="array" ref="GK239">SUMPRODUCT(--($CR$7:$FW$7&gt;=GK$5),--($CR$7:$FW$7&lt;=GK$6),$CR239:$FW239)*GC239</f>
        <v>29220.366440799316</v>
      </c>
      <c r="GL239" s="145" cm="1">
        <f t="array" ref="GL239">SUMPRODUCT(--($CR$7:$FW$7&gt;=GL$5),--($CR$7:$FW$7&lt;=GL$6),$CR239:$FW239)*GD239</f>
        <v>0</v>
      </c>
      <c r="GM239" s="145" cm="1">
        <f t="array" ref="GM239">SUMPRODUCT(--($CR$7:$FW$7&gt;=GM$5),--($CR$7:$FW$7&lt;=GM$6),$CR239:$FW239)*GE239</f>
        <v>0</v>
      </c>
      <c r="GN239" s="145" cm="1">
        <f t="array" ref="GN239">SUMPRODUCT(--($CR$7:$FW$7&gt;=GN$5),--($CR$7:$FW$7&lt;=GN$6),$CR239:$FW239)*GF239</f>
        <v>0</v>
      </c>
      <c r="GO239" s="145">
        <f t="shared" si="69"/>
        <v>84202.934852075472</v>
      </c>
      <c r="GP239" s="87"/>
      <c r="GR239" s="145" cm="1">
        <f t="array" ref="GR239">SUMPRODUCT(--($CR$7:$FW$7&gt;=GR$5),--($CR$7:$FW$7&lt;=GR$6),$CR239:$FW239)</f>
        <v>0</v>
      </c>
      <c r="GT239" s="214" cm="1">
        <f t="array" ref="GT239">--AND(MIN(IF($K239:$CP239&lt;&gt;0,$K$7:$CP$7))&gt;=GT$5,MIN(IF($K239:$CP239&lt;&gt;0,$K$7:$CP$7))&lt;=GT$6)</f>
        <v>0</v>
      </c>
      <c r="GU239" s="214" cm="1">
        <f t="array" ref="GU239">--AND(MIN(IF($K239:$CP239&lt;&gt;0,$K$7:$CP$7))&gt;=GU$5,MIN(IF($K239:$CP239&lt;&gt;0,$K$7:$CP$7))&lt;=GU$6)</f>
        <v>1</v>
      </c>
      <c r="GV239" s="214" cm="1">
        <f t="array" ref="GV239">--AND(MIN(IF($K239:$CP239&lt;&gt;0,$K$7:$CP$7))&gt;=GV$5,MIN(IF($K239:$CP239&lt;&gt;0,$K$7:$CP$7))&lt;=GV$6)</f>
        <v>0</v>
      </c>
      <c r="GW239" s="214" cm="1">
        <f t="array" ref="GW239">--AND(MIN(IF($K239:$CP239&lt;&gt;0,$K$7:$CP$7))&gt;=GW$5,MIN(IF($K239:$CP239&lt;&gt;0,$K$7:$CP$7))&lt;=GW$6)</f>
        <v>0</v>
      </c>
      <c r="GX239" s="214" cm="1">
        <f t="array" ref="GX239">--AND(MIN(IF($K239:$CP239&lt;&gt;0,$K$7:$CP$7))&gt;=GX$5,MIN(IF($K239:$CP239&lt;&gt;0,$K$7:$CP$7))&lt;=GX$6)</f>
        <v>0</v>
      </c>
      <c r="GY239" s="214" cm="1">
        <f t="array" ref="GY239">--AND(MIN(IF($K239:$CP239&lt;&gt;0,$K$7:$CP$7))&gt;=GY$5,MIN(IF($K239:$CP239&lt;&gt;0,$K$7:$CP$7))&lt;=GY$6)</f>
        <v>0</v>
      </c>
      <c r="GZ239" s="214" cm="1">
        <f t="array" ref="GZ239">--AND(MIN(IF($K239:$CP239&lt;&gt;0,$K$7:$CP$7))&gt;=GZ$5,MIN(IF($K239:$CP239&lt;&gt;0,$K$7:$CP$7))&lt;=GZ$6)</f>
        <v>0</v>
      </c>
      <c r="HA239" s="214">
        <f t="shared" si="70"/>
        <v>1</v>
      </c>
      <c r="HC239" s="214" cm="1">
        <f t="array" ref="HC239">--AND(MIN(IF($K239:$CP239&lt;&gt;0,$K$7:$CP$7))&gt;=HC$5,MIN(IF($K239:$CP239&lt;&gt;0,$K$7:$CP$7))&lt;=HC$6)</f>
        <v>0</v>
      </c>
      <c r="HE239" s="147" t="str">
        <f t="shared" si="89"/>
        <v>No</v>
      </c>
      <c r="HF239" s="147" t="str">
        <f t="shared" si="90"/>
        <v>No</v>
      </c>
      <c r="HG239" s="147">
        <f>IF($HF239="Yes",0,$H239*avg_hrs*12*'Key assumptions'!$D$87)</f>
        <v>375608.02275576669</v>
      </c>
      <c r="HH239" s="147">
        <f>IF(HE239="Yes",'Key assumptions'!$D$84*HG239,0)</f>
        <v>0</v>
      </c>
      <c r="HI239" s="144">
        <f>IFERROR(AVERAGEIFS($K239:$CP239,$K$7:$CP$7,"&gt;="&amp;'Key assumptions'!$D$24,$K$7:$CP$7,"&lt;="&amp;'Key assumptions'!$D$25),0)</f>
        <v>6.4772727272727273E-2</v>
      </c>
      <c r="HJ239" s="148">
        <f t="shared" si="91"/>
        <v>0</v>
      </c>
      <c r="HK239" s="148">
        <f t="shared" si="72"/>
        <v>0</v>
      </c>
      <c r="HL239" s="148">
        <f t="shared" si="73"/>
        <v>0</v>
      </c>
      <c r="HM239" s="148">
        <f t="shared" si="74"/>
        <v>0</v>
      </c>
      <c r="HN239" s="148">
        <f t="shared" si="75"/>
        <v>0</v>
      </c>
      <c r="HO239" s="148">
        <f t="shared" si="76"/>
        <v>0</v>
      </c>
      <c r="HP239" s="148">
        <f t="shared" si="77"/>
        <v>0</v>
      </c>
      <c r="HQ239" s="148">
        <f t="shared" si="78"/>
        <v>0</v>
      </c>
      <c r="HR239" s="147">
        <f t="shared" si="79"/>
        <v>0</v>
      </c>
      <c r="HU239" s="147">
        <f>$HJ239*HC239/(1+'Key assumptions'!G261)^0.75</f>
        <v>0</v>
      </c>
      <c r="HW239" s="216">
        <f t="shared" si="80"/>
        <v>0</v>
      </c>
      <c r="HX239" s="216">
        <f t="shared" si="81"/>
        <v>6.4772727272727273E-2</v>
      </c>
      <c r="HY239" s="216">
        <f t="shared" si="82"/>
        <v>0</v>
      </c>
      <c r="HZ239" s="216">
        <f t="shared" si="83"/>
        <v>0</v>
      </c>
      <c r="IA239" s="216">
        <f t="shared" si="84"/>
        <v>0</v>
      </c>
      <c r="IB239" s="216">
        <f t="shared" si="85"/>
        <v>0</v>
      </c>
      <c r="IC239" s="216">
        <f t="shared" si="86"/>
        <v>0</v>
      </c>
      <c r="ID239" s="216">
        <f t="shared" si="87"/>
        <v>6.4772727272727273E-2</v>
      </c>
      <c r="IF239" s="216">
        <f t="shared" si="88"/>
        <v>0</v>
      </c>
    </row>
    <row r="240" spans="2:240" x14ac:dyDescent="0.2">
      <c r="B240" s="141" t="str">
        <v>Project Delivery Management - Commissioning</v>
      </c>
      <c r="C240" s="141" t="str">
        <v>Commissioning Engineer (Construction)</v>
      </c>
      <c r="D240" s="141" t="str">
        <v>Internal Labour</v>
      </c>
      <c r="E240" s="141" t="str">
        <v>$ Nominal</v>
      </c>
      <c r="F240" s="141">
        <v>0</v>
      </c>
      <c r="G240" s="141" t="str">
        <v>Overtime</v>
      </c>
      <c r="H240" s="142">
        <v>210.04</v>
      </c>
      <c r="I240" s="126">
        <v>65951.099999999991</v>
      </c>
      <c r="J240" s="143">
        <v>0</v>
      </c>
      <c r="K240" s="144">
        <v>0</v>
      </c>
      <c r="L240" s="144">
        <v>0</v>
      </c>
      <c r="M240" s="144">
        <v>0</v>
      </c>
      <c r="N240" s="144">
        <v>0</v>
      </c>
      <c r="O240" s="144">
        <v>0</v>
      </c>
      <c r="P240" s="144">
        <v>0</v>
      </c>
      <c r="Q240" s="144">
        <v>0</v>
      </c>
      <c r="R240" s="144">
        <v>0</v>
      </c>
      <c r="S240" s="144">
        <v>0</v>
      </c>
      <c r="T240" s="144">
        <v>0</v>
      </c>
      <c r="U240" s="144">
        <v>0</v>
      </c>
      <c r="V240" s="144">
        <v>0</v>
      </c>
      <c r="W240" s="144">
        <v>0</v>
      </c>
      <c r="X240" s="144">
        <v>0</v>
      </c>
      <c r="Y240" s="144">
        <v>0</v>
      </c>
      <c r="Z240" s="144">
        <v>0</v>
      </c>
      <c r="AA240" s="144">
        <v>0</v>
      </c>
      <c r="AB240" s="144">
        <v>0</v>
      </c>
      <c r="AC240" s="144">
        <v>0</v>
      </c>
      <c r="AD240" s="144">
        <v>0</v>
      </c>
      <c r="AE240" s="144">
        <v>0</v>
      </c>
      <c r="AF240" s="144">
        <v>0</v>
      </c>
      <c r="AG240" s="144">
        <v>0</v>
      </c>
      <c r="AH240" s="144">
        <v>0</v>
      </c>
      <c r="AI240" s="144">
        <v>0</v>
      </c>
      <c r="AJ240" s="144">
        <v>0.21428571428571427</v>
      </c>
      <c r="AK240" s="144">
        <v>7.1428571428571425E-2</v>
      </c>
      <c r="AL240" s="144">
        <v>0</v>
      </c>
      <c r="AM240" s="144">
        <v>0</v>
      </c>
      <c r="AN240" s="144">
        <v>0</v>
      </c>
      <c r="AO240" s="144">
        <v>0</v>
      </c>
      <c r="AP240" s="144">
        <v>0</v>
      </c>
      <c r="AQ240" s="144">
        <v>0</v>
      </c>
      <c r="AR240" s="144">
        <v>0</v>
      </c>
      <c r="AS240" s="144">
        <v>0</v>
      </c>
      <c r="AT240" s="144">
        <v>0</v>
      </c>
      <c r="AU240" s="144">
        <v>0</v>
      </c>
      <c r="AV240" s="144">
        <v>0</v>
      </c>
      <c r="AW240" s="144">
        <v>0</v>
      </c>
      <c r="AX240" s="144">
        <v>0</v>
      </c>
      <c r="AY240" s="144">
        <v>0</v>
      </c>
      <c r="AZ240" s="144">
        <v>0</v>
      </c>
      <c r="BA240" s="144">
        <v>0.35714285714285715</v>
      </c>
      <c r="BB240" s="144">
        <v>0</v>
      </c>
      <c r="BC240" s="144">
        <v>0</v>
      </c>
      <c r="BD240" s="144">
        <v>0.21428571428571427</v>
      </c>
      <c r="BE240" s="144">
        <v>0.21428571428571427</v>
      </c>
      <c r="BF240" s="144">
        <v>0</v>
      </c>
      <c r="BG240" s="144">
        <v>0</v>
      </c>
      <c r="BH240" s="144">
        <v>0</v>
      </c>
      <c r="BI240" s="144">
        <v>0</v>
      </c>
      <c r="BJ240" s="144">
        <v>0</v>
      </c>
      <c r="BK240" s="144">
        <v>0</v>
      </c>
      <c r="BL240" s="144">
        <v>0</v>
      </c>
      <c r="BM240" s="144">
        <v>0</v>
      </c>
      <c r="BN240" s="144">
        <v>0</v>
      </c>
      <c r="BO240" s="144">
        <v>0</v>
      </c>
      <c r="BP240" s="144">
        <v>0</v>
      </c>
      <c r="BQ240" s="144">
        <v>0</v>
      </c>
      <c r="BR240" s="144">
        <v>0</v>
      </c>
      <c r="BS240" s="144">
        <v>0</v>
      </c>
      <c r="BT240" s="144">
        <v>0</v>
      </c>
      <c r="BU240" s="144">
        <v>0</v>
      </c>
      <c r="BV240" s="144">
        <v>0</v>
      </c>
      <c r="BW240" s="144">
        <v>0</v>
      </c>
      <c r="BX240" s="144">
        <v>0</v>
      </c>
      <c r="BY240" s="144">
        <v>0</v>
      </c>
      <c r="BZ240" s="144">
        <v>0</v>
      </c>
      <c r="CA240" s="144">
        <v>0</v>
      </c>
      <c r="CB240" s="144">
        <v>0</v>
      </c>
      <c r="CC240" s="144">
        <v>0</v>
      </c>
      <c r="CD240" s="144">
        <v>0</v>
      </c>
      <c r="CE240" s="144">
        <v>0</v>
      </c>
      <c r="CF240" s="144">
        <v>0</v>
      </c>
      <c r="CG240" s="144">
        <v>0</v>
      </c>
      <c r="CH240" s="144">
        <v>0</v>
      </c>
      <c r="CI240" s="144">
        <v>0</v>
      </c>
      <c r="CJ240" s="144">
        <v>0</v>
      </c>
      <c r="CK240" s="144">
        <v>0</v>
      </c>
      <c r="CL240" s="144">
        <v>0</v>
      </c>
      <c r="CM240" s="144">
        <v>0</v>
      </c>
      <c r="CN240" s="144">
        <v>0</v>
      </c>
      <c r="CO240" s="144">
        <v>0</v>
      </c>
      <c r="CP240" s="144">
        <v>0</v>
      </c>
      <c r="CQ240" s="143">
        <v>0</v>
      </c>
      <c r="CR240" s="145">
        <v>0</v>
      </c>
      <c r="CS240" s="145">
        <v>0</v>
      </c>
      <c r="CT240" s="145">
        <v>0</v>
      </c>
      <c r="CU240" s="145">
        <v>0</v>
      </c>
      <c r="CV240" s="145">
        <v>0</v>
      </c>
      <c r="CW240" s="145">
        <v>0</v>
      </c>
      <c r="CX240" s="145">
        <v>0</v>
      </c>
      <c r="CY240" s="145">
        <v>0</v>
      </c>
      <c r="CZ240" s="145">
        <v>0</v>
      </c>
      <c r="DA240" s="145">
        <v>0</v>
      </c>
      <c r="DB240" s="145">
        <v>0</v>
      </c>
      <c r="DC240" s="145">
        <v>0</v>
      </c>
      <c r="DD240" s="145">
        <v>0</v>
      </c>
      <c r="DE240" s="145">
        <v>0</v>
      </c>
      <c r="DF240" s="145">
        <v>0</v>
      </c>
      <c r="DG240" s="145">
        <v>0</v>
      </c>
      <c r="DH240" s="145">
        <v>0</v>
      </c>
      <c r="DI240" s="145">
        <v>0</v>
      </c>
      <c r="DJ240" s="145">
        <v>0</v>
      </c>
      <c r="DK240" s="145">
        <v>0</v>
      </c>
      <c r="DL240" s="145">
        <v>0</v>
      </c>
      <c r="DM240" s="145">
        <v>0</v>
      </c>
      <c r="DN240" s="145">
        <v>0</v>
      </c>
      <c r="DO240" s="145">
        <v>0</v>
      </c>
      <c r="DP240" s="145">
        <v>0</v>
      </c>
      <c r="DQ240" s="145">
        <v>12602.1</v>
      </c>
      <c r="DR240" s="145">
        <v>4328.6000000000004</v>
      </c>
      <c r="DS240" s="145">
        <v>0</v>
      </c>
      <c r="DT240" s="145">
        <v>0</v>
      </c>
      <c r="DU240" s="145">
        <v>0</v>
      </c>
      <c r="DV240" s="145">
        <v>0</v>
      </c>
      <c r="DW240" s="145">
        <v>0</v>
      </c>
      <c r="DX240" s="145">
        <v>0</v>
      </c>
      <c r="DY240" s="145">
        <v>0</v>
      </c>
      <c r="DZ240" s="145">
        <v>0</v>
      </c>
      <c r="EA240" s="145">
        <v>0</v>
      </c>
      <c r="EB240" s="145">
        <v>0</v>
      </c>
      <c r="EC240" s="145">
        <v>0</v>
      </c>
      <c r="ED240" s="145">
        <v>0</v>
      </c>
      <c r="EE240" s="145">
        <v>0</v>
      </c>
      <c r="EF240" s="145">
        <v>0</v>
      </c>
      <c r="EG240" s="145">
        <v>0</v>
      </c>
      <c r="EH240" s="145">
        <v>22282</v>
      </c>
      <c r="EI240" s="145">
        <v>0</v>
      </c>
      <c r="EJ240" s="145">
        <v>0</v>
      </c>
      <c r="EK240" s="145">
        <v>13369.199999999999</v>
      </c>
      <c r="EL240" s="145">
        <v>13369.199999999999</v>
      </c>
      <c r="EM240" s="145">
        <v>0</v>
      </c>
      <c r="EN240" s="145">
        <v>0</v>
      </c>
      <c r="EO240" s="145">
        <v>0</v>
      </c>
      <c r="EP240" s="145">
        <v>0</v>
      </c>
      <c r="EQ240" s="145">
        <v>0</v>
      </c>
      <c r="ER240" s="145">
        <v>0</v>
      </c>
      <c r="ES240" s="145">
        <v>0</v>
      </c>
      <c r="ET240" s="145">
        <v>0</v>
      </c>
      <c r="EU240" s="145">
        <v>0</v>
      </c>
      <c r="EV240" s="145">
        <v>0</v>
      </c>
      <c r="EW240" s="145">
        <v>0</v>
      </c>
      <c r="EX240" s="145">
        <v>0</v>
      </c>
      <c r="EY240" s="145">
        <v>0</v>
      </c>
      <c r="EZ240" s="145">
        <v>0</v>
      </c>
      <c r="FA240" s="145">
        <v>0</v>
      </c>
      <c r="FB240" s="145">
        <v>0</v>
      </c>
      <c r="FC240" s="145">
        <v>0</v>
      </c>
      <c r="FD240" s="145">
        <v>0</v>
      </c>
      <c r="FE240" s="145">
        <v>0</v>
      </c>
      <c r="FF240" s="145">
        <v>0</v>
      </c>
      <c r="FG240" s="145">
        <v>0</v>
      </c>
      <c r="FH240" s="145">
        <v>0</v>
      </c>
      <c r="FI240" s="145">
        <v>0</v>
      </c>
      <c r="FJ240" s="145">
        <v>0</v>
      </c>
      <c r="FK240" s="145">
        <v>0</v>
      </c>
      <c r="FL240" s="145">
        <v>0</v>
      </c>
      <c r="FM240" s="145">
        <v>0</v>
      </c>
      <c r="FN240" s="145">
        <v>0</v>
      </c>
      <c r="FO240" s="145">
        <v>0</v>
      </c>
      <c r="FP240" s="145">
        <v>0</v>
      </c>
      <c r="FQ240" s="145">
        <v>0</v>
      </c>
      <c r="FR240" s="145">
        <v>0</v>
      </c>
      <c r="FS240" s="145">
        <v>0</v>
      </c>
      <c r="FT240" s="145">
        <v>0</v>
      </c>
      <c r="FU240" s="145">
        <v>0</v>
      </c>
      <c r="FV240" s="145">
        <v>0</v>
      </c>
      <c r="FW240" s="145">
        <v>0</v>
      </c>
      <c r="FX240" s="143"/>
      <c r="FY240" s="146" t="str">
        <f>_xlfn.XLOOKUP($E240,'Key assumptions'!$B$112:$B$120,'Key assumptions'!$C$112:$C$120,0)</f>
        <v>Nominal</v>
      </c>
      <c r="FZ240" s="146" cm="1">
        <f t="array" ref="FZ240">IF($FY240=0,0,_xlfn.IFS($FY240='Key assumptions'!$C$120,_xlfn.XLOOKUP(LEFT(FZ$7,6),Inflation_Year,Inflation_NominaltoReal),TRUE,_xlfn.XLOOKUP($FY240,Inflation_Year,NominaltoReal)))</f>
        <v>1.0197075870962191</v>
      </c>
      <c r="GA240" s="146" cm="1">
        <f t="array" ref="GA240">IF($FY240=0,0,_xlfn.IFS($FY240='Key assumptions'!$C$120,_xlfn.XLOOKUP(LEFT(GA$7,6),Inflation_Year,Inflation_NominaltoReal),TRUE,_xlfn.XLOOKUP($FY240,Inflation_Year,NominaltoReal)))</f>
        <v>0.98700804022984445</v>
      </c>
      <c r="GB240" s="146" cm="1">
        <f t="array" ref="GB240">IF($FY240=0,0,_xlfn.IFS($FY240='Key assumptions'!$C$120,_xlfn.XLOOKUP(LEFT(GB$7,6),Inflation_Year,Inflation_NominaltoReal),TRUE,_xlfn.XLOOKUP($FY240,Inflation_Year,NominaltoReal)))</f>
        <v>0.96152830081941731</v>
      </c>
      <c r="GC240" s="146" cm="1">
        <f t="array" ref="GC240">IF($FY240=0,0,_xlfn.IFS($FY240='Key assumptions'!$C$120,_xlfn.XLOOKUP(LEFT(GC$7,6),Inflation_Year,Inflation_NominaltoReal),TRUE,_xlfn.XLOOKUP($FY240,Inflation_Year,NominaltoReal)))</f>
        <v>0.93670632415656829</v>
      </c>
      <c r="GD240" s="146" cm="1">
        <f t="array" ref="GD240">IF($FY240=0,0,_xlfn.IFS($FY240='Key assumptions'!$C$120,_xlfn.XLOOKUP(LEFT(GD$7,6),Inflation_Year,Inflation_NominaltoReal),TRUE,_xlfn.XLOOKUP($FY240,Inflation_Year,NominaltoReal)))</f>
        <v>0.91252513001143176</v>
      </c>
      <c r="GE240" s="146" cm="1">
        <f t="array" ref="GE240">IF($FY240=0,0,_xlfn.IFS($FY240='Key assumptions'!$C$120,_xlfn.XLOOKUP(LEFT(GE$7,6),Inflation_Year,Inflation_NominaltoReal),TRUE,_xlfn.XLOOKUP($FY240,Inflation_Year,NominaltoReal)))</f>
        <v>0.88896817650095872</v>
      </c>
      <c r="GF240" s="146" cm="1">
        <f t="array" ref="GF240">IF($FY240=0,0,_xlfn.IFS($FY240='Key assumptions'!$C$120,_xlfn.XLOOKUP(LEFT(GF$7,6),Inflation_Year,Inflation_NominaltoReal),TRUE,_xlfn.XLOOKUP($FY240,Inflation_Year,NominaltoReal)))</f>
        <v>0.86601934877293718</v>
      </c>
      <c r="GG240" s="143"/>
      <c r="GH240" s="145" cm="1">
        <f t="array" ref="GH240">SUMPRODUCT(--($CR$7:$FW$7&gt;=GH$5),--($CR$7:$FW$7&lt;=GH$6),$CR240:$FW240)*FZ240</f>
        <v>0</v>
      </c>
      <c r="GI240" s="145" cm="1">
        <f t="array" ref="GI240">SUMPRODUCT(--($CR$7:$FW$7&gt;=GI$5),--($CR$7:$FW$7&lt;=GI$6),$CR240:$FW240)*GA240</f>
        <v>16710.737026719427</v>
      </c>
      <c r="GJ240" s="145" cm="1">
        <f t="array" ref="GJ240">SUMPRODUCT(--($CR$7:$FW$7&gt;=GJ$5),--($CR$7:$FW$7&lt;=GJ$6),$CR240:$FW240)*GB240</f>
        <v>21424.773598858257</v>
      </c>
      <c r="GK240" s="145" cm="1">
        <f t="array" ref="GK240">SUMPRODUCT(--($CR$7:$FW$7&gt;=GK$5),--($CR$7:$FW$7&lt;=GK$6),$CR240:$FW240)*GC240</f>
        <v>25046.028377827985</v>
      </c>
      <c r="GL240" s="145" cm="1">
        <f t="array" ref="GL240">SUMPRODUCT(--($CR$7:$FW$7&gt;=GL$5),--($CR$7:$FW$7&lt;=GL$6),$CR240:$FW240)*GD240</f>
        <v>0</v>
      </c>
      <c r="GM240" s="145" cm="1">
        <f t="array" ref="GM240">SUMPRODUCT(--($CR$7:$FW$7&gt;=GM$5),--($CR$7:$FW$7&lt;=GM$6),$CR240:$FW240)*GE240</f>
        <v>0</v>
      </c>
      <c r="GN240" s="145" cm="1">
        <f t="array" ref="GN240">SUMPRODUCT(--($CR$7:$FW$7&gt;=GN$5),--($CR$7:$FW$7&lt;=GN$6),$CR240:$FW240)*GF240</f>
        <v>0</v>
      </c>
      <c r="GO240" s="145">
        <f t="shared" si="69"/>
        <v>63181.539003405669</v>
      </c>
      <c r="GP240" s="87"/>
      <c r="GR240" s="145" cm="1">
        <f t="array" ref="GR240">SUMPRODUCT(--($CR$7:$FW$7&gt;=GR$5),--($CR$7:$FW$7&lt;=GR$6),$CR240:$FW240)</f>
        <v>0</v>
      </c>
      <c r="GT240" s="214" cm="1">
        <f t="array" ref="GT240">--AND(MIN(IF($K240:$CP240&lt;&gt;0,$K$7:$CP$7))&gt;=GT$5,MIN(IF($K240:$CP240&lt;&gt;0,$K$7:$CP$7))&lt;=GT$6)</f>
        <v>0</v>
      </c>
      <c r="GU240" s="214" cm="1">
        <f t="array" ref="GU240">--AND(MIN(IF($K240:$CP240&lt;&gt;0,$K$7:$CP$7))&gt;=GU$5,MIN(IF($K240:$CP240&lt;&gt;0,$K$7:$CP$7))&lt;=GU$6)</f>
        <v>1</v>
      </c>
      <c r="GV240" s="214" cm="1">
        <f t="array" ref="GV240">--AND(MIN(IF($K240:$CP240&lt;&gt;0,$K$7:$CP$7))&gt;=GV$5,MIN(IF($K240:$CP240&lt;&gt;0,$K$7:$CP$7))&lt;=GV$6)</f>
        <v>0</v>
      </c>
      <c r="GW240" s="214" cm="1">
        <f t="array" ref="GW240">--AND(MIN(IF($K240:$CP240&lt;&gt;0,$K$7:$CP$7))&gt;=GW$5,MIN(IF($K240:$CP240&lt;&gt;0,$K$7:$CP$7))&lt;=GW$6)</f>
        <v>0</v>
      </c>
      <c r="GX240" s="214" cm="1">
        <f t="array" ref="GX240">--AND(MIN(IF($K240:$CP240&lt;&gt;0,$K$7:$CP$7))&gt;=GX$5,MIN(IF($K240:$CP240&lt;&gt;0,$K$7:$CP$7))&lt;=GX$6)</f>
        <v>0</v>
      </c>
      <c r="GY240" s="214" cm="1">
        <f t="array" ref="GY240">--AND(MIN(IF($K240:$CP240&lt;&gt;0,$K$7:$CP$7))&gt;=GY$5,MIN(IF($K240:$CP240&lt;&gt;0,$K$7:$CP$7))&lt;=GY$6)</f>
        <v>0</v>
      </c>
      <c r="GZ240" s="214" cm="1">
        <f t="array" ref="GZ240">--AND(MIN(IF($K240:$CP240&lt;&gt;0,$K$7:$CP$7))&gt;=GZ$5,MIN(IF($K240:$CP240&lt;&gt;0,$K$7:$CP$7))&lt;=GZ$6)</f>
        <v>0</v>
      </c>
      <c r="HA240" s="214">
        <f t="shared" si="70"/>
        <v>1</v>
      </c>
      <c r="HC240" s="214" cm="1">
        <f t="array" ref="HC240">--AND(MIN(IF($K240:$CP240&lt;&gt;0,$K$7:$CP$7))&gt;=HC$5,MIN(IF($K240:$CP240&lt;&gt;0,$K$7:$CP$7))&lt;=HC$6)</f>
        <v>0</v>
      </c>
      <c r="HE240" s="147" t="str">
        <f t="shared" si="89"/>
        <v>No</v>
      </c>
      <c r="HF240" s="147" t="str">
        <f t="shared" si="90"/>
        <v>Yes</v>
      </c>
      <c r="HG240" s="147">
        <f>IF($HF240="Yes",0,$H240*avg_hrs*12*'Key assumptions'!$D$87)</f>
        <v>0</v>
      </c>
      <c r="HH240" s="147">
        <f>IF(HE240="Yes",'Key assumptions'!$D$84*HG240,0)</f>
        <v>0</v>
      </c>
      <c r="HI240" s="144">
        <f>IFERROR(AVERAGEIFS($K240:$CP240,$K$7:$CP$7,"&gt;="&amp;'Key assumptions'!$D$24,$K$7:$CP$7,"&lt;="&amp;'Key assumptions'!$D$25),0)</f>
        <v>2.4350649350649348E-2</v>
      </c>
      <c r="HJ240" s="148">
        <f t="shared" si="91"/>
        <v>0</v>
      </c>
      <c r="HK240" s="148">
        <f t="shared" si="72"/>
        <v>0</v>
      </c>
      <c r="HL240" s="148">
        <f t="shared" si="73"/>
        <v>0</v>
      </c>
      <c r="HM240" s="148">
        <f t="shared" si="74"/>
        <v>0</v>
      </c>
      <c r="HN240" s="148">
        <f t="shared" si="75"/>
        <v>0</v>
      </c>
      <c r="HO240" s="148">
        <f t="shared" si="76"/>
        <v>0</v>
      </c>
      <c r="HP240" s="148">
        <f t="shared" si="77"/>
        <v>0</v>
      </c>
      <c r="HQ240" s="148">
        <f t="shared" si="78"/>
        <v>0</v>
      </c>
      <c r="HR240" s="147">
        <f t="shared" si="79"/>
        <v>0</v>
      </c>
      <c r="HU240" s="147">
        <f>$HJ240*HC240/(1+'Key assumptions'!G262)^0.75</f>
        <v>0</v>
      </c>
      <c r="HW240" s="216">
        <f t="shared" si="80"/>
        <v>0</v>
      </c>
      <c r="HX240" s="216">
        <f t="shared" si="81"/>
        <v>2.4350649350649348E-2</v>
      </c>
      <c r="HY240" s="216">
        <f t="shared" si="82"/>
        <v>0</v>
      </c>
      <c r="HZ240" s="216">
        <f t="shared" si="83"/>
        <v>0</v>
      </c>
      <c r="IA240" s="216">
        <f t="shared" si="84"/>
        <v>0</v>
      </c>
      <c r="IB240" s="216">
        <f t="shared" si="85"/>
        <v>0</v>
      </c>
      <c r="IC240" s="216">
        <f t="shared" si="86"/>
        <v>0</v>
      </c>
      <c r="ID240" s="216">
        <f t="shared" si="87"/>
        <v>2.4350649350649348E-2</v>
      </c>
      <c r="IF240" s="216">
        <f t="shared" si="88"/>
        <v>0</v>
      </c>
    </row>
    <row r="241" spans="2:240" x14ac:dyDescent="0.2">
      <c r="B241" s="141" t="str">
        <v>Project Delivery Management - Commissioning</v>
      </c>
      <c r="C241" s="141" t="str">
        <v>Control Technician (Construction)</v>
      </c>
      <c r="D241" s="141" t="str">
        <v>Internal Labour</v>
      </c>
      <c r="E241" s="141" t="str">
        <v>$ Nominal</v>
      </c>
      <c r="F241" s="141" t="str">
        <v>Existing</v>
      </c>
      <c r="G241" s="141" t="str">
        <v>Normal time</v>
      </c>
      <c r="H241" s="142">
        <v>221.91</v>
      </c>
      <c r="I241" s="126">
        <v>331631.44</v>
      </c>
      <c r="J241" s="143">
        <v>0</v>
      </c>
      <c r="K241" s="144">
        <v>0</v>
      </c>
      <c r="L241" s="144">
        <v>0</v>
      </c>
      <c r="M241" s="144">
        <v>0</v>
      </c>
      <c r="N241" s="144">
        <v>0</v>
      </c>
      <c r="O241" s="144">
        <v>0</v>
      </c>
      <c r="P241" s="144">
        <v>0</v>
      </c>
      <c r="Q241" s="144">
        <v>0</v>
      </c>
      <c r="R241" s="144">
        <v>0</v>
      </c>
      <c r="S241" s="144">
        <v>0</v>
      </c>
      <c r="T241" s="144">
        <v>0</v>
      </c>
      <c r="U241" s="144">
        <v>0</v>
      </c>
      <c r="V241" s="144">
        <v>0</v>
      </c>
      <c r="W241" s="144">
        <v>0</v>
      </c>
      <c r="X241" s="144">
        <v>0</v>
      </c>
      <c r="Y241" s="144">
        <v>0</v>
      </c>
      <c r="Z241" s="144">
        <v>0</v>
      </c>
      <c r="AA241" s="144">
        <v>0</v>
      </c>
      <c r="AB241" s="144">
        <v>0</v>
      </c>
      <c r="AC241" s="144">
        <v>0</v>
      </c>
      <c r="AD241" s="144">
        <v>0</v>
      </c>
      <c r="AE241" s="144">
        <v>0</v>
      </c>
      <c r="AF241" s="144">
        <v>0</v>
      </c>
      <c r="AG241" s="144">
        <v>0</v>
      </c>
      <c r="AH241" s="144">
        <v>0</v>
      </c>
      <c r="AI241" s="144">
        <v>0</v>
      </c>
      <c r="AJ241" s="144">
        <v>0.5</v>
      </c>
      <c r="AK241" s="144">
        <v>0.5</v>
      </c>
      <c r="AL241" s="144">
        <v>1.5333333333333334</v>
      </c>
      <c r="AM241" s="144">
        <v>0.96710526315789469</v>
      </c>
      <c r="AN241" s="144">
        <v>0.92105263157894735</v>
      </c>
      <c r="AO241" s="144">
        <v>0</v>
      </c>
      <c r="AP241" s="144">
        <v>0</v>
      </c>
      <c r="AQ241" s="144">
        <v>0</v>
      </c>
      <c r="AR241" s="144">
        <v>0</v>
      </c>
      <c r="AS241" s="144">
        <v>0</v>
      </c>
      <c r="AT241" s="144">
        <v>0</v>
      </c>
      <c r="AU241" s="144">
        <v>0</v>
      </c>
      <c r="AV241" s="144">
        <v>0</v>
      </c>
      <c r="AW241" s="144">
        <v>0</v>
      </c>
      <c r="AX241" s="144">
        <v>0</v>
      </c>
      <c r="AY241" s="144">
        <v>0</v>
      </c>
      <c r="AZ241" s="144">
        <v>0</v>
      </c>
      <c r="BA241" s="144">
        <v>1.6</v>
      </c>
      <c r="BB241" s="144">
        <v>1.1000000000000001</v>
      </c>
      <c r="BC241" s="144">
        <v>1.05</v>
      </c>
      <c r="BD241" s="144">
        <v>1.1000000000000001</v>
      </c>
      <c r="BE241" s="144">
        <v>1.1499999999999999</v>
      </c>
      <c r="BF241" s="144">
        <v>0</v>
      </c>
      <c r="BG241" s="144">
        <v>0</v>
      </c>
      <c r="BH241" s="144">
        <v>0</v>
      </c>
      <c r="BI241" s="144">
        <v>0</v>
      </c>
      <c r="BJ241" s="144">
        <v>0</v>
      </c>
      <c r="BK241" s="144">
        <v>0</v>
      </c>
      <c r="BL241" s="144">
        <v>0</v>
      </c>
      <c r="BM241" s="144">
        <v>0</v>
      </c>
      <c r="BN241" s="144">
        <v>0</v>
      </c>
      <c r="BO241" s="144">
        <v>0</v>
      </c>
      <c r="BP241" s="144">
        <v>0</v>
      </c>
      <c r="BQ241" s="144">
        <v>0</v>
      </c>
      <c r="BR241" s="144">
        <v>0</v>
      </c>
      <c r="BS241" s="144">
        <v>0</v>
      </c>
      <c r="BT241" s="144">
        <v>0</v>
      </c>
      <c r="BU241" s="144">
        <v>0</v>
      </c>
      <c r="BV241" s="144">
        <v>0</v>
      </c>
      <c r="BW241" s="144">
        <v>0</v>
      </c>
      <c r="BX241" s="144">
        <v>0</v>
      </c>
      <c r="BY241" s="144">
        <v>0</v>
      </c>
      <c r="BZ241" s="144">
        <v>0</v>
      </c>
      <c r="CA241" s="144">
        <v>0</v>
      </c>
      <c r="CB241" s="144">
        <v>0</v>
      </c>
      <c r="CC241" s="144">
        <v>0</v>
      </c>
      <c r="CD241" s="144">
        <v>0</v>
      </c>
      <c r="CE241" s="144">
        <v>0</v>
      </c>
      <c r="CF241" s="144">
        <v>0</v>
      </c>
      <c r="CG241" s="144">
        <v>0</v>
      </c>
      <c r="CH241" s="144">
        <v>0</v>
      </c>
      <c r="CI241" s="144">
        <v>0</v>
      </c>
      <c r="CJ241" s="144">
        <v>0</v>
      </c>
      <c r="CK241" s="144">
        <v>0</v>
      </c>
      <c r="CL241" s="144">
        <v>0</v>
      </c>
      <c r="CM241" s="144">
        <v>0</v>
      </c>
      <c r="CN241" s="144">
        <v>0</v>
      </c>
      <c r="CO241" s="144">
        <v>0</v>
      </c>
      <c r="CP241" s="144">
        <v>0</v>
      </c>
      <c r="CQ241" s="143">
        <v>0</v>
      </c>
      <c r="CR241" s="145">
        <v>0</v>
      </c>
      <c r="CS241" s="145">
        <v>0</v>
      </c>
      <c r="CT241" s="145">
        <v>0</v>
      </c>
      <c r="CU241" s="145">
        <v>0</v>
      </c>
      <c r="CV241" s="145">
        <v>0</v>
      </c>
      <c r="CW241" s="145">
        <v>0</v>
      </c>
      <c r="CX241" s="145">
        <v>0</v>
      </c>
      <c r="CY241" s="145">
        <v>0</v>
      </c>
      <c r="CZ241" s="145">
        <v>0</v>
      </c>
      <c r="DA241" s="145">
        <v>0</v>
      </c>
      <c r="DB241" s="145">
        <v>0</v>
      </c>
      <c r="DC241" s="145">
        <v>0</v>
      </c>
      <c r="DD241" s="145">
        <v>0</v>
      </c>
      <c r="DE241" s="145">
        <v>0</v>
      </c>
      <c r="DF241" s="145">
        <v>0</v>
      </c>
      <c r="DG241" s="145">
        <v>0</v>
      </c>
      <c r="DH241" s="145">
        <v>0</v>
      </c>
      <c r="DI241" s="145">
        <v>0</v>
      </c>
      <c r="DJ241" s="145">
        <v>0</v>
      </c>
      <c r="DK241" s="145">
        <v>0</v>
      </c>
      <c r="DL241" s="145">
        <v>0</v>
      </c>
      <c r="DM241" s="145">
        <v>0</v>
      </c>
      <c r="DN241" s="145">
        <v>0</v>
      </c>
      <c r="DO241" s="145">
        <v>0</v>
      </c>
      <c r="DP241" s="145">
        <v>0</v>
      </c>
      <c r="DQ241" s="145">
        <v>15533.699999999999</v>
      </c>
      <c r="DR241" s="145">
        <v>15997.1</v>
      </c>
      <c r="DS241" s="145">
        <v>36793.33</v>
      </c>
      <c r="DT241" s="145">
        <v>33593.910000000003</v>
      </c>
      <c r="DU241" s="145">
        <v>31994.2</v>
      </c>
      <c r="DV241" s="145">
        <v>0</v>
      </c>
      <c r="DW241" s="145">
        <v>0</v>
      </c>
      <c r="DX241" s="145">
        <v>0</v>
      </c>
      <c r="DY241" s="145">
        <v>0</v>
      </c>
      <c r="DZ241" s="145">
        <v>0</v>
      </c>
      <c r="EA241" s="145">
        <v>0</v>
      </c>
      <c r="EB241" s="145">
        <v>0</v>
      </c>
      <c r="EC241" s="145">
        <v>0</v>
      </c>
      <c r="ED241" s="145">
        <v>0</v>
      </c>
      <c r="EE241" s="145">
        <v>0</v>
      </c>
      <c r="EF241" s="145">
        <v>0</v>
      </c>
      <c r="EG241" s="145">
        <v>0</v>
      </c>
      <c r="EH241" s="145">
        <v>52725.119999999995</v>
      </c>
      <c r="EI241" s="145">
        <v>36248.519999999997</v>
      </c>
      <c r="EJ241" s="145">
        <v>34600.86</v>
      </c>
      <c r="EK241" s="145">
        <v>36248.519999999997</v>
      </c>
      <c r="EL241" s="145">
        <v>37896.18</v>
      </c>
      <c r="EM241" s="145">
        <v>0</v>
      </c>
      <c r="EN241" s="145">
        <v>0</v>
      </c>
      <c r="EO241" s="145">
        <v>0</v>
      </c>
      <c r="EP241" s="145">
        <v>0</v>
      </c>
      <c r="EQ241" s="145">
        <v>0</v>
      </c>
      <c r="ER241" s="145">
        <v>0</v>
      </c>
      <c r="ES241" s="145">
        <v>0</v>
      </c>
      <c r="ET241" s="145">
        <v>0</v>
      </c>
      <c r="EU241" s="145">
        <v>0</v>
      </c>
      <c r="EV241" s="145">
        <v>0</v>
      </c>
      <c r="EW241" s="145">
        <v>0</v>
      </c>
      <c r="EX241" s="145">
        <v>0</v>
      </c>
      <c r="EY241" s="145">
        <v>0</v>
      </c>
      <c r="EZ241" s="145">
        <v>0</v>
      </c>
      <c r="FA241" s="145">
        <v>0</v>
      </c>
      <c r="FB241" s="145">
        <v>0</v>
      </c>
      <c r="FC241" s="145">
        <v>0</v>
      </c>
      <c r="FD241" s="145">
        <v>0</v>
      </c>
      <c r="FE241" s="145">
        <v>0</v>
      </c>
      <c r="FF241" s="145">
        <v>0</v>
      </c>
      <c r="FG241" s="145">
        <v>0</v>
      </c>
      <c r="FH241" s="145">
        <v>0</v>
      </c>
      <c r="FI241" s="145">
        <v>0</v>
      </c>
      <c r="FJ241" s="145">
        <v>0</v>
      </c>
      <c r="FK241" s="145">
        <v>0</v>
      </c>
      <c r="FL241" s="145">
        <v>0</v>
      </c>
      <c r="FM241" s="145">
        <v>0</v>
      </c>
      <c r="FN241" s="145">
        <v>0</v>
      </c>
      <c r="FO241" s="145">
        <v>0</v>
      </c>
      <c r="FP241" s="145">
        <v>0</v>
      </c>
      <c r="FQ241" s="145">
        <v>0</v>
      </c>
      <c r="FR241" s="145">
        <v>0</v>
      </c>
      <c r="FS241" s="145">
        <v>0</v>
      </c>
      <c r="FT241" s="145">
        <v>0</v>
      </c>
      <c r="FU241" s="145">
        <v>0</v>
      </c>
      <c r="FV241" s="145">
        <v>0</v>
      </c>
      <c r="FW241" s="145">
        <v>0</v>
      </c>
      <c r="FX241" s="143"/>
      <c r="FY241" s="146" t="str">
        <f>_xlfn.XLOOKUP($E241,'Key assumptions'!$B$112:$B$120,'Key assumptions'!$C$112:$C$120,0)</f>
        <v>Nominal</v>
      </c>
      <c r="FZ241" s="146" cm="1">
        <f t="array" ref="FZ241">IF($FY241=0,0,_xlfn.IFS($FY241='Key assumptions'!$C$120,_xlfn.XLOOKUP(LEFT(FZ$7,6),Inflation_Year,Inflation_NominaltoReal),TRUE,_xlfn.XLOOKUP($FY241,Inflation_Year,NominaltoReal)))</f>
        <v>1.0197075870962191</v>
      </c>
      <c r="GA241" s="146" cm="1">
        <f t="array" ref="GA241">IF($FY241=0,0,_xlfn.IFS($FY241='Key assumptions'!$C$120,_xlfn.XLOOKUP(LEFT(GA$7,6),Inflation_Year,Inflation_NominaltoReal),TRUE,_xlfn.XLOOKUP($FY241,Inflation_Year,NominaltoReal)))</f>
        <v>0.98700804022984445</v>
      </c>
      <c r="GB241" s="146" cm="1">
        <f t="array" ref="GB241">IF($FY241=0,0,_xlfn.IFS($FY241='Key assumptions'!$C$120,_xlfn.XLOOKUP(LEFT(GB$7,6),Inflation_Year,Inflation_NominaltoReal),TRUE,_xlfn.XLOOKUP($FY241,Inflation_Year,NominaltoReal)))</f>
        <v>0.96152830081941731</v>
      </c>
      <c r="GC241" s="146" cm="1">
        <f t="array" ref="GC241">IF($FY241=0,0,_xlfn.IFS($FY241='Key assumptions'!$C$120,_xlfn.XLOOKUP(LEFT(GC$7,6),Inflation_Year,Inflation_NominaltoReal),TRUE,_xlfn.XLOOKUP($FY241,Inflation_Year,NominaltoReal)))</f>
        <v>0.93670632415656829</v>
      </c>
      <c r="GD241" s="146" cm="1">
        <f t="array" ref="GD241">IF($FY241=0,0,_xlfn.IFS($FY241='Key assumptions'!$C$120,_xlfn.XLOOKUP(LEFT(GD$7,6),Inflation_Year,Inflation_NominaltoReal),TRUE,_xlfn.XLOOKUP($FY241,Inflation_Year,NominaltoReal)))</f>
        <v>0.91252513001143176</v>
      </c>
      <c r="GE241" s="146" cm="1">
        <f t="array" ref="GE241">IF($FY241=0,0,_xlfn.IFS($FY241='Key assumptions'!$C$120,_xlfn.XLOOKUP(LEFT(GE$7,6),Inflation_Year,Inflation_NominaltoReal),TRUE,_xlfn.XLOOKUP($FY241,Inflation_Year,NominaltoReal)))</f>
        <v>0.88896817650095872</v>
      </c>
      <c r="GF241" s="146" cm="1">
        <f t="array" ref="GF241">IF($FY241=0,0,_xlfn.IFS($FY241='Key assumptions'!$C$120,_xlfn.XLOOKUP(LEFT(GF$7,6),Inflation_Year,Inflation_NominaltoReal),TRUE,_xlfn.XLOOKUP($FY241,Inflation_Year,NominaltoReal)))</f>
        <v>0.86601934877293718</v>
      </c>
      <c r="GG241" s="143"/>
      <c r="GH241" s="145" cm="1">
        <f t="array" ref="GH241">SUMPRODUCT(--($CR$7:$FW$7&gt;=GH$5),--($CR$7:$FW$7&lt;=GH$6),$CR241:$FW241)*FZ241</f>
        <v>0</v>
      </c>
      <c r="GI241" s="145" cm="1">
        <f t="array" ref="GI241">SUMPRODUCT(--($CR$7:$FW$7&gt;=GI$5),--($CR$7:$FW$7&lt;=GI$6),$CR241:$FW241)*GA241</f>
        <v>132172.45756518861</v>
      </c>
      <c r="GJ241" s="145" cm="1">
        <f t="array" ref="GJ241">SUMPRODUCT(--($CR$7:$FW$7&gt;=GJ$5),--($CR$7:$FW$7&lt;=GJ$6),$CR241:$FW241)*GB241</f>
        <v>118820.37900960907</v>
      </c>
      <c r="GK241" s="145" cm="1">
        <f t="array" ref="GK241">SUMPRODUCT(--($CR$7:$FW$7&gt;=GK$5),--($CR$7:$FW$7&lt;=GK$6),$CR241:$FW241)*GC241</f>
        <v>69451.809392691503</v>
      </c>
      <c r="GL241" s="145" cm="1">
        <f t="array" ref="GL241">SUMPRODUCT(--($CR$7:$FW$7&gt;=GL$5),--($CR$7:$FW$7&lt;=GL$6),$CR241:$FW241)*GD241</f>
        <v>0</v>
      </c>
      <c r="GM241" s="145" cm="1">
        <f t="array" ref="GM241">SUMPRODUCT(--($CR$7:$FW$7&gt;=GM$5),--($CR$7:$FW$7&lt;=GM$6),$CR241:$FW241)*GE241</f>
        <v>0</v>
      </c>
      <c r="GN241" s="145" cm="1">
        <f t="array" ref="GN241">SUMPRODUCT(--($CR$7:$FW$7&gt;=GN$5),--($CR$7:$FW$7&lt;=GN$6),$CR241:$FW241)*GF241</f>
        <v>0</v>
      </c>
      <c r="GO241" s="145">
        <f t="shared" si="69"/>
        <v>320444.64596748922</v>
      </c>
      <c r="GP241" s="87"/>
      <c r="GR241" s="145" cm="1">
        <f t="array" ref="GR241">SUMPRODUCT(--($CR$7:$FW$7&gt;=GR$5),--($CR$7:$FW$7&lt;=GR$6),$CR241:$FW241)</f>
        <v>0</v>
      </c>
      <c r="GT241" s="214" cm="1">
        <f t="array" ref="GT241">--AND(MIN(IF($K241:$CP241&lt;&gt;0,$K$7:$CP$7))&gt;=GT$5,MIN(IF($K241:$CP241&lt;&gt;0,$K$7:$CP$7))&lt;=GT$6)</f>
        <v>0</v>
      </c>
      <c r="GU241" s="214" cm="1">
        <f t="array" ref="GU241">--AND(MIN(IF($K241:$CP241&lt;&gt;0,$K$7:$CP$7))&gt;=GU$5,MIN(IF($K241:$CP241&lt;&gt;0,$K$7:$CP$7))&lt;=GU$6)</f>
        <v>1</v>
      </c>
      <c r="GV241" s="214" cm="1">
        <f t="array" ref="GV241">--AND(MIN(IF($K241:$CP241&lt;&gt;0,$K$7:$CP$7))&gt;=GV$5,MIN(IF($K241:$CP241&lt;&gt;0,$K$7:$CP$7))&lt;=GV$6)</f>
        <v>0</v>
      </c>
      <c r="GW241" s="214" cm="1">
        <f t="array" ref="GW241">--AND(MIN(IF($K241:$CP241&lt;&gt;0,$K$7:$CP$7))&gt;=GW$5,MIN(IF($K241:$CP241&lt;&gt;0,$K$7:$CP$7))&lt;=GW$6)</f>
        <v>0</v>
      </c>
      <c r="GX241" s="214" cm="1">
        <f t="array" ref="GX241">--AND(MIN(IF($K241:$CP241&lt;&gt;0,$K$7:$CP$7))&gt;=GX$5,MIN(IF($K241:$CP241&lt;&gt;0,$K$7:$CP$7))&lt;=GX$6)</f>
        <v>0</v>
      </c>
      <c r="GY241" s="214" cm="1">
        <f t="array" ref="GY241">--AND(MIN(IF($K241:$CP241&lt;&gt;0,$K$7:$CP$7))&gt;=GY$5,MIN(IF($K241:$CP241&lt;&gt;0,$K$7:$CP$7))&lt;=GY$6)</f>
        <v>0</v>
      </c>
      <c r="GZ241" s="214" cm="1">
        <f t="array" ref="GZ241">--AND(MIN(IF($K241:$CP241&lt;&gt;0,$K$7:$CP$7))&gt;=GZ$5,MIN(IF($K241:$CP241&lt;&gt;0,$K$7:$CP$7))&lt;=GZ$6)</f>
        <v>0</v>
      </c>
      <c r="HA241" s="214">
        <f t="shared" si="70"/>
        <v>1</v>
      </c>
      <c r="HC241" s="214" cm="1">
        <f t="array" ref="HC241">--AND(MIN(IF($K241:$CP241&lt;&gt;0,$K$7:$CP$7))&gt;=HC$5,MIN(IF($K241:$CP241&lt;&gt;0,$K$7:$CP$7))&lt;=HC$6)</f>
        <v>0</v>
      </c>
      <c r="HE241" s="147" t="str">
        <f t="shared" si="89"/>
        <v>No</v>
      </c>
      <c r="HF241" s="147" t="str">
        <f t="shared" si="90"/>
        <v>No</v>
      </c>
      <c r="HG241" s="147">
        <f>IF($HF241="Yes",0,$H241*avg_hrs*12*'Key assumptions'!$D$87)</f>
        <v>396834.77589855355</v>
      </c>
      <c r="HH241" s="147">
        <f>IF(HE241="Yes",'Key assumptions'!$D$84*HG241,0)</f>
        <v>0</v>
      </c>
      <c r="HI241" s="144">
        <f>IFERROR(AVERAGEIFS($K241:$CP241,$K$7:$CP$7,"&gt;="&amp;'Key assumptions'!$D$24,$K$7:$CP$7,"&lt;="&amp;'Key assumptions'!$D$25),0)</f>
        <v>0.23685207336523126</v>
      </c>
      <c r="HJ241" s="148">
        <f t="shared" si="91"/>
        <v>0</v>
      </c>
      <c r="HK241" s="148">
        <f t="shared" si="72"/>
        <v>0</v>
      </c>
      <c r="HL241" s="148">
        <f t="shared" si="73"/>
        <v>0</v>
      </c>
      <c r="HM241" s="148">
        <f t="shared" si="74"/>
        <v>0</v>
      </c>
      <c r="HN241" s="148">
        <f t="shared" si="75"/>
        <v>0</v>
      </c>
      <c r="HO241" s="148">
        <f t="shared" si="76"/>
        <v>0</v>
      </c>
      <c r="HP241" s="148">
        <f t="shared" si="77"/>
        <v>0</v>
      </c>
      <c r="HQ241" s="148">
        <f t="shared" si="78"/>
        <v>0</v>
      </c>
      <c r="HR241" s="147">
        <f t="shared" si="79"/>
        <v>0</v>
      </c>
      <c r="HU241" s="147">
        <f>$HJ241*HC241/(1+'Key assumptions'!G263)^0.75</f>
        <v>0</v>
      </c>
      <c r="HW241" s="216">
        <f t="shared" si="80"/>
        <v>0</v>
      </c>
      <c r="HX241" s="216">
        <f t="shared" si="81"/>
        <v>0.23685207336523126</v>
      </c>
      <c r="HY241" s="216">
        <f t="shared" si="82"/>
        <v>0</v>
      </c>
      <c r="HZ241" s="216">
        <f t="shared" si="83"/>
        <v>0</v>
      </c>
      <c r="IA241" s="216">
        <f t="shared" si="84"/>
        <v>0</v>
      </c>
      <c r="IB241" s="216">
        <f t="shared" si="85"/>
        <v>0</v>
      </c>
      <c r="IC241" s="216">
        <f t="shared" si="86"/>
        <v>0</v>
      </c>
      <c r="ID241" s="216">
        <f t="shared" si="87"/>
        <v>0.23685207336523126</v>
      </c>
      <c r="IF241" s="216">
        <f t="shared" si="88"/>
        <v>0</v>
      </c>
    </row>
    <row r="242" spans="2:240" x14ac:dyDescent="0.2">
      <c r="B242" s="141" t="str">
        <v>Project Delivery Management - Commissioning</v>
      </c>
      <c r="C242" s="141" t="str">
        <v>Control Technician (Construction)</v>
      </c>
      <c r="D242" s="141" t="str">
        <v>Internal Labour</v>
      </c>
      <c r="E242" s="141" t="str">
        <v>$ Nominal</v>
      </c>
      <c r="F242" s="141">
        <v>0</v>
      </c>
      <c r="G242" s="141" t="str">
        <v>Overtime</v>
      </c>
      <c r="H242" s="142">
        <v>221.91</v>
      </c>
      <c r="I242" s="126">
        <v>227395.4</v>
      </c>
      <c r="J242" s="143">
        <v>0</v>
      </c>
      <c r="K242" s="144">
        <v>0</v>
      </c>
      <c r="L242" s="144">
        <v>0</v>
      </c>
      <c r="M242" s="144">
        <v>0</v>
      </c>
      <c r="N242" s="144">
        <v>0</v>
      </c>
      <c r="O242" s="144">
        <v>0</v>
      </c>
      <c r="P242" s="144">
        <v>0</v>
      </c>
      <c r="Q242" s="144">
        <v>0</v>
      </c>
      <c r="R242" s="144">
        <v>0</v>
      </c>
      <c r="S242" s="144">
        <v>0</v>
      </c>
      <c r="T242" s="144">
        <v>0</v>
      </c>
      <c r="U242" s="144">
        <v>0</v>
      </c>
      <c r="V242" s="144">
        <v>0</v>
      </c>
      <c r="W242" s="144">
        <v>0</v>
      </c>
      <c r="X242" s="144">
        <v>0</v>
      </c>
      <c r="Y242" s="144">
        <v>0</v>
      </c>
      <c r="Z242" s="144">
        <v>0</v>
      </c>
      <c r="AA242" s="144">
        <v>0</v>
      </c>
      <c r="AB242" s="144">
        <v>0</v>
      </c>
      <c r="AC242" s="144">
        <v>0</v>
      </c>
      <c r="AD242" s="144">
        <v>0</v>
      </c>
      <c r="AE242" s="144">
        <v>0</v>
      </c>
      <c r="AF242" s="144">
        <v>0</v>
      </c>
      <c r="AG242" s="144">
        <v>0</v>
      </c>
      <c r="AH242" s="144">
        <v>0</v>
      </c>
      <c r="AI242" s="144">
        <v>0</v>
      </c>
      <c r="AJ242" s="144">
        <v>0.21428571428571427</v>
      </c>
      <c r="AK242" s="144">
        <v>0.21428571428571427</v>
      </c>
      <c r="AL242" s="144">
        <v>0.47619047619047616</v>
      </c>
      <c r="AM242" s="144">
        <v>0.32894736842105265</v>
      </c>
      <c r="AN242" s="144">
        <v>0.32894736842105265</v>
      </c>
      <c r="AO242" s="144">
        <v>0</v>
      </c>
      <c r="AP242" s="144">
        <v>0</v>
      </c>
      <c r="AQ242" s="144">
        <v>0</v>
      </c>
      <c r="AR242" s="144">
        <v>0</v>
      </c>
      <c r="AS242" s="144">
        <v>0</v>
      </c>
      <c r="AT242" s="144">
        <v>0</v>
      </c>
      <c r="AU242" s="144">
        <v>0</v>
      </c>
      <c r="AV242" s="144">
        <v>0</v>
      </c>
      <c r="AW242" s="144">
        <v>0</v>
      </c>
      <c r="AX242" s="144">
        <v>0</v>
      </c>
      <c r="AY242" s="144">
        <v>0</v>
      </c>
      <c r="AZ242" s="144">
        <v>0</v>
      </c>
      <c r="BA242" s="144">
        <v>0.5714285714285714</v>
      </c>
      <c r="BB242" s="144">
        <v>0.35714285714285715</v>
      </c>
      <c r="BC242" s="144">
        <v>0.35714285714285715</v>
      </c>
      <c r="BD242" s="144">
        <v>0.35714285714285715</v>
      </c>
      <c r="BE242" s="144">
        <v>0.35714285714285715</v>
      </c>
      <c r="BF242" s="144">
        <v>0</v>
      </c>
      <c r="BG242" s="144">
        <v>0</v>
      </c>
      <c r="BH242" s="144">
        <v>0</v>
      </c>
      <c r="BI242" s="144">
        <v>0</v>
      </c>
      <c r="BJ242" s="144">
        <v>0</v>
      </c>
      <c r="BK242" s="144">
        <v>0</v>
      </c>
      <c r="BL242" s="144">
        <v>0</v>
      </c>
      <c r="BM242" s="144">
        <v>0</v>
      </c>
      <c r="BN242" s="144">
        <v>0</v>
      </c>
      <c r="BO242" s="144">
        <v>0</v>
      </c>
      <c r="BP242" s="144">
        <v>0</v>
      </c>
      <c r="BQ242" s="144">
        <v>0</v>
      </c>
      <c r="BR242" s="144">
        <v>0</v>
      </c>
      <c r="BS242" s="144">
        <v>0</v>
      </c>
      <c r="BT242" s="144">
        <v>0</v>
      </c>
      <c r="BU242" s="144">
        <v>0</v>
      </c>
      <c r="BV242" s="144">
        <v>0</v>
      </c>
      <c r="BW242" s="144">
        <v>0</v>
      </c>
      <c r="BX242" s="144">
        <v>0</v>
      </c>
      <c r="BY242" s="144">
        <v>0</v>
      </c>
      <c r="BZ242" s="144">
        <v>0</v>
      </c>
      <c r="CA242" s="144">
        <v>0</v>
      </c>
      <c r="CB242" s="144">
        <v>0</v>
      </c>
      <c r="CC242" s="144">
        <v>0</v>
      </c>
      <c r="CD242" s="144">
        <v>0</v>
      </c>
      <c r="CE242" s="144">
        <v>0</v>
      </c>
      <c r="CF242" s="144">
        <v>0</v>
      </c>
      <c r="CG242" s="144">
        <v>0</v>
      </c>
      <c r="CH242" s="144">
        <v>0</v>
      </c>
      <c r="CI242" s="144">
        <v>0</v>
      </c>
      <c r="CJ242" s="144">
        <v>0</v>
      </c>
      <c r="CK242" s="144">
        <v>0</v>
      </c>
      <c r="CL242" s="144">
        <v>0</v>
      </c>
      <c r="CM242" s="144">
        <v>0</v>
      </c>
      <c r="CN242" s="144">
        <v>0</v>
      </c>
      <c r="CO242" s="144">
        <v>0</v>
      </c>
      <c r="CP242" s="144">
        <v>0</v>
      </c>
      <c r="CQ242" s="143">
        <v>0</v>
      </c>
      <c r="CR242" s="145">
        <v>0</v>
      </c>
      <c r="CS242" s="145">
        <v>0</v>
      </c>
      <c r="CT242" s="145">
        <v>0</v>
      </c>
      <c r="CU242" s="145">
        <v>0</v>
      </c>
      <c r="CV242" s="145">
        <v>0</v>
      </c>
      <c r="CW242" s="145">
        <v>0</v>
      </c>
      <c r="CX242" s="145">
        <v>0</v>
      </c>
      <c r="CY242" s="145">
        <v>0</v>
      </c>
      <c r="CZ242" s="145">
        <v>0</v>
      </c>
      <c r="DA242" s="145">
        <v>0</v>
      </c>
      <c r="DB242" s="145">
        <v>0</v>
      </c>
      <c r="DC242" s="145">
        <v>0</v>
      </c>
      <c r="DD242" s="145">
        <v>0</v>
      </c>
      <c r="DE242" s="145">
        <v>0</v>
      </c>
      <c r="DF242" s="145">
        <v>0</v>
      </c>
      <c r="DG242" s="145">
        <v>0</v>
      </c>
      <c r="DH242" s="145">
        <v>0</v>
      </c>
      <c r="DI242" s="145">
        <v>0</v>
      </c>
      <c r="DJ242" s="145">
        <v>0</v>
      </c>
      <c r="DK242" s="145">
        <v>0</v>
      </c>
      <c r="DL242" s="145">
        <v>0</v>
      </c>
      <c r="DM242" s="145">
        <v>0</v>
      </c>
      <c r="DN242" s="145">
        <v>0</v>
      </c>
      <c r="DO242" s="145">
        <v>0</v>
      </c>
      <c r="DP242" s="145">
        <v>0</v>
      </c>
      <c r="DQ242" s="145">
        <v>13314.6</v>
      </c>
      <c r="DR242" s="145">
        <v>13711.8</v>
      </c>
      <c r="DS242" s="145">
        <v>22853</v>
      </c>
      <c r="DT242" s="145">
        <v>22853</v>
      </c>
      <c r="DU242" s="145">
        <v>22853</v>
      </c>
      <c r="DV242" s="145">
        <v>0</v>
      </c>
      <c r="DW242" s="145">
        <v>0</v>
      </c>
      <c r="DX242" s="145">
        <v>0</v>
      </c>
      <c r="DY242" s="145">
        <v>0</v>
      </c>
      <c r="DZ242" s="145">
        <v>0</v>
      </c>
      <c r="EA242" s="145">
        <v>0</v>
      </c>
      <c r="EB242" s="145">
        <v>0</v>
      </c>
      <c r="EC242" s="145">
        <v>0</v>
      </c>
      <c r="ED242" s="145">
        <v>0</v>
      </c>
      <c r="EE242" s="145">
        <v>0</v>
      </c>
      <c r="EF242" s="145">
        <v>0</v>
      </c>
      <c r="EG242" s="145">
        <v>0</v>
      </c>
      <c r="EH242" s="145">
        <v>37660</v>
      </c>
      <c r="EI242" s="145">
        <v>23537.5</v>
      </c>
      <c r="EJ242" s="145">
        <v>23537.5</v>
      </c>
      <c r="EK242" s="145">
        <v>23537.5</v>
      </c>
      <c r="EL242" s="145">
        <v>23537.5</v>
      </c>
      <c r="EM242" s="145">
        <v>0</v>
      </c>
      <c r="EN242" s="145">
        <v>0</v>
      </c>
      <c r="EO242" s="145">
        <v>0</v>
      </c>
      <c r="EP242" s="145">
        <v>0</v>
      </c>
      <c r="EQ242" s="145">
        <v>0</v>
      </c>
      <c r="ER242" s="145">
        <v>0</v>
      </c>
      <c r="ES242" s="145">
        <v>0</v>
      </c>
      <c r="ET242" s="145">
        <v>0</v>
      </c>
      <c r="EU242" s="145">
        <v>0</v>
      </c>
      <c r="EV242" s="145">
        <v>0</v>
      </c>
      <c r="EW242" s="145">
        <v>0</v>
      </c>
      <c r="EX242" s="145">
        <v>0</v>
      </c>
      <c r="EY242" s="145">
        <v>0</v>
      </c>
      <c r="EZ242" s="145">
        <v>0</v>
      </c>
      <c r="FA242" s="145">
        <v>0</v>
      </c>
      <c r="FB242" s="145">
        <v>0</v>
      </c>
      <c r="FC242" s="145">
        <v>0</v>
      </c>
      <c r="FD242" s="145">
        <v>0</v>
      </c>
      <c r="FE242" s="145">
        <v>0</v>
      </c>
      <c r="FF242" s="145">
        <v>0</v>
      </c>
      <c r="FG242" s="145">
        <v>0</v>
      </c>
      <c r="FH242" s="145">
        <v>0</v>
      </c>
      <c r="FI242" s="145">
        <v>0</v>
      </c>
      <c r="FJ242" s="145">
        <v>0</v>
      </c>
      <c r="FK242" s="145">
        <v>0</v>
      </c>
      <c r="FL242" s="145">
        <v>0</v>
      </c>
      <c r="FM242" s="145">
        <v>0</v>
      </c>
      <c r="FN242" s="145">
        <v>0</v>
      </c>
      <c r="FO242" s="145">
        <v>0</v>
      </c>
      <c r="FP242" s="145">
        <v>0</v>
      </c>
      <c r="FQ242" s="145">
        <v>0</v>
      </c>
      <c r="FR242" s="145">
        <v>0</v>
      </c>
      <c r="FS242" s="145">
        <v>0</v>
      </c>
      <c r="FT242" s="145">
        <v>0</v>
      </c>
      <c r="FU242" s="145">
        <v>0</v>
      </c>
      <c r="FV242" s="145">
        <v>0</v>
      </c>
      <c r="FW242" s="145">
        <v>0</v>
      </c>
      <c r="FX242" s="143"/>
      <c r="FY242" s="146" t="str">
        <f>_xlfn.XLOOKUP($E242,'Key assumptions'!$B$112:$B$120,'Key assumptions'!$C$112:$C$120,0)</f>
        <v>Nominal</v>
      </c>
      <c r="FZ242" s="146" cm="1">
        <f t="array" ref="FZ242">IF($FY242=0,0,_xlfn.IFS($FY242='Key assumptions'!$C$120,_xlfn.XLOOKUP(LEFT(FZ$7,6),Inflation_Year,Inflation_NominaltoReal),TRUE,_xlfn.XLOOKUP($FY242,Inflation_Year,NominaltoReal)))</f>
        <v>1.0197075870962191</v>
      </c>
      <c r="GA242" s="146" cm="1">
        <f t="array" ref="GA242">IF($FY242=0,0,_xlfn.IFS($FY242='Key assumptions'!$C$120,_xlfn.XLOOKUP(LEFT(GA$7,6),Inflation_Year,Inflation_NominaltoReal),TRUE,_xlfn.XLOOKUP($FY242,Inflation_Year,NominaltoReal)))</f>
        <v>0.98700804022984445</v>
      </c>
      <c r="GB242" s="146" cm="1">
        <f t="array" ref="GB242">IF($FY242=0,0,_xlfn.IFS($FY242='Key assumptions'!$C$120,_xlfn.XLOOKUP(LEFT(GB$7,6),Inflation_Year,Inflation_NominaltoReal),TRUE,_xlfn.XLOOKUP($FY242,Inflation_Year,NominaltoReal)))</f>
        <v>0.96152830081941731</v>
      </c>
      <c r="GC242" s="146" cm="1">
        <f t="array" ref="GC242">IF($FY242=0,0,_xlfn.IFS($FY242='Key assumptions'!$C$120,_xlfn.XLOOKUP(LEFT(GC$7,6),Inflation_Year,Inflation_NominaltoReal),TRUE,_xlfn.XLOOKUP($FY242,Inflation_Year,NominaltoReal)))</f>
        <v>0.93670632415656829</v>
      </c>
      <c r="GD242" s="146" cm="1">
        <f t="array" ref="GD242">IF($FY242=0,0,_xlfn.IFS($FY242='Key assumptions'!$C$120,_xlfn.XLOOKUP(LEFT(GD$7,6),Inflation_Year,Inflation_NominaltoReal),TRUE,_xlfn.XLOOKUP($FY242,Inflation_Year,NominaltoReal)))</f>
        <v>0.91252513001143176</v>
      </c>
      <c r="GE242" s="146" cm="1">
        <f t="array" ref="GE242">IF($FY242=0,0,_xlfn.IFS($FY242='Key assumptions'!$C$120,_xlfn.XLOOKUP(LEFT(GE$7,6),Inflation_Year,Inflation_NominaltoReal),TRUE,_xlfn.XLOOKUP($FY242,Inflation_Year,NominaltoReal)))</f>
        <v>0.88896817650095872</v>
      </c>
      <c r="GF242" s="146" cm="1">
        <f t="array" ref="GF242">IF($FY242=0,0,_xlfn.IFS($FY242='Key assumptions'!$C$120,_xlfn.XLOOKUP(LEFT(GF$7,6),Inflation_Year,Inflation_NominaltoReal),TRUE,_xlfn.XLOOKUP($FY242,Inflation_Year,NominaltoReal)))</f>
        <v>0.86601934877293718</v>
      </c>
      <c r="GG242" s="143"/>
      <c r="GH242" s="145" cm="1">
        <f t="array" ref="GH242">SUMPRODUCT(--($CR$7:$FW$7&gt;=GH$5),--($CR$7:$FW$7&lt;=GH$6),$CR242:$FW242)*FZ242</f>
        <v>0</v>
      </c>
      <c r="GI242" s="145" cm="1">
        <f t="array" ref="GI242">SUMPRODUCT(--($CR$7:$FW$7&gt;=GI$5),--($CR$7:$FW$7&lt;=GI$6),$CR242:$FW242)*GA242</f>
        <v>94343.558328585772</v>
      </c>
      <c r="GJ242" s="145" cm="1">
        <f t="array" ref="GJ242">SUMPRODUCT(--($CR$7:$FW$7&gt;=GJ$5),--($CR$7:$FW$7&lt;=GJ$6),$CR242:$FW242)*GB242</f>
        <v>81475.100569933333</v>
      </c>
      <c r="GK242" s="145" cm="1">
        <f t="array" ref="GK242">SUMPRODUCT(--($CR$7:$FW$7&gt;=GK$5),--($CR$7:$FW$7&lt;=GK$6),$CR242:$FW242)*GC242</f>
        <v>44095.450209670453</v>
      </c>
      <c r="GL242" s="145" cm="1">
        <f t="array" ref="GL242">SUMPRODUCT(--($CR$7:$FW$7&gt;=GL$5),--($CR$7:$FW$7&lt;=GL$6),$CR242:$FW242)*GD242</f>
        <v>0</v>
      </c>
      <c r="GM242" s="145" cm="1">
        <f t="array" ref="GM242">SUMPRODUCT(--($CR$7:$FW$7&gt;=GM$5),--($CR$7:$FW$7&lt;=GM$6),$CR242:$FW242)*GE242</f>
        <v>0</v>
      </c>
      <c r="GN242" s="145" cm="1">
        <f t="array" ref="GN242">SUMPRODUCT(--($CR$7:$FW$7&gt;=GN$5),--($CR$7:$FW$7&lt;=GN$6),$CR242:$FW242)*GF242</f>
        <v>0</v>
      </c>
      <c r="GO242" s="145">
        <f t="shared" si="69"/>
        <v>219914.10910818959</v>
      </c>
      <c r="GP242" s="87"/>
      <c r="GR242" s="145" cm="1">
        <f t="array" ref="GR242">SUMPRODUCT(--($CR$7:$FW$7&gt;=GR$5),--($CR$7:$FW$7&lt;=GR$6),$CR242:$FW242)</f>
        <v>0</v>
      </c>
      <c r="GT242" s="214" cm="1">
        <f t="array" ref="GT242">--AND(MIN(IF($K242:$CP242&lt;&gt;0,$K$7:$CP$7))&gt;=GT$5,MIN(IF($K242:$CP242&lt;&gt;0,$K$7:$CP$7))&lt;=GT$6)</f>
        <v>0</v>
      </c>
      <c r="GU242" s="214" cm="1">
        <f t="array" ref="GU242">--AND(MIN(IF($K242:$CP242&lt;&gt;0,$K$7:$CP$7))&gt;=GU$5,MIN(IF($K242:$CP242&lt;&gt;0,$K$7:$CP$7))&lt;=GU$6)</f>
        <v>1</v>
      </c>
      <c r="GV242" s="214" cm="1">
        <f t="array" ref="GV242">--AND(MIN(IF($K242:$CP242&lt;&gt;0,$K$7:$CP$7))&gt;=GV$5,MIN(IF($K242:$CP242&lt;&gt;0,$K$7:$CP$7))&lt;=GV$6)</f>
        <v>0</v>
      </c>
      <c r="GW242" s="214" cm="1">
        <f t="array" ref="GW242">--AND(MIN(IF($K242:$CP242&lt;&gt;0,$K$7:$CP$7))&gt;=GW$5,MIN(IF($K242:$CP242&lt;&gt;0,$K$7:$CP$7))&lt;=GW$6)</f>
        <v>0</v>
      </c>
      <c r="GX242" s="214" cm="1">
        <f t="array" ref="GX242">--AND(MIN(IF($K242:$CP242&lt;&gt;0,$K$7:$CP$7))&gt;=GX$5,MIN(IF($K242:$CP242&lt;&gt;0,$K$7:$CP$7))&lt;=GX$6)</f>
        <v>0</v>
      </c>
      <c r="GY242" s="214" cm="1">
        <f t="array" ref="GY242">--AND(MIN(IF($K242:$CP242&lt;&gt;0,$K$7:$CP$7))&gt;=GY$5,MIN(IF($K242:$CP242&lt;&gt;0,$K$7:$CP$7))&lt;=GY$6)</f>
        <v>0</v>
      </c>
      <c r="GZ242" s="214" cm="1">
        <f t="array" ref="GZ242">--AND(MIN(IF($K242:$CP242&lt;&gt;0,$K$7:$CP$7))&gt;=GZ$5,MIN(IF($K242:$CP242&lt;&gt;0,$K$7:$CP$7))&lt;=GZ$6)</f>
        <v>0</v>
      </c>
      <c r="HA242" s="214">
        <f t="shared" si="70"/>
        <v>1</v>
      </c>
      <c r="HC242" s="214" cm="1">
        <f t="array" ref="HC242">--AND(MIN(IF($K242:$CP242&lt;&gt;0,$K$7:$CP$7))&gt;=HC$5,MIN(IF($K242:$CP242&lt;&gt;0,$K$7:$CP$7))&lt;=HC$6)</f>
        <v>0</v>
      </c>
      <c r="HE242" s="147" t="str">
        <f t="shared" si="89"/>
        <v>No</v>
      </c>
      <c r="HF242" s="147" t="str">
        <f t="shared" si="90"/>
        <v>Yes</v>
      </c>
      <c r="HG242" s="147">
        <f>IF($HF242="Yes",0,$H242*avg_hrs*12*'Key assumptions'!$D$87)</f>
        <v>0</v>
      </c>
      <c r="HH242" s="147">
        <f>IF(HE242="Yes",'Key assumptions'!$D$84*HG242,0)</f>
        <v>0</v>
      </c>
      <c r="HI242" s="144">
        <f>IFERROR(AVERAGEIFS($K242:$CP242,$K$7:$CP$7,"&gt;="&amp;'Key assumptions'!$D$24,$K$7:$CP$7,"&lt;="&amp;'Key assumptions'!$D$25),0)</f>
        <v>8.0969469127363872E-2</v>
      </c>
      <c r="HJ242" s="148">
        <f t="shared" si="91"/>
        <v>0</v>
      </c>
      <c r="HK242" s="148">
        <f t="shared" si="72"/>
        <v>0</v>
      </c>
      <c r="HL242" s="148">
        <f t="shared" si="73"/>
        <v>0</v>
      </c>
      <c r="HM242" s="148">
        <f t="shared" si="74"/>
        <v>0</v>
      </c>
      <c r="HN242" s="148">
        <f t="shared" si="75"/>
        <v>0</v>
      </c>
      <c r="HO242" s="148">
        <f t="shared" si="76"/>
        <v>0</v>
      </c>
      <c r="HP242" s="148">
        <f t="shared" si="77"/>
        <v>0</v>
      </c>
      <c r="HQ242" s="148">
        <f t="shared" si="78"/>
        <v>0</v>
      </c>
      <c r="HR242" s="147">
        <f t="shared" si="79"/>
        <v>0</v>
      </c>
      <c r="HU242" s="147">
        <f>$HJ242*HC242/(1+'Key assumptions'!G264)^0.75</f>
        <v>0</v>
      </c>
      <c r="HW242" s="216">
        <f t="shared" si="80"/>
        <v>0</v>
      </c>
      <c r="HX242" s="216">
        <f t="shared" si="81"/>
        <v>8.0969469127363872E-2</v>
      </c>
      <c r="HY242" s="216">
        <f t="shared" si="82"/>
        <v>0</v>
      </c>
      <c r="HZ242" s="216">
        <f t="shared" si="83"/>
        <v>0</v>
      </c>
      <c r="IA242" s="216">
        <f t="shared" si="84"/>
        <v>0</v>
      </c>
      <c r="IB242" s="216">
        <f t="shared" si="85"/>
        <v>0</v>
      </c>
      <c r="IC242" s="216">
        <f t="shared" si="86"/>
        <v>0</v>
      </c>
      <c r="ID242" s="216">
        <f t="shared" si="87"/>
        <v>8.0969469127363872E-2</v>
      </c>
      <c r="IF242" s="216">
        <f t="shared" si="88"/>
        <v>0</v>
      </c>
    </row>
    <row r="243" spans="2:240" x14ac:dyDescent="0.2">
      <c r="B243" s="141" t="str">
        <v>Project Delivery Management - Commissioning</v>
      </c>
      <c r="C243" s="141" t="str">
        <v>Resource Coordinator (Construction)</v>
      </c>
      <c r="D243" s="141" t="str">
        <v>Internal Labour</v>
      </c>
      <c r="E243" s="141" t="str">
        <v>$ Nominal</v>
      </c>
      <c r="F243" s="141" t="str">
        <v>Existing</v>
      </c>
      <c r="G243" s="141" t="str">
        <v>Normal time</v>
      </c>
      <c r="H243" s="142">
        <v>202.73</v>
      </c>
      <c r="I243" s="126">
        <v>76382.179999999964</v>
      </c>
      <c r="J243" s="143">
        <v>0</v>
      </c>
      <c r="K243" s="144">
        <v>0</v>
      </c>
      <c r="L243" s="144">
        <v>0</v>
      </c>
      <c r="M243" s="144">
        <v>0</v>
      </c>
      <c r="N243" s="144">
        <v>0</v>
      </c>
      <c r="O243" s="144">
        <v>0</v>
      </c>
      <c r="P243" s="144">
        <v>0</v>
      </c>
      <c r="Q243" s="144">
        <v>0</v>
      </c>
      <c r="R243" s="144">
        <v>0</v>
      </c>
      <c r="S243" s="144">
        <v>0</v>
      </c>
      <c r="T243" s="144">
        <v>0</v>
      </c>
      <c r="U243" s="144">
        <v>0</v>
      </c>
      <c r="V243" s="144">
        <v>0</v>
      </c>
      <c r="W243" s="144">
        <v>0</v>
      </c>
      <c r="X243" s="144">
        <v>0</v>
      </c>
      <c r="Y243" s="144">
        <v>0</v>
      </c>
      <c r="Z243" s="144">
        <v>0</v>
      </c>
      <c r="AA243" s="144">
        <v>0</v>
      </c>
      <c r="AB243" s="144">
        <v>0</v>
      </c>
      <c r="AC243" s="144">
        <v>0</v>
      </c>
      <c r="AD243" s="144">
        <v>0</v>
      </c>
      <c r="AE243" s="144">
        <v>0</v>
      </c>
      <c r="AF243" s="144">
        <v>0.1</v>
      </c>
      <c r="AG243" s="144">
        <v>0.1</v>
      </c>
      <c r="AH243" s="144">
        <v>0.13333333333333333</v>
      </c>
      <c r="AI243" s="144">
        <v>0.13333333333333333</v>
      </c>
      <c r="AJ243" s="144">
        <v>0.1</v>
      </c>
      <c r="AK243" s="144">
        <v>0.1</v>
      </c>
      <c r="AL243" s="144">
        <v>0.13333333333333333</v>
      </c>
      <c r="AM243" s="144">
        <v>9.2105263157894732E-2</v>
      </c>
      <c r="AN243" s="144">
        <v>9.2105263157894732E-2</v>
      </c>
      <c r="AO243" s="144">
        <v>0.1</v>
      </c>
      <c r="AP243" s="144">
        <v>0.1</v>
      </c>
      <c r="AQ243" s="144">
        <v>0.1</v>
      </c>
      <c r="AR243" s="144">
        <v>0.1</v>
      </c>
      <c r="AS243" s="144">
        <v>0.1</v>
      </c>
      <c r="AT243" s="144">
        <v>0.13333333333333333</v>
      </c>
      <c r="AU243" s="144">
        <v>0.13333333333333333</v>
      </c>
      <c r="AV243" s="144">
        <v>0.1</v>
      </c>
      <c r="AW243" s="144">
        <v>0.1</v>
      </c>
      <c r="AX243" s="144">
        <v>0.13333333333333333</v>
      </c>
      <c r="AY243" s="144">
        <v>9.2105263157894732E-2</v>
      </c>
      <c r="AZ243" s="144">
        <v>9.2105263157894732E-2</v>
      </c>
      <c r="BA243" s="144">
        <v>0.1</v>
      </c>
      <c r="BB243" s="144">
        <v>0.1</v>
      </c>
      <c r="BC243" s="144">
        <v>0.1</v>
      </c>
      <c r="BD243" s="144">
        <v>0.1</v>
      </c>
      <c r="BE243" s="144">
        <v>0.1</v>
      </c>
      <c r="BF243" s="144">
        <v>0</v>
      </c>
      <c r="BG243" s="144">
        <v>0</v>
      </c>
      <c r="BH243" s="144">
        <v>0</v>
      </c>
      <c r="BI243" s="144">
        <v>0</v>
      </c>
      <c r="BJ243" s="144">
        <v>0</v>
      </c>
      <c r="BK243" s="144">
        <v>0</v>
      </c>
      <c r="BL243" s="144">
        <v>0</v>
      </c>
      <c r="BM243" s="144">
        <v>0</v>
      </c>
      <c r="BN243" s="144">
        <v>0</v>
      </c>
      <c r="BO243" s="144">
        <v>0</v>
      </c>
      <c r="BP243" s="144">
        <v>0</v>
      </c>
      <c r="BQ243" s="144">
        <v>0</v>
      </c>
      <c r="BR243" s="144">
        <v>0</v>
      </c>
      <c r="BS243" s="144">
        <v>0</v>
      </c>
      <c r="BT243" s="144">
        <v>0</v>
      </c>
      <c r="BU243" s="144">
        <v>0</v>
      </c>
      <c r="BV243" s="144">
        <v>0</v>
      </c>
      <c r="BW243" s="144">
        <v>0</v>
      </c>
      <c r="BX243" s="144">
        <v>0</v>
      </c>
      <c r="BY243" s="144">
        <v>0</v>
      </c>
      <c r="BZ243" s="144">
        <v>0</v>
      </c>
      <c r="CA243" s="144">
        <v>0</v>
      </c>
      <c r="CB243" s="144">
        <v>0</v>
      </c>
      <c r="CC243" s="144">
        <v>0</v>
      </c>
      <c r="CD243" s="144">
        <v>0</v>
      </c>
      <c r="CE243" s="144">
        <v>0</v>
      </c>
      <c r="CF243" s="144">
        <v>0</v>
      </c>
      <c r="CG243" s="144">
        <v>0</v>
      </c>
      <c r="CH243" s="144">
        <v>0</v>
      </c>
      <c r="CI243" s="144">
        <v>0</v>
      </c>
      <c r="CJ243" s="144">
        <v>0</v>
      </c>
      <c r="CK243" s="144">
        <v>0</v>
      </c>
      <c r="CL243" s="144">
        <v>0</v>
      </c>
      <c r="CM243" s="144">
        <v>0</v>
      </c>
      <c r="CN243" s="144">
        <v>0</v>
      </c>
      <c r="CO243" s="144">
        <v>0</v>
      </c>
      <c r="CP243" s="144">
        <v>0</v>
      </c>
      <c r="CQ243" s="143">
        <v>0</v>
      </c>
      <c r="CR243" s="145">
        <v>0</v>
      </c>
      <c r="CS243" s="145">
        <v>0</v>
      </c>
      <c r="CT243" s="145">
        <v>0</v>
      </c>
      <c r="CU243" s="145">
        <v>0</v>
      </c>
      <c r="CV243" s="145">
        <v>0</v>
      </c>
      <c r="CW243" s="145">
        <v>0</v>
      </c>
      <c r="CX243" s="145">
        <v>0</v>
      </c>
      <c r="CY243" s="145">
        <v>0</v>
      </c>
      <c r="CZ243" s="145">
        <v>0</v>
      </c>
      <c r="DA243" s="145">
        <v>0</v>
      </c>
      <c r="DB243" s="145">
        <v>0</v>
      </c>
      <c r="DC243" s="145">
        <v>0</v>
      </c>
      <c r="DD243" s="145">
        <v>0</v>
      </c>
      <c r="DE243" s="145">
        <v>0</v>
      </c>
      <c r="DF243" s="145">
        <v>0</v>
      </c>
      <c r="DG243" s="145">
        <v>0</v>
      </c>
      <c r="DH243" s="145">
        <v>0</v>
      </c>
      <c r="DI243" s="145">
        <v>0</v>
      </c>
      <c r="DJ243" s="145">
        <v>0</v>
      </c>
      <c r="DK243" s="145">
        <v>0</v>
      </c>
      <c r="DL243" s="145">
        <v>0</v>
      </c>
      <c r="DM243" s="145">
        <v>2838.22</v>
      </c>
      <c r="DN243" s="145">
        <v>2838.22</v>
      </c>
      <c r="DO243" s="145">
        <v>2838.22</v>
      </c>
      <c r="DP243" s="145">
        <v>2838.22</v>
      </c>
      <c r="DQ243" s="145">
        <v>2838.22</v>
      </c>
      <c r="DR243" s="145">
        <v>2924.46</v>
      </c>
      <c r="DS243" s="145">
        <v>2924.46</v>
      </c>
      <c r="DT243" s="145">
        <v>2924.46</v>
      </c>
      <c r="DU243" s="145">
        <v>2924.46</v>
      </c>
      <c r="DV243" s="145">
        <v>2924.46</v>
      </c>
      <c r="DW243" s="145">
        <v>2924.46</v>
      </c>
      <c r="DX243" s="145">
        <v>2924.46</v>
      </c>
      <c r="DY243" s="145">
        <v>2924.46</v>
      </c>
      <c r="DZ243" s="145">
        <v>2924.46</v>
      </c>
      <c r="EA243" s="145">
        <v>2924.46</v>
      </c>
      <c r="EB243" s="145">
        <v>2924.46</v>
      </c>
      <c r="EC243" s="145">
        <v>2924.46</v>
      </c>
      <c r="ED243" s="145">
        <v>3010.84</v>
      </c>
      <c r="EE243" s="145">
        <v>3010.84</v>
      </c>
      <c r="EF243" s="145">
        <v>3010.84</v>
      </c>
      <c r="EG243" s="145">
        <v>3010.84</v>
      </c>
      <c r="EH243" s="145">
        <v>3010.84</v>
      </c>
      <c r="EI243" s="145">
        <v>3010.84</v>
      </c>
      <c r="EJ243" s="145">
        <v>3010.84</v>
      </c>
      <c r="EK243" s="145">
        <v>3010.84</v>
      </c>
      <c r="EL243" s="145">
        <v>3010.84</v>
      </c>
      <c r="EM243" s="145">
        <v>0</v>
      </c>
      <c r="EN243" s="145">
        <v>0</v>
      </c>
      <c r="EO243" s="145">
        <v>0</v>
      </c>
      <c r="EP243" s="145">
        <v>0</v>
      </c>
      <c r="EQ243" s="145">
        <v>0</v>
      </c>
      <c r="ER243" s="145">
        <v>0</v>
      </c>
      <c r="ES243" s="145">
        <v>0</v>
      </c>
      <c r="ET243" s="145">
        <v>0</v>
      </c>
      <c r="EU243" s="145">
        <v>0</v>
      </c>
      <c r="EV243" s="145">
        <v>0</v>
      </c>
      <c r="EW243" s="145">
        <v>0</v>
      </c>
      <c r="EX243" s="145">
        <v>0</v>
      </c>
      <c r="EY243" s="145">
        <v>0</v>
      </c>
      <c r="EZ243" s="145">
        <v>0</v>
      </c>
      <c r="FA243" s="145">
        <v>0</v>
      </c>
      <c r="FB243" s="145">
        <v>0</v>
      </c>
      <c r="FC243" s="145">
        <v>0</v>
      </c>
      <c r="FD243" s="145">
        <v>0</v>
      </c>
      <c r="FE243" s="145">
        <v>0</v>
      </c>
      <c r="FF243" s="145">
        <v>0</v>
      </c>
      <c r="FG243" s="145">
        <v>0</v>
      </c>
      <c r="FH243" s="145">
        <v>0</v>
      </c>
      <c r="FI243" s="145">
        <v>0</v>
      </c>
      <c r="FJ243" s="145">
        <v>0</v>
      </c>
      <c r="FK243" s="145">
        <v>0</v>
      </c>
      <c r="FL243" s="145">
        <v>0</v>
      </c>
      <c r="FM243" s="145">
        <v>0</v>
      </c>
      <c r="FN243" s="145">
        <v>0</v>
      </c>
      <c r="FO243" s="145">
        <v>0</v>
      </c>
      <c r="FP243" s="145">
        <v>0</v>
      </c>
      <c r="FQ243" s="145">
        <v>0</v>
      </c>
      <c r="FR243" s="145">
        <v>0</v>
      </c>
      <c r="FS243" s="145">
        <v>0</v>
      </c>
      <c r="FT243" s="145">
        <v>0</v>
      </c>
      <c r="FU243" s="145">
        <v>0</v>
      </c>
      <c r="FV243" s="145">
        <v>0</v>
      </c>
      <c r="FW243" s="145">
        <v>0</v>
      </c>
      <c r="FX243" s="143"/>
      <c r="FY243" s="146" t="str">
        <f>_xlfn.XLOOKUP($E243,'Key assumptions'!$B$112:$B$120,'Key assumptions'!$C$112:$C$120,0)</f>
        <v>Nominal</v>
      </c>
      <c r="FZ243" s="146" cm="1">
        <f t="array" ref="FZ243">IF($FY243=0,0,_xlfn.IFS($FY243='Key assumptions'!$C$120,_xlfn.XLOOKUP(LEFT(FZ$7,6),Inflation_Year,Inflation_NominaltoReal),TRUE,_xlfn.XLOOKUP($FY243,Inflation_Year,NominaltoReal)))</f>
        <v>1.0197075870962191</v>
      </c>
      <c r="GA243" s="146" cm="1">
        <f t="array" ref="GA243">IF($FY243=0,0,_xlfn.IFS($FY243='Key assumptions'!$C$120,_xlfn.XLOOKUP(LEFT(GA$7,6),Inflation_Year,Inflation_NominaltoReal),TRUE,_xlfn.XLOOKUP($FY243,Inflation_Year,NominaltoReal)))</f>
        <v>0.98700804022984445</v>
      </c>
      <c r="GB243" s="146" cm="1">
        <f t="array" ref="GB243">IF($FY243=0,0,_xlfn.IFS($FY243='Key assumptions'!$C$120,_xlfn.XLOOKUP(LEFT(GB$7,6),Inflation_Year,Inflation_NominaltoReal),TRUE,_xlfn.XLOOKUP($FY243,Inflation_Year,NominaltoReal)))</f>
        <v>0.96152830081941731</v>
      </c>
      <c r="GC243" s="146" cm="1">
        <f t="array" ref="GC243">IF($FY243=0,0,_xlfn.IFS($FY243='Key assumptions'!$C$120,_xlfn.XLOOKUP(LEFT(GC$7,6),Inflation_Year,Inflation_NominaltoReal),TRUE,_xlfn.XLOOKUP($FY243,Inflation_Year,NominaltoReal)))</f>
        <v>0.93670632415656829</v>
      </c>
      <c r="GD243" s="146" cm="1">
        <f t="array" ref="GD243">IF($FY243=0,0,_xlfn.IFS($FY243='Key assumptions'!$C$120,_xlfn.XLOOKUP(LEFT(GD$7,6),Inflation_Year,Inflation_NominaltoReal),TRUE,_xlfn.XLOOKUP($FY243,Inflation_Year,NominaltoReal)))</f>
        <v>0.91252513001143176</v>
      </c>
      <c r="GE243" s="146" cm="1">
        <f t="array" ref="GE243">IF($FY243=0,0,_xlfn.IFS($FY243='Key assumptions'!$C$120,_xlfn.XLOOKUP(LEFT(GE$7,6),Inflation_Year,Inflation_NominaltoReal),TRUE,_xlfn.XLOOKUP($FY243,Inflation_Year,NominaltoReal)))</f>
        <v>0.88896817650095872</v>
      </c>
      <c r="GF243" s="146" cm="1">
        <f t="array" ref="GF243">IF($FY243=0,0,_xlfn.IFS($FY243='Key assumptions'!$C$120,_xlfn.XLOOKUP(LEFT(GF$7,6),Inflation_Year,Inflation_NominaltoReal),TRUE,_xlfn.XLOOKUP($FY243,Inflation_Year,NominaltoReal)))</f>
        <v>0.86601934877293718</v>
      </c>
      <c r="GG243" s="143"/>
      <c r="GH243" s="145" cm="1">
        <f t="array" ref="GH243">SUMPRODUCT(--($CR$7:$FW$7&gt;=GH$5),--($CR$7:$FW$7&lt;=GH$6),$CR243:$FW243)*FZ243</f>
        <v>0</v>
      </c>
      <c r="GI243" s="145" cm="1">
        <f t="array" ref="GI243">SUMPRODUCT(--($CR$7:$FW$7&gt;=GI$5),--($CR$7:$FW$7&lt;=GI$6),$CR243:$FW243)*GA243</f>
        <v>34211.988533019736</v>
      </c>
      <c r="GJ243" s="145" cm="1">
        <f t="array" ref="GJ243">SUMPRODUCT(--($CR$7:$FW$7&gt;=GJ$5),--($CR$7:$FW$7&lt;=GJ$6),$CR243:$FW243)*GB243</f>
        <v>34324.810357745708</v>
      </c>
      <c r="GK243" s="145" cm="1">
        <f t="array" ref="GK243">SUMPRODUCT(--($CR$7:$FW$7&gt;=GK$5),--($CR$7:$FW$7&lt;=GK$6),$CR243:$FW243)*GC243</f>
        <v>5640.5457380471244</v>
      </c>
      <c r="GL243" s="145" cm="1">
        <f t="array" ref="GL243">SUMPRODUCT(--($CR$7:$FW$7&gt;=GL$5),--($CR$7:$FW$7&lt;=GL$6),$CR243:$FW243)*GD243</f>
        <v>0</v>
      </c>
      <c r="GM243" s="145" cm="1">
        <f t="array" ref="GM243">SUMPRODUCT(--($CR$7:$FW$7&gt;=GM$5),--($CR$7:$FW$7&lt;=GM$6),$CR243:$FW243)*GE243</f>
        <v>0</v>
      </c>
      <c r="GN243" s="145" cm="1">
        <f t="array" ref="GN243">SUMPRODUCT(--($CR$7:$FW$7&gt;=GN$5),--($CR$7:$FW$7&lt;=GN$6),$CR243:$FW243)*GF243</f>
        <v>0</v>
      </c>
      <c r="GO243" s="145">
        <f t="shared" si="69"/>
        <v>74177.344628812556</v>
      </c>
      <c r="GP243" s="87"/>
      <c r="GR243" s="145" cm="1">
        <f t="array" ref="GR243">SUMPRODUCT(--($CR$7:$FW$7&gt;=GR$5),--($CR$7:$FW$7&lt;=GR$6),$CR243:$FW243)</f>
        <v>0</v>
      </c>
      <c r="GT243" s="214" cm="1">
        <f t="array" ref="GT243">--AND(MIN(IF($K243:$CP243&lt;&gt;0,$K$7:$CP$7))&gt;=GT$5,MIN(IF($K243:$CP243&lt;&gt;0,$K$7:$CP$7))&lt;=GT$6)</f>
        <v>0</v>
      </c>
      <c r="GU243" s="214" cm="1">
        <f t="array" ref="GU243">--AND(MIN(IF($K243:$CP243&lt;&gt;0,$K$7:$CP$7))&gt;=GU$5,MIN(IF($K243:$CP243&lt;&gt;0,$K$7:$CP$7))&lt;=GU$6)</f>
        <v>1</v>
      </c>
      <c r="GV243" s="214" cm="1">
        <f t="array" ref="GV243">--AND(MIN(IF($K243:$CP243&lt;&gt;0,$K$7:$CP$7))&gt;=GV$5,MIN(IF($K243:$CP243&lt;&gt;0,$K$7:$CP$7))&lt;=GV$6)</f>
        <v>0</v>
      </c>
      <c r="GW243" s="214" cm="1">
        <f t="array" ref="GW243">--AND(MIN(IF($K243:$CP243&lt;&gt;0,$K$7:$CP$7))&gt;=GW$5,MIN(IF($K243:$CP243&lt;&gt;0,$K$7:$CP$7))&lt;=GW$6)</f>
        <v>0</v>
      </c>
      <c r="GX243" s="214" cm="1">
        <f t="array" ref="GX243">--AND(MIN(IF($K243:$CP243&lt;&gt;0,$K$7:$CP$7))&gt;=GX$5,MIN(IF($K243:$CP243&lt;&gt;0,$K$7:$CP$7))&lt;=GX$6)</f>
        <v>0</v>
      </c>
      <c r="GY243" s="214" cm="1">
        <f t="array" ref="GY243">--AND(MIN(IF($K243:$CP243&lt;&gt;0,$K$7:$CP$7))&gt;=GY$5,MIN(IF($K243:$CP243&lt;&gt;0,$K$7:$CP$7))&lt;=GY$6)</f>
        <v>0</v>
      </c>
      <c r="GZ243" s="214" cm="1">
        <f t="array" ref="GZ243">--AND(MIN(IF($K243:$CP243&lt;&gt;0,$K$7:$CP$7))&gt;=GZ$5,MIN(IF($K243:$CP243&lt;&gt;0,$K$7:$CP$7))&lt;=GZ$6)</f>
        <v>0</v>
      </c>
      <c r="HA243" s="214">
        <f t="shared" si="70"/>
        <v>1</v>
      </c>
      <c r="HC243" s="214" cm="1">
        <f t="array" ref="HC243">--AND(MIN(IF($K243:$CP243&lt;&gt;0,$K$7:$CP$7))&gt;=HC$5,MIN(IF($K243:$CP243&lt;&gt;0,$K$7:$CP$7))&lt;=HC$6)</f>
        <v>0</v>
      </c>
      <c r="HE243" s="147" t="str">
        <f t="shared" si="89"/>
        <v>No</v>
      </c>
      <c r="HF243" s="147" t="str">
        <f t="shared" si="90"/>
        <v>No</v>
      </c>
      <c r="HG243" s="147">
        <f>IF($HF243="Yes",0,$H243*avg_hrs*12*'Key assumptions'!$D$87)</f>
        <v>362535.77629630821</v>
      </c>
      <c r="HH243" s="147">
        <f>IF(HE243="Yes",'Key assumptions'!$D$84*HG243,0)</f>
        <v>0</v>
      </c>
      <c r="HI243" s="144">
        <f>IFERROR(AVERAGEIFS($K243:$CP243,$K$7:$CP$7,"&gt;="&amp;'Key assumptions'!$D$24,$K$7:$CP$7,"&lt;="&amp;'Key assumptions'!$D$25),0)</f>
        <v>6.291866028708136E-2</v>
      </c>
      <c r="HJ243" s="148">
        <f t="shared" si="91"/>
        <v>0</v>
      </c>
      <c r="HK243" s="148">
        <f t="shared" si="72"/>
        <v>0</v>
      </c>
      <c r="HL243" s="148">
        <f t="shared" si="73"/>
        <v>0</v>
      </c>
      <c r="HM243" s="148">
        <f t="shared" si="74"/>
        <v>0</v>
      </c>
      <c r="HN243" s="148">
        <f t="shared" si="75"/>
        <v>0</v>
      </c>
      <c r="HO243" s="148">
        <f t="shared" si="76"/>
        <v>0</v>
      </c>
      <c r="HP243" s="148">
        <f t="shared" si="77"/>
        <v>0</v>
      </c>
      <c r="HQ243" s="148">
        <f t="shared" si="78"/>
        <v>0</v>
      </c>
      <c r="HR243" s="147">
        <f t="shared" si="79"/>
        <v>0</v>
      </c>
      <c r="HU243" s="147">
        <f>$HJ243*HC243/(1+'Key assumptions'!G265)^0.75</f>
        <v>0</v>
      </c>
      <c r="HW243" s="216">
        <f t="shared" si="80"/>
        <v>0</v>
      </c>
      <c r="HX243" s="216">
        <f t="shared" si="81"/>
        <v>6.291866028708136E-2</v>
      </c>
      <c r="HY243" s="216">
        <f t="shared" si="82"/>
        <v>0</v>
      </c>
      <c r="HZ243" s="216">
        <f t="shared" si="83"/>
        <v>0</v>
      </c>
      <c r="IA243" s="216">
        <f t="shared" si="84"/>
        <v>0</v>
      </c>
      <c r="IB243" s="216">
        <f t="shared" si="85"/>
        <v>0</v>
      </c>
      <c r="IC243" s="216">
        <f t="shared" si="86"/>
        <v>0</v>
      </c>
      <c r="ID243" s="216">
        <f t="shared" si="87"/>
        <v>6.291866028708136E-2</v>
      </c>
      <c r="IF243" s="216">
        <f t="shared" si="88"/>
        <v>0</v>
      </c>
    </row>
    <row r="244" spans="2:240" x14ac:dyDescent="0.2">
      <c r="B244" s="141" t="str">
        <v>Project Delivery Management - Commissioning</v>
      </c>
      <c r="C244" s="141" t="str">
        <v>SCADA Officer (Nwk Operations Tech)</v>
      </c>
      <c r="D244" s="141" t="str">
        <v>Internal Labour</v>
      </c>
      <c r="E244" s="141" t="str">
        <v>$ Nominal</v>
      </c>
      <c r="F244" s="141" t="str">
        <v>Existing</v>
      </c>
      <c r="G244" s="141" t="str">
        <v>Normal time</v>
      </c>
      <c r="H244" s="142">
        <v>202.73</v>
      </c>
      <c r="I244" s="126">
        <v>205362.85000000006</v>
      </c>
      <c r="J244" s="143">
        <v>0</v>
      </c>
      <c r="K244" s="144">
        <v>0</v>
      </c>
      <c r="L244" s="144">
        <v>0</v>
      </c>
      <c r="M244" s="144">
        <v>0</v>
      </c>
      <c r="N244" s="144">
        <v>0</v>
      </c>
      <c r="O244" s="144">
        <v>0</v>
      </c>
      <c r="P244" s="144">
        <v>0</v>
      </c>
      <c r="Q244" s="144">
        <v>0</v>
      </c>
      <c r="R244" s="144">
        <v>0</v>
      </c>
      <c r="S244" s="144">
        <v>0</v>
      </c>
      <c r="T244" s="144">
        <v>0</v>
      </c>
      <c r="U244" s="144">
        <v>0</v>
      </c>
      <c r="V244" s="144">
        <v>0</v>
      </c>
      <c r="W244" s="144">
        <v>0</v>
      </c>
      <c r="X244" s="144">
        <v>0</v>
      </c>
      <c r="Y244" s="144">
        <v>0</v>
      </c>
      <c r="Z244" s="144">
        <v>0</v>
      </c>
      <c r="AA244" s="144">
        <v>0</v>
      </c>
      <c r="AB244" s="144">
        <v>0</v>
      </c>
      <c r="AC244" s="144">
        <v>0</v>
      </c>
      <c r="AD244" s="144">
        <v>0</v>
      </c>
      <c r="AE244" s="144">
        <v>0</v>
      </c>
      <c r="AF244" s="144">
        <v>0.5</v>
      </c>
      <c r="AG244" s="144">
        <v>0.5</v>
      </c>
      <c r="AH244" s="144">
        <v>0.66666666666666663</v>
      </c>
      <c r="AI244" s="144">
        <v>0.66666666666666663</v>
      </c>
      <c r="AJ244" s="144">
        <v>0</v>
      </c>
      <c r="AK244" s="144">
        <v>0</v>
      </c>
      <c r="AL244" s="144">
        <v>0.33333333333333331</v>
      </c>
      <c r="AM244" s="144">
        <v>0.23026315789473684</v>
      </c>
      <c r="AN244" s="144">
        <v>0.23026315789473684</v>
      </c>
      <c r="AO244" s="144">
        <v>0</v>
      </c>
      <c r="AP244" s="144">
        <v>0</v>
      </c>
      <c r="AQ244" s="144">
        <v>0</v>
      </c>
      <c r="AR244" s="144">
        <v>0</v>
      </c>
      <c r="AS244" s="144">
        <v>0</v>
      </c>
      <c r="AT244" s="144">
        <v>0.66666666666666663</v>
      </c>
      <c r="AU244" s="144">
        <v>0.66666666666666663</v>
      </c>
      <c r="AV244" s="144">
        <v>0.5</v>
      </c>
      <c r="AW244" s="144">
        <v>0.5</v>
      </c>
      <c r="AX244" s="144">
        <v>0.66666666666666663</v>
      </c>
      <c r="AY244" s="144">
        <v>0.46052631578947367</v>
      </c>
      <c r="AZ244" s="144">
        <v>0</v>
      </c>
      <c r="BA244" s="144">
        <v>0.25</v>
      </c>
      <c r="BB244" s="144">
        <v>0.25</v>
      </c>
      <c r="BC244" s="144">
        <v>0.25</v>
      </c>
      <c r="BD244" s="144">
        <v>0.25</v>
      </c>
      <c r="BE244" s="144">
        <v>0.25</v>
      </c>
      <c r="BF244" s="144">
        <v>0</v>
      </c>
      <c r="BG244" s="144">
        <v>0</v>
      </c>
      <c r="BH244" s="144">
        <v>0</v>
      </c>
      <c r="BI244" s="144">
        <v>0</v>
      </c>
      <c r="BJ244" s="144">
        <v>0</v>
      </c>
      <c r="BK244" s="144">
        <v>0</v>
      </c>
      <c r="BL244" s="144">
        <v>0</v>
      </c>
      <c r="BM244" s="144">
        <v>0</v>
      </c>
      <c r="BN244" s="144">
        <v>0</v>
      </c>
      <c r="BO244" s="144">
        <v>0</v>
      </c>
      <c r="BP244" s="144">
        <v>0</v>
      </c>
      <c r="BQ244" s="144">
        <v>0</v>
      </c>
      <c r="BR244" s="144">
        <v>0</v>
      </c>
      <c r="BS244" s="144">
        <v>0</v>
      </c>
      <c r="BT244" s="144">
        <v>0</v>
      </c>
      <c r="BU244" s="144">
        <v>0</v>
      </c>
      <c r="BV244" s="144">
        <v>0</v>
      </c>
      <c r="BW244" s="144">
        <v>0</v>
      </c>
      <c r="BX244" s="144">
        <v>0</v>
      </c>
      <c r="BY244" s="144">
        <v>0</v>
      </c>
      <c r="BZ244" s="144">
        <v>0</v>
      </c>
      <c r="CA244" s="144">
        <v>0</v>
      </c>
      <c r="CB244" s="144">
        <v>0</v>
      </c>
      <c r="CC244" s="144">
        <v>0</v>
      </c>
      <c r="CD244" s="144">
        <v>0</v>
      </c>
      <c r="CE244" s="144">
        <v>0</v>
      </c>
      <c r="CF244" s="144">
        <v>0</v>
      </c>
      <c r="CG244" s="144">
        <v>0</v>
      </c>
      <c r="CH244" s="144">
        <v>0</v>
      </c>
      <c r="CI244" s="144">
        <v>0</v>
      </c>
      <c r="CJ244" s="144">
        <v>0</v>
      </c>
      <c r="CK244" s="144">
        <v>0</v>
      </c>
      <c r="CL244" s="144">
        <v>0</v>
      </c>
      <c r="CM244" s="144">
        <v>0</v>
      </c>
      <c r="CN244" s="144">
        <v>0</v>
      </c>
      <c r="CO244" s="144">
        <v>0</v>
      </c>
      <c r="CP244" s="144">
        <v>0</v>
      </c>
      <c r="CQ244" s="143">
        <v>0</v>
      </c>
      <c r="CR244" s="145">
        <v>0</v>
      </c>
      <c r="CS244" s="145">
        <v>0</v>
      </c>
      <c r="CT244" s="145">
        <v>0</v>
      </c>
      <c r="CU244" s="145">
        <v>0</v>
      </c>
      <c r="CV244" s="145">
        <v>0</v>
      </c>
      <c r="CW244" s="145">
        <v>0</v>
      </c>
      <c r="CX244" s="145">
        <v>0</v>
      </c>
      <c r="CY244" s="145">
        <v>0</v>
      </c>
      <c r="CZ244" s="145">
        <v>0</v>
      </c>
      <c r="DA244" s="145">
        <v>0</v>
      </c>
      <c r="DB244" s="145">
        <v>0</v>
      </c>
      <c r="DC244" s="145">
        <v>0</v>
      </c>
      <c r="DD244" s="145">
        <v>0</v>
      </c>
      <c r="DE244" s="145">
        <v>0</v>
      </c>
      <c r="DF244" s="145">
        <v>0</v>
      </c>
      <c r="DG244" s="145">
        <v>0</v>
      </c>
      <c r="DH244" s="145">
        <v>0</v>
      </c>
      <c r="DI244" s="145">
        <v>0</v>
      </c>
      <c r="DJ244" s="145">
        <v>0</v>
      </c>
      <c r="DK244" s="145">
        <v>0</v>
      </c>
      <c r="DL244" s="145">
        <v>0</v>
      </c>
      <c r="DM244" s="145">
        <v>14191.099999999999</v>
      </c>
      <c r="DN244" s="145">
        <v>14191.099999999999</v>
      </c>
      <c r="DO244" s="145">
        <v>14191.099999999999</v>
      </c>
      <c r="DP244" s="145">
        <v>14191.099999999999</v>
      </c>
      <c r="DQ244" s="145">
        <v>0</v>
      </c>
      <c r="DR244" s="145">
        <v>0</v>
      </c>
      <c r="DS244" s="145">
        <v>7311.15</v>
      </c>
      <c r="DT244" s="145">
        <v>7311.15</v>
      </c>
      <c r="DU244" s="145">
        <v>7311.15</v>
      </c>
      <c r="DV244" s="145">
        <v>0</v>
      </c>
      <c r="DW244" s="145">
        <v>0</v>
      </c>
      <c r="DX244" s="145">
        <v>0</v>
      </c>
      <c r="DY244" s="145">
        <v>0</v>
      </c>
      <c r="DZ244" s="145">
        <v>0</v>
      </c>
      <c r="EA244" s="145">
        <v>14622.3</v>
      </c>
      <c r="EB244" s="145">
        <v>14622.3</v>
      </c>
      <c r="EC244" s="145">
        <v>14622.3</v>
      </c>
      <c r="ED244" s="145">
        <v>15054.2</v>
      </c>
      <c r="EE244" s="145">
        <v>15054.2</v>
      </c>
      <c r="EF244" s="145">
        <v>15054.2</v>
      </c>
      <c r="EG244" s="145">
        <v>0</v>
      </c>
      <c r="EH244" s="145">
        <v>7527.1</v>
      </c>
      <c r="EI244" s="145">
        <v>7527.1</v>
      </c>
      <c r="EJ244" s="145">
        <v>7527.1</v>
      </c>
      <c r="EK244" s="145">
        <v>7527.1</v>
      </c>
      <c r="EL244" s="145">
        <v>7527.1</v>
      </c>
      <c r="EM244" s="145">
        <v>0</v>
      </c>
      <c r="EN244" s="145">
        <v>0</v>
      </c>
      <c r="EO244" s="145">
        <v>0</v>
      </c>
      <c r="EP244" s="145">
        <v>0</v>
      </c>
      <c r="EQ244" s="145">
        <v>0</v>
      </c>
      <c r="ER244" s="145">
        <v>0</v>
      </c>
      <c r="ES244" s="145">
        <v>0</v>
      </c>
      <c r="ET244" s="145">
        <v>0</v>
      </c>
      <c r="EU244" s="145">
        <v>0</v>
      </c>
      <c r="EV244" s="145">
        <v>0</v>
      </c>
      <c r="EW244" s="145">
        <v>0</v>
      </c>
      <c r="EX244" s="145">
        <v>0</v>
      </c>
      <c r="EY244" s="145">
        <v>0</v>
      </c>
      <c r="EZ244" s="145">
        <v>0</v>
      </c>
      <c r="FA244" s="145">
        <v>0</v>
      </c>
      <c r="FB244" s="145">
        <v>0</v>
      </c>
      <c r="FC244" s="145">
        <v>0</v>
      </c>
      <c r="FD244" s="145">
        <v>0</v>
      </c>
      <c r="FE244" s="145">
        <v>0</v>
      </c>
      <c r="FF244" s="145">
        <v>0</v>
      </c>
      <c r="FG244" s="145">
        <v>0</v>
      </c>
      <c r="FH244" s="145">
        <v>0</v>
      </c>
      <c r="FI244" s="145">
        <v>0</v>
      </c>
      <c r="FJ244" s="145">
        <v>0</v>
      </c>
      <c r="FK244" s="145">
        <v>0</v>
      </c>
      <c r="FL244" s="145">
        <v>0</v>
      </c>
      <c r="FM244" s="145">
        <v>0</v>
      </c>
      <c r="FN244" s="145">
        <v>0</v>
      </c>
      <c r="FO244" s="145">
        <v>0</v>
      </c>
      <c r="FP244" s="145">
        <v>0</v>
      </c>
      <c r="FQ244" s="145">
        <v>0</v>
      </c>
      <c r="FR244" s="145">
        <v>0</v>
      </c>
      <c r="FS244" s="145">
        <v>0</v>
      </c>
      <c r="FT244" s="145">
        <v>0</v>
      </c>
      <c r="FU244" s="145">
        <v>0</v>
      </c>
      <c r="FV244" s="145">
        <v>0</v>
      </c>
      <c r="FW244" s="145">
        <v>0</v>
      </c>
      <c r="FX244" s="143"/>
      <c r="FY244" s="146" t="str">
        <f>_xlfn.XLOOKUP($E244,'Key assumptions'!$B$112:$B$120,'Key assumptions'!$C$112:$C$120,0)</f>
        <v>Nominal</v>
      </c>
      <c r="FZ244" s="146" cm="1">
        <f t="array" ref="FZ244">IF($FY244=0,0,_xlfn.IFS($FY244='Key assumptions'!$C$120,_xlfn.XLOOKUP(LEFT(FZ$7,6),Inflation_Year,Inflation_NominaltoReal),TRUE,_xlfn.XLOOKUP($FY244,Inflation_Year,NominaltoReal)))</f>
        <v>1.0197075870962191</v>
      </c>
      <c r="GA244" s="146" cm="1">
        <f t="array" ref="GA244">IF($FY244=0,0,_xlfn.IFS($FY244='Key assumptions'!$C$120,_xlfn.XLOOKUP(LEFT(GA$7,6),Inflation_Year,Inflation_NominaltoReal),TRUE,_xlfn.XLOOKUP($FY244,Inflation_Year,NominaltoReal)))</f>
        <v>0.98700804022984445</v>
      </c>
      <c r="GB244" s="146" cm="1">
        <f t="array" ref="GB244">IF($FY244=0,0,_xlfn.IFS($FY244='Key assumptions'!$C$120,_xlfn.XLOOKUP(LEFT(GB$7,6),Inflation_Year,Inflation_NominaltoReal),TRUE,_xlfn.XLOOKUP($FY244,Inflation_Year,NominaltoReal)))</f>
        <v>0.96152830081941731</v>
      </c>
      <c r="GC244" s="146" cm="1">
        <f t="array" ref="GC244">IF($FY244=0,0,_xlfn.IFS($FY244='Key assumptions'!$C$120,_xlfn.XLOOKUP(LEFT(GC$7,6),Inflation_Year,Inflation_NominaltoReal),TRUE,_xlfn.XLOOKUP($FY244,Inflation_Year,NominaltoReal)))</f>
        <v>0.93670632415656829</v>
      </c>
      <c r="GD244" s="146" cm="1">
        <f t="array" ref="GD244">IF($FY244=0,0,_xlfn.IFS($FY244='Key assumptions'!$C$120,_xlfn.XLOOKUP(LEFT(GD$7,6),Inflation_Year,Inflation_NominaltoReal),TRUE,_xlfn.XLOOKUP($FY244,Inflation_Year,NominaltoReal)))</f>
        <v>0.91252513001143176</v>
      </c>
      <c r="GE244" s="146" cm="1">
        <f t="array" ref="GE244">IF($FY244=0,0,_xlfn.IFS($FY244='Key assumptions'!$C$120,_xlfn.XLOOKUP(LEFT(GE$7,6),Inflation_Year,Inflation_NominaltoReal),TRUE,_xlfn.XLOOKUP($FY244,Inflation_Year,NominaltoReal)))</f>
        <v>0.88896817650095872</v>
      </c>
      <c r="GF244" s="146" cm="1">
        <f t="array" ref="GF244">IF($FY244=0,0,_xlfn.IFS($FY244='Key assumptions'!$C$120,_xlfn.XLOOKUP(LEFT(GF$7,6),Inflation_Year,Inflation_NominaltoReal),TRUE,_xlfn.XLOOKUP($FY244,Inflation_Year,NominaltoReal)))</f>
        <v>0.86601934877293718</v>
      </c>
      <c r="GG244" s="143"/>
      <c r="GH244" s="145" cm="1">
        <f t="array" ref="GH244">SUMPRODUCT(--($CR$7:$FW$7&gt;=GH$5),--($CR$7:$FW$7&lt;=GH$6),$CR244:$FW244)*FZ244</f>
        <v>0</v>
      </c>
      <c r="GI244" s="145" cm="1">
        <f t="array" ref="GI244">SUMPRODUCT(--($CR$7:$FW$7&gt;=GI$5),--($CR$7:$FW$7&lt;=GI$6),$CR244:$FW244)*GA244</f>
        <v>77675.410698802254</v>
      </c>
      <c r="GJ244" s="145" cm="1">
        <f t="array" ref="GJ244">SUMPRODUCT(--($CR$7:$FW$7&gt;=GJ$5),--($CR$7:$FW$7&lt;=GJ$6),$CR244:$FW244)*GB244</f>
        <v>107316.94287709582</v>
      </c>
      <c r="GK244" s="145" cm="1">
        <f t="array" ref="GK244">SUMPRODUCT(--($CR$7:$FW$7&gt;=GK$5),--($CR$7:$FW$7&lt;=GK$6),$CR244:$FW244)*GC244</f>
        <v>14101.36434511781</v>
      </c>
      <c r="GL244" s="145" cm="1">
        <f t="array" ref="GL244">SUMPRODUCT(--($CR$7:$FW$7&gt;=GL$5),--($CR$7:$FW$7&lt;=GL$6),$CR244:$FW244)*GD244</f>
        <v>0</v>
      </c>
      <c r="GM244" s="145" cm="1">
        <f t="array" ref="GM244">SUMPRODUCT(--($CR$7:$FW$7&gt;=GM$5),--($CR$7:$FW$7&lt;=GM$6),$CR244:$FW244)*GE244</f>
        <v>0</v>
      </c>
      <c r="GN244" s="145" cm="1">
        <f t="array" ref="GN244">SUMPRODUCT(--($CR$7:$FW$7&gt;=GN$5),--($CR$7:$FW$7&lt;=GN$6),$CR244:$FW244)*GF244</f>
        <v>0</v>
      </c>
      <c r="GO244" s="145">
        <f t="shared" si="69"/>
        <v>199093.71792101589</v>
      </c>
      <c r="GP244" s="87"/>
      <c r="GR244" s="145" cm="1">
        <f t="array" ref="GR244">SUMPRODUCT(--($CR$7:$FW$7&gt;=GR$5),--($CR$7:$FW$7&lt;=GR$6),$CR244:$FW244)</f>
        <v>0</v>
      </c>
      <c r="GT244" s="214" cm="1">
        <f t="array" ref="GT244">--AND(MIN(IF($K244:$CP244&lt;&gt;0,$K$7:$CP$7))&gt;=GT$5,MIN(IF($K244:$CP244&lt;&gt;0,$K$7:$CP$7))&lt;=GT$6)</f>
        <v>0</v>
      </c>
      <c r="GU244" s="214" cm="1">
        <f t="array" ref="GU244">--AND(MIN(IF($K244:$CP244&lt;&gt;0,$K$7:$CP$7))&gt;=GU$5,MIN(IF($K244:$CP244&lt;&gt;0,$K$7:$CP$7))&lt;=GU$6)</f>
        <v>1</v>
      </c>
      <c r="GV244" s="214" cm="1">
        <f t="array" ref="GV244">--AND(MIN(IF($K244:$CP244&lt;&gt;0,$K$7:$CP$7))&gt;=GV$5,MIN(IF($K244:$CP244&lt;&gt;0,$K$7:$CP$7))&lt;=GV$6)</f>
        <v>0</v>
      </c>
      <c r="GW244" s="214" cm="1">
        <f t="array" ref="GW244">--AND(MIN(IF($K244:$CP244&lt;&gt;0,$K$7:$CP$7))&gt;=GW$5,MIN(IF($K244:$CP244&lt;&gt;0,$K$7:$CP$7))&lt;=GW$6)</f>
        <v>0</v>
      </c>
      <c r="GX244" s="214" cm="1">
        <f t="array" ref="GX244">--AND(MIN(IF($K244:$CP244&lt;&gt;0,$K$7:$CP$7))&gt;=GX$5,MIN(IF($K244:$CP244&lt;&gt;0,$K$7:$CP$7))&lt;=GX$6)</f>
        <v>0</v>
      </c>
      <c r="GY244" s="214" cm="1">
        <f t="array" ref="GY244">--AND(MIN(IF($K244:$CP244&lt;&gt;0,$K$7:$CP$7))&gt;=GY$5,MIN(IF($K244:$CP244&lt;&gt;0,$K$7:$CP$7))&lt;=GY$6)</f>
        <v>0</v>
      </c>
      <c r="GZ244" s="214" cm="1">
        <f t="array" ref="GZ244">--AND(MIN(IF($K244:$CP244&lt;&gt;0,$K$7:$CP$7))&gt;=GZ$5,MIN(IF($K244:$CP244&lt;&gt;0,$K$7:$CP$7))&lt;=GZ$6)</f>
        <v>0</v>
      </c>
      <c r="HA244" s="214">
        <f t="shared" si="70"/>
        <v>1</v>
      </c>
      <c r="HC244" s="214" cm="1">
        <f t="array" ref="HC244">--AND(MIN(IF($K244:$CP244&lt;&gt;0,$K$7:$CP$7))&gt;=HC$5,MIN(IF($K244:$CP244&lt;&gt;0,$K$7:$CP$7))&lt;=HC$6)</f>
        <v>0</v>
      </c>
      <c r="HE244" s="147" t="str">
        <f t="shared" si="89"/>
        <v>No</v>
      </c>
      <c r="HF244" s="147" t="str">
        <f t="shared" si="90"/>
        <v>No</v>
      </c>
      <c r="HG244" s="147">
        <f>IF($HF244="Yes",0,$H244*avg_hrs*12*'Key assumptions'!$D$87)</f>
        <v>362535.77629630821</v>
      </c>
      <c r="HH244" s="147">
        <f>IF(HE244="Yes",'Key assumptions'!$D$84*HG244,0)</f>
        <v>0</v>
      </c>
      <c r="HI244" s="144">
        <f>IFERROR(AVERAGEIFS($K244:$CP244,$K$7:$CP$7,"&gt;="&amp;'Key assumptions'!$D$24,$K$7:$CP$7,"&lt;="&amp;'Key assumptions'!$D$25),0)</f>
        <v>0.17812998405103667</v>
      </c>
      <c r="HJ244" s="148">
        <f t="shared" si="91"/>
        <v>0</v>
      </c>
      <c r="HK244" s="148">
        <f t="shared" si="72"/>
        <v>0</v>
      </c>
      <c r="HL244" s="148">
        <f t="shared" si="73"/>
        <v>0</v>
      </c>
      <c r="HM244" s="148">
        <f t="shared" si="74"/>
        <v>0</v>
      </c>
      <c r="HN244" s="148">
        <f t="shared" si="75"/>
        <v>0</v>
      </c>
      <c r="HO244" s="148">
        <f t="shared" si="76"/>
        <v>0</v>
      </c>
      <c r="HP244" s="148">
        <f t="shared" si="77"/>
        <v>0</v>
      </c>
      <c r="HQ244" s="148">
        <f t="shared" si="78"/>
        <v>0</v>
      </c>
      <c r="HR244" s="147">
        <f t="shared" si="79"/>
        <v>0</v>
      </c>
      <c r="HU244" s="147">
        <f>$HJ244*HC244/(1+'Key assumptions'!G266)^0.75</f>
        <v>0</v>
      </c>
      <c r="HW244" s="216">
        <f t="shared" si="80"/>
        <v>0</v>
      </c>
      <c r="HX244" s="216">
        <f t="shared" si="81"/>
        <v>0.17812998405103667</v>
      </c>
      <c r="HY244" s="216">
        <f t="shared" si="82"/>
        <v>0</v>
      </c>
      <c r="HZ244" s="216">
        <f t="shared" si="83"/>
        <v>0</v>
      </c>
      <c r="IA244" s="216">
        <f t="shared" si="84"/>
        <v>0</v>
      </c>
      <c r="IB244" s="216">
        <f t="shared" si="85"/>
        <v>0</v>
      </c>
      <c r="IC244" s="216">
        <f t="shared" si="86"/>
        <v>0</v>
      </c>
      <c r="ID244" s="216">
        <f t="shared" si="87"/>
        <v>0.17812998405103667</v>
      </c>
      <c r="IF244" s="216">
        <f t="shared" si="88"/>
        <v>0</v>
      </c>
    </row>
    <row r="245" spans="2:240" x14ac:dyDescent="0.2">
      <c r="B245" s="141" t="str">
        <v>Project Delivery Management - Commissioning</v>
      </c>
      <c r="C245" s="141" t="str">
        <v>Secondary Systems Technician (Construction)</v>
      </c>
      <c r="D245" s="141" t="str">
        <v>Internal Labour</v>
      </c>
      <c r="E245" s="141" t="str">
        <v>$ Nominal</v>
      </c>
      <c r="F245" s="141" t="str">
        <v>Existing</v>
      </c>
      <c r="G245" s="141" t="str">
        <v>Normal time</v>
      </c>
      <c r="H245" s="142">
        <v>195.66</v>
      </c>
      <c r="I245" s="126">
        <v>220964.94</v>
      </c>
      <c r="J245" s="143">
        <v>0</v>
      </c>
      <c r="K245" s="144">
        <v>0</v>
      </c>
      <c r="L245" s="144">
        <v>0</v>
      </c>
      <c r="M245" s="144">
        <v>0</v>
      </c>
      <c r="N245" s="144">
        <v>0</v>
      </c>
      <c r="O245" s="144">
        <v>0</v>
      </c>
      <c r="P245" s="144">
        <v>0</v>
      </c>
      <c r="Q245" s="144">
        <v>0</v>
      </c>
      <c r="R245" s="144">
        <v>0</v>
      </c>
      <c r="S245" s="144">
        <v>0</v>
      </c>
      <c r="T245" s="144">
        <v>0</v>
      </c>
      <c r="U245" s="144">
        <v>0</v>
      </c>
      <c r="V245" s="144">
        <v>0</v>
      </c>
      <c r="W245" s="144">
        <v>0</v>
      </c>
      <c r="X245" s="144">
        <v>0</v>
      </c>
      <c r="Y245" s="144">
        <v>0</v>
      </c>
      <c r="Z245" s="144">
        <v>0</v>
      </c>
      <c r="AA245" s="144">
        <v>0</v>
      </c>
      <c r="AB245" s="144">
        <v>0</v>
      </c>
      <c r="AC245" s="144">
        <v>0</v>
      </c>
      <c r="AD245" s="144">
        <v>0</v>
      </c>
      <c r="AE245" s="144">
        <v>0</v>
      </c>
      <c r="AF245" s="144">
        <v>0</v>
      </c>
      <c r="AG245" s="144">
        <v>0</v>
      </c>
      <c r="AH245" s="144">
        <v>0</v>
      </c>
      <c r="AI245" s="144">
        <v>0</v>
      </c>
      <c r="AJ245" s="144">
        <v>1.1000000000000001</v>
      </c>
      <c r="AK245" s="144">
        <v>1.55</v>
      </c>
      <c r="AL245" s="144">
        <v>0</v>
      </c>
      <c r="AM245" s="144">
        <v>1.4276315789473684</v>
      </c>
      <c r="AN245" s="144">
        <v>1.381578947368421</v>
      </c>
      <c r="AO245" s="144">
        <v>0</v>
      </c>
      <c r="AP245" s="144">
        <v>0</v>
      </c>
      <c r="AQ245" s="144">
        <v>0</v>
      </c>
      <c r="AR245" s="144">
        <v>0</v>
      </c>
      <c r="AS245" s="144">
        <v>0</v>
      </c>
      <c r="AT245" s="144">
        <v>0</v>
      </c>
      <c r="AU245" s="144">
        <v>0</v>
      </c>
      <c r="AV245" s="144">
        <v>0</v>
      </c>
      <c r="AW245" s="144">
        <v>0</v>
      </c>
      <c r="AX245" s="144">
        <v>0</v>
      </c>
      <c r="AY245" s="144">
        <v>0</v>
      </c>
      <c r="AZ245" s="144">
        <v>0</v>
      </c>
      <c r="BA245" s="144">
        <v>1.1000000000000001</v>
      </c>
      <c r="BB245" s="144">
        <v>0.5</v>
      </c>
      <c r="BC245" s="144">
        <v>0.5</v>
      </c>
      <c r="BD245" s="144">
        <v>0</v>
      </c>
      <c r="BE245" s="144">
        <v>0</v>
      </c>
      <c r="BF245" s="144">
        <v>0</v>
      </c>
      <c r="BG245" s="144">
        <v>0</v>
      </c>
      <c r="BH245" s="144">
        <v>0</v>
      </c>
      <c r="BI245" s="144">
        <v>0</v>
      </c>
      <c r="BJ245" s="144">
        <v>0</v>
      </c>
      <c r="BK245" s="144">
        <v>0</v>
      </c>
      <c r="BL245" s="144">
        <v>0</v>
      </c>
      <c r="BM245" s="144">
        <v>0</v>
      </c>
      <c r="BN245" s="144">
        <v>0</v>
      </c>
      <c r="BO245" s="144">
        <v>0</v>
      </c>
      <c r="BP245" s="144">
        <v>0</v>
      </c>
      <c r="BQ245" s="144">
        <v>0</v>
      </c>
      <c r="BR245" s="144">
        <v>0</v>
      </c>
      <c r="BS245" s="144">
        <v>0</v>
      </c>
      <c r="BT245" s="144">
        <v>0</v>
      </c>
      <c r="BU245" s="144">
        <v>0</v>
      </c>
      <c r="BV245" s="144">
        <v>0</v>
      </c>
      <c r="BW245" s="144">
        <v>0</v>
      </c>
      <c r="BX245" s="144">
        <v>0</v>
      </c>
      <c r="BY245" s="144">
        <v>0</v>
      </c>
      <c r="BZ245" s="144">
        <v>0</v>
      </c>
      <c r="CA245" s="144">
        <v>0</v>
      </c>
      <c r="CB245" s="144">
        <v>0</v>
      </c>
      <c r="CC245" s="144">
        <v>0</v>
      </c>
      <c r="CD245" s="144">
        <v>0</v>
      </c>
      <c r="CE245" s="144">
        <v>0</v>
      </c>
      <c r="CF245" s="144">
        <v>0</v>
      </c>
      <c r="CG245" s="144">
        <v>0</v>
      </c>
      <c r="CH245" s="144">
        <v>0</v>
      </c>
      <c r="CI245" s="144">
        <v>0</v>
      </c>
      <c r="CJ245" s="144">
        <v>0</v>
      </c>
      <c r="CK245" s="144">
        <v>0</v>
      </c>
      <c r="CL245" s="144">
        <v>0</v>
      </c>
      <c r="CM245" s="144">
        <v>0</v>
      </c>
      <c r="CN245" s="144">
        <v>0</v>
      </c>
      <c r="CO245" s="144">
        <v>0</v>
      </c>
      <c r="CP245" s="144">
        <v>0</v>
      </c>
      <c r="CQ245" s="143">
        <v>0</v>
      </c>
      <c r="CR245" s="145">
        <v>0</v>
      </c>
      <c r="CS245" s="145">
        <v>0</v>
      </c>
      <c r="CT245" s="145">
        <v>0</v>
      </c>
      <c r="CU245" s="145">
        <v>0</v>
      </c>
      <c r="CV245" s="145">
        <v>0</v>
      </c>
      <c r="CW245" s="145">
        <v>0</v>
      </c>
      <c r="CX245" s="145">
        <v>0</v>
      </c>
      <c r="CY245" s="145">
        <v>0</v>
      </c>
      <c r="CZ245" s="145">
        <v>0</v>
      </c>
      <c r="DA245" s="145">
        <v>0</v>
      </c>
      <c r="DB245" s="145">
        <v>0</v>
      </c>
      <c r="DC245" s="145">
        <v>0</v>
      </c>
      <c r="DD245" s="145">
        <v>0</v>
      </c>
      <c r="DE245" s="145">
        <v>0</v>
      </c>
      <c r="DF245" s="145">
        <v>0</v>
      </c>
      <c r="DG245" s="145">
        <v>0</v>
      </c>
      <c r="DH245" s="145">
        <v>0</v>
      </c>
      <c r="DI245" s="145">
        <v>0</v>
      </c>
      <c r="DJ245" s="145">
        <v>0</v>
      </c>
      <c r="DK245" s="145">
        <v>0</v>
      </c>
      <c r="DL245" s="145">
        <v>0</v>
      </c>
      <c r="DM245" s="145">
        <v>0</v>
      </c>
      <c r="DN245" s="145">
        <v>0</v>
      </c>
      <c r="DO245" s="145">
        <v>0</v>
      </c>
      <c r="DP245" s="145">
        <v>0</v>
      </c>
      <c r="DQ245" s="145">
        <v>30130.100000000002</v>
      </c>
      <c r="DR245" s="145">
        <v>43745.03</v>
      </c>
      <c r="DS245" s="145">
        <v>0</v>
      </c>
      <c r="DT245" s="145">
        <v>43745.03</v>
      </c>
      <c r="DU245" s="145">
        <v>42333.9</v>
      </c>
      <c r="DV245" s="145">
        <v>0</v>
      </c>
      <c r="DW245" s="145">
        <v>0</v>
      </c>
      <c r="DX245" s="145">
        <v>0</v>
      </c>
      <c r="DY245" s="145">
        <v>0</v>
      </c>
      <c r="DZ245" s="145">
        <v>0</v>
      </c>
      <c r="EA245" s="145">
        <v>0</v>
      </c>
      <c r="EB245" s="145">
        <v>0</v>
      </c>
      <c r="EC245" s="145">
        <v>0</v>
      </c>
      <c r="ED245" s="145">
        <v>0</v>
      </c>
      <c r="EE245" s="145">
        <v>0</v>
      </c>
      <c r="EF245" s="145">
        <v>0</v>
      </c>
      <c r="EG245" s="145">
        <v>0</v>
      </c>
      <c r="EH245" s="145">
        <v>31958.080000000002</v>
      </c>
      <c r="EI245" s="145">
        <v>14526.400000000001</v>
      </c>
      <c r="EJ245" s="145">
        <v>14526.400000000001</v>
      </c>
      <c r="EK245" s="145">
        <v>0</v>
      </c>
      <c r="EL245" s="145">
        <v>0</v>
      </c>
      <c r="EM245" s="145">
        <v>0</v>
      </c>
      <c r="EN245" s="145">
        <v>0</v>
      </c>
      <c r="EO245" s="145">
        <v>0</v>
      </c>
      <c r="EP245" s="145">
        <v>0</v>
      </c>
      <c r="EQ245" s="145">
        <v>0</v>
      </c>
      <c r="ER245" s="145">
        <v>0</v>
      </c>
      <c r="ES245" s="145">
        <v>0</v>
      </c>
      <c r="ET245" s="145">
        <v>0</v>
      </c>
      <c r="EU245" s="145">
        <v>0</v>
      </c>
      <c r="EV245" s="145">
        <v>0</v>
      </c>
      <c r="EW245" s="145">
        <v>0</v>
      </c>
      <c r="EX245" s="145">
        <v>0</v>
      </c>
      <c r="EY245" s="145">
        <v>0</v>
      </c>
      <c r="EZ245" s="145">
        <v>0</v>
      </c>
      <c r="FA245" s="145">
        <v>0</v>
      </c>
      <c r="FB245" s="145">
        <v>0</v>
      </c>
      <c r="FC245" s="145">
        <v>0</v>
      </c>
      <c r="FD245" s="145">
        <v>0</v>
      </c>
      <c r="FE245" s="145">
        <v>0</v>
      </c>
      <c r="FF245" s="145">
        <v>0</v>
      </c>
      <c r="FG245" s="145">
        <v>0</v>
      </c>
      <c r="FH245" s="145">
        <v>0</v>
      </c>
      <c r="FI245" s="145">
        <v>0</v>
      </c>
      <c r="FJ245" s="145">
        <v>0</v>
      </c>
      <c r="FK245" s="145">
        <v>0</v>
      </c>
      <c r="FL245" s="145">
        <v>0</v>
      </c>
      <c r="FM245" s="145">
        <v>0</v>
      </c>
      <c r="FN245" s="145">
        <v>0</v>
      </c>
      <c r="FO245" s="145">
        <v>0</v>
      </c>
      <c r="FP245" s="145">
        <v>0</v>
      </c>
      <c r="FQ245" s="145">
        <v>0</v>
      </c>
      <c r="FR245" s="145">
        <v>0</v>
      </c>
      <c r="FS245" s="145">
        <v>0</v>
      </c>
      <c r="FT245" s="145">
        <v>0</v>
      </c>
      <c r="FU245" s="145">
        <v>0</v>
      </c>
      <c r="FV245" s="145">
        <v>0</v>
      </c>
      <c r="FW245" s="145">
        <v>0</v>
      </c>
      <c r="FX245" s="143"/>
      <c r="FY245" s="146" t="str">
        <f>_xlfn.XLOOKUP($E245,'Key assumptions'!$B$112:$B$120,'Key assumptions'!$C$112:$C$120,0)</f>
        <v>Nominal</v>
      </c>
      <c r="FZ245" s="146" cm="1">
        <f t="array" ref="FZ245">IF($FY245=0,0,_xlfn.IFS($FY245='Key assumptions'!$C$120,_xlfn.XLOOKUP(LEFT(FZ$7,6),Inflation_Year,Inflation_NominaltoReal),TRUE,_xlfn.XLOOKUP($FY245,Inflation_Year,NominaltoReal)))</f>
        <v>1.0197075870962191</v>
      </c>
      <c r="GA245" s="146" cm="1">
        <f t="array" ref="GA245">IF($FY245=0,0,_xlfn.IFS($FY245='Key assumptions'!$C$120,_xlfn.XLOOKUP(LEFT(GA$7,6),Inflation_Year,Inflation_NominaltoReal),TRUE,_xlfn.XLOOKUP($FY245,Inflation_Year,NominaltoReal)))</f>
        <v>0.98700804022984445</v>
      </c>
      <c r="GB245" s="146" cm="1">
        <f t="array" ref="GB245">IF($FY245=0,0,_xlfn.IFS($FY245='Key assumptions'!$C$120,_xlfn.XLOOKUP(LEFT(GB$7,6),Inflation_Year,Inflation_NominaltoReal),TRUE,_xlfn.XLOOKUP($FY245,Inflation_Year,NominaltoReal)))</f>
        <v>0.96152830081941731</v>
      </c>
      <c r="GC245" s="146" cm="1">
        <f t="array" ref="GC245">IF($FY245=0,0,_xlfn.IFS($FY245='Key assumptions'!$C$120,_xlfn.XLOOKUP(LEFT(GC$7,6),Inflation_Year,Inflation_NominaltoReal),TRUE,_xlfn.XLOOKUP($FY245,Inflation_Year,NominaltoReal)))</f>
        <v>0.93670632415656829</v>
      </c>
      <c r="GD245" s="146" cm="1">
        <f t="array" ref="GD245">IF($FY245=0,0,_xlfn.IFS($FY245='Key assumptions'!$C$120,_xlfn.XLOOKUP(LEFT(GD$7,6),Inflation_Year,Inflation_NominaltoReal),TRUE,_xlfn.XLOOKUP($FY245,Inflation_Year,NominaltoReal)))</f>
        <v>0.91252513001143176</v>
      </c>
      <c r="GE245" s="146" cm="1">
        <f t="array" ref="GE245">IF($FY245=0,0,_xlfn.IFS($FY245='Key assumptions'!$C$120,_xlfn.XLOOKUP(LEFT(GE$7,6),Inflation_Year,Inflation_NominaltoReal),TRUE,_xlfn.XLOOKUP($FY245,Inflation_Year,NominaltoReal)))</f>
        <v>0.88896817650095872</v>
      </c>
      <c r="GF245" s="146" cm="1">
        <f t="array" ref="GF245">IF($FY245=0,0,_xlfn.IFS($FY245='Key assumptions'!$C$120,_xlfn.XLOOKUP(LEFT(GF$7,6),Inflation_Year,Inflation_NominaltoReal),TRUE,_xlfn.XLOOKUP($FY245,Inflation_Year,NominaltoReal)))</f>
        <v>0.86601934877293718</v>
      </c>
      <c r="GG245" s="143"/>
      <c r="GH245" s="145" cm="1">
        <f t="array" ref="GH245">SUMPRODUCT(--($CR$7:$FW$7&gt;=GH$5),--($CR$7:$FW$7&lt;=GH$6),$CR245:$FW245)*FZ245</f>
        <v>0</v>
      </c>
      <c r="GI245" s="145" cm="1">
        <f t="array" ref="GI245">SUMPRODUCT(--($CR$7:$FW$7&gt;=GI$5),--($CR$7:$FW$7&lt;=GI$6),$CR245:$FW245)*GA245</f>
        <v>157875.94328740696</v>
      </c>
      <c r="GJ245" s="145" cm="1">
        <f t="array" ref="GJ245">SUMPRODUCT(--($CR$7:$FW$7&gt;=GJ$5),--($CR$7:$FW$7&lt;=GJ$6),$CR245:$FW245)*GB245</f>
        <v>58663.687777897379</v>
      </c>
      <c r="GK245" s="145" cm="1">
        <f t="array" ref="GK245">SUMPRODUCT(--($CR$7:$FW$7&gt;=GK$5),--($CR$7:$FW$7&lt;=GK$6),$CR245:$FW245)*GC245</f>
        <v>0</v>
      </c>
      <c r="GL245" s="145" cm="1">
        <f t="array" ref="GL245">SUMPRODUCT(--($CR$7:$FW$7&gt;=GL$5),--($CR$7:$FW$7&lt;=GL$6),$CR245:$FW245)*GD245</f>
        <v>0</v>
      </c>
      <c r="GM245" s="145" cm="1">
        <f t="array" ref="GM245">SUMPRODUCT(--($CR$7:$FW$7&gt;=GM$5),--($CR$7:$FW$7&lt;=GM$6),$CR245:$FW245)*GE245</f>
        <v>0</v>
      </c>
      <c r="GN245" s="145" cm="1">
        <f t="array" ref="GN245">SUMPRODUCT(--($CR$7:$FW$7&gt;=GN$5),--($CR$7:$FW$7&lt;=GN$6),$CR245:$FW245)*GF245</f>
        <v>0</v>
      </c>
      <c r="GO245" s="145">
        <f t="shared" si="69"/>
        <v>216539.63106530433</v>
      </c>
      <c r="GP245" s="87"/>
      <c r="GR245" s="145" cm="1">
        <f t="array" ref="GR245">SUMPRODUCT(--($CR$7:$FW$7&gt;=GR$5),--($CR$7:$FW$7&lt;=GR$6),$CR245:$FW245)</f>
        <v>0</v>
      </c>
      <c r="GT245" s="214" cm="1">
        <f t="array" ref="GT245">--AND(MIN(IF($K245:$CP245&lt;&gt;0,$K$7:$CP$7))&gt;=GT$5,MIN(IF($K245:$CP245&lt;&gt;0,$K$7:$CP$7))&lt;=GT$6)</f>
        <v>0</v>
      </c>
      <c r="GU245" s="214" cm="1">
        <f t="array" ref="GU245">--AND(MIN(IF($K245:$CP245&lt;&gt;0,$K$7:$CP$7))&gt;=GU$5,MIN(IF($K245:$CP245&lt;&gt;0,$K$7:$CP$7))&lt;=GU$6)</f>
        <v>1</v>
      </c>
      <c r="GV245" s="214" cm="1">
        <f t="array" ref="GV245">--AND(MIN(IF($K245:$CP245&lt;&gt;0,$K$7:$CP$7))&gt;=GV$5,MIN(IF($K245:$CP245&lt;&gt;0,$K$7:$CP$7))&lt;=GV$6)</f>
        <v>0</v>
      </c>
      <c r="GW245" s="214" cm="1">
        <f t="array" ref="GW245">--AND(MIN(IF($K245:$CP245&lt;&gt;0,$K$7:$CP$7))&gt;=GW$5,MIN(IF($K245:$CP245&lt;&gt;0,$K$7:$CP$7))&lt;=GW$6)</f>
        <v>0</v>
      </c>
      <c r="GX245" s="214" cm="1">
        <f t="array" ref="GX245">--AND(MIN(IF($K245:$CP245&lt;&gt;0,$K$7:$CP$7))&gt;=GX$5,MIN(IF($K245:$CP245&lt;&gt;0,$K$7:$CP$7))&lt;=GX$6)</f>
        <v>0</v>
      </c>
      <c r="GY245" s="214" cm="1">
        <f t="array" ref="GY245">--AND(MIN(IF($K245:$CP245&lt;&gt;0,$K$7:$CP$7))&gt;=GY$5,MIN(IF($K245:$CP245&lt;&gt;0,$K$7:$CP$7))&lt;=GY$6)</f>
        <v>0</v>
      </c>
      <c r="GZ245" s="214" cm="1">
        <f t="array" ref="GZ245">--AND(MIN(IF($K245:$CP245&lt;&gt;0,$K$7:$CP$7))&gt;=GZ$5,MIN(IF($K245:$CP245&lt;&gt;0,$K$7:$CP$7))&lt;=GZ$6)</f>
        <v>0</v>
      </c>
      <c r="HA245" s="214">
        <f t="shared" si="70"/>
        <v>1</v>
      </c>
      <c r="HC245" s="214" cm="1">
        <f t="array" ref="HC245">--AND(MIN(IF($K245:$CP245&lt;&gt;0,$K$7:$CP$7))&gt;=HC$5,MIN(IF($K245:$CP245&lt;&gt;0,$K$7:$CP$7))&lt;=HC$6)</f>
        <v>0</v>
      </c>
      <c r="HE245" s="147" t="str">
        <f t="shared" si="89"/>
        <v>No</v>
      </c>
      <c r="HF245" s="147" t="str">
        <f t="shared" si="90"/>
        <v>No</v>
      </c>
      <c r="HG245" s="147">
        <f>IF($HF245="Yes",0,$H245*avg_hrs*12*'Key assumptions'!$D$87)</f>
        <v>349892.7143991302</v>
      </c>
      <c r="HH245" s="147">
        <f>IF(HE245="Yes",'Key assumptions'!$D$84*HG245,0)</f>
        <v>0</v>
      </c>
      <c r="HI245" s="144">
        <f>IFERROR(AVERAGEIFS($K245:$CP245,$K$7:$CP$7,"&gt;="&amp;'Key assumptions'!$D$24,$K$7:$CP$7,"&lt;="&amp;'Key assumptions'!$D$25),0)</f>
        <v>0.17180023923444976</v>
      </c>
      <c r="HJ245" s="148">
        <f t="shared" si="91"/>
        <v>0</v>
      </c>
      <c r="HK245" s="148">
        <f t="shared" si="72"/>
        <v>0</v>
      </c>
      <c r="HL245" s="148">
        <f t="shared" si="73"/>
        <v>0</v>
      </c>
      <c r="HM245" s="148">
        <f t="shared" si="74"/>
        <v>0</v>
      </c>
      <c r="HN245" s="148">
        <f t="shared" si="75"/>
        <v>0</v>
      </c>
      <c r="HO245" s="148">
        <f t="shared" si="76"/>
        <v>0</v>
      </c>
      <c r="HP245" s="148">
        <f t="shared" si="77"/>
        <v>0</v>
      </c>
      <c r="HQ245" s="148">
        <f t="shared" si="78"/>
        <v>0</v>
      </c>
      <c r="HR245" s="147">
        <f t="shared" si="79"/>
        <v>0</v>
      </c>
      <c r="HU245" s="147">
        <f>$HJ245*HC245/(1+'Key assumptions'!G267)^0.75</f>
        <v>0</v>
      </c>
      <c r="HW245" s="216">
        <f t="shared" si="80"/>
        <v>0</v>
      </c>
      <c r="HX245" s="216">
        <f t="shared" si="81"/>
        <v>0.17180023923444976</v>
      </c>
      <c r="HY245" s="216">
        <f t="shared" si="82"/>
        <v>0</v>
      </c>
      <c r="HZ245" s="216">
        <f t="shared" si="83"/>
        <v>0</v>
      </c>
      <c r="IA245" s="216">
        <f t="shared" si="84"/>
        <v>0</v>
      </c>
      <c r="IB245" s="216">
        <f t="shared" si="85"/>
        <v>0</v>
      </c>
      <c r="IC245" s="216">
        <f t="shared" si="86"/>
        <v>0</v>
      </c>
      <c r="ID245" s="216">
        <f t="shared" si="87"/>
        <v>0.17180023923444976</v>
      </c>
      <c r="IF245" s="216">
        <f t="shared" si="88"/>
        <v>0</v>
      </c>
    </row>
    <row r="246" spans="2:240" x14ac:dyDescent="0.2">
      <c r="B246" s="141" t="str">
        <v>Project Delivery Management - Commissioning</v>
      </c>
      <c r="C246" s="141" t="str">
        <v>Secondary Systems Technician (Construction)</v>
      </c>
      <c r="D246" s="141" t="str">
        <v>Internal Labour</v>
      </c>
      <c r="E246" s="141" t="str">
        <v>$ Nominal</v>
      </c>
      <c r="F246" s="141">
        <v>0</v>
      </c>
      <c r="G246" s="141" t="str">
        <v>Overtime</v>
      </c>
      <c r="H246" s="142">
        <v>195.66</v>
      </c>
      <c r="I246" s="126">
        <v>133761.60000000001</v>
      </c>
      <c r="J246" s="143">
        <v>0</v>
      </c>
      <c r="K246" s="144">
        <v>0</v>
      </c>
      <c r="L246" s="144">
        <v>0</v>
      </c>
      <c r="M246" s="144">
        <v>0</v>
      </c>
      <c r="N246" s="144">
        <v>0</v>
      </c>
      <c r="O246" s="144">
        <v>0</v>
      </c>
      <c r="P246" s="144">
        <v>0</v>
      </c>
      <c r="Q246" s="144">
        <v>0</v>
      </c>
      <c r="R246" s="144">
        <v>0</v>
      </c>
      <c r="S246" s="144">
        <v>0</v>
      </c>
      <c r="T246" s="144">
        <v>0</v>
      </c>
      <c r="U246" s="144">
        <v>0</v>
      </c>
      <c r="V246" s="144">
        <v>0</v>
      </c>
      <c r="W246" s="144">
        <v>0</v>
      </c>
      <c r="X246" s="144">
        <v>0</v>
      </c>
      <c r="Y246" s="144">
        <v>0</v>
      </c>
      <c r="Z246" s="144">
        <v>0</v>
      </c>
      <c r="AA246" s="144">
        <v>0</v>
      </c>
      <c r="AB246" s="144">
        <v>0</v>
      </c>
      <c r="AC246" s="144">
        <v>0</v>
      </c>
      <c r="AD246" s="144">
        <v>0</v>
      </c>
      <c r="AE246" s="144">
        <v>0</v>
      </c>
      <c r="AF246" s="144">
        <v>0</v>
      </c>
      <c r="AG246" s="144">
        <v>0</v>
      </c>
      <c r="AH246" s="144">
        <v>0</v>
      </c>
      <c r="AI246" s="144">
        <v>0</v>
      </c>
      <c r="AJ246" s="144">
        <v>0.35714285714285715</v>
      </c>
      <c r="AK246" s="144">
        <v>0.35714285714285715</v>
      </c>
      <c r="AL246" s="144">
        <v>0</v>
      </c>
      <c r="AM246" s="144">
        <v>0.39473684210526316</v>
      </c>
      <c r="AN246" s="144">
        <v>0.39473684210526316</v>
      </c>
      <c r="AO246" s="144">
        <v>0</v>
      </c>
      <c r="AP246" s="144">
        <v>0</v>
      </c>
      <c r="AQ246" s="144">
        <v>0</v>
      </c>
      <c r="AR246" s="144">
        <v>0</v>
      </c>
      <c r="AS246" s="144">
        <v>0</v>
      </c>
      <c r="AT246" s="144">
        <v>0</v>
      </c>
      <c r="AU246" s="144">
        <v>0</v>
      </c>
      <c r="AV246" s="144">
        <v>0</v>
      </c>
      <c r="AW246" s="144">
        <v>0</v>
      </c>
      <c r="AX246" s="144">
        <v>0</v>
      </c>
      <c r="AY246" s="144">
        <v>0</v>
      </c>
      <c r="AZ246" s="144">
        <v>0</v>
      </c>
      <c r="BA246" s="144">
        <v>0.35714285714285715</v>
      </c>
      <c r="BB246" s="144">
        <v>0.21428571428571427</v>
      </c>
      <c r="BC246" s="144">
        <v>0.21428571428571427</v>
      </c>
      <c r="BD246" s="144">
        <v>0</v>
      </c>
      <c r="BE246" s="144">
        <v>0</v>
      </c>
      <c r="BF246" s="144">
        <v>0</v>
      </c>
      <c r="BG246" s="144">
        <v>0</v>
      </c>
      <c r="BH246" s="144">
        <v>0</v>
      </c>
      <c r="BI246" s="144">
        <v>0</v>
      </c>
      <c r="BJ246" s="144">
        <v>0</v>
      </c>
      <c r="BK246" s="144">
        <v>0</v>
      </c>
      <c r="BL246" s="144">
        <v>0</v>
      </c>
      <c r="BM246" s="144">
        <v>0</v>
      </c>
      <c r="BN246" s="144">
        <v>0</v>
      </c>
      <c r="BO246" s="144">
        <v>0</v>
      </c>
      <c r="BP246" s="144">
        <v>0</v>
      </c>
      <c r="BQ246" s="144">
        <v>0</v>
      </c>
      <c r="BR246" s="144">
        <v>0</v>
      </c>
      <c r="BS246" s="144">
        <v>0</v>
      </c>
      <c r="BT246" s="144">
        <v>0</v>
      </c>
      <c r="BU246" s="144">
        <v>0</v>
      </c>
      <c r="BV246" s="144">
        <v>0</v>
      </c>
      <c r="BW246" s="144">
        <v>0</v>
      </c>
      <c r="BX246" s="144">
        <v>0</v>
      </c>
      <c r="BY246" s="144">
        <v>0</v>
      </c>
      <c r="BZ246" s="144">
        <v>0</v>
      </c>
      <c r="CA246" s="144">
        <v>0</v>
      </c>
      <c r="CB246" s="144">
        <v>0</v>
      </c>
      <c r="CC246" s="144">
        <v>0</v>
      </c>
      <c r="CD246" s="144">
        <v>0</v>
      </c>
      <c r="CE246" s="144">
        <v>0</v>
      </c>
      <c r="CF246" s="144">
        <v>0</v>
      </c>
      <c r="CG246" s="144">
        <v>0</v>
      </c>
      <c r="CH246" s="144">
        <v>0</v>
      </c>
      <c r="CI246" s="144">
        <v>0</v>
      </c>
      <c r="CJ246" s="144">
        <v>0</v>
      </c>
      <c r="CK246" s="144">
        <v>0</v>
      </c>
      <c r="CL246" s="144">
        <v>0</v>
      </c>
      <c r="CM246" s="144">
        <v>0</v>
      </c>
      <c r="CN246" s="144">
        <v>0</v>
      </c>
      <c r="CO246" s="144">
        <v>0</v>
      </c>
      <c r="CP246" s="144">
        <v>0</v>
      </c>
      <c r="CQ246" s="143">
        <v>0</v>
      </c>
      <c r="CR246" s="145">
        <v>0</v>
      </c>
      <c r="CS246" s="145">
        <v>0</v>
      </c>
      <c r="CT246" s="145">
        <v>0</v>
      </c>
      <c r="CU246" s="145">
        <v>0</v>
      </c>
      <c r="CV246" s="145">
        <v>0</v>
      </c>
      <c r="CW246" s="145">
        <v>0</v>
      </c>
      <c r="CX246" s="145">
        <v>0</v>
      </c>
      <c r="CY246" s="145">
        <v>0</v>
      </c>
      <c r="CZ246" s="145">
        <v>0</v>
      </c>
      <c r="DA246" s="145">
        <v>0</v>
      </c>
      <c r="DB246" s="145">
        <v>0</v>
      </c>
      <c r="DC246" s="145">
        <v>0</v>
      </c>
      <c r="DD246" s="145">
        <v>0</v>
      </c>
      <c r="DE246" s="145">
        <v>0</v>
      </c>
      <c r="DF246" s="145">
        <v>0</v>
      </c>
      <c r="DG246" s="145">
        <v>0</v>
      </c>
      <c r="DH246" s="145">
        <v>0</v>
      </c>
      <c r="DI246" s="145">
        <v>0</v>
      </c>
      <c r="DJ246" s="145">
        <v>0</v>
      </c>
      <c r="DK246" s="145">
        <v>0</v>
      </c>
      <c r="DL246" s="145">
        <v>0</v>
      </c>
      <c r="DM246" s="145">
        <v>0</v>
      </c>
      <c r="DN246" s="145">
        <v>0</v>
      </c>
      <c r="DO246" s="145">
        <v>0</v>
      </c>
      <c r="DP246" s="145">
        <v>0</v>
      </c>
      <c r="DQ246" s="145">
        <v>19565.5</v>
      </c>
      <c r="DR246" s="145">
        <v>20159</v>
      </c>
      <c r="DS246" s="145">
        <v>0</v>
      </c>
      <c r="DT246" s="145">
        <v>24190.799999999999</v>
      </c>
      <c r="DU246" s="145">
        <v>24190.799999999999</v>
      </c>
      <c r="DV246" s="145">
        <v>0</v>
      </c>
      <c r="DW246" s="145">
        <v>0</v>
      </c>
      <c r="DX246" s="145">
        <v>0</v>
      </c>
      <c r="DY246" s="145">
        <v>0</v>
      </c>
      <c r="DZ246" s="145">
        <v>0</v>
      </c>
      <c r="EA246" s="145">
        <v>0</v>
      </c>
      <c r="EB246" s="145">
        <v>0</v>
      </c>
      <c r="EC246" s="145">
        <v>0</v>
      </c>
      <c r="ED246" s="145">
        <v>0</v>
      </c>
      <c r="EE246" s="145">
        <v>0</v>
      </c>
      <c r="EF246" s="145">
        <v>0</v>
      </c>
      <c r="EG246" s="145">
        <v>0</v>
      </c>
      <c r="EH246" s="145">
        <v>20752.5</v>
      </c>
      <c r="EI246" s="145">
        <v>12451.5</v>
      </c>
      <c r="EJ246" s="145">
        <v>12451.5</v>
      </c>
      <c r="EK246" s="145">
        <v>0</v>
      </c>
      <c r="EL246" s="145">
        <v>0</v>
      </c>
      <c r="EM246" s="145">
        <v>0</v>
      </c>
      <c r="EN246" s="145">
        <v>0</v>
      </c>
      <c r="EO246" s="145">
        <v>0</v>
      </c>
      <c r="EP246" s="145">
        <v>0</v>
      </c>
      <c r="EQ246" s="145">
        <v>0</v>
      </c>
      <c r="ER246" s="145">
        <v>0</v>
      </c>
      <c r="ES246" s="145">
        <v>0</v>
      </c>
      <c r="ET246" s="145">
        <v>0</v>
      </c>
      <c r="EU246" s="145">
        <v>0</v>
      </c>
      <c r="EV246" s="145">
        <v>0</v>
      </c>
      <c r="EW246" s="145">
        <v>0</v>
      </c>
      <c r="EX246" s="145">
        <v>0</v>
      </c>
      <c r="EY246" s="145">
        <v>0</v>
      </c>
      <c r="EZ246" s="145">
        <v>0</v>
      </c>
      <c r="FA246" s="145">
        <v>0</v>
      </c>
      <c r="FB246" s="145">
        <v>0</v>
      </c>
      <c r="FC246" s="145">
        <v>0</v>
      </c>
      <c r="FD246" s="145">
        <v>0</v>
      </c>
      <c r="FE246" s="145">
        <v>0</v>
      </c>
      <c r="FF246" s="145">
        <v>0</v>
      </c>
      <c r="FG246" s="145">
        <v>0</v>
      </c>
      <c r="FH246" s="145">
        <v>0</v>
      </c>
      <c r="FI246" s="145">
        <v>0</v>
      </c>
      <c r="FJ246" s="145">
        <v>0</v>
      </c>
      <c r="FK246" s="145">
        <v>0</v>
      </c>
      <c r="FL246" s="145">
        <v>0</v>
      </c>
      <c r="FM246" s="145">
        <v>0</v>
      </c>
      <c r="FN246" s="145">
        <v>0</v>
      </c>
      <c r="FO246" s="145">
        <v>0</v>
      </c>
      <c r="FP246" s="145">
        <v>0</v>
      </c>
      <c r="FQ246" s="145">
        <v>0</v>
      </c>
      <c r="FR246" s="145">
        <v>0</v>
      </c>
      <c r="FS246" s="145">
        <v>0</v>
      </c>
      <c r="FT246" s="145">
        <v>0</v>
      </c>
      <c r="FU246" s="145">
        <v>0</v>
      </c>
      <c r="FV246" s="145">
        <v>0</v>
      </c>
      <c r="FW246" s="145">
        <v>0</v>
      </c>
      <c r="FX246" s="143"/>
      <c r="FY246" s="146" t="str">
        <f>_xlfn.XLOOKUP($E246,'Key assumptions'!$B$112:$B$120,'Key assumptions'!$C$112:$C$120,0)</f>
        <v>Nominal</v>
      </c>
      <c r="FZ246" s="146" cm="1">
        <f t="array" ref="FZ246">IF($FY246=0,0,_xlfn.IFS($FY246='Key assumptions'!$C$120,_xlfn.XLOOKUP(LEFT(FZ$7,6),Inflation_Year,Inflation_NominaltoReal),TRUE,_xlfn.XLOOKUP($FY246,Inflation_Year,NominaltoReal)))</f>
        <v>1.0197075870962191</v>
      </c>
      <c r="GA246" s="146" cm="1">
        <f t="array" ref="GA246">IF($FY246=0,0,_xlfn.IFS($FY246='Key assumptions'!$C$120,_xlfn.XLOOKUP(LEFT(GA$7,6),Inflation_Year,Inflation_NominaltoReal),TRUE,_xlfn.XLOOKUP($FY246,Inflation_Year,NominaltoReal)))</f>
        <v>0.98700804022984445</v>
      </c>
      <c r="GB246" s="146" cm="1">
        <f t="array" ref="GB246">IF($FY246=0,0,_xlfn.IFS($FY246='Key assumptions'!$C$120,_xlfn.XLOOKUP(LEFT(GB$7,6),Inflation_Year,Inflation_NominaltoReal),TRUE,_xlfn.XLOOKUP($FY246,Inflation_Year,NominaltoReal)))</f>
        <v>0.96152830081941731</v>
      </c>
      <c r="GC246" s="146" cm="1">
        <f t="array" ref="GC246">IF($FY246=0,0,_xlfn.IFS($FY246='Key assumptions'!$C$120,_xlfn.XLOOKUP(LEFT(GC$7,6),Inflation_Year,Inflation_NominaltoReal),TRUE,_xlfn.XLOOKUP($FY246,Inflation_Year,NominaltoReal)))</f>
        <v>0.93670632415656829</v>
      </c>
      <c r="GD246" s="146" cm="1">
        <f t="array" ref="GD246">IF($FY246=0,0,_xlfn.IFS($FY246='Key assumptions'!$C$120,_xlfn.XLOOKUP(LEFT(GD$7,6),Inflation_Year,Inflation_NominaltoReal),TRUE,_xlfn.XLOOKUP($FY246,Inflation_Year,NominaltoReal)))</f>
        <v>0.91252513001143176</v>
      </c>
      <c r="GE246" s="146" cm="1">
        <f t="array" ref="GE246">IF($FY246=0,0,_xlfn.IFS($FY246='Key assumptions'!$C$120,_xlfn.XLOOKUP(LEFT(GE$7,6),Inflation_Year,Inflation_NominaltoReal),TRUE,_xlfn.XLOOKUP($FY246,Inflation_Year,NominaltoReal)))</f>
        <v>0.88896817650095872</v>
      </c>
      <c r="GF246" s="146" cm="1">
        <f t="array" ref="GF246">IF($FY246=0,0,_xlfn.IFS($FY246='Key assumptions'!$C$120,_xlfn.XLOOKUP(LEFT(GF$7,6),Inflation_Year,Inflation_NominaltoReal),TRUE,_xlfn.XLOOKUP($FY246,Inflation_Year,NominaltoReal)))</f>
        <v>0.86601934877293718</v>
      </c>
      <c r="GG246" s="143"/>
      <c r="GH246" s="145" cm="1">
        <f t="array" ref="GH246">SUMPRODUCT(--($CR$7:$FW$7&gt;=GH$5),--($CR$7:$FW$7&lt;=GH$6),$CR246:$FW246)*FZ246</f>
        <v>0</v>
      </c>
      <c r="GI246" s="145" cm="1">
        <f t="array" ref="GI246">SUMPRODUCT(--($CR$7:$FW$7&gt;=GI$5),--($CR$7:$FW$7&lt;=GI$6),$CR246:$FW246)*GA246</f>
        <v>86961.429093294704</v>
      </c>
      <c r="GJ246" s="145" cm="1">
        <f t="array" ref="GJ246">SUMPRODUCT(--($CR$7:$FW$7&gt;=GJ$5),--($CR$7:$FW$7&lt;=GJ$6),$CR246:$FW246)*GB246</f>
        <v>43899.055338060905</v>
      </c>
      <c r="GK246" s="145" cm="1">
        <f t="array" ref="GK246">SUMPRODUCT(--($CR$7:$FW$7&gt;=GK$5),--($CR$7:$FW$7&lt;=GK$6),$CR246:$FW246)*GC246</f>
        <v>0</v>
      </c>
      <c r="GL246" s="145" cm="1">
        <f t="array" ref="GL246">SUMPRODUCT(--($CR$7:$FW$7&gt;=GL$5),--($CR$7:$FW$7&lt;=GL$6),$CR246:$FW246)*GD246</f>
        <v>0</v>
      </c>
      <c r="GM246" s="145" cm="1">
        <f t="array" ref="GM246">SUMPRODUCT(--($CR$7:$FW$7&gt;=GM$5),--($CR$7:$FW$7&lt;=GM$6),$CR246:$FW246)*GE246</f>
        <v>0</v>
      </c>
      <c r="GN246" s="145" cm="1">
        <f t="array" ref="GN246">SUMPRODUCT(--($CR$7:$FW$7&gt;=GN$5),--($CR$7:$FW$7&lt;=GN$6),$CR246:$FW246)*GF246</f>
        <v>0</v>
      </c>
      <c r="GO246" s="145">
        <f t="shared" si="69"/>
        <v>130860.48443135561</v>
      </c>
      <c r="GP246" s="87"/>
      <c r="GR246" s="145" cm="1">
        <f t="array" ref="GR246">SUMPRODUCT(--($CR$7:$FW$7&gt;=GR$5),--($CR$7:$FW$7&lt;=GR$6),$CR246:$FW246)</f>
        <v>0</v>
      </c>
      <c r="GT246" s="214" cm="1">
        <f t="array" ref="GT246">--AND(MIN(IF($K246:$CP246&lt;&gt;0,$K$7:$CP$7))&gt;=GT$5,MIN(IF($K246:$CP246&lt;&gt;0,$K$7:$CP$7))&lt;=GT$6)</f>
        <v>0</v>
      </c>
      <c r="GU246" s="214" cm="1">
        <f t="array" ref="GU246">--AND(MIN(IF($K246:$CP246&lt;&gt;0,$K$7:$CP$7))&gt;=GU$5,MIN(IF($K246:$CP246&lt;&gt;0,$K$7:$CP$7))&lt;=GU$6)</f>
        <v>1</v>
      </c>
      <c r="GV246" s="214" cm="1">
        <f t="array" ref="GV246">--AND(MIN(IF($K246:$CP246&lt;&gt;0,$K$7:$CP$7))&gt;=GV$5,MIN(IF($K246:$CP246&lt;&gt;0,$K$7:$CP$7))&lt;=GV$6)</f>
        <v>0</v>
      </c>
      <c r="GW246" s="214" cm="1">
        <f t="array" ref="GW246">--AND(MIN(IF($K246:$CP246&lt;&gt;0,$K$7:$CP$7))&gt;=GW$5,MIN(IF($K246:$CP246&lt;&gt;0,$K$7:$CP$7))&lt;=GW$6)</f>
        <v>0</v>
      </c>
      <c r="GX246" s="214" cm="1">
        <f t="array" ref="GX246">--AND(MIN(IF($K246:$CP246&lt;&gt;0,$K$7:$CP$7))&gt;=GX$5,MIN(IF($K246:$CP246&lt;&gt;0,$K$7:$CP$7))&lt;=GX$6)</f>
        <v>0</v>
      </c>
      <c r="GY246" s="214" cm="1">
        <f t="array" ref="GY246">--AND(MIN(IF($K246:$CP246&lt;&gt;0,$K$7:$CP$7))&gt;=GY$5,MIN(IF($K246:$CP246&lt;&gt;0,$K$7:$CP$7))&lt;=GY$6)</f>
        <v>0</v>
      </c>
      <c r="GZ246" s="214" cm="1">
        <f t="array" ref="GZ246">--AND(MIN(IF($K246:$CP246&lt;&gt;0,$K$7:$CP$7))&gt;=GZ$5,MIN(IF($K246:$CP246&lt;&gt;0,$K$7:$CP$7))&lt;=GZ$6)</f>
        <v>0</v>
      </c>
      <c r="HA246" s="214">
        <f t="shared" si="70"/>
        <v>1</v>
      </c>
      <c r="HC246" s="214" cm="1">
        <f t="array" ref="HC246">--AND(MIN(IF($K246:$CP246&lt;&gt;0,$K$7:$CP$7))&gt;=HC$5,MIN(IF($K246:$CP246&lt;&gt;0,$K$7:$CP$7))&lt;=HC$6)</f>
        <v>0</v>
      </c>
      <c r="HE246" s="147" t="str">
        <f t="shared" si="89"/>
        <v>No</v>
      </c>
      <c r="HF246" s="147" t="str">
        <f t="shared" si="90"/>
        <v>Yes</v>
      </c>
      <c r="HG246" s="147">
        <f>IF($HF246="Yes",0,$H246*avg_hrs*12*'Key assumptions'!$D$87)</f>
        <v>0</v>
      </c>
      <c r="HH246" s="147">
        <f>IF(HE246="Yes",'Key assumptions'!$D$84*HG246,0)</f>
        <v>0</v>
      </c>
      <c r="HI246" s="144">
        <f>IFERROR(AVERAGEIFS($K246:$CP246,$K$7:$CP$7,"&gt;="&amp;'Key assumptions'!$D$24,$K$7:$CP$7,"&lt;="&amp;'Key assumptions'!$D$25),0)</f>
        <v>5.2033492822966515E-2</v>
      </c>
      <c r="HJ246" s="148">
        <f t="shared" si="91"/>
        <v>0</v>
      </c>
      <c r="HK246" s="148">
        <f t="shared" si="72"/>
        <v>0</v>
      </c>
      <c r="HL246" s="148">
        <f t="shared" si="73"/>
        <v>0</v>
      </c>
      <c r="HM246" s="148">
        <f t="shared" si="74"/>
        <v>0</v>
      </c>
      <c r="HN246" s="148">
        <f t="shared" si="75"/>
        <v>0</v>
      </c>
      <c r="HO246" s="148">
        <f t="shared" si="76"/>
        <v>0</v>
      </c>
      <c r="HP246" s="148">
        <f t="shared" si="77"/>
        <v>0</v>
      </c>
      <c r="HQ246" s="148">
        <f t="shared" si="78"/>
        <v>0</v>
      </c>
      <c r="HR246" s="147">
        <f t="shared" si="79"/>
        <v>0</v>
      </c>
      <c r="HU246" s="147">
        <f>$HJ246*HC246/(1+'Key assumptions'!G268)^0.75</f>
        <v>0</v>
      </c>
      <c r="HW246" s="216">
        <f t="shared" si="80"/>
        <v>0</v>
      </c>
      <c r="HX246" s="216">
        <f t="shared" si="81"/>
        <v>5.2033492822966515E-2</v>
      </c>
      <c r="HY246" s="216">
        <f t="shared" si="82"/>
        <v>0</v>
      </c>
      <c r="HZ246" s="216">
        <f t="shared" si="83"/>
        <v>0</v>
      </c>
      <c r="IA246" s="216">
        <f t="shared" si="84"/>
        <v>0</v>
      </c>
      <c r="IB246" s="216">
        <f t="shared" si="85"/>
        <v>0</v>
      </c>
      <c r="IC246" s="216">
        <f t="shared" si="86"/>
        <v>0</v>
      </c>
      <c r="ID246" s="216">
        <f t="shared" si="87"/>
        <v>5.2033492822966515E-2</v>
      </c>
      <c r="IF246" s="216">
        <f t="shared" si="88"/>
        <v>0</v>
      </c>
    </row>
    <row r="247" spans="2:240" x14ac:dyDescent="0.2">
      <c r="B247" s="141" t="str">
        <v>Project Delivery Management - Commissioning</v>
      </c>
      <c r="C247" s="141" t="str">
        <v>Substations Technician (Field Delivery)</v>
      </c>
      <c r="D247" s="141" t="str">
        <v>Internal Labour</v>
      </c>
      <c r="E247" s="141" t="str">
        <v>$ Nominal</v>
      </c>
      <c r="F247" s="141" t="str">
        <v>Existing</v>
      </c>
      <c r="G247" s="141" t="str">
        <v>Normal time</v>
      </c>
      <c r="H247" s="142">
        <v>157.53</v>
      </c>
      <c r="I247" s="126">
        <v>838412.52000000025</v>
      </c>
      <c r="J247" s="143">
        <v>0</v>
      </c>
      <c r="K247" s="144">
        <v>0</v>
      </c>
      <c r="L247" s="144">
        <v>0</v>
      </c>
      <c r="M247" s="144">
        <v>0</v>
      </c>
      <c r="N247" s="144">
        <v>0</v>
      </c>
      <c r="O247" s="144">
        <v>0</v>
      </c>
      <c r="P247" s="144">
        <v>0</v>
      </c>
      <c r="Q247" s="144">
        <v>0</v>
      </c>
      <c r="R247" s="144">
        <v>0</v>
      </c>
      <c r="S247" s="144">
        <v>0</v>
      </c>
      <c r="T247" s="144">
        <v>0</v>
      </c>
      <c r="U247" s="144">
        <v>0</v>
      </c>
      <c r="V247" s="144">
        <v>0</v>
      </c>
      <c r="W247" s="144">
        <v>0</v>
      </c>
      <c r="X247" s="144">
        <v>0</v>
      </c>
      <c r="Y247" s="144">
        <v>0</v>
      </c>
      <c r="Z247" s="144">
        <v>0</v>
      </c>
      <c r="AA247" s="144">
        <v>0</v>
      </c>
      <c r="AB247" s="144">
        <v>0</v>
      </c>
      <c r="AC247" s="144">
        <v>0</v>
      </c>
      <c r="AD247" s="144">
        <v>0</v>
      </c>
      <c r="AE247" s="144">
        <v>0</v>
      </c>
      <c r="AF247" s="144">
        <v>0</v>
      </c>
      <c r="AG247" s="144">
        <v>0</v>
      </c>
      <c r="AH247" s="144">
        <v>0</v>
      </c>
      <c r="AI247" s="144">
        <v>0</v>
      </c>
      <c r="AJ247" s="144">
        <v>1.2</v>
      </c>
      <c r="AK247" s="144">
        <v>1.2</v>
      </c>
      <c r="AL247" s="144">
        <v>1.9</v>
      </c>
      <c r="AM247" s="144">
        <v>1.243421052631579</v>
      </c>
      <c r="AN247" s="144">
        <v>1.174342105263158</v>
      </c>
      <c r="AO247" s="144">
        <v>1.35</v>
      </c>
      <c r="AP247" s="144">
        <v>1.2749999999999999</v>
      </c>
      <c r="AQ247" s="144">
        <v>1.35</v>
      </c>
      <c r="AR247" s="144">
        <v>1.35</v>
      </c>
      <c r="AS247" s="144">
        <v>1.2749999999999999</v>
      </c>
      <c r="AT247" s="144">
        <v>1.6</v>
      </c>
      <c r="AU247" s="144">
        <v>1.9</v>
      </c>
      <c r="AV247" s="144">
        <v>1.2</v>
      </c>
      <c r="AW247" s="144">
        <v>1.425</v>
      </c>
      <c r="AX247" s="144">
        <v>1.6</v>
      </c>
      <c r="AY247" s="144">
        <v>1.3125</v>
      </c>
      <c r="AZ247" s="144">
        <v>1.3125</v>
      </c>
      <c r="BA247" s="144">
        <v>1.2</v>
      </c>
      <c r="BB247" s="144">
        <v>1.35</v>
      </c>
      <c r="BC247" s="144">
        <v>1.2749999999999999</v>
      </c>
      <c r="BD247" s="144">
        <v>1.35</v>
      </c>
      <c r="BE247" s="144">
        <v>1.35</v>
      </c>
      <c r="BF247" s="144">
        <v>1.4</v>
      </c>
      <c r="BG247" s="144">
        <v>8.5714285714285712</v>
      </c>
      <c r="BH247" s="144">
        <v>0</v>
      </c>
      <c r="BI247" s="144">
        <v>0</v>
      </c>
      <c r="BJ247" s="144">
        <v>0</v>
      </c>
      <c r="BK247" s="144">
        <v>0</v>
      </c>
      <c r="BL247" s="144">
        <v>0</v>
      </c>
      <c r="BM247" s="144">
        <v>0</v>
      </c>
      <c r="BN247" s="144">
        <v>0</v>
      </c>
      <c r="BO247" s="144">
        <v>0</v>
      </c>
      <c r="BP247" s="144">
        <v>0</v>
      </c>
      <c r="BQ247" s="144">
        <v>0</v>
      </c>
      <c r="BR247" s="144">
        <v>0</v>
      </c>
      <c r="BS247" s="144">
        <v>0</v>
      </c>
      <c r="BT247" s="144">
        <v>0</v>
      </c>
      <c r="BU247" s="144">
        <v>0</v>
      </c>
      <c r="BV247" s="144">
        <v>0</v>
      </c>
      <c r="BW247" s="144">
        <v>0</v>
      </c>
      <c r="BX247" s="144">
        <v>0</v>
      </c>
      <c r="BY247" s="144">
        <v>0</v>
      </c>
      <c r="BZ247" s="144">
        <v>0</v>
      </c>
      <c r="CA247" s="144">
        <v>0</v>
      </c>
      <c r="CB247" s="144">
        <v>0</v>
      </c>
      <c r="CC247" s="144">
        <v>0</v>
      </c>
      <c r="CD247" s="144">
        <v>0</v>
      </c>
      <c r="CE247" s="144">
        <v>0</v>
      </c>
      <c r="CF247" s="144">
        <v>0</v>
      </c>
      <c r="CG247" s="144">
        <v>0</v>
      </c>
      <c r="CH247" s="144">
        <v>0</v>
      </c>
      <c r="CI247" s="144">
        <v>0</v>
      </c>
      <c r="CJ247" s="144">
        <v>0</v>
      </c>
      <c r="CK247" s="144">
        <v>0</v>
      </c>
      <c r="CL247" s="144">
        <v>0</v>
      </c>
      <c r="CM247" s="144">
        <v>0</v>
      </c>
      <c r="CN247" s="144">
        <v>0</v>
      </c>
      <c r="CO247" s="144">
        <v>0</v>
      </c>
      <c r="CP247" s="144">
        <v>0</v>
      </c>
      <c r="CQ247" s="143">
        <v>0</v>
      </c>
      <c r="CR247" s="145">
        <v>0</v>
      </c>
      <c r="CS247" s="145">
        <v>0</v>
      </c>
      <c r="CT247" s="145">
        <v>0</v>
      </c>
      <c r="CU247" s="145">
        <v>0</v>
      </c>
      <c r="CV247" s="145">
        <v>0</v>
      </c>
      <c r="CW247" s="145">
        <v>0</v>
      </c>
      <c r="CX247" s="145">
        <v>0</v>
      </c>
      <c r="CY247" s="145">
        <v>0</v>
      </c>
      <c r="CZ247" s="145">
        <v>0</v>
      </c>
      <c r="DA247" s="145">
        <v>0</v>
      </c>
      <c r="DB247" s="145">
        <v>0</v>
      </c>
      <c r="DC247" s="145">
        <v>0</v>
      </c>
      <c r="DD247" s="145">
        <v>0</v>
      </c>
      <c r="DE247" s="145">
        <v>0</v>
      </c>
      <c r="DF247" s="145">
        <v>0</v>
      </c>
      <c r="DG247" s="145">
        <v>0</v>
      </c>
      <c r="DH247" s="145">
        <v>0</v>
      </c>
      <c r="DI247" s="145">
        <v>0</v>
      </c>
      <c r="DJ247" s="145">
        <v>0</v>
      </c>
      <c r="DK247" s="145">
        <v>0</v>
      </c>
      <c r="DL247" s="145">
        <v>0</v>
      </c>
      <c r="DM247" s="145">
        <v>0</v>
      </c>
      <c r="DN247" s="145">
        <v>0</v>
      </c>
      <c r="DO247" s="145">
        <v>0</v>
      </c>
      <c r="DP247" s="145">
        <v>0</v>
      </c>
      <c r="DQ247" s="145">
        <v>26465.040000000001</v>
      </c>
      <c r="DR247" s="145">
        <v>27269.759999999998</v>
      </c>
      <c r="DS247" s="145">
        <v>32382.84</v>
      </c>
      <c r="DT247" s="145">
        <v>30678.48</v>
      </c>
      <c r="DU247" s="145">
        <v>28974.12</v>
      </c>
      <c r="DV247" s="145">
        <v>30678.48</v>
      </c>
      <c r="DW247" s="145">
        <v>28974.12</v>
      </c>
      <c r="DX247" s="145">
        <v>30678.48</v>
      </c>
      <c r="DY247" s="145">
        <v>30678.48</v>
      </c>
      <c r="DZ247" s="145">
        <v>28974.12</v>
      </c>
      <c r="EA247" s="145">
        <v>27269.759999999998</v>
      </c>
      <c r="EB247" s="145">
        <v>32382.84</v>
      </c>
      <c r="EC247" s="145">
        <v>27269.759999999998</v>
      </c>
      <c r="ED247" s="145">
        <v>33340.44</v>
      </c>
      <c r="EE247" s="145">
        <v>28076.16</v>
      </c>
      <c r="EF247" s="145">
        <v>33340.44</v>
      </c>
      <c r="EG247" s="145">
        <v>33340.44</v>
      </c>
      <c r="EH247" s="145">
        <v>28076.16</v>
      </c>
      <c r="EI247" s="145">
        <v>31585.68</v>
      </c>
      <c r="EJ247" s="145">
        <v>29830.920000000002</v>
      </c>
      <c r="EK247" s="145">
        <v>31585.68</v>
      </c>
      <c r="EL247" s="145">
        <v>31585.68</v>
      </c>
      <c r="EM247" s="145">
        <v>24566.639999999999</v>
      </c>
      <c r="EN247" s="145">
        <v>150408</v>
      </c>
      <c r="EO247" s="145">
        <v>0</v>
      </c>
      <c r="EP247" s="145">
        <v>0</v>
      </c>
      <c r="EQ247" s="145">
        <v>0</v>
      </c>
      <c r="ER247" s="145">
        <v>0</v>
      </c>
      <c r="ES247" s="145">
        <v>0</v>
      </c>
      <c r="ET247" s="145">
        <v>0</v>
      </c>
      <c r="EU247" s="145">
        <v>0</v>
      </c>
      <c r="EV247" s="145">
        <v>0</v>
      </c>
      <c r="EW247" s="145">
        <v>0</v>
      </c>
      <c r="EX247" s="145">
        <v>0</v>
      </c>
      <c r="EY247" s="145">
        <v>0</v>
      </c>
      <c r="EZ247" s="145">
        <v>0</v>
      </c>
      <c r="FA247" s="145">
        <v>0</v>
      </c>
      <c r="FB247" s="145">
        <v>0</v>
      </c>
      <c r="FC247" s="145">
        <v>0</v>
      </c>
      <c r="FD247" s="145">
        <v>0</v>
      </c>
      <c r="FE247" s="145">
        <v>0</v>
      </c>
      <c r="FF247" s="145">
        <v>0</v>
      </c>
      <c r="FG247" s="145">
        <v>0</v>
      </c>
      <c r="FH247" s="145">
        <v>0</v>
      </c>
      <c r="FI247" s="145">
        <v>0</v>
      </c>
      <c r="FJ247" s="145">
        <v>0</v>
      </c>
      <c r="FK247" s="145">
        <v>0</v>
      </c>
      <c r="FL247" s="145">
        <v>0</v>
      </c>
      <c r="FM247" s="145">
        <v>0</v>
      </c>
      <c r="FN247" s="145">
        <v>0</v>
      </c>
      <c r="FO247" s="145">
        <v>0</v>
      </c>
      <c r="FP247" s="145">
        <v>0</v>
      </c>
      <c r="FQ247" s="145">
        <v>0</v>
      </c>
      <c r="FR247" s="145">
        <v>0</v>
      </c>
      <c r="FS247" s="145">
        <v>0</v>
      </c>
      <c r="FT247" s="145">
        <v>0</v>
      </c>
      <c r="FU247" s="145">
        <v>0</v>
      </c>
      <c r="FV247" s="145">
        <v>0</v>
      </c>
      <c r="FW247" s="145">
        <v>0</v>
      </c>
      <c r="FX247" s="143"/>
      <c r="FY247" s="146" t="str">
        <f>_xlfn.XLOOKUP($E247,'Key assumptions'!$B$112:$B$120,'Key assumptions'!$C$112:$C$120,0)</f>
        <v>Nominal</v>
      </c>
      <c r="FZ247" s="146" cm="1">
        <f t="array" ref="FZ247">IF($FY247=0,0,_xlfn.IFS($FY247='Key assumptions'!$C$120,_xlfn.XLOOKUP(LEFT(FZ$7,6),Inflation_Year,Inflation_NominaltoReal),TRUE,_xlfn.XLOOKUP($FY247,Inflation_Year,NominaltoReal)))</f>
        <v>1.0197075870962191</v>
      </c>
      <c r="GA247" s="146" cm="1">
        <f t="array" ref="GA247">IF($FY247=0,0,_xlfn.IFS($FY247='Key assumptions'!$C$120,_xlfn.XLOOKUP(LEFT(GA$7,6),Inflation_Year,Inflation_NominaltoReal),TRUE,_xlfn.XLOOKUP($FY247,Inflation_Year,NominaltoReal)))</f>
        <v>0.98700804022984445</v>
      </c>
      <c r="GB247" s="146" cm="1">
        <f t="array" ref="GB247">IF($FY247=0,0,_xlfn.IFS($FY247='Key assumptions'!$C$120,_xlfn.XLOOKUP(LEFT(GB$7,6),Inflation_Year,Inflation_NominaltoReal),TRUE,_xlfn.XLOOKUP($FY247,Inflation_Year,NominaltoReal)))</f>
        <v>0.96152830081941731</v>
      </c>
      <c r="GC247" s="146" cm="1">
        <f t="array" ref="GC247">IF($FY247=0,0,_xlfn.IFS($FY247='Key assumptions'!$C$120,_xlfn.XLOOKUP(LEFT(GC$7,6),Inflation_Year,Inflation_NominaltoReal),TRUE,_xlfn.XLOOKUP($FY247,Inflation_Year,NominaltoReal)))</f>
        <v>0.93670632415656829</v>
      </c>
      <c r="GD247" s="146" cm="1">
        <f t="array" ref="GD247">IF($FY247=0,0,_xlfn.IFS($FY247='Key assumptions'!$C$120,_xlfn.XLOOKUP(LEFT(GD$7,6),Inflation_Year,Inflation_NominaltoReal),TRUE,_xlfn.XLOOKUP($FY247,Inflation_Year,NominaltoReal)))</f>
        <v>0.91252513001143176</v>
      </c>
      <c r="GE247" s="146" cm="1">
        <f t="array" ref="GE247">IF($FY247=0,0,_xlfn.IFS($FY247='Key assumptions'!$C$120,_xlfn.XLOOKUP(LEFT(GE$7,6),Inflation_Year,Inflation_NominaltoReal),TRUE,_xlfn.XLOOKUP($FY247,Inflation_Year,NominaltoReal)))</f>
        <v>0.88896817650095872</v>
      </c>
      <c r="GF247" s="146" cm="1">
        <f t="array" ref="GF247">IF($FY247=0,0,_xlfn.IFS($FY247='Key assumptions'!$C$120,_xlfn.XLOOKUP(LEFT(GF$7,6),Inflation_Year,Inflation_NominaltoReal),TRUE,_xlfn.XLOOKUP($FY247,Inflation_Year,NominaltoReal)))</f>
        <v>0.86601934877293718</v>
      </c>
      <c r="GG247" s="143"/>
      <c r="GH247" s="145" cm="1">
        <f t="array" ref="GH247">SUMPRODUCT(--($CR$7:$FW$7&gt;=GH$5),--($CR$7:$FW$7&lt;=GH$6),$CR247:$FW247)*FZ247</f>
        <v>0</v>
      </c>
      <c r="GI247" s="145" cm="1">
        <f t="array" ref="GI247">SUMPRODUCT(--($CR$7:$FW$7&gt;=GI$5),--($CR$7:$FW$7&lt;=GI$6),$CR247:$FW247)*GA247</f>
        <v>233033.90114887938</v>
      </c>
      <c r="GJ247" s="145" cm="1">
        <f t="array" ref="GJ247">SUMPRODUCT(--($CR$7:$FW$7&gt;=GJ$5),--($CR$7:$FW$7&lt;=GJ$6),$CR247:$FW247)*GB247</f>
        <v>350155.14597356325</v>
      </c>
      <c r="GK247" s="145" cm="1">
        <f t="array" ref="GK247">SUMPRODUCT(--($CR$7:$FW$7&gt;=GK$5),--($CR$7:$FW$7&lt;=GK$6),$CR247:$FW247)*GC247</f>
        <v>223072.86427259012</v>
      </c>
      <c r="GL247" s="145" cm="1">
        <f t="array" ref="GL247">SUMPRODUCT(--($CR$7:$FW$7&gt;=GL$5),--($CR$7:$FW$7&lt;=GL$6),$CR247:$FW247)*GD247</f>
        <v>0</v>
      </c>
      <c r="GM247" s="145" cm="1">
        <f t="array" ref="GM247">SUMPRODUCT(--($CR$7:$FW$7&gt;=GM$5),--($CR$7:$FW$7&lt;=GM$6),$CR247:$FW247)*GE247</f>
        <v>0</v>
      </c>
      <c r="GN247" s="145" cm="1">
        <f t="array" ref="GN247">SUMPRODUCT(--($CR$7:$FW$7&gt;=GN$5),--($CR$7:$FW$7&lt;=GN$6),$CR247:$FW247)*GF247</f>
        <v>0</v>
      </c>
      <c r="GO247" s="145">
        <f t="shared" si="69"/>
        <v>806261.91139503277</v>
      </c>
      <c r="GP247" s="87"/>
      <c r="GR247" s="145" cm="1">
        <f t="array" ref="GR247">SUMPRODUCT(--($CR$7:$FW$7&gt;=GR$5),--($CR$7:$FW$7&lt;=GR$6),$CR247:$FW247)</f>
        <v>0</v>
      </c>
      <c r="GT247" s="214" cm="1">
        <f t="array" ref="GT247">--AND(MIN(IF($K247:$CP247&lt;&gt;0,$K$7:$CP$7))&gt;=GT$5,MIN(IF($K247:$CP247&lt;&gt;0,$K$7:$CP$7))&lt;=GT$6)</f>
        <v>0</v>
      </c>
      <c r="GU247" s="214" cm="1">
        <f t="array" ref="GU247">--AND(MIN(IF($K247:$CP247&lt;&gt;0,$K$7:$CP$7))&gt;=GU$5,MIN(IF($K247:$CP247&lt;&gt;0,$K$7:$CP$7))&lt;=GU$6)</f>
        <v>1</v>
      </c>
      <c r="GV247" s="214" cm="1">
        <f t="array" ref="GV247">--AND(MIN(IF($K247:$CP247&lt;&gt;0,$K$7:$CP$7))&gt;=GV$5,MIN(IF($K247:$CP247&lt;&gt;0,$K$7:$CP$7))&lt;=GV$6)</f>
        <v>0</v>
      </c>
      <c r="GW247" s="214" cm="1">
        <f t="array" ref="GW247">--AND(MIN(IF($K247:$CP247&lt;&gt;0,$K$7:$CP$7))&gt;=GW$5,MIN(IF($K247:$CP247&lt;&gt;0,$K$7:$CP$7))&lt;=GW$6)</f>
        <v>0</v>
      </c>
      <c r="GX247" s="214" cm="1">
        <f t="array" ref="GX247">--AND(MIN(IF($K247:$CP247&lt;&gt;0,$K$7:$CP$7))&gt;=GX$5,MIN(IF($K247:$CP247&lt;&gt;0,$K$7:$CP$7))&lt;=GX$6)</f>
        <v>0</v>
      </c>
      <c r="GY247" s="214" cm="1">
        <f t="array" ref="GY247">--AND(MIN(IF($K247:$CP247&lt;&gt;0,$K$7:$CP$7))&gt;=GY$5,MIN(IF($K247:$CP247&lt;&gt;0,$K$7:$CP$7))&lt;=GY$6)</f>
        <v>0</v>
      </c>
      <c r="GZ247" s="214" cm="1">
        <f t="array" ref="GZ247">--AND(MIN(IF($K247:$CP247&lt;&gt;0,$K$7:$CP$7))&gt;=GZ$5,MIN(IF($K247:$CP247&lt;&gt;0,$K$7:$CP$7))&lt;=GZ$6)</f>
        <v>0</v>
      </c>
      <c r="HA247" s="214">
        <f t="shared" si="70"/>
        <v>1</v>
      </c>
      <c r="HC247" s="214" cm="1">
        <f t="array" ref="HC247">--AND(MIN(IF($K247:$CP247&lt;&gt;0,$K$7:$CP$7))&gt;=HC$5,MIN(IF($K247:$CP247&lt;&gt;0,$K$7:$CP$7))&lt;=HC$6)</f>
        <v>0</v>
      </c>
      <c r="HE247" s="147" t="str">
        <f t="shared" si="89"/>
        <v>No</v>
      </c>
      <c r="HF247" s="147" t="str">
        <f t="shared" si="90"/>
        <v>No</v>
      </c>
      <c r="HG247" s="147">
        <f>IF($HF247="Yes",0,$H247*avg_hrs*12*'Key assumptions'!$D$87)</f>
        <v>281706.01706682501</v>
      </c>
      <c r="HH247" s="147">
        <f>IF(HE247="Yes",'Key assumptions'!$D$84*HG247,0)</f>
        <v>0</v>
      </c>
      <c r="HI247" s="144">
        <f>IFERROR(AVERAGEIFS($K247:$CP247,$K$7:$CP$7,"&gt;="&amp;'Key assumptions'!$D$24,$K$7:$CP$7,"&lt;="&amp;'Key assumptions'!$D$25),0)</f>
        <v>0.91282253930280244</v>
      </c>
      <c r="HJ247" s="148">
        <f t="shared" si="91"/>
        <v>0</v>
      </c>
      <c r="HK247" s="148">
        <f t="shared" si="72"/>
        <v>0</v>
      </c>
      <c r="HL247" s="148">
        <f t="shared" si="73"/>
        <v>0</v>
      </c>
      <c r="HM247" s="148">
        <f t="shared" si="74"/>
        <v>0</v>
      </c>
      <c r="HN247" s="148">
        <f t="shared" si="75"/>
        <v>0</v>
      </c>
      <c r="HO247" s="148">
        <f t="shared" si="76"/>
        <v>0</v>
      </c>
      <c r="HP247" s="148">
        <f t="shared" si="77"/>
        <v>0</v>
      </c>
      <c r="HQ247" s="148">
        <f t="shared" si="78"/>
        <v>0</v>
      </c>
      <c r="HR247" s="147">
        <f t="shared" si="79"/>
        <v>0</v>
      </c>
      <c r="HU247" s="147">
        <f>$HJ247*HC247/(1+'Key assumptions'!G269)^0.75</f>
        <v>0</v>
      </c>
      <c r="HW247" s="216">
        <f t="shared" si="80"/>
        <v>0</v>
      </c>
      <c r="HX247" s="216">
        <f t="shared" si="81"/>
        <v>0.91282253930280244</v>
      </c>
      <c r="HY247" s="216">
        <f t="shared" si="82"/>
        <v>0</v>
      </c>
      <c r="HZ247" s="216">
        <f t="shared" si="83"/>
        <v>0</v>
      </c>
      <c r="IA247" s="216">
        <f t="shared" si="84"/>
        <v>0</v>
      </c>
      <c r="IB247" s="216">
        <f t="shared" si="85"/>
        <v>0</v>
      </c>
      <c r="IC247" s="216">
        <f t="shared" si="86"/>
        <v>0</v>
      </c>
      <c r="ID247" s="216">
        <f t="shared" si="87"/>
        <v>0.91282253930280244</v>
      </c>
      <c r="IF247" s="216">
        <f t="shared" si="88"/>
        <v>0</v>
      </c>
    </row>
    <row r="248" spans="2:240" x14ac:dyDescent="0.2">
      <c r="B248" s="141" t="str">
        <v>Project Delivery Management - Commissioning</v>
      </c>
      <c r="C248" s="141" t="str">
        <v>Substations Technician (Field Delivery)</v>
      </c>
      <c r="D248" s="141" t="str">
        <v>Internal Labour</v>
      </c>
      <c r="E248" s="141" t="str">
        <v>$ Nominal</v>
      </c>
      <c r="F248" s="141">
        <v>0</v>
      </c>
      <c r="G248" s="141" t="str">
        <v>Overtime</v>
      </c>
      <c r="H248" s="142">
        <v>157.53</v>
      </c>
      <c r="I248" s="126">
        <v>1180966.4099999999</v>
      </c>
      <c r="J248" s="143">
        <v>0</v>
      </c>
      <c r="K248" s="144">
        <v>0</v>
      </c>
      <c r="L248" s="144">
        <v>0</v>
      </c>
      <c r="M248" s="144">
        <v>0</v>
      </c>
      <c r="N248" s="144">
        <v>0</v>
      </c>
      <c r="O248" s="144">
        <v>0</v>
      </c>
      <c r="P248" s="144">
        <v>0</v>
      </c>
      <c r="Q248" s="144">
        <v>0</v>
      </c>
      <c r="R248" s="144">
        <v>0</v>
      </c>
      <c r="S248" s="144">
        <v>0</v>
      </c>
      <c r="T248" s="144">
        <v>0</v>
      </c>
      <c r="U248" s="144">
        <v>0</v>
      </c>
      <c r="V248" s="144">
        <v>0</v>
      </c>
      <c r="W248" s="144">
        <v>0</v>
      </c>
      <c r="X248" s="144">
        <v>0</v>
      </c>
      <c r="Y248" s="144">
        <v>0</v>
      </c>
      <c r="Z248" s="144">
        <v>0</v>
      </c>
      <c r="AA248" s="144">
        <v>0</v>
      </c>
      <c r="AB248" s="144">
        <v>0</v>
      </c>
      <c r="AC248" s="144">
        <v>0</v>
      </c>
      <c r="AD248" s="144">
        <v>0</v>
      </c>
      <c r="AE248" s="144">
        <v>0</v>
      </c>
      <c r="AF248" s="144">
        <v>0</v>
      </c>
      <c r="AG248" s="144">
        <v>0</v>
      </c>
      <c r="AH248" s="144">
        <v>0</v>
      </c>
      <c r="AI248" s="144">
        <v>0</v>
      </c>
      <c r="AJ248" s="144">
        <v>1.0285714285714285</v>
      </c>
      <c r="AK248" s="144">
        <v>1.0285714285714285</v>
      </c>
      <c r="AL248" s="144">
        <v>1.5</v>
      </c>
      <c r="AM248" s="144">
        <v>1.125</v>
      </c>
      <c r="AN248" s="144">
        <v>1.0953947368421053</v>
      </c>
      <c r="AO248" s="144">
        <v>1.0928571428571427</v>
      </c>
      <c r="AP248" s="144">
        <v>1.0607142857142857</v>
      </c>
      <c r="AQ248" s="144">
        <v>1.0928571428571427</v>
      </c>
      <c r="AR248" s="144">
        <v>1.0928571428571427</v>
      </c>
      <c r="AS248" s="144">
        <v>1.3178571428571428</v>
      </c>
      <c r="AT248" s="144">
        <v>1.0285714285714285</v>
      </c>
      <c r="AU248" s="144">
        <v>1.8428571428571427</v>
      </c>
      <c r="AV248" s="144">
        <v>1.0285714285714285</v>
      </c>
      <c r="AW248" s="144">
        <v>1.125</v>
      </c>
      <c r="AX248" s="144">
        <v>1.3714285714285714</v>
      </c>
      <c r="AY248" s="144">
        <v>1.2730263157894737</v>
      </c>
      <c r="AZ248" s="144">
        <v>1.2730263157894737</v>
      </c>
      <c r="BA248" s="144">
        <v>1.0285714285714285</v>
      </c>
      <c r="BB248" s="144">
        <v>1.0928571428571427</v>
      </c>
      <c r="BC248" s="144">
        <v>1.0607142857142857</v>
      </c>
      <c r="BD248" s="144">
        <v>1.0928571428571427</v>
      </c>
      <c r="BE248" s="144">
        <v>1.35</v>
      </c>
      <c r="BF248" s="144">
        <v>0.94285714285714284</v>
      </c>
      <c r="BG248" s="144">
        <v>0</v>
      </c>
      <c r="BH248" s="144">
        <v>0</v>
      </c>
      <c r="BI248" s="144">
        <v>0</v>
      </c>
      <c r="BJ248" s="144">
        <v>0</v>
      </c>
      <c r="BK248" s="144">
        <v>0</v>
      </c>
      <c r="BL248" s="144">
        <v>0</v>
      </c>
      <c r="BM248" s="144">
        <v>0</v>
      </c>
      <c r="BN248" s="144">
        <v>0</v>
      </c>
      <c r="BO248" s="144">
        <v>0</v>
      </c>
      <c r="BP248" s="144">
        <v>0</v>
      </c>
      <c r="BQ248" s="144">
        <v>0</v>
      </c>
      <c r="BR248" s="144">
        <v>0</v>
      </c>
      <c r="BS248" s="144">
        <v>0</v>
      </c>
      <c r="BT248" s="144">
        <v>0</v>
      </c>
      <c r="BU248" s="144">
        <v>0</v>
      </c>
      <c r="BV248" s="144">
        <v>0</v>
      </c>
      <c r="BW248" s="144">
        <v>0</v>
      </c>
      <c r="BX248" s="144">
        <v>0</v>
      </c>
      <c r="BY248" s="144">
        <v>0</v>
      </c>
      <c r="BZ248" s="144">
        <v>0</v>
      </c>
      <c r="CA248" s="144">
        <v>0</v>
      </c>
      <c r="CB248" s="144">
        <v>0</v>
      </c>
      <c r="CC248" s="144">
        <v>0</v>
      </c>
      <c r="CD248" s="144">
        <v>0</v>
      </c>
      <c r="CE248" s="144">
        <v>0</v>
      </c>
      <c r="CF248" s="144">
        <v>0</v>
      </c>
      <c r="CG248" s="144">
        <v>0</v>
      </c>
      <c r="CH248" s="144">
        <v>0</v>
      </c>
      <c r="CI248" s="144">
        <v>0</v>
      </c>
      <c r="CJ248" s="144">
        <v>0</v>
      </c>
      <c r="CK248" s="144">
        <v>0</v>
      </c>
      <c r="CL248" s="144">
        <v>0</v>
      </c>
      <c r="CM248" s="144">
        <v>0</v>
      </c>
      <c r="CN248" s="144">
        <v>0</v>
      </c>
      <c r="CO248" s="144">
        <v>0</v>
      </c>
      <c r="CP248" s="144">
        <v>0</v>
      </c>
      <c r="CQ248" s="143">
        <v>0</v>
      </c>
      <c r="CR248" s="145">
        <v>0</v>
      </c>
      <c r="CS248" s="145">
        <v>0</v>
      </c>
      <c r="CT248" s="145">
        <v>0</v>
      </c>
      <c r="CU248" s="145">
        <v>0</v>
      </c>
      <c r="CV248" s="145">
        <v>0</v>
      </c>
      <c r="CW248" s="145">
        <v>0</v>
      </c>
      <c r="CX248" s="145">
        <v>0</v>
      </c>
      <c r="CY248" s="145">
        <v>0</v>
      </c>
      <c r="CZ248" s="145">
        <v>0</v>
      </c>
      <c r="DA248" s="145">
        <v>0</v>
      </c>
      <c r="DB248" s="145">
        <v>0</v>
      </c>
      <c r="DC248" s="145">
        <v>0</v>
      </c>
      <c r="DD248" s="145">
        <v>0</v>
      </c>
      <c r="DE248" s="145">
        <v>0</v>
      </c>
      <c r="DF248" s="145">
        <v>0</v>
      </c>
      <c r="DG248" s="145">
        <v>0</v>
      </c>
      <c r="DH248" s="145">
        <v>0</v>
      </c>
      <c r="DI248" s="145">
        <v>0</v>
      </c>
      <c r="DJ248" s="145">
        <v>0</v>
      </c>
      <c r="DK248" s="145">
        <v>0</v>
      </c>
      <c r="DL248" s="145">
        <v>0</v>
      </c>
      <c r="DM248" s="145">
        <v>0</v>
      </c>
      <c r="DN248" s="145">
        <v>0</v>
      </c>
      <c r="DO248" s="145">
        <v>0</v>
      </c>
      <c r="DP248" s="145">
        <v>0</v>
      </c>
      <c r="DQ248" s="145">
        <v>45367.200000000004</v>
      </c>
      <c r="DR248" s="145">
        <v>46748.159999999996</v>
      </c>
      <c r="DS248" s="145">
        <v>51130.799999999996</v>
      </c>
      <c r="DT248" s="145">
        <v>55513.439999999995</v>
      </c>
      <c r="DU248" s="145">
        <v>54052.56</v>
      </c>
      <c r="DV248" s="145">
        <v>49669.919999999998</v>
      </c>
      <c r="DW248" s="145">
        <v>48209.04</v>
      </c>
      <c r="DX248" s="145">
        <v>49669.919999999998</v>
      </c>
      <c r="DY248" s="145">
        <v>49669.919999999998</v>
      </c>
      <c r="DZ248" s="145">
        <v>59896.079999999994</v>
      </c>
      <c r="EA248" s="145">
        <v>35061.119999999995</v>
      </c>
      <c r="EB248" s="145">
        <v>62817.84</v>
      </c>
      <c r="EC248" s="145">
        <v>46748.159999999996</v>
      </c>
      <c r="ED248" s="145">
        <v>52641.225000000006</v>
      </c>
      <c r="EE248" s="145">
        <v>48129.120000000003</v>
      </c>
      <c r="EF248" s="145">
        <v>64673.505000000005</v>
      </c>
      <c r="EG248" s="145">
        <v>64673.505000000005</v>
      </c>
      <c r="EH248" s="145">
        <v>48129.120000000003</v>
      </c>
      <c r="EI248" s="145">
        <v>51137.19</v>
      </c>
      <c r="EJ248" s="145">
        <v>49633.155000000006</v>
      </c>
      <c r="EK248" s="145">
        <v>51137.19</v>
      </c>
      <c r="EL248" s="145">
        <v>63169.47</v>
      </c>
      <c r="EM248" s="145">
        <v>33088.770000000004</v>
      </c>
      <c r="EN248" s="145">
        <v>0</v>
      </c>
      <c r="EO248" s="145">
        <v>0</v>
      </c>
      <c r="EP248" s="145">
        <v>0</v>
      </c>
      <c r="EQ248" s="145">
        <v>0</v>
      </c>
      <c r="ER248" s="145">
        <v>0</v>
      </c>
      <c r="ES248" s="145">
        <v>0</v>
      </c>
      <c r="ET248" s="145">
        <v>0</v>
      </c>
      <c r="EU248" s="145">
        <v>0</v>
      </c>
      <c r="EV248" s="145">
        <v>0</v>
      </c>
      <c r="EW248" s="145">
        <v>0</v>
      </c>
      <c r="EX248" s="145">
        <v>0</v>
      </c>
      <c r="EY248" s="145">
        <v>0</v>
      </c>
      <c r="EZ248" s="145">
        <v>0</v>
      </c>
      <c r="FA248" s="145">
        <v>0</v>
      </c>
      <c r="FB248" s="145">
        <v>0</v>
      </c>
      <c r="FC248" s="145">
        <v>0</v>
      </c>
      <c r="FD248" s="145">
        <v>0</v>
      </c>
      <c r="FE248" s="145">
        <v>0</v>
      </c>
      <c r="FF248" s="145">
        <v>0</v>
      </c>
      <c r="FG248" s="145">
        <v>0</v>
      </c>
      <c r="FH248" s="145">
        <v>0</v>
      </c>
      <c r="FI248" s="145">
        <v>0</v>
      </c>
      <c r="FJ248" s="145">
        <v>0</v>
      </c>
      <c r="FK248" s="145">
        <v>0</v>
      </c>
      <c r="FL248" s="145">
        <v>0</v>
      </c>
      <c r="FM248" s="145">
        <v>0</v>
      </c>
      <c r="FN248" s="145">
        <v>0</v>
      </c>
      <c r="FO248" s="145">
        <v>0</v>
      </c>
      <c r="FP248" s="145">
        <v>0</v>
      </c>
      <c r="FQ248" s="145">
        <v>0</v>
      </c>
      <c r="FR248" s="145">
        <v>0</v>
      </c>
      <c r="FS248" s="145">
        <v>0</v>
      </c>
      <c r="FT248" s="145">
        <v>0</v>
      </c>
      <c r="FU248" s="145">
        <v>0</v>
      </c>
      <c r="FV248" s="145">
        <v>0</v>
      </c>
      <c r="FW248" s="145">
        <v>0</v>
      </c>
      <c r="FX248" s="143"/>
      <c r="FY248" s="146" t="str">
        <f>_xlfn.XLOOKUP($E248,'Key assumptions'!$B$112:$B$120,'Key assumptions'!$C$112:$C$120,0)</f>
        <v>Nominal</v>
      </c>
      <c r="FZ248" s="146" cm="1">
        <f t="array" ref="FZ248">IF($FY248=0,0,_xlfn.IFS($FY248='Key assumptions'!$C$120,_xlfn.XLOOKUP(LEFT(FZ$7,6),Inflation_Year,Inflation_NominaltoReal),TRUE,_xlfn.XLOOKUP($FY248,Inflation_Year,NominaltoReal)))</f>
        <v>1.0197075870962191</v>
      </c>
      <c r="GA248" s="146" cm="1">
        <f t="array" ref="GA248">IF($FY248=0,0,_xlfn.IFS($FY248='Key assumptions'!$C$120,_xlfn.XLOOKUP(LEFT(GA$7,6),Inflation_Year,Inflation_NominaltoReal),TRUE,_xlfn.XLOOKUP($FY248,Inflation_Year,NominaltoReal)))</f>
        <v>0.98700804022984445</v>
      </c>
      <c r="GB248" s="146" cm="1">
        <f t="array" ref="GB248">IF($FY248=0,0,_xlfn.IFS($FY248='Key assumptions'!$C$120,_xlfn.XLOOKUP(LEFT(GB$7,6),Inflation_Year,Inflation_NominaltoReal),TRUE,_xlfn.XLOOKUP($FY248,Inflation_Year,NominaltoReal)))</f>
        <v>0.96152830081941731</v>
      </c>
      <c r="GC248" s="146" cm="1">
        <f t="array" ref="GC248">IF($FY248=0,0,_xlfn.IFS($FY248='Key assumptions'!$C$120,_xlfn.XLOOKUP(LEFT(GC$7,6),Inflation_Year,Inflation_NominaltoReal),TRUE,_xlfn.XLOOKUP($FY248,Inflation_Year,NominaltoReal)))</f>
        <v>0.93670632415656829</v>
      </c>
      <c r="GD248" s="146" cm="1">
        <f t="array" ref="GD248">IF($FY248=0,0,_xlfn.IFS($FY248='Key assumptions'!$C$120,_xlfn.XLOOKUP(LEFT(GD$7,6),Inflation_Year,Inflation_NominaltoReal),TRUE,_xlfn.XLOOKUP($FY248,Inflation_Year,NominaltoReal)))</f>
        <v>0.91252513001143176</v>
      </c>
      <c r="GE248" s="146" cm="1">
        <f t="array" ref="GE248">IF($FY248=0,0,_xlfn.IFS($FY248='Key assumptions'!$C$120,_xlfn.XLOOKUP(LEFT(GE$7,6),Inflation_Year,Inflation_NominaltoReal),TRUE,_xlfn.XLOOKUP($FY248,Inflation_Year,NominaltoReal)))</f>
        <v>0.88896817650095872</v>
      </c>
      <c r="GF248" s="146" cm="1">
        <f t="array" ref="GF248">IF($FY248=0,0,_xlfn.IFS($FY248='Key assumptions'!$C$120,_xlfn.XLOOKUP(LEFT(GF$7,6),Inflation_Year,Inflation_NominaltoReal),TRUE,_xlfn.XLOOKUP($FY248,Inflation_Year,NominaltoReal)))</f>
        <v>0.86601934877293718</v>
      </c>
      <c r="GG248" s="143"/>
      <c r="GH248" s="145" cm="1">
        <f t="array" ref="GH248">SUMPRODUCT(--($CR$7:$FW$7&gt;=GH$5),--($CR$7:$FW$7&lt;=GH$6),$CR248:$FW248)*FZ248</f>
        <v>0</v>
      </c>
      <c r="GI248" s="145" cm="1">
        <f t="array" ref="GI248">SUMPRODUCT(--($CR$7:$FW$7&gt;=GI$5),--($CR$7:$FW$7&lt;=GI$6),$CR248:$FW248)*GA248</f>
        <v>395159.56547478237</v>
      </c>
      <c r="GJ248" s="145" cm="1">
        <f t="array" ref="GJ248">SUMPRODUCT(--($CR$7:$FW$7&gt;=GJ$5),--($CR$7:$FW$7&lt;=GJ$6),$CR248:$FW248)*GB248</f>
        <v>608849.27767016517</v>
      </c>
      <c r="GK248" s="145" cm="1">
        <f t="array" ref="GK248">SUMPRODUCT(--($CR$7:$FW$7&gt;=GK$5),--($CR$7:$FW$7&lt;=GK$6),$CR248:$FW248)*GC248</f>
        <v>138066.23143277675</v>
      </c>
      <c r="GL248" s="145" cm="1">
        <f t="array" ref="GL248">SUMPRODUCT(--($CR$7:$FW$7&gt;=GL$5),--($CR$7:$FW$7&lt;=GL$6),$CR248:$FW248)*GD248</f>
        <v>0</v>
      </c>
      <c r="GM248" s="145" cm="1">
        <f t="array" ref="GM248">SUMPRODUCT(--($CR$7:$FW$7&gt;=GM$5),--($CR$7:$FW$7&lt;=GM$6),$CR248:$FW248)*GE248</f>
        <v>0</v>
      </c>
      <c r="GN248" s="145" cm="1">
        <f t="array" ref="GN248">SUMPRODUCT(--($CR$7:$FW$7&gt;=GN$5),--($CR$7:$FW$7&lt;=GN$6),$CR248:$FW248)*GF248</f>
        <v>0</v>
      </c>
      <c r="GO248" s="145">
        <f t="shared" si="69"/>
        <v>1142075.0745777243</v>
      </c>
      <c r="GP248" s="87"/>
      <c r="GR248" s="145" cm="1">
        <f t="array" ref="GR248">SUMPRODUCT(--($CR$7:$FW$7&gt;=GR$5),--($CR$7:$FW$7&lt;=GR$6),$CR248:$FW248)</f>
        <v>0</v>
      </c>
      <c r="GT248" s="214" cm="1">
        <f t="array" ref="GT248">--AND(MIN(IF($K248:$CP248&lt;&gt;0,$K$7:$CP$7))&gt;=GT$5,MIN(IF($K248:$CP248&lt;&gt;0,$K$7:$CP$7))&lt;=GT$6)</f>
        <v>0</v>
      </c>
      <c r="GU248" s="214" cm="1">
        <f t="array" ref="GU248">--AND(MIN(IF($K248:$CP248&lt;&gt;0,$K$7:$CP$7))&gt;=GU$5,MIN(IF($K248:$CP248&lt;&gt;0,$K$7:$CP$7))&lt;=GU$6)</f>
        <v>1</v>
      </c>
      <c r="GV248" s="214" cm="1">
        <f t="array" ref="GV248">--AND(MIN(IF($K248:$CP248&lt;&gt;0,$K$7:$CP$7))&gt;=GV$5,MIN(IF($K248:$CP248&lt;&gt;0,$K$7:$CP$7))&lt;=GV$6)</f>
        <v>0</v>
      </c>
      <c r="GW248" s="214" cm="1">
        <f t="array" ref="GW248">--AND(MIN(IF($K248:$CP248&lt;&gt;0,$K$7:$CP$7))&gt;=GW$5,MIN(IF($K248:$CP248&lt;&gt;0,$K$7:$CP$7))&lt;=GW$6)</f>
        <v>0</v>
      </c>
      <c r="GX248" s="214" cm="1">
        <f t="array" ref="GX248">--AND(MIN(IF($K248:$CP248&lt;&gt;0,$K$7:$CP$7))&gt;=GX$5,MIN(IF($K248:$CP248&lt;&gt;0,$K$7:$CP$7))&lt;=GX$6)</f>
        <v>0</v>
      </c>
      <c r="GY248" s="214" cm="1">
        <f t="array" ref="GY248">--AND(MIN(IF($K248:$CP248&lt;&gt;0,$K$7:$CP$7))&gt;=GY$5,MIN(IF($K248:$CP248&lt;&gt;0,$K$7:$CP$7))&lt;=GY$6)</f>
        <v>0</v>
      </c>
      <c r="GZ248" s="214" cm="1">
        <f t="array" ref="GZ248">--AND(MIN(IF($K248:$CP248&lt;&gt;0,$K$7:$CP$7))&gt;=GZ$5,MIN(IF($K248:$CP248&lt;&gt;0,$K$7:$CP$7))&lt;=GZ$6)</f>
        <v>0</v>
      </c>
      <c r="HA248" s="214">
        <f t="shared" si="70"/>
        <v>1</v>
      </c>
      <c r="HC248" s="214" cm="1">
        <f t="array" ref="HC248">--AND(MIN(IF($K248:$CP248&lt;&gt;0,$K$7:$CP$7))&gt;=HC$5,MIN(IF($K248:$CP248&lt;&gt;0,$K$7:$CP$7))&lt;=HC$6)</f>
        <v>0</v>
      </c>
      <c r="HE248" s="147" t="str">
        <f t="shared" si="89"/>
        <v>No</v>
      </c>
      <c r="HF248" s="147" t="str">
        <f t="shared" si="90"/>
        <v>Yes</v>
      </c>
      <c r="HG248" s="147">
        <f>IF($HF248="Yes",0,$H248*avg_hrs*12*'Key assumptions'!$D$87)</f>
        <v>0</v>
      </c>
      <c r="HH248" s="147">
        <f>IF(HE248="Yes",'Key assumptions'!$D$84*HG248,0)</f>
        <v>0</v>
      </c>
      <c r="HI248" s="144">
        <f>IFERROR(AVERAGEIFS($K248:$CP248,$K$7:$CP$7,"&gt;="&amp;'Key assumptions'!$D$24,$K$7:$CP$7,"&lt;="&amp;'Key assumptions'!$D$25),0)</f>
        <v>0.6123867908407381</v>
      </c>
      <c r="HJ248" s="148">
        <f t="shared" si="91"/>
        <v>0</v>
      </c>
      <c r="HK248" s="148">
        <f t="shared" si="72"/>
        <v>0</v>
      </c>
      <c r="HL248" s="148">
        <f t="shared" si="73"/>
        <v>0</v>
      </c>
      <c r="HM248" s="148">
        <f t="shared" si="74"/>
        <v>0</v>
      </c>
      <c r="HN248" s="148">
        <f t="shared" si="75"/>
        <v>0</v>
      </c>
      <c r="HO248" s="148">
        <f t="shared" si="76"/>
        <v>0</v>
      </c>
      <c r="HP248" s="148">
        <f t="shared" si="77"/>
        <v>0</v>
      </c>
      <c r="HQ248" s="148">
        <f t="shared" si="78"/>
        <v>0</v>
      </c>
      <c r="HR248" s="147">
        <f t="shared" si="79"/>
        <v>0</v>
      </c>
      <c r="HU248" s="147">
        <f>$HJ248*HC248/(1+'Key assumptions'!G270)^0.75</f>
        <v>0</v>
      </c>
      <c r="HW248" s="216">
        <f t="shared" si="80"/>
        <v>0</v>
      </c>
      <c r="HX248" s="216">
        <f t="shared" si="81"/>
        <v>0.6123867908407381</v>
      </c>
      <c r="HY248" s="216">
        <f t="shared" si="82"/>
        <v>0</v>
      </c>
      <c r="HZ248" s="216">
        <f t="shared" si="83"/>
        <v>0</v>
      </c>
      <c r="IA248" s="216">
        <f t="shared" si="84"/>
        <v>0</v>
      </c>
      <c r="IB248" s="216">
        <f t="shared" si="85"/>
        <v>0</v>
      </c>
      <c r="IC248" s="216">
        <f t="shared" si="86"/>
        <v>0</v>
      </c>
      <c r="ID248" s="216">
        <f t="shared" si="87"/>
        <v>0.6123867908407381</v>
      </c>
      <c r="IF248" s="216">
        <f t="shared" si="88"/>
        <v>0</v>
      </c>
    </row>
    <row r="249" spans="2:240" x14ac:dyDescent="0.2">
      <c r="B249" s="141" t="str">
        <v>Project Delivery Management - Commissioning</v>
      </c>
      <c r="C249" s="141" t="str">
        <v>Network Operations Officer (Control Centre)</v>
      </c>
      <c r="D249" s="141" t="str">
        <v>Internal Labour</v>
      </c>
      <c r="E249" s="141" t="str">
        <v>$ Nominal</v>
      </c>
      <c r="F249" s="141" t="str">
        <v>Existing</v>
      </c>
      <c r="G249" s="141" t="str">
        <v>Normal time</v>
      </c>
      <c r="H249" s="142">
        <v>240.85</v>
      </c>
      <c r="I249" s="126">
        <v>53697</v>
      </c>
      <c r="J249" s="143">
        <v>0</v>
      </c>
      <c r="K249" s="144">
        <v>0</v>
      </c>
      <c r="L249" s="144">
        <v>0</v>
      </c>
      <c r="M249" s="144">
        <v>0</v>
      </c>
      <c r="N249" s="144">
        <v>0</v>
      </c>
      <c r="O249" s="144">
        <v>0</v>
      </c>
      <c r="P249" s="144">
        <v>0</v>
      </c>
      <c r="Q249" s="144">
        <v>0</v>
      </c>
      <c r="R249" s="144">
        <v>0</v>
      </c>
      <c r="S249" s="144">
        <v>0</v>
      </c>
      <c r="T249" s="144">
        <v>0</v>
      </c>
      <c r="U249" s="144">
        <v>0</v>
      </c>
      <c r="V249" s="144">
        <v>0</v>
      </c>
      <c r="W249" s="144">
        <v>0</v>
      </c>
      <c r="X249" s="144">
        <v>0</v>
      </c>
      <c r="Y249" s="144">
        <v>0</v>
      </c>
      <c r="Z249" s="144">
        <v>0</v>
      </c>
      <c r="AA249" s="144">
        <v>0</v>
      </c>
      <c r="AB249" s="144">
        <v>0</v>
      </c>
      <c r="AC249" s="144">
        <v>0</v>
      </c>
      <c r="AD249" s="144">
        <v>0</v>
      </c>
      <c r="AE249" s="144">
        <v>0</v>
      </c>
      <c r="AF249" s="144">
        <v>0</v>
      </c>
      <c r="AG249" s="144">
        <v>0</v>
      </c>
      <c r="AH249" s="144">
        <v>0</v>
      </c>
      <c r="AI249" s="144">
        <v>0</v>
      </c>
      <c r="AJ249" s="144">
        <v>0</v>
      </c>
      <c r="AK249" s="144">
        <v>0</v>
      </c>
      <c r="AL249" s="144">
        <v>0</v>
      </c>
      <c r="AM249" s="144">
        <v>0</v>
      </c>
      <c r="AN249" s="144">
        <v>0</v>
      </c>
      <c r="AO249" s="144">
        <v>0</v>
      </c>
      <c r="AP249" s="144">
        <v>0</v>
      </c>
      <c r="AQ249" s="144">
        <v>0</v>
      </c>
      <c r="AR249" s="144">
        <v>0</v>
      </c>
      <c r="AS249" s="144">
        <v>0</v>
      </c>
      <c r="AT249" s="144">
        <v>0</v>
      </c>
      <c r="AU249" s="144">
        <v>0</v>
      </c>
      <c r="AV249" s="144">
        <v>0</v>
      </c>
      <c r="AW249" s="144">
        <v>0</v>
      </c>
      <c r="AX249" s="144">
        <v>0</v>
      </c>
      <c r="AY249" s="144">
        <v>0</v>
      </c>
      <c r="AZ249" s="144">
        <v>0</v>
      </c>
      <c r="BA249" s="144">
        <v>0</v>
      </c>
      <c r="BB249" s="144">
        <v>0</v>
      </c>
      <c r="BC249" s="144">
        <v>0.5</v>
      </c>
      <c r="BD249" s="144">
        <v>0.5</v>
      </c>
      <c r="BE249" s="144">
        <v>0.5</v>
      </c>
      <c r="BF249" s="144">
        <v>0</v>
      </c>
      <c r="BG249" s="144">
        <v>0</v>
      </c>
      <c r="BH249" s="144">
        <v>0</v>
      </c>
      <c r="BI249" s="144">
        <v>0</v>
      </c>
      <c r="BJ249" s="144">
        <v>0</v>
      </c>
      <c r="BK249" s="144">
        <v>0</v>
      </c>
      <c r="BL249" s="144">
        <v>0</v>
      </c>
      <c r="BM249" s="144">
        <v>0</v>
      </c>
      <c r="BN249" s="144">
        <v>0</v>
      </c>
      <c r="BO249" s="144">
        <v>0</v>
      </c>
      <c r="BP249" s="144">
        <v>0</v>
      </c>
      <c r="BQ249" s="144">
        <v>0</v>
      </c>
      <c r="BR249" s="144">
        <v>0</v>
      </c>
      <c r="BS249" s="144">
        <v>0</v>
      </c>
      <c r="BT249" s="144">
        <v>0</v>
      </c>
      <c r="BU249" s="144">
        <v>0</v>
      </c>
      <c r="BV249" s="144">
        <v>0</v>
      </c>
      <c r="BW249" s="144">
        <v>0</v>
      </c>
      <c r="BX249" s="144">
        <v>0</v>
      </c>
      <c r="BY249" s="144">
        <v>0</v>
      </c>
      <c r="BZ249" s="144">
        <v>0</v>
      </c>
      <c r="CA249" s="144">
        <v>0</v>
      </c>
      <c r="CB249" s="144">
        <v>0</v>
      </c>
      <c r="CC249" s="144">
        <v>0</v>
      </c>
      <c r="CD249" s="144">
        <v>0</v>
      </c>
      <c r="CE249" s="144">
        <v>0</v>
      </c>
      <c r="CF249" s="144">
        <v>0</v>
      </c>
      <c r="CG249" s="144">
        <v>0</v>
      </c>
      <c r="CH249" s="144">
        <v>0</v>
      </c>
      <c r="CI249" s="144">
        <v>0</v>
      </c>
      <c r="CJ249" s="144">
        <v>0</v>
      </c>
      <c r="CK249" s="144">
        <v>0</v>
      </c>
      <c r="CL249" s="144">
        <v>0</v>
      </c>
      <c r="CM249" s="144">
        <v>0</v>
      </c>
      <c r="CN249" s="144">
        <v>0</v>
      </c>
      <c r="CO249" s="144">
        <v>0</v>
      </c>
      <c r="CP249" s="144">
        <v>0</v>
      </c>
      <c r="CQ249" s="143">
        <v>0</v>
      </c>
      <c r="CR249" s="145">
        <v>0</v>
      </c>
      <c r="CS249" s="145">
        <v>0</v>
      </c>
      <c r="CT249" s="145">
        <v>0</v>
      </c>
      <c r="CU249" s="145">
        <v>0</v>
      </c>
      <c r="CV249" s="145">
        <v>0</v>
      </c>
      <c r="CW249" s="145">
        <v>0</v>
      </c>
      <c r="CX249" s="145">
        <v>0</v>
      </c>
      <c r="CY249" s="145">
        <v>0</v>
      </c>
      <c r="CZ249" s="145">
        <v>0</v>
      </c>
      <c r="DA249" s="145">
        <v>0</v>
      </c>
      <c r="DB249" s="145">
        <v>0</v>
      </c>
      <c r="DC249" s="145">
        <v>0</v>
      </c>
      <c r="DD249" s="145">
        <v>0</v>
      </c>
      <c r="DE249" s="145">
        <v>0</v>
      </c>
      <c r="DF249" s="145">
        <v>0</v>
      </c>
      <c r="DG249" s="145">
        <v>0</v>
      </c>
      <c r="DH249" s="145">
        <v>0</v>
      </c>
      <c r="DI249" s="145">
        <v>0</v>
      </c>
      <c r="DJ249" s="145">
        <v>0</v>
      </c>
      <c r="DK249" s="145">
        <v>0</v>
      </c>
      <c r="DL249" s="145">
        <v>0</v>
      </c>
      <c r="DM249" s="145">
        <v>0</v>
      </c>
      <c r="DN249" s="145">
        <v>0</v>
      </c>
      <c r="DO249" s="145">
        <v>0</v>
      </c>
      <c r="DP249" s="145">
        <v>0</v>
      </c>
      <c r="DQ249" s="145">
        <v>0</v>
      </c>
      <c r="DR249" s="145">
        <v>0</v>
      </c>
      <c r="DS249" s="145">
        <v>0</v>
      </c>
      <c r="DT249" s="145">
        <v>0</v>
      </c>
      <c r="DU249" s="145">
        <v>0</v>
      </c>
      <c r="DV249" s="145">
        <v>0</v>
      </c>
      <c r="DW249" s="145">
        <v>0</v>
      </c>
      <c r="DX249" s="145">
        <v>0</v>
      </c>
      <c r="DY249" s="145">
        <v>0</v>
      </c>
      <c r="DZ249" s="145">
        <v>0</v>
      </c>
      <c r="EA249" s="145">
        <v>0</v>
      </c>
      <c r="EB249" s="145">
        <v>0</v>
      </c>
      <c r="EC249" s="145">
        <v>0</v>
      </c>
      <c r="ED249" s="145">
        <v>0</v>
      </c>
      <c r="EE249" s="145">
        <v>0</v>
      </c>
      <c r="EF249" s="145">
        <v>0</v>
      </c>
      <c r="EG249" s="145">
        <v>0</v>
      </c>
      <c r="EH249" s="145">
        <v>0</v>
      </c>
      <c r="EI249" s="145">
        <v>0</v>
      </c>
      <c r="EJ249" s="145">
        <v>17899</v>
      </c>
      <c r="EK249" s="145">
        <v>17899</v>
      </c>
      <c r="EL249" s="145">
        <v>17899</v>
      </c>
      <c r="EM249" s="145">
        <v>0</v>
      </c>
      <c r="EN249" s="145">
        <v>0</v>
      </c>
      <c r="EO249" s="145">
        <v>0</v>
      </c>
      <c r="EP249" s="145">
        <v>0</v>
      </c>
      <c r="EQ249" s="145">
        <v>0</v>
      </c>
      <c r="ER249" s="145">
        <v>0</v>
      </c>
      <c r="ES249" s="145">
        <v>0</v>
      </c>
      <c r="ET249" s="145">
        <v>0</v>
      </c>
      <c r="EU249" s="145">
        <v>0</v>
      </c>
      <c r="EV249" s="145">
        <v>0</v>
      </c>
      <c r="EW249" s="145">
        <v>0</v>
      </c>
      <c r="EX249" s="145">
        <v>0</v>
      </c>
      <c r="EY249" s="145">
        <v>0</v>
      </c>
      <c r="EZ249" s="145">
        <v>0</v>
      </c>
      <c r="FA249" s="145">
        <v>0</v>
      </c>
      <c r="FB249" s="145">
        <v>0</v>
      </c>
      <c r="FC249" s="145">
        <v>0</v>
      </c>
      <c r="FD249" s="145">
        <v>0</v>
      </c>
      <c r="FE249" s="145">
        <v>0</v>
      </c>
      <c r="FF249" s="145">
        <v>0</v>
      </c>
      <c r="FG249" s="145">
        <v>0</v>
      </c>
      <c r="FH249" s="145">
        <v>0</v>
      </c>
      <c r="FI249" s="145">
        <v>0</v>
      </c>
      <c r="FJ249" s="145">
        <v>0</v>
      </c>
      <c r="FK249" s="145">
        <v>0</v>
      </c>
      <c r="FL249" s="145">
        <v>0</v>
      </c>
      <c r="FM249" s="145">
        <v>0</v>
      </c>
      <c r="FN249" s="145">
        <v>0</v>
      </c>
      <c r="FO249" s="145">
        <v>0</v>
      </c>
      <c r="FP249" s="145">
        <v>0</v>
      </c>
      <c r="FQ249" s="145">
        <v>0</v>
      </c>
      <c r="FR249" s="145">
        <v>0</v>
      </c>
      <c r="FS249" s="145">
        <v>0</v>
      </c>
      <c r="FT249" s="145">
        <v>0</v>
      </c>
      <c r="FU249" s="145">
        <v>0</v>
      </c>
      <c r="FV249" s="145">
        <v>0</v>
      </c>
      <c r="FW249" s="145">
        <v>0</v>
      </c>
      <c r="FX249" s="143"/>
      <c r="FY249" s="146" t="str">
        <f>_xlfn.XLOOKUP($E249,'Key assumptions'!$B$112:$B$120,'Key assumptions'!$C$112:$C$120,0)</f>
        <v>Nominal</v>
      </c>
      <c r="FZ249" s="146" cm="1">
        <f t="array" ref="FZ249">IF($FY249=0,0,_xlfn.IFS($FY249='Key assumptions'!$C$120,_xlfn.XLOOKUP(LEFT(FZ$7,6),Inflation_Year,Inflation_NominaltoReal),TRUE,_xlfn.XLOOKUP($FY249,Inflation_Year,NominaltoReal)))</f>
        <v>1.0197075870962191</v>
      </c>
      <c r="GA249" s="146" cm="1">
        <f t="array" ref="GA249">IF($FY249=0,0,_xlfn.IFS($FY249='Key assumptions'!$C$120,_xlfn.XLOOKUP(LEFT(GA$7,6),Inflation_Year,Inflation_NominaltoReal),TRUE,_xlfn.XLOOKUP($FY249,Inflation_Year,NominaltoReal)))</f>
        <v>0.98700804022984445</v>
      </c>
      <c r="GB249" s="146" cm="1">
        <f t="array" ref="GB249">IF($FY249=0,0,_xlfn.IFS($FY249='Key assumptions'!$C$120,_xlfn.XLOOKUP(LEFT(GB$7,6),Inflation_Year,Inflation_NominaltoReal),TRUE,_xlfn.XLOOKUP($FY249,Inflation_Year,NominaltoReal)))</f>
        <v>0.96152830081941731</v>
      </c>
      <c r="GC249" s="146" cm="1">
        <f t="array" ref="GC249">IF($FY249=0,0,_xlfn.IFS($FY249='Key assumptions'!$C$120,_xlfn.XLOOKUP(LEFT(GC$7,6),Inflation_Year,Inflation_NominaltoReal),TRUE,_xlfn.XLOOKUP($FY249,Inflation_Year,NominaltoReal)))</f>
        <v>0.93670632415656829</v>
      </c>
      <c r="GD249" s="146" cm="1">
        <f t="array" ref="GD249">IF($FY249=0,0,_xlfn.IFS($FY249='Key assumptions'!$C$120,_xlfn.XLOOKUP(LEFT(GD$7,6),Inflation_Year,Inflation_NominaltoReal),TRUE,_xlfn.XLOOKUP($FY249,Inflation_Year,NominaltoReal)))</f>
        <v>0.91252513001143176</v>
      </c>
      <c r="GE249" s="146" cm="1">
        <f t="array" ref="GE249">IF($FY249=0,0,_xlfn.IFS($FY249='Key assumptions'!$C$120,_xlfn.XLOOKUP(LEFT(GE$7,6),Inflation_Year,Inflation_NominaltoReal),TRUE,_xlfn.XLOOKUP($FY249,Inflation_Year,NominaltoReal)))</f>
        <v>0.88896817650095872</v>
      </c>
      <c r="GF249" s="146" cm="1">
        <f t="array" ref="GF249">IF($FY249=0,0,_xlfn.IFS($FY249='Key assumptions'!$C$120,_xlfn.XLOOKUP(LEFT(GF$7,6),Inflation_Year,Inflation_NominaltoReal),TRUE,_xlfn.XLOOKUP($FY249,Inflation_Year,NominaltoReal)))</f>
        <v>0.86601934877293718</v>
      </c>
      <c r="GG249" s="143"/>
      <c r="GH249" s="145" cm="1">
        <f t="array" ref="GH249">SUMPRODUCT(--($CR$7:$FW$7&gt;=GH$5),--($CR$7:$FW$7&lt;=GH$6),$CR249:$FW249)*FZ249</f>
        <v>0</v>
      </c>
      <c r="GI249" s="145" cm="1">
        <f t="array" ref="GI249">SUMPRODUCT(--($CR$7:$FW$7&gt;=GI$5),--($CR$7:$FW$7&lt;=GI$6),$CR249:$FW249)*GA249</f>
        <v>0</v>
      </c>
      <c r="GJ249" s="145" cm="1">
        <f t="array" ref="GJ249">SUMPRODUCT(--($CR$7:$FW$7&gt;=GJ$5),--($CR$7:$FW$7&lt;=GJ$6),$CR249:$FW249)*GB249</f>
        <v>17210.395056366749</v>
      </c>
      <c r="GK249" s="145" cm="1">
        <f t="array" ref="GK249">SUMPRODUCT(--($CR$7:$FW$7&gt;=GK$5),--($CR$7:$FW$7&lt;=GK$6),$CR249:$FW249)*GC249</f>
        <v>33532.212992156834</v>
      </c>
      <c r="GL249" s="145" cm="1">
        <f t="array" ref="GL249">SUMPRODUCT(--($CR$7:$FW$7&gt;=GL$5),--($CR$7:$FW$7&lt;=GL$6),$CR249:$FW249)*GD249</f>
        <v>0</v>
      </c>
      <c r="GM249" s="145" cm="1">
        <f t="array" ref="GM249">SUMPRODUCT(--($CR$7:$FW$7&gt;=GM$5),--($CR$7:$FW$7&lt;=GM$6),$CR249:$FW249)*GE249</f>
        <v>0</v>
      </c>
      <c r="GN249" s="145" cm="1">
        <f t="array" ref="GN249">SUMPRODUCT(--($CR$7:$FW$7&gt;=GN$5),--($CR$7:$FW$7&lt;=GN$6),$CR249:$FW249)*GF249</f>
        <v>0</v>
      </c>
      <c r="GO249" s="145">
        <f t="shared" si="69"/>
        <v>50742.608048523587</v>
      </c>
      <c r="GP249" s="87"/>
      <c r="GR249" s="145" cm="1">
        <f t="array" ref="GR249">SUMPRODUCT(--($CR$7:$FW$7&gt;=GR$5),--($CR$7:$FW$7&lt;=GR$6),$CR249:$FW249)</f>
        <v>0</v>
      </c>
      <c r="GT249" s="214" cm="1">
        <f t="array" ref="GT249">--AND(MIN(IF($K249:$CP249&lt;&gt;0,$K$7:$CP$7))&gt;=GT$5,MIN(IF($K249:$CP249&lt;&gt;0,$K$7:$CP$7))&lt;=GT$6)</f>
        <v>0</v>
      </c>
      <c r="GU249" s="214" cm="1">
        <f t="array" ref="GU249">--AND(MIN(IF($K249:$CP249&lt;&gt;0,$K$7:$CP$7))&gt;=GU$5,MIN(IF($K249:$CP249&lt;&gt;0,$K$7:$CP$7))&lt;=GU$6)</f>
        <v>0</v>
      </c>
      <c r="GV249" s="214" cm="1">
        <f t="array" ref="GV249">--AND(MIN(IF($K249:$CP249&lt;&gt;0,$K$7:$CP$7))&gt;=GV$5,MIN(IF($K249:$CP249&lt;&gt;0,$K$7:$CP$7))&lt;=GV$6)</f>
        <v>1</v>
      </c>
      <c r="GW249" s="214" cm="1">
        <f t="array" ref="GW249">--AND(MIN(IF($K249:$CP249&lt;&gt;0,$K$7:$CP$7))&gt;=GW$5,MIN(IF($K249:$CP249&lt;&gt;0,$K$7:$CP$7))&lt;=GW$6)</f>
        <v>0</v>
      </c>
      <c r="GX249" s="214" cm="1">
        <f t="array" ref="GX249">--AND(MIN(IF($K249:$CP249&lt;&gt;0,$K$7:$CP$7))&gt;=GX$5,MIN(IF($K249:$CP249&lt;&gt;0,$K$7:$CP$7))&lt;=GX$6)</f>
        <v>0</v>
      </c>
      <c r="GY249" s="214" cm="1">
        <f t="array" ref="GY249">--AND(MIN(IF($K249:$CP249&lt;&gt;0,$K$7:$CP$7))&gt;=GY$5,MIN(IF($K249:$CP249&lt;&gt;0,$K$7:$CP$7))&lt;=GY$6)</f>
        <v>0</v>
      </c>
      <c r="GZ249" s="214" cm="1">
        <f t="array" ref="GZ249">--AND(MIN(IF($K249:$CP249&lt;&gt;0,$K$7:$CP$7))&gt;=GZ$5,MIN(IF($K249:$CP249&lt;&gt;0,$K$7:$CP$7))&lt;=GZ$6)</f>
        <v>0</v>
      </c>
      <c r="HA249" s="214">
        <f t="shared" si="70"/>
        <v>1</v>
      </c>
      <c r="HC249" s="214" cm="1">
        <f t="array" ref="HC249">--AND(MIN(IF($K249:$CP249&lt;&gt;0,$K$7:$CP$7))&gt;=HC$5,MIN(IF($K249:$CP249&lt;&gt;0,$K$7:$CP$7))&lt;=HC$6)</f>
        <v>0</v>
      </c>
      <c r="HE249" s="147" t="str">
        <f t="shared" si="89"/>
        <v>No</v>
      </c>
      <c r="HF249" s="147" t="str">
        <f t="shared" si="90"/>
        <v>No</v>
      </c>
      <c r="HG249" s="147">
        <f>IF($HF249="Yes",0,$H249*avg_hrs*12*'Key assumptions'!$D$87)</f>
        <v>430704.59093851841</v>
      </c>
      <c r="HH249" s="147">
        <f>IF(HE249="Yes",'Key assumptions'!$D$84*HG249,0)</f>
        <v>0</v>
      </c>
      <c r="HI249" s="144">
        <f>IFERROR(AVERAGEIFS($K249:$CP249,$K$7:$CP$7,"&gt;="&amp;'Key assumptions'!$D$24,$K$7:$CP$7,"&lt;="&amp;'Key assumptions'!$D$25),0)</f>
        <v>3.4090909090909088E-2</v>
      </c>
      <c r="HJ249" s="148">
        <f t="shared" si="91"/>
        <v>0</v>
      </c>
      <c r="HK249" s="148">
        <f t="shared" si="72"/>
        <v>0</v>
      </c>
      <c r="HL249" s="148">
        <f t="shared" si="73"/>
        <v>0</v>
      </c>
      <c r="HM249" s="148">
        <f t="shared" si="74"/>
        <v>0</v>
      </c>
      <c r="HN249" s="148">
        <f t="shared" si="75"/>
        <v>0</v>
      </c>
      <c r="HO249" s="148">
        <f t="shared" si="76"/>
        <v>0</v>
      </c>
      <c r="HP249" s="148">
        <f t="shared" si="77"/>
        <v>0</v>
      </c>
      <c r="HQ249" s="148">
        <f t="shared" si="78"/>
        <v>0</v>
      </c>
      <c r="HR249" s="147">
        <f t="shared" si="79"/>
        <v>0</v>
      </c>
      <c r="HU249" s="147">
        <f>$HJ249*HC249/(1+'Key assumptions'!G271)^0.75</f>
        <v>0</v>
      </c>
      <c r="HW249" s="216">
        <f t="shared" si="80"/>
        <v>0</v>
      </c>
      <c r="HX249" s="216">
        <f t="shared" si="81"/>
        <v>0</v>
      </c>
      <c r="HY249" s="216">
        <f t="shared" si="82"/>
        <v>3.4090909090909088E-2</v>
      </c>
      <c r="HZ249" s="216">
        <f t="shared" si="83"/>
        <v>0</v>
      </c>
      <c r="IA249" s="216">
        <f t="shared" si="84"/>
        <v>0</v>
      </c>
      <c r="IB249" s="216">
        <f t="shared" si="85"/>
        <v>0</v>
      </c>
      <c r="IC249" s="216">
        <f t="shared" si="86"/>
        <v>0</v>
      </c>
      <c r="ID249" s="216">
        <f t="shared" si="87"/>
        <v>3.4090909090909088E-2</v>
      </c>
      <c r="IF249" s="216">
        <f t="shared" si="88"/>
        <v>0</v>
      </c>
    </row>
    <row r="250" spans="2:240" x14ac:dyDescent="0.2">
      <c r="B250" s="141" t="str">
        <v>Project Delivery Management - Commissioning</v>
      </c>
      <c r="C250" s="141" t="str">
        <v>Network Operations Officer (Control Centre)</v>
      </c>
      <c r="D250" s="141" t="str">
        <v>Internal Labour</v>
      </c>
      <c r="E250" s="141" t="str">
        <v>$ Nominal</v>
      </c>
      <c r="F250" s="141" t="str">
        <v>Existing</v>
      </c>
      <c r="G250" s="141" t="str">
        <v>Normal time</v>
      </c>
      <c r="H250" s="142">
        <v>240.85</v>
      </c>
      <c r="I250" s="126">
        <v>53697</v>
      </c>
      <c r="J250" s="143">
        <v>0</v>
      </c>
      <c r="K250" s="144">
        <v>0</v>
      </c>
      <c r="L250" s="144">
        <v>0</v>
      </c>
      <c r="M250" s="144">
        <v>0</v>
      </c>
      <c r="N250" s="144">
        <v>0</v>
      </c>
      <c r="O250" s="144">
        <v>0</v>
      </c>
      <c r="P250" s="144">
        <v>0</v>
      </c>
      <c r="Q250" s="144">
        <v>0</v>
      </c>
      <c r="R250" s="144">
        <v>0</v>
      </c>
      <c r="S250" s="144">
        <v>0</v>
      </c>
      <c r="T250" s="144">
        <v>0</v>
      </c>
      <c r="U250" s="144">
        <v>0</v>
      </c>
      <c r="V250" s="144">
        <v>0</v>
      </c>
      <c r="W250" s="144">
        <v>0</v>
      </c>
      <c r="X250" s="144">
        <v>0</v>
      </c>
      <c r="Y250" s="144">
        <v>0</v>
      </c>
      <c r="Z250" s="144">
        <v>0</v>
      </c>
      <c r="AA250" s="144">
        <v>0</v>
      </c>
      <c r="AB250" s="144">
        <v>0</v>
      </c>
      <c r="AC250" s="144">
        <v>0</v>
      </c>
      <c r="AD250" s="144">
        <v>0</v>
      </c>
      <c r="AE250" s="144">
        <v>0</v>
      </c>
      <c r="AF250" s="144">
        <v>0</v>
      </c>
      <c r="AG250" s="144">
        <v>0</v>
      </c>
      <c r="AH250" s="144">
        <v>0</v>
      </c>
      <c r="AI250" s="144">
        <v>0</v>
      </c>
      <c r="AJ250" s="144">
        <v>0</v>
      </c>
      <c r="AK250" s="144">
        <v>0</v>
      </c>
      <c r="AL250" s="144">
        <v>0</v>
      </c>
      <c r="AM250" s="144">
        <v>0</v>
      </c>
      <c r="AN250" s="144">
        <v>0</v>
      </c>
      <c r="AO250" s="144">
        <v>0</v>
      </c>
      <c r="AP250" s="144">
        <v>0</v>
      </c>
      <c r="AQ250" s="144">
        <v>0</v>
      </c>
      <c r="AR250" s="144">
        <v>0</v>
      </c>
      <c r="AS250" s="144">
        <v>0</v>
      </c>
      <c r="AT250" s="144">
        <v>0</v>
      </c>
      <c r="AU250" s="144">
        <v>0</v>
      </c>
      <c r="AV250" s="144">
        <v>0</v>
      </c>
      <c r="AW250" s="144">
        <v>0</v>
      </c>
      <c r="AX250" s="144">
        <v>0</v>
      </c>
      <c r="AY250" s="144">
        <v>0</v>
      </c>
      <c r="AZ250" s="144">
        <v>0</v>
      </c>
      <c r="BA250" s="144">
        <v>0</v>
      </c>
      <c r="BB250" s="144">
        <v>0</v>
      </c>
      <c r="BC250" s="144">
        <v>0.5</v>
      </c>
      <c r="BD250" s="144">
        <v>0.5</v>
      </c>
      <c r="BE250" s="144">
        <v>0.5</v>
      </c>
      <c r="BF250" s="144">
        <v>0</v>
      </c>
      <c r="BG250" s="144">
        <v>0</v>
      </c>
      <c r="BH250" s="144">
        <v>0</v>
      </c>
      <c r="BI250" s="144">
        <v>0</v>
      </c>
      <c r="BJ250" s="144">
        <v>0</v>
      </c>
      <c r="BK250" s="144">
        <v>0</v>
      </c>
      <c r="BL250" s="144">
        <v>0</v>
      </c>
      <c r="BM250" s="144">
        <v>0</v>
      </c>
      <c r="BN250" s="144">
        <v>0</v>
      </c>
      <c r="BO250" s="144">
        <v>0</v>
      </c>
      <c r="BP250" s="144">
        <v>0</v>
      </c>
      <c r="BQ250" s="144">
        <v>0</v>
      </c>
      <c r="BR250" s="144">
        <v>0</v>
      </c>
      <c r="BS250" s="144">
        <v>0</v>
      </c>
      <c r="BT250" s="144">
        <v>0</v>
      </c>
      <c r="BU250" s="144">
        <v>0</v>
      </c>
      <c r="BV250" s="144">
        <v>0</v>
      </c>
      <c r="BW250" s="144">
        <v>0</v>
      </c>
      <c r="BX250" s="144">
        <v>0</v>
      </c>
      <c r="BY250" s="144">
        <v>0</v>
      </c>
      <c r="BZ250" s="144">
        <v>0</v>
      </c>
      <c r="CA250" s="144">
        <v>0</v>
      </c>
      <c r="CB250" s="144">
        <v>0</v>
      </c>
      <c r="CC250" s="144">
        <v>0</v>
      </c>
      <c r="CD250" s="144">
        <v>0</v>
      </c>
      <c r="CE250" s="144">
        <v>0</v>
      </c>
      <c r="CF250" s="144">
        <v>0</v>
      </c>
      <c r="CG250" s="144">
        <v>0</v>
      </c>
      <c r="CH250" s="144">
        <v>0</v>
      </c>
      <c r="CI250" s="144">
        <v>0</v>
      </c>
      <c r="CJ250" s="144">
        <v>0</v>
      </c>
      <c r="CK250" s="144">
        <v>0</v>
      </c>
      <c r="CL250" s="144">
        <v>0</v>
      </c>
      <c r="CM250" s="144">
        <v>0</v>
      </c>
      <c r="CN250" s="144">
        <v>0</v>
      </c>
      <c r="CO250" s="144">
        <v>0</v>
      </c>
      <c r="CP250" s="144">
        <v>0</v>
      </c>
      <c r="CQ250" s="143">
        <v>0</v>
      </c>
      <c r="CR250" s="145">
        <v>0</v>
      </c>
      <c r="CS250" s="145">
        <v>0</v>
      </c>
      <c r="CT250" s="145">
        <v>0</v>
      </c>
      <c r="CU250" s="145">
        <v>0</v>
      </c>
      <c r="CV250" s="145">
        <v>0</v>
      </c>
      <c r="CW250" s="145">
        <v>0</v>
      </c>
      <c r="CX250" s="145">
        <v>0</v>
      </c>
      <c r="CY250" s="145">
        <v>0</v>
      </c>
      <c r="CZ250" s="145">
        <v>0</v>
      </c>
      <c r="DA250" s="145">
        <v>0</v>
      </c>
      <c r="DB250" s="145">
        <v>0</v>
      </c>
      <c r="DC250" s="145">
        <v>0</v>
      </c>
      <c r="DD250" s="145">
        <v>0</v>
      </c>
      <c r="DE250" s="145">
        <v>0</v>
      </c>
      <c r="DF250" s="145">
        <v>0</v>
      </c>
      <c r="DG250" s="145">
        <v>0</v>
      </c>
      <c r="DH250" s="145">
        <v>0</v>
      </c>
      <c r="DI250" s="145">
        <v>0</v>
      </c>
      <c r="DJ250" s="145">
        <v>0</v>
      </c>
      <c r="DK250" s="145">
        <v>0</v>
      </c>
      <c r="DL250" s="145">
        <v>0</v>
      </c>
      <c r="DM250" s="145">
        <v>0</v>
      </c>
      <c r="DN250" s="145">
        <v>0</v>
      </c>
      <c r="DO250" s="145">
        <v>0</v>
      </c>
      <c r="DP250" s="145">
        <v>0</v>
      </c>
      <c r="DQ250" s="145">
        <v>0</v>
      </c>
      <c r="DR250" s="145">
        <v>0</v>
      </c>
      <c r="DS250" s="145">
        <v>0</v>
      </c>
      <c r="DT250" s="145">
        <v>0</v>
      </c>
      <c r="DU250" s="145">
        <v>0</v>
      </c>
      <c r="DV250" s="145">
        <v>0</v>
      </c>
      <c r="DW250" s="145">
        <v>0</v>
      </c>
      <c r="DX250" s="145">
        <v>0</v>
      </c>
      <c r="DY250" s="145">
        <v>0</v>
      </c>
      <c r="DZ250" s="145">
        <v>0</v>
      </c>
      <c r="EA250" s="145">
        <v>0</v>
      </c>
      <c r="EB250" s="145">
        <v>0</v>
      </c>
      <c r="EC250" s="145">
        <v>0</v>
      </c>
      <c r="ED250" s="145">
        <v>0</v>
      </c>
      <c r="EE250" s="145">
        <v>0</v>
      </c>
      <c r="EF250" s="145">
        <v>0</v>
      </c>
      <c r="EG250" s="145">
        <v>0</v>
      </c>
      <c r="EH250" s="145">
        <v>0</v>
      </c>
      <c r="EI250" s="145">
        <v>0</v>
      </c>
      <c r="EJ250" s="145">
        <v>17899</v>
      </c>
      <c r="EK250" s="145">
        <v>17899</v>
      </c>
      <c r="EL250" s="145">
        <v>17899</v>
      </c>
      <c r="EM250" s="145">
        <v>0</v>
      </c>
      <c r="EN250" s="145">
        <v>0</v>
      </c>
      <c r="EO250" s="145">
        <v>0</v>
      </c>
      <c r="EP250" s="145">
        <v>0</v>
      </c>
      <c r="EQ250" s="145">
        <v>0</v>
      </c>
      <c r="ER250" s="145">
        <v>0</v>
      </c>
      <c r="ES250" s="145">
        <v>0</v>
      </c>
      <c r="ET250" s="145">
        <v>0</v>
      </c>
      <c r="EU250" s="145">
        <v>0</v>
      </c>
      <c r="EV250" s="145">
        <v>0</v>
      </c>
      <c r="EW250" s="145">
        <v>0</v>
      </c>
      <c r="EX250" s="145">
        <v>0</v>
      </c>
      <c r="EY250" s="145">
        <v>0</v>
      </c>
      <c r="EZ250" s="145">
        <v>0</v>
      </c>
      <c r="FA250" s="145">
        <v>0</v>
      </c>
      <c r="FB250" s="145">
        <v>0</v>
      </c>
      <c r="FC250" s="145">
        <v>0</v>
      </c>
      <c r="FD250" s="145">
        <v>0</v>
      </c>
      <c r="FE250" s="145">
        <v>0</v>
      </c>
      <c r="FF250" s="145">
        <v>0</v>
      </c>
      <c r="FG250" s="145">
        <v>0</v>
      </c>
      <c r="FH250" s="145">
        <v>0</v>
      </c>
      <c r="FI250" s="145">
        <v>0</v>
      </c>
      <c r="FJ250" s="145">
        <v>0</v>
      </c>
      <c r="FK250" s="145">
        <v>0</v>
      </c>
      <c r="FL250" s="145">
        <v>0</v>
      </c>
      <c r="FM250" s="145">
        <v>0</v>
      </c>
      <c r="FN250" s="145">
        <v>0</v>
      </c>
      <c r="FO250" s="145">
        <v>0</v>
      </c>
      <c r="FP250" s="145">
        <v>0</v>
      </c>
      <c r="FQ250" s="145">
        <v>0</v>
      </c>
      <c r="FR250" s="145">
        <v>0</v>
      </c>
      <c r="FS250" s="145">
        <v>0</v>
      </c>
      <c r="FT250" s="145">
        <v>0</v>
      </c>
      <c r="FU250" s="145">
        <v>0</v>
      </c>
      <c r="FV250" s="145">
        <v>0</v>
      </c>
      <c r="FW250" s="145">
        <v>0</v>
      </c>
      <c r="FX250" s="143"/>
      <c r="FY250" s="146" t="str">
        <f>_xlfn.XLOOKUP($E250,'Key assumptions'!$B$112:$B$120,'Key assumptions'!$C$112:$C$120,0)</f>
        <v>Nominal</v>
      </c>
      <c r="FZ250" s="146" cm="1">
        <f t="array" ref="FZ250">IF($FY250=0,0,_xlfn.IFS($FY250='Key assumptions'!$C$120,_xlfn.XLOOKUP(LEFT(FZ$7,6),Inflation_Year,Inflation_NominaltoReal),TRUE,_xlfn.XLOOKUP($FY250,Inflation_Year,NominaltoReal)))</f>
        <v>1.0197075870962191</v>
      </c>
      <c r="GA250" s="146" cm="1">
        <f t="array" ref="GA250">IF($FY250=0,0,_xlfn.IFS($FY250='Key assumptions'!$C$120,_xlfn.XLOOKUP(LEFT(GA$7,6),Inflation_Year,Inflation_NominaltoReal),TRUE,_xlfn.XLOOKUP($FY250,Inflation_Year,NominaltoReal)))</f>
        <v>0.98700804022984445</v>
      </c>
      <c r="GB250" s="146" cm="1">
        <f t="array" ref="GB250">IF($FY250=0,0,_xlfn.IFS($FY250='Key assumptions'!$C$120,_xlfn.XLOOKUP(LEFT(GB$7,6),Inflation_Year,Inflation_NominaltoReal),TRUE,_xlfn.XLOOKUP($FY250,Inflation_Year,NominaltoReal)))</f>
        <v>0.96152830081941731</v>
      </c>
      <c r="GC250" s="146" cm="1">
        <f t="array" ref="GC250">IF($FY250=0,0,_xlfn.IFS($FY250='Key assumptions'!$C$120,_xlfn.XLOOKUP(LEFT(GC$7,6),Inflation_Year,Inflation_NominaltoReal),TRUE,_xlfn.XLOOKUP($FY250,Inflation_Year,NominaltoReal)))</f>
        <v>0.93670632415656829</v>
      </c>
      <c r="GD250" s="146" cm="1">
        <f t="array" ref="GD250">IF($FY250=0,0,_xlfn.IFS($FY250='Key assumptions'!$C$120,_xlfn.XLOOKUP(LEFT(GD$7,6),Inflation_Year,Inflation_NominaltoReal),TRUE,_xlfn.XLOOKUP($FY250,Inflation_Year,NominaltoReal)))</f>
        <v>0.91252513001143176</v>
      </c>
      <c r="GE250" s="146" cm="1">
        <f t="array" ref="GE250">IF($FY250=0,0,_xlfn.IFS($FY250='Key assumptions'!$C$120,_xlfn.XLOOKUP(LEFT(GE$7,6),Inflation_Year,Inflation_NominaltoReal),TRUE,_xlfn.XLOOKUP($FY250,Inflation_Year,NominaltoReal)))</f>
        <v>0.88896817650095872</v>
      </c>
      <c r="GF250" s="146" cm="1">
        <f t="array" ref="GF250">IF($FY250=0,0,_xlfn.IFS($FY250='Key assumptions'!$C$120,_xlfn.XLOOKUP(LEFT(GF$7,6),Inflation_Year,Inflation_NominaltoReal),TRUE,_xlfn.XLOOKUP($FY250,Inflation_Year,NominaltoReal)))</f>
        <v>0.86601934877293718</v>
      </c>
      <c r="GG250" s="143"/>
      <c r="GH250" s="145" cm="1">
        <f t="array" ref="GH250">SUMPRODUCT(--($CR$7:$FW$7&gt;=GH$5),--($CR$7:$FW$7&lt;=GH$6),$CR250:$FW250)*FZ250</f>
        <v>0</v>
      </c>
      <c r="GI250" s="145" cm="1">
        <f t="array" ref="GI250">SUMPRODUCT(--($CR$7:$FW$7&gt;=GI$5),--($CR$7:$FW$7&lt;=GI$6),$CR250:$FW250)*GA250</f>
        <v>0</v>
      </c>
      <c r="GJ250" s="145" cm="1">
        <f t="array" ref="GJ250">SUMPRODUCT(--($CR$7:$FW$7&gt;=GJ$5),--($CR$7:$FW$7&lt;=GJ$6),$CR250:$FW250)*GB250</f>
        <v>17210.395056366749</v>
      </c>
      <c r="GK250" s="145" cm="1">
        <f t="array" ref="GK250">SUMPRODUCT(--($CR$7:$FW$7&gt;=GK$5),--($CR$7:$FW$7&lt;=GK$6),$CR250:$FW250)*GC250</f>
        <v>33532.212992156834</v>
      </c>
      <c r="GL250" s="145" cm="1">
        <f t="array" ref="GL250">SUMPRODUCT(--($CR$7:$FW$7&gt;=GL$5),--($CR$7:$FW$7&lt;=GL$6),$CR250:$FW250)*GD250</f>
        <v>0</v>
      </c>
      <c r="GM250" s="145" cm="1">
        <f t="array" ref="GM250">SUMPRODUCT(--($CR$7:$FW$7&gt;=GM$5),--($CR$7:$FW$7&lt;=GM$6),$CR250:$FW250)*GE250</f>
        <v>0</v>
      </c>
      <c r="GN250" s="145" cm="1">
        <f t="array" ref="GN250">SUMPRODUCT(--($CR$7:$FW$7&gt;=GN$5),--($CR$7:$FW$7&lt;=GN$6),$CR250:$FW250)*GF250</f>
        <v>0</v>
      </c>
      <c r="GO250" s="145">
        <f t="shared" si="69"/>
        <v>50742.608048523587</v>
      </c>
      <c r="GP250" s="87"/>
      <c r="GR250" s="145" cm="1">
        <f t="array" ref="GR250">SUMPRODUCT(--($CR$7:$FW$7&gt;=GR$5),--($CR$7:$FW$7&lt;=GR$6),$CR250:$FW250)</f>
        <v>0</v>
      </c>
      <c r="GT250" s="214" cm="1">
        <f t="array" ref="GT250">--AND(MIN(IF($K250:$CP250&lt;&gt;0,$K$7:$CP$7))&gt;=GT$5,MIN(IF($K250:$CP250&lt;&gt;0,$K$7:$CP$7))&lt;=GT$6)</f>
        <v>0</v>
      </c>
      <c r="GU250" s="214" cm="1">
        <f t="array" ref="GU250">--AND(MIN(IF($K250:$CP250&lt;&gt;0,$K$7:$CP$7))&gt;=GU$5,MIN(IF($K250:$CP250&lt;&gt;0,$K$7:$CP$7))&lt;=GU$6)</f>
        <v>0</v>
      </c>
      <c r="GV250" s="214" cm="1">
        <f t="array" ref="GV250">--AND(MIN(IF($K250:$CP250&lt;&gt;0,$K$7:$CP$7))&gt;=GV$5,MIN(IF($K250:$CP250&lt;&gt;0,$K$7:$CP$7))&lt;=GV$6)</f>
        <v>1</v>
      </c>
      <c r="GW250" s="214" cm="1">
        <f t="array" ref="GW250">--AND(MIN(IF($K250:$CP250&lt;&gt;0,$K$7:$CP$7))&gt;=GW$5,MIN(IF($K250:$CP250&lt;&gt;0,$K$7:$CP$7))&lt;=GW$6)</f>
        <v>0</v>
      </c>
      <c r="GX250" s="214" cm="1">
        <f t="array" ref="GX250">--AND(MIN(IF($K250:$CP250&lt;&gt;0,$K$7:$CP$7))&gt;=GX$5,MIN(IF($K250:$CP250&lt;&gt;0,$K$7:$CP$7))&lt;=GX$6)</f>
        <v>0</v>
      </c>
      <c r="GY250" s="214" cm="1">
        <f t="array" ref="GY250">--AND(MIN(IF($K250:$CP250&lt;&gt;0,$K$7:$CP$7))&gt;=GY$5,MIN(IF($K250:$CP250&lt;&gt;0,$K$7:$CP$7))&lt;=GY$6)</f>
        <v>0</v>
      </c>
      <c r="GZ250" s="214" cm="1">
        <f t="array" ref="GZ250">--AND(MIN(IF($K250:$CP250&lt;&gt;0,$K$7:$CP$7))&gt;=GZ$5,MIN(IF($K250:$CP250&lt;&gt;0,$K$7:$CP$7))&lt;=GZ$6)</f>
        <v>0</v>
      </c>
      <c r="HA250" s="214">
        <f t="shared" si="70"/>
        <v>1</v>
      </c>
      <c r="HC250" s="214" cm="1">
        <f t="array" ref="HC250">--AND(MIN(IF($K250:$CP250&lt;&gt;0,$K$7:$CP$7))&gt;=HC$5,MIN(IF($K250:$CP250&lt;&gt;0,$K$7:$CP$7))&lt;=HC$6)</f>
        <v>0</v>
      </c>
      <c r="HE250" s="147" t="str">
        <f t="shared" si="89"/>
        <v>No</v>
      </c>
      <c r="HF250" s="147" t="str">
        <f t="shared" si="90"/>
        <v>No</v>
      </c>
      <c r="HG250" s="147">
        <f>IF($HF250="Yes",0,$H250*avg_hrs*12*'Key assumptions'!$D$87)</f>
        <v>430704.59093851841</v>
      </c>
      <c r="HH250" s="147">
        <f>IF(HE250="Yes",'Key assumptions'!$D$84*HG250,0)</f>
        <v>0</v>
      </c>
      <c r="HI250" s="144">
        <f>IFERROR(AVERAGEIFS($K250:$CP250,$K$7:$CP$7,"&gt;="&amp;'Key assumptions'!$D$24,$K$7:$CP$7,"&lt;="&amp;'Key assumptions'!$D$25),0)</f>
        <v>3.4090909090909088E-2</v>
      </c>
      <c r="HJ250" s="148">
        <f t="shared" si="91"/>
        <v>0</v>
      </c>
      <c r="HK250" s="148">
        <f t="shared" si="72"/>
        <v>0</v>
      </c>
      <c r="HL250" s="148">
        <f t="shared" si="73"/>
        <v>0</v>
      </c>
      <c r="HM250" s="148">
        <f t="shared" si="74"/>
        <v>0</v>
      </c>
      <c r="HN250" s="148">
        <f t="shared" si="75"/>
        <v>0</v>
      </c>
      <c r="HO250" s="148">
        <f t="shared" si="76"/>
        <v>0</v>
      </c>
      <c r="HP250" s="148">
        <f t="shared" si="77"/>
        <v>0</v>
      </c>
      <c r="HQ250" s="148">
        <f t="shared" si="78"/>
        <v>0</v>
      </c>
      <c r="HR250" s="147">
        <f t="shared" si="79"/>
        <v>0</v>
      </c>
      <c r="HU250" s="147">
        <f>$HJ250*HC250/(1+'Key assumptions'!G272)^0.75</f>
        <v>0</v>
      </c>
      <c r="HW250" s="216">
        <f t="shared" si="80"/>
        <v>0</v>
      </c>
      <c r="HX250" s="216">
        <f t="shared" si="81"/>
        <v>0</v>
      </c>
      <c r="HY250" s="216">
        <f t="shared" si="82"/>
        <v>3.4090909090909088E-2</v>
      </c>
      <c r="HZ250" s="216">
        <f t="shared" si="83"/>
        <v>0</v>
      </c>
      <c r="IA250" s="216">
        <f t="shared" si="84"/>
        <v>0</v>
      </c>
      <c r="IB250" s="216">
        <f t="shared" si="85"/>
        <v>0</v>
      </c>
      <c r="IC250" s="216">
        <f t="shared" si="86"/>
        <v>0</v>
      </c>
      <c r="ID250" s="216">
        <f t="shared" si="87"/>
        <v>3.4090909090909088E-2</v>
      </c>
      <c r="IF250" s="216">
        <f t="shared" si="88"/>
        <v>0</v>
      </c>
    </row>
    <row r="251" spans="2:240" x14ac:dyDescent="0.2">
      <c r="B251" s="141" t="str">
        <v>Project Delivery Management - Commissioning</v>
      </c>
      <c r="C251" s="141" t="str">
        <v>Technical Lead (Construction)</v>
      </c>
      <c r="D251" s="141" t="str">
        <v>Internal Labour</v>
      </c>
      <c r="E251" s="141" t="str">
        <v>$ Nominal</v>
      </c>
      <c r="F251" s="141" t="str">
        <v>Existing</v>
      </c>
      <c r="G251" s="141" t="str">
        <v>Normal time</v>
      </c>
      <c r="H251" s="142">
        <v>233.78</v>
      </c>
      <c r="I251" s="126">
        <v>120065.4</v>
      </c>
      <c r="J251" s="143">
        <v>0</v>
      </c>
      <c r="K251" s="144">
        <v>0</v>
      </c>
      <c r="L251" s="144">
        <v>0</v>
      </c>
      <c r="M251" s="144">
        <v>0</v>
      </c>
      <c r="N251" s="144">
        <v>0</v>
      </c>
      <c r="O251" s="144">
        <v>0</v>
      </c>
      <c r="P251" s="144">
        <v>0</v>
      </c>
      <c r="Q251" s="144">
        <v>0</v>
      </c>
      <c r="R251" s="144">
        <v>0</v>
      </c>
      <c r="S251" s="144">
        <v>0</v>
      </c>
      <c r="T251" s="144">
        <v>0</v>
      </c>
      <c r="U251" s="144">
        <v>0</v>
      </c>
      <c r="V251" s="144">
        <v>0</v>
      </c>
      <c r="W251" s="144">
        <v>0</v>
      </c>
      <c r="X251" s="144">
        <v>0</v>
      </c>
      <c r="Y251" s="144">
        <v>0</v>
      </c>
      <c r="Z251" s="144">
        <v>0</v>
      </c>
      <c r="AA251" s="144">
        <v>0</v>
      </c>
      <c r="AB251" s="144">
        <v>0</v>
      </c>
      <c r="AC251" s="144">
        <v>0</v>
      </c>
      <c r="AD251" s="144">
        <v>0</v>
      </c>
      <c r="AE251" s="144">
        <v>0</v>
      </c>
      <c r="AF251" s="144">
        <v>0</v>
      </c>
      <c r="AG251" s="144">
        <v>0</v>
      </c>
      <c r="AH251" s="144">
        <v>0</v>
      </c>
      <c r="AI251" s="144">
        <v>0</v>
      </c>
      <c r="AJ251" s="144">
        <v>0</v>
      </c>
      <c r="AK251" s="144">
        <v>0</v>
      </c>
      <c r="AL251" s="144">
        <v>0</v>
      </c>
      <c r="AM251" s="144">
        <v>0</v>
      </c>
      <c r="AN251" s="144">
        <v>0</v>
      </c>
      <c r="AO251" s="144">
        <v>0</v>
      </c>
      <c r="AP251" s="144">
        <v>0</v>
      </c>
      <c r="AQ251" s="144">
        <v>0</v>
      </c>
      <c r="AR251" s="144">
        <v>0</v>
      </c>
      <c r="AS251" s="144">
        <v>0.5</v>
      </c>
      <c r="AT251" s="144">
        <v>0.66666666666666663</v>
      </c>
      <c r="AU251" s="144">
        <v>0.66666666666666663</v>
      </c>
      <c r="AV251" s="144">
        <v>0</v>
      </c>
      <c r="AW251" s="144">
        <v>0</v>
      </c>
      <c r="AX251" s="144">
        <v>0</v>
      </c>
      <c r="AY251" s="144">
        <v>0</v>
      </c>
      <c r="AZ251" s="144">
        <v>0</v>
      </c>
      <c r="BA251" s="144">
        <v>0</v>
      </c>
      <c r="BB251" s="144">
        <v>0.5</v>
      </c>
      <c r="BC251" s="144">
        <v>0.5</v>
      </c>
      <c r="BD251" s="144">
        <v>0.5</v>
      </c>
      <c r="BE251" s="144">
        <v>0.5</v>
      </c>
      <c r="BF251" s="144">
        <v>0</v>
      </c>
      <c r="BG251" s="144">
        <v>0</v>
      </c>
      <c r="BH251" s="144">
        <v>0</v>
      </c>
      <c r="BI251" s="144">
        <v>0</v>
      </c>
      <c r="BJ251" s="144">
        <v>0</v>
      </c>
      <c r="BK251" s="144">
        <v>0</v>
      </c>
      <c r="BL251" s="144">
        <v>0</v>
      </c>
      <c r="BM251" s="144">
        <v>0</v>
      </c>
      <c r="BN251" s="144">
        <v>0</v>
      </c>
      <c r="BO251" s="144">
        <v>0</v>
      </c>
      <c r="BP251" s="144">
        <v>0</v>
      </c>
      <c r="BQ251" s="144">
        <v>0</v>
      </c>
      <c r="BR251" s="144">
        <v>0</v>
      </c>
      <c r="BS251" s="144">
        <v>0</v>
      </c>
      <c r="BT251" s="144">
        <v>0</v>
      </c>
      <c r="BU251" s="144">
        <v>0</v>
      </c>
      <c r="BV251" s="144">
        <v>0</v>
      </c>
      <c r="BW251" s="144">
        <v>0</v>
      </c>
      <c r="BX251" s="144">
        <v>0</v>
      </c>
      <c r="BY251" s="144">
        <v>0</v>
      </c>
      <c r="BZ251" s="144">
        <v>0</v>
      </c>
      <c r="CA251" s="144">
        <v>0</v>
      </c>
      <c r="CB251" s="144">
        <v>0</v>
      </c>
      <c r="CC251" s="144">
        <v>0</v>
      </c>
      <c r="CD251" s="144">
        <v>0</v>
      </c>
      <c r="CE251" s="144">
        <v>0</v>
      </c>
      <c r="CF251" s="144">
        <v>0</v>
      </c>
      <c r="CG251" s="144">
        <v>0</v>
      </c>
      <c r="CH251" s="144">
        <v>0</v>
      </c>
      <c r="CI251" s="144">
        <v>0</v>
      </c>
      <c r="CJ251" s="144">
        <v>0</v>
      </c>
      <c r="CK251" s="144">
        <v>0</v>
      </c>
      <c r="CL251" s="144">
        <v>0</v>
      </c>
      <c r="CM251" s="144">
        <v>0</v>
      </c>
      <c r="CN251" s="144">
        <v>0</v>
      </c>
      <c r="CO251" s="144">
        <v>0</v>
      </c>
      <c r="CP251" s="144">
        <v>0</v>
      </c>
      <c r="CQ251" s="143">
        <v>0</v>
      </c>
      <c r="CR251" s="145">
        <v>0</v>
      </c>
      <c r="CS251" s="145">
        <v>0</v>
      </c>
      <c r="CT251" s="145">
        <v>0</v>
      </c>
      <c r="CU251" s="145">
        <v>0</v>
      </c>
      <c r="CV251" s="145">
        <v>0</v>
      </c>
      <c r="CW251" s="145">
        <v>0</v>
      </c>
      <c r="CX251" s="145">
        <v>0</v>
      </c>
      <c r="CY251" s="145">
        <v>0</v>
      </c>
      <c r="CZ251" s="145">
        <v>0</v>
      </c>
      <c r="DA251" s="145">
        <v>0</v>
      </c>
      <c r="DB251" s="145">
        <v>0</v>
      </c>
      <c r="DC251" s="145">
        <v>0</v>
      </c>
      <c r="DD251" s="145">
        <v>0</v>
      </c>
      <c r="DE251" s="145">
        <v>0</v>
      </c>
      <c r="DF251" s="145">
        <v>0</v>
      </c>
      <c r="DG251" s="145">
        <v>0</v>
      </c>
      <c r="DH251" s="145">
        <v>0</v>
      </c>
      <c r="DI251" s="145">
        <v>0</v>
      </c>
      <c r="DJ251" s="145">
        <v>0</v>
      </c>
      <c r="DK251" s="145">
        <v>0</v>
      </c>
      <c r="DL251" s="145">
        <v>0</v>
      </c>
      <c r="DM251" s="145">
        <v>0</v>
      </c>
      <c r="DN251" s="145">
        <v>0</v>
      </c>
      <c r="DO251" s="145">
        <v>0</v>
      </c>
      <c r="DP251" s="145">
        <v>0</v>
      </c>
      <c r="DQ251" s="145">
        <v>0</v>
      </c>
      <c r="DR251" s="145">
        <v>0</v>
      </c>
      <c r="DS251" s="145">
        <v>0</v>
      </c>
      <c r="DT251" s="145">
        <v>0</v>
      </c>
      <c r="DU251" s="145">
        <v>0</v>
      </c>
      <c r="DV251" s="145">
        <v>0</v>
      </c>
      <c r="DW251" s="145">
        <v>0</v>
      </c>
      <c r="DX251" s="145">
        <v>0</v>
      </c>
      <c r="DY251" s="145">
        <v>0</v>
      </c>
      <c r="DZ251" s="145">
        <v>16860.2</v>
      </c>
      <c r="EA251" s="145">
        <v>16860.2</v>
      </c>
      <c r="EB251" s="145">
        <v>16860.2</v>
      </c>
      <c r="EC251" s="145">
        <v>0</v>
      </c>
      <c r="ED251" s="145">
        <v>0</v>
      </c>
      <c r="EE251" s="145">
        <v>0</v>
      </c>
      <c r="EF251" s="145">
        <v>0</v>
      </c>
      <c r="EG251" s="145">
        <v>0</v>
      </c>
      <c r="EH251" s="145">
        <v>0</v>
      </c>
      <c r="EI251" s="145">
        <v>17371.2</v>
      </c>
      <c r="EJ251" s="145">
        <v>17371.2</v>
      </c>
      <c r="EK251" s="145">
        <v>17371.2</v>
      </c>
      <c r="EL251" s="145">
        <v>17371.2</v>
      </c>
      <c r="EM251" s="145">
        <v>0</v>
      </c>
      <c r="EN251" s="145">
        <v>0</v>
      </c>
      <c r="EO251" s="145">
        <v>0</v>
      </c>
      <c r="EP251" s="145">
        <v>0</v>
      </c>
      <c r="EQ251" s="145">
        <v>0</v>
      </c>
      <c r="ER251" s="145">
        <v>0</v>
      </c>
      <c r="ES251" s="145">
        <v>0</v>
      </c>
      <c r="ET251" s="145">
        <v>0</v>
      </c>
      <c r="EU251" s="145">
        <v>0</v>
      </c>
      <c r="EV251" s="145">
        <v>0</v>
      </c>
      <c r="EW251" s="145">
        <v>0</v>
      </c>
      <c r="EX251" s="145">
        <v>0</v>
      </c>
      <c r="EY251" s="145">
        <v>0</v>
      </c>
      <c r="EZ251" s="145">
        <v>0</v>
      </c>
      <c r="FA251" s="145">
        <v>0</v>
      </c>
      <c r="FB251" s="145">
        <v>0</v>
      </c>
      <c r="FC251" s="145">
        <v>0</v>
      </c>
      <c r="FD251" s="145">
        <v>0</v>
      </c>
      <c r="FE251" s="145">
        <v>0</v>
      </c>
      <c r="FF251" s="145">
        <v>0</v>
      </c>
      <c r="FG251" s="145">
        <v>0</v>
      </c>
      <c r="FH251" s="145">
        <v>0</v>
      </c>
      <c r="FI251" s="145">
        <v>0</v>
      </c>
      <c r="FJ251" s="145">
        <v>0</v>
      </c>
      <c r="FK251" s="145">
        <v>0</v>
      </c>
      <c r="FL251" s="145">
        <v>0</v>
      </c>
      <c r="FM251" s="145">
        <v>0</v>
      </c>
      <c r="FN251" s="145">
        <v>0</v>
      </c>
      <c r="FO251" s="145">
        <v>0</v>
      </c>
      <c r="FP251" s="145">
        <v>0</v>
      </c>
      <c r="FQ251" s="145">
        <v>0</v>
      </c>
      <c r="FR251" s="145">
        <v>0</v>
      </c>
      <c r="FS251" s="145">
        <v>0</v>
      </c>
      <c r="FT251" s="145">
        <v>0</v>
      </c>
      <c r="FU251" s="145">
        <v>0</v>
      </c>
      <c r="FV251" s="145">
        <v>0</v>
      </c>
      <c r="FW251" s="145">
        <v>0</v>
      </c>
      <c r="FX251" s="143"/>
      <c r="FY251" s="146" t="str">
        <f>_xlfn.XLOOKUP($E251,'Key assumptions'!$B$112:$B$120,'Key assumptions'!$C$112:$C$120,0)</f>
        <v>Nominal</v>
      </c>
      <c r="FZ251" s="146" cm="1">
        <f t="array" ref="FZ251">IF($FY251=0,0,_xlfn.IFS($FY251='Key assumptions'!$C$120,_xlfn.XLOOKUP(LEFT(FZ$7,6),Inflation_Year,Inflation_NominaltoReal),TRUE,_xlfn.XLOOKUP($FY251,Inflation_Year,NominaltoReal)))</f>
        <v>1.0197075870962191</v>
      </c>
      <c r="GA251" s="146" cm="1">
        <f t="array" ref="GA251">IF($FY251=0,0,_xlfn.IFS($FY251='Key assumptions'!$C$120,_xlfn.XLOOKUP(LEFT(GA$7,6),Inflation_Year,Inflation_NominaltoReal),TRUE,_xlfn.XLOOKUP($FY251,Inflation_Year,NominaltoReal)))</f>
        <v>0.98700804022984445</v>
      </c>
      <c r="GB251" s="146" cm="1">
        <f t="array" ref="GB251">IF($FY251=0,0,_xlfn.IFS($FY251='Key assumptions'!$C$120,_xlfn.XLOOKUP(LEFT(GB$7,6),Inflation_Year,Inflation_NominaltoReal),TRUE,_xlfn.XLOOKUP($FY251,Inflation_Year,NominaltoReal)))</f>
        <v>0.96152830081941731</v>
      </c>
      <c r="GC251" s="146" cm="1">
        <f t="array" ref="GC251">IF($FY251=0,0,_xlfn.IFS($FY251='Key assumptions'!$C$120,_xlfn.XLOOKUP(LEFT(GC$7,6),Inflation_Year,Inflation_NominaltoReal),TRUE,_xlfn.XLOOKUP($FY251,Inflation_Year,NominaltoReal)))</f>
        <v>0.93670632415656829</v>
      </c>
      <c r="GD251" s="146" cm="1">
        <f t="array" ref="GD251">IF($FY251=0,0,_xlfn.IFS($FY251='Key assumptions'!$C$120,_xlfn.XLOOKUP(LEFT(GD$7,6),Inflation_Year,Inflation_NominaltoReal),TRUE,_xlfn.XLOOKUP($FY251,Inflation_Year,NominaltoReal)))</f>
        <v>0.91252513001143176</v>
      </c>
      <c r="GE251" s="146" cm="1">
        <f t="array" ref="GE251">IF($FY251=0,0,_xlfn.IFS($FY251='Key assumptions'!$C$120,_xlfn.XLOOKUP(LEFT(GE$7,6),Inflation_Year,Inflation_NominaltoReal),TRUE,_xlfn.XLOOKUP($FY251,Inflation_Year,NominaltoReal)))</f>
        <v>0.88896817650095872</v>
      </c>
      <c r="GF251" s="146" cm="1">
        <f t="array" ref="GF251">IF($FY251=0,0,_xlfn.IFS($FY251='Key assumptions'!$C$120,_xlfn.XLOOKUP(LEFT(GF$7,6),Inflation_Year,Inflation_NominaltoReal),TRUE,_xlfn.XLOOKUP($FY251,Inflation_Year,NominaltoReal)))</f>
        <v>0.86601934877293718</v>
      </c>
      <c r="GG251" s="143"/>
      <c r="GH251" s="145" cm="1">
        <f t="array" ref="GH251">SUMPRODUCT(--($CR$7:$FW$7&gt;=GH$5),--($CR$7:$FW$7&lt;=GH$6),$CR251:$FW251)*FZ251</f>
        <v>0</v>
      </c>
      <c r="GI251" s="145" cm="1">
        <f t="array" ref="GI251">SUMPRODUCT(--($CR$7:$FW$7&gt;=GI$5),--($CR$7:$FW$7&lt;=GI$6),$CR251:$FW251)*GA251</f>
        <v>0</v>
      </c>
      <c r="GJ251" s="145" cm="1">
        <f t="array" ref="GJ251">SUMPRODUCT(--($CR$7:$FW$7&gt;=GJ$5),--($CR$7:$FW$7&lt;=GJ$6),$CR251:$FW251)*GB251</f>
        <v>82040.479210815145</v>
      </c>
      <c r="GK251" s="145" cm="1">
        <f t="array" ref="GK251">SUMPRODUCT(--($CR$7:$FW$7&gt;=GK$5),--($CR$7:$FW$7&lt;=GK$6),$CR251:$FW251)*GC251</f>
        <v>32543.42579637716</v>
      </c>
      <c r="GL251" s="145" cm="1">
        <f t="array" ref="GL251">SUMPRODUCT(--($CR$7:$FW$7&gt;=GL$5),--($CR$7:$FW$7&lt;=GL$6),$CR251:$FW251)*GD251</f>
        <v>0</v>
      </c>
      <c r="GM251" s="145" cm="1">
        <f t="array" ref="GM251">SUMPRODUCT(--($CR$7:$FW$7&gt;=GM$5),--($CR$7:$FW$7&lt;=GM$6),$CR251:$FW251)*GE251</f>
        <v>0</v>
      </c>
      <c r="GN251" s="145" cm="1">
        <f t="array" ref="GN251">SUMPRODUCT(--($CR$7:$FW$7&gt;=GN$5),--($CR$7:$FW$7&lt;=GN$6),$CR251:$FW251)*GF251</f>
        <v>0</v>
      </c>
      <c r="GO251" s="145">
        <f t="shared" si="69"/>
        <v>114583.90500719231</v>
      </c>
      <c r="GP251" s="87"/>
      <c r="GR251" s="145" cm="1">
        <f t="array" ref="GR251">SUMPRODUCT(--($CR$7:$FW$7&gt;=GR$5),--($CR$7:$FW$7&lt;=GR$6),$CR251:$FW251)</f>
        <v>0</v>
      </c>
      <c r="GT251" s="214" cm="1">
        <f t="array" ref="GT251">--AND(MIN(IF($K251:$CP251&lt;&gt;0,$K$7:$CP$7))&gt;=GT$5,MIN(IF($K251:$CP251&lt;&gt;0,$K$7:$CP$7))&lt;=GT$6)</f>
        <v>0</v>
      </c>
      <c r="GU251" s="214" cm="1">
        <f t="array" ref="GU251">--AND(MIN(IF($K251:$CP251&lt;&gt;0,$K$7:$CP$7))&gt;=GU$5,MIN(IF($K251:$CP251&lt;&gt;0,$K$7:$CP$7))&lt;=GU$6)</f>
        <v>0</v>
      </c>
      <c r="GV251" s="214" cm="1">
        <f t="array" ref="GV251">--AND(MIN(IF($K251:$CP251&lt;&gt;0,$K$7:$CP$7))&gt;=GV$5,MIN(IF($K251:$CP251&lt;&gt;0,$K$7:$CP$7))&lt;=GV$6)</f>
        <v>1</v>
      </c>
      <c r="GW251" s="214" cm="1">
        <f t="array" ref="GW251">--AND(MIN(IF($K251:$CP251&lt;&gt;0,$K$7:$CP$7))&gt;=GW$5,MIN(IF($K251:$CP251&lt;&gt;0,$K$7:$CP$7))&lt;=GW$6)</f>
        <v>0</v>
      </c>
      <c r="GX251" s="214" cm="1">
        <f t="array" ref="GX251">--AND(MIN(IF($K251:$CP251&lt;&gt;0,$K$7:$CP$7))&gt;=GX$5,MIN(IF($K251:$CP251&lt;&gt;0,$K$7:$CP$7))&lt;=GX$6)</f>
        <v>0</v>
      </c>
      <c r="GY251" s="214" cm="1">
        <f t="array" ref="GY251">--AND(MIN(IF($K251:$CP251&lt;&gt;0,$K$7:$CP$7))&gt;=GY$5,MIN(IF($K251:$CP251&lt;&gt;0,$K$7:$CP$7))&lt;=GY$6)</f>
        <v>0</v>
      </c>
      <c r="GZ251" s="214" cm="1">
        <f t="array" ref="GZ251">--AND(MIN(IF($K251:$CP251&lt;&gt;0,$K$7:$CP$7))&gt;=GZ$5,MIN(IF($K251:$CP251&lt;&gt;0,$K$7:$CP$7))&lt;=GZ$6)</f>
        <v>0</v>
      </c>
      <c r="HA251" s="214">
        <f t="shared" si="70"/>
        <v>1</v>
      </c>
      <c r="HC251" s="214" cm="1">
        <f t="array" ref="HC251">--AND(MIN(IF($K251:$CP251&lt;&gt;0,$K$7:$CP$7))&gt;=HC$5,MIN(IF($K251:$CP251&lt;&gt;0,$K$7:$CP$7))&lt;=HC$6)</f>
        <v>0</v>
      </c>
      <c r="HE251" s="147" t="str">
        <f t="shared" si="89"/>
        <v>No</v>
      </c>
      <c r="HF251" s="147" t="str">
        <f t="shared" si="90"/>
        <v>No</v>
      </c>
      <c r="HG251" s="147">
        <f>IF($HF251="Yes",0,$H251*avg_hrs*12*'Key assumptions'!$D$87)</f>
        <v>418061.5290413404</v>
      </c>
      <c r="HH251" s="147">
        <f>IF(HE251="Yes",'Key assumptions'!$D$84*HG251,0)</f>
        <v>0</v>
      </c>
      <c r="HI251" s="144">
        <f>IFERROR(AVERAGEIFS($K251:$CP251,$K$7:$CP$7,"&gt;="&amp;'Key assumptions'!$D$24,$K$7:$CP$7,"&lt;="&amp;'Key assumptions'!$D$25),0)</f>
        <v>8.7121212121212113E-2</v>
      </c>
      <c r="HJ251" s="148">
        <f t="shared" si="91"/>
        <v>0</v>
      </c>
      <c r="HK251" s="148">
        <f t="shared" si="72"/>
        <v>0</v>
      </c>
      <c r="HL251" s="148">
        <f t="shared" si="73"/>
        <v>0</v>
      </c>
      <c r="HM251" s="148">
        <f t="shared" si="74"/>
        <v>0</v>
      </c>
      <c r="HN251" s="148">
        <f t="shared" si="75"/>
        <v>0</v>
      </c>
      <c r="HO251" s="148">
        <f t="shared" si="76"/>
        <v>0</v>
      </c>
      <c r="HP251" s="148">
        <f t="shared" si="77"/>
        <v>0</v>
      </c>
      <c r="HQ251" s="148">
        <f t="shared" si="78"/>
        <v>0</v>
      </c>
      <c r="HR251" s="147">
        <f t="shared" si="79"/>
        <v>0</v>
      </c>
      <c r="HU251" s="147">
        <f>$HJ251*HC251/(1+'Key assumptions'!G273)^0.75</f>
        <v>0</v>
      </c>
      <c r="HW251" s="216">
        <f t="shared" si="80"/>
        <v>0</v>
      </c>
      <c r="HX251" s="216">
        <f t="shared" si="81"/>
        <v>0</v>
      </c>
      <c r="HY251" s="216">
        <f t="shared" si="82"/>
        <v>8.7121212121212113E-2</v>
      </c>
      <c r="HZ251" s="216">
        <f t="shared" si="83"/>
        <v>0</v>
      </c>
      <c r="IA251" s="216">
        <f t="shared" si="84"/>
        <v>0</v>
      </c>
      <c r="IB251" s="216">
        <f t="shared" si="85"/>
        <v>0</v>
      </c>
      <c r="IC251" s="216">
        <f t="shared" si="86"/>
        <v>0</v>
      </c>
      <c r="ID251" s="216">
        <f t="shared" si="87"/>
        <v>8.7121212121212113E-2</v>
      </c>
      <c r="IF251" s="216">
        <f t="shared" si="88"/>
        <v>0</v>
      </c>
    </row>
    <row r="252" spans="2:240" x14ac:dyDescent="0.2">
      <c r="B252" s="141" t="str">
        <v>Project Delivery Management - Commissioning</v>
      </c>
      <c r="C252" s="141" t="str">
        <v>Telecommunication Technician (Construction)</v>
      </c>
      <c r="D252" s="141" t="str">
        <v>Internal Labour</v>
      </c>
      <c r="E252" s="141" t="str">
        <v>$ Nominal</v>
      </c>
      <c r="F252" s="141" t="str">
        <v>Existing</v>
      </c>
      <c r="G252" s="141" t="str">
        <v>Normal time</v>
      </c>
      <c r="H252" s="142">
        <v>188.58</v>
      </c>
      <c r="I252" s="126">
        <v>85803.900000000009</v>
      </c>
      <c r="J252" s="143">
        <v>0</v>
      </c>
      <c r="K252" s="144">
        <v>0</v>
      </c>
      <c r="L252" s="144">
        <v>0</v>
      </c>
      <c r="M252" s="144">
        <v>0</v>
      </c>
      <c r="N252" s="144">
        <v>0</v>
      </c>
      <c r="O252" s="144">
        <v>0</v>
      </c>
      <c r="P252" s="144">
        <v>0</v>
      </c>
      <c r="Q252" s="144">
        <v>0</v>
      </c>
      <c r="R252" s="144">
        <v>0</v>
      </c>
      <c r="S252" s="144">
        <v>0</v>
      </c>
      <c r="T252" s="144">
        <v>0</v>
      </c>
      <c r="U252" s="144">
        <v>0</v>
      </c>
      <c r="V252" s="144">
        <v>0</v>
      </c>
      <c r="W252" s="144">
        <v>0</v>
      </c>
      <c r="X252" s="144">
        <v>0</v>
      </c>
      <c r="Y252" s="144">
        <v>0</v>
      </c>
      <c r="Z252" s="144">
        <v>0</v>
      </c>
      <c r="AA252" s="144">
        <v>0</v>
      </c>
      <c r="AB252" s="144">
        <v>0</v>
      </c>
      <c r="AC252" s="144">
        <v>0</v>
      </c>
      <c r="AD252" s="144">
        <v>0</v>
      </c>
      <c r="AE252" s="144">
        <v>0</v>
      </c>
      <c r="AF252" s="144">
        <v>0</v>
      </c>
      <c r="AG252" s="144">
        <v>0</v>
      </c>
      <c r="AH252" s="144">
        <v>1.4</v>
      </c>
      <c r="AI252" s="144">
        <v>1.4666666666666666</v>
      </c>
      <c r="AJ252" s="144">
        <v>1.1000000000000001</v>
      </c>
      <c r="AK252" s="144">
        <v>0</v>
      </c>
      <c r="AL252" s="144">
        <v>0</v>
      </c>
      <c r="AM252" s="144">
        <v>0</v>
      </c>
      <c r="AN252" s="144">
        <v>0</v>
      </c>
      <c r="AO252" s="144">
        <v>0</v>
      </c>
      <c r="AP252" s="144">
        <v>0</v>
      </c>
      <c r="AQ252" s="144">
        <v>0</v>
      </c>
      <c r="AR252" s="144">
        <v>0</v>
      </c>
      <c r="AS252" s="144">
        <v>0</v>
      </c>
      <c r="AT252" s="144">
        <v>0</v>
      </c>
      <c r="AU252" s="144">
        <v>0</v>
      </c>
      <c r="AV252" s="144">
        <v>0</v>
      </c>
      <c r="AW252" s="144">
        <v>0</v>
      </c>
      <c r="AX252" s="144">
        <v>0</v>
      </c>
      <c r="AY252" s="144">
        <v>0</v>
      </c>
      <c r="AZ252" s="144">
        <v>0</v>
      </c>
      <c r="BA252" s="144">
        <v>0</v>
      </c>
      <c r="BB252" s="144">
        <v>0</v>
      </c>
      <c r="BC252" s="144">
        <v>0</v>
      </c>
      <c r="BD252" s="144">
        <v>0</v>
      </c>
      <c r="BE252" s="144">
        <v>0</v>
      </c>
      <c r="BF252" s="144">
        <v>0</v>
      </c>
      <c r="BG252" s="144">
        <v>0</v>
      </c>
      <c r="BH252" s="144">
        <v>0</v>
      </c>
      <c r="BI252" s="144">
        <v>0</v>
      </c>
      <c r="BJ252" s="144">
        <v>0</v>
      </c>
      <c r="BK252" s="144">
        <v>0</v>
      </c>
      <c r="BL252" s="144">
        <v>0</v>
      </c>
      <c r="BM252" s="144">
        <v>0</v>
      </c>
      <c r="BN252" s="144">
        <v>0</v>
      </c>
      <c r="BO252" s="144">
        <v>0</v>
      </c>
      <c r="BP252" s="144">
        <v>0</v>
      </c>
      <c r="BQ252" s="144">
        <v>0</v>
      </c>
      <c r="BR252" s="144">
        <v>0</v>
      </c>
      <c r="BS252" s="144">
        <v>0</v>
      </c>
      <c r="BT252" s="144">
        <v>0</v>
      </c>
      <c r="BU252" s="144">
        <v>0</v>
      </c>
      <c r="BV252" s="144">
        <v>0</v>
      </c>
      <c r="BW252" s="144">
        <v>0</v>
      </c>
      <c r="BX252" s="144">
        <v>0</v>
      </c>
      <c r="BY252" s="144">
        <v>0</v>
      </c>
      <c r="BZ252" s="144">
        <v>0</v>
      </c>
      <c r="CA252" s="144">
        <v>0</v>
      </c>
      <c r="CB252" s="144">
        <v>0</v>
      </c>
      <c r="CC252" s="144">
        <v>0</v>
      </c>
      <c r="CD252" s="144">
        <v>0</v>
      </c>
      <c r="CE252" s="144">
        <v>0</v>
      </c>
      <c r="CF252" s="144">
        <v>0</v>
      </c>
      <c r="CG252" s="144">
        <v>0</v>
      </c>
      <c r="CH252" s="144">
        <v>0</v>
      </c>
      <c r="CI252" s="144">
        <v>0</v>
      </c>
      <c r="CJ252" s="144">
        <v>0</v>
      </c>
      <c r="CK252" s="144">
        <v>0</v>
      </c>
      <c r="CL252" s="144">
        <v>0</v>
      </c>
      <c r="CM252" s="144">
        <v>0</v>
      </c>
      <c r="CN252" s="144">
        <v>0</v>
      </c>
      <c r="CO252" s="144">
        <v>0</v>
      </c>
      <c r="CP252" s="144">
        <v>0</v>
      </c>
      <c r="CQ252" s="143">
        <v>0</v>
      </c>
      <c r="CR252" s="145">
        <v>0</v>
      </c>
      <c r="CS252" s="145">
        <v>0</v>
      </c>
      <c r="CT252" s="145">
        <v>0</v>
      </c>
      <c r="CU252" s="145">
        <v>0</v>
      </c>
      <c r="CV252" s="145">
        <v>0</v>
      </c>
      <c r="CW252" s="145">
        <v>0</v>
      </c>
      <c r="CX252" s="145">
        <v>0</v>
      </c>
      <c r="CY252" s="145">
        <v>0</v>
      </c>
      <c r="CZ252" s="145">
        <v>0</v>
      </c>
      <c r="DA252" s="145">
        <v>0</v>
      </c>
      <c r="DB252" s="145">
        <v>0</v>
      </c>
      <c r="DC252" s="145">
        <v>0</v>
      </c>
      <c r="DD252" s="145">
        <v>0</v>
      </c>
      <c r="DE252" s="145">
        <v>0</v>
      </c>
      <c r="DF252" s="145">
        <v>0</v>
      </c>
      <c r="DG252" s="145">
        <v>0</v>
      </c>
      <c r="DH252" s="145">
        <v>0</v>
      </c>
      <c r="DI252" s="145">
        <v>0</v>
      </c>
      <c r="DJ252" s="145">
        <v>0</v>
      </c>
      <c r="DK252" s="145">
        <v>0</v>
      </c>
      <c r="DL252" s="145">
        <v>0</v>
      </c>
      <c r="DM252" s="145">
        <v>0</v>
      </c>
      <c r="DN252" s="145">
        <v>0</v>
      </c>
      <c r="DO252" s="145">
        <v>27721.260000000002</v>
      </c>
      <c r="DP252" s="145">
        <v>29041.320000000003</v>
      </c>
      <c r="DQ252" s="145">
        <v>29041.320000000003</v>
      </c>
      <c r="DR252" s="145">
        <v>0</v>
      </c>
      <c r="DS252" s="145">
        <v>0</v>
      </c>
      <c r="DT252" s="145">
        <v>0</v>
      </c>
      <c r="DU252" s="145">
        <v>0</v>
      </c>
      <c r="DV252" s="145">
        <v>0</v>
      </c>
      <c r="DW252" s="145">
        <v>0</v>
      </c>
      <c r="DX252" s="145">
        <v>0</v>
      </c>
      <c r="DY252" s="145">
        <v>0</v>
      </c>
      <c r="DZ252" s="145">
        <v>0</v>
      </c>
      <c r="EA252" s="145">
        <v>0</v>
      </c>
      <c r="EB252" s="145">
        <v>0</v>
      </c>
      <c r="EC252" s="145">
        <v>0</v>
      </c>
      <c r="ED252" s="145">
        <v>0</v>
      </c>
      <c r="EE252" s="145">
        <v>0</v>
      </c>
      <c r="EF252" s="145">
        <v>0</v>
      </c>
      <c r="EG252" s="145">
        <v>0</v>
      </c>
      <c r="EH252" s="145">
        <v>0</v>
      </c>
      <c r="EI252" s="145">
        <v>0</v>
      </c>
      <c r="EJ252" s="145">
        <v>0</v>
      </c>
      <c r="EK252" s="145">
        <v>0</v>
      </c>
      <c r="EL252" s="145">
        <v>0</v>
      </c>
      <c r="EM252" s="145">
        <v>0</v>
      </c>
      <c r="EN252" s="145">
        <v>0</v>
      </c>
      <c r="EO252" s="145">
        <v>0</v>
      </c>
      <c r="EP252" s="145">
        <v>0</v>
      </c>
      <c r="EQ252" s="145">
        <v>0</v>
      </c>
      <c r="ER252" s="145">
        <v>0</v>
      </c>
      <c r="ES252" s="145">
        <v>0</v>
      </c>
      <c r="ET252" s="145">
        <v>0</v>
      </c>
      <c r="EU252" s="145">
        <v>0</v>
      </c>
      <c r="EV252" s="145">
        <v>0</v>
      </c>
      <c r="EW252" s="145">
        <v>0</v>
      </c>
      <c r="EX252" s="145">
        <v>0</v>
      </c>
      <c r="EY252" s="145">
        <v>0</v>
      </c>
      <c r="EZ252" s="145">
        <v>0</v>
      </c>
      <c r="FA252" s="145">
        <v>0</v>
      </c>
      <c r="FB252" s="145">
        <v>0</v>
      </c>
      <c r="FC252" s="145">
        <v>0</v>
      </c>
      <c r="FD252" s="145">
        <v>0</v>
      </c>
      <c r="FE252" s="145">
        <v>0</v>
      </c>
      <c r="FF252" s="145">
        <v>0</v>
      </c>
      <c r="FG252" s="145">
        <v>0</v>
      </c>
      <c r="FH252" s="145">
        <v>0</v>
      </c>
      <c r="FI252" s="145">
        <v>0</v>
      </c>
      <c r="FJ252" s="145">
        <v>0</v>
      </c>
      <c r="FK252" s="145">
        <v>0</v>
      </c>
      <c r="FL252" s="145">
        <v>0</v>
      </c>
      <c r="FM252" s="145">
        <v>0</v>
      </c>
      <c r="FN252" s="145">
        <v>0</v>
      </c>
      <c r="FO252" s="145">
        <v>0</v>
      </c>
      <c r="FP252" s="145">
        <v>0</v>
      </c>
      <c r="FQ252" s="145">
        <v>0</v>
      </c>
      <c r="FR252" s="145">
        <v>0</v>
      </c>
      <c r="FS252" s="145">
        <v>0</v>
      </c>
      <c r="FT252" s="145">
        <v>0</v>
      </c>
      <c r="FU252" s="145">
        <v>0</v>
      </c>
      <c r="FV252" s="145">
        <v>0</v>
      </c>
      <c r="FW252" s="145">
        <v>0</v>
      </c>
      <c r="FX252" s="143"/>
      <c r="FY252" s="146" t="str">
        <f>_xlfn.XLOOKUP($E252,'Key assumptions'!$B$112:$B$120,'Key assumptions'!$C$112:$C$120,0)</f>
        <v>Nominal</v>
      </c>
      <c r="FZ252" s="146" cm="1">
        <f t="array" ref="FZ252">IF($FY252=0,0,_xlfn.IFS($FY252='Key assumptions'!$C$120,_xlfn.XLOOKUP(LEFT(FZ$7,6),Inflation_Year,Inflation_NominaltoReal),TRUE,_xlfn.XLOOKUP($FY252,Inflation_Year,NominaltoReal)))</f>
        <v>1.0197075870962191</v>
      </c>
      <c r="GA252" s="146" cm="1">
        <f t="array" ref="GA252">IF($FY252=0,0,_xlfn.IFS($FY252='Key assumptions'!$C$120,_xlfn.XLOOKUP(LEFT(GA$7,6),Inflation_Year,Inflation_NominaltoReal),TRUE,_xlfn.XLOOKUP($FY252,Inflation_Year,NominaltoReal)))</f>
        <v>0.98700804022984445</v>
      </c>
      <c r="GB252" s="146" cm="1">
        <f t="array" ref="GB252">IF($FY252=0,0,_xlfn.IFS($FY252='Key assumptions'!$C$120,_xlfn.XLOOKUP(LEFT(GB$7,6),Inflation_Year,Inflation_NominaltoReal),TRUE,_xlfn.XLOOKUP($FY252,Inflation_Year,NominaltoReal)))</f>
        <v>0.96152830081941731</v>
      </c>
      <c r="GC252" s="146" cm="1">
        <f t="array" ref="GC252">IF($FY252=0,0,_xlfn.IFS($FY252='Key assumptions'!$C$120,_xlfn.XLOOKUP(LEFT(GC$7,6),Inflation_Year,Inflation_NominaltoReal),TRUE,_xlfn.XLOOKUP($FY252,Inflation_Year,NominaltoReal)))</f>
        <v>0.93670632415656829</v>
      </c>
      <c r="GD252" s="146" cm="1">
        <f t="array" ref="GD252">IF($FY252=0,0,_xlfn.IFS($FY252='Key assumptions'!$C$120,_xlfn.XLOOKUP(LEFT(GD$7,6),Inflation_Year,Inflation_NominaltoReal),TRUE,_xlfn.XLOOKUP($FY252,Inflation_Year,NominaltoReal)))</f>
        <v>0.91252513001143176</v>
      </c>
      <c r="GE252" s="146" cm="1">
        <f t="array" ref="GE252">IF($FY252=0,0,_xlfn.IFS($FY252='Key assumptions'!$C$120,_xlfn.XLOOKUP(LEFT(GE$7,6),Inflation_Year,Inflation_NominaltoReal),TRUE,_xlfn.XLOOKUP($FY252,Inflation_Year,NominaltoReal)))</f>
        <v>0.88896817650095872</v>
      </c>
      <c r="GF252" s="146" cm="1">
        <f t="array" ref="GF252">IF($FY252=0,0,_xlfn.IFS($FY252='Key assumptions'!$C$120,_xlfn.XLOOKUP(LEFT(GF$7,6),Inflation_Year,Inflation_NominaltoReal),TRUE,_xlfn.XLOOKUP($FY252,Inflation_Year,NominaltoReal)))</f>
        <v>0.86601934877293718</v>
      </c>
      <c r="GG252" s="143"/>
      <c r="GH252" s="145" cm="1">
        <f t="array" ref="GH252">SUMPRODUCT(--($CR$7:$FW$7&gt;=GH$5),--($CR$7:$FW$7&lt;=GH$6),$CR252:$FW252)*FZ252</f>
        <v>0</v>
      </c>
      <c r="GI252" s="145" cm="1">
        <f t="array" ref="GI252">SUMPRODUCT(--($CR$7:$FW$7&gt;=GI$5),--($CR$7:$FW$7&lt;=GI$6),$CR252:$FW252)*GA252</f>
        <v>84689.139183077554</v>
      </c>
      <c r="GJ252" s="145" cm="1">
        <f t="array" ref="GJ252">SUMPRODUCT(--($CR$7:$FW$7&gt;=GJ$5),--($CR$7:$FW$7&lt;=GJ$6),$CR252:$FW252)*GB252</f>
        <v>0</v>
      </c>
      <c r="GK252" s="145" cm="1">
        <f t="array" ref="GK252">SUMPRODUCT(--($CR$7:$FW$7&gt;=GK$5),--($CR$7:$FW$7&lt;=GK$6),$CR252:$FW252)*GC252</f>
        <v>0</v>
      </c>
      <c r="GL252" s="145" cm="1">
        <f t="array" ref="GL252">SUMPRODUCT(--($CR$7:$FW$7&gt;=GL$5),--($CR$7:$FW$7&lt;=GL$6),$CR252:$FW252)*GD252</f>
        <v>0</v>
      </c>
      <c r="GM252" s="145" cm="1">
        <f t="array" ref="GM252">SUMPRODUCT(--($CR$7:$FW$7&gt;=GM$5),--($CR$7:$FW$7&lt;=GM$6),$CR252:$FW252)*GE252</f>
        <v>0</v>
      </c>
      <c r="GN252" s="145" cm="1">
        <f t="array" ref="GN252">SUMPRODUCT(--($CR$7:$FW$7&gt;=GN$5),--($CR$7:$FW$7&lt;=GN$6),$CR252:$FW252)*GF252</f>
        <v>0</v>
      </c>
      <c r="GO252" s="145">
        <f t="shared" si="69"/>
        <v>84689.139183077554</v>
      </c>
      <c r="GP252" s="87"/>
      <c r="GR252" s="145" cm="1">
        <f t="array" ref="GR252">SUMPRODUCT(--($CR$7:$FW$7&gt;=GR$5),--($CR$7:$FW$7&lt;=GR$6),$CR252:$FW252)</f>
        <v>0</v>
      </c>
      <c r="GT252" s="214" cm="1">
        <f t="array" ref="GT252">--AND(MIN(IF($K252:$CP252&lt;&gt;0,$K$7:$CP$7))&gt;=GT$5,MIN(IF($K252:$CP252&lt;&gt;0,$K$7:$CP$7))&lt;=GT$6)</f>
        <v>0</v>
      </c>
      <c r="GU252" s="214" cm="1">
        <f t="array" ref="GU252">--AND(MIN(IF($K252:$CP252&lt;&gt;0,$K$7:$CP$7))&gt;=GU$5,MIN(IF($K252:$CP252&lt;&gt;0,$K$7:$CP$7))&lt;=GU$6)</f>
        <v>1</v>
      </c>
      <c r="GV252" s="214" cm="1">
        <f t="array" ref="GV252">--AND(MIN(IF($K252:$CP252&lt;&gt;0,$K$7:$CP$7))&gt;=GV$5,MIN(IF($K252:$CP252&lt;&gt;0,$K$7:$CP$7))&lt;=GV$6)</f>
        <v>0</v>
      </c>
      <c r="GW252" s="214" cm="1">
        <f t="array" ref="GW252">--AND(MIN(IF($K252:$CP252&lt;&gt;0,$K$7:$CP$7))&gt;=GW$5,MIN(IF($K252:$CP252&lt;&gt;0,$K$7:$CP$7))&lt;=GW$6)</f>
        <v>0</v>
      </c>
      <c r="GX252" s="214" cm="1">
        <f t="array" ref="GX252">--AND(MIN(IF($K252:$CP252&lt;&gt;0,$K$7:$CP$7))&gt;=GX$5,MIN(IF($K252:$CP252&lt;&gt;0,$K$7:$CP$7))&lt;=GX$6)</f>
        <v>0</v>
      </c>
      <c r="GY252" s="214" cm="1">
        <f t="array" ref="GY252">--AND(MIN(IF($K252:$CP252&lt;&gt;0,$K$7:$CP$7))&gt;=GY$5,MIN(IF($K252:$CP252&lt;&gt;0,$K$7:$CP$7))&lt;=GY$6)</f>
        <v>0</v>
      </c>
      <c r="GZ252" s="214" cm="1">
        <f t="array" ref="GZ252">--AND(MIN(IF($K252:$CP252&lt;&gt;0,$K$7:$CP$7))&gt;=GZ$5,MIN(IF($K252:$CP252&lt;&gt;0,$K$7:$CP$7))&lt;=GZ$6)</f>
        <v>0</v>
      </c>
      <c r="HA252" s="214">
        <f t="shared" si="70"/>
        <v>1</v>
      </c>
      <c r="HC252" s="214" cm="1">
        <f t="array" ref="HC252">--AND(MIN(IF($K252:$CP252&lt;&gt;0,$K$7:$CP$7))&gt;=HC$5,MIN(IF($K252:$CP252&lt;&gt;0,$K$7:$CP$7))&lt;=HC$6)</f>
        <v>0</v>
      </c>
      <c r="HE252" s="147" t="str">
        <f t="shared" si="89"/>
        <v>No</v>
      </c>
      <c r="HF252" s="147" t="str">
        <f t="shared" si="90"/>
        <v>No</v>
      </c>
      <c r="HG252" s="147">
        <f>IF($HF252="Yes",0,$H252*avg_hrs*12*'Key assumptions'!$D$87)</f>
        <v>337231.76981185726</v>
      </c>
      <c r="HH252" s="147">
        <f>IF(HE252="Yes",'Key assumptions'!$D$84*HG252,0)</f>
        <v>0</v>
      </c>
      <c r="HI252" s="144">
        <f>IFERROR(AVERAGEIFS($K252:$CP252,$K$7:$CP$7,"&gt;="&amp;'Key assumptions'!$D$24,$K$7:$CP$7,"&lt;="&amp;'Key assumptions'!$D$25),0)</f>
        <v>9.0151515151515149E-2</v>
      </c>
      <c r="HJ252" s="148">
        <f t="shared" si="91"/>
        <v>0</v>
      </c>
      <c r="HK252" s="148">
        <f t="shared" si="72"/>
        <v>0</v>
      </c>
      <c r="HL252" s="148">
        <f t="shared" si="73"/>
        <v>0</v>
      </c>
      <c r="HM252" s="148">
        <f t="shared" si="74"/>
        <v>0</v>
      </c>
      <c r="HN252" s="148">
        <f t="shared" si="75"/>
        <v>0</v>
      </c>
      <c r="HO252" s="148">
        <f t="shared" si="76"/>
        <v>0</v>
      </c>
      <c r="HP252" s="148">
        <f t="shared" si="77"/>
        <v>0</v>
      </c>
      <c r="HQ252" s="148">
        <f t="shared" si="78"/>
        <v>0</v>
      </c>
      <c r="HR252" s="147">
        <f t="shared" si="79"/>
        <v>0</v>
      </c>
      <c r="HU252" s="147">
        <f>$HJ252*HC252/(1+'Key assumptions'!G274)^0.75</f>
        <v>0</v>
      </c>
      <c r="HW252" s="216">
        <f t="shared" si="80"/>
        <v>0</v>
      </c>
      <c r="HX252" s="216">
        <f t="shared" si="81"/>
        <v>9.0151515151515149E-2</v>
      </c>
      <c r="HY252" s="216">
        <f t="shared" si="82"/>
        <v>0</v>
      </c>
      <c r="HZ252" s="216">
        <f t="shared" si="83"/>
        <v>0</v>
      </c>
      <c r="IA252" s="216">
        <f t="shared" si="84"/>
        <v>0</v>
      </c>
      <c r="IB252" s="216">
        <f t="shared" si="85"/>
        <v>0</v>
      </c>
      <c r="IC252" s="216">
        <f t="shared" si="86"/>
        <v>0</v>
      </c>
      <c r="ID252" s="216">
        <f t="shared" si="87"/>
        <v>9.0151515151515149E-2</v>
      </c>
      <c r="IF252" s="216">
        <f t="shared" si="88"/>
        <v>0</v>
      </c>
    </row>
    <row r="253" spans="2:240" x14ac:dyDescent="0.2">
      <c r="B253" s="141" t="str">
        <v>Project Delivery Management - Commissioning</v>
      </c>
      <c r="C253" s="141" t="str">
        <v>Telecommunication Technician (Construction)</v>
      </c>
      <c r="D253" s="141" t="str">
        <v>Internal Labour</v>
      </c>
      <c r="E253" s="141" t="str">
        <v>$ Nominal</v>
      </c>
      <c r="F253" s="141">
        <v>0</v>
      </c>
      <c r="G253" s="141" t="str">
        <v>Overtime</v>
      </c>
      <c r="H253" s="142">
        <v>188.58</v>
      </c>
      <c r="I253" s="126">
        <v>45258</v>
      </c>
      <c r="J253" s="143">
        <v>0</v>
      </c>
      <c r="K253" s="144">
        <v>0</v>
      </c>
      <c r="L253" s="144">
        <v>0</v>
      </c>
      <c r="M253" s="144">
        <v>0</v>
      </c>
      <c r="N253" s="144">
        <v>0</v>
      </c>
      <c r="O253" s="144">
        <v>0</v>
      </c>
      <c r="P253" s="144">
        <v>0</v>
      </c>
      <c r="Q253" s="144">
        <v>0</v>
      </c>
      <c r="R253" s="144">
        <v>0</v>
      </c>
      <c r="S253" s="144">
        <v>0</v>
      </c>
      <c r="T253" s="144">
        <v>0</v>
      </c>
      <c r="U253" s="144">
        <v>0</v>
      </c>
      <c r="V253" s="144">
        <v>0</v>
      </c>
      <c r="W253" s="144">
        <v>0</v>
      </c>
      <c r="X253" s="144">
        <v>0</v>
      </c>
      <c r="Y253" s="144">
        <v>0</v>
      </c>
      <c r="Z253" s="144">
        <v>0</v>
      </c>
      <c r="AA253" s="144">
        <v>0</v>
      </c>
      <c r="AB253" s="144">
        <v>0</v>
      </c>
      <c r="AC253" s="144">
        <v>0</v>
      </c>
      <c r="AD253" s="144">
        <v>0</v>
      </c>
      <c r="AE253" s="144">
        <v>0</v>
      </c>
      <c r="AF253" s="144">
        <v>0</v>
      </c>
      <c r="AG253" s="144">
        <v>0</v>
      </c>
      <c r="AH253" s="144">
        <v>0.38095238095238093</v>
      </c>
      <c r="AI253" s="144">
        <v>0.38095238095238093</v>
      </c>
      <c r="AJ253" s="144">
        <v>0.2857142857142857</v>
      </c>
      <c r="AK253" s="144">
        <v>0</v>
      </c>
      <c r="AL253" s="144">
        <v>0</v>
      </c>
      <c r="AM253" s="144">
        <v>0</v>
      </c>
      <c r="AN253" s="144">
        <v>0</v>
      </c>
      <c r="AO253" s="144">
        <v>0</v>
      </c>
      <c r="AP253" s="144">
        <v>0</v>
      </c>
      <c r="AQ253" s="144">
        <v>0</v>
      </c>
      <c r="AR253" s="144">
        <v>0</v>
      </c>
      <c r="AS253" s="144">
        <v>0</v>
      </c>
      <c r="AT253" s="144">
        <v>0</v>
      </c>
      <c r="AU253" s="144">
        <v>0</v>
      </c>
      <c r="AV253" s="144">
        <v>0</v>
      </c>
      <c r="AW253" s="144">
        <v>0</v>
      </c>
      <c r="AX253" s="144">
        <v>0</v>
      </c>
      <c r="AY253" s="144">
        <v>0</v>
      </c>
      <c r="AZ253" s="144">
        <v>0</v>
      </c>
      <c r="BA253" s="144">
        <v>0</v>
      </c>
      <c r="BB253" s="144">
        <v>0</v>
      </c>
      <c r="BC253" s="144">
        <v>0</v>
      </c>
      <c r="BD253" s="144">
        <v>0</v>
      </c>
      <c r="BE253" s="144">
        <v>0</v>
      </c>
      <c r="BF253" s="144">
        <v>0</v>
      </c>
      <c r="BG253" s="144">
        <v>0</v>
      </c>
      <c r="BH253" s="144">
        <v>0</v>
      </c>
      <c r="BI253" s="144">
        <v>0</v>
      </c>
      <c r="BJ253" s="144">
        <v>0</v>
      </c>
      <c r="BK253" s="144">
        <v>0</v>
      </c>
      <c r="BL253" s="144">
        <v>0</v>
      </c>
      <c r="BM253" s="144">
        <v>0</v>
      </c>
      <c r="BN253" s="144">
        <v>0</v>
      </c>
      <c r="BO253" s="144">
        <v>0</v>
      </c>
      <c r="BP253" s="144">
        <v>0</v>
      </c>
      <c r="BQ253" s="144">
        <v>0</v>
      </c>
      <c r="BR253" s="144">
        <v>0</v>
      </c>
      <c r="BS253" s="144">
        <v>0</v>
      </c>
      <c r="BT253" s="144">
        <v>0</v>
      </c>
      <c r="BU253" s="144">
        <v>0</v>
      </c>
      <c r="BV253" s="144">
        <v>0</v>
      </c>
      <c r="BW253" s="144">
        <v>0</v>
      </c>
      <c r="BX253" s="144">
        <v>0</v>
      </c>
      <c r="BY253" s="144">
        <v>0</v>
      </c>
      <c r="BZ253" s="144">
        <v>0</v>
      </c>
      <c r="CA253" s="144">
        <v>0</v>
      </c>
      <c r="CB253" s="144">
        <v>0</v>
      </c>
      <c r="CC253" s="144">
        <v>0</v>
      </c>
      <c r="CD253" s="144">
        <v>0</v>
      </c>
      <c r="CE253" s="144">
        <v>0</v>
      </c>
      <c r="CF253" s="144">
        <v>0</v>
      </c>
      <c r="CG253" s="144">
        <v>0</v>
      </c>
      <c r="CH253" s="144">
        <v>0</v>
      </c>
      <c r="CI253" s="144">
        <v>0</v>
      </c>
      <c r="CJ253" s="144">
        <v>0</v>
      </c>
      <c r="CK253" s="144">
        <v>0</v>
      </c>
      <c r="CL253" s="144">
        <v>0</v>
      </c>
      <c r="CM253" s="144">
        <v>0</v>
      </c>
      <c r="CN253" s="144">
        <v>0</v>
      </c>
      <c r="CO253" s="144">
        <v>0</v>
      </c>
      <c r="CP253" s="144">
        <v>0</v>
      </c>
      <c r="CQ253" s="143">
        <v>0</v>
      </c>
      <c r="CR253" s="145">
        <v>0</v>
      </c>
      <c r="CS253" s="145">
        <v>0</v>
      </c>
      <c r="CT253" s="145">
        <v>0</v>
      </c>
      <c r="CU253" s="145">
        <v>0</v>
      </c>
      <c r="CV253" s="145">
        <v>0</v>
      </c>
      <c r="CW253" s="145">
        <v>0</v>
      </c>
      <c r="CX253" s="145">
        <v>0</v>
      </c>
      <c r="CY253" s="145">
        <v>0</v>
      </c>
      <c r="CZ253" s="145">
        <v>0</v>
      </c>
      <c r="DA253" s="145">
        <v>0</v>
      </c>
      <c r="DB253" s="145">
        <v>0</v>
      </c>
      <c r="DC253" s="145">
        <v>0</v>
      </c>
      <c r="DD253" s="145">
        <v>0</v>
      </c>
      <c r="DE253" s="145">
        <v>0</v>
      </c>
      <c r="DF253" s="145">
        <v>0</v>
      </c>
      <c r="DG253" s="145">
        <v>0</v>
      </c>
      <c r="DH253" s="145">
        <v>0</v>
      </c>
      <c r="DI253" s="145">
        <v>0</v>
      </c>
      <c r="DJ253" s="145">
        <v>0</v>
      </c>
      <c r="DK253" s="145">
        <v>0</v>
      </c>
      <c r="DL253" s="145">
        <v>0</v>
      </c>
      <c r="DM253" s="145">
        <v>0</v>
      </c>
      <c r="DN253" s="145">
        <v>0</v>
      </c>
      <c r="DO253" s="145">
        <v>15086</v>
      </c>
      <c r="DP253" s="145">
        <v>15086</v>
      </c>
      <c r="DQ253" s="145">
        <v>15086</v>
      </c>
      <c r="DR253" s="145">
        <v>0</v>
      </c>
      <c r="DS253" s="145">
        <v>0</v>
      </c>
      <c r="DT253" s="145">
        <v>0</v>
      </c>
      <c r="DU253" s="145">
        <v>0</v>
      </c>
      <c r="DV253" s="145">
        <v>0</v>
      </c>
      <c r="DW253" s="145">
        <v>0</v>
      </c>
      <c r="DX253" s="145">
        <v>0</v>
      </c>
      <c r="DY253" s="145">
        <v>0</v>
      </c>
      <c r="DZ253" s="145">
        <v>0</v>
      </c>
      <c r="EA253" s="145">
        <v>0</v>
      </c>
      <c r="EB253" s="145">
        <v>0</v>
      </c>
      <c r="EC253" s="145">
        <v>0</v>
      </c>
      <c r="ED253" s="145">
        <v>0</v>
      </c>
      <c r="EE253" s="145">
        <v>0</v>
      </c>
      <c r="EF253" s="145">
        <v>0</v>
      </c>
      <c r="EG253" s="145">
        <v>0</v>
      </c>
      <c r="EH253" s="145">
        <v>0</v>
      </c>
      <c r="EI253" s="145">
        <v>0</v>
      </c>
      <c r="EJ253" s="145">
        <v>0</v>
      </c>
      <c r="EK253" s="145">
        <v>0</v>
      </c>
      <c r="EL253" s="145">
        <v>0</v>
      </c>
      <c r="EM253" s="145">
        <v>0</v>
      </c>
      <c r="EN253" s="145">
        <v>0</v>
      </c>
      <c r="EO253" s="145">
        <v>0</v>
      </c>
      <c r="EP253" s="145">
        <v>0</v>
      </c>
      <c r="EQ253" s="145">
        <v>0</v>
      </c>
      <c r="ER253" s="145">
        <v>0</v>
      </c>
      <c r="ES253" s="145">
        <v>0</v>
      </c>
      <c r="ET253" s="145">
        <v>0</v>
      </c>
      <c r="EU253" s="145">
        <v>0</v>
      </c>
      <c r="EV253" s="145">
        <v>0</v>
      </c>
      <c r="EW253" s="145">
        <v>0</v>
      </c>
      <c r="EX253" s="145">
        <v>0</v>
      </c>
      <c r="EY253" s="145">
        <v>0</v>
      </c>
      <c r="EZ253" s="145">
        <v>0</v>
      </c>
      <c r="FA253" s="145">
        <v>0</v>
      </c>
      <c r="FB253" s="145">
        <v>0</v>
      </c>
      <c r="FC253" s="145">
        <v>0</v>
      </c>
      <c r="FD253" s="145">
        <v>0</v>
      </c>
      <c r="FE253" s="145">
        <v>0</v>
      </c>
      <c r="FF253" s="145">
        <v>0</v>
      </c>
      <c r="FG253" s="145">
        <v>0</v>
      </c>
      <c r="FH253" s="145">
        <v>0</v>
      </c>
      <c r="FI253" s="145">
        <v>0</v>
      </c>
      <c r="FJ253" s="145">
        <v>0</v>
      </c>
      <c r="FK253" s="145">
        <v>0</v>
      </c>
      <c r="FL253" s="145">
        <v>0</v>
      </c>
      <c r="FM253" s="145">
        <v>0</v>
      </c>
      <c r="FN253" s="145">
        <v>0</v>
      </c>
      <c r="FO253" s="145">
        <v>0</v>
      </c>
      <c r="FP253" s="145">
        <v>0</v>
      </c>
      <c r="FQ253" s="145">
        <v>0</v>
      </c>
      <c r="FR253" s="145">
        <v>0</v>
      </c>
      <c r="FS253" s="145">
        <v>0</v>
      </c>
      <c r="FT253" s="145">
        <v>0</v>
      </c>
      <c r="FU253" s="145">
        <v>0</v>
      </c>
      <c r="FV253" s="145">
        <v>0</v>
      </c>
      <c r="FW253" s="145">
        <v>0</v>
      </c>
      <c r="FX253" s="143"/>
      <c r="FY253" s="146" t="str">
        <f>_xlfn.XLOOKUP($E253,'Key assumptions'!$B$112:$B$120,'Key assumptions'!$C$112:$C$120,0)</f>
        <v>Nominal</v>
      </c>
      <c r="FZ253" s="146" cm="1">
        <f t="array" ref="FZ253">IF($FY253=0,0,_xlfn.IFS($FY253='Key assumptions'!$C$120,_xlfn.XLOOKUP(LEFT(FZ$7,6),Inflation_Year,Inflation_NominaltoReal),TRUE,_xlfn.XLOOKUP($FY253,Inflation_Year,NominaltoReal)))</f>
        <v>1.0197075870962191</v>
      </c>
      <c r="GA253" s="146" cm="1">
        <f t="array" ref="GA253">IF($FY253=0,0,_xlfn.IFS($FY253='Key assumptions'!$C$120,_xlfn.XLOOKUP(LEFT(GA$7,6),Inflation_Year,Inflation_NominaltoReal),TRUE,_xlfn.XLOOKUP($FY253,Inflation_Year,NominaltoReal)))</f>
        <v>0.98700804022984445</v>
      </c>
      <c r="GB253" s="146" cm="1">
        <f t="array" ref="GB253">IF($FY253=0,0,_xlfn.IFS($FY253='Key assumptions'!$C$120,_xlfn.XLOOKUP(LEFT(GB$7,6),Inflation_Year,Inflation_NominaltoReal),TRUE,_xlfn.XLOOKUP($FY253,Inflation_Year,NominaltoReal)))</f>
        <v>0.96152830081941731</v>
      </c>
      <c r="GC253" s="146" cm="1">
        <f t="array" ref="GC253">IF($FY253=0,0,_xlfn.IFS($FY253='Key assumptions'!$C$120,_xlfn.XLOOKUP(LEFT(GC$7,6),Inflation_Year,Inflation_NominaltoReal),TRUE,_xlfn.XLOOKUP($FY253,Inflation_Year,NominaltoReal)))</f>
        <v>0.93670632415656829</v>
      </c>
      <c r="GD253" s="146" cm="1">
        <f t="array" ref="GD253">IF($FY253=0,0,_xlfn.IFS($FY253='Key assumptions'!$C$120,_xlfn.XLOOKUP(LEFT(GD$7,6),Inflation_Year,Inflation_NominaltoReal),TRUE,_xlfn.XLOOKUP($FY253,Inflation_Year,NominaltoReal)))</f>
        <v>0.91252513001143176</v>
      </c>
      <c r="GE253" s="146" cm="1">
        <f t="array" ref="GE253">IF($FY253=0,0,_xlfn.IFS($FY253='Key assumptions'!$C$120,_xlfn.XLOOKUP(LEFT(GE$7,6),Inflation_Year,Inflation_NominaltoReal),TRUE,_xlfn.XLOOKUP($FY253,Inflation_Year,NominaltoReal)))</f>
        <v>0.88896817650095872</v>
      </c>
      <c r="GF253" s="146" cm="1">
        <f t="array" ref="GF253">IF($FY253=0,0,_xlfn.IFS($FY253='Key assumptions'!$C$120,_xlfn.XLOOKUP(LEFT(GF$7,6),Inflation_Year,Inflation_NominaltoReal),TRUE,_xlfn.XLOOKUP($FY253,Inflation_Year,NominaltoReal)))</f>
        <v>0.86601934877293718</v>
      </c>
      <c r="GG253" s="143"/>
      <c r="GH253" s="145" cm="1">
        <f t="array" ref="GH253">SUMPRODUCT(--($CR$7:$FW$7&gt;=GH$5),--($CR$7:$FW$7&lt;=GH$6),$CR253:$FW253)*FZ253</f>
        <v>0</v>
      </c>
      <c r="GI253" s="145" cm="1">
        <f t="array" ref="GI253">SUMPRODUCT(--($CR$7:$FW$7&gt;=GI$5),--($CR$7:$FW$7&lt;=GI$6),$CR253:$FW253)*GA253</f>
        <v>44670.009884722298</v>
      </c>
      <c r="GJ253" s="145" cm="1">
        <f t="array" ref="GJ253">SUMPRODUCT(--($CR$7:$FW$7&gt;=GJ$5),--($CR$7:$FW$7&lt;=GJ$6),$CR253:$FW253)*GB253</f>
        <v>0</v>
      </c>
      <c r="GK253" s="145" cm="1">
        <f t="array" ref="GK253">SUMPRODUCT(--($CR$7:$FW$7&gt;=GK$5),--($CR$7:$FW$7&lt;=GK$6),$CR253:$FW253)*GC253</f>
        <v>0</v>
      </c>
      <c r="GL253" s="145" cm="1">
        <f t="array" ref="GL253">SUMPRODUCT(--($CR$7:$FW$7&gt;=GL$5),--($CR$7:$FW$7&lt;=GL$6),$CR253:$FW253)*GD253</f>
        <v>0</v>
      </c>
      <c r="GM253" s="145" cm="1">
        <f t="array" ref="GM253">SUMPRODUCT(--($CR$7:$FW$7&gt;=GM$5),--($CR$7:$FW$7&lt;=GM$6),$CR253:$FW253)*GE253</f>
        <v>0</v>
      </c>
      <c r="GN253" s="145" cm="1">
        <f t="array" ref="GN253">SUMPRODUCT(--($CR$7:$FW$7&gt;=GN$5),--($CR$7:$FW$7&lt;=GN$6),$CR253:$FW253)*GF253</f>
        <v>0</v>
      </c>
      <c r="GO253" s="145">
        <f t="shared" si="69"/>
        <v>44670.009884722298</v>
      </c>
      <c r="GP253" s="87"/>
      <c r="GR253" s="145" cm="1">
        <f t="array" ref="GR253">SUMPRODUCT(--($CR$7:$FW$7&gt;=GR$5),--($CR$7:$FW$7&lt;=GR$6),$CR253:$FW253)</f>
        <v>0</v>
      </c>
      <c r="GT253" s="214" cm="1">
        <f t="array" ref="GT253">--AND(MIN(IF($K253:$CP253&lt;&gt;0,$K$7:$CP$7))&gt;=GT$5,MIN(IF($K253:$CP253&lt;&gt;0,$K$7:$CP$7))&lt;=GT$6)</f>
        <v>0</v>
      </c>
      <c r="GU253" s="214" cm="1">
        <f t="array" ref="GU253">--AND(MIN(IF($K253:$CP253&lt;&gt;0,$K$7:$CP$7))&gt;=GU$5,MIN(IF($K253:$CP253&lt;&gt;0,$K$7:$CP$7))&lt;=GU$6)</f>
        <v>1</v>
      </c>
      <c r="GV253" s="214" cm="1">
        <f t="array" ref="GV253">--AND(MIN(IF($K253:$CP253&lt;&gt;0,$K$7:$CP$7))&gt;=GV$5,MIN(IF($K253:$CP253&lt;&gt;0,$K$7:$CP$7))&lt;=GV$6)</f>
        <v>0</v>
      </c>
      <c r="GW253" s="214" cm="1">
        <f t="array" ref="GW253">--AND(MIN(IF($K253:$CP253&lt;&gt;0,$K$7:$CP$7))&gt;=GW$5,MIN(IF($K253:$CP253&lt;&gt;0,$K$7:$CP$7))&lt;=GW$6)</f>
        <v>0</v>
      </c>
      <c r="GX253" s="214" cm="1">
        <f t="array" ref="GX253">--AND(MIN(IF($K253:$CP253&lt;&gt;0,$K$7:$CP$7))&gt;=GX$5,MIN(IF($K253:$CP253&lt;&gt;0,$K$7:$CP$7))&lt;=GX$6)</f>
        <v>0</v>
      </c>
      <c r="GY253" s="214" cm="1">
        <f t="array" ref="GY253">--AND(MIN(IF($K253:$CP253&lt;&gt;0,$K$7:$CP$7))&gt;=GY$5,MIN(IF($K253:$CP253&lt;&gt;0,$K$7:$CP$7))&lt;=GY$6)</f>
        <v>0</v>
      </c>
      <c r="GZ253" s="214" cm="1">
        <f t="array" ref="GZ253">--AND(MIN(IF($K253:$CP253&lt;&gt;0,$K$7:$CP$7))&gt;=GZ$5,MIN(IF($K253:$CP253&lt;&gt;0,$K$7:$CP$7))&lt;=GZ$6)</f>
        <v>0</v>
      </c>
      <c r="HA253" s="214">
        <f t="shared" si="70"/>
        <v>1</v>
      </c>
      <c r="HC253" s="214" cm="1">
        <f t="array" ref="HC253">--AND(MIN(IF($K253:$CP253&lt;&gt;0,$K$7:$CP$7))&gt;=HC$5,MIN(IF($K253:$CP253&lt;&gt;0,$K$7:$CP$7))&lt;=HC$6)</f>
        <v>0</v>
      </c>
      <c r="HE253" s="147" t="str">
        <f t="shared" si="89"/>
        <v>No</v>
      </c>
      <c r="HF253" s="147" t="str">
        <f t="shared" si="90"/>
        <v>Yes</v>
      </c>
      <c r="HG253" s="147">
        <f>IF($HF253="Yes",0,$H253*avg_hrs*12*'Key assumptions'!$D$87)</f>
        <v>0</v>
      </c>
      <c r="HH253" s="147">
        <f>IF(HE253="Yes",'Key assumptions'!$D$84*HG253,0)</f>
        <v>0</v>
      </c>
      <c r="HI253" s="144">
        <f>IFERROR(AVERAGEIFS($K253:$CP253,$K$7:$CP$7,"&gt;="&amp;'Key assumptions'!$D$24,$K$7:$CP$7,"&lt;="&amp;'Key assumptions'!$D$25),0)</f>
        <v>2.3809523809523805E-2</v>
      </c>
      <c r="HJ253" s="148">
        <f t="shared" si="91"/>
        <v>0</v>
      </c>
      <c r="HK253" s="148">
        <f t="shared" si="72"/>
        <v>0</v>
      </c>
      <c r="HL253" s="148">
        <f t="shared" si="73"/>
        <v>0</v>
      </c>
      <c r="HM253" s="148">
        <f t="shared" si="74"/>
        <v>0</v>
      </c>
      <c r="HN253" s="148">
        <f t="shared" si="75"/>
        <v>0</v>
      </c>
      <c r="HO253" s="148">
        <f t="shared" si="76"/>
        <v>0</v>
      </c>
      <c r="HP253" s="148">
        <f t="shared" si="77"/>
        <v>0</v>
      </c>
      <c r="HQ253" s="148">
        <f t="shared" si="78"/>
        <v>0</v>
      </c>
      <c r="HR253" s="147">
        <f t="shared" si="79"/>
        <v>0</v>
      </c>
      <c r="HU253" s="147">
        <f>$HJ253*HC253/(1+'Key assumptions'!G275)^0.75</f>
        <v>0</v>
      </c>
      <c r="HW253" s="216">
        <f t="shared" si="80"/>
        <v>0</v>
      </c>
      <c r="HX253" s="216">
        <f t="shared" si="81"/>
        <v>2.3809523809523805E-2</v>
      </c>
      <c r="HY253" s="216">
        <f t="shared" si="82"/>
        <v>0</v>
      </c>
      <c r="HZ253" s="216">
        <f t="shared" si="83"/>
        <v>0</v>
      </c>
      <c r="IA253" s="216">
        <f t="shared" si="84"/>
        <v>0</v>
      </c>
      <c r="IB253" s="216">
        <f t="shared" si="85"/>
        <v>0</v>
      </c>
      <c r="IC253" s="216">
        <f t="shared" si="86"/>
        <v>0</v>
      </c>
      <c r="ID253" s="216">
        <f t="shared" si="87"/>
        <v>2.3809523809523805E-2</v>
      </c>
      <c r="IF253" s="216">
        <f t="shared" si="88"/>
        <v>0</v>
      </c>
    </row>
    <row r="254" spans="2:240" x14ac:dyDescent="0.2">
      <c r="B254" s="141" t="str">
        <v>Project Delivery Management - Commissioning</v>
      </c>
      <c r="C254" s="141" t="str">
        <v>Project Engineer - Senior CO (Network Projects)</v>
      </c>
      <c r="D254" s="141" t="str">
        <v>Internal Labour</v>
      </c>
      <c r="E254" s="141" t="str">
        <v>$ Nominal</v>
      </c>
      <c r="F254" s="141" t="str">
        <v>Existing</v>
      </c>
      <c r="G254" s="141" t="str">
        <v>Normal time</v>
      </c>
      <c r="H254" s="142">
        <v>254.01</v>
      </c>
      <c r="I254" s="126">
        <v>231702.65999999995</v>
      </c>
      <c r="J254" s="143">
        <v>0</v>
      </c>
      <c r="K254" s="144">
        <v>0</v>
      </c>
      <c r="L254" s="144">
        <v>0</v>
      </c>
      <c r="M254" s="144">
        <v>0</v>
      </c>
      <c r="N254" s="144">
        <v>0</v>
      </c>
      <c r="O254" s="144">
        <v>0</v>
      </c>
      <c r="P254" s="144">
        <v>0</v>
      </c>
      <c r="Q254" s="144">
        <v>0</v>
      </c>
      <c r="R254" s="144">
        <v>0</v>
      </c>
      <c r="S254" s="144">
        <v>0</v>
      </c>
      <c r="T254" s="144">
        <v>0</v>
      </c>
      <c r="U254" s="144">
        <v>0</v>
      </c>
      <c r="V254" s="144">
        <v>0</v>
      </c>
      <c r="W254" s="144">
        <v>0</v>
      </c>
      <c r="X254" s="144">
        <v>0</v>
      </c>
      <c r="Y254" s="144">
        <v>0.2</v>
      </c>
      <c r="Z254" s="144">
        <v>0.2</v>
      </c>
      <c r="AA254" s="144">
        <v>0.18421052631578946</v>
      </c>
      <c r="AB254" s="144">
        <v>0.18421052631578946</v>
      </c>
      <c r="AC254" s="144">
        <v>0.2</v>
      </c>
      <c r="AD254" s="144">
        <v>0.2</v>
      </c>
      <c r="AE254" s="144">
        <v>0.2</v>
      </c>
      <c r="AF254" s="144">
        <v>0.2</v>
      </c>
      <c r="AG254" s="144">
        <v>0.2</v>
      </c>
      <c r="AH254" s="144">
        <v>0.2</v>
      </c>
      <c r="AI254" s="144">
        <v>0.2</v>
      </c>
      <c r="AJ254" s="144">
        <v>0.2</v>
      </c>
      <c r="AK254" s="144">
        <v>0.2</v>
      </c>
      <c r="AL254" s="144">
        <v>0.2</v>
      </c>
      <c r="AM254" s="144">
        <v>0.18421052631578946</v>
      </c>
      <c r="AN254" s="144">
        <v>0.18421052631578946</v>
      </c>
      <c r="AO254" s="144">
        <v>0.2</v>
      </c>
      <c r="AP254" s="144">
        <v>0.2</v>
      </c>
      <c r="AQ254" s="144">
        <v>0.2</v>
      </c>
      <c r="AR254" s="144">
        <v>0.2</v>
      </c>
      <c r="AS254" s="144">
        <v>0.2</v>
      </c>
      <c r="AT254" s="144">
        <v>0.2</v>
      </c>
      <c r="AU254" s="144">
        <v>0.2</v>
      </c>
      <c r="AV254" s="144">
        <v>0.2</v>
      </c>
      <c r="AW254" s="144">
        <v>0.2</v>
      </c>
      <c r="AX254" s="144">
        <v>0.2</v>
      </c>
      <c r="AY254" s="144">
        <v>0.18421052631578946</v>
      </c>
      <c r="AZ254" s="144">
        <v>0.18421052631578946</v>
      </c>
      <c r="BA254" s="144">
        <v>0.2</v>
      </c>
      <c r="BB254" s="144">
        <v>0.2</v>
      </c>
      <c r="BC254" s="144">
        <v>0.2</v>
      </c>
      <c r="BD254" s="144">
        <v>0.2</v>
      </c>
      <c r="BE254" s="144">
        <v>0.2</v>
      </c>
      <c r="BF254" s="144">
        <v>0.2</v>
      </c>
      <c r="BG254" s="144">
        <v>0</v>
      </c>
      <c r="BH254" s="144">
        <v>0</v>
      </c>
      <c r="BI254" s="144">
        <v>0</v>
      </c>
      <c r="BJ254" s="144">
        <v>0</v>
      </c>
      <c r="BK254" s="144">
        <v>0</v>
      </c>
      <c r="BL254" s="144">
        <v>0</v>
      </c>
      <c r="BM254" s="144">
        <v>0</v>
      </c>
      <c r="BN254" s="144">
        <v>0</v>
      </c>
      <c r="BO254" s="144">
        <v>0</v>
      </c>
      <c r="BP254" s="144">
        <v>0</v>
      </c>
      <c r="BQ254" s="144">
        <v>0</v>
      </c>
      <c r="BR254" s="144">
        <v>0</v>
      </c>
      <c r="BS254" s="144">
        <v>0</v>
      </c>
      <c r="BT254" s="144">
        <v>0</v>
      </c>
      <c r="BU254" s="144">
        <v>0</v>
      </c>
      <c r="BV254" s="144">
        <v>0</v>
      </c>
      <c r="BW254" s="144">
        <v>0</v>
      </c>
      <c r="BX254" s="144">
        <v>0</v>
      </c>
      <c r="BY254" s="144">
        <v>0</v>
      </c>
      <c r="BZ254" s="144">
        <v>0</v>
      </c>
      <c r="CA254" s="144">
        <v>0</v>
      </c>
      <c r="CB254" s="144">
        <v>0</v>
      </c>
      <c r="CC254" s="144">
        <v>0</v>
      </c>
      <c r="CD254" s="144">
        <v>0</v>
      </c>
      <c r="CE254" s="144">
        <v>0</v>
      </c>
      <c r="CF254" s="144">
        <v>0</v>
      </c>
      <c r="CG254" s="144">
        <v>0</v>
      </c>
      <c r="CH254" s="144">
        <v>0</v>
      </c>
      <c r="CI254" s="144">
        <v>0</v>
      </c>
      <c r="CJ254" s="144">
        <v>0</v>
      </c>
      <c r="CK254" s="144">
        <v>0</v>
      </c>
      <c r="CL254" s="144">
        <v>0</v>
      </c>
      <c r="CM254" s="144">
        <v>0</v>
      </c>
      <c r="CN254" s="144">
        <v>0</v>
      </c>
      <c r="CO254" s="144">
        <v>0</v>
      </c>
      <c r="CP254" s="144">
        <v>0</v>
      </c>
      <c r="CQ254" s="143">
        <v>0</v>
      </c>
      <c r="CR254" s="145">
        <v>0</v>
      </c>
      <c r="CS254" s="145">
        <v>0</v>
      </c>
      <c r="CT254" s="145">
        <v>0</v>
      </c>
      <c r="CU254" s="145">
        <v>0</v>
      </c>
      <c r="CV254" s="145">
        <v>0</v>
      </c>
      <c r="CW254" s="145">
        <v>0</v>
      </c>
      <c r="CX254" s="145">
        <v>0</v>
      </c>
      <c r="CY254" s="145">
        <v>0</v>
      </c>
      <c r="CZ254" s="145">
        <v>0</v>
      </c>
      <c r="DA254" s="145">
        <v>0</v>
      </c>
      <c r="DB254" s="145">
        <v>0</v>
      </c>
      <c r="DC254" s="145">
        <v>0</v>
      </c>
      <c r="DD254" s="145">
        <v>0</v>
      </c>
      <c r="DE254" s="145">
        <v>0</v>
      </c>
      <c r="DF254" s="145">
        <v>6905.6399999999994</v>
      </c>
      <c r="DG254" s="145">
        <v>5179.2299999999996</v>
      </c>
      <c r="DH254" s="145">
        <v>6905.6399999999994</v>
      </c>
      <c r="DI254" s="145">
        <v>6905.6399999999994</v>
      </c>
      <c r="DJ254" s="145">
        <v>7112.28</v>
      </c>
      <c r="DK254" s="145">
        <v>7112.28</v>
      </c>
      <c r="DL254" s="145">
        <v>7112.28</v>
      </c>
      <c r="DM254" s="145">
        <v>7112.28</v>
      </c>
      <c r="DN254" s="145">
        <v>7112.28</v>
      </c>
      <c r="DO254" s="145">
        <v>5334.21</v>
      </c>
      <c r="DP254" s="145">
        <v>5334.21</v>
      </c>
      <c r="DQ254" s="145">
        <v>7112.28</v>
      </c>
      <c r="DR254" s="145">
        <v>7112.28</v>
      </c>
      <c r="DS254" s="145">
        <v>5334.21</v>
      </c>
      <c r="DT254" s="145">
        <v>7112.28</v>
      </c>
      <c r="DU254" s="145">
        <v>7112.28</v>
      </c>
      <c r="DV254" s="145">
        <v>7325.3600000000006</v>
      </c>
      <c r="DW254" s="145">
        <v>7325.3600000000006</v>
      </c>
      <c r="DX254" s="145">
        <v>7325.3600000000006</v>
      </c>
      <c r="DY254" s="145">
        <v>7325.3600000000006</v>
      </c>
      <c r="DZ254" s="145">
        <v>7325.3600000000006</v>
      </c>
      <c r="EA254" s="145">
        <v>5494.02</v>
      </c>
      <c r="EB254" s="145">
        <v>5494.02</v>
      </c>
      <c r="EC254" s="145">
        <v>7325.3600000000006</v>
      </c>
      <c r="ED254" s="145">
        <v>7325.3600000000006</v>
      </c>
      <c r="EE254" s="145">
        <v>5494.02</v>
      </c>
      <c r="EF254" s="145">
        <v>7325.3600000000006</v>
      </c>
      <c r="EG254" s="145">
        <v>7325.3600000000006</v>
      </c>
      <c r="EH254" s="145">
        <v>7544.8799999999992</v>
      </c>
      <c r="EI254" s="145">
        <v>7544.8799999999992</v>
      </c>
      <c r="EJ254" s="145">
        <v>7544.8799999999992</v>
      </c>
      <c r="EK254" s="145">
        <v>7544.8799999999992</v>
      </c>
      <c r="EL254" s="145">
        <v>7544.8799999999992</v>
      </c>
      <c r="EM254" s="145">
        <v>5658.66</v>
      </c>
      <c r="EN254" s="145">
        <v>0</v>
      </c>
      <c r="EO254" s="145">
        <v>0</v>
      </c>
      <c r="EP254" s="145">
        <v>0</v>
      </c>
      <c r="EQ254" s="145">
        <v>0</v>
      </c>
      <c r="ER254" s="145">
        <v>0</v>
      </c>
      <c r="ES254" s="145">
        <v>0</v>
      </c>
      <c r="ET254" s="145">
        <v>0</v>
      </c>
      <c r="EU254" s="145">
        <v>0</v>
      </c>
      <c r="EV254" s="145">
        <v>0</v>
      </c>
      <c r="EW254" s="145">
        <v>0</v>
      </c>
      <c r="EX254" s="145">
        <v>0</v>
      </c>
      <c r="EY254" s="145">
        <v>0</v>
      </c>
      <c r="EZ254" s="145">
        <v>0</v>
      </c>
      <c r="FA254" s="145">
        <v>0</v>
      </c>
      <c r="FB254" s="145">
        <v>0</v>
      </c>
      <c r="FC254" s="145">
        <v>0</v>
      </c>
      <c r="FD254" s="145">
        <v>0</v>
      </c>
      <c r="FE254" s="145">
        <v>0</v>
      </c>
      <c r="FF254" s="145">
        <v>0</v>
      </c>
      <c r="FG254" s="145">
        <v>0</v>
      </c>
      <c r="FH254" s="145">
        <v>0</v>
      </c>
      <c r="FI254" s="145">
        <v>0</v>
      </c>
      <c r="FJ254" s="145">
        <v>0</v>
      </c>
      <c r="FK254" s="145">
        <v>0</v>
      </c>
      <c r="FL254" s="145">
        <v>0</v>
      </c>
      <c r="FM254" s="145">
        <v>0</v>
      </c>
      <c r="FN254" s="145">
        <v>0</v>
      </c>
      <c r="FO254" s="145">
        <v>0</v>
      </c>
      <c r="FP254" s="145">
        <v>0</v>
      </c>
      <c r="FQ254" s="145">
        <v>0</v>
      </c>
      <c r="FR254" s="145">
        <v>0</v>
      </c>
      <c r="FS254" s="145">
        <v>0</v>
      </c>
      <c r="FT254" s="145">
        <v>0</v>
      </c>
      <c r="FU254" s="145">
        <v>0</v>
      </c>
      <c r="FV254" s="145">
        <v>0</v>
      </c>
      <c r="FW254" s="145">
        <v>0</v>
      </c>
      <c r="FX254" s="143"/>
      <c r="FY254" s="146" t="str">
        <f>_xlfn.XLOOKUP($E254,'Key assumptions'!$B$112:$B$120,'Key assumptions'!$C$112:$C$120,0)</f>
        <v>Nominal</v>
      </c>
      <c r="FZ254" s="146" cm="1">
        <f t="array" ref="FZ254">IF($FY254=0,0,_xlfn.IFS($FY254='Key assumptions'!$C$120,_xlfn.XLOOKUP(LEFT(FZ$7,6),Inflation_Year,Inflation_NominaltoReal),TRUE,_xlfn.XLOOKUP($FY254,Inflation_Year,NominaltoReal)))</f>
        <v>1.0197075870962191</v>
      </c>
      <c r="GA254" s="146" cm="1">
        <f t="array" ref="GA254">IF($FY254=0,0,_xlfn.IFS($FY254='Key assumptions'!$C$120,_xlfn.XLOOKUP(LEFT(GA$7,6),Inflation_Year,Inflation_NominaltoReal),TRUE,_xlfn.XLOOKUP($FY254,Inflation_Year,NominaltoReal)))</f>
        <v>0.98700804022984445</v>
      </c>
      <c r="GB254" s="146" cm="1">
        <f t="array" ref="GB254">IF($FY254=0,0,_xlfn.IFS($FY254='Key assumptions'!$C$120,_xlfn.XLOOKUP(LEFT(GB$7,6),Inflation_Year,Inflation_NominaltoReal),TRUE,_xlfn.XLOOKUP($FY254,Inflation_Year,NominaltoReal)))</f>
        <v>0.96152830081941731</v>
      </c>
      <c r="GC254" s="146" cm="1">
        <f t="array" ref="GC254">IF($FY254=0,0,_xlfn.IFS($FY254='Key assumptions'!$C$120,_xlfn.XLOOKUP(LEFT(GC$7,6),Inflation_Year,Inflation_NominaltoReal),TRUE,_xlfn.XLOOKUP($FY254,Inflation_Year,NominaltoReal)))</f>
        <v>0.93670632415656829</v>
      </c>
      <c r="GD254" s="146" cm="1">
        <f t="array" ref="GD254">IF($FY254=0,0,_xlfn.IFS($FY254='Key assumptions'!$C$120,_xlfn.XLOOKUP(LEFT(GD$7,6),Inflation_Year,Inflation_NominaltoReal),TRUE,_xlfn.XLOOKUP($FY254,Inflation_Year,NominaltoReal)))</f>
        <v>0.91252513001143176</v>
      </c>
      <c r="GE254" s="146" cm="1">
        <f t="array" ref="GE254">IF($FY254=0,0,_xlfn.IFS($FY254='Key assumptions'!$C$120,_xlfn.XLOOKUP(LEFT(GE$7,6),Inflation_Year,Inflation_NominaltoReal),TRUE,_xlfn.XLOOKUP($FY254,Inflation_Year,NominaltoReal)))</f>
        <v>0.88896817650095872</v>
      </c>
      <c r="GF254" s="146" cm="1">
        <f t="array" ref="GF254">IF($FY254=0,0,_xlfn.IFS($FY254='Key assumptions'!$C$120,_xlfn.XLOOKUP(LEFT(GF$7,6),Inflation_Year,Inflation_NominaltoReal),TRUE,_xlfn.XLOOKUP($FY254,Inflation_Year,NominaltoReal)))</f>
        <v>0.86601934877293718</v>
      </c>
      <c r="GG254" s="143"/>
      <c r="GH254" s="145" cm="1">
        <f t="array" ref="GH254">SUMPRODUCT(--($CR$7:$FW$7&gt;=GH$5),--($CR$7:$FW$7&lt;=GH$6),$CR254:$FW254)*FZ254</f>
        <v>48163.838264239843</v>
      </c>
      <c r="GI254" s="145" cm="1">
        <f t="array" ref="GI254">SUMPRODUCT(--($CR$7:$FW$7&gt;=GI$5),--($CR$7:$FW$7&lt;=GI$6),$CR254:$FW254)*GA254</f>
        <v>79604.557393753101</v>
      </c>
      <c r="GJ254" s="145" cm="1">
        <f t="array" ref="GJ254">SUMPRODUCT(--($CR$7:$FW$7&gt;=GJ$5),--($CR$7:$FW$7&lt;=GJ$6),$CR254:$FW254)*GB254</f>
        <v>79873.059806806079</v>
      </c>
      <c r="GK254" s="145" cm="1">
        <f t="array" ref="GK254">SUMPRODUCT(--($CR$7:$FW$7&gt;=GK$5),--($CR$7:$FW$7&lt;=GK$6),$CR254:$FW254)*GC254</f>
        <v>19435.176230256624</v>
      </c>
      <c r="GL254" s="145" cm="1">
        <f t="array" ref="GL254">SUMPRODUCT(--($CR$7:$FW$7&gt;=GL$5),--($CR$7:$FW$7&lt;=GL$6),$CR254:$FW254)*GD254</f>
        <v>0</v>
      </c>
      <c r="GM254" s="145" cm="1">
        <f t="array" ref="GM254">SUMPRODUCT(--($CR$7:$FW$7&gt;=GM$5),--($CR$7:$FW$7&lt;=GM$6),$CR254:$FW254)*GE254</f>
        <v>0</v>
      </c>
      <c r="GN254" s="145" cm="1">
        <f t="array" ref="GN254">SUMPRODUCT(--($CR$7:$FW$7&gt;=GN$5),--($CR$7:$FW$7&lt;=GN$6),$CR254:$FW254)*GF254</f>
        <v>0</v>
      </c>
      <c r="GO254" s="145">
        <f t="shared" si="69"/>
        <v>227076.63169505564</v>
      </c>
      <c r="GP254" s="87"/>
      <c r="GR254" s="145" cm="1">
        <f t="array" ref="GR254">SUMPRODUCT(--($CR$7:$FW$7&gt;=GR$5),--($CR$7:$FW$7&lt;=GR$6),$CR254:$FW254)</f>
        <v>25896.149999999998</v>
      </c>
      <c r="GT254" s="214" cm="1">
        <f t="array" ref="GT254">--AND(MIN(IF($K254:$CP254&lt;&gt;0,$K$7:$CP$7))&gt;=GT$5,MIN(IF($K254:$CP254&lt;&gt;0,$K$7:$CP$7))&lt;=GT$6)</f>
        <v>1</v>
      </c>
      <c r="GU254" s="214" cm="1">
        <f t="array" ref="GU254">--AND(MIN(IF($K254:$CP254&lt;&gt;0,$K$7:$CP$7))&gt;=GU$5,MIN(IF($K254:$CP254&lt;&gt;0,$K$7:$CP$7))&lt;=GU$6)</f>
        <v>0</v>
      </c>
      <c r="GV254" s="214" cm="1">
        <f t="array" ref="GV254">--AND(MIN(IF($K254:$CP254&lt;&gt;0,$K$7:$CP$7))&gt;=GV$5,MIN(IF($K254:$CP254&lt;&gt;0,$K$7:$CP$7))&lt;=GV$6)</f>
        <v>0</v>
      </c>
      <c r="GW254" s="214" cm="1">
        <f t="array" ref="GW254">--AND(MIN(IF($K254:$CP254&lt;&gt;0,$K$7:$CP$7))&gt;=GW$5,MIN(IF($K254:$CP254&lt;&gt;0,$K$7:$CP$7))&lt;=GW$6)</f>
        <v>0</v>
      </c>
      <c r="GX254" s="214" cm="1">
        <f t="array" ref="GX254">--AND(MIN(IF($K254:$CP254&lt;&gt;0,$K$7:$CP$7))&gt;=GX$5,MIN(IF($K254:$CP254&lt;&gt;0,$K$7:$CP$7))&lt;=GX$6)</f>
        <v>0</v>
      </c>
      <c r="GY254" s="214" cm="1">
        <f t="array" ref="GY254">--AND(MIN(IF($K254:$CP254&lt;&gt;0,$K$7:$CP$7))&gt;=GY$5,MIN(IF($K254:$CP254&lt;&gt;0,$K$7:$CP$7))&lt;=GY$6)</f>
        <v>0</v>
      </c>
      <c r="GZ254" s="214" cm="1">
        <f t="array" ref="GZ254">--AND(MIN(IF($K254:$CP254&lt;&gt;0,$K$7:$CP$7))&gt;=GZ$5,MIN(IF($K254:$CP254&lt;&gt;0,$K$7:$CP$7))&lt;=GZ$6)</f>
        <v>0</v>
      </c>
      <c r="HA254" s="214">
        <f t="shared" si="70"/>
        <v>1</v>
      </c>
      <c r="HC254" s="214" cm="1">
        <f t="array" ref="HC254">--AND(MIN(IF($K254:$CP254&lt;&gt;0,$K$7:$CP$7))&gt;=HC$5,MIN(IF($K254:$CP254&lt;&gt;0,$K$7:$CP$7))&lt;=HC$6)</f>
        <v>1</v>
      </c>
      <c r="HE254" s="147" t="str">
        <f t="shared" si="89"/>
        <v>No</v>
      </c>
      <c r="HF254" s="147" t="str">
        <f t="shared" si="90"/>
        <v>No</v>
      </c>
      <c r="HG254" s="147">
        <f>IF($HF254="Yes",0,$H254*avg_hrs*12*'Key assumptions'!$D$87)</f>
        <v>454238.21110356261</v>
      </c>
      <c r="HH254" s="147">
        <f>IF(HE254="Yes",'Key assumptions'!$D$84*HG254,0)</f>
        <v>0</v>
      </c>
      <c r="HI254" s="144">
        <f>IFERROR(AVERAGEIFS($K254:$CP254,$K$7:$CP$7,"&gt;="&amp;'Key assumptions'!$D$24,$K$7:$CP$7,"&lt;="&amp;'Key assumptions'!$D$25),0)</f>
        <v>0.15239234449760772</v>
      </c>
      <c r="HJ254" s="148">
        <f t="shared" si="91"/>
        <v>0</v>
      </c>
      <c r="HK254" s="148">
        <f t="shared" si="72"/>
        <v>0</v>
      </c>
      <c r="HL254" s="148">
        <f t="shared" si="73"/>
        <v>0</v>
      </c>
      <c r="HM254" s="148">
        <f t="shared" si="74"/>
        <v>0</v>
      </c>
      <c r="HN254" s="148">
        <f t="shared" si="75"/>
        <v>0</v>
      </c>
      <c r="HO254" s="148">
        <f t="shared" si="76"/>
        <v>0</v>
      </c>
      <c r="HP254" s="148">
        <f t="shared" si="77"/>
        <v>0</v>
      </c>
      <c r="HQ254" s="148">
        <f t="shared" si="78"/>
        <v>0</v>
      </c>
      <c r="HR254" s="147">
        <f t="shared" si="79"/>
        <v>0</v>
      </c>
      <c r="HU254" s="147">
        <f>$HJ254*HC254/(1+'Key assumptions'!G276)^0.75</f>
        <v>0</v>
      </c>
      <c r="HW254" s="216">
        <f t="shared" si="80"/>
        <v>0.15239234449760772</v>
      </c>
      <c r="HX254" s="216">
        <f t="shared" si="81"/>
        <v>0</v>
      </c>
      <c r="HY254" s="216">
        <f t="shared" si="82"/>
        <v>0</v>
      </c>
      <c r="HZ254" s="216">
        <f t="shared" si="83"/>
        <v>0</v>
      </c>
      <c r="IA254" s="216">
        <f t="shared" si="84"/>
        <v>0</v>
      </c>
      <c r="IB254" s="216">
        <f t="shared" si="85"/>
        <v>0</v>
      </c>
      <c r="IC254" s="216">
        <f t="shared" si="86"/>
        <v>0</v>
      </c>
      <c r="ID254" s="216">
        <f t="shared" si="87"/>
        <v>0.15239234449760772</v>
      </c>
      <c r="IF254" s="216">
        <f t="shared" si="88"/>
        <v>0.15239234449760772</v>
      </c>
    </row>
    <row r="255" spans="2:240" x14ac:dyDescent="0.2">
      <c r="B255" s="141" t="str">
        <v>Project Delivery Management - Commissioning</v>
      </c>
      <c r="C255" s="141" t="str">
        <v>Project Engineer - Senior CO (Network Projects)</v>
      </c>
      <c r="D255" s="141" t="str">
        <v>Internal Labour</v>
      </c>
      <c r="E255" s="141" t="str">
        <v>$ Nominal</v>
      </c>
      <c r="F255" s="141" t="str">
        <v>Existing</v>
      </c>
      <c r="G255" s="141" t="str">
        <v>Normal time</v>
      </c>
      <c r="H255" s="142">
        <v>254.01</v>
      </c>
      <c r="I255" s="126">
        <v>132905.64000000004</v>
      </c>
      <c r="J255" s="143">
        <v>0</v>
      </c>
      <c r="K255" s="144">
        <v>0</v>
      </c>
      <c r="L255" s="144">
        <v>0</v>
      </c>
      <c r="M255" s="144">
        <v>0</v>
      </c>
      <c r="N255" s="144">
        <v>0</v>
      </c>
      <c r="O255" s="144">
        <v>0</v>
      </c>
      <c r="P255" s="144">
        <v>0</v>
      </c>
      <c r="Q255" s="144">
        <v>0</v>
      </c>
      <c r="R255" s="144">
        <v>0</v>
      </c>
      <c r="S255" s="144">
        <v>0</v>
      </c>
      <c r="T255" s="144">
        <v>0</v>
      </c>
      <c r="U255" s="144">
        <v>0</v>
      </c>
      <c r="V255" s="144">
        <v>0</v>
      </c>
      <c r="W255" s="144">
        <v>0</v>
      </c>
      <c r="X255" s="144">
        <v>0</v>
      </c>
      <c r="Y255" s="144">
        <v>0</v>
      </c>
      <c r="Z255" s="144">
        <v>0</v>
      </c>
      <c r="AA255" s="144">
        <v>0</v>
      </c>
      <c r="AB255" s="144">
        <v>0</v>
      </c>
      <c r="AC255" s="144">
        <v>0</v>
      </c>
      <c r="AD255" s="144">
        <v>0</v>
      </c>
      <c r="AE255" s="144">
        <v>0</v>
      </c>
      <c r="AF255" s="144">
        <v>0</v>
      </c>
      <c r="AG255" s="144">
        <v>0</v>
      </c>
      <c r="AH255" s="144">
        <v>0</v>
      </c>
      <c r="AI255" s="144">
        <v>0</v>
      </c>
      <c r="AJ255" s="144">
        <v>0</v>
      </c>
      <c r="AK255" s="144">
        <v>0</v>
      </c>
      <c r="AL255" s="144">
        <v>0</v>
      </c>
      <c r="AM255" s="144">
        <v>0</v>
      </c>
      <c r="AN255" s="144">
        <v>0.18421052631578946</v>
      </c>
      <c r="AO255" s="144">
        <v>0.2</v>
      </c>
      <c r="AP255" s="144">
        <v>0.2</v>
      </c>
      <c r="AQ255" s="144">
        <v>0.2</v>
      </c>
      <c r="AR255" s="144">
        <v>0.2</v>
      </c>
      <c r="AS255" s="144">
        <v>0.2</v>
      </c>
      <c r="AT255" s="144">
        <v>0.2</v>
      </c>
      <c r="AU255" s="144">
        <v>0.2</v>
      </c>
      <c r="AV255" s="144">
        <v>0.2</v>
      </c>
      <c r="AW255" s="144">
        <v>0.2</v>
      </c>
      <c r="AX255" s="144">
        <v>0.2</v>
      </c>
      <c r="AY255" s="144">
        <v>0.18421052631578946</v>
      </c>
      <c r="AZ255" s="144">
        <v>0.18421052631578946</v>
      </c>
      <c r="BA255" s="144">
        <v>0.2</v>
      </c>
      <c r="BB255" s="144">
        <v>0.2</v>
      </c>
      <c r="BC255" s="144">
        <v>0.2</v>
      </c>
      <c r="BD255" s="144">
        <v>0.2</v>
      </c>
      <c r="BE255" s="144">
        <v>0.2</v>
      </c>
      <c r="BF255" s="144">
        <v>0.2</v>
      </c>
      <c r="BG255" s="144">
        <v>0</v>
      </c>
      <c r="BH255" s="144">
        <v>0</v>
      </c>
      <c r="BI255" s="144">
        <v>0</v>
      </c>
      <c r="BJ255" s="144">
        <v>0</v>
      </c>
      <c r="BK255" s="144">
        <v>0</v>
      </c>
      <c r="BL255" s="144">
        <v>0</v>
      </c>
      <c r="BM255" s="144">
        <v>0</v>
      </c>
      <c r="BN255" s="144">
        <v>0</v>
      </c>
      <c r="BO255" s="144">
        <v>0</v>
      </c>
      <c r="BP255" s="144">
        <v>0</v>
      </c>
      <c r="BQ255" s="144">
        <v>0</v>
      </c>
      <c r="BR255" s="144">
        <v>0</v>
      </c>
      <c r="BS255" s="144">
        <v>0</v>
      </c>
      <c r="BT255" s="144">
        <v>0</v>
      </c>
      <c r="BU255" s="144">
        <v>0</v>
      </c>
      <c r="BV255" s="144">
        <v>0</v>
      </c>
      <c r="BW255" s="144">
        <v>0</v>
      </c>
      <c r="BX255" s="144">
        <v>0</v>
      </c>
      <c r="BY255" s="144">
        <v>0</v>
      </c>
      <c r="BZ255" s="144">
        <v>0</v>
      </c>
      <c r="CA255" s="144">
        <v>0</v>
      </c>
      <c r="CB255" s="144">
        <v>0</v>
      </c>
      <c r="CC255" s="144">
        <v>0</v>
      </c>
      <c r="CD255" s="144">
        <v>0</v>
      </c>
      <c r="CE255" s="144">
        <v>0</v>
      </c>
      <c r="CF255" s="144">
        <v>0</v>
      </c>
      <c r="CG255" s="144">
        <v>0</v>
      </c>
      <c r="CH255" s="144">
        <v>0</v>
      </c>
      <c r="CI255" s="144">
        <v>0</v>
      </c>
      <c r="CJ255" s="144">
        <v>0</v>
      </c>
      <c r="CK255" s="144">
        <v>0</v>
      </c>
      <c r="CL255" s="144">
        <v>0</v>
      </c>
      <c r="CM255" s="144">
        <v>0</v>
      </c>
      <c r="CN255" s="144">
        <v>0</v>
      </c>
      <c r="CO255" s="144">
        <v>0</v>
      </c>
      <c r="CP255" s="144">
        <v>0</v>
      </c>
      <c r="CQ255" s="143">
        <v>0</v>
      </c>
      <c r="CR255" s="145">
        <v>0</v>
      </c>
      <c r="CS255" s="145">
        <v>0</v>
      </c>
      <c r="CT255" s="145">
        <v>0</v>
      </c>
      <c r="CU255" s="145">
        <v>0</v>
      </c>
      <c r="CV255" s="145">
        <v>0</v>
      </c>
      <c r="CW255" s="145">
        <v>0</v>
      </c>
      <c r="CX255" s="145">
        <v>0</v>
      </c>
      <c r="CY255" s="145">
        <v>0</v>
      </c>
      <c r="CZ255" s="145">
        <v>0</v>
      </c>
      <c r="DA255" s="145">
        <v>0</v>
      </c>
      <c r="DB255" s="145">
        <v>0</v>
      </c>
      <c r="DC255" s="145">
        <v>0</v>
      </c>
      <c r="DD255" s="145">
        <v>0</v>
      </c>
      <c r="DE255" s="145">
        <v>0</v>
      </c>
      <c r="DF255" s="145">
        <v>0</v>
      </c>
      <c r="DG255" s="145">
        <v>0</v>
      </c>
      <c r="DH255" s="145">
        <v>0</v>
      </c>
      <c r="DI255" s="145">
        <v>0</v>
      </c>
      <c r="DJ255" s="145">
        <v>0</v>
      </c>
      <c r="DK255" s="145">
        <v>0</v>
      </c>
      <c r="DL255" s="145">
        <v>0</v>
      </c>
      <c r="DM255" s="145">
        <v>0</v>
      </c>
      <c r="DN255" s="145">
        <v>0</v>
      </c>
      <c r="DO255" s="145">
        <v>0</v>
      </c>
      <c r="DP255" s="145">
        <v>0</v>
      </c>
      <c r="DQ255" s="145">
        <v>0</v>
      </c>
      <c r="DR255" s="145">
        <v>0</v>
      </c>
      <c r="DS255" s="145">
        <v>0</v>
      </c>
      <c r="DT255" s="145">
        <v>0</v>
      </c>
      <c r="DU255" s="145">
        <v>7112.28</v>
      </c>
      <c r="DV255" s="145">
        <v>7325.3600000000006</v>
      </c>
      <c r="DW255" s="145">
        <v>7325.3600000000006</v>
      </c>
      <c r="DX255" s="145">
        <v>7325.3600000000006</v>
      </c>
      <c r="DY255" s="145">
        <v>7325.3600000000006</v>
      </c>
      <c r="DZ255" s="145">
        <v>7325.3600000000006</v>
      </c>
      <c r="EA255" s="145">
        <v>5494.02</v>
      </c>
      <c r="EB255" s="145">
        <v>5494.02</v>
      </c>
      <c r="EC255" s="145">
        <v>7325.3600000000006</v>
      </c>
      <c r="ED255" s="145">
        <v>7325.3600000000006</v>
      </c>
      <c r="EE255" s="145">
        <v>5494.02</v>
      </c>
      <c r="EF255" s="145">
        <v>7325.3600000000006</v>
      </c>
      <c r="EG255" s="145">
        <v>7325.3600000000006</v>
      </c>
      <c r="EH255" s="145">
        <v>7544.8799999999992</v>
      </c>
      <c r="EI255" s="145">
        <v>7544.8799999999992</v>
      </c>
      <c r="EJ255" s="145">
        <v>7544.8799999999992</v>
      </c>
      <c r="EK255" s="145">
        <v>7544.8799999999992</v>
      </c>
      <c r="EL255" s="145">
        <v>7544.8799999999992</v>
      </c>
      <c r="EM255" s="145">
        <v>5658.66</v>
      </c>
      <c r="EN255" s="145">
        <v>0</v>
      </c>
      <c r="EO255" s="145">
        <v>0</v>
      </c>
      <c r="EP255" s="145">
        <v>0</v>
      </c>
      <c r="EQ255" s="145">
        <v>0</v>
      </c>
      <c r="ER255" s="145">
        <v>0</v>
      </c>
      <c r="ES255" s="145">
        <v>0</v>
      </c>
      <c r="ET255" s="145">
        <v>0</v>
      </c>
      <c r="EU255" s="145">
        <v>0</v>
      </c>
      <c r="EV255" s="145">
        <v>0</v>
      </c>
      <c r="EW255" s="145">
        <v>0</v>
      </c>
      <c r="EX255" s="145">
        <v>0</v>
      </c>
      <c r="EY255" s="145">
        <v>0</v>
      </c>
      <c r="EZ255" s="145">
        <v>0</v>
      </c>
      <c r="FA255" s="145">
        <v>0</v>
      </c>
      <c r="FB255" s="145">
        <v>0</v>
      </c>
      <c r="FC255" s="145">
        <v>0</v>
      </c>
      <c r="FD255" s="145">
        <v>0</v>
      </c>
      <c r="FE255" s="145">
        <v>0</v>
      </c>
      <c r="FF255" s="145">
        <v>0</v>
      </c>
      <c r="FG255" s="145">
        <v>0</v>
      </c>
      <c r="FH255" s="145">
        <v>0</v>
      </c>
      <c r="FI255" s="145">
        <v>0</v>
      </c>
      <c r="FJ255" s="145">
        <v>0</v>
      </c>
      <c r="FK255" s="145">
        <v>0</v>
      </c>
      <c r="FL255" s="145">
        <v>0</v>
      </c>
      <c r="FM255" s="145">
        <v>0</v>
      </c>
      <c r="FN255" s="145">
        <v>0</v>
      </c>
      <c r="FO255" s="145">
        <v>0</v>
      </c>
      <c r="FP255" s="145">
        <v>0</v>
      </c>
      <c r="FQ255" s="145">
        <v>0</v>
      </c>
      <c r="FR255" s="145">
        <v>0</v>
      </c>
      <c r="FS255" s="145">
        <v>0</v>
      </c>
      <c r="FT255" s="145">
        <v>0</v>
      </c>
      <c r="FU255" s="145">
        <v>0</v>
      </c>
      <c r="FV255" s="145">
        <v>0</v>
      </c>
      <c r="FW255" s="145">
        <v>0</v>
      </c>
      <c r="FX255" s="143"/>
      <c r="FY255" s="146" t="str">
        <f>_xlfn.XLOOKUP($E255,'Key assumptions'!$B$112:$B$120,'Key assumptions'!$C$112:$C$120,0)</f>
        <v>Nominal</v>
      </c>
      <c r="FZ255" s="146" cm="1">
        <f t="array" ref="FZ255">IF($FY255=0,0,_xlfn.IFS($FY255='Key assumptions'!$C$120,_xlfn.XLOOKUP(LEFT(FZ$7,6),Inflation_Year,Inflation_NominaltoReal),TRUE,_xlfn.XLOOKUP($FY255,Inflation_Year,NominaltoReal)))</f>
        <v>1.0197075870962191</v>
      </c>
      <c r="GA255" s="146" cm="1">
        <f t="array" ref="GA255">IF($FY255=0,0,_xlfn.IFS($FY255='Key assumptions'!$C$120,_xlfn.XLOOKUP(LEFT(GA$7,6),Inflation_Year,Inflation_NominaltoReal),TRUE,_xlfn.XLOOKUP($FY255,Inflation_Year,NominaltoReal)))</f>
        <v>0.98700804022984445</v>
      </c>
      <c r="GB255" s="146" cm="1">
        <f t="array" ref="GB255">IF($FY255=0,0,_xlfn.IFS($FY255='Key assumptions'!$C$120,_xlfn.XLOOKUP(LEFT(GB$7,6),Inflation_Year,Inflation_NominaltoReal),TRUE,_xlfn.XLOOKUP($FY255,Inflation_Year,NominaltoReal)))</f>
        <v>0.96152830081941731</v>
      </c>
      <c r="GC255" s="146" cm="1">
        <f t="array" ref="GC255">IF($FY255=0,0,_xlfn.IFS($FY255='Key assumptions'!$C$120,_xlfn.XLOOKUP(LEFT(GC$7,6),Inflation_Year,Inflation_NominaltoReal),TRUE,_xlfn.XLOOKUP($FY255,Inflation_Year,NominaltoReal)))</f>
        <v>0.93670632415656829</v>
      </c>
      <c r="GD255" s="146" cm="1">
        <f t="array" ref="GD255">IF($FY255=0,0,_xlfn.IFS($FY255='Key assumptions'!$C$120,_xlfn.XLOOKUP(LEFT(GD$7,6),Inflation_Year,Inflation_NominaltoReal),TRUE,_xlfn.XLOOKUP($FY255,Inflation_Year,NominaltoReal)))</f>
        <v>0.91252513001143176</v>
      </c>
      <c r="GE255" s="146" cm="1">
        <f t="array" ref="GE255">IF($FY255=0,0,_xlfn.IFS($FY255='Key assumptions'!$C$120,_xlfn.XLOOKUP(LEFT(GE$7,6),Inflation_Year,Inflation_NominaltoReal),TRUE,_xlfn.XLOOKUP($FY255,Inflation_Year,NominaltoReal)))</f>
        <v>0.88896817650095872</v>
      </c>
      <c r="GF255" s="146" cm="1">
        <f t="array" ref="GF255">IF($FY255=0,0,_xlfn.IFS($FY255='Key assumptions'!$C$120,_xlfn.XLOOKUP(LEFT(GF$7,6),Inflation_Year,Inflation_NominaltoReal),TRUE,_xlfn.XLOOKUP($FY255,Inflation_Year,NominaltoReal)))</f>
        <v>0.86601934877293718</v>
      </c>
      <c r="GG255" s="143"/>
      <c r="GH255" s="145" cm="1">
        <f t="array" ref="GH255">SUMPRODUCT(--($CR$7:$FW$7&gt;=GH$5),--($CR$7:$FW$7&lt;=GH$6),$CR255:$FW255)*FZ255</f>
        <v>0</v>
      </c>
      <c r="GI255" s="145" cm="1">
        <f t="array" ref="GI255">SUMPRODUCT(--($CR$7:$FW$7&gt;=GI$5),--($CR$7:$FW$7&lt;=GI$6),$CR255:$FW255)*GA255</f>
        <v>28710.445197100198</v>
      </c>
      <c r="GJ255" s="145" cm="1">
        <f t="array" ref="GJ255">SUMPRODUCT(--($CR$7:$FW$7&gt;=GJ$5),--($CR$7:$FW$7&lt;=GJ$6),$CR255:$FW255)*GB255</f>
        <v>79873.059806806079</v>
      </c>
      <c r="GK255" s="145" cm="1">
        <f t="array" ref="GK255">SUMPRODUCT(--($CR$7:$FW$7&gt;=GK$5),--($CR$7:$FW$7&lt;=GK$6),$CR255:$FW255)*GC255</f>
        <v>19435.176230256624</v>
      </c>
      <c r="GL255" s="145" cm="1">
        <f t="array" ref="GL255">SUMPRODUCT(--($CR$7:$FW$7&gt;=GL$5),--($CR$7:$FW$7&lt;=GL$6),$CR255:$FW255)*GD255</f>
        <v>0</v>
      </c>
      <c r="GM255" s="145" cm="1">
        <f t="array" ref="GM255">SUMPRODUCT(--($CR$7:$FW$7&gt;=GM$5),--($CR$7:$FW$7&lt;=GM$6),$CR255:$FW255)*GE255</f>
        <v>0</v>
      </c>
      <c r="GN255" s="145" cm="1">
        <f t="array" ref="GN255">SUMPRODUCT(--($CR$7:$FW$7&gt;=GN$5),--($CR$7:$FW$7&lt;=GN$6),$CR255:$FW255)*GF255</f>
        <v>0</v>
      </c>
      <c r="GO255" s="145">
        <f t="shared" si="69"/>
        <v>128018.6812341629</v>
      </c>
      <c r="GP255" s="87"/>
      <c r="GR255" s="145" cm="1">
        <f t="array" ref="GR255">SUMPRODUCT(--($CR$7:$FW$7&gt;=GR$5),--($CR$7:$FW$7&lt;=GR$6),$CR255:$FW255)</f>
        <v>0</v>
      </c>
      <c r="GT255" s="214" cm="1">
        <f t="array" ref="GT255">--AND(MIN(IF($K255:$CP255&lt;&gt;0,$K$7:$CP$7))&gt;=GT$5,MIN(IF($K255:$CP255&lt;&gt;0,$K$7:$CP$7))&lt;=GT$6)</f>
        <v>0</v>
      </c>
      <c r="GU255" s="214" cm="1">
        <f t="array" ref="GU255">--AND(MIN(IF($K255:$CP255&lt;&gt;0,$K$7:$CP$7))&gt;=GU$5,MIN(IF($K255:$CP255&lt;&gt;0,$K$7:$CP$7))&lt;=GU$6)</f>
        <v>1</v>
      </c>
      <c r="GV255" s="214" cm="1">
        <f t="array" ref="GV255">--AND(MIN(IF($K255:$CP255&lt;&gt;0,$K$7:$CP$7))&gt;=GV$5,MIN(IF($K255:$CP255&lt;&gt;0,$K$7:$CP$7))&lt;=GV$6)</f>
        <v>0</v>
      </c>
      <c r="GW255" s="214" cm="1">
        <f t="array" ref="GW255">--AND(MIN(IF($K255:$CP255&lt;&gt;0,$K$7:$CP$7))&gt;=GW$5,MIN(IF($K255:$CP255&lt;&gt;0,$K$7:$CP$7))&lt;=GW$6)</f>
        <v>0</v>
      </c>
      <c r="GX255" s="214" cm="1">
        <f t="array" ref="GX255">--AND(MIN(IF($K255:$CP255&lt;&gt;0,$K$7:$CP$7))&gt;=GX$5,MIN(IF($K255:$CP255&lt;&gt;0,$K$7:$CP$7))&lt;=GX$6)</f>
        <v>0</v>
      </c>
      <c r="GY255" s="214" cm="1">
        <f t="array" ref="GY255">--AND(MIN(IF($K255:$CP255&lt;&gt;0,$K$7:$CP$7))&gt;=GY$5,MIN(IF($K255:$CP255&lt;&gt;0,$K$7:$CP$7))&lt;=GY$6)</f>
        <v>0</v>
      </c>
      <c r="GZ255" s="214" cm="1">
        <f t="array" ref="GZ255">--AND(MIN(IF($K255:$CP255&lt;&gt;0,$K$7:$CP$7))&gt;=GZ$5,MIN(IF($K255:$CP255&lt;&gt;0,$K$7:$CP$7))&lt;=GZ$6)</f>
        <v>0</v>
      </c>
      <c r="HA255" s="214">
        <f t="shared" si="70"/>
        <v>1</v>
      </c>
      <c r="HC255" s="214" cm="1">
        <f t="array" ref="HC255">--AND(MIN(IF($K255:$CP255&lt;&gt;0,$K$7:$CP$7))&gt;=HC$5,MIN(IF($K255:$CP255&lt;&gt;0,$K$7:$CP$7))&lt;=HC$6)</f>
        <v>0</v>
      </c>
      <c r="HE255" s="147" t="str">
        <f t="shared" si="89"/>
        <v>No</v>
      </c>
      <c r="HF255" s="147" t="str">
        <f t="shared" si="90"/>
        <v>No</v>
      </c>
      <c r="HG255" s="147">
        <f>IF($HF255="Yes",0,$H255*avg_hrs*12*'Key assumptions'!$D$87)</f>
        <v>454238.21110356261</v>
      </c>
      <c r="HH255" s="147">
        <f>IF(HE255="Yes",'Key assumptions'!$D$84*HG255,0)</f>
        <v>0</v>
      </c>
      <c r="HI255" s="144">
        <f>IFERROR(AVERAGEIFS($K255:$CP255,$K$7:$CP$7,"&gt;="&amp;'Key assumptions'!$D$24,$K$7:$CP$7,"&lt;="&amp;'Key assumptions'!$D$25),0)</f>
        <v>8.5287081339712939E-2</v>
      </c>
      <c r="HJ255" s="148">
        <f t="shared" si="91"/>
        <v>0</v>
      </c>
      <c r="HK255" s="148">
        <f t="shared" si="72"/>
        <v>0</v>
      </c>
      <c r="HL255" s="148">
        <f t="shared" si="73"/>
        <v>0</v>
      </c>
      <c r="HM255" s="148">
        <f t="shared" si="74"/>
        <v>0</v>
      </c>
      <c r="HN255" s="148">
        <f t="shared" si="75"/>
        <v>0</v>
      </c>
      <c r="HO255" s="148">
        <f t="shared" si="76"/>
        <v>0</v>
      </c>
      <c r="HP255" s="148">
        <f t="shared" si="77"/>
        <v>0</v>
      </c>
      <c r="HQ255" s="148">
        <f t="shared" si="78"/>
        <v>0</v>
      </c>
      <c r="HR255" s="147">
        <f t="shared" si="79"/>
        <v>0</v>
      </c>
      <c r="HU255" s="147">
        <f>$HJ255*HC255/(1+'Key assumptions'!G277)^0.75</f>
        <v>0</v>
      </c>
      <c r="HW255" s="216">
        <f t="shared" si="80"/>
        <v>0</v>
      </c>
      <c r="HX255" s="216">
        <f t="shared" si="81"/>
        <v>8.5287081339712939E-2</v>
      </c>
      <c r="HY255" s="216">
        <f t="shared" si="82"/>
        <v>0</v>
      </c>
      <c r="HZ255" s="216">
        <f t="shared" si="83"/>
        <v>0</v>
      </c>
      <c r="IA255" s="216">
        <f t="shared" si="84"/>
        <v>0</v>
      </c>
      <c r="IB255" s="216">
        <f t="shared" si="85"/>
        <v>0</v>
      </c>
      <c r="IC255" s="216">
        <f t="shared" si="86"/>
        <v>0</v>
      </c>
      <c r="ID255" s="216">
        <f t="shared" si="87"/>
        <v>8.5287081339712939E-2</v>
      </c>
      <c r="IF255" s="216">
        <f t="shared" si="88"/>
        <v>0</v>
      </c>
    </row>
    <row r="256" spans="2:240" x14ac:dyDescent="0.2">
      <c r="B256" s="141"/>
      <c r="C256" s="141"/>
      <c r="D256" s="141"/>
      <c r="E256" s="141"/>
      <c r="F256" s="141"/>
      <c r="G256" s="141"/>
      <c r="H256" s="142"/>
      <c r="I256" s="126"/>
      <c r="J256" s="143"/>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3"/>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c r="EE256" s="145"/>
      <c r="EF256" s="145"/>
      <c r="EG256" s="145"/>
      <c r="EH256" s="145"/>
      <c r="EI256" s="145"/>
      <c r="EJ256" s="145"/>
      <c r="EK256" s="145"/>
      <c r="EL256" s="145"/>
      <c r="EM256" s="145"/>
      <c r="EN256" s="145"/>
      <c r="EO256" s="145"/>
      <c r="EP256" s="145"/>
      <c r="EQ256" s="145"/>
      <c r="ER256" s="145"/>
      <c r="ES256" s="145"/>
      <c r="ET256" s="145"/>
      <c r="EU256" s="145"/>
      <c r="EV256" s="145"/>
      <c r="EW256" s="145"/>
      <c r="EX256" s="145"/>
      <c r="EY256" s="145"/>
      <c r="EZ256" s="145"/>
      <c r="FA256" s="145"/>
      <c r="FB256" s="145"/>
      <c r="FC256" s="145"/>
      <c r="FD256" s="145"/>
      <c r="FE256" s="145"/>
      <c r="FF256" s="145"/>
      <c r="FG256" s="145"/>
      <c r="FH256" s="145"/>
      <c r="FI256" s="145"/>
      <c r="FJ256" s="145"/>
      <c r="FK256" s="145"/>
      <c r="FL256" s="145"/>
      <c r="FM256" s="145"/>
      <c r="FN256" s="145"/>
      <c r="FO256" s="145"/>
      <c r="FP256" s="145"/>
      <c r="FQ256" s="145"/>
      <c r="FR256" s="145"/>
      <c r="FS256" s="145"/>
      <c r="FT256" s="145"/>
      <c r="FU256" s="145"/>
      <c r="FV256" s="145"/>
      <c r="FW256" s="145"/>
      <c r="FX256" s="143"/>
      <c r="FY256" s="146">
        <f>_xlfn.XLOOKUP($E256,'Key assumptions'!$B$112:$B$120,'Key assumptions'!$C$112:$C$120,0)</f>
        <v>0</v>
      </c>
      <c r="FZ256" s="146" cm="1">
        <f t="array" ref="FZ256">IF($FY256=0,0,_xlfn.IFS($FY256='Key assumptions'!$C$120,_xlfn.XLOOKUP(LEFT(FZ$7,6),Inflation_Year,Inflation_NominaltoReal),TRUE,_xlfn.XLOOKUP($FY256,Inflation_Year,NominaltoReal)))</f>
        <v>0</v>
      </c>
      <c r="GA256" s="146" cm="1">
        <f t="array" ref="GA256">IF($FY256=0,0,_xlfn.IFS($FY256='Key assumptions'!$C$120,_xlfn.XLOOKUP(LEFT(GA$7,6),Inflation_Year,Inflation_NominaltoReal),TRUE,_xlfn.XLOOKUP($FY256,Inflation_Year,NominaltoReal)))</f>
        <v>0</v>
      </c>
      <c r="GB256" s="146" cm="1">
        <f t="array" ref="GB256">IF($FY256=0,0,_xlfn.IFS($FY256='Key assumptions'!$C$120,_xlfn.XLOOKUP(LEFT(GB$7,6),Inflation_Year,Inflation_NominaltoReal),TRUE,_xlfn.XLOOKUP($FY256,Inflation_Year,NominaltoReal)))</f>
        <v>0</v>
      </c>
      <c r="GC256" s="146" cm="1">
        <f t="array" ref="GC256">IF($FY256=0,0,_xlfn.IFS($FY256='Key assumptions'!$C$120,_xlfn.XLOOKUP(LEFT(GC$7,6),Inflation_Year,Inflation_NominaltoReal),TRUE,_xlfn.XLOOKUP($FY256,Inflation_Year,NominaltoReal)))</f>
        <v>0</v>
      </c>
      <c r="GD256" s="146" cm="1">
        <f t="array" ref="GD256">IF($FY256=0,0,_xlfn.IFS($FY256='Key assumptions'!$C$120,_xlfn.XLOOKUP(LEFT(GD$7,6),Inflation_Year,Inflation_NominaltoReal),TRUE,_xlfn.XLOOKUP($FY256,Inflation_Year,NominaltoReal)))</f>
        <v>0</v>
      </c>
      <c r="GE256" s="146" cm="1">
        <f t="array" ref="GE256">IF($FY256=0,0,_xlfn.IFS($FY256='Key assumptions'!$C$120,_xlfn.XLOOKUP(LEFT(GE$7,6),Inflation_Year,Inflation_NominaltoReal),TRUE,_xlfn.XLOOKUP($FY256,Inflation_Year,NominaltoReal)))</f>
        <v>0</v>
      </c>
      <c r="GF256" s="146" cm="1">
        <f t="array" ref="GF256">IF($FY256=0,0,_xlfn.IFS($FY256='Key assumptions'!$C$120,_xlfn.XLOOKUP(LEFT(GF$7,6),Inflation_Year,Inflation_NominaltoReal),TRUE,_xlfn.XLOOKUP($FY256,Inflation_Year,NominaltoReal)))</f>
        <v>0</v>
      </c>
      <c r="GG256" s="143"/>
      <c r="GH256" s="145" cm="1">
        <f t="array" ref="GH256">SUMPRODUCT(--($CR$7:$FW$7&gt;=GH$5),--($CR$7:$FW$7&lt;=GH$6),$CR256:$FW256)*FZ256</f>
        <v>0</v>
      </c>
      <c r="GI256" s="145" cm="1">
        <f t="array" ref="GI256">SUMPRODUCT(--($CR$7:$FW$7&gt;=GI$5),--($CR$7:$FW$7&lt;=GI$6),$CR256:$FW256)*GA256</f>
        <v>0</v>
      </c>
      <c r="GJ256" s="145" cm="1">
        <f t="array" ref="GJ256">SUMPRODUCT(--($CR$7:$FW$7&gt;=GJ$5),--($CR$7:$FW$7&lt;=GJ$6),$CR256:$FW256)*GB256</f>
        <v>0</v>
      </c>
      <c r="GK256" s="145" cm="1">
        <f t="array" ref="GK256">SUMPRODUCT(--($CR$7:$FW$7&gt;=GK$5),--($CR$7:$FW$7&lt;=GK$6),$CR256:$FW256)*GC256</f>
        <v>0</v>
      </c>
      <c r="GL256" s="145" cm="1">
        <f t="array" ref="GL256">SUMPRODUCT(--($CR$7:$FW$7&gt;=GL$5),--($CR$7:$FW$7&lt;=GL$6),$CR256:$FW256)*GD256</f>
        <v>0</v>
      </c>
      <c r="GM256" s="145" cm="1">
        <f t="array" ref="GM256">SUMPRODUCT(--($CR$7:$FW$7&gt;=GM$5),--($CR$7:$FW$7&lt;=GM$6),$CR256:$FW256)*GE256</f>
        <v>0</v>
      </c>
      <c r="GN256" s="145" cm="1">
        <f t="array" ref="GN256">SUMPRODUCT(--($CR$7:$FW$7&gt;=GN$5),--($CR$7:$FW$7&lt;=GN$6),$CR256:$FW256)*GF256</f>
        <v>0</v>
      </c>
      <c r="GO256" s="145">
        <f t="shared" si="69"/>
        <v>0</v>
      </c>
      <c r="GP256" s="87"/>
      <c r="GR256" s="145" cm="1">
        <f t="array" ref="GR256">SUMPRODUCT(--($CR$7:$FW$7&gt;=GR$5),--($CR$7:$FW$7&lt;=GR$6),$CR256:$FW256)</f>
        <v>0</v>
      </c>
      <c r="GT256" s="214" cm="1">
        <f t="array" ref="GT256">--AND(MIN(IF($K256:$CP256&lt;&gt;0,$K$7:$CP$7))&gt;=GT$5,MIN(IF($K256:$CP256&lt;&gt;0,$K$7:$CP$7))&lt;=GT$6)</f>
        <v>0</v>
      </c>
      <c r="GU256" s="214" cm="1">
        <f t="array" ref="GU256">--AND(MIN(IF($K256:$CP256&lt;&gt;0,$K$7:$CP$7))&gt;=GU$5,MIN(IF($K256:$CP256&lt;&gt;0,$K$7:$CP$7))&lt;=GU$6)</f>
        <v>0</v>
      </c>
      <c r="GV256" s="214" cm="1">
        <f t="array" ref="GV256">--AND(MIN(IF($K256:$CP256&lt;&gt;0,$K$7:$CP$7))&gt;=GV$5,MIN(IF($K256:$CP256&lt;&gt;0,$K$7:$CP$7))&lt;=GV$6)</f>
        <v>0</v>
      </c>
      <c r="GW256" s="214" cm="1">
        <f t="array" ref="GW256">--AND(MIN(IF($K256:$CP256&lt;&gt;0,$K$7:$CP$7))&gt;=GW$5,MIN(IF($K256:$CP256&lt;&gt;0,$K$7:$CP$7))&lt;=GW$6)</f>
        <v>0</v>
      </c>
      <c r="GX256" s="214" cm="1">
        <f t="array" ref="GX256">--AND(MIN(IF($K256:$CP256&lt;&gt;0,$K$7:$CP$7))&gt;=GX$5,MIN(IF($K256:$CP256&lt;&gt;0,$K$7:$CP$7))&lt;=GX$6)</f>
        <v>0</v>
      </c>
      <c r="GY256" s="214" cm="1">
        <f t="array" ref="GY256">--AND(MIN(IF($K256:$CP256&lt;&gt;0,$K$7:$CP$7))&gt;=GY$5,MIN(IF($K256:$CP256&lt;&gt;0,$K$7:$CP$7))&lt;=GY$6)</f>
        <v>0</v>
      </c>
      <c r="GZ256" s="214" cm="1">
        <f t="array" ref="GZ256">--AND(MIN(IF($K256:$CP256&lt;&gt;0,$K$7:$CP$7))&gt;=GZ$5,MIN(IF($K256:$CP256&lt;&gt;0,$K$7:$CP$7))&lt;=GZ$6)</f>
        <v>0</v>
      </c>
      <c r="HA256" s="214">
        <f t="shared" si="70"/>
        <v>0</v>
      </c>
      <c r="HC256" s="214" cm="1">
        <f t="array" ref="HC256">--AND(MIN(IF($K256:$CP256&lt;&gt;0,$K$7:$CP$7))&gt;=HC$5,MIN(IF($K256:$CP256&lt;&gt;0,$K$7:$CP$7))&lt;=HC$6)</f>
        <v>0</v>
      </c>
      <c r="HE256" s="147" t="str">
        <f t="shared" si="89"/>
        <v>No</v>
      </c>
      <c r="HF256" s="147" t="str">
        <f t="shared" si="90"/>
        <v>No</v>
      </c>
      <c r="HG256" s="147">
        <f>IF($HF256="Yes",0,$H256*avg_hrs*12*'Key assumptions'!$D$87)</f>
        <v>0</v>
      </c>
      <c r="HH256" s="147">
        <f>IF(HE256="Yes",'Key assumptions'!$D$84*HG256,0)</f>
        <v>0</v>
      </c>
      <c r="HI256" s="144">
        <f>IFERROR(AVERAGEIFS($K256:$CP256,$K$7:$CP$7,"&gt;="&amp;'Key assumptions'!$D$24,$K$7:$CP$7,"&lt;="&amp;'Key assumptions'!$D$25),0)</f>
        <v>0</v>
      </c>
      <c r="HJ256" s="148">
        <f t="shared" si="91"/>
        <v>0</v>
      </c>
      <c r="HK256" s="148">
        <f t="shared" si="72"/>
        <v>0</v>
      </c>
      <c r="HL256" s="148">
        <f t="shared" si="73"/>
        <v>0</v>
      </c>
      <c r="HM256" s="148">
        <f t="shared" si="74"/>
        <v>0</v>
      </c>
      <c r="HN256" s="148">
        <f t="shared" si="75"/>
        <v>0</v>
      </c>
      <c r="HO256" s="148">
        <f t="shared" si="76"/>
        <v>0</v>
      </c>
      <c r="HP256" s="148">
        <f t="shared" si="77"/>
        <v>0</v>
      </c>
      <c r="HQ256" s="148">
        <f t="shared" si="78"/>
        <v>0</v>
      </c>
      <c r="HR256" s="147">
        <f t="shared" si="79"/>
        <v>0</v>
      </c>
      <c r="HU256" s="147">
        <f>$HJ256*HC256/(1+'Key assumptions'!G278)^0.75</f>
        <v>0</v>
      </c>
      <c r="HW256" s="216">
        <f t="shared" si="80"/>
        <v>0</v>
      </c>
      <c r="HX256" s="216">
        <f t="shared" si="81"/>
        <v>0</v>
      </c>
      <c r="HY256" s="216">
        <f t="shared" si="82"/>
        <v>0</v>
      </c>
      <c r="HZ256" s="216">
        <f t="shared" si="83"/>
        <v>0</v>
      </c>
      <c r="IA256" s="216">
        <f t="shared" si="84"/>
        <v>0</v>
      </c>
      <c r="IB256" s="216">
        <f t="shared" si="85"/>
        <v>0</v>
      </c>
      <c r="IC256" s="216">
        <f t="shared" si="86"/>
        <v>0</v>
      </c>
      <c r="ID256" s="216">
        <f t="shared" si="87"/>
        <v>0</v>
      </c>
      <c r="IF256" s="216">
        <f t="shared" si="88"/>
        <v>0</v>
      </c>
    </row>
    <row r="257" spans="2:240" x14ac:dyDescent="0.2">
      <c r="B257" s="141"/>
      <c r="C257" s="141"/>
      <c r="D257" s="141"/>
      <c r="E257" s="141"/>
      <c r="F257" s="141"/>
      <c r="G257" s="141"/>
      <c r="H257" s="142"/>
      <c r="I257" s="126"/>
      <c r="J257" s="143"/>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3"/>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145"/>
      <c r="EH257" s="145"/>
      <c r="EI257" s="145"/>
      <c r="EJ257" s="145"/>
      <c r="EK257" s="145"/>
      <c r="EL257" s="145"/>
      <c r="EM257" s="145"/>
      <c r="EN257" s="145"/>
      <c r="EO257" s="145"/>
      <c r="EP257" s="145"/>
      <c r="EQ257" s="145"/>
      <c r="ER257" s="145"/>
      <c r="ES257" s="145"/>
      <c r="ET257" s="145"/>
      <c r="EU257" s="145"/>
      <c r="EV257" s="145"/>
      <c r="EW257" s="145"/>
      <c r="EX257" s="145"/>
      <c r="EY257" s="145"/>
      <c r="EZ257" s="145"/>
      <c r="FA257" s="145"/>
      <c r="FB257" s="145"/>
      <c r="FC257" s="145"/>
      <c r="FD257" s="14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3"/>
      <c r="FY257" s="146">
        <f>_xlfn.XLOOKUP($E257,'Key assumptions'!$B$112:$B$120,'Key assumptions'!$C$112:$C$120,0)</f>
        <v>0</v>
      </c>
      <c r="FZ257" s="146" cm="1">
        <f t="array" ref="FZ257">IF($FY257=0,0,_xlfn.IFS($FY257='Key assumptions'!$C$120,_xlfn.XLOOKUP(LEFT(FZ$7,6),Inflation_Year,Inflation_NominaltoReal),TRUE,_xlfn.XLOOKUP($FY257,Inflation_Year,NominaltoReal)))</f>
        <v>0</v>
      </c>
      <c r="GA257" s="146" cm="1">
        <f t="array" ref="GA257">IF($FY257=0,0,_xlfn.IFS($FY257='Key assumptions'!$C$120,_xlfn.XLOOKUP(LEFT(GA$7,6),Inflation_Year,Inflation_NominaltoReal),TRUE,_xlfn.XLOOKUP($FY257,Inflation_Year,NominaltoReal)))</f>
        <v>0</v>
      </c>
      <c r="GB257" s="146" cm="1">
        <f t="array" ref="GB257">IF($FY257=0,0,_xlfn.IFS($FY257='Key assumptions'!$C$120,_xlfn.XLOOKUP(LEFT(GB$7,6),Inflation_Year,Inflation_NominaltoReal),TRUE,_xlfn.XLOOKUP($FY257,Inflation_Year,NominaltoReal)))</f>
        <v>0</v>
      </c>
      <c r="GC257" s="146" cm="1">
        <f t="array" ref="GC257">IF($FY257=0,0,_xlfn.IFS($FY257='Key assumptions'!$C$120,_xlfn.XLOOKUP(LEFT(GC$7,6),Inflation_Year,Inflation_NominaltoReal),TRUE,_xlfn.XLOOKUP($FY257,Inflation_Year,NominaltoReal)))</f>
        <v>0</v>
      </c>
      <c r="GD257" s="146" cm="1">
        <f t="array" ref="GD257">IF($FY257=0,0,_xlfn.IFS($FY257='Key assumptions'!$C$120,_xlfn.XLOOKUP(LEFT(GD$7,6),Inflation_Year,Inflation_NominaltoReal),TRUE,_xlfn.XLOOKUP($FY257,Inflation_Year,NominaltoReal)))</f>
        <v>0</v>
      </c>
      <c r="GE257" s="146" cm="1">
        <f t="array" ref="GE257">IF($FY257=0,0,_xlfn.IFS($FY257='Key assumptions'!$C$120,_xlfn.XLOOKUP(LEFT(GE$7,6),Inflation_Year,Inflation_NominaltoReal),TRUE,_xlfn.XLOOKUP($FY257,Inflation_Year,NominaltoReal)))</f>
        <v>0</v>
      </c>
      <c r="GF257" s="146" cm="1">
        <f t="array" ref="GF257">IF($FY257=0,0,_xlfn.IFS($FY257='Key assumptions'!$C$120,_xlfn.XLOOKUP(LEFT(GF$7,6),Inflation_Year,Inflation_NominaltoReal),TRUE,_xlfn.XLOOKUP($FY257,Inflation_Year,NominaltoReal)))</f>
        <v>0</v>
      </c>
      <c r="GG257" s="143"/>
      <c r="GH257" s="145" cm="1">
        <f t="array" ref="GH257">SUMPRODUCT(--($CR$7:$FW$7&gt;=GH$5),--($CR$7:$FW$7&lt;=GH$6),$CR257:$FW257)*FZ257</f>
        <v>0</v>
      </c>
      <c r="GI257" s="145" cm="1">
        <f t="array" ref="GI257">SUMPRODUCT(--($CR$7:$FW$7&gt;=GI$5),--($CR$7:$FW$7&lt;=GI$6),$CR257:$FW257)*GA257</f>
        <v>0</v>
      </c>
      <c r="GJ257" s="145" cm="1">
        <f t="array" ref="GJ257">SUMPRODUCT(--($CR$7:$FW$7&gt;=GJ$5),--($CR$7:$FW$7&lt;=GJ$6),$CR257:$FW257)*GB257</f>
        <v>0</v>
      </c>
      <c r="GK257" s="145" cm="1">
        <f t="array" ref="GK257">SUMPRODUCT(--($CR$7:$FW$7&gt;=GK$5),--($CR$7:$FW$7&lt;=GK$6),$CR257:$FW257)*GC257</f>
        <v>0</v>
      </c>
      <c r="GL257" s="145" cm="1">
        <f t="array" ref="GL257">SUMPRODUCT(--($CR$7:$FW$7&gt;=GL$5),--($CR$7:$FW$7&lt;=GL$6),$CR257:$FW257)*GD257</f>
        <v>0</v>
      </c>
      <c r="GM257" s="145" cm="1">
        <f t="array" ref="GM257">SUMPRODUCT(--($CR$7:$FW$7&gt;=GM$5),--($CR$7:$FW$7&lt;=GM$6),$CR257:$FW257)*GE257</f>
        <v>0</v>
      </c>
      <c r="GN257" s="145" cm="1">
        <f t="array" ref="GN257">SUMPRODUCT(--($CR$7:$FW$7&gt;=GN$5),--($CR$7:$FW$7&lt;=GN$6),$CR257:$FW257)*GF257</f>
        <v>0</v>
      </c>
      <c r="GO257" s="145">
        <f t="shared" si="69"/>
        <v>0</v>
      </c>
      <c r="GP257" s="87"/>
      <c r="GR257" s="145" cm="1">
        <f t="array" ref="GR257">SUMPRODUCT(--($CR$7:$FW$7&gt;=GR$5),--($CR$7:$FW$7&lt;=GR$6),$CR257:$FW257)</f>
        <v>0</v>
      </c>
      <c r="GT257" s="214" cm="1">
        <f t="array" ref="GT257">--AND(MIN(IF($K257:$CP257&lt;&gt;0,$K$7:$CP$7))&gt;=GT$5,MIN(IF($K257:$CP257&lt;&gt;0,$K$7:$CP$7))&lt;=GT$6)</f>
        <v>0</v>
      </c>
      <c r="GU257" s="214" cm="1">
        <f t="array" ref="GU257">--AND(MIN(IF($K257:$CP257&lt;&gt;0,$K$7:$CP$7))&gt;=GU$5,MIN(IF($K257:$CP257&lt;&gt;0,$K$7:$CP$7))&lt;=GU$6)</f>
        <v>0</v>
      </c>
      <c r="GV257" s="214" cm="1">
        <f t="array" ref="GV257">--AND(MIN(IF($K257:$CP257&lt;&gt;0,$K$7:$CP$7))&gt;=GV$5,MIN(IF($K257:$CP257&lt;&gt;0,$K$7:$CP$7))&lt;=GV$6)</f>
        <v>0</v>
      </c>
      <c r="GW257" s="214" cm="1">
        <f t="array" ref="GW257">--AND(MIN(IF($K257:$CP257&lt;&gt;0,$K$7:$CP$7))&gt;=GW$5,MIN(IF($K257:$CP257&lt;&gt;0,$K$7:$CP$7))&lt;=GW$6)</f>
        <v>0</v>
      </c>
      <c r="GX257" s="214" cm="1">
        <f t="array" ref="GX257">--AND(MIN(IF($K257:$CP257&lt;&gt;0,$K$7:$CP$7))&gt;=GX$5,MIN(IF($K257:$CP257&lt;&gt;0,$K$7:$CP$7))&lt;=GX$6)</f>
        <v>0</v>
      </c>
      <c r="GY257" s="214" cm="1">
        <f t="array" ref="GY257">--AND(MIN(IF($K257:$CP257&lt;&gt;0,$K$7:$CP$7))&gt;=GY$5,MIN(IF($K257:$CP257&lt;&gt;0,$K$7:$CP$7))&lt;=GY$6)</f>
        <v>0</v>
      </c>
      <c r="GZ257" s="214" cm="1">
        <f t="array" ref="GZ257">--AND(MIN(IF($K257:$CP257&lt;&gt;0,$K$7:$CP$7))&gt;=GZ$5,MIN(IF($K257:$CP257&lt;&gt;0,$K$7:$CP$7))&lt;=GZ$6)</f>
        <v>0</v>
      </c>
      <c r="HA257" s="214">
        <f t="shared" si="70"/>
        <v>0</v>
      </c>
      <c r="HC257" s="214" cm="1">
        <f t="array" ref="HC257">--AND(MIN(IF($K257:$CP257&lt;&gt;0,$K$7:$CP$7))&gt;=HC$5,MIN(IF($K257:$CP257&lt;&gt;0,$K$7:$CP$7))&lt;=HC$6)</f>
        <v>0</v>
      </c>
      <c r="HE257" s="147" t="str">
        <f t="shared" si="89"/>
        <v>No</v>
      </c>
      <c r="HF257" s="147" t="str">
        <f t="shared" si="90"/>
        <v>No</v>
      </c>
      <c r="HG257" s="147">
        <f>IF($HF257="Yes",0,$H257*avg_hrs*12*'Key assumptions'!$D$87)</f>
        <v>0</v>
      </c>
      <c r="HH257" s="147">
        <f>IF(HE257="Yes",'Key assumptions'!$D$84*HG257,0)</f>
        <v>0</v>
      </c>
      <c r="HI257" s="144">
        <f>IFERROR(AVERAGEIFS($K257:$CP257,$K$7:$CP$7,"&gt;="&amp;'Key assumptions'!$D$24,$K$7:$CP$7,"&lt;="&amp;'Key assumptions'!$D$25),0)</f>
        <v>0</v>
      </c>
      <c r="HJ257" s="148">
        <f t="shared" si="91"/>
        <v>0</v>
      </c>
      <c r="HK257" s="148">
        <f t="shared" si="72"/>
        <v>0</v>
      </c>
      <c r="HL257" s="148">
        <f t="shared" si="73"/>
        <v>0</v>
      </c>
      <c r="HM257" s="148">
        <f t="shared" si="74"/>
        <v>0</v>
      </c>
      <c r="HN257" s="148">
        <f t="shared" si="75"/>
        <v>0</v>
      </c>
      <c r="HO257" s="148">
        <f t="shared" si="76"/>
        <v>0</v>
      </c>
      <c r="HP257" s="148">
        <f t="shared" si="77"/>
        <v>0</v>
      </c>
      <c r="HQ257" s="148">
        <f t="shared" si="78"/>
        <v>0</v>
      </c>
      <c r="HR257" s="147">
        <f t="shared" si="79"/>
        <v>0</v>
      </c>
      <c r="HU257" s="147">
        <f>$HJ257*HC257/(1+'Key assumptions'!G279)^0.75</f>
        <v>0</v>
      </c>
      <c r="HW257" s="216">
        <f t="shared" si="80"/>
        <v>0</v>
      </c>
      <c r="HX257" s="216">
        <f t="shared" si="81"/>
        <v>0</v>
      </c>
      <c r="HY257" s="216">
        <f t="shared" si="82"/>
        <v>0</v>
      </c>
      <c r="HZ257" s="216">
        <f t="shared" si="83"/>
        <v>0</v>
      </c>
      <c r="IA257" s="216">
        <f t="shared" si="84"/>
        <v>0</v>
      </c>
      <c r="IB257" s="216">
        <f t="shared" si="85"/>
        <v>0</v>
      </c>
      <c r="IC257" s="216">
        <f t="shared" si="86"/>
        <v>0</v>
      </c>
      <c r="ID257" s="216">
        <f t="shared" si="87"/>
        <v>0</v>
      </c>
      <c r="IF257" s="216">
        <f t="shared" si="88"/>
        <v>0</v>
      </c>
    </row>
    <row r="258" spans="2:240" x14ac:dyDescent="0.2">
      <c r="B258" s="141"/>
      <c r="C258" s="141"/>
      <c r="D258" s="141"/>
      <c r="E258" s="141"/>
      <c r="F258" s="141"/>
      <c r="G258" s="141"/>
      <c r="H258" s="142"/>
      <c r="I258" s="126"/>
      <c r="J258" s="143"/>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3"/>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c r="EE258" s="145"/>
      <c r="EF258" s="145"/>
      <c r="EG258" s="145"/>
      <c r="EH258" s="145"/>
      <c r="EI258" s="145"/>
      <c r="EJ258" s="145"/>
      <c r="EK258" s="145"/>
      <c r="EL258" s="145"/>
      <c r="EM258" s="145"/>
      <c r="EN258" s="145"/>
      <c r="EO258" s="145"/>
      <c r="EP258" s="145"/>
      <c r="EQ258" s="145"/>
      <c r="ER258" s="145"/>
      <c r="ES258" s="145"/>
      <c r="ET258" s="145"/>
      <c r="EU258" s="145"/>
      <c r="EV258" s="145"/>
      <c r="EW258" s="145"/>
      <c r="EX258" s="145"/>
      <c r="EY258" s="145"/>
      <c r="EZ258" s="145"/>
      <c r="FA258" s="145"/>
      <c r="FB258" s="145"/>
      <c r="FC258" s="145"/>
      <c r="FD258" s="14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3"/>
      <c r="FY258" s="146">
        <f>_xlfn.XLOOKUP($E258,'Key assumptions'!$B$112:$B$120,'Key assumptions'!$C$112:$C$120,0)</f>
        <v>0</v>
      </c>
      <c r="FZ258" s="146" cm="1">
        <f t="array" ref="FZ258">IF($FY258=0,0,_xlfn.IFS($FY258='Key assumptions'!$C$120,_xlfn.XLOOKUP(LEFT(FZ$7,6),Inflation_Year,Inflation_NominaltoReal),TRUE,_xlfn.XLOOKUP($FY258,Inflation_Year,NominaltoReal)))</f>
        <v>0</v>
      </c>
      <c r="GA258" s="146" cm="1">
        <f t="array" ref="GA258">IF($FY258=0,0,_xlfn.IFS($FY258='Key assumptions'!$C$120,_xlfn.XLOOKUP(LEFT(GA$7,6),Inflation_Year,Inflation_NominaltoReal),TRUE,_xlfn.XLOOKUP($FY258,Inflation_Year,NominaltoReal)))</f>
        <v>0</v>
      </c>
      <c r="GB258" s="146" cm="1">
        <f t="array" ref="GB258">IF($FY258=0,0,_xlfn.IFS($FY258='Key assumptions'!$C$120,_xlfn.XLOOKUP(LEFT(GB$7,6),Inflation_Year,Inflation_NominaltoReal),TRUE,_xlfn.XLOOKUP($FY258,Inflation_Year,NominaltoReal)))</f>
        <v>0</v>
      </c>
      <c r="GC258" s="146" cm="1">
        <f t="array" ref="GC258">IF($FY258=0,0,_xlfn.IFS($FY258='Key assumptions'!$C$120,_xlfn.XLOOKUP(LEFT(GC$7,6),Inflation_Year,Inflation_NominaltoReal),TRUE,_xlfn.XLOOKUP($FY258,Inflation_Year,NominaltoReal)))</f>
        <v>0</v>
      </c>
      <c r="GD258" s="146" cm="1">
        <f t="array" ref="GD258">IF($FY258=0,0,_xlfn.IFS($FY258='Key assumptions'!$C$120,_xlfn.XLOOKUP(LEFT(GD$7,6),Inflation_Year,Inflation_NominaltoReal),TRUE,_xlfn.XLOOKUP($FY258,Inflation_Year,NominaltoReal)))</f>
        <v>0</v>
      </c>
      <c r="GE258" s="146" cm="1">
        <f t="array" ref="GE258">IF($FY258=0,0,_xlfn.IFS($FY258='Key assumptions'!$C$120,_xlfn.XLOOKUP(LEFT(GE$7,6),Inflation_Year,Inflation_NominaltoReal),TRUE,_xlfn.XLOOKUP($FY258,Inflation_Year,NominaltoReal)))</f>
        <v>0</v>
      </c>
      <c r="GF258" s="146" cm="1">
        <f t="array" ref="GF258">IF($FY258=0,0,_xlfn.IFS($FY258='Key assumptions'!$C$120,_xlfn.XLOOKUP(LEFT(GF$7,6),Inflation_Year,Inflation_NominaltoReal),TRUE,_xlfn.XLOOKUP($FY258,Inflation_Year,NominaltoReal)))</f>
        <v>0</v>
      </c>
      <c r="GG258" s="143"/>
      <c r="GH258" s="145" cm="1">
        <f t="array" ref="GH258">SUMPRODUCT(--($CR$7:$FW$7&gt;=GH$5),--($CR$7:$FW$7&lt;=GH$6),$CR258:$FW258)*FZ258</f>
        <v>0</v>
      </c>
      <c r="GI258" s="145" cm="1">
        <f t="array" ref="GI258">SUMPRODUCT(--($CR$7:$FW$7&gt;=GI$5),--($CR$7:$FW$7&lt;=GI$6),$CR258:$FW258)*GA258</f>
        <v>0</v>
      </c>
      <c r="GJ258" s="145" cm="1">
        <f t="array" ref="GJ258">SUMPRODUCT(--($CR$7:$FW$7&gt;=GJ$5),--($CR$7:$FW$7&lt;=GJ$6),$CR258:$FW258)*GB258</f>
        <v>0</v>
      </c>
      <c r="GK258" s="145" cm="1">
        <f t="array" ref="GK258">SUMPRODUCT(--($CR$7:$FW$7&gt;=GK$5),--($CR$7:$FW$7&lt;=GK$6),$CR258:$FW258)*GC258</f>
        <v>0</v>
      </c>
      <c r="GL258" s="145" cm="1">
        <f t="array" ref="GL258">SUMPRODUCT(--($CR$7:$FW$7&gt;=GL$5),--($CR$7:$FW$7&lt;=GL$6),$CR258:$FW258)*GD258</f>
        <v>0</v>
      </c>
      <c r="GM258" s="145" cm="1">
        <f t="array" ref="GM258">SUMPRODUCT(--($CR$7:$FW$7&gt;=GM$5),--($CR$7:$FW$7&lt;=GM$6),$CR258:$FW258)*GE258</f>
        <v>0</v>
      </c>
      <c r="GN258" s="145" cm="1">
        <f t="array" ref="GN258">SUMPRODUCT(--($CR$7:$FW$7&gt;=GN$5),--($CR$7:$FW$7&lt;=GN$6),$CR258:$FW258)*GF258</f>
        <v>0</v>
      </c>
      <c r="GO258" s="145">
        <f t="shared" si="69"/>
        <v>0</v>
      </c>
      <c r="GP258" s="87"/>
      <c r="GR258" s="145" cm="1">
        <f t="array" ref="GR258">SUMPRODUCT(--($CR$7:$FW$7&gt;=GR$5),--($CR$7:$FW$7&lt;=GR$6),$CR258:$FW258)</f>
        <v>0</v>
      </c>
      <c r="GT258" s="214" cm="1">
        <f t="array" ref="GT258">--AND(MIN(IF($K258:$CP258&lt;&gt;0,$K$7:$CP$7))&gt;=GT$5,MIN(IF($K258:$CP258&lt;&gt;0,$K$7:$CP$7))&lt;=GT$6)</f>
        <v>0</v>
      </c>
      <c r="GU258" s="214" cm="1">
        <f t="array" ref="GU258">--AND(MIN(IF($K258:$CP258&lt;&gt;0,$K$7:$CP$7))&gt;=GU$5,MIN(IF($K258:$CP258&lt;&gt;0,$K$7:$CP$7))&lt;=GU$6)</f>
        <v>0</v>
      </c>
      <c r="GV258" s="214" cm="1">
        <f t="array" ref="GV258">--AND(MIN(IF($K258:$CP258&lt;&gt;0,$K$7:$CP$7))&gt;=GV$5,MIN(IF($K258:$CP258&lt;&gt;0,$K$7:$CP$7))&lt;=GV$6)</f>
        <v>0</v>
      </c>
      <c r="GW258" s="214" cm="1">
        <f t="array" ref="GW258">--AND(MIN(IF($K258:$CP258&lt;&gt;0,$K$7:$CP$7))&gt;=GW$5,MIN(IF($K258:$CP258&lt;&gt;0,$K$7:$CP$7))&lt;=GW$6)</f>
        <v>0</v>
      </c>
      <c r="GX258" s="214" cm="1">
        <f t="array" ref="GX258">--AND(MIN(IF($K258:$CP258&lt;&gt;0,$K$7:$CP$7))&gt;=GX$5,MIN(IF($K258:$CP258&lt;&gt;0,$K$7:$CP$7))&lt;=GX$6)</f>
        <v>0</v>
      </c>
      <c r="GY258" s="214" cm="1">
        <f t="array" ref="GY258">--AND(MIN(IF($K258:$CP258&lt;&gt;0,$K$7:$CP$7))&gt;=GY$5,MIN(IF($K258:$CP258&lt;&gt;0,$K$7:$CP$7))&lt;=GY$6)</f>
        <v>0</v>
      </c>
      <c r="GZ258" s="214" cm="1">
        <f t="array" ref="GZ258">--AND(MIN(IF($K258:$CP258&lt;&gt;0,$K$7:$CP$7))&gt;=GZ$5,MIN(IF($K258:$CP258&lt;&gt;0,$K$7:$CP$7))&lt;=GZ$6)</f>
        <v>0</v>
      </c>
      <c r="HA258" s="214">
        <f t="shared" si="70"/>
        <v>0</v>
      </c>
      <c r="HC258" s="214" cm="1">
        <f t="array" ref="HC258">--AND(MIN(IF($K258:$CP258&lt;&gt;0,$K$7:$CP$7))&gt;=HC$5,MIN(IF($K258:$CP258&lt;&gt;0,$K$7:$CP$7))&lt;=HC$6)</f>
        <v>0</v>
      </c>
      <c r="HE258" s="147" t="str">
        <f t="shared" si="89"/>
        <v>No</v>
      </c>
      <c r="HF258" s="147" t="str">
        <f t="shared" si="90"/>
        <v>No</v>
      </c>
      <c r="HG258" s="147">
        <f>IF($HF258="Yes",0,$H258*avg_hrs*12*'Key assumptions'!$D$87)</f>
        <v>0</v>
      </c>
      <c r="HH258" s="147">
        <f>IF(HE258="Yes",'Key assumptions'!$D$84*HG258,0)</f>
        <v>0</v>
      </c>
      <c r="HI258" s="144">
        <f>IFERROR(AVERAGEIFS($K258:$CP258,$K$7:$CP$7,"&gt;="&amp;'Key assumptions'!$D$24,$K$7:$CP$7,"&lt;="&amp;'Key assumptions'!$D$25),0)</f>
        <v>0</v>
      </c>
      <c r="HJ258" s="148">
        <f t="shared" si="91"/>
        <v>0</v>
      </c>
      <c r="HK258" s="148">
        <f t="shared" si="72"/>
        <v>0</v>
      </c>
      <c r="HL258" s="148">
        <f t="shared" si="73"/>
        <v>0</v>
      </c>
      <c r="HM258" s="148">
        <f t="shared" si="74"/>
        <v>0</v>
      </c>
      <c r="HN258" s="148">
        <f t="shared" si="75"/>
        <v>0</v>
      </c>
      <c r="HO258" s="148">
        <f t="shared" si="76"/>
        <v>0</v>
      </c>
      <c r="HP258" s="148">
        <f t="shared" si="77"/>
        <v>0</v>
      </c>
      <c r="HQ258" s="148">
        <f t="shared" si="78"/>
        <v>0</v>
      </c>
      <c r="HR258" s="147">
        <f t="shared" si="79"/>
        <v>0</v>
      </c>
      <c r="HU258" s="147">
        <f>$HJ258*HC258/(1+'Key assumptions'!G280)^0.75</f>
        <v>0</v>
      </c>
      <c r="HW258" s="216">
        <f t="shared" si="80"/>
        <v>0</v>
      </c>
      <c r="HX258" s="216">
        <f t="shared" si="81"/>
        <v>0</v>
      </c>
      <c r="HY258" s="216">
        <f t="shared" si="82"/>
        <v>0</v>
      </c>
      <c r="HZ258" s="216">
        <f t="shared" si="83"/>
        <v>0</v>
      </c>
      <c r="IA258" s="216">
        <f t="shared" si="84"/>
        <v>0</v>
      </c>
      <c r="IB258" s="216">
        <f t="shared" si="85"/>
        <v>0</v>
      </c>
      <c r="IC258" s="216">
        <f t="shared" si="86"/>
        <v>0</v>
      </c>
      <c r="ID258" s="216">
        <f t="shared" si="87"/>
        <v>0</v>
      </c>
      <c r="IF258" s="216">
        <f t="shared" si="88"/>
        <v>0</v>
      </c>
    </row>
    <row r="259" spans="2:240" x14ac:dyDescent="0.2">
      <c r="B259" s="141"/>
      <c r="C259" s="141"/>
      <c r="D259" s="141"/>
      <c r="E259" s="141"/>
      <c r="F259" s="141"/>
      <c r="G259" s="141"/>
      <c r="H259" s="142"/>
      <c r="I259" s="126"/>
      <c r="J259" s="143"/>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3"/>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145"/>
      <c r="EH259" s="145"/>
      <c r="EI259" s="145"/>
      <c r="EJ259" s="145"/>
      <c r="EK259" s="145"/>
      <c r="EL259" s="145"/>
      <c r="EM259" s="145"/>
      <c r="EN259" s="145"/>
      <c r="EO259" s="145"/>
      <c r="EP259" s="145"/>
      <c r="EQ259" s="145"/>
      <c r="ER259" s="145"/>
      <c r="ES259" s="145"/>
      <c r="ET259" s="145"/>
      <c r="EU259" s="145"/>
      <c r="EV259" s="145"/>
      <c r="EW259" s="145"/>
      <c r="EX259" s="145"/>
      <c r="EY259" s="145"/>
      <c r="EZ259" s="145"/>
      <c r="FA259" s="145"/>
      <c r="FB259" s="145"/>
      <c r="FC259" s="145"/>
      <c r="FD259" s="145"/>
      <c r="FE259" s="145"/>
      <c r="FF259" s="145"/>
      <c r="FG259" s="145"/>
      <c r="FH259" s="145"/>
      <c r="FI259" s="145"/>
      <c r="FJ259" s="145"/>
      <c r="FK259" s="145"/>
      <c r="FL259" s="145"/>
      <c r="FM259" s="145"/>
      <c r="FN259" s="145"/>
      <c r="FO259" s="145"/>
      <c r="FP259" s="145"/>
      <c r="FQ259" s="145"/>
      <c r="FR259" s="145"/>
      <c r="FS259" s="145"/>
      <c r="FT259" s="145"/>
      <c r="FU259" s="145"/>
      <c r="FV259" s="145"/>
      <c r="FW259" s="145"/>
      <c r="FX259" s="143"/>
      <c r="FY259" s="146">
        <f>_xlfn.XLOOKUP($E259,'Key assumptions'!$B$112:$B$120,'Key assumptions'!$C$112:$C$120,0)</f>
        <v>0</v>
      </c>
      <c r="FZ259" s="146" cm="1">
        <f t="array" ref="FZ259">IF($FY259=0,0,_xlfn.IFS($FY259='Key assumptions'!$C$120,_xlfn.XLOOKUP(LEFT(FZ$7,6),Inflation_Year,Inflation_NominaltoReal),TRUE,_xlfn.XLOOKUP($FY259,Inflation_Year,NominaltoReal)))</f>
        <v>0</v>
      </c>
      <c r="GA259" s="146" cm="1">
        <f t="array" ref="GA259">IF($FY259=0,0,_xlfn.IFS($FY259='Key assumptions'!$C$120,_xlfn.XLOOKUP(LEFT(GA$7,6),Inflation_Year,Inflation_NominaltoReal),TRUE,_xlfn.XLOOKUP($FY259,Inflation_Year,NominaltoReal)))</f>
        <v>0</v>
      </c>
      <c r="GB259" s="146" cm="1">
        <f t="array" ref="GB259">IF($FY259=0,0,_xlfn.IFS($FY259='Key assumptions'!$C$120,_xlfn.XLOOKUP(LEFT(GB$7,6),Inflation_Year,Inflation_NominaltoReal),TRUE,_xlfn.XLOOKUP($FY259,Inflation_Year,NominaltoReal)))</f>
        <v>0</v>
      </c>
      <c r="GC259" s="146" cm="1">
        <f t="array" ref="GC259">IF($FY259=0,0,_xlfn.IFS($FY259='Key assumptions'!$C$120,_xlfn.XLOOKUP(LEFT(GC$7,6),Inflation_Year,Inflation_NominaltoReal),TRUE,_xlfn.XLOOKUP($FY259,Inflation_Year,NominaltoReal)))</f>
        <v>0</v>
      </c>
      <c r="GD259" s="146" cm="1">
        <f t="array" ref="GD259">IF($FY259=0,0,_xlfn.IFS($FY259='Key assumptions'!$C$120,_xlfn.XLOOKUP(LEFT(GD$7,6),Inflation_Year,Inflation_NominaltoReal),TRUE,_xlfn.XLOOKUP($FY259,Inflation_Year,NominaltoReal)))</f>
        <v>0</v>
      </c>
      <c r="GE259" s="146" cm="1">
        <f t="array" ref="GE259">IF($FY259=0,0,_xlfn.IFS($FY259='Key assumptions'!$C$120,_xlfn.XLOOKUP(LEFT(GE$7,6),Inflation_Year,Inflation_NominaltoReal),TRUE,_xlfn.XLOOKUP($FY259,Inflation_Year,NominaltoReal)))</f>
        <v>0</v>
      </c>
      <c r="GF259" s="146" cm="1">
        <f t="array" ref="GF259">IF($FY259=0,0,_xlfn.IFS($FY259='Key assumptions'!$C$120,_xlfn.XLOOKUP(LEFT(GF$7,6),Inflation_Year,Inflation_NominaltoReal),TRUE,_xlfn.XLOOKUP($FY259,Inflation_Year,NominaltoReal)))</f>
        <v>0</v>
      </c>
      <c r="GG259" s="143"/>
      <c r="GH259" s="145" cm="1">
        <f t="array" ref="GH259">SUMPRODUCT(--($CR$7:$FW$7&gt;=GH$5),--($CR$7:$FW$7&lt;=GH$6),$CR259:$FW259)*FZ259</f>
        <v>0</v>
      </c>
      <c r="GI259" s="145" cm="1">
        <f t="array" ref="GI259">SUMPRODUCT(--($CR$7:$FW$7&gt;=GI$5),--($CR$7:$FW$7&lt;=GI$6),$CR259:$FW259)*GA259</f>
        <v>0</v>
      </c>
      <c r="GJ259" s="145" cm="1">
        <f t="array" ref="GJ259">SUMPRODUCT(--($CR$7:$FW$7&gt;=GJ$5),--($CR$7:$FW$7&lt;=GJ$6),$CR259:$FW259)*GB259</f>
        <v>0</v>
      </c>
      <c r="GK259" s="145" cm="1">
        <f t="array" ref="GK259">SUMPRODUCT(--($CR$7:$FW$7&gt;=GK$5),--($CR$7:$FW$7&lt;=GK$6),$CR259:$FW259)*GC259</f>
        <v>0</v>
      </c>
      <c r="GL259" s="145" cm="1">
        <f t="array" ref="GL259">SUMPRODUCT(--($CR$7:$FW$7&gt;=GL$5),--($CR$7:$FW$7&lt;=GL$6),$CR259:$FW259)*GD259</f>
        <v>0</v>
      </c>
      <c r="GM259" s="145" cm="1">
        <f t="array" ref="GM259">SUMPRODUCT(--($CR$7:$FW$7&gt;=GM$5),--($CR$7:$FW$7&lt;=GM$6),$CR259:$FW259)*GE259</f>
        <v>0</v>
      </c>
      <c r="GN259" s="145" cm="1">
        <f t="array" ref="GN259">SUMPRODUCT(--($CR$7:$FW$7&gt;=GN$5),--($CR$7:$FW$7&lt;=GN$6),$CR259:$FW259)*GF259</f>
        <v>0</v>
      </c>
      <c r="GO259" s="145">
        <f t="shared" si="69"/>
        <v>0</v>
      </c>
      <c r="GP259" s="87"/>
      <c r="GR259" s="145" cm="1">
        <f t="array" ref="GR259">SUMPRODUCT(--($CR$7:$FW$7&gt;=GR$5),--($CR$7:$FW$7&lt;=GR$6),$CR259:$FW259)</f>
        <v>0</v>
      </c>
      <c r="GT259" s="214" cm="1">
        <f t="array" ref="GT259">--AND(MIN(IF($K259:$CP259&lt;&gt;0,$K$7:$CP$7))&gt;=GT$5,MIN(IF($K259:$CP259&lt;&gt;0,$K$7:$CP$7))&lt;=GT$6)</f>
        <v>0</v>
      </c>
      <c r="GU259" s="214" cm="1">
        <f t="array" ref="GU259">--AND(MIN(IF($K259:$CP259&lt;&gt;0,$K$7:$CP$7))&gt;=GU$5,MIN(IF($K259:$CP259&lt;&gt;0,$K$7:$CP$7))&lt;=GU$6)</f>
        <v>0</v>
      </c>
      <c r="GV259" s="214" cm="1">
        <f t="array" ref="GV259">--AND(MIN(IF($K259:$CP259&lt;&gt;0,$K$7:$CP$7))&gt;=GV$5,MIN(IF($K259:$CP259&lt;&gt;0,$K$7:$CP$7))&lt;=GV$6)</f>
        <v>0</v>
      </c>
      <c r="GW259" s="214" cm="1">
        <f t="array" ref="GW259">--AND(MIN(IF($K259:$CP259&lt;&gt;0,$K$7:$CP$7))&gt;=GW$5,MIN(IF($K259:$CP259&lt;&gt;0,$K$7:$CP$7))&lt;=GW$6)</f>
        <v>0</v>
      </c>
      <c r="GX259" s="214" cm="1">
        <f t="array" ref="GX259">--AND(MIN(IF($K259:$CP259&lt;&gt;0,$K$7:$CP$7))&gt;=GX$5,MIN(IF($K259:$CP259&lt;&gt;0,$K$7:$CP$7))&lt;=GX$6)</f>
        <v>0</v>
      </c>
      <c r="GY259" s="214" cm="1">
        <f t="array" ref="GY259">--AND(MIN(IF($K259:$CP259&lt;&gt;0,$K$7:$CP$7))&gt;=GY$5,MIN(IF($K259:$CP259&lt;&gt;0,$K$7:$CP$7))&lt;=GY$6)</f>
        <v>0</v>
      </c>
      <c r="GZ259" s="214" cm="1">
        <f t="array" ref="GZ259">--AND(MIN(IF($K259:$CP259&lt;&gt;0,$K$7:$CP$7))&gt;=GZ$5,MIN(IF($K259:$CP259&lt;&gt;0,$K$7:$CP$7))&lt;=GZ$6)</f>
        <v>0</v>
      </c>
      <c r="HA259" s="214">
        <f t="shared" si="70"/>
        <v>0</v>
      </c>
      <c r="HC259" s="214" cm="1">
        <f t="array" ref="HC259">--AND(MIN(IF($K259:$CP259&lt;&gt;0,$K$7:$CP$7))&gt;=HC$5,MIN(IF($K259:$CP259&lt;&gt;0,$K$7:$CP$7))&lt;=HC$6)</f>
        <v>0</v>
      </c>
      <c r="HE259" s="147" t="str">
        <f t="shared" si="89"/>
        <v>No</v>
      </c>
      <c r="HF259" s="147" t="str">
        <f t="shared" si="90"/>
        <v>No</v>
      </c>
      <c r="HG259" s="147">
        <f>IF($HF259="Yes",0,$H259*avg_hrs*12*'Key assumptions'!$D$87)</f>
        <v>0</v>
      </c>
      <c r="HH259" s="147">
        <f>IF(HE259="Yes",'Key assumptions'!$D$84*HG259,0)</f>
        <v>0</v>
      </c>
      <c r="HI259" s="144">
        <f>IFERROR(AVERAGEIFS($K259:$CP259,$K$7:$CP$7,"&gt;="&amp;'Key assumptions'!$D$24,$K$7:$CP$7,"&lt;="&amp;'Key assumptions'!$D$25),0)</f>
        <v>0</v>
      </c>
      <c r="HJ259" s="148">
        <f t="shared" si="91"/>
        <v>0</v>
      </c>
      <c r="HK259" s="148">
        <f t="shared" si="72"/>
        <v>0</v>
      </c>
      <c r="HL259" s="148">
        <f t="shared" si="73"/>
        <v>0</v>
      </c>
      <c r="HM259" s="148">
        <f t="shared" si="74"/>
        <v>0</v>
      </c>
      <c r="HN259" s="148">
        <f t="shared" si="75"/>
        <v>0</v>
      </c>
      <c r="HO259" s="148">
        <f t="shared" si="76"/>
        <v>0</v>
      </c>
      <c r="HP259" s="148">
        <f t="shared" si="77"/>
        <v>0</v>
      </c>
      <c r="HQ259" s="148">
        <f t="shared" si="78"/>
        <v>0</v>
      </c>
      <c r="HR259" s="147">
        <f t="shared" si="79"/>
        <v>0</v>
      </c>
      <c r="HU259" s="147">
        <f>$HJ259*HC259/(1+'Key assumptions'!G281)^0.75</f>
        <v>0</v>
      </c>
      <c r="HW259" s="216">
        <f t="shared" si="80"/>
        <v>0</v>
      </c>
      <c r="HX259" s="216">
        <f t="shared" si="81"/>
        <v>0</v>
      </c>
      <c r="HY259" s="216">
        <f t="shared" si="82"/>
        <v>0</v>
      </c>
      <c r="HZ259" s="216">
        <f t="shared" si="83"/>
        <v>0</v>
      </c>
      <c r="IA259" s="216">
        <f t="shared" si="84"/>
        <v>0</v>
      </c>
      <c r="IB259" s="216">
        <f t="shared" si="85"/>
        <v>0</v>
      </c>
      <c r="IC259" s="216">
        <f t="shared" si="86"/>
        <v>0</v>
      </c>
      <c r="ID259" s="216">
        <f t="shared" si="87"/>
        <v>0</v>
      </c>
      <c r="IF259" s="216">
        <f t="shared" si="88"/>
        <v>0</v>
      </c>
    </row>
    <row r="260" spans="2:240" x14ac:dyDescent="0.2">
      <c r="B260" s="141"/>
      <c r="C260" s="141"/>
      <c r="D260" s="141"/>
      <c r="E260" s="141"/>
      <c r="F260" s="141"/>
      <c r="G260" s="141"/>
      <c r="H260" s="142"/>
      <c r="I260" s="126"/>
      <c r="J260" s="143"/>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3"/>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145"/>
      <c r="EH260" s="145"/>
      <c r="EI260" s="145"/>
      <c r="EJ260" s="145"/>
      <c r="EK260" s="145"/>
      <c r="EL260" s="145"/>
      <c r="EM260" s="145"/>
      <c r="EN260" s="145"/>
      <c r="EO260" s="145"/>
      <c r="EP260" s="145"/>
      <c r="EQ260" s="145"/>
      <c r="ER260" s="145"/>
      <c r="ES260" s="145"/>
      <c r="ET260" s="145"/>
      <c r="EU260" s="145"/>
      <c r="EV260" s="145"/>
      <c r="EW260" s="145"/>
      <c r="EX260" s="145"/>
      <c r="EY260" s="145"/>
      <c r="EZ260" s="145"/>
      <c r="FA260" s="145"/>
      <c r="FB260" s="145"/>
      <c r="FC260" s="145"/>
      <c r="FD260" s="145"/>
      <c r="FE260" s="145"/>
      <c r="FF260" s="145"/>
      <c r="FG260" s="145"/>
      <c r="FH260" s="145"/>
      <c r="FI260" s="145"/>
      <c r="FJ260" s="145"/>
      <c r="FK260" s="145"/>
      <c r="FL260" s="145"/>
      <c r="FM260" s="145"/>
      <c r="FN260" s="145"/>
      <c r="FO260" s="145"/>
      <c r="FP260" s="145"/>
      <c r="FQ260" s="145"/>
      <c r="FR260" s="145"/>
      <c r="FS260" s="145"/>
      <c r="FT260" s="145"/>
      <c r="FU260" s="145"/>
      <c r="FV260" s="145"/>
      <c r="FW260" s="145"/>
      <c r="FX260" s="143"/>
      <c r="FY260" s="146">
        <f>_xlfn.XLOOKUP($E260,'Key assumptions'!$B$112:$B$120,'Key assumptions'!$C$112:$C$120,0)</f>
        <v>0</v>
      </c>
      <c r="FZ260" s="146" cm="1">
        <f t="array" ref="FZ260">IF($FY260=0,0,_xlfn.IFS($FY260='Key assumptions'!$C$120,_xlfn.XLOOKUP(LEFT(FZ$7,6),Inflation_Year,Inflation_NominaltoReal),TRUE,_xlfn.XLOOKUP($FY260,Inflation_Year,NominaltoReal)))</f>
        <v>0</v>
      </c>
      <c r="GA260" s="146" cm="1">
        <f t="array" ref="GA260">IF($FY260=0,0,_xlfn.IFS($FY260='Key assumptions'!$C$120,_xlfn.XLOOKUP(LEFT(GA$7,6),Inflation_Year,Inflation_NominaltoReal),TRUE,_xlfn.XLOOKUP($FY260,Inflation_Year,NominaltoReal)))</f>
        <v>0</v>
      </c>
      <c r="GB260" s="146" cm="1">
        <f t="array" ref="GB260">IF($FY260=0,0,_xlfn.IFS($FY260='Key assumptions'!$C$120,_xlfn.XLOOKUP(LEFT(GB$7,6),Inflation_Year,Inflation_NominaltoReal),TRUE,_xlfn.XLOOKUP($FY260,Inflation_Year,NominaltoReal)))</f>
        <v>0</v>
      </c>
      <c r="GC260" s="146" cm="1">
        <f t="array" ref="GC260">IF($FY260=0,0,_xlfn.IFS($FY260='Key assumptions'!$C$120,_xlfn.XLOOKUP(LEFT(GC$7,6),Inflation_Year,Inflation_NominaltoReal),TRUE,_xlfn.XLOOKUP($FY260,Inflation_Year,NominaltoReal)))</f>
        <v>0</v>
      </c>
      <c r="GD260" s="146" cm="1">
        <f t="array" ref="GD260">IF($FY260=0,0,_xlfn.IFS($FY260='Key assumptions'!$C$120,_xlfn.XLOOKUP(LEFT(GD$7,6),Inflation_Year,Inflation_NominaltoReal),TRUE,_xlfn.XLOOKUP($FY260,Inflation_Year,NominaltoReal)))</f>
        <v>0</v>
      </c>
      <c r="GE260" s="146" cm="1">
        <f t="array" ref="GE260">IF($FY260=0,0,_xlfn.IFS($FY260='Key assumptions'!$C$120,_xlfn.XLOOKUP(LEFT(GE$7,6),Inflation_Year,Inflation_NominaltoReal),TRUE,_xlfn.XLOOKUP($FY260,Inflation_Year,NominaltoReal)))</f>
        <v>0</v>
      </c>
      <c r="GF260" s="146" cm="1">
        <f t="array" ref="GF260">IF($FY260=0,0,_xlfn.IFS($FY260='Key assumptions'!$C$120,_xlfn.XLOOKUP(LEFT(GF$7,6),Inflation_Year,Inflation_NominaltoReal),TRUE,_xlfn.XLOOKUP($FY260,Inflation_Year,NominaltoReal)))</f>
        <v>0</v>
      </c>
      <c r="GG260" s="143"/>
      <c r="GH260" s="145" cm="1">
        <f t="array" ref="GH260">SUMPRODUCT(--($CR$7:$FW$7&gt;=GH$5),--($CR$7:$FW$7&lt;=GH$6),$CR260:$FW260)*FZ260</f>
        <v>0</v>
      </c>
      <c r="GI260" s="145" cm="1">
        <f t="array" ref="GI260">SUMPRODUCT(--($CR$7:$FW$7&gt;=GI$5),--($CR$7:$FW$7&lt;=GI$6),$CR260:$FW260)*GA260</f>
        <v>0</v>
      </c>
      <c r="GJ260" s="145" cm="1">
        <f t="array" ref="GJ260">SUMPRODUCT(--($CR$7:$FW$7&gt;=GJ$5),--($CR$7:$FW$7&lt;=GJ$6),$CR260:$FW260)*GB260</f>
        <v>0</v>
      </c>
      <c r="GK260" s="145" cm="1">
        <f t="array" ref="GK260">SUMPRODUCT(--($CR$7:$FW$7&gt;=GK$5),--($CR$7:$FW$7&lt;=GK$6),$CR260:$FW260)*GC260</f>
        <v>0</v>
      </c>
      <c r="GL260" s="145" cm="1">
        <f t="array" ref="GL260">SUMPRODUCT(--($CR$7:$FW$7&gt;=GL$5),--($CR$7:$FW$7&lt;=GL$6),$CR260:$FW260)*GD260</f>
        <v>0</v>
      </c>
      <c r="GM260" s="145" cm="1">
        <f t="array" ref="GM260">SUMPRODUCT(--($CR$7:$FW$7&gt;=GM$5),--($CR$7:$FW$7&lt;=GM$6),$CR260:$FW260)*GE260</f>
        <v>0</v>
      </c>
      <c r="GN260" s="145" cm="1">
        <f t="array" ref="GN260">SUMPRODUCT(--($CR$7:$FW$7&gt;=GN$5),--($CR$7:$FW$7&lt;=GN$6),$CR260:$FW260)*GF260</f>
        <v>0</v>
      </c>
      <c r="GO260" s="145">
        <f t="shared" si="69"/>
        <v>0</v>
      </c>
      <c r="GP260" s="87"/>
      <c r="GR260" s="145" cm="1">
        <f t="array" ref="GR260">SUMPRODUCT(--($CR$7:$FW$7&gt;=GR$5),--($CR$7:$FW$7&lt;=GR$6),$CR260:$FW260)</f>
        <v>0</v>
      </c>
      <c r="GT260" s="214" cm="1">
        <f t="array" ref="GT260">--AND(MIN(IF($K260:$CP260&lt;&gt;0,$K$7:$CP$7))&gt;=GT$5,MIN(IF($K260:$CP260&lt;&gt;0,$K$7:$CP$7))&lt;=GT$6)</f>
        <v>0</v>
      </c>
      <c r="GU260" s="214" cm="1">
        <f t="array" ref="GU260">--AND(MIN(IF($K260:$CP260&lt;&gt;0,$K$7:$CP$7))&gt;=GU$5,MIN(IF($K260:$CP260&lt;&gt;0,$K$7:$CP$7))&lt;=GU$6)</f>
        <v>0</v>
      </c>
      <c r="GV260" s="214" cm="1">
        <f t="array" ref="GV260">--AND(MIN(IF($K260:$CP260&lt;&gt;0,$K$7:$CP$7))&gt;=GV$5,MIN(IF($K260:$CP260&lt;&gt;0,$K$7:$CP$7))&lt;=GV$6)</f>
        <v>0</v>
      </c>
      <c r="GW260" s="214" cm="1">
        <f t="array" ref="GW260">--AND(MIN(IF($K260:$CP260&lt;&gt;0,$K$7:$CP$7))&gt;=GW$5,MIN(IF($K260:$CP260&lt;&gt;0,$K$7:$CP$7))&lt;=GW$6)</f>
        <v>0</v>
      </c>
      <c r="GX260" s="214" cm="1">
        <f t="array" ref="GX260">--AND(MIN(IF($K260:$CP260&lt;&gt;0,$K$7:$CP$7))&gt;=GX$5,MIN(IF($K260:$CP260&lt;&gt;0,$K$7:$CP$7))&lt;=GX$6)</f>
        <v>0</v>
      </c>
      <c r="GY260" s="214" cm="1">
        <f t="array" ref="GY260">--AND(MIN(IF($K260:$CP260&lt;&gt;0,$K$7:$CP$7))&gt;=GY$5,MIN(IF($K260:$CP260&lt;&gt;0,$K$7:$CP$7))&lt;=GY$6)</f>
        <v>0</v>
      </c>
      <c r="GZ260" s="214" cm="1">
        <f t="array" ref="GZ260">--AND(MIN(IF($K260:$CP260&lt;&gt;0,$K$7:$CP$7))&gt;=GZ$5,MIN(IF($K260:$CP260&lt;&gt;0,$K$7:$CP$7))&lt;=GZ$6)</f>
        <v>0</v>
      </c>
      <c r="HA260" s="214">
        <f t="shared" si="70"/>
        <v>0</v>
      </c>
      <c r="HC260" s="214" cm="1">
        <f t="array" ref="HC260">--AND(MIN(IF($K260:$CP260&lt;&gt;0,$K$7:$CP$7))&gt;=HC$5,MIN(IF($K260:$CP260&lt;&gt;0,$K$7:$CP$7))&lt;=HC$6)</f>
        <v>0</v>
      </c>
      <c r="HE260" s="147" t="str">
        <f t="shared" si="89"/>
        <v>No</v>
      </c>
      <c r="HF260" s="147" t="str">
        <f t="shared" si="90"/>
        <v>No</v>
      </c>
      <c r="HG260" s="147">
        <f>IF($HF260="Yes",0,$H260*avg_hrs*12*'Key assumptions'!$D$87)</f>
        <v>0</v>
      </c>
      <c r="HH260" s="147">
        <f>IF(HE260="Yes",'Key assumptions'!$D$84*HG260,0)</f>
        <v>0</v>
      </c>
      <c r="HI260" s="144">
        <f>IFERROR(AVERAGEIFS($K260:$CP260,$K$7:$CP$7,"&gt;="&amp;'Key assumptions'!$D$24,$K$7:$CP$7,"&lt;="&amp;'Key assumptions'!$D$25),0)</f>
        <v>0</v>
      </c>
      <c r="HJ260" s="148">
        <f t="shared" si="91"/>
        <v>0</v>
      </c>
      <c r="HK260" s="148">
        <f t="shared" si="72"/>
        <v>0</v>
      </c>
      <c r="HL260" s="148">
        <f t="shared" si="73"/>
        <v>0</v>
      </c>
      <c r="HM260" s="148">
        <f t="shared" si="74"/>
        <v>0</v>
      </c>
      <c r="HN260" s="148">
        <f t="shared" si="75"/>
        <v>0</v>
      </c>
      <c r="HO260" s="148">
        <f t="shared" si="76"/>
        <v>0</v>
      </c>
      <c r="HP260" s="148">
        <f t="shared" si="77"/>
        <v>0</v>
      </c>
      <c r="HQ260" s="148">
        <f t="shared" si="78"/>
        <v>0</v>
      </c>
      <c r="HR260" s="147">
        <f t="shared" si="79"/>
        <v>0</v>
      </c>
      <c r="HU260" s="147">
        <f>$HJ260*HC260/(1+'Key assumptions'!G282)^0.75</f>
        <v>0</v>
      </c>
      <c r="HW260" s="216">
        <f t="shared" si="80"/>
        <v>0</v>
      </c>
      <c r="HX260" s="216">
        <f t="shared" si="81"/>
        <v>0</v>
      </c>
      <c r="HY260" s="216">
        <f t="shared" si="82"/>
        <v>0</v>
      </c>
      <c r="HZ260" s="216">
        <f t="shared" si="83"/>
        <v>0</v>
      </c>
      <c r="IA260" s="216">
        <f t="shared" si="84"/>
        <v>0</v>
      </c>
      <c r="IB260" s="216">
        <f t="shared" si="85"/>
        <v>0</v>
      </c>
      <c r="IC260" s="216">
        <f t="shared" si="86"/>
        <v>0</v>
      </c>
      <c r="ID260" s="216">
        <f t="shared" si="87"/>
        <v>0</v>
      </c>
      <c r="IF260" s="216">
        <f t="shared" si="88"/>
        <v>0</v>
      </c>
    </row>
    <row r="261" spans="2:240" x14ac:dyDescent="0.2">
      <c r="B261" s="141"/>
      <c r="C261" s="141"/>
      <c r="D261" s="141"/>
      <c r="E261" s="141"/>
      <c r="F261" s="141"/>
      <c r="G261" s="141"/>
      <c r="H261" s="142"/>
      <c r="I261" s="126"/>
      <c r="J261" s="143"/>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3"/>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5"/>
      <c r="EU261" s="145"/>
      <c r="EV261" s="145"/>
      <c r="EW261" s="145"/>
      <c r="EX261" s="145"/>
      <c r="EY261" s="145"/>
      <c r="EZ261" s="145"/>
      <c r="FA261" s="145"/>
      <c r="FB261" s="145"/>
      <c r="FC261" s="145"/>
      <c r="FD261" s="145"/>
      <c r="FE261" s="145"/>
      <c r="FF261" s="145"/>
      <c r="FG261" s="145"/>
      <c r="FH261" s="145"/>
      <c r="FI261" s="145"/>
      <c r="FJ261" s="145"/>
      <c r="FK261" s="145"/>
      <c r="FL261" s="145"/>
      <c r="FM261" s="145"/>
      <c r="FN261" s="145"/>
      <c r="FO261" s="145"/>
      <c r="FP261" s="145"/>
      <c r="FQ261" s="145"/>
      <c r="FR261" s="145"/>
      <c r="FS261" s="145"/>
      <c r="FT261" s="145"/>
      <c r="FU261" s="145"/>
      <c r="FV261" s="145"/>
      <c r="FW261" s="145"/>
      <c r="FX261" s="143"/>
      <c r="FY261" s="146">
        <f>_xlfn.XLOOKUP($E261,'Key assumptions'!$B$112:$B$120,'Key assumptions'!$C$112:$C$120,0)</f>
        <v>0</v>
      </c>
      <c r="FZ261" s="146" cm="1">
        <f t="array" ref="FZ261">IF($FY261=0,0,_xlfn.IFS($FY261='Key assumptions'!$C$120,_xlfn.XLOOKUP(LEFT(FZ$7,6),Inflation_Year,Inflation_NominaltoReal),TRUE,_xlfn.XLOOKUP($FY261,Inflation_Year,NominaltoReal)))</f>
        <v>0</v>
      </c>
      <c r="GA261" s="146" cm="1">
        <f t="array" ref="GA261">IF($FY261=0,0,_xlfn.IFS($FY261='Key assumptions'!$C$120,_xlfn.XLOOKUP(LEFT(GA$7,6),Inflation_Year,Inflation_NominaltoReal),TRUE,_xlfn.XLOOKUP($FY261,Inflation_Year,NominaltoReal)))</f>
        <v>0</v>
      </c>
      <c r="GB261" s="146" cm="1">
        <f t="array" ref="GB261">IF($FY261=0,0,_xlfn.IFS($FY261='Key assumptions'!$C$120,_xlfn.XLOOKUP(LEFT(GB$7,6),Inflation_Year,Inflation_NominaltoReal),TRUE,_xlfn.XLOOKUP($FY261,Inflation_Year,NominaltoReal)))</f>
        <v>0</v>
      </c>
      <c r="GC261" s="146" cm="1">
        <f t="array" ref="GC261">IF($FY261=0,0,_xlfn.IFS($FY261='Key assumptions'!$C$120,_xlfn.XLOOKUP(LEFT(GC$7,6),Inflation_Year,Inflation_NominaltoReal),TRUE,_xlfn.XLOOKUP($FY261,Inflation_Year,NominaltoReal)))</f>
        <v>0</v>
      </c>
      <c r="GD261" s="146" cm="1">
        <f t="array" ref="GD261">IF($FY261=0,0,_xlfn.IFS($FY261='Key assumptions'!$C$120,_xlfn.XLOOKUP(LEFT(GD$7,6),Inflation_Year,Inflation_NominaltoReal),TRUE,_xlfn.XLOOKUP($FY261,Inflation_Year,NominaltoReal)))</f>
        <v>0</v>
      </c>
      <c r="GE261" s="146" cm="1">
        <f t="array" ref="GE261">IF($FY261=0,0,_xlfn.IFS($FY261='Key assumptions'!$C$120,_xlfn.XLOOKUP(LEFT(GE$7,6),Inflation_Year,Inflation_NominaltoReal),TRUE,_xlfn.XLOOKUP($FY261,Inflation_Year,NominaltoReal)))</f>
        <v>0</v>
      </c>
      <c r="GF261" s="146" cm="1">
        <f t="array" ref="GF261">IF($FY261=0,0,_xlfn.IFS($FY261='Key assumptions'!$C$120,_xlfn.XLOOKUP(LEFT(GF$7,6),Inflation_Year,Inflation_NominaltoReal),TRUE,_xlfn.XLOOKUP($FY261,Inflation_Year,NominaltoReal)))</f>
        <v>0</v>
      </c>
      <c r="GG261" s="143"/>
      <c r="GH261" s="145" cm="1">
        <f t="array" ref="GH261">SUMPRODUCT(--($CR$7:$FW$7&gt;=GH$5),--($CR$7:$FW$7&lt;=GH$6),$CR261:$FW261)*FZ261</f>
        <v>0</v>
      </c>
      <c r="GI261" s="145" cm="1">
        <f t="array" ref="GI261">SUMPRODUCT(--($CR$7:$FW$7&gt;=GI$5),--($CR$7:$FW$7&lt;=GI$6),$CR261:$FW261)*GA261</f>
        <v>0</v>
      </c>
      <c r="GJ261" s="145" cm="1">
        <f t="array" ref="GJ261">SUMPRODUCT(--($CR$7:$FW$7&gt;=GJ$5),--($CR$7:$FW$7&lt;=GJ$6),$CR261:$FW261)*GB261</f>
        <v>0</v>
      </c>
      <c r="GK261" s="145" cm="1">
        <f t="array" ref="GK261">SUMPRODUCT(--($CR$7:$FW$7&gt;=GK$5),--($CR$7:$FW$7&lt;=GK$6),$CR261:$FW261)*GC261</f>
        <v>0</v>
      </c>
      <c r="GL261" s="145" cm="1">
        <f t="array" ref="GL261">SUMPRODUCT(--($CR$7:$FW$7&gt;=GL$5),--($CR$7:$FW$7&lt;=GL$6),$CR261:$FW261)*GD261</f>
        <v>0</v>
      </c>
      <c r="GM261" s="145" cm="1">
        <f t="array" ref="GM261">SUMPRODUCT(--($CR$7:$FW$7&gt;=GM$5),--($CR$7:$FW$7&lt;=GM$6),$CR261:$FW261)*GE261</f>
        <v>0</v>
      </c>
      <c r="GN261" s="145" cm="1">
        <f t="array" ref="GN261">SUMPRODUCT(--($CR$7:$FW$7&gt;=GN$5),--($CR$7:$FW$7&lt;=GN$6),$CR261:$FW261)*GF261</f>
        <v>0</v>
      </c>
      <c r="GO261" s="145">
        <f t="shared" si="69"/>
        <v>0</v>
      </c>
      <c r="GP261" s="87"/>
      <c r="GR261" s="145" cm="1">
        <f t="array" ref="GR261">SUMPRODUCT(--($CR$7:$FW$7&gt;=GR$5),--($CR$7:$FW$7&lt;=GR$6),$CR261:$FW261)</f>
        <v>0</v>
      </c>
      <c r="GT261" s="214" cm="1">
        <f t="array" ref="GT261">--AND(MIN(IF($K261:$CP261&lt;&gt;0,$K$7:$CP$7))&gt;=GT$5,MIN(IF($K261:$CP261&lt;&gt;0,$K$7:$CP$7))&lt;=GT$6)</f>
        <v>0</v>
      </c>
      <c r="GU261" s="214" cm="1">
        <f t="array" ref="GU261">--AND(MIN(IF($K261:$CP261&lt;&gt;0,$K$7:$CP$7))&gt;=GU$5,MIN(IF($K261:$CP261&lt;&gt;0,$K$7:$CP$7))&lt;=GU$6)</f>
        <v>0</v>
      </c>
      <c r="GV261" s="214" cm="1">
        <f t="array" ref="GV261">--AND(MIN(IF($K261:$CP261&lt;&gt;0,$K$7:$CP$7))&gt;=GV$5,MIN(IF($K261:$CP261&lt;&gt;0,$K$7:$CP$7))&lt;=GV$6)</f>
        <v>0</v>
      </c>
      <c r="GW261" s="214" cm="1">
        <f t="array" ref="GW261">--AND(MIN(IF($K261:$CP261&lt;&gt;0,$K$7:$CP$7))&gt;=GW$5,MIN(IF($K261:$CP261&lt;&gt;0,$K$7:$CP$7))&lt;=GW$6)</f>
        <v>0</v>
      </c>
      <c r="GX261" s="214" cm="1">
        <f t="array" ref="GX261">--AND(MIN(IF($K261:$CP261&lt;&gt;0,$K$7:$CP$7))&gt;=GX$5,MIN(IF($K261:$CP261&lt;&gt;0,$K$7:$CP$7))&lt;=GX$6)</f>
        <v>0</v>
      </c>
      <c r="GY261" s="214" cm="1">
        <f t="array" ref="GY261">--AND(MIN(IF($K261:$CP261&lt;&gt;0,$K$7:$CP$7))&gt;=GY$5,MIN(IF($K261:$CP261&lt;&gt;0,$K$7:$CP$7))&lt;=GY$6)</f>
        <v>0</v>
      </c>
      <c r="GZ261" s="214" cm="1">
        <f t="array" ref="GZ261">--AND(MIN(IF($K261:$CP261&lt;&gt;0,$K$7:$CP$7))&gt;=GZ$5,MIN(IF($K261:$CP261&lt;&gt;0,$K$7:$CP$7))&lt;=GZ$6)</f>
        <v>0</v>
      </c>
      <c r="HA261" s="214">
        <f t="shared" si="70"/>
        <v>0</v>
      </c>
      <c r="HC261" s="214" cm="1">
        <f t="array" ref="HC261">--AND(MIN(IF($K261:$CP261&lt;&gt;0,$K$7:$CP$7))&gt;=HC$5,MIN(IF($K261:$CP261&lt;&gt;0,$K$7:$CP$7))&lt;=HC$6)</f>
        <v>0</v>
      </c>
      <c r="HE261" s="147" t="str">
        <f t="shared" si="89"/>
        <v>No</v>
      </c>
      <c r="HF261" s="147" t="str">
        <f t="shared" si="90"/>
        <v>No</v>
      </c>
      <c r="HG261" s="147">
        <f>IF($HF261="Yes",0,$H261*avg_hrs*12*'Key assumptions'!$D$87)</f>
        <v>0</v>
      </c>
      <c r="HH261" s="147">
        <f>IF(HE261="Yes",'Key assumptions'!$D$84*HG261,0)</f>
        <v>0</v>
      </c>
      <c r="HI261" s="144">
        <f>IFERROR(AVERAGEIFS($K261:$CP261,$K$7:$CP$7,"&gt;="&amp;'Key assumptions'!$D$24,$K$7:$CP$7,"&lt;="&amp;'Key assumptions'!$D$25),0)</f>
        <v>0</v>
      </c>
      <c r="HJ261" s="148">
        <f t="shared" si="91"/>
        <v>0</v>
      </c>
      <c r="HK261" s="148">
        <f t="shared" si="72"/>
        <v>0</v>
      </c>
      <c r="HL261" s="148">
        <f t="shared" si="73"/>
        <v>0</v>
      </c>
      <c r="HM261" s="148">
        <f t="shared" si="74"/>
        <v>0</v>
      </c>
      <c r="HN261" s="148">
        <f t="shared" si="75"/>
        <v>0</v>
      </c>
      <c r="HO261" s="148">
        <f t="shared" si="76"/>
        <v>0</v>
      </c>
      <c r="HP261" s="148">
        <f t="shared" si="77"/>
        <v>0</v>
      </c>
      <c r="HQ261" s="148">
        <f t="shared" si="78"/>
        <v>0</v>
      </c>
      <c r="HR261" s="147">
        <f t="shared" si="79"/>
        <v>0</v>
      </c>
      <c r="HU261" s="147">
        <f>$HJ261*HC261/(1+'Key assumptions'!G283)^0.75</f>
        <v>0</v>
      </c>
      <c r="HW261" s="216">
        <f t="shared" si="80"/>
        <v>0</v>
      </c>
      <c r="HX261" s="216">
        <f t="shared" si="81"/>
        <v>0</v>
      </c>
      <c r="HY261" s="216">
        <f t="shared" si="82"/>
        <v>0</v>
      </c>
      <c r="HZ261" s="216">
        <f t="shared" si="83"/>
        <v>0</v>
      </c>
      <c r="IA261" s="216">
        <f t="shared" si="84"/>
        <v>0</v>
      </c>
      <c r="IB261" s="216">
        <f t="shared" si="85"/>
        <v>0</v>
      </c>
      <c r="IC261" s="216">
        <f t="shared" si="86"/>
        <v>0</v>
      </c>
      <c r="ID261" s="216">
        <f t="shared" si="87"/>
        <v>0</v>
      </c>
      <c r="IF261" s="216">
        <f t="shared" si="88"/>
        <v>0</v>
      </c>
    </row>
    <row r="262" spans="2:240" x14ac:dyDescent="0.2">
      <c r="B262" s="141"/>
      <c r="C262" s="141"/>
      <c r="D262" s="141"/>
      <c r="E262" s="141"/>
      <c r="F262" s="141"/>
      <c r="G262" s="141"/>
      <c r="H262" s="142"/>
      <c r="I262" s="126"/>
      <c r="J262" s="143"/>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3"/>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c r="EE262" s="145"/>
      <c r="EF262" s="145"/>
      <c r="EG262" s="145"/>
      <c r="EH262" s="145"/>
      <c r="EI262" s="145"/>
      <c r="EJ262" s="145"/>
      <c r="EK262" s="145"/>
      <c r="EL262" s="145"/>
      <c r="EM262" s="145"/>
      <c r="EN262" s="145"/>
      <c r="EO262" s="145"/>
      <c r="EP262" s="145"/>
      <c r="EQ262" s="145"/>
      <c r="ER262" s="145"/>
      <c r="ES262" s="145"/>
      <c r="ET262" s="145"/>
      <c r="EU262" s="145"/>
      <c r="EV262" s="145"/>
      <c r="EW262" s="145"/>
      <c r="EX262" s="145"/>
      <c r="EY262" s="145"/>
      <c r="EZ262" s="145"/>
      <c r="FA262" s="145"/>
      <c r="FB262" s="145"/>
      <c r="FC262" s="145"/>
      <c r="FD262" s="145"/>
      <c r="FE262" s="145"/>
      <c r="FF262" s="145"/>
      <c r="FG262" s="145"/>
      <c r="FH262" s="145"/>
      <c r="FI262" s="145"/>
      <c r="FJ262" s="145"/>
      <c r="FK262" s="145"/>
      <c r="FL262" s="145"/>
      <c r="FM262" s="145"/>
      <c r="FN262" s="145"/>
      <c r="FO262" s="145"/>
      <c r="FP262" s="145"/>
      <c r="FQ262" s="145"/>
      <c r="FR262" s="145"/>
      <c r="FS262" s="145"/>
      <c r="FT262" s="145"/>
      <c r="FU262" s="145"/>
      <c r="FV262" s="145"/>
      <c r="FW262" s="145"/>
      <c r="FX262" s="143"/>
      <c r="FY262" s="146">
        <f>_xlfn.XLOOKUP($E262,'Key assumptions'!$B$112:$B$120,'Key assumptions'!$C$112:$C$120,0)</f>
        <v>0</v>
      </c>
      <c r="FZ262" s="146" cm="1">
        <f t="array" ref="FZ262">IF($FY262=0,0,_xlfn.IFS($FY262='Key assumptions'!$C$120,_xlfn.XLOOKUP(LEFT(FZ$7,6),Inflation_Year,Inflation_NominaltoReal),TRUE,_xlfn.XLOOKUP($FY262,Inflation_Year,NominaltoReal)))</f>
        <v>0</v>
      </c>
      <c r="GA262" s="146" cm="1">
        <f t="array" ref="GA262">IF($FY262=0,0,_xlfn.IFS($FY262='Key assumptions'!$C$120,_xlfn.XLOOKUP(LEFT(GA$7,6),Inflation_Year,Inflation_NominaltoReal),TRUE,_xlfn.XLOOKUP($FY262,Inflation_Year,NominaltoReal)))</f>
        <v>0</v>
      </c>
      <c r="GB262" s="146" cm="1">
        <f t="array" ref="GB262">IF($FY262=0,0,_xlfn.IFS($FY262='Key assumptions'!$C$120,_xlfn.XLOOKUP(LEFT(GB$7,6),Inflation_Year,Inflation_NominaltoReal),TRUE,_xlfn.XLOOKUP($FY262,Inflation_Year,NominaltoReal)))</f>
        <v>0</v>
      </c>
      <c r="GC262" s="146" cm="1">
        <f t="array" ref="GC262">IF($FY262=0,0,_xlfn.IFS($FY262='Key assumptions'!$C$120,_xlfn.XLOOKUP(LEFT(GC$7,6),Inflation_Year,Inflation_NominaltoReal),TRUE,_xlfn.XLOOKUP($FY262,Inflation_Year,NominaltoReal)))</f>
        <v>0</v>
      </c>
      <c r="GD262" s="146" cm="1">
        <f t="array" ref="GD262">IF($FY262=0,0,_xlfn.IFS($FY262='Key assumptions'!$C$120,_xlfn.XLOOKUP(LEFT(GD$7,6),Inflation_Year,Inflation_NominaltoReal),TRUE,_xlfn.XLOOKUP($FY262,Inflation_Year,NominaltoReal)))</f>
        <v>0</v>
      </c>
      <c r="GE262" s="146" cm="1">
        <f t="array" ref="GE262">IF($FY262=0,0,_xlfn.IFS($FY262='Key assumptions'!$C$120,_xlfn.XLOOKUP(LEFT(GE$7,6),Inflation_Year,Inflation_NominaltoReal),TRUE,_xlfn.XLOOKUP($FY262,Inflation_Year,NominaltoReal)))</f>
        <v>0</v>
      </c>
      <c r="GF262" s="146" cm="1">
        <f t="array" ref="GF262">IF($FY262=0,0,_xlfn.IFS($FY262='Key assumptions'!$C$120,_xlfn.XLOOKUP(LEFT(GF$7,6),Inflation_Year,Inflation_NominaltoReal),TRUE,_xlfn.XLOOKUP($FY262,Inflation_Year,NominaltoReal)))</f>
        <v>0</v>
      </c>
      <c r="GG262" s="143"/>
      <c r="GH262" s="145" cm="1">
        <f t="array" ref="GH262">SUMPRODUCT(--($CR$7:$FW$7&gt;=GH$5),--($CR$7:$FW$7&lt;=GH$6),$CR262:$FW262)*FZ262</f>
        <v>0</v>
      </c>
      <c r="GI262" s="145" cm="1">
        <f t="array" ref="GI262">SUMPRODUCT(--($CR$7:$FW$7&gt;=GI$5),--($CR$7:$FW$7&lt;=GI$6),$CR262:$FW262)*GA262</f>
        <v>0</v>
      </c>
      <c r="GJ262" s="145" cm="1">
        <f t="array" ref="GJ262">SUMPRODUCT(--($CR$7:$FW$7&gt;=GJ$5),--($CR$7:$FW$7&lt;=GJ$6),$CR262:$FW262)*GB262</f>
        <v>0</v>
      </c>
      <c r="GK262" s="145" cm="1">
        <f t="array" ref="GK262">SUMPRODUCT(--($CR$7:$FW$7&gt;=GK$5),--($CR$7:$FW$7&lt;=GK$6),$CR262:$FW262)*GC262</f>
        <v>0</v>
      </c>
      <c r="GL262" s="145" cm="1">
        <f t="array" ref="GL262">SUMPRODUCT(--($CR$7:$FW$7&gt;=GL$5),--($CR$7:$FW$7&lt;=GL$6),$CR262:$FW262)*GD262</f>
        <v>0</v>
      </c>
      <c r="GM262" s="145" cm="1">
        <f t="array" ref="GM262">SUMPRODUCT(--($CR$7:$FW$7&gt;=GM$5),--($CR$7:$FW$7&lt;=GM$6),$CR262:$FW262)*GE262</f>
        <v>0</v>
      </c>
      <c r="GN262" s="145" cm="1">
        <f t="array" ref="GN262">SUMPRODUCT(--($CR$7:$FW$7&gt;=GN$5),--($CR$7:$FW$7&lt;=GN$6),$CR262:$FW262)*GF262</f>
        <v>0</v>
      </c>
      <c r="GO262" s="145">
        <f t="shared" si="69"/>
        <v>0</v>
      </c>
      <c r="GP262" s="87"/>
      <c r="GR262" s="145" cm="1">
        <f t="array" ref="GR262">SUMPRODUCT(--($CR$7:$FW$7&gt;=GR$5),--($CR$7:$FW$7&lt;=GR$6),$CR262:$FW262)</f>
        <v>0</v>
      </c>
      <c r="GT262" s="214" cm="1">
        <f t="array" ref="GT262">--AND(MIN(IF($K262:$CP262&lt;&gt;0,$K$7:$CP$7))&gt;=GT$5,MIN(IF($K262:$CP262&lt;&gt;0,$K$7:$CP$7))&lt;=GT$6)</f>
        <v>0</v>
      </c>
      <c r="GU262" s="214" cm="1">
        <f t="array" ref="GU262">--AND(MIN(IF($K262:$CP262&lt;&gt;0,$K$7:$CP$7))&gt;=GU$5,MIN(IF($K262:$CP262&lt;&gt;0,$K$7:$CP$7))&lt;=GU$6)</f>
        <v>0</v>
      </c>
      <c r="GV262" s="214" cm="1">
        <f t="array" ref="GV262">--AND(MIN(IF($K262:$CP262&lt;&gt;0,$K$7:$CP$7))&gt;=GV$5,MIN(IF($K262:$CP262&lt;&gt;0,$K$7:$CP$7))&lt;=GV$6)</f>
        <v>0</v>
      </c>
      <c r="GW262" s="214" cm="1">
        <f t="array" ref="GW262">--AND(MIN(IF($K262:$CP262&lt;&gt;0,$K$7:$CP$7))&gt;=GW$5,MIN(IF($K262:$CP262&lt;&gt;0,$K$7:$CP$7))&lt;=GW$6)</f>
        <v>0</v>
      </c>
      <c r="GX262" s="214" cm="1">
        <f t="array" ref="GX262">--AND(MIN(IF($K262:$CP262&lt;&gt;0,$K$7:$CP$7))&gt;=GX$5,MIN(IF($K262:$CP262&lt;&gt;0,$K$7:$CP$7))&lt;=GX$6)</f>
        <v>0</v>
      </c>
      <c r="GY262" s="214" cm="1">
        <f t="array" ref="GY262">--AND(MIN(IF($K262:$CP262&lt;&gt;0,$K$7:$CP$7))&gt;=GY$5,MIN(IF($K262:$CP262&lt;&gt;0,$K$7:$CP$7))&lt;=GY$6)</f>
        <v>0</v>
      </c>
      <c r="GZ262" s="214" cm="1">
        <f t="array" ref="GZ262">--AND(MIN(IF($K262:$CP262&lt;&gt;0,$K$7:$CP$7))&gt;=GZ$5,MIN(IF($K262:$CP262&lt;&gt;0,$K$7:$CP$7))&lt;=GZ$6)</f>
        <v>0</v>
      </c>
      <c r="HA262" s="214">
        <f t="shared" si="70"/>
        <v>0</v>
      </c>
      <c r="HC262" s="214" cm="1">
        <f t="array" ref="HC262">--AND(MIN(IF($K262:$CP262&lt;&gt;0,$K$7:$CP$7))&gt;=HC$5,MIN(IF($K262:$CP262&lt;&gt;0,$K$7:$CP$7))&lt;=HC$6)</f>
        <v>0</v>
      </c>
      <c r="HE262" s="147" t="str">
        <f t="shared" si="89"/>
        <v>No</v>
      </c>
      <c r="HF262" s="147" t="str">
        <f t="shared" si="90"/>
        <v>No</v>
      </c>
      <c r="HG262" s="147">
        <f>IF($HF262="Yes",0,$H262*avg_hrs*12*'Key assumptions'!$D$87)</f>
        <v>0</v>
      </c>
      <c r="HH262" s="147">
        <f>IF(HE262="Yes",'Key assumptions'!$D$84*HG262,0)</f>
        <v>0</v>
      </c>
      <c r="HI262" s="144">
        <f>IFERROR(AVERAGEIFS($K262:$CP262,$K$7:$CP$7,"&gt;="&amp;'Key assumptions'!$D$24,$K$7:$CP$7,"&lt;="&amp;'Key assumptions'!$D$25),0)</f>
        <v>0</v>
      </c>
      <c r="HJ262" s="148">
        <f t="shared" si="91"/>
        <v>0</v>
      </c>
      <c r="HK262" s="148">
        <f t="shared" si="72"/>
        <v>0</v>
      </c>
      <c r="HL262" s="148">
        <f t="shared" si="73"/>
        <v>0</v>
      </c>
      <c r="HM262" s="148">
        <f t="shared" si="74"/>
        <v>0</v>
      </c>
      <c r="HN262" s="148">
        <f t="shared" si="75"/>
        <v>0</v>
      </c>
      <c r="HO262" s="148">
        <f t="shared" si="76"/>
        <v>0</v>
      </c>
      <c r="HP262" s="148">
        <f t="shared" si="77"/>
        <v>0</v>
      </c>
      <c r="HQ262" s="148">
        <f t="shared" si="78"/>
        <v>0</v>
      </c>
      <c r="HR262" s="147">
        <f t="shared" si="79"/>
        <v>0</v>
      </c>
      <c r="HU262" s="147">
        <f>$HJ262*HC262/(1+'Key assumptions'!G284)^0.75</f>
        <v>0</v>
      </c>
      <c r="HW262" s="216">
        <f t="shared" si="80"/>
        <v>0</v>
      </c>
      <c r="HX262" s="216">
        <f t="shared" si="81"/>
        <v>0</v>
      </c>
      <c r="HY262" s="216">
        <f t="shared" si="82"/>
        <v>0</v>
      </c>
      <c r="HZ262" s="216">
        <f t="shared" si="83"/>
        <v>0</v>
      </c>
      <c r="IA262" s="216">
        <f t="shared" si="84"/>
        <v>0</v>
      </c>
      <c r="IB262" s="216">
        <f t="shared" si="85"/>
        <v>0</v>
      </c>
      <c r="IC262" s="216">
        <f t="shared" si="86"/>
        <v>0</v>
      </c>
      <c r="ID262" s="216">
        <f t="shared" si="87"/>
        <v>0</v>
      </c>
      <c r="IF262" s="216">
        <f t="shared" si="88"/>
        <v>0</v>
      </c>
    </row>
    <row r="263" spans="2:240" x14ac:dyDescent="0.2">
      <c r="B263" s="141"/>
      <c r="C263" s="141"/>
      <c r="D263" s="141"/>
      <c r="E263" s="141"/>
      <c r="F263" s="141"/>
      <c r="G263" s="141"/>
      <c r="H263" s="142"/>
      <c r="I263" s="126"/>
      <c r="J263" s="143"/>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3"/>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c r="EE263" s="145"/>
      <c r="EF263" s="145"/>
      <c r="EG263" s="145"/>
      <c r="EH263" s="145"/>
      <c r="EI263" s="145"/>
      <c r="EJ263" s="145"/>
      <c r="EK263" s="145"/>
      <c r="EL263" s="145"/>
      <c r="EM263" s="145"/>
      <c r="EN263" s="145"/>
      <c r="EO263" s="145"/>
      <c r="EP263" s="145"/>
      <c r="EQ263" s="145"/>
      <c r="ER263" s="145"/>
      <c r="ES263" s="145"/>
      <c r="ET263" s="145"/>
      <c r="EU263" s="145"/>
      <c r="EV263" s="145"/>
      <c r="EW263" s="145"/>
      <c r="EX263" s="145"/>
      <c r="EY263" s="145"/>
      <c r="EZ263" s="145"/>
      <c r="FA263" s="145"/>
      <c r="FB263" s="145"/>
      <c r="FC263" s="145"/>
      <c r="FD263" s="145"/>
      <c r="FE263" s="145"/>
      <c r="FF263" s="145"/>
      <c r="FG263" s="145"/>
      <c r="FH263" s="145"/>
      <c r="FI263" s="145"/>
      <c r="FJ263" s="145"/>
      <c r="FK263" s="145"/>
      <c r="FL263" s="145"/>
      <c r="FM263" s="145"/>
      <c r="FN263" s="145"/>
      <c r="FO263" s="145"/>
      <c r="FP263" s="145"/>
      <c r="FQ263" s="145"/>
      <c r="FR263" s="145"/>
      <c r="FS263" s="145"/>
      <c r="FT263" s="145"/>
      <c r="FU263" s="145"/>
      <c r="FV263" s="145"/>
      <c r="FW263" s="145"/>
      <c r="FX263" s="143"/>
      <c r="FY263" s="146">
        <f>_xlfn.XLOOKUP($E263,'Key assumptions'!$B$112:$B$120,'Key assumptions'!$C$112:$C$120,0)</f>
        <v>0</v>
      </c>
      <c r="FZ263" s="146" cm="1">
        <f t="array" ref="FZ263">IF($FY263=0,0,_xlfn.IFS($FY263='Key assumptions'!$C$120,_xlfn.XLOOKUP(LEFT(FZ$7,6),Inflation_Year,Inflation_NominaltoReal),TRUE,_xlfn.XLOOKUP($FY263,Inflation_Year,NominaltoReal)))</f>
        <v>0</v>
      </c>
      <c r="GA263" s="146" cm="1">
        <f t="array" ref="GA263">IF($FY263=0,0,_xlfn.IFS($FY263='Key assumptions'!$C$120,_xlfn.XLOOKUP(LEFT(GA$7,6),Inflation_Year,Inflation_NominaltoReal),TRUE,_xlfn.XLOOKUP($FY263,Inflation_Year,NominaltoReal)))</f>
        <v>0</v>
      </c>
      <c r="GB263" s="146" cm="1">
        <f t="array" ref="GB263">IF($FY263=0,0,_xlfn.IFS($FY263='Key assumptions'!$C$120,_xlfn.XLOOKUP(LEFT(GB$7,6),Inflation_Year,Inflation_NominaltoReal),TRUE,_xlfn.XLOOKUP($FY263,Inflation_Year,NominaltoReal)))</f>
        <v>0</v>
      </c>
      <c r="GC263" s="146" cm="1">
        <f t="array" ref="GC263">IF($FY263=0,0,_xlfn.IFS($FY263='Key assumptions'!$C$120,_xlfn.XLOOKUP(LEFT(GC$7,6),Inflation_Year,Inflation_NominaltoReal),TRUE,_xlfn.XLOOKUP($FY263,Inflation_Year,NominaltoReal)))</f>
        <v>0</v>
      </c>
      <c r="GD263" s="146" cm="1">
        <f t="array" ref="GD263">IF($FY263=0,0,_xlfn.IFS($FY263='Key assumptions'!$C$120,_xlfn.XLOOKUP(LEFT(GD$7,6),Inflation_Year,Inflation_NominaltoReal),TRUE,_xlfn.XLOOKUP($FY263,Inflation_Year,NominaltoReal)))</f>
        <v>0</v>
      </c>
      <c r="GE263" s="146" cm="1">
        <f t="array" ref="GE263">IF($FY263=0,0,_xlfn.IFS($FY263='Key assumptions'!$C$120,_xlfn.XLOOKUP(LEFT(GE$7,6),Inflation_Year,Inflation_NominaltoReal),TRUE,_xlfn.XLOOKUP($FY263,Inflation_Year,NominaltoReal)))</f>
        <v>0</v>
      </c>
      <c r="GF263" s="146" cm="1">
        <f t="array" ref="GF263">IF($FY263=0,0,_xlfn.IFS($FY263='Key assumptions'!$C$120,_xlfn.XLOOKUP(LEFT(GF$7,6),Inflation_Year,Inflation_NominaltoReal),TRUE,_xlfn.XLOOKUP($FY263,Inflation_Year,NominaltoReal)))</f>
        <v>0</v>
      </c>
      <c r="GG263" s="143"/>
      <c r="GH263" s="145" cm="1">
        <f t="array" ref="GH263">SUMPRODUCT(--($CR$7:$FW$7&gt;=GH$5),--($CR$7:$FW$7&lt;=GH$6),$CR263:$FW263)*FZ263</f>
        <v>0</v>
      </c>
      <c r="GI263" s="145" cm="1">
        <f t="array" ref="GI263">SUMPRODUCT(--($CR$7:$FW$7&gt;=GI$5),--($CR$7:$FW$7&lt;=GI$6),$CR263:$FW263)*GA263</f>
        <v>0</v>
      </c>
      <c r="GJ263" s="145" cm="1">
        <f t="array" ref="GJ263">SUMPRODUCT(--($CR$7:$FW$7&gt;=GJ$5),--($CR$7:$FW$7&lt;=GJ$6),$CR263:$FW263)*GB263</f>
        <v>0</v>
      </c>
      <c r="GK263" s="145" cm="1">
        <f t="array" ref="GK263">SUMPRODUCT(--($CR$7:$FW$7&gt;=GK$5),--($CR$7:$FW$7&lt;=GK$6),$CR263:$FW263)*GC263</f>
        <v>0</v>
      </c>
      <c r="GL263" s="145" cm="1">
        <f t="array" ref="GL263">SUMPRODUCT(--($CR$7:$FW$7&gt;=GL$5),--($CR$7:$FW$7&lt;=GL$6),$CR263:$FW263)*GD263</f>
        <v>0</v>
      </c>
      <c r="GM263" s="145" cm="1">
        <f t="array" ref="GM263">SUMPRODUCT(--($CR$7:$FW$7&gt;=GM$5),--($CR$7:$FW$7&lt;=GM$6),$CR263:$FW263)*GE263</f>
        <v>0</v>
      </c>
      <c r="GN263" s="145" cm="1">
        <f t="array" ref="GN263">SUMPRODUCT(--($CR$7:$FW$7&gt;=GN$5),--($CR$7:$FW$7&lt;=GN$6),$CR263:$FW263)*GF263</f>
        <v>0</v>
      </c>
      <c r="GO263" s="145">
        <f t="shared" si="69"/>
        <v>0</v>
      </c>
      <c r="GP263" s="87"/>
      <c r="GR263" s="145" cm="1">
        <f t="array" ref="GR263">SUMPRODUCT(--($CR$7:$FW$7&gt;=GR$5),--($CR$7:$FW$7&lt;=GR$6),$CR263:$FW263)</f>
        <v>0</v>
      </c>
      <c r="GT263" s="214" cm="1">
        <f t="array" ref="GT263">--AND(MIN(IF($K263:$CP263&lt;&gt;0,$K$7:$CP$7))&gt;=GT$5,MIN(IF($K263:$CP263&lt;&gt;0,$K$7:$CP$7))&lt;=GT$6)</f>
        <v>0</v>
      </c>
      <c r="GU263" s="214" cm="1">
        <f t="array" ref="GU263">--AND(MIN(IF($K263:$CP263&lt;&gt;0,$K$7:$CP$7))&gt;=GU$5,MIN(IF($K263:$CP263&lt;&gt;0,$K$7:$CP$7))&lt;=GU$6)</f>
        <v>0</v>
      </c>
      <c r="GV263" s="214" cm="1">
        <f t="array" ref="GV263">--AND(MIN(IF($K263:$CP263&lt;&gt;0,$K$7:$CP$7))&gt;=GV$5,MIN(IF($K263:$CP263&lt;&gt;0,$K$7:$CP$7))&lt;=GV$6)</f>
        <v>0</v>
      </c>
      <c r="GW263" s="214" cm="1">
        <f t="array" ref="GW263">--AND(MIN(IF($K263:$CP263&lt;&gt;0,$K$7:$CP$7))&gt;=GW$5,MIN(IF($K263:$CP263&lt;&gt;0,$K$7:$CP$7))&lt;=GW$6)</f>
        <v>0</v>
      </c>
      <c r="GX263" s="214" cm="1">
        <f t="array" ref="GX263">--AND(MIN(IF($K263:$CP263&lt;&gt;0,$K$7:$CP$7))&gt;=GX$5,MIN(IF($K263:$CP263&lt;&gt;0,$K$7:$CP$7))&lt;=GX$6)</f>
        <v>0</v>
      </c>
      <c r="GY263" s="214" cm="1">
        <f t="array" ref="GY263">--AND(MIN(IF($K263:$CP263&lt;&gt;0,$K$7:$CP$7))&gt;=GY$5,MIN(IF($K263:$CP263&lt;&gt;0,$K$7:$CP$7))&lt;=GY$6)</f>
        <v>0</v>
      </c>
      <c r="GZ263" s="214" cm="1">
        <f t="array" ref="GZ263">--AND(MIN(IF($K263:$CP263&lt;&gt;0,$K$7:$CP$7))&gt;=GZ$5,MIN(IF($K263:$CP263&lt;&gt;0,$K$7:$CP$7))&lt;=GZ$6)</f>
        <v>0</v>
      </c>
      <c r="HA263" s="214">
        <f t="shared" si="70"/>
        <v>0</v>
      </c>
      <c r="HC263" s="214" cm="1">
        <f t="array" ref="HC263">--AND(MIN(IF($K263:$CP263&lt;&gt;0,$K$7:$CP$7))&gt;=HC$5,MIN(IF($K263:$CP263&lt;&gt;0,$K$7:$CP$7))&lt;=HC$6)</f>
        <v>0</v>
      </c>
      <c r="HE263" s="147" t="str">
        <f t="shared" si="89"/>
        <v>No</v>
      </c>
      <c r="HF263" s="147" t="str">
        <f t="shared" si="90"/>
        <v>No</v>
      </c>
      <c r="HG263" s="147">
        <f>IF($HF263="Yes",0,$H263*avg_hrs*12*'Key assumptions'!$D$87)</f>
        <v>0</v>
      </c>
      <c r="HH263" s="147">
        <f>IF(HE263="Yes",'Key assumptions'!$D$84*HG263,0)</f>
        <v>0</v>
      </c>
      <c r="HI263" s="144">
        <f>IFERROR(AVERAGEIFS($K263:$CP263,$K$7:$CP$7,"&gt;="&amp;'Key assumptions'!$D$24,$K$7:$CP$7,"&lt;="&amp;'Key assumptions'!$D$25),0)</f>
        <v>0</v>
      </c>
      <c r="HJ263" s="148">
        <f t="shared" si="91"/>
        <v>0</v>
      </c>
      <c r="HK263" s="148">
        <f t="shared" si="72"/>
        <v>0</v>
      </c>
      <c r="HL263" s="148">
        <f t="shared" si="73"/>
        <v>0</v>
      </c>
      <c r="HM263" s="148">
        <f t="shared" si="74"/>
        <v>0</v>
      </c>
      <c r="HN263" s="148">
        <f t="shared" si="75"/>
        <v>0</v>
      </c>
      <c r="HO263" s="148">
        <f t="shared" si="76"/>
        <v>0</v>
      </c>
      <c r="HP263" s="148">
        <f t="shared" si="77"/>
        <v>0</v>
      </c>
      <c r="HQ263" s="148">
        <f t="shared" si="78"/>
        <v>0</v>
      </c>
      <c r="HR263" s="147">
        <f t="shared" si="79"/>
        <v>0</v>
      </c>
      <c r="HU263" s="147">
        <f>$HJ263*HC263/(1+'Key assumptions'!G285)^0.75</f>
        <v>0</v>
      </c>
      <c r="HW263" s="216">
        <f t="shared" si="80"/>
        <v>0</v>
      </c>
      <c r="HX263" s="216">
        <f t="shared" si="81"/>
        <v>0</v>
      </c>
      <c r="HY263" s="216">
        <f t="shared" si="82"/>
        <v>0</v>
      </c>
      <c r="HZ263" s="216">
        <f t="shared" si="83"/>
        <v>0</v>
      </c>
      <c r="IA263" s="216">
        <f t="shared" si="84"/>
        <v>0</v>
      </c>
      <c r="IB263" s="216">
        <f t="shared" si="85"/>
        <v>0</v>
      </c>
      <c r="IC263" s="216">
        <f t="shared" si="86"/>
        <v>0</v>
      </c>
      <c r="ID263" s="216">
        <f t="shared" si="87"/>
        <v>0</v>
      </c>
      <c r="IF263" s="216">
        <f t="shared" si="88"/>
        <v>0</v>
      </c>
    </row>
    <row r="264" spans="2:240" x14ac:dyDescent="0.2">
      <c r="B264" s="141"/>
      <c r="C264" s="141"/>
      <c r="D264" s="141"/>
      <c r="E264" s="141"/>
      <c r="F264" s="141"/>
      <c r="G264" s="141"/>
      <c r="H264" s="142"/>
      <c r="I264" s="126"/>
      <c r="J264" s="143"/>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3"/>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c r="EE264" s="145"/>
      <c r="EF264" s="145"/>
      <c r="EG264" s="145"/>
      <c r="EH264" s="145"/>
      <c r="EI264" s="145"/>
      <c r="EJ264" s="145"/>
      <c r="EK264" s="145"/>
      <c r="EL264" s="145"/>
      <c r="EM264" s="145"/>
      <c r="EN264" s="145"/>
      <c r="EO264" s="145"/>
      <c r="EP264" s="145"/>
      <c r="EQ264" s="145"/>
      <c r="ER264" s="145"/>
      <c r="ES264" s="145"/>
      <c r="ET264" s="145"/>
      <c r="EU264" s="145"/>
      <c r="EV264" s="145"/>
      <c r="EW264" s="145"/>
      <c r="EX264" s="145"/>
      <c r="EY264" s="145"/>
      <c r="EZ264" s="145"/>
      <c r="FA264" s="145"/>
      <c r="FB264" s="145"/>
      <c r="FC264" s="145"/>
      <c r="FD264" s="145"/>
      <c r="FE264" s="145"/>
      <c r="FF264" s="145"/>
      <c r="FG264" s="145"/>
      <c r="FH264" s="145"/>
      <c r="FI264" s="145"/>
      <c r="FJ264" s="145"/>
      <c r="FK264" s="145"/>
      <c r="FL264" s="145"/>
      <c r="FM264" s="145"/>
      <c r="FN264" s="145"/>
      <c r="FO264" s="145"/>
      <c r="FP264" s="145"/>
      <c r="FQ264" s="145"/>
      <c r="FR264" s="145"/>
      <c r="FS264" s="145"/>
      <c r="FT264" s="145"/>
      <c r="FU264" s="145"/>
      <c r="FV264" s="145"/>
      <c r="FW264" s="145"/>
      <c r="FX264" s="143"/>
      <c r="FY264" s="146">
        <f>_xlfn.XLOOKUP($E264,'Key assumptions'!$B$112:$B$120,'Key assumptions'!$C$112:$C$120,0)</f>
        <v>0</v>
      </c>
      <c r="FZ264" s="146" cm="1">
        <f t="array" ref="FZ264">IF($FY264=0,0,_xlfn.IFS($FY264='Key assumptions'!$C$120,_xlfn.XLOOKUP(LEFT(FZ$7,6),Inflation_Year,Inflation_NominaltoReal),TRUE,_xlfn.XLOOKUP($FY264,Inflation_Year,NominaltoReal)))</f>
        <v>0</v>
      </c>
      <c r="GA264" s="146" cm="1">
        <f t="array" ref="GA264">IF($FY264=0,0,_xlfn.IFS($FY264='Key assumptions'!$C$120,_xlfn.XLOOKUP(LEFT(GA$7,6),Inflation_Year,Inflation_NominaltoReal),TRUE,_xlfn.XLOOKUP($FY264,Inflation_Year,NominaltoReal)))</f>
        <v>0</v>
      </c>
      <c r="GB264" s="146" cm="1">
        <f t="array" ref="GB264">IF($FY264=0,0,_xlfn.IFS($FY264='Key assumptions'!$C$120,_xlfn.XLOOKUP(LEFT(GB$7,6),Inflation_Year,Inflation_NominaltoReal),TRUE,_xlfn.XLOOKUP($FY264,Inflation_Year,NominaltoReal)))</f>
        <v>0</v>
      </c>
      <c r="GC264" s="146" cm="1">
        <f t="array" ref="GC264">IF($FY264=0,0,_xlfn.IFS($FY264='Key assumptions'!$C$120,_xlfn.XLOOKUP(LEFT(GC$7,6),Inflation_Year,Inflation_NominaltoReal),TRUE,_xlfn.XLOOKUP($FY264,Inflation_Year,NominaltoReal)))</f>
        <v>0</v>
      </c>
      <c r="GD264" s="146" cm="1">
        <f t="array" ref="GD264">IF($FY264=0,0,_xlfn.IFS($FY264='Key assumptions'!$C$120,_xlfn.XLOOKUP(LEFT(GD$7,6),Inflation_Year,Inflation_NominaltoReal),TRUE,_xlfn.XLOOKUP($FY264,Inflation_Year,NominaltoReal)))</f>
        <v>0</v>
      </c>
      <c r="GE264" s="146" cm="1">
        <f t="array" ref="GE264">IF($FY264=0,0,_xlfn.IFS($FY264='Key assumptions'!$C$120,_xlfn.XLOOKUP(LEFT(GE$7,6),Inflation_Year,Inflation_NominaltoReal),TRUE,_xlfn.XLOOKUP($FY264,Inflation_Year,NominaltoReal)))</f>
        <v>0</v>
      </c>
      <c r="GF264" s="146" cm="1">
        <f t="array" ref="GF264">IF($FY264=0,0,_xlfn.IFS($FY264='Key assumptions'!$C$120,_xlfn.XLOOKUP(LEFT(GF$7,6),Inflation_Year,Inflation_NominaltoReal),TRUE,_xlfn.XLOOKUP($FY264,Inflation_Year,NominaltoReal)))</f>
        <v>0</v>
      </c>
      <c r="GG264" s="143"/>
      <c r="GH264" s="145" cm="1">
        <f t="array" ref="GH264">SUMPRODUCT(--($CR$7:$FW$7&gt;=GH$5),--($CR$7:$FW$7&lt;=GH$6),$CR264:$FW264)*FZ264</f>
        <v>0</v>
      </c>
      <c r="GI264" s="145" cm="1">
        <f t="array" ref="GI264">SUMPRODUCT(--($CR$7:$FW$7&gt;=GI$5),--($CR$7:$FW$7&lt;=GI$6),$CR264:$FW264)*GA264</f>
        <v>0</v>
      </c>
      <c r="GJ264" s="145" cm="1">
        <f t="array" ref="GJ264">SUMPRODUCT(--($CR$7:$FW$7&gt;=GJ$5),--($CR$7:$FW$7&lt;=GJ$6),$CR264:$FW264)*GB264</f>
        <v>0</v>
      </c>
      <c r="GK264" s="145" cm="1">
        <f t="array" ref="GK264">SUMPRODUCT(--($CR$7:$FW$7&gt;=GK$5),--($CR$7:$FW$7&lt;=GK$6),$CR264:$FW264)*GC264</f>
        <v>0</v>
      </c>
      <c r="GL264" s="145" cm="1">
        <f t="array" ref="GL264">SUMPRODUCT(--($CR$7:$FW$7&gt;=GL$5),--($CR$7:$FW$7&lt;=GL$6),$CR264:$FW264)*GD264</f>
        <v>0</v>
      </c>
      <c r="GM264" s="145" cm="1">
        <f t="array" ref="GM264">SUMPRODUCT(--($CR$7:$FW$7&gt;=GM$5),--($CR$7:$FW$7&lt;=GM$6),$CR264:$FW264)*GE264</f>
        <v>0</v>
      </c>
      <c r="GN264" s="145" cm="1">
        <f t="array" ref="GN264">SUMPRODUCT(--($CR$7:$FW$7&gt;=GN$5),--($CR$7:$FW$7&lt;=GN$6),$CR264:$FW264)*GF264</f>
        <v>0</v>
      </c>
      <c r="GO264" s="145">
        <f t="shared" ref="GO264:GO288" si="92">SUM(GH264:GN264)</f>
        <v>0</v>
      </c>
      <c r="GP264" s="87"/>
      <c r="GR264" s="145" cm="1">
        <f t="array" ref="GR264">SUMPRODUCT(--($CR$7:$FW$7&gt;=GR$5),--($CR$7:$FW$7&lt;=GR$6),$CR264:$FW264)</f>
        <v>0</v>
      </c>
      <c r="GT264" s="214" cm="1">
        <f t="array" ref="GT264">--AND(MIN(IF($K264:$CP264&lt;&gt;0,$K$7:$CP$7))&gt;=GT$5,MIN(IF($K264:$CP264&lt;&gt;0,$K$7:$CP$7))&lt;=GT$6)</f>
        <v>0</v>
      </c>
      <c r="GU264" s="214" cm="1">
        <f t="array" ref="GU264">--AND(MIN(IF($K264:$CP264&lt;&gt;0,$K$7:$CP$7))&gt;=GU$5,MIN(IF($K264:$CP264&lt;&gt;0,$K$7:$CP$7))&lt;=GU$6)</f>
        <v>0</v>
      </c>
      <c r="GV264" s="214" cm="1">
        <f t="array" ref="GV264">--AND(MIN(IF($K264:$CP264&lt;&gt;0,$K$7:$CP$7))&gt;=GV$5,MIN(IF($K264:$CP264&lt;&gt;0,$K$7:$CP$7))&lt;=GV$6)</f>
        <v>0</v>
      </c>
      <c r="GW264" s="214" cm="1">
        <f t="array" ref="GW264">--AND(MIN(IF($K264:$CP264&lt;&gt;0,$K$7:$CP$7))&gt;=GW$5,MIN(IF($K264:$CP264&lt;&gt;0,$K$7:$CP$7))&lt;=GW$6)</f>
        <v>0</v>
      </c>
      <c r="GX264" s="214" cm="1">
        <f t="array" ref="GX264">--AND(MIN(IF($K264:$CP264&lt;&gt;0,$K$7:$CP$7))&gt;=GX$5,MIN(IF($K264:$CP264&lt;&gt;0,$K$7:$CP$7))&lt;=GX$6)</f>
        <v>0</v>
      </c>
      <c r="GY264" s="214" cm="1">
        <f t="array" ref="GY264">--AND(MIN(IF($K264:$CP264&lt;&gt;0,$K$7:$CP$7))&gt;=GY$5,MIN(IF($K264:$CP264&lt;&gt;0,$K$7:$CP$7))&lt;=GY$6)</f>
        <v>0</v>
      </c>
      <c r="GZ264" s="214" cm="1">
        <f t="array" ref="GZ264">--AND(MIN(IF($K264:$CP264&lt;&gt;0,$K$7:$CP$7))&gt;=GZ$5,MIN(IF($K264:$CP264&lt;&gt;0,$K$7:$CP$7))&lt;=GZ$6)</f>
        <v>0</v>
      </c>
      <c r="HA264" s="214">
        <f t="shared" ref="HA264:HA288" si="93">SUM(GT264:GZ264)</f>
        <v>0</v>
      </c>
      <c r="HC264" s="214" cm="1">
        <f t="array" ref="HC264">--AND(MIN(IF($K264:$CP264&lt;&gt;0,$K$7:$CP$7))&gt;=HC$5,MIN(IF($K264:$CP264&lt;&gt;0,$K$7:$CP$7))&lt;=HC$6)</f>
        <v>0</v>
      </c>
      <c r="HE264" s="147" t="str">
        <f t="shared" si="89"/>
        <v>No</v>
      </c>
      <c r="HF264" s="147" t="str">
        <f t="shared" si="90"/>
        <v>No</v>
      </c>
      <c r="HG264" s="147">
        <f>IF($HF264="Yes",0,$H264*avg_hrs*12*'Key assumptions'!$D$87)</f>
        <v>0</v>
      </c>
      <c r="HH264" s="147">
        <f>IF(HE264="Yes",'Key assumptions'!$D$84*HG264,0)</f>
        <v>0</v>
      </c>
      <c r="HI264" s="144">
        <f>IFERROR(AVERAGEIFS($K264:$CP264,$K$7:$CP$7,"&gt;="&amp;'Key assumptions'!$D$24,$K$7:$CP$7,"&lt;="&amp;'Key assumptions'!$D$25),0)</f>
        <v>0</v>
      </c>
      <c r="HJ264" s="148">
        <f t="shared" si="91"/>
        <v>0</v>
      </c>
      <c r="HK264" s="148">
        <f t="shared" ref="HK264:HK288" si="94">$HJ264*GT264</f>
        <v>0</v>
      </c>
      <c r="HL264" s="148">
        <f t="shared" ref="HL264:HL288" si="95">$HJ264*GU264</f>
        <v>0</v>
      </c>
      <c r="HM264" s="148">
        <f t="shared" ref="HM264:HM288" si="96">$HJ264*GV264</f>
        <v>0</v>
      </c>
      <c r="HN264" s="148">
        <f t="shared" ref="HN264:HN288" si="97">$HJ264*GW264</f>
        <v>0</v>
      </c>
      <c r="HO264" s="148">
        <f t="shared" ref="HO264:HO288" si="98">$HJ264*GX264</f>
        <v>0</v>
      </c>
      <c r="HP264" s="148">
        <f t="shared" ref="HP264:HP288" si="99">$HJ264*GY264</f>
        <v>0</v>
      </c>
      <c r="HQ264" s="148">
        <f t="shared" ref="HQ264:HQ288" si="100">$HJ264*GZ264</f>
        <v>0</v>
      </c>
      <c r="HR264" s="147">
        <f t="shared" ref="HR264:HR288" si="101">SUM(HK264:HQ264)</f>
        <v>0</v>
      </c>
      <c r="HU264" s="147">
        <f>$HJ264*HC264/(1+'Key assumptions'!G286)^0.75</f>
        <v>0</v>
      </c>
      <c r="HW264" s="216">
        <f t="shared" ref="HW264:HW288" si="102">$HI264*GT264</f>
        <v>0</v>
      </c>
      <c r="HX264" s="216">
        <f t="shared" ref="HX264:HX288" si="103">$HI264*GU264</f>
        <v>0</v>
      </c>
      <c r="HY264" s="216">
        <f t="shared" ref="HY264:HY288" si="104">$HI264*GV264</f>
        <v>0</v>
      </c>
      <c r="HZ264" s="216">
        <f t="shared" ref="HZ264:HZ288" si="105">$HI264*GW264</f>
        <v>0</v>
      </c>
      <c r="IA264" s="216">
        <f t="shared" ref="IA264:IA288" si="106">$HI264*GX264</f>
        <v>0</v>
      </c>
      <c r="IB264" s="216">
        <f t="shared" ref="IB264:IB288" si="107">$HI264*GY264</f>
        <v>0</v>
      </c>
      <c r="IC264" s="216">
        <f t="shared" ref="IC264:IC288" si="108">$HI264*GZ264</f>
        <v>0</v>
      </c>
      <c r="ID264" s="216">
        <f t="shared" ref="ID264:ID288" si="109">SUM(HW264:IC264)</f>
        <v>0</v>
      </c>
      <c r="IF264" s="216">
        <f t="shared" ref="IF264:IF288" si="110">$HI264*HC264</f>
        <v>0</v>
      </c>
    </row>
    <row r="265" spans="2:240" x14ac:dyDescent="0.2">
      <c r="B265" s="141"/>
      <c r="C265" s="141"/>
      <c r="D265" s="141"/>
      <c r="E265" s="141"/>
      <c r="F265" s="141"/>
      <c r="G265" s="141"/>
      <c r="H265" s="142"/>
      <c r="I265" s="126"/>
      <c r="J265" s="143"/>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3"/>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145"/>
      <c r="EH265" s="145"/>
      <c r="EI265" s="145"/>
      <c r="EJ265" s="145"/>
      <c r="EK265" s="145"/>
      <c r="EL265" s="145"/>
      <c r="EM265" s="145"/>
      <c r="EN265" s="145"/>
      <c r="EO265" s="145"/>
      <c r="EP265" s="145"/>
      <c r="EQ265" s="145"/>
      <c r="ER265" s="145"/>
      <c r="ES265" s="145"/>
      <c r="ET265" s="145"/>
      <c r="EU265" s="145"/>
      <c r="EV265" s="145"/>
      <c r="EW265" s="145"/>
      <c r="EX265" s="145"/>
      <c r="EY265" s="145"/>
      <c r="EZ265" s="145"/>
      <c r="FA265" s="145"/>
      <c r="FB265" s="145"/>
      <c r="FC265" s="145"/>
      <c r="FD265" s="145"/>
      <c r="FE265" s="145"/>
      <c r="FF265" s="145"/>
      <c r="FG265" s="145"/>
      <c r="FH265" s="145"/>
      <c r="FI265" s="145"/>
      <c r="FJ265" s="145"/>
      <c r="FK265" s="145"/>
      <c r="FL265" s="145"/>
      <c r="FM265" s="145"/>
      <c r="FN265" s="145"/>
      <c r="FO265" s="145"/>
      <c r="FP265" s="145"/>
      <c r="FQ265" s="145"/>
      <c r="FR265" s="145"/>
      <c r="FS265" s="145"/>
      <c r="FT265" s="145"/>
      <c r="FU265" s="145"/>
      <c r="FV265" s="145"/>
      <c r="FW265" s="145"/>
      <c r="FX265" s="143"/>
      <c r="FY265" s="146">
        <f>_xlfn.XLOOKUP($E265,'Key assumptions'!$B$112:$B$120,'Key assumptions'!$C$112:$C$120,0)</f>
        <v>0</v>
      </c>
      <c r="FZ265" s="146" cm="1">
        <f t="array" ref="FZ265">IF($FY265=0,0,_xlfn.IFS($FY265='Key assumptions'!$C$120,_xlfn.XLOOKUP(LEFT(FZ$7,6),Inflation_Year,Inflation_NominaltoReal),TRUE,_xlfn.XLOOKUP($FY265,Inflation_Year,NominaltoReal)))</f>
        <v>0</v>
      </c>
      <c r="GA265" s="146" cm="1">
        <f t="array" ref="GA265">IF($FY265=0,0,_xlfn.IFS($FY265='Key assumptions'!$C$120,_xlfn.XLOOKUP(LEFT(GA$7,6),Inflation_Year,Inflation_NominaltoReal),TRUE,_xlfn.XLOOKUP($FY265,Inflation_Year,NominaltoReal)))</f>
        <v>0</v>
      </c>
      <c r="GB265" s="146" cm="1">
        <f t="array" ref="GB265">IF($FY265=0,0,_xlfn.IFS($FY265='Key assumptions'!$C$120,_xlfn.XLOOKUP(LEFT(GB$7,6),Inflation_Year,Inflation_NominaltoReal),TRUE,_xlfn.XLOOKUP($FY265,Inflation_Year,NominaltoReal)))</f>
        <v>0</v>
      </c>
      <c r="GC265" s="146" cm="1">
        <f t="array" ref="GC265">IF($FY265=0,0,_xlfn.IFS($FY265='Key assumptions'!$C$120,_xlfn.XLOOKUP(LEFT(GC$7,6),Inflation_Year,Inflation_NominaltoReal),TRUE,_xlfn.XLOOKUP($FY265,Inflation_Year,NominaltoReal)))</f>
        <v>0</v>
      </c>
      <c r="GD265" s="146" cm="1">
        <f t="array" ref="GD265">IF($FY265=0,0,_xlfn.IFS($FY265='Key assumptions'!$C$120,_xlfn.XLOOKUP(LEFT(GD$7,6),Inflation_Year,Inflation_NominaltoReal),TRUE,_xlfn.XLOOKUP($FY265,Inflation_Year,NominaltoReal)))</f>
        <v>0</v>
      </c>
      <c r="GE265" s="146" cm="1">
        <f t="array" ref="GE265">IF($FY265=0,0,_xlfn.IFS($FY265='Key assumptions'!$C$120,_xlfn.XLOOKUP(LEFT(GE$7,6),Inflation_Year,Inflation_NominaltoReal),TRUE,_xlfn.XLOOKUP($FY265,Inflation_Year,NominaltoReal)))</f>
        <v>0</v>
      </c>
      <c r="GF265" s="146" cm="1">
        <f t="array" ref="GF265">IF($FY265=0,0,_xlfn.IFS($FY265='Key assumptions'!$C$120,_xlfn.XLOOKUP(LEFT(GF$7,6),Inflation_Year,Inflation_NominaltoReal),TRUE,_xlfn.XLOOKUP($FY265,Inflation_Year,NominaltoReal)))</f>
        <v>0</v>
      </c>
      <c r="GG265" s="143"/>
      <c r="GH265" s="145" cm="1">
        <f t="array" ref="GH265">SUMPRODUCT(--($CR$7:$FW$7&gt;=GH$5),--($CR$7:$FW$7&lt;=GH$6),$CR265:$FW265)*FZ265</f>
        <v>0</v>
      </c>
      <c r="GI265" s="145" cm="1">
        <f t="array" ref="GI265">SUMPRODUCT(--($CR$7:$FW$7&gt;=GI$5),--($CR$7:$FW$7&lt;=GI$6),$CR265:$FW265)*GA265</f>
        <v>0</v>
      </c>
      <c r="GJ265" s="145" cm="1">
        <f t="array" ref="GJ265">SUMPRODUCT(--($CR$7:$FW$7&gt;=GJ$5),--($CR$7:$FW$7&lt;=GJ$6),$CR265:$FW265)*GB265</f>
        <v>0</v>
      </c>
      <c r="GK265" s="145" cm="1">
        <f t="array" ref="GK265">SUMPRODUCT(--($CR$7:$FW$7&gt;=GK$5),--($CR$7:$FW$7&lt;=GK$6),$CR265:$FW265)*GC265</f>
        <v>0</v>
      </c>
      <c r="GL265" s="145" cm="1">
        <f t="array" ref="GL265">SUMPRODUCT(--($CR$7:$FW$7&gt;=GL$5),--($CR$7:$FW$7&lt;=GL$6),$CR265:$FW265)*GD265</f>
        <v>0</v>
      </c>
      <c r="GM265" s="145" cm="1">
        <f t="array" ref="GM265">SUMPRODUCT(--($CR$7:$FW$7&gt;=GM$5),--($CR$7:$FW$7&lt;=GM$6),$CR265:$FW265)*GE265</f>
        <v>0</v>
      </c>
      <c r="GN265" s="145" cm="1">
        <f t="array" ref="GN265">SUMPRODUCT(--($CR$7:$FW$7&gt;=GN$5),--($CR$7:$FW$7&lt;=GN$6),$CR265:$FW265)*GF265</f>
        <v>0</v>
      </c>
      <c r="GO265" s="145">
        <f t="shared" si="92"/>
        <v>0</v>
      </c>
      <c r="GP265" s="87"/>
      <c r="GR265" s="145" cm="1">
        <f t="array" ref="GR265">SUMPRODUCT(--($CR$7:$FW$7&gt;=GR$5),--($CR$7:$FW$7&lt;=GR$6),$CR265:$FW265)</f>
        <v>0</v>
      </c>
      <c r="GT265" s="214" cm="1">
        <f t="array" ref="GT265">--AND(MIN(IF($K265:$CP265&lt;&gt;0,$K$7:$CP$7))&gt;=GT$5,MIN(IF($K265:$CP265&lt;&gt;0,$K$7:$CP$7))&lt;=GT$6)</f>
        <v>0</v>
      </c>
      <c r="GU265" s="214" cm="1">
        <f t="array" ref="GU265">--AND(MIN(IF($K265:$CP265&lt;&gt;0,$K$7:$CP$7))&gt;=GU$5,MIN(IF($K265:$CP265&lt;&gt;0,$K$7:$CP$7))&lt;=GU$6)</f>
        <v>0</v>
      </c>
      <c r="GV265" s="214" cm="1">
        <f t="array" ref="GV265">--AND(MIN(IF($K265:$CP265&lt;&gt;0,$K$7:$CP$7))&gt;=GV$5,MIN(IF($K265:$CP265&lt;&gt;0,$K$7:$CP$7))&lt;=GV$6)</f>
        <v>0</v>
      </c>
      <c r="GW265" s="214" cm="1">
        <f t="array" ref="GW265">--AND(MIN(IF($K265:$CP265&lt;&gt;0,$K$7:$CP$7))&gt;=GW$5,MIN(IF($K265:$CP265&lt;&gt;0,$K$7:$CP$7))&lt;=GW$6)</f>
        <v>0</v>
      </c>
      <c r="GX265" s="214" cm="1">
        <f t="array" ref="GX265">--AND(MIN(IF($K265:$CP265&lt;&gt;0,$K$7:$CP$7))&gt;=GX$5,MIN(IF($K265:$CP265&lt;&gt;0,$K$7:$CP$7))&lt;=GX$6)</f>
        <v>0</v>
      </c>
      <c r="GY265" s="214" cm="1">
        <f t="array" ref="GY265">--AND(MIN(IF($K265:$CP265&lt;&gt;0,$K$7:$CP$7))&gt;=GY$5,MIN(IF($K265:$CP265&lt;&gt;0,$K$7:$CP$7))&lt;=GY$6)</f>
        <v>0</v>
      </c>
      <c r="GZ265" s="214" cm="1">
        <f t="array" ref="GZ265">--AND(MIN(IF($K265:$CP265&lt;&gt;0,$K$7:$CP$7))&gt;=GZ$5,MIN(IF($K265:$CP265&lt;&gt;0,$K$7:$CP$7))&lt;=GZ$6)</f>
        <v>0</v>
      </c>
      <c r="HA265" s="214">
        <f t="shared" si="93"/>
        <v>0</v>
      </c>
      <c r="HC265" s="214" cm="1">
        <f t="array" ref="HC265">--AND(MIN(IF($K265:$CP265&lt;&gt;0,$K$7:$CP$7))&gt;=HC$5,MIN(IF($K265:$CP265&lt;&gt;0,$K$7:$CP$7))&lt;=HC$6)</f>
        <v>0</v>
      </c>
      <c r="HE265" s="147" t="str">
        <f t="shared" ref="HE265:HE288" si="111">IF($F265="New","Yes","No")</f>
        <v>No</v>
      </c>
      <c r="HF265" s="147" t="str">
        <f t="shared" ref="HF265:HF288" si="112">IF(G265="Overtime","Yes","No")</f>
        <v>No</v>
      </c>
      <c r="HG265" s="147">
        <f>IF($HF265="Yes",0,$H265*avg_hrs*12*'Key assumptions'!$D$87)</f>
        <v>0</v>
      </c>
      <c r="HH265" s="147">
        <f>IF(HE265="Yes",'Key assumptions'!$D$84*HG265,0)</f>
        <v>0</v>
      </c>
      <c r="HI265" s="144">
        <f>IFERROR(AVERAGEIFS($K265:$CP265,$K$7:$CP$7,"&gt;="&amp;'Key assumptions'!$D$24,$K$7:$CP$7,"&lt;="&amp;'Key assumptions'!$D$25),0)</f>
        <v>0</v>
      </c>
      <c r="HJ265" s="148">
        <f t="shared" si="91"/>
        <v>0</v>
      </c>
      <c r="HK265" s="148">
        <f t="shared" si="94"/>
        <v>0</v>
      </c>
      <c r="HL265" s="148">
        <f t="shared" si="95"/>
        <v>0</v>
      </c>
      <c r="HM265" s="148">
        <f t="shared" si="96"/>
        <v>0</v>
      </c>
      <c r="HN265" s="148">
        <f t="shared" si="97"/>
        <v>0</v>
      </c>
      <c r="HO265" s="148">
        <f t="shared" si="98"/>
        <v>0</v>
      </c>
      <c r="HP265" s="148">
        <f t="shared" si="99"/>
        <v>0</v>
      </c>
      <c r="HQ265" s="148">
        <f t="shared" si="100"/>
        <v>0</v>
      </c>
      <c r="HR265" s="147">
        <f t="shared" si="101"/>
        <v>0</v>
      </c>
      <c r="HU265" s="147">
        <f>$HJ265*HC265/(1+'Key assumptions'!G287)^0.75</f>
        <v>0</v>
      </c>
      <c r="HW265" s="216">
        <f t="shared" si="102"/>
        <v>0</v>
      </c>
      <c r="HX265" s="216">
        <f t="shared" si="103"/>
        <v>0</v>
      </c>
      <c r="HY265" s="216">
        <f t="shared" si="104"/>
        <v>0</v>
      </c>
      <c r="HZ265" s="216">
        <f t="shared" si="105"/>
        <v>0</v>
      </c>
      <c r="IA265" s="216">
        <f t="shared" si="106"/>
        <v>0</v>
      </c>
      <c r="IB265" s="216">
        <f t="shared" si="107"/>
        <v>0</v>
      </c>
      <c r="IC265" s="216">
        <f t="shared" si="108"/>
        <v>0</v>
      </c>
      <c r="ID265" s="216">
        <f t="shared" si="109"/>
        <v>0</v>
      </c>
      <c r="IF265" s="216">
        <f t="shared" si="110"/>
        <v>0</v>
      </c>
    </row>
    <row r="266" spans="2:240" x14ac:dyDescent="0.2">
      <c r="B266" s="141"/>
      <c r="C266" s="141"/>
      <c r="D266" s="141"/>
      <c r="E266" s="141"/>
      <c r="F266" s="141"/>
      <c r="G266" s="141"/>
      <c r="H266" s="142"/>
      <c r="I266" s="126"/>
      <c r="J266" s="143"/>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3"/>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c r="EE266" s="145"/>
      <c r="EF266" s="145"/>
      <c r="EG266" s="145"/>
      <c r="EH266" s="145"/>
      <c r="EI266" s="145"/>
      <c r="EJ266" s="145"/>
      <c r="EK266" s="145"/>
      <c r="EL266" s="145"/>
      <c r="EM266" s="145"/>
      <c r="EN266" s="145"/>
      <c r="EO266" s="145"/>
      <c r="EP266" s="145"/>
      <c r="EQ266" s="145"/>
      <c r="ER266" s="145"/>
      <c r="ES266" s="145"/>
      <c r="ET266" s="145"/>
      <c r="EU266" s="145"/>
      <c r="EV266" s="145"/>
      <c r="EW266" s="145"/>
      <c r="EX266" s="145"/>
      <c r="EY266" s="145"/>
      <c r="EZ266" s="145"/>
      <c r="FA266" s="145"/>
      <c r="FB266" s="145"/>
      <c r="FC266" s="145"/>
      <c r="FD266" s="145"/>
      <c r="FE266" s="145"/>
      <c r="FF266" s="145"/>
      <c r="FG266" s="145"/>
      <c r="FH266" s="145"/>
      <c r="FI266" s="145"/>
      <c r="FJ266" s="145"/>
      <c r="FK266" s="145"/>
      <c r="FL266" s="145"/>
      <c r="FM266" s="145"/>
      <c r="FN266" s="145"/>
      <c r="FO266" s="145"/>
      <c r="FP266" s="145"/>
      <c r="FQ266" s="145"/>
      <c r="FR266" s="145"/>
      <c r="FS266" s="145"/>
      <c r="FT266" s="145"/>
      <c r="FU266" s="145"/>
      <c r="FV266" s="145"/>
      <c r="FW266" s="145"/>
      <c r="FX266" s="143"/>
      <c r="FY266" s="146">
        <f>_xlfn.XLOOKUP($E266,'Key assumptions'!$B$112:$B$120,'Key assumptions'!$C$112:$C$120,0)</f>
        <v>0</v>
      </c>
      <c r="FZ266" s="146" cm="1">
        <f t="array" ref="FZ266">IF($FY266=0,0,_xlfn.IFS($FY266='Key assumptions'!$C$120,_xlfn.XLOOKUP(LEFT(FZ$7,6),Inflation_Year,Inflation_NominaltoReal),TRUE,_xlfn.XLOOKUP($FY266,Inflation_Year,NominaltoReal)))</f>
        <v>0</v>
      </c>
      <c r="GA266" s="146" cm="1">
        <f t="array" ref="GA266">IF($FY266=0,0,_xlfn.IFS($FY266='Key assumptions'!$C$120,_xlfn.XLOOKUP(LEFT(GA$7,6),Inflation_Year,Inflation_NominaltoReal),TRUE,_xlfn.XLOOKUP($FY266,Inflation_Year,NominaltoReal)))</f>
        <v>0</v>
      </c>
      <c r="GB266" s="146" cm="1">
        <f t="array" ref="GB266">IF($FY266=0,0,_xlfn.IFS($FY266='Key assumptions'!$C$120,_xlfn.XLOOKUP(LEFT(GB$7,6),Inflation_Year,Inflation_NominaltoReal),TRUE,_xlfn.XLOOKUP($FY266,Inflation_Year,NominaltoReal)))</f>
        <v>0</v>
      </c>
      <c r="GC266" s="146" cm="1">
        <f t="array" ref="GC266">IF($FY266=0,0,_xlfn.IFS($FY266='Key assumptions'!$C$120,_xlfn.XLOOKUP(LEFT(GC$7,6),Inflation_Year,Inflation_NominaltoReal),TRUE,_xlfn.XLOOKUP($FY266,Inflation_Year,NominaltoReal)))</f>
        <v>0</v>
      </c>
      <c r="GD266" s="146" cm="1">
        <f t="array" ref="GD266">IF($FY266=0,0,_xlfn.IFS($FY266='Key assumptions'!$C$120,_xlfn.XLOOKUP(LEFT(GD$7,6),Inflation_Year,Inflation_NominaltoReal),TRUE,_xlfn.XLOOKUP($FY266,Inflation_Year,NominaltoReal)))</f>
        <v>0</v>
      </c>
      <c r="GE266" s="146" cm="1">
        <f t="array" ref="GE266">IF($FY266=0,0,_xlfn.IFS($FY266='Key assumptions'!$C$120,_xlfn.XLOOKUP(LEFT(GE$7,6),Inflation_Year,Inflation_NominaltoReal),TRUE,_xlfn.XLOOKUP($FY266,Inflation_Year,NominaltoReal)))</f>
        <v>0</v>
      </c>
      <c r="GF266" s="146" cm="1">
        <f t="array" ref="GF266">IF($FY266=0,0,_xlfn.IFS($FY266='Key assumptions'!$C$120,_xlfn.XLOOKUP(LEFT(GF$7,6),Inflation_Year,Inflation_NominaltoReal),TRUE,_xlfn.XLOOKUP($FY266,Inflation_Year,NominaltoReal)))</f>
        <v>0</v>
      </c>
      <c r="GG266" s="143"/>
      <c r="GH266" s="145" cm="1">
        <f t="array" ref="GH266">SUMPRODUCT(--($CR$7:$FW$7&gt;=GH$5),--($CR$7:$FW$7&lt;=GH$6),$CR266:$FW266)*FZ266</f>
        <v>0</v>
      </c>
      <c r="GI266" s="145" cm="1">
        <f t="array" ref="GI266">SUMPRODUCT(--($CR$7:$FW$7&gt;=GI$5),--($CR$7:$FW$7&lt;=GI$6),$CR266:$FW266)*GA266</f>
        <v>0</v>
      </c>
      <c r="GJ266" s="145" cm="1">
        <f t="array" ref="GJ266">SUMPRODUCT(--($CR$7:$FW$7&gt;=GJ$5),--($CR$7:$FW$7&lt;=GJ$6),$CR266:$FW266)*GB266</f>
        <v>0</v>
      </c>
      <c r="GK266" s="145" cm="1">
        <f t="array" ref="GK266">SUMPRODUCT(--($CR$7:$FW$7&gt;=GK$5),--($CR$7:$FW$7&lt;=GK$6),$CR266:$FW266)*GC266</f>
        <v>0</v>
      </c>
      <c r="GL266" s="145" cm="1">
        <f t="array" ref="GL266">SUMPRODUCT(--($CR$7:$FW$7&gt;=GL$5),--($CR$7:$FW$7&lt;=GL$6),$CR266:$FW266)*GD266</f>
        <v>0</v>
      </c>
      <c r="GM266" s="145" cm="1">
        <f t="array" ref="GM266">SUMPRODUCT(--($CR$7:$FW$7&gt;=GM$5),--($CR$7:$FW$7&lt;=GM$6),$CR266:$FW266)*GE266</f>
        <v>0</v>
      </c>
      <c r="GN266" s="145" cm="1">
        <f t="array" ref="GN266">SUMPRODUCT(--($CR$7:$FW$7&gt;=GN$5),--($CR$7:$FW$7&lt;=GN$6),$CR266:$FW266)*GF266</f>
        <v>0</v>
      </c>
      <c r="GO266" s="145">
        <f t="shared" si="92"/>
        <v>0</v>
      </c>
      <c r="GP266" s="87"/>
      <c r="GR266" s="145" cm="1">
        <f t="array" ref="GR266">SUMPRODUCT(--($CR$7:$FW$7&gt;=GR$5),--($CR$7:$FW$7&lt;=GR$6),$CR266:$FW266)</f>
        <v>0</v>
      </c>
      <c r="GT266" s="214" cm="1">
        <f t="array" ref="GT266">--AND(MIN(IF($K266:$CP266&lt;&gt;0,$K$7:$CP$7))&gt;=GT$5,MIN(IF($K266:$CP266&lt;&gt;0,$K$7:$CP$7))&lt;=GT$6)</f>
        <v>0</v>
      </c>
      <c r="GU266" s="214" cm="1">
        <f t="array" ref="GU266">--AND(MIN(IF($K266:$CP266&lt;&gt;0,$K$7:$CP$7))&gt;=GU$5,MIN(IF($K266:$CP266&lt;&gt;0,$K$7:$CP$7))&lt;=GU$6)</f>
        <v>0</v>
      </c>
      <c r="GV266" s="214" cm="1">
        <f t="array" ref="GV266">--AND(MIN(IF($K266:$CP266&lt;&gt;0,$K$7:$CP$7))&gt;=GV$5,MIN(IF($K266:$CP266&lt;&gt;0,$K$7:$CP$7))&lt;=GV$6)</f>
        <v>0</v>
      </c>
      <c r="GW266" s="214" cm="1">
        <f t="array" ref="GW266">--AND(MIN(IF($K266:$CP266&lt;&gt;0,$K$7:$CP$7))&gt;=GW$5,MIN(IF($K266:$CP266&lt;&gt;0,$K$7:$CP$7))&lt;=GW$6)</f>
        <v>0</v>
      </c>
      <c r="GX266" s="214" cm="1">
        <f t="array" ref="GX266">--AND(MIN(IF($K266:$CP266&lt;&gt;0,$K$7:$CP$7))&gt;=GX$5,MIN(IF($K266:$CP266&lt;&gt;0,$K$7:$CP$7))&lt;=GX$6)</f>
        <v>0</v>
      </c>
      <c r="GY266" s="214" cm="1">
        <f t="array" ref="GY266">--AND(MIN(IF($K266:$CP266&lt;&gt;0,$K$7:$CP$7))&gt;=GY$5,MIN(IF($K266:$CP266&lt;&gt;0,$K$7:$CP$7))&lt;=GY$6)</f>
        <v>0</v>
      </c>
      <c r="GZ266" s="214" cm="1">
        <f t="array" ref="GZ266">--AND(MIN(IF($K266:$CP266&lt;&gt;0,$K$7:$CP$7))&gt;=GZ$5,MIN(IF($K266:$CP266&lt;&gt;0,$K$7:$CP$7))&lt;=GZ$6)</f>
        <v>0</v>
      </c>
      <c r="HA266" s="214">
        <f t="shared" si="93"/>
        <v>0</v>
      </c>
      <c r="HC266" s="214" cm="1">
        <f t="array" ref="HC266">--AND(MIN(IF($K266:$CP266&lt;&gt;0,$K$7:$CP$7))&gt;=HC$5,MIN(IF($K266:$CP266&lt;&gt;0,$K$7:$CP$7))&lt;=HC$6)</f>
        <v>0</v>
      </c>
      <c r="HE266" s="147" t="str">
        <f t="shared" si="111"/>
        <v>No</v>
      </c>
      <c r="HF266" s="147" t="str">
        <f t="shared" si="112"/>
        <v>No</v>
      </c>
      <c r="HG266" s="147">
        <f>IF($HF266="Yes",0,$H266*avg_hrs*12*'Key assumptions'!$D$87)</f>
        <v>0</v>
      </c>
      <c r="HH266" s="147">
        <f>IF(HE266="Yes",'Key assumptions'!$D$84*HG266,0)</f>
        <v>0</v>
      </c>
      <c r="HI266" s="144">
        <f>IFERROR(AVERAGEIFS($K266:$CP266,$K$7:$CP$7,"&gt;="&amp;'Key assumptions'!$D$24,$K$7:$CP$7,"&lt;="&amp;'Key assumptions'!$D$25),0)</f>
        <v>0</v>
      </c>
      <c r="HJ266" s="148">
        <f t="shared" si="91"/>
        <v>0</v>
      </c>
      <c r="HK266" s="148">
        <f t="shared" si="94"/>
        <v>0</v>
      </c>
      <c r="HL266" s="148">
        <f t="shared" si="95"/>
        <v>0</v>
      </c>
      <c r="HM266" s="148">
        <f t="shared" si="96"/>
        <v>0</v>
      </c>
      <c r="HN266" s="148">
        <f t="shared" si="97"/>
        <v>0</v>
      </c>
      <c r="HO266" s="148">
        <f t="shared" si="98"/>
        <v>0</v>
      </c>
      <c r="HP266" s="148">
        <f t="shared" si="99"/>
        <v>0</v>
      </c>
      <c r="HQ266" s="148">
        <f t="shared" si="100"/>
        <v>0</v>
      </c>
      <c r="HR266" s="147">
        <f t="shared" si="101"/>
        <v>0</v>
      </c>
      <c r="HU266" s="147">
        <f>$HJ266*HC266/(1+'Key assumptions'!G288)^0.75</f>
        <v>0</v>
      </c>
      <c r="HW266" s="216">
        <f t="shared" si="102"/>
        <v>0</v>
      </c>
      <c r="HX266" s="216">
        <f t="shared" si="103"/>
        <v>0</v>
      </c>
      <c r="HY266" s="216">
        <f t="shared" si="104"/>
        <v>0</v>
      </c>
      <c r="HZ266" s="216">
        <f t="shared" si="105"/>
        <v>0</v>
      </c>
      <c r="IA266" s="216">
        <f t="shared" si="106"/>
        <v>0</v>
      </c>
      <c r="IB266" s="216">
        <f t="shared" si="107"/>
        <v>0</v>
      </c>
      <c r="IC266" s="216">
        <f t="shared" si="108"/>
        <v>0</v>
      </c>
      <c r="ID266" s="216">
        <f t="shared" si="109"/>
        <v>0</v>
      </c>
      <c r="IF266" s="216">
        <f t="shared" si="110"/>
        <v>0</v>
      </c>
    </row>
    <row r="267" spans="2:240" x14ac:dyDescent="0.2">
      <c r="B267" s="141"/>
      <c r="C267" s="141"/>
      <c r="D267" s="141"/>
      <c r="E267" s="141"/>
      <c r="F267" s="141"/>
      <c r="G267" s="141"/>
      <c r="H267" s="142"/>
      <c r="I267" s="126"/>
      <c r="J267" s="143"/>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3"/>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c r="EE267" s="145"/>
      <c r="EF267" s="145"/>
      <c r="EG267" s="145"/>
      <c r="EH267" s="145"/>
      <c r="EI267" s="145"/>
      <c r="EJ267" s="145"/>
      <c r="EK267" s="145"/>
      <c r="EL267" s="145"/>
      <c r="EM267" s="145"/>
      <c r="EN267" s="145"/>
      <c r="EO267" s="145"/>
      <c r="EP267" s="145"/>
      <c r="EQ267" s="145"/>
      <c r="ER267" s="145"/>
      <c r="ES267" s="145"/>
      <c r="ET267" s="145"/>
      <c r="EU267" s="145"/>
      <c r="EV267" s="145"/>
      <c r="EW267" s="145"/>
      <c r="EX267" s="145"/>
      <c r="EY267" s="145"/>
      <c r="EZ267" s="145"/>
      <c r="FA267" s="145"/>
      <c r="FB267" s="145"/>
      <c r="FC267" s="145"/>
      <c r="FD267" s="145"/>
      <c r="FE267" s="145"/>
      <c r="FF267" s="145"/>
      <c r="FG267" s="145"/>
      <c r="FH267" s="145"/>
      <c r="FI267" s="145"/>
      <c r="FJ267" s="145"/>
      <c r="FK267" s="145"/>
      <c r="FL267" s="145"/>
      <c r="FM267" s="145"/>
      <c r="FN267" s="145"/>
      <c r="FO267" s="145"/>
      <c r="FP267" s="145"/>
      <c r="FQ267" s="145"/>
      <c r="FR267" s="145"/>
      <c r="FS267" s="145"/>
      <c r="FT267" s="145"/>
      <c r="FU267" s="145"/>
      <c r="FV267" s="145"/>
      <c r="FW267" s="145"/>
      <c r="FX267" s="143"/>
      <c r="FY267" s="146">
        <f>_xlfn.XLOOKUP($E267,'Key assumptions'!$B$112:$B$120,'Key assumptions'!$C$112:$C$120,0)</f>
        <v>0</v>
      </c>
      <c r="FZ267" s="146" cm="1">
        <f t="array" ref="FZ267">IF($FY267=0,0,_xlfn.IFS($FY267='Key assumptions'!$C$120,_xlfn.XLOOKUP(LEFT(FZ$7,6),Inflation_Year,Inflation_NominaltoReal),TRUE,_xlfn.XLOOKUP($FY267,Inflation_Year,NominaltoReal)))</f>
        <v>0</v>
      </c>
      <c r="GA267" s="146" cm="1">
        <f t="array" ref="GA267">IF($FY267=0,0,_xlfn.IFS($FY267='Key assumptions'!$C$120,_xlfn.XLOOKUP(LEFT(GA$7,6),Inflation_Year,Inflation_NominaltoReal),TRUE,_xlfn.XLOOKUP($FY267,Inflation_Year,NominaltoReal)))</f>
        <v>0</v>
      </c>
      <c r="GB267" s="146" cm="1">
        <f t="array" ref="GB267">IF($FY267=0,0,_xlfn.IFS($FY267='Key assumptions'!$C$120,_xlfn.XLOOKUP(LEFT(GB$7,6),Inflation_Year,Inflation_NominaltoReal),TRUE,_xlfn.XLOOKUP($FY267,Inflation_Year,NominaltoReal)))</f>
        <v>0</v>
      </c>
      <c r="GC267" s="146" cm="1">
        <f t="array" ref="GC267">IF($FY267=0,0,_xlfn.IFS($FY267='Key assumptions'!$C$120,_xlfn.XLOOKUP(LEFT(GC$7,6),Inflation_Year,Inflation_NominaltoReal),TRUE,_xlfn.XLOOKUP($FY267,Inflation_Year,NominaltoReal)))</f>
        <v>0</v>
      </c>
      <c r="GD267" s="146" cm="1">
        <f t="array" ref="GD267">IF($FY267=0,0,_xlfn.IFS($FY267='Key assumptions'!$C$120,_xlfn.XLOOKUP(LEFT(GD$7,6),Inflation_Year,Inflation_NominaltoReal),TRUE,_xlfn.XLOOKUP($FY267,Inflation_Year,NominaltoReal)))</f>
        <v>0</v>
      </c>
      <c r="GE267" s="146" cm="1">
        <f t="array" ref="GE267">IF($FY267=0,0,_xlfn.IFS($FY267='Key assumptions'!$C$120,_xlfn.XLOOKUP(LEFT(GE$7,6),Inflation_Year,Inflation_NominaltoReal),TRUE,_xlfn.XLOOKUP($FY267,Inflation_Year,NominaltoReal)))</f>
        <v>0</v>
      </c>
      <c r="GF267" s="146" cm="1">
        <f t="array" ref="GF267">IF($FY267=0,0,_xlfn.IFS($FY267='Key assumptions'!$C$120,_xlfn.XLOOKUP(LEFT(GF$7,6),Inflation_Year,Inflation_NominaltoReal),TRUE,_xlfn.XLOOKUP($FY267,Inflation_Year,NominaltoReal)))</f>
        <v>0</v>
      </c>
      <c r="GG267" s="143"/>
      <c r="GH267" s="145" cm="1">
        <f t="array" ref="GH267">SUMPRODUCT(--($CR$7:$FW$7&gt;=GH$5),--($CR$7:$FW$7&lt;=GH$6),$CR267:$FW267)*FZ267</f>
        <v>0</v>
      </c>
      <c r="GI267" s="145" cm="1">
        <f t="array" ref="GI267">SUMPRODUCT(--($CR$7:$FW$7&gt;=GI$5),--($CR$7:$FW$7&lt;=GI$6),$CR267:$FW267)*GA267</f>
        <v>0</v>
      </c>
      <c r="GJ267" s="145" cm="1">
        <f t="array" ref="GJ267">SUMPRODUCT(--($CR$7:$FW$7&gt;=GJ$5),--($CR$7:$FW$7&lt;=GJ$6),$CR267:$FW267)*GB267</f>
        <v>0</v>
      </c>
      <c r="GK267" s="145" cm="1">
        <f t="array" ref="GK267">SUMPRODUCT(--($CR$7:$FW$7&gt;=GK$5),--($CR$7:$FW$7&lt;=GK$6),$CR267:$FW267)*GC267</f>
        <v>0</v>
      </c>
      <c r="GL267" s="145" cm="1">
        <f t="array" ref="GL267">SUMPRODUCT(--($CR$7:$FW$7&gt;=GL$5),--($CR$7:$FW$7&lt;=GL$6),$CR267:$FW267)*GD267</f>
        <v>0</v>
      </c>
      <c r="GM267" s="145" cm="1">
        <f t="array" ref="GM267">SUMPRODUCT(--($CR$7:$FW$7&gt;=GM$5),--($CR$7:$FW$7&lt;=GM$6),$CR267:$FW267)*GE267</f>
        <v>0</v>
      </c>
      <c r="GN267" s="145" cm="1">
        <f t="array" ref="GN267">SUMPRODUCT(--($CR$7:$FW$7&gt;=GN$5),--($CR$7:$FW$7&lt;=GN$6),$CR267:$FW267)*GF267</f>
        <v>0</v>
      </c>
      <c r="GO267" s="145">
        <f t="shared" si="92"/>
        <v>0</v>
      </c>
      <c r="GP267" s="87"/>
      <c r="GR267" s="145" cm="1">
        <f t="array" ref="GR267">SUMPRODUCT(--($CR$7:$FW$7&gt;=GR$5),--($CR$7:$FW$7&lt;=GR$6),$CR267:$FW267)</f>
        <v>0</v>
      </c>
      <c r="GT267" s="214" cm="1">
        <f t="array" ref="GT267">--AND(MIN(IF($K267:$CP267&lt;&gt;0,$K$7:$CP$7))&gt;=GT$5,MIN(IF($K267:$CP267&lt;&gt;0,$K$7:$CP$7))&lt;=GT$6)</f>
        <v>0</v>
      </c>
      <c r="GU267" s="214" cm="1">
        <f t="array" ref="GU267">--AND(MIN(IF($K267:$CP267&lt;&gt;0,$K$7:$CP$7))&gt;=GU$5,MIN(IF($K267:$CP267&lt;&gt;0,$K$7:$CP$7))&lt;=GU$6)</f>
        <v>0</v>
      </c>
      <c r="GV267" s="214" cm="1">
        <f t="array" ref="GV267">--AND(MIN(IF($K267:$CP267&lt;&gt;0,$K$7:$CP$7))&gt;=GV$5,MIN(IF($K267:$CP267&lt;&gt;0,$K$7:$CP$7))&lt;=GV$6)</f>
        <v>0</v>
      </c>
      <c r="GW267" s="214" cm="1">
        <f t="array" ref="GW267">--AND(MIN(IF($K267:$CP267&lt;&gt;0,$K$7:$CP$7))&gt;=GW$5,MIN(IF($K267:$CP267&lt;&gt;0,$K$7:$CP$7))&lt;=GW$6)</f>
        <v>0</v>
      </c>
      <c r="GX267" s="214" cm="1">
        <f t="array" ref="GX267">--AND(MIN(IF($K267:$CP267&lt;&gt;0,$K$7:$CP$7))&gt;=GX$5,MIN(IF($K267:$CP267&lt;&gt;0,$K$7:$CP$7))&lt;=GX$6)</f>
        <v>0</v>
      </c>
      <c r="GY267" s="214" cm="1">
        <f t="array" ref="GY267">--AND(MIN(IF($K267:$CP267&lt;&gt;0,$K$7:$CP$7))&gt;=GY$5,MIN(IF($K267:$CP267&lt;&gt;0,$K$7:$CP$7))&lt;=GY$6)</f>
        <v>0</v>
      </c>
      <c r="GZ267" s="214" cm="1">
        <f t="array" ref="GZ267">--AND(MIN(IF($K267:$CP267&lt;&gt;0,$K$7:$CP$7))&gt;=GZ$5,MIN(IF($K267:$CP267&lt;&gt;0,$K$7:$CP$7))&lt;=GZ$6)</f>
        <v>0</v>
      </c>
      <c r="HA267" s="214">
        <f t="shared" si="93"/>
        <v>0</v>
      </c>
      <c r="HC267" s="214" cm="1">
        <f t="array" ref="HC267">--AND(MIN(IF($K267:$CP267&lt;&gt;0,$K$7:$CP$7))&gt;=HC$5,MIN(IF($K267:$CP267&lt;&gt;0,$K$7:$CP$7))&lt;=HC$6)</f>
        <v>0</v>
      </c>
      <c r="HE267" s="147" t="str">
        <f t="shared" si="111"/>
        <v>No</v>
      </c>
      <c r="HF267" s="147" t="str">
        <f t="shared" si="112"/>
        <v>No</v>
      </c>
      <c r="HG267" s="147">
        <f>IF($HF267="Yes",0,$H267*avg_hrs*12*'Key assumptions'!$D$87)</f>
        <v>0</v>
      </c>
      <c r="HH267" s="147">
        <f>IF(HE267="Yes",'Key assumptions'!$D$84*HG267,0)</f>
        <v>0</v>
      </c>
      <c r="HI267" s="144">
        <f>IFERROR(AVERAGEIFS($K267:$CP267,$K$7:$CP$7,"&gt;="&amp;'Key assumptions'!$D$24,$K$7:$CP$7,"&lt;="&amp;'Key assumptions'!$D$25),0)</f>
        <v>0</v>
      </c>
      <c r="HJ267" s="148">
        <f t="shared" si="91"/>
        <v>0</v>
      </c>
      <c r="HK267" s="148">
        <f t="shared" si="94"/>
        <v>0</v>
      </c>
      <c r="HL267" s="148">
        <f t="shared" si="95"/>
        <v>0</v>
      </c>
      <c r="HM267" s="148">
        <f t="shared" si="96"/>
        <v>0</v>
      </c>
      <c r="HN267" s="148">
        <f t="shared" si="97"/>
        <v>0</v>
      </c>
      <c r="HO267" s="148">
        <f t="shared" si="98"/>
        <v>0</v>
      </c>
      <c r="HP267" s="148">
        <f t="shared" si="99"/>
        <v>0</v>
      </c>
      <c r="HQ267" s="148">
        <f t="shared" si="100"/>
        <v>0</v>
      </c>
      <c r="HR267" s="147">
        <f t="shared" si="101"/>
        <v>0</v>
      </c>
      <c r="HU267" s="147">
        <f>$HJ267*HC267/(1+'Key assumptions'!G289)^0.75</f>
        <v>0</v>
      </c>
      <c r="HW267" s="216">
        <f t="shared" si="102"/>
        <v>0</v>
      </c>
      <c r="HX267" s="216">
        <f t="shared" si="103"/>
        <v>0</v>
      </c>
      <c r="HY267" s="216">
        <f t="shared" si="104"/>
        <v>0</v>
      </c>
      <c r="HZ267" s="216">
        <f t="shared" si="105"/>
        <v>0</v>
      </c>
      <c r="IA267" s="216">
        <f t="shared" si="106"/>
        <v>0</v>
      </c>
      <c r="IB267" s="216">
        <f t="shared" si="107"/>
        <v>0</v>
      </c>
      <c r="IC267" s="216">
        <f t="shared" si="108"/>
        <v>0</v>
      </c>
      <c r="ID267" s="216">
        <f t="shared" si="109"/>
        <v>0</v>
      </c>
      <c r="IF267" s="216">
        <f t="shared" si="110"/>
        <v>0</v>
      </c>
    </row>
    <row r="268" spans="2:240" x14ac:dyDescent="0.2">
      <c r="B268" s="141"/>
      <c r="C268" s="141"/>
      <c r="D268" s="141"/>
      <c r="E268" s="141"/>
      <c r="F268" s="141"/>
      <c r="G268" s="141"/>
      <c r="H268" s="142"/>
      <c r="I268" s="126"/>
      <c r="J268" s="143"/>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3"/>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c r="EE268" s="145"/>
      <c r="EF268" s="145"/>
      <c r="EG268" s="145"/>
      <c r="EH268" s="145"/>
      <c r="EI268" s="145"/>
      <c r="EJ268" s="145"/>
      <c r="EK268" s="145"/>
      <c r="EL268" s="145"/>
      <c r="EM268" s="145"/>
      <c r="EN268" s="145"/>
      <c r="EO268" s="145"/>
      <c r="EP268" s="145"/>
      <c r="EQ268" s="145"/>
      <c r="ER268" s="145"/>
      <c r="ES268" s="145"/>
      <c r="ET268" s="145"/>
      <c r="EU268" s="145"/>
      <c r="EV268" s="145"/>
      <c r="EW268" s="145"/>
      <c r="EX268" s="145"/>
      <c r="EY268" s="145"/>
      <c r="EZ268" s="145"/>
      <c r="FA268" s="145"/>
      <c r="FB268" s="145"/>
      <c r="FC268" s="145"/>
      <c r="FD268" s="145"/>
      <c r="FE268" s="145"/>
      <c r="FF268" s="145"/>
      <c r="FG268" s="145"/>
      <c r="FH268" s="145"/>
      <c r="FI268" s="145"/>
      <c r="FJ268" s="145"/>
      <c r="FK268" s="145"/>
      <c r="FL268" s="145"/>
      <c r="FM268" s="145"/>
      <c r="FN268" s="145"/>
      <c r="FO268" s="145"/>
      <c r="FP268" s="145"/>
      <c r="FQ268" s="145"/>
      <c r="FR268" s="145"/>
      <c r="FS268" s="145"/>
      <c r="FT268" s="145"/>
      <c r="FU268" s="145"/>
      <c r="FV268" s="145"/>
      <c r="FW268" s="145"/>
      <c r="FX268" s="143"/>
      <c r="FY268" s="146">
        <f>_xlfn.XLOOKUP($E268,'Key assumptions'!$B$112:$B$120,'Key assumptions'!$C$112:$C$120,0)</f>
        <v>0</v>
      </c>
      <c r="FZ268" s="146" cm="1">
        <f t="array" ref="FZ268">IF($FY268=0,0,_xlfn.IFS($FY268='Key assumptions'!$C$120,_xlfn.XLOOKUP(LEFT(FZ$7,6),Inflation_Year,Inflation_NominaltoReal),TRUE,_xlfn.XLOOKUP($FY268,Inflation_Year,NominaltoReal)))</f>
        <v>0</v>
      </c>
      <c r="GA268" s="146" cm="1">
        <f t="array" ref="GA268">IF($FY268=0,0,_xlfn.IFS($FY268='Key assumptions'!$C$120,_xlfn.XLOOKUP(LEFT(GA$7,6),Inflation_Year,Inflation_NominaltoReal),TRUE,_xlfn.XLOOKUP($FY268,Inflation_Year,NominaltoReal)))</f>
        <v>0</v>
      </c>
      <c r="GB268" s="146" cm="1">
        <f t="array" ref="GB268">IF($FY268=0,0,_xlfn.IFS($FY268='Key assumptions'!$C$120,_xlfn.XLOOKUP(LEFT(GB$7,6),Inflation_Year,Inflation_NominaltoReal),TRUE,_xlfn.XLOOKUP($FY268,Inflation_Year,NominaltoReal)))</f>
        <v>0</v>
      </c>
      <c r="GC268" s="146" cm="1">
        <f t="array" ref="GC268">IF($FY268=0,0,_xlfn.IFS($FY268='Key assumptions'!$C$120,_xlfn.XLOOKUP(LEFT(GC$7,6),Inflation_Year,Inflation_NominaltoReal),TRUE,_xlfn.XLOOKUP($FY268,Inflation_Year,NominaltoReal)))</f>
        <v>0</v>
      </c>
      <c r="GD268" s="146" cm="1">
        <f t="array" ref="GD268">IF($FY268=0,0,_xlfn.IFS($FY268='Key assumptions'!$C$120,_xlfn.XLOOKUP(LEFT(GD$7,6),Inflation_Year,Inflation_NominaltoReal),TRUE,_xlfn.XLOOKUP($FY268,Inflation_Year,NominaltoReal)))</f>
        <v>0</v>
      </c>
      <c r="GE268" s="146" cm="1">
        <f t="array" ref="GE268">IF($FY268=0,0,_xlfn.IFS($FY268='Key assumptions'!$C$120,_xlfn.XLOOKUP(LEFT(GE$7,6),Inflation_Year,Inflation_NominaltoReal),TRUE,_xlfn.XLOOKUP($FY268,Inflation_Year,NominaltoReal)))</f>
        <v>0</v>
      </c>
      <c r="GF268" s="146" cm="1">
        <f t="array" ref="GF268">IF($FY268=0,0,_xlfn.IFS($FY268='Key assumptions'!$C$120,_xlfn.XLOOKUP(LEFT(GF$7,6),Inflation_Year,Inflation_NominaltoReal),TRUE,_xlfn.XLOOKUP($FY268,Inflation_Year,NominaltoReal)))</f>
        <v>0</v>
      </c>
      <c r="GG268" s="143"/>
      <c r="GH268" s="145" cm="1">
        <f t="array" ref="GH268">SUMPRODUCT(--($CR$7:$FW$7&gt;=GH$5),--($CR$7:$FW$7&lt;=GH$6),$CR268:$FW268)*FZ268</f>
        <v>0</v>
      </c>
      <c r="GI268" s="145" cm="1">
        <f t="array" ref="GI268">SUMPRODUCT(--($CR$7:$FW$7&gt;=GI$5),--($CR$7:$FW$7&lt;=GI$6),$CR268:$FW268)*GA268</f>
        <v>0</v>
      </c>
      <c r="GJ268" s="145" cm="1">
        <f t="array" ref="GJ268">SUMPRODUCT(--($CR$7:$FW$7&gt;=GJ$5),--($CR$7:$FW$7&lt;=GJ$6),$CR268:$FW268)*GB268</f>
        <v>0</v>
      </c>
      <c r="GK268" s="145" cm="1">
        <f t="array" ref="GK268">SUMPRODUCT(--($CR$7:$FW$7&gt;=GK$5),--($CR$7:$FW$7&lt;=GK$6),$CR268:$FW268)*GC268</f>
        <v>0</v>
      </c>
      <c r="GL268" s="145" cm="1">
        <f t="array" ref="GL268">SUMPRODUCT(--($CR$7:$FW$7&gt;=GL$5),--($CR$7:$FW$7&lt;=GL$6),$CR268:$FW268)*GD268</f>
        <v>0</v>
      </c>
      <c r="GM268" s="145" cm="1">
        <f t="array" ref="GM268">SUMPRODUCT(--($CR$7:$FW$7&gt;=GM$5),--($CR$7:$FW$7&lt;=GM$6),$CR268:$FW268)*GE268</f>
        <v>0</v>
      </c>
      <c r="GN268" s="145" cm="1">
        <f t="array" ref="GN268">SUMPRODUCT(--($CR$7:$FW$7&gt;=GN$5),--($CR$7:$FW$7&lt;=GN$6),$CR268:$FW268)*GF268</f>
        <v>0</v>
      </c>
      <c r="GO268" s="145">
        <f t="shared" si="92"/>
        <v>0</v>
      </c>
      <c r="GP268" s="87"/>
      <c r="GR268" s="145" cm="1">
        <f t="array" ref="GR268">SUMPRODUCT(--($CR$7:$FW$7&gt;=GR$5),--($CR$7:$FW$7&lt;=GR$6),$CR268:$FW268)</f>
        <v>0</v>
      </c>
      <c r="GT268" s="214" cm="1">
        <f t="array" ref="GT268">--AND(MIN(IF($K268:$CP268&lt;&gt;0,$K$7:$CP$7))&gt;=GT$5,MIN(IF($K268:$CP268&lt;&gt;0,$K$7:$CP$7))&lt;=GT$6)</f>
        <v>0</v>
      </c>
      <c r="GU268" s="214" cm="1">
        <f t="array" ref="GU268">--AND(MIN(IF($K268:$CP268&lt;&gt;0,$K$7:$CP$7))&gt;=GU$5,MIN(IF($K268:$CP268&lt;&gt;0,$K$7:$CP$7))&lt;=GU$6)</f>
        <v>0</v>
      </c>
      <c r="GV268" s="214" cm="1">
        <f t="array" ref="GV268">--AND(MIN(IF($K268:$CP268&lt;&gt;0,$K$7:$CP$7))&gt;=GV$5,MIN(IF($K268:$CP268&lt;&gt;0,$K$7:$CP$7))&lt;=GV$6)</f>
        <v>0</v>
      </c>
      <c r="GW268" s="214" cm="1">
        <f t="array" ref="GW268">--AND(MIN(IF($K268:$CP268&lt;&gt;0,$K$7:$CP$7))&gt;=GW$5,MIN(IF($K268:$CP268&lt;&gt;0,$K$7:$CP$7))&lt;=GW$6)</f>
        <v>0</v>
      </c>
      <c r="GX268" s="214" cm="1">
        <f t="array" ref="GX268">--AND(MIN(IF($K268:$CP268&lt;&gt;0,$K$7:$CP$7))&gt;=GX$5,MIN(IF($K268:$CP268&lt;&gt;0,$K$7:$CP$7))&lt;=GX$6)</f>
        <v>0</v>
      </c>
      <c r="GY268" s="214" cm="1">
        <f t="array" ref="GY268">--AND(MIN(IF($K268:$CP268&lt;&gt;0,$K$7:$CP$7))&gt;=GY$5,MIN(IF($K268:$CP268&lt;&gt;0,$K$7:$CP$7))&lt;=GY$6)</f>
        <v>0</v>
      </c>
      <c r="GZ268" s="214" cm="1">
        <f t="array" ref="GZ268">--AND(MIN(IF($K268:$CP268&lt;&gt;0,$K$7:$CP$7))&gt;=GZ$5,MIN(IF($K268:$CP268&lt;&gt;0,$K$7:$CP$7))&lt;=GZ$6)</f>
        <v>0</v>
      </c>
      <c r="HA268" s="214">
        <f t="shared" si="93"/>
        <v>0</v>
      </c>
      <c r="HC268" s="214" cm="1">
        <f t="array" ref="HC268">--AND(MIN(IF($K268:$CP268&lt;&gt;0,$K$7:$CP$7))&gt;=HC$5,MIN(IF($K268:$CP268&lt;&gt;0,$K$7:$CP$7))&lt;=HC$6)</f>
        <v>0</v>
      </c>
      <c r="HE268" s="147" t="str">
        <f t="shared" si="111"/>
        <v>No</v>
      </c>
      <c r="HF268" s="147" t="str">
        <f t="shared" si="112"/>
        <v>No</v>
      </c>
      <c r="HG268" s="147">
        <f>IF($HF268="Yes",0,$H268*avg_hrs*12*'Key assumptions'!$D$87)</f>
        <v>0</v>
      </c>
      <c r="HH268" s="147">
        <f>IF(HE268="Yes",'Key assumptions'!$D$84*HG268,0)</f>
        <v>0</v>
      </c>
      <c r="HI268" s="144">
        <f>IFERROR(AVERAGEIFS($K268:$CP268,$K$7:$CP$7,"&gt;="&amp;'Key assumptions'!$D$24,$K$7:$CP$7,"&lt;="&amp;'Key assumptions'!$D$25),0)</f>
        <v>0</v>
      </c>
      <c r="HJ268" s="148">
        <f t="shared" ref="HJ268:HJ288" si="113">HH268*HI268</f>
        <v>0</v>
      </c>
      <c r="HK268" s="148">
        <f t="shared" si="94"/>
        <v>0</v>
      </c>
      <c r="HL268" s="148">
        <f t="shared" si="95"/>
        <v>0</v>
      </c>
      <c r="HM268" s="148">
        <f t="shared" si="96"/>
        <v>0</v>
      </c>
      <c r="HN268" s="148">
        <f t="shared" si="97"/>
        <v>0</v>
      </c>
      <c r="HO268" s="148">
        <f t="shared" si="98"/>
        <v>0</v>
      </c>
      <c r="HP268" s="148">
        <f t="shared" si="99"/>
        <v>0</v>
      </c>
      <c r="HQ268" s="148">
        <f t="shared" si="100"/>
        <v>0</v>
      </c>
      <c r="HR268" s="147">
        <f t="shared" si="101"/>
        <v>0</v>
      </c>
      <c r="HU268" s="147">
        <f>$HJ268*HC268/(1+'Key assumptions'!G290)^0.75</f>
        <v>0</v>
      </c>
      <c r="HW268" s="216">
        <f t="shared" si="102"/>
        <v>0</v>
      </c>
      <c r="HX268" s="216">
        <f t="shared" si="103"/>
        <v>0</v>
      </c>
      <c r="HY268" s="216">
        <f t="shared" si="104"/>
        <v>0</v>
      </c>
      <c r="HZ268" s="216">
        <f t="shared" si="105"/>
        <v>0</v>
      </c>
      <c r="IA268" s="216">
        <f t="shared" si="106"/>
        <v>0</v>
      </c>
      <c r="IB268" s="216">
        <f t="shared" si="107"/>
        <v>0</v>
      </c>
      <c r="IC268" s="216">
        <f t="shared" si="108"/>
        <v>0</v>
      </c>
      <c r="ID268" s="216">
        <f t="shared" si="109"/>
        <v>0</v>
      </c>
      <c r="IF268" s="216">
        <f t="shared" si="110"/>
        <v>0</v>
      </c>
    </row>
    <row r="269" spans="2:240" x14ac:dyDescent="0.2">
      <c r="B269" s="141"/>
      <c r="C269" s="141"/>
      <c r="D269" s="141"/>
      <c r="E269" s="141"/>
      <c r="F269" s="141"/>
      <c r="G269" s="141"/>
      <c r="H269" s="142"/>
      <c r="I269" s="126"/>
      <c r="J269" s="143"/>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3"/>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c r="EE269" s="145"/>
      <c r="EF269" s="145"/>
      <c r="EG269" s="145"/>
      <c r="EH269" s="145"/>
      <c r="EI269" s="145"/>
      <c r="EJ269" s="145"/>
      <c r="EK269" s="145"/>
      <c r="EL269" s="145"/>
      <c r="EM269" s="145"/>
      <c r="EN269" s="145"/>
      <c r="EO269" s="145"/>
      <c r="EP269" s="145"/>
      <c r="EQ269" s="145"/>
      <c r="ER269" s="145"/>
      <c r="ES269" s="145"/>
      <c r="ET269" s="145"/>
      <c r="EU269" s="145"/>
      <c r="EV269" s="145"/>
      <c r="EW269" s="145"/>
      <c r="EX269" s="145"/>
      <c r="EY269" s="145"/>
      <c r="EZ269" s="145"/>
      <c r="FA269" s="145"/>
      <c r="FB269" s="145"/>
      <c r="FC269" s="145"/>
      <c r="FD269" s="145"/>
      <c r="FE269" s="145"/>
      <c r="FF269" s="145"/>
      <c r="FG269" s="145"/>
      <c r="FH269" s="145"/>
      <c r="FI269" s="145"/>
      <c r="FJ269" s="145"/>
      <c r="FK269" s="145"/>
      <c r="FL269" s="145"/>
      <c r="FM269" s="145"/>
      <c r="FN269" s="145"/>
      <c r="FO269" s="145"/>
      <c r="FP269" s="145"/>
      <c r="FQ269" s="145"/>
      <c r="FR269" s="145"/>
      <c r="FS269" s="145"/>
      <c r="FT269" s="145"/>
      <c r="FU269" s="145"/>
      <c r="FV269" s="145"/>
      <c r="FW269" s="145"/>
      <c r="FX269" s="143"/>
      <c r="FY269" s="146">
        <f>_xlfn.XLOOKUP($E269,'Key assumptions'!$B$112:$B$120,'Key assumptions'!$C$112:$C$120,0)</f>
        <v>0</v>
      </c>
      <c r="FZ269" s="146" cm="1">
        <f t="array" ref="FZ269">IF($FY269=0,0,_xlfn.IFS($FY269='Key assumptions'!$C$120,_xlfn.XLOOKUP(LEFT(FZ$7,6),Inflation_Year,Inflation_NominaltoReal),TRUE,_xlfn.XLOOKUP($FY269,Inflation_Year,NominaltoReal)))</f>
        <v>0</v>
      </c>
      <c r="GA269" s="146" cm="1">
        <f t="array" ref="GA269">IF($FY269=0,0,_xlfn.IFS($FY269='Key assumptions'!$C$120,_xlfn.XLOOKUP(LEFT(GA$7,6),Inflation_Year,Inflation_NominaltoReal),TRUE,_xlfn.XLOOKUP($FY269,Inflation_Year,NominaltoReal)))</f>
        <v>0</v>
      </c>
      <c r="GB269" s="146" cm="1">
        <f t="array" ref="GB269">IF($FY269=0,0,_xlfn.IFS($FY269='Key assumptions'!$C$120,_xlfn.XLOOKUP(LEFT(GB$7,6),Inflation_Year,Inflation_NominaltoReal),TRUE,_xlfn.XLOOKUP($FY269,Inflation_Year,NominaltoReal)))</f>
        <v>0</v>
      </c>
      <c r="GC269" s="146" cm="1">
        <f t="array" ref="GC269">IF($FY269=0,0,_xlfn.IFS($FY269='Key assumptions'!$C$120,_xlfn.XLOOKUP(LEFT(GC$7,6),Inflation_Year,Inflation_NominaltoReal),TRUE,_xlfn.XLOOKUP($FY269,Inflation_Year,NominaltoReal)))</f>
        <v>0</v>
      </c>
      <c r="GD269" s="146" cm="1">
        <f t="array" ref="GD269">IF($FY269=0,0,_xlfn.IFS($FY269='Key assumptions'!$C$120,_xlfn.XLOOKUP(LEFT(GD$7,6),Inflation_Year,Inflation_NominaltoReal),TRUE,_xlfn.XLOOKUP($FY269,Inflation_Year,NominaltoReal)))</f>
        <v>0</v>
      </c>
      <c r="GE269" s="146" cm="1">
        <f t="array" ref="GE269">IF($FY269=0,0,_xlfn.IFS($FY269='Key assumptions'!$C$120,_xlfn.XLOOKUP(LEFT(GE$7,6),Inflation_Year,Inflation_NominaltoReal),TRUE,_xlfn.XLOOKUP($FY269,Inflation_Year,NominaltoReal)))</f>
        <v>0</v>
      </c>
      <c r="GF269" s="146" cm="1">
        <f t="array" ref="GF269">IF($FY269=0,0,_xlfn.IFS($FY269='Key assumptions'!$C$120,_xlfn.XLOOKUP(LEFT(GF$7,6),Inflation_Year,Inflation_NominaltoReal),TRUE,_xlfn.XLOOKUP($FY269,Inflation_Year,NominaltoReal)))</f>
        <v>0</v>
      </c>
      <c r="GG269" s="143"/>
      <c r="GH269" s="145" cm="1">
        <f t="array" ref="GH269">SUMPRODUCT(--($CR$7:$FW$7&gt;=GH$5),--($CR$7:$FW$7&lt;=GH$6),$CR269:$FW269)*FZ269</f>
        <v>0</v>
      </c>
      <c r="GI269" s="145" cm="1">
        <f t="array" ref="GI269">SUMPRODUCT(--($CR$7:$FW$7&gt;=GI$5),--($CR$7:$FW$7&lt;=GI$6),$CR269:$FW269)*GA269</f>
        <v>0</v>
      </c>
      <c r="GJ269" s="145" cm="1">
        <f t="array" ref="GJ269">SUMPRODUCT(--($CR$7:$FW$7&gt;=GJ$5),--($CR$7:$FW$7&lt;=GJ$6),$CR269:$FW269)*GB269</f>
        <v>0</v>
      </c>
      <c r="GK269" s="145" cm="1">
        <f t="array" ref="GK269">SUMPRODUCT(--($CR$7:$FW$7&gt;=GK$5),--($CR$7:$FW$7&lt;=GK$6),$CR269:$FW269)*GC269</f>
        <v>0</v>
      </c>
      <c r="GL269" s="145" cm="1">
        <f t="array" ref="GL269">SUMPRODUCT(--($CR$7:$FW$7&gt;=GL$5),--($CR$7:$FW$7&lt;=GL$6),$CR269:$FW269)*GD269</f>
        <v>0</v>
      </c>
      <c r="GM269" s="145" cm="1">
        <f t="array" ref="GM269">SUMPRODUCT(--($CR$7:$FW$7&gt;=GM$5),--($CR$7:$FW$7&lt;=GM$6),$CR269:$FW269)*GE269</f>
        <v>0</v>
      </c>
      <c r="GN269" s="145" cm="1">
        <f t="array" ref="GN269">SUMPRODUCT(--($CR$7:$FW$7&gt;=GN$5),--($CR$7:$FW$7&lt;=GN$6),$CR269:$FW269)*GF269</f>
        <v>0</v>
      </c>
      <c r="GO269" s="145">
        <f t="shared" si="92"/>
        <v>0</v>
      </c>
      <c r="GP269" s="87"/>
      <c r="GR269" s="145" cm="1">
        <f t="array" ref="GR269">SUMPRODUCT(--($CR$7:$FW$7&gt;=GR$5),--($CR$7:$FW$7&lt;=GR$6),$CR269:$FW269)</f>
        <v>0</v>
      </c>
      <c r="GT269" s="214" cm="1">
        <f t="array" ref="GT269">--AND(MIN(IF($K269:$CP269&lt;&gt;0,$K$7:$CP$7))&gt;=GT$5,MIN(IF($K269:$CP269&lt;&gt;0,$K$7:$CP$7))&lt;=GT$6)</f>
        <v>0</v>
      </c>
      <c r="GU269" s="214" cm="1">
        <f t="array" ref="GU269">--AND(MIN(IF($K269:$CP269&lt;&gt;0,$K$7:$CP$7))&gt;=GU$5,MIN(IF($K269:$CP269&lt;&gt;0,$K$7:$CP$7))&lt;=GU$6)</f>
        <v>0</v>
      </c>
      <c r="GV269" s="214" cm="1">
        <f t="array" ref="GV269">--AND(MIN(IF($K269:$CP269&lt;&gt;0,$K$7:$CP$7))&gt;=GV$5,MIN(IF($K269:$CP269&lt;&gt;0,$K$7:$CP$7))&lt;=GV$6)</f>
        <v>0</v>
      </c>
      <c r="GW269" s="214" cm="1">
        <f t="array" ref="GW269">--AND(MIN(IF($K269:$CP269&lt;&gt;0,$K$7:$CP$7))&gt;=GW$5,MIN(IF($K269:$CP269&lt;&gt;0,$K$7:$CP$7))&lt;=GW$6)</f>
        <v>0</v>
      </c>
      <c r="GX269" s="214" cm="1">
        <f t="array" ref="GX269">--AND(MIN(IF($K269:$CP269&lt;&gt;0,$K$7:$CP$7))&gt;=GX$5,MIN(IF($K269:$CP269&lt;&gt;0,$K$7:$CP$7))&lt;=GX$6)</f>
        <v>0</v>
      </c>
      <c r="GY269" s="214" cm="1">
        <f t="array" ref="GY269">--AND(MIN(IF($K269:$CP269&lt;&gt;0,$K$7:$CP$7))&gt;=GY$5,MIN(IF($K269:$CP269&lt;&gt;0,$K$7:$CP$7))&lt;=GY$6)</f>
        <v>0</v>
      </c>
      <c r="GZ269" s="214" cm="1">
        <f t="array" ref="GZ269">--AND(MIN(IF($K269:$CP269&lt;&gt;0,$K$7:$CP$7))&gt;=GZ$5,MIN(IF($K269:$CP269&lt;&gt;0,$K$7:$CP$7))&lt;=GZ$6)</f>
        <v>0</v>
      </c>
      <c r="HA269" s="214">
        <f t="shared" si="93"/>
        <v>0</v>
      </c>
      <c r="HC269" s="214" cm="1">
        <f t="array" ref="HC269">--AND(MIN(IF($K269:$CP269&lt;&gt;0,$K$7:$CP$7))&gt;=HC$5,MIN(IF($K269:$CP269&lt;&gt;0,$K$7:$CP$7))&lt;=HC$6)</f>
        <v>0</v>
      </c>
      <c r="HE269" s="147" t="str">
        <f t="shared" si="111"/>
        <v>No</v>
      </c>
      <c r="HF269" s="147" t="str">
        <f t="shared" si="112"/>
        <v>No</v>
      </c>
      <c r="HG269" s="147">
        <f>IF($HF269="Yes",0,$H269*avg_hrs*12*'Key assumptions'!$D$87)</f>
        <v>0</v>
      </c>
      <c r="HH269" s="147">
        <f>IF(HE269="Yes",'Key assumptions'!$D$84*HG269,0)</f>
        <v>0</v>
      </c>
      <c r="HI269" s="144">
        <f>IFERROR(AVERAGEIFS($K269:$CP269,$K$7:$CP$7,"&gt;="&amp;'Key assumptions'!$D$24,$K$7:$CP$7,"&lt;="&amp;'Key assumptions'!$D$25),0)</f>
        <v>0</v>
      </c>
      <c r="HJ269" s="148">
        <f t="shared" si="113"/>
        <v>0</v>
      </c>
      <c r="HK269" s="148">
        <f t="shared" si="94"/>
        <v>0</v>
      </c>
      <c r="HL269" s="148">
        <f t="shared" si="95"/>
        <v>0</v>
      </c>
      <c r="HM269" s="148">
        <f t="shared" si="96"/>
        <v>0</v>
      </c>
      <c r="HN269" s="148">
        <f t="shared" si="97"/>
        <v>0</v>
      </c>
      <c r="HO269" s="148">
        <f t="shared" si="98"/>
        <v>0</v>
      </c>
      <c r="HP269" s="148">
        <f t="shared" si="99"/>
        <v>0</v>
      </c>
      <c r="HQ269" s="148">
        <f t="shared" si="100"/>
        <v>0</v>
      </c>
      <c r="HR269" s="147">
        <f t="shared" si="101"/>
        <v>0</v>
      </c>
      <c r="HU269" s="147">
        <f>$HJ269*HC269/(1+'Key assumptions'!G291)^0.75</f>
        <v>0</v>
      </c>
      <c r="HW269" s="216">
        <f t="shared" si="102"/>
        <v>0</v>
      </c>
      <c r="HX269" s="216">
        <f t="shared" si="103"/>
        <v>0</v>
      </c>
      <c r="HY269" s="216">
        <f t="shared" si="104"/>
        <v>0</v>
      </c>
      <c r="HZ269" s="216">
        <f t="shared" si="105"/>
        <v>0</v>
      </c>
      <c r="IA269" s="216">
        <f t="shared" si="106"/>
        <v>0</v>
      </c>
      <c r="IB269" s="216">
        <f t="shared" si="107"/>
        <v>0</v>
      </c>
      <c r="IC269" s="216">
        <f t="shared" si="108"/>
        <v>0</v>
      </c>
      <c r="ID269" s="216">
        <f t="shared" si="109"/>
        <v>0</v>
      </c>
      <c r="IF269" s="216">
        <f t="shared" si="110"/>
        <v>0</v>
      </c>
    </row>
    <row r="270" spans="2:240" x14ac:dyDescent="0.2">
      <c r="B270" s="141"/>
      <c r="C270" s="141"/>
      <c r="D270" s="141"/>
      <c r="E270" s="141"/>
      <c r="F270" s="141"/>
      <c r="G270" s="141"/>
      <c r="H270" s="142"/>
      <c r="I270" s="126"/>
      <c r="J270" s="143"/>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3"/>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c r="EE270" s="145"/>
      <c r="EF270" s="145"/>
      <c r="EG270" s="145"/>
      <c r="EH270" s="145"/>
      <c r="EI270" s="145"/>
      <c r="EJ270" s="145"/>
      <c r="EK270" s="145"/>
      <c r="EL270" s="145"/>
      <c r="EM270" s="145"/>
      <c r="EN270" s="145"/>
      <c r="EO270" s="145"/>
      <c r="EP270" s="145"/>
      <c r="EQ270" s="145"/>
      <c r="ER270" s="145"/>
      <c r="ES270" s="145"/>
      <c r="ET270" s="145"/>
      <c r="EU270" s="145"/>
      <c r="EV270" s="145"/>
      <c r="EW270" s="145"/>
      <c r="EX270" s="145"/>
      <c r="EY270" s="145"/>
      <c r="EZ270" s="145"/>
      <c r="FA270" s="145"/>
      <c r="FB270" s="145"/>
      <c r="FC270" s="145"/>
      <c r="FD270" s="145"/>
      <c r="FE270" s="145"/>
      <c r="FF270" s="145"/>
      <c r="FG270" s="145"/>
      <c r="FH270" s="145"/>
      <c r="FI270" s="145"/>
      <c r="FJ270" s="145"/>
      <c r="FK270" s="145"/>
      <c r="FL270" s="145"/>
      <c r="FM270" s="145"/>
      <c r="FN270" s="145"/>
      <c r="FO270" s="145"/>
      <c r="FP270" s="145"/>
      <c r="FQ270" s="145"/>
      <c r="FR270" s="145"/>
      <c r="FS270" s="145"/>
      <c r="FT270" s="145"/>
      <c r="FU270" s="145"/>
      <c r="FV270" s="145"/>
      <c r="FW270" s="145"/>
      <c r="FX270" s="143"/>
      <c r="FY270" s="146">
        <f>_xlfn.XLOOKUP($E270,'Key assumptions'!$B$112:$B$120,'Key assumptions'!$C$112:$C$120,0)</f>
        <v>0</v>
      </c>
      <c r="FZ270" s="146" cm="1">
        <f t="array" ref="FZ270">IF($FY270=0,0,_xlfn.IFS($FY270='Key assumptions'!$C$120,_xlfn.XLOOKUP(LEFT(FZ$7,6),Inflation_Year,Inflation_NominaltoReal),TRUE,_xlfn.XLOOKUP($FY270,Inflation_Year,NominaltoReal)))</f>
        <v>0</v>
      </c>
      <c r="GA270" s="146" cm="1">
        <f t="array" ref="GA270">IF($FY270=0,0,_xlfn.IFS($FY270='Key assumptions'!$C$120,_xlfn.XLOOKUP(LEFT(GA$7,6),Inflation_Year,Inflation_NominaltoReal),TRUE,_xlfn.XLOOKUP($FY270,Inflation_Year,NominaltoReal)))</f>
        <v>0</v>
      </c>
      <c r="GB270" s="146" cm="1">
        <f t="array" ref="GB270">IF($FY270=0,0,_xlfn.IFS($FY270='Key assumptions'!$C$120,_xlfn.XLOOKUP(LEFT(GB$7,6),Inflation_Year,Inflation_NominaltoReal),TRUE,_xlfn.XLOOKUP($FY270,Inflation_Year,NominaltoReal)))</f>
        <v>0</v>
      </c>
      <c r="GC270" s="146" cm="1">
        <f t="array" ref="GC270">IF($FY270=0,0,_xlfn.IFS($FY270='Key assumptions'!$C$120,_xlfn.XLOOKUP(LEFT(GC$7,6),Inflation_Year,Inflation_NominaltoReal),TRUE,_xlfn.XLOOKUP($FY270,Inflation_Year,NominaltoReal)))</f>
        <v>0</v>
      </c>
      <c r="GD270" s="146" cm="1">
        <f t="array" ref="GD270">IF($FY270=0,0,_xlfn.IFS($FY270='Key assumptions'!$C$120,_xlfn.XLOOKUP(LEFT(GD$7,6),Inflation_Year,Inflation_NominaltoReal),TRUE,_xlfn.XLOOKUP($FY270,Inflation_Year,NominaltoReal)))</f>
        <v>0</v>
      </c>
      <c r="GE270" s="146" cm="1">
        <f t="array" ref="GE270">IF($FY270=0,0,_xlfn.IFS($FY270='Key assumptions'!$C$120,_xlfn.XLOOKUP(LEFT(GE$7,6),Inflation_Year,Inflation_NominaltoReal),TRUE,_xlfn.XLOOKUP($FY270,Inflation_Year,NominaltoReal)))</f>
        <v>0</v>
      </c>
      <c r="GF270" s="146" cm="1">
        <f t="array" ref="GF270">IF($FY270=0,0,_xlfn.IFS($FY270='Key assumptions'!$C$120,_xlfn.XLOOKUP(LEFT(GF$7,6),Inflation_Year,Inflation_NominaltoReal),TRUE,_xlfn.XLOOKUP($FY270,Inflation_Year,NominaltoReal)))</f>
        <v>0</v>
      </c>
      <c r="GG270" s="143"/>
      <c r="GH270" s="145" cm="1">
        <f t="array" ref="GH270">SUMPRODUCT(--($CR$7:$FW$7&gt;=GH$5),--($CR$7:$FW$7&lt;=GH$6),$CR270:$FW270)*FZ270</f>
        <v>0</v>
      </c>
      <c r="GI270" s="145" cm="1">
        <f t="array" ref="GI270">SUMPRODUCT(--($CR$7:$FW$7&gt;=GI$5),--($CR$7:$FW$7&lt;=GI$6),$CR270:$FW270)*GA270</f>
        <v>0</v>
      </c>
      <c r="GJ270" s="145" cm="1">
        <f t="array" ref="GJ270">SUMPRODUCT(--($CR$7:$FW$7&gt;=GJ$5),--($CR$7:$FW$7&lt;=GJ$6),$CR270:$FW270)*GB270</f>
        <v>0</v>
      </c>
      <c r="GK270" s="145" cm="1">
        <f t="array" ref="GK270">SUMPRODUCT(--($CR$7:$FW$7&gt;=GK$5),--($CR$7:$FW$7&lt;=GK$6),$CR270:$FW270)*GC270</f>
        <v>0</v>
      </c>
      <c r="GL270" s="145" cm="1">
        <f t="array" ref="GL270">SUMPRODUCT(--($CR$7:$FW$7&gt;=GL$5),--($CR$7:$FW$7&lt;=GL$6),$CR270:$FW270)*GD270</f>
        <v>0</v>
      </c>
      <c r="GM270" s="145" cm="1">
        <f t="array" ref="GM270">SUMPRODUCT(--($CR$7:$FW$7&gt;=GM$5),--($CR$7:$FW$7&lt;=GM$6),$CR270:$FW270)*GE270</f>
        <v>0</v>
      </c>
      <c r="GN270" s="145" cm="1">
        <f t="array" ref="GN270">SUMPRODUCT(--($CR$7:$FW$7&gt;=GN$5),--($CR$7:$FW$7&lt;=GN$6),$CR270:$FW270)*GF270</f>
        <v>0</v>
      </c>
      <c r="GO270" s="145">
        <f t="shared" si="92"/>
        <v>0</v>
      </c>
      <c r="GP270" s="87"/>
      <c r="GR270" s="145" cm="1">
        <f t="array" ref="GR270">SUMPRODUCT(--($CR$7:$FW$7&gt;=GR$5),--($CR$7:$FW$7&lt;=GR$6),$CR270:$FW270)</f>
        <v>0</v>
      </c>
      <c r="GT270" s="214" cm="1">
        <f t="array" ref="GT270">--AND(MIN(IF($K270:$CP270&lt;&gt;0,$K$7:$CP$7))&gt;=GT$5,MIN(IF($K270:$CP270&lt;&gt;0,$K$7:$CP$7))&lt;=GT$6)</f>
        <v>0</v>
      </c>
      <c r="GU270" s="214" cm="1">
        <f t="array" ref="GU270">--AND(MIN(IF($K270:$CP270&lt;&gt;0,$K$7:$CP$7))&gt;=GU$5,MIN(IF($K270:$CP270&lt;&gt;0,$K$7:$CP$7))&lt;=GU$6)</f>
        <v>0</v>
      </c>
      <c r="GV270" s="214" cm="1">
        <f t="array" ref="GV270">--AND(MIN(IF($K270:$CP270&lt;&gt;0,$K$7:$CP$7))&gt;=GV$5,MIN(IF($K270:$CP270&lt;&gt;0,$K$7:$CP$7))&lt;=GV$6)</f>
        <v>0</v>
      </c>
      <c r="GW270" s="214" cm="1">
        <f t="array" ref="GW270">--AND(MIN(IF($K270:$CP270&lt;&gt;0,$K$7:$CP$7))&gt;=GW$5,MIN(IF($K270:$CP270&lt;&gt;0,$K$7:$CP$7))&lt;=GW$6)</f>
        <v>0</v>
      </c>
      <c r="GX270" s="214" cm="1">
        <f t="array" ref="GX270">--AND(MIN(IF($K270:$CP270&lt;&gt;0,$K$7:$CP$7))&gt;=GX$5,MIN(IF($K270:$CP270&lt;&gt;0,$K$7:$CP$7))&lt;=GX$6)</f>
        <v>0</v>
      </c>
      <c r="GY270" s="214" cm="1">
        <f t="array" ref="GY270">--AND(MIN(IF($K270:$CP270&lt;&gt;0,$K$7:$CP$7))&gt;=GY$5,MIN(IF($K270:$CP270&lt;&gt;0,$K$7:$CP$7))&lt;=GY$6)</f>
        <v>0</v>
      </c>
      <c r="GZ270" s="214" cm="1">
        <f t="array" ref="GZ270">--AND(MIN(IF($K270:$CP270&lt;&gt;0,$K$7:$CP$7))&gt;=GZ$5,MIN(IF($K270:$CP270&lt;&gt;0,$K$7:$CP$7))&lt;=GZ$6)</f>
        <v>0</v>
      </c>
      <c r="HA270" s="214">
        <f t="shared" si="93"/>
        <v>0</v>
      </c>
      <c r="HC270" s="214" cm="1">
        <f t="array" ref="HC270">--AND(MIN(IF($K270:$CP270&lt;&gt;0,$K$7:$CP$7))&gt;=HC$5,MIN(IF($K270:$CP270&lt;&gt;0,$K$7:$CP$7))&lt;=HC$6)</f>
        <v>0</v>
      </c>
      <c r="HE270" s="147" t="str">
        <f t="shared" si="111"/>
        <v>No</v>
      </c>
      <c r="HF270" s="147" t="str">
        <f t="shared" si="112"/>
        <v>No</v>
      </c>
      <c r="HG270" s="147">
        <f>IF($HF270="Yes",0,$H270*avg_hrs*12*'Key assumptions'!$D$87)</f>
        <v>0</v>
      </c>
      <c r="HH270" s="147">
        <f>IF(HE270="Yes",'Key assumptions'!$D$84*HG270,0)</f>
        <v>0</v>
      </c>
      <c r="HI270" s="144">
        <f>IFERROR(AVERAGEIFS($K270:$CP270,$K$7:$CP$7,"&gt;="&amp;'Key assumptions'!$D$24,$K$7:$CP$7,"&lt;="&amp;'Key assumptions'!$D$25),0)</f>
        <v>0</v>
      </c>
      <c r="HJ270" s="148">
        <f t="shared" si="113"/>
        <v>0</v>
      </c>
      <c r="HK270" s="148">
        <f t="shared" si="94"/>
        <v>0</v>
      </c>
      <c r="HL270" s="148">
        <f t="shared" si="95"/>
        <v>0</v>
      </c>
      <c r="HM270" s="148">
        <f t="shared" si="96"/>
        <v>0</v>
      </c>
      <c r="HN270" s="148">
        <f t="shared" si="97"/>
        <v>0</v>
      </c>
      <c r="HO270" s="148">
        <f t="shared" si="98"/>
        <v>0</v>
      </c>
      <c r="HP270" s="148">
        <f t="shared" si="99"/>
        <v>0</v>
      </c>
      <c r="HQ270" s="148">
        <f t="shared" si="100"/>
        <v>0</v>
      </c>
      <c r="HR270" s="147">
        <f t="shared" si="101"/>
        <v>0</v>
      </c>
      <c r="HU270" s="147">
        <f>$HJ270*HC270/(1+'Key assumptions'!G292)^0.75</f>
        <v>0</v>
      </c>
      <c r="HW270" s="216">
        <f t="shared" si="102"/>
        <v>0</v>
      </c>
      <c r="HX270" s="216">
        <f t="shared" si="103"/>
        <v>0</v>
      </c>
      <c r="HY270" s="216">
        <f t="shared" si="104"/>
        <v>0</v>
      </c>
      <c r="HZ270" s="216">
        <f t="shared" si="105"/>
        <v>0</v>
      </c>
      <c r="IA270" s="216">
        <f t="shared" si="106"/>
        <v>0</v>
      </c>
      <c r="IB270" s="216">
        <f t="shared" si="107"/>
        <v>0</v>
      </c>
      <c r="IC270" s="216">
        <f t="shared" si="108"/>
        <v>0</v>
      </c>
      <c r="ID270" s="216">
        <f t="shared" si="109"/>
        <v>0</v>
      </c>
      <c r="IF270" s="216">
        <f t="shared" si="110"/>
        <v>0</v>
      </c>
    </row>
    <row r="271" spans="2:240" x14ac:dyDescent="0.2">
      <c r="B271" s="141"/>
      <c r="C271" s="141"/>
      <c r="D271" s="141"/>
      <c r="E271" s="141"/>
      <c r="F271" s="141"/>
      <c r="G271" s="141"/>
      <c r="H271" s="142"/>
      <c r="I271" s="126"/>
      <c r="J271" s="143"/>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3"/>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c r="EE271" s="145"/>
      <c r="EF271" s="145"/>
      <c r="EG271" s="145"/>
      <c r="EH271" s="145"/>
      <c r="EI271" s="145"/>
      <c r="EJ271" s="145"/>
      <c r="EK271" s="145"/>
      <c r="EL271" s="145"/>
      <c r="EM271" s="145"/>
      <c r="EN271" s="145"/>
      <c r="EO271" s="145"/>
      <c r="EP271" s="145"/>
      <c r="EQ271" s="145"/>
      <c r="ER271" s="145"/>
      <c r="ES271" s="145"/>
      <c r="ET271" s="145"/>
      <c r="EU271" s="145"/>
      <c r="EV271" s="145"/>
      <c r="EW271" s="145"/>
      <c r="EX271" s="145"/>
      <c r="EY271" s="145"/>
      <c r="EZ271" s="145"/>
      <c r="FA271" s="145"/>
      <c r="FB271" s="145"/>
      <c r="FC271" s="145"/>
      <c r="FD271" s="145"/>
      <c r="FE271" s="145"/>
      <c r="FF271" s="145"/>
      <c r="FG271" s="145"/>
      <c r="FH271" s="145"/>
      <c r="FI271" s="145"/>
      <c r="FJ271" s="145"/>
      <c r="FK271" s="145"/>
      <c r="FL271" s="145"/>
      <c r="FM271" s="145"/>
      <c r="FN271" s="145"/>
      <c r="FO271" s="145"/>
      <c r="FP271" s="145"/>
      <c r="FQ271" s="145"/>
      <c r="FR271" s="145"/>
      <c r="FS271" s="145"/>
      <c r="FT271" s="145"/>
      <c r="FU271" s="145"/>
      <c r="FV271" s="145"/>
      <c r="FW271" s="145"/>
      <c r="FX271" s="143"/>
      <c r="FY271" s="146">
        <f>_xlfn.XLOOKUP($E271,'Key assumptions'!$B$112:$B$120,'Key assumptions'!$C$112:$C$120,0)</f>
        <v>0</v>
      </c>
      <c r="FZ271" s="146" cm="1">
        <f t="array" ref="FZ271">IF($FY271=0,0,_xlfn.IFS($FY271='Key assumptions'!$C$120,_xlfn.XLOOKUP(LEFT(FZ$7,6),Inflation_Year,Inflation_NominaltoReal),TRUE,_xlfn.XLOOKUP($FY271,Inflation_Year,NominaltoReal)))</f>
        <v>0</v>
      </c>
      <c r="GA271" s="146" cm="1">
        <f t="array" ref="GA271">IF($FY271=0,0,_xlfn.IFS($FY271='Key assumptions'!$C$120,_xlfn.XLOOKUP(LEFT(GA$7,6),Inflation_Year,Inflation_NominaltoReal),TRUE,_xlfn.XLOOKUP($FY271,Inflation_Year,NominaltoReal)))</f>
        <v>0</v>
      </c>
      <c r="GB271" s="146" cm="1">
        <f t="array" ref="GB271">IF($FY271=0,0,_xlfn.IFS($FY271='Key assumptions'!$C$120,_xlfn.XLOOKUP(LEFT(GB$7,6),Inflation_Year,Inflation_NominaltoReal),TRUE,_xlfn.XLOOKUP($FY271,Inflation_Year,NominaltoReal)))</f>
        <v>0</v>
      </c>
      <c r="GC271" s="146" cm="1">
        <f t="array" ref="GC271">IF($FY271=0,0,_xlfn.IFS($FY271='Key assumptions'!$C$120,_xlfn.XLOOKUP(LEFT(GC$7,6),Inflation_Year,Inflation_NominaltoReal),TRUE,_xlfn.XLOOKUP($FY271,Inflation_Year,NominaltoReal)))</f>
        <v>0</v>
      </c>
      <c r="GD271" s="146" cm="1">
        <f t="array" ref="GD271">IF($FY271=0,0,_xlfn.IFS($FY271='Key assumptions'!$C$120,_xlfn.XLOOKUP(LEFT(GD$7,6),Inflation_Year,Inflation_NominaltoReal),TRUE,_xlfn.XLOOKUP($FY271,Inflation_Year,NominaltoReal)))</f>
        <v>0</v>
      </c>
      <c r="GE271" s="146" cm="1">
        <f t="array" ref="GE271">IF($FY271=0,0,_xlfn.IFS($FY271='Key assumptions'!$C$120,_xlfn.XLOOKUP(LEFT(GE$7,6),Inflation_Year,Inflation_NominaltoReal),TRUE,_xlfn.XLOOKUP($FY271,Inflation_Year,NominaltoReal)))</f>
        <v>0</v>
      </c>
      <c r="GF271" s="146" cm="1">
        <f t="array" ref="GF271">IF($FY271=0,0,_xlfn.IFS($FY271='Key assumptions'!$C$120,_xlfn.XLOOKUP(LEFT(GF$7,6),Inflation_Year,Inflation_NominaltoReal),TRUE,_xlfn.XLOOKUP($FY271,Inflation_Year,NominaltoReal)))</f>
        <v>0</v>
      </c>
      <c r="GG271" s="143"/>
      <c r="GH271" s="145" cm="1">
        <f t="array" ref="GH271">SUMPRODUCT(--($CR$7:$FW$7&gt;=GH$5),--($CR$7:$FW$7&lt;=GH$6),$CR271:$FW271)*FZ271</f>
        <v>0</v>
      </c>
      <c r="GI271" s="145" cm="1">
        <f t="array" ref="GI271">SUMPRODUCT(--($CR$7:$FW$7&gt;=GI$5),--($CR$7:$FW$7&lt;=GI$6),$CR271:$FW271)*GA271</f>
        <v>0</v>
      </c>
      <c r="GJ271" s="145" cm="1">
        <f t="array" ref="GJ271">SUMPRODUCT(--($CR$7:$FW$7&gt;=GJ$5),--($CR$7:$FW$7&lt;=GJ$6),$CR271:$FW271)*GB271</f>
        <v>0</v>
      </c>
      <c r="GK271" s="145" cm="1">
        <f t="array" ref="GK271">SUMPRODUCT(--($CR$7:$FW$7&gt;=GK$5),--($CR$7:$FW$7&lt;=GK$6),$CR271:$FW271)*GC271</f>
        <v>0</v>
      </c>
      <c r="GL271" s="145" cm="1">
        <f t="array" ref="GL271">SUMPRODUCT(--($CR$7:$FW$7&gt;=GL$5),--($CR$7:$FW$7&lt;=GL$6),$CR271:$FW271)*GD271</f>
        <v>0</v>
      </c>
      <c r="GM271" s="145" cm="1">
        <f t="array" ref="GM271">SUMPRODUCT(--($CR$7:$FW$7&gt;=GM$5),--($CR$7:$FW$7&lt;=GM$6),$CR271:$FW271)*GE271</f>
        <v>0</v>
      </c>
      <c r="GN271" s="145" cm="1">
        <f t="array" ref="GN271">SUMPRODUCT(--($CR$7:$FW$7&gt;=GN$5),--($CR$7:$FW$7&lt;=GN$6),$CR271:$FW271)*GF271</f>
        <v>0</v>
      </c>
      <c r="GO271" s="145">
        <f t="shared" si="92"/>
        <v>0</v>
      </c>
      <c r="GP271" s="87"/>
      <c r="GR271" s="145" cm="1">
        <f t="array" ref="GR271">SUMPRODUCT(--($CR$7:$FW$7&gt;=GR$5),--($CR$7:$FW$7&lt;=GR$6),$CR271:$FW271)</f>
        <v>0</v>
      </c>
      <c r="GT271" s="214" cm="1">
        <f t="array" ref="GT271">--AND(MIN(IF($K271:$CP271&lt;&gt;0,$K$7:$CP$7))&gt;=GT$5,MIN(IF($K271:$CP271&lt;&gt;0,$K$7:$CP$7))&lt;=GT$6)</f>
        <v>0</v>
      </c>
      <c r="GU271" s="214" cm="1">
        <f t="array" ref="GU271">--AND(MIN(IF($K271:$CP271&lt;&gt;0,$K$7:$CP$7))&gt;=GU$5,MIN(IF($K271:$CP271&lt;&gt;0,$K$7:$CP$7))&lt;=GU$6)</f>
        <v>0</v>
      </c>
      <c r="GV271" s="214" cm="1">
        <f t="array" ref="GV271">--AND(MIN(IF($K271:$CP271&lt;&gt;0,$K$7:$CP$7))&gt;=GV$5,MIN(IF($K271:$CP271&lt;&gt;0,$K$7:$CP$7))&lt;=GV$6)</f>
        <v>0</v>
      </c>
      <c r="GW271" s="214" cm="1">
        <f t="array" ref="GW271">--AND(MIN(IF($K271:$CP271&lt;&gt;0,$K$7:$CP$7))&gt;=GW$5,MIN(IF($K271:$CP271&lt;&gt;0,$K$7:$CP$7))&lt;=GW$6)</f>
        <v>0</v>
      </c>
      <c r="GX271" s="214" cm="1">
        <f t="array" ref="GX271">--AND(MIN(IF($K271:$CP271&lt;&gt;0,$K$7:$CP$7))&gt;=GX$5,MIN(IF($K271:$CP271&lt;&gt;0,$K$7:$CP$7))&lt;=GX$6)</f>
        <v>0</v>
      </c>
      <c r="GY271" s="214" cm="1">
        <f t="array" ref="GY271">--AND(MIN(IF($K271:$CP271&lt;&gt;0,$K$7:$CP$7))&gt;=GY$5,MIN(IF($K271:$CP271&lt;&gt;0,$K$7:$CP$7))&lt;=GY$6)</f>
        <v>0</v>
      </c>
      <c r="GZ271" s="214" cm="1">
        <f t="array" ref="GZ271">--AND(MIN(IF($K271:$CP271&lt;&gt;0,$K$7:$CP$7))&gt;=GZ$5,MIN(IF($K271:$CP271&lt;&gt;0,$K$7:$CP$7))&lt;=GZ$6)</f>
        <v>0</v>
      </c>
      <c r="HA271" s="214">
        <f t="shared" si="93"/>
        <v>0</v>
      </c>
      <c r="HC271" s="214" cm="1">
        <f t="array" ref="HC271">--AND(MIN(IF($K271:$CP271&lt;&gt;0,$K$7:$CP$7))&gt;=HC$5,MIN(IF($K271:$CP271&lt;&gt;0,$K$7:$CP$7))&lt;=HC$6)</f>
        <v>0</v>
      </c>
      <c r="HE271" s="147" t="str">
        <f t="shared" si="111"/>
        <v>No</v>
      </c>
      <c r="HF271" s="147" t="str">
        <f t="shared" si="112"/>
        <v>No</v>
      </c>
      <c r="HG271" s="147">
        <f>IF($HF271="Yes",0,$H271*avg_hrs*12*'Key assumptions'!$D$87)</f>
        <v>0</v>
      </c>
      <c r="HH271" s="147">
        <f>IF(HE271="Yes",'Key assumptions'!$D$84*HG271,0)</f>
        <v>0</v>
      </c>
      <c r="HI271" s="144">
        <f>IFERROR(AVERAGEIFS($K271:$CP271,$K$7:$CP$7,"&gt;="&amp;'Key assumptions'!$D$24,$K$7:$CP$7,"&lt;="&amp;'Key assumptions'!$D$25),0)</f>
        <v>0</v>
      </c>
      <c r="HJ271" s="148">
        <f t="shared" si="113"/>
        <v>0</v>
      </c>
      <c r="HK271" s="148">
        <f t="shared" si="94"/>
        <v>0</v>
      </c>
      <c r="HL271" s="148">
        <f t="shared" si="95"/>
        <v>0</v>
      </c>
      <c r="HM271" s="148">
        <f t="shared" si="96"/>
        <v>0</v>
      </c>
      <c r="HN271" s="148">
        <f t="shared" si="97"/>
        <v>0</v>
      </c>
      <c r="HO271" s="148">
        <f t="shared" si="98"/>
        <v>0</v>
      </c>
      <c r="HP271" s="148">
        <f t="shared" si="99"/>
        <v>0</v>
      </c>
      <c r="HQ271" s="148">
        <f t="shared" si="100"/>
        <v>0</v>
      </c>
      <c r="HR271" s="147">
        <f t="shared" si="101"/>
        <v>0</v>
      </c>
      <c r="HU271" s="147">
        <f>$HJ271*HC271/(1+'Key assumptions'!G293)^0.75</f>
        <v>0</v>
      </c>
      <c r="HW271" s="216">
        <f t="shared" si="102"/>
        <v>0</v>
      </c>
      <c r="HX271" s="216">
        <f t="shared" si="103"/>
        <v>0</v>
      </c>
      <c r="HY271" s="216">
        <f t="shared" si="104"/>
        <v>0</v>
      </c>
      <c r="HZ271" s="216">
        <f t="shared" si="105"/>
        <v>0</v>
      </c>
      <c r="IA271" s="216">
        <f t="shared" si="106"/>
        <v>0</v>
      </c>
      <c r="IB271" s="216">
        <f t="shared" si="107"/>
        <v>0</v>
      </c>
      <c r="IC271" s="216">
        <f t="shared" si="108"/>
        <v>0</v>
      </c>
      <c r="ID271" s="216">
        <f t="shared" si="109"/>
        <v>0</v>
      </c>
      <c r="IF271" s="216">
        <f t="shared" si="110"/>
        <v>0</v>
      </c>
    </row>
    <row r="272" spans="2:240" x14ac:dyDescent="0.2">
      <c r="B272" s="141"/>
      <c r="C272" s="141"/>
      <c r="D272" s="141"/>
      <c r="E272" s="141"/>
      <c r="F272" s="141"/>
      <c r="G272" s="141"/>
      <c r="H272" s="142"/>
      <c r="I272" s="126"/>
      <c r="J272" s="143"/>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3"/>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c r="EE272" s="145"/>
      <c r="EF272" s="145"/>
      <c r="EG272" s="145"/>
      <c r="EH272" s="145"/>
      <c r="EI272" s="145"/>
      <c r="EJ272" s="145"/>
      <c r="EK272" s="145"/>
      <c r="EL272" s="145"/>
      <c r="EM272" s="145"/>
      <c r="EN272" s="145"/>
      <c r="EO272" s="145"/>
      <c r="EP272" s="145"/>
      <c r="EQ272" s="145"/>
      <c r="ER272" s="145"/>
      <c r="ES272" s="145"/>
      <c r="ET272" s="145"/>
      <c r="EU272" s="145"/>
      <c r="EV272" s="145"/>
      <c r="EW272" s="145"/>
      <c r="EX272" s="145"/>
      <c r="EY272" s="145"/>
      <c r="EZ272" s="145"/>
      <c r="FA272" s="145"/>
      <c r="FB272" s="145"/>
      <c r="FC272" s="145"/>
      <c r="FD272" s="145"/>
      <c r="FE272" s="145"/>
      <c r="FF272" s="145"/>
      <c r="FG272" s="145"/>
      <c r="FH272" s="145"/>
      <c r="FI272" s="145"/>
      <c r="FJ272" s="145"/>
      <c r="FK272" s="145"/>
      <c r="FL272" s="145"/>
      <c r="FM272" s="145"/>
      <c r="FN272" s="145"/>
      <c r="FO272" s="145"/>
      <c r="FP272" s="145"/>
      <c r="FQ272" s="145"/>
      <c r="FR272" s="145"/>
      <c r="FS272" s="145"/>
      <c r="FT272" s="145"/>
      <c r="FU272" s="145"/>
      <c r="FV272" s="145"/>
      <c r="FW272" s="145"/>
      <c r="FX272" s="143"/>
      <c r="FY272" s="146">
        <f>_xlfn.XLOOKUP($E272,'Key assumptions'!$B$112:$B$120,'Key assumptions'!$C$112:$C$120,0)</f>
        <v>0</v>
      </c>
      <c r="FZ272" s="146" cm="1">
        <f t="array" ref="FZ272">IF($FY272=0,0,_xlfn.IFS($FY272='Key assumptions'!$C$120,_xlfn.XLOOKUP(LEFT(FZ$7,6),Inflation_Year,Inflation_NominaltoReal),TRUE,_xlfn.XLOOKUP($FY272,Inflation_Year,NominaltoReal)))</f>
        <v>0</v>
      </c>
      <c r="GA272" s="146" cm="1">
        <f t="array" ref="GA272">IF($FY272=0,0,_xlfn.IFS($FY272='Key assumptions'!$C$120,_xlfn.XLOOKUP(LEFT(GA$7,6),Inflation_Year,Inflation_NominaltoReal),TRUE,_xlfn.XLOOKUP($FY272,Inflation_Year,NominaltoReal)))</f>
        <v>0</v>
      </c>
      <c r="GB272" s="146" cm="1">
        <f t="array" ref="GB272">IF($FY272=0,0,_xlfn.IFS($FY272='Key assumptions'!$C$120,_xlfn.XLOOKUP(LEFT(GB$7,6),Inflation_Year,Inflation_NominaltoReal),TRUE,_xlfn.XLOOKUP($FY272,Inflation_Year,NominaltoReal)))</f>
        <v>0</v>
      </c>
      <c r="GC272" s="146" cm="1">
        <f t="array" ref="GC272">IF($FY272=0,0,_xlfn.IFS($FY272='Key assumptions'!$C$120,_xlfn.XLOOKUP(LEFT(GC$7,6),Inflation_Year,Inflation_NominaltoReal),TRUE,_xlfn.XLOOKUP($FY272,Inflation_Year,NominaltoReal)))</f>
        <v>0</v>
      </c>
      <c r="GD272" s="146" cm="1">
        <f t="array" ref="GD272">IF($FY272=0,0,_xlfn.IFS($FY272='Key assumptions'!$C$120,_xlfn.XLOOKUP(LEFT(GD$7,6),Inflation_Year,Inflation_NominaltoReal),TRUE,_xlfn.XLOOKUP($FY272,Inflation_Year,NominaltoReal)))</f>
        <v>0</v>
      </c>
      <c r="GE272" s="146" cm="1">
        <f t="array" ref="GE272">IF($FY272=0,0,_xlfn.IFS($FY272='Key assumptions'!$C$120,_xlfn.XLOOKUP(LEFT(GE$7,6),Inflation_Year,Inflation_NominaltoReal),TRUE,_xlfn.XLOOKUP($FY272,Inflation_Year,NominaltoReal)))</f>
        <v>0</v>
      </c>
      <c r="GF272" s="146" cm="1">
        <f t="array" ref="GF272">IF($FY272=0,0,_xlfn.IFS($FY272='Key assumptions'!$C$120,_xlfn.XLOOKUP(LEFT(GF$7,6),Inflation_Year,Inflation_NominaltoReal),TRUE,_xlfn.XLOOKUP($FY272,Inflation_Year,NominaltoReal)))</f>
        <v>0</v>
      </c>
      <c r="GG272" s="143"/>
      <c r="GH272" s="145" cm="1">
        <f t="array" ref="GH272">SUMPRODUCT(--($CR$7:$FW$7&gt;=GH$5),--($CR$7:$FW$7&lt;=GH$6),$CR272:$FW272)*FZ272</f>
        <v>0</v>
      </c>
      <c r="GI272" s="145" cm="1">
        <f t="array" ref="GI272">SUMPRODUCT(--($CR$7:$FW$7&gt;=GI$5),--($CR$7:$FW$7&lt;=GI$6),$CR272:$FW272)*GA272</f>
        <v>0</v>
      </c>
      <c r="GJ272" s="145" cm="1">
        <f t="array" ref="GJ272">SUMPRODUCT(--($CR$7:$FW$7&gt;=GJ$5),--($CR$7:$FW$7&lt;=GJ$6),$CR272:$FW272)*GB272</f>
        <v>0</v>
      </c>
      <c r="GK272" s="145" cm="1">
        <f t="array" ref="GK272">SUMPRODUCT(--($CR$7:$FW$7&gt;=GK$5),--($CR$7:$FW$7&lt;=GK$6),$CR272:$FW272)*GC272</f>
        <v>0</v>
      </c>
      <c r="GL272" s="145" cm="1">
        <f t="array" ref="GL272">SUMPRODUCT(--($CR$7:$FW$7&gt;=GL$5),--($CR$7:$FW$7&lt;=GL$6),$CR272:$FW272)*GD272</f>
        <v>0</v>
      </c>
      <c r="GM272" s="145" cm="1">
        <f t="array" ref="GM272">SUMPRODUCT(--($CR$7:$FW$7&gt;=GM$5),--($CR$7:$FW$7&lt;=GM$6),$CR272:$FW272)*GE272</f>
        <v>0</v>
      </c>
      <c r="GN272" s="145" cm="1">
        <f t="array" ref="GN272">SUMPRODUCT(--($CR$7:$FW$7&gt;=GN$5),--($CR$7:$FW$7&lt;=GN$6),$CR272:$FW272)*GF272</f>
        <v>0</v>
      </c>
      <c r="GO272" s="145">
        <f t="shared" si="92"/>
        <v>0</v>
      </c>
      <c r="GP272" s="87"/>
      <c r="GR272" s="145" cm="1">
        <f t="array" ref="GR272">SUMPRODUCT(--($CR$7:$FW$7&gt;=GR$5),--($CR$7:$FW$7&lt;=GR$6),$CR272:$FW272)</f>
        <v>0</v>
      </c>
      <c r="GT272" s="214" cm="1">
        <f t="array" ref="GT272">--AND(MIN(IF($K272:$CP272&lt;&gt;0,$K$7:$CP$7))&gt;=GT$5,MIN(IF($K272:$CP272&lt;&gt;0,$K$7:$CP$7))&lt;=GT$6)</f>
        <v>0</v>
      </c>
      <c r="GU272" s="214" cm="1">
        <f t="array" ref="GU272">--AND(MIN(IF($K272:$CP272&lt;&gt;0,$K$7:$CP$7))&gt;=GU$5,MIN(IF($K272:$CP272&lt;&gt;0,$K$7:$CP$7))&lt;=GU$6)</f>
        <v>0</v>
      </c>
      <c r="GV272" s="214" cm="1">
        <f t="array" ref="GV272">--AND(MIN(IF($K272:$CP272&lt;&gt;0,$K$7:$CP$7))&gt;=GV$5,MIN(IF($K272:$CP272&lt;&gt;0,$K$7:$CP$7))&lt;=GV$6)</f>
        <v>0</v>
      </c>
      <c r="GW272" s="214" cm="1">
        <f t="array" ref="GW272">--AND(MIN(IF($K272:$CP272&lt;&gt;0,$K$7:$CP$7))&gt;=GW$5,MIN(IF($K272:$CP272&lt;&gt;0,$K$7:$CP$7))&lt;=GW$6)</f>
        <v>0</v>
      </c>
      <c r="GX272" s="214" cm="1">
        <f t="array" ref="GX272">--AND(MIN(IF($K272:$CP272&lt;&gt;0,$K$7:$CP$7))&gt;=GX$5,MIN(IF($K272:$CP272&lt;&gt;0,$K$7:$CP$7))&lt;=GX$6)</f>
        <v>0</v>
      </c>
      <c r="GY272" s="214" cm="1">
        <f t="array" ref="GY272">--AND(MIN(IF($K272:$CP272&lt;&gt;0,$K$7:$CP$7))&gt;=GY$5,MIN(IF($K272:$CP272&lt;&gt;0,$K$7:$CP$7))&lt;=GY$6)</f>
        <v>0</v>
      </c>
      <c r="GZ272" s="214" cm="1">
        <f t="array" ref="GZ272">--AND(MIN(IF($K272:$CP272&lt;&gt;0,$K$7:$CP$7))&gt;=GZ$5,MIN(IF($K272:$CP272&lt;&gt;0,$K$7:$CP$7))&lt;=GZ$6)</f>
        <v>0</v>
      </c>
      <c r="HA272" s="214">
        <f t="shared" si="93"/>
        <v>0</v>
      </c>
      <c r="HC272" s="214" cm="1">
        <f t="array" ref="HC272">--AND(MIN(IF($K272:$CP272&lt;&gt;0,$K$7:$CP$7))&gt;=HC$5,MIN(IF($K272:$CP272&lt;&gt;0,$K$7:$CP$7))&lt;=HC$6)</f>
        <v>0</v>
      </c>
      <c r="HE272" s="147" t="str">
        <f t="shared" si="111"/>
        <v>No</v>
      </c>
      <c r="HF272" s="147" t="str">
        <f t="shared" si="112"/>
        <v>No</v>
      </c>
      <c r="HG272" s="147">
        <f>IF($HF272="Yes",0,$H272*avg_hrs*12*'Key assumptions'!$D$87)</f>
        <v>0</v>
      </c>
      <c r="HH272" s="147">
        <f>IF(HE272="Yes",'Key assumptions'!$D$84*HG272,0)</f>
        <v>0</v>
      </c>
      <c r="HI272" s="144">
        <f>IFERROR(AVERAGEIFS($K272:$CP272,$K$7:$CP$7,"&gt;="&amp;'Key assumptions'!$D$24,$K$7:$CP$7,"&lt;="&amp;'Key assumptions'!$D$25),0)</f>
        <v>0</v>
      </c>
      <c r="HJ272" s="148">
        <f t="shared" si="113"/>
        <v>0</v>
      </c>
      <c r="HK272" s="148">
        <f t="shared" si="94"/>
        <v>0</v>
      </c>
      <c r="HL272" s="148">
        <f t="shared" si="95"/>
        <v>0</v>
      </c>
      <c r="HM272" s="148">
        <f t="shared" si="96"/>
        <v>0</v>
      </c>
      <c r="HN272" s="148">
        <f t="shared" si="97"/>
        <v>0</v>
      </c>
      <c r="HO272" s="148">
        <f t="shared" si="98"/>
        <v>0</v>
      </c>
      <c r="HP272" s="148">
        <f t="shared" si="99"/>
        <v>0</v>
      </c>
      <c r="HQ272" s="148">
        <f t="shared" si="100"/>
        <v>0</v>
      </c>
      <c r="HR272" s="147">
        <f t="shared" si="101"/>
        <v>0</v>
      </c>
      <c r="HU272" s="147">
        <f>$HJ272*HC272/(1+'Key assumptions'!G294)^0.75</f>
        <v>0</v>
      </c>
      <c r="HW272" s="216">
        <f t="shared" si="102"/>
        <v>0</v>
      </c>
      <c r="HX272" s="216">
        <f t="shared" si="103"/>
        <v>0</v>
      </c>
      <c r="HY272" s="216">
        <f t="shared" si="104"/>
        <v>0</v>
      </c>
      <c r="HZ272" s="216">
        <f t="shared" si="105"/>
        <v>0</v>
      </c>
      <c r="IA272" s="216">
        <f t="shared" si="106"/>
        <v>0</v>
      </c>
      <c r="IB272" s="216">
        <f t="shared" si="107"/>
        <v>0</v>
      </c>
      <c r="IC272" s="216">
        <f t="shared" si="108"/>
        <v>0</v>
      </c>
      <c r="ID272" s="216">
        <f t="shared" si="109"/>
        <v>0</v>
      </c>
      <c r="IF272" s="216">
        <f t="shared" si="110"/>
        <v>0</v>
      </c>
    </row>
    <row r="273" spans="2:240" x14ac:dyDescent="0.2">
      <c r="B273" s="141"/>
      <c r="C273" s="141"/>
      <c r="D273" s="141"/>
      <c r="E273" s="141"/>
      <c r="F273" s="141"/>
      <c r="G273" s="141"/>
      <c r="H273" s="142"/>
      <c r="I273" s="126"/>
      <c r="J273" s="143"/>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3"/>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145"/>
      <c r="EH273" s="145"/>
      <c r="EI273" s="145"/>
      <c r="EJ273" s="145"/>
      <c r="EK273" s="145"/>
      <c r="EL273" s="145"/>
      <c r="EM273" s="145"/>
      <c r="EN273" s="145"/>
      <c r="EO273" s="145"/>
      <c r="EP273" s="145"/>
      <c r="EQ273" s="145"/>
      <c r="ER273" s="145"/>
      <c r="ES273" s="145"/>
      <c r="ET273" s="145"/>
      <c r="EU273" s="145"/>
      <c r="EV273" s="145"/>
      <c r="EW273" s="145"/>
      <c r="EX273" s="145"/>
      <c r="EY273" s="145"/>
      <c r="EZ273" s="145"/>
      <c r="FA273" s="145"/>
      <c r="FB273" s="145"/>
      <c r="FC273" s="145"/>
      <c r="FD273" s="145"/>
      <c r="FE273" s="145"/>
      <c r="FF273" s="145"/>
      <c r="FG273" s="145"/>
      <c r="FH273" s="145"/>
      <c r="FI273" s="145"/>
      <c r="FJ273" s="145"/>
      <c r="FK273" s="145"/>
      <c r="FL273" s="145"/>
      <c r="FM273" s="145"/>
      <c r="FN273" s="145"/>
      <c r="FO273" s="145"/>
      <c r="FP273" s="145"/>
      <c r="FQ273" s="145"/>
      <c r="FR273" s="145"/>
      <c r="FS273" s="145"/>
      <c r="FT273" s="145"/>
      <c r="FU273" s="145"/>
      <c r="FV273" s="145"/>
      <c r="FW273" s="145"/>
      <c r="FX273" s="143"/>
      <c r="FY273" s="146">
        <f>_xlfn.XLOOKUP($E273,'Key assumptions'!$B$112:$B$120,'Key assumptions'!$C$112:$C$120,0)</f>
        <v>0</v>
      </c>
      <c r="FZ273" s="146" cm="1">
        <f t="array" ref="FZ273">IF($FY273=0,0,_xlfn.IFS($FY273='Key assumptions'!$C$120,_xlfn.XLOOKUP(LEFT(FZ$7,6),Inflation_Year,Inflation_NominaltoReal),TRUE,_xlfn.XLOOKUP($FY273,Inflation_Year,NominaltoReal)))</f>
        <v>0</v>
      </c>
      <c r="GA273" s="146" cm="1">
        <f t="array" ref="GA273">IF($FY273=0,0,_xlfn.IFS($FY273='Key assumptions'!$C$120,_xlfn.XLOOKUP(LEFT(GA$7,6),Inflation_Year,Inflation_NominaltoReal),TRUE,_xlfn.XLOOKUP($FY273,Inflation_Year,NominaltoReal)))</f>
        <v>0</v>
      </c>
      <c r="GB273" s="146" cm="1">
        <f t="array" ref="GB273">IF($FY273=0,0,_xlfn.IFS($FY273='Key assumptions'!$C$120,_xlfn.XLOOKUP(LEFT(GB$7,6),Inflation_Year,Inflation_NominaltoReal),TRUE,_xlfn.XLOOKUP($FY273,Inflation_Year,NominaltoReal)))</f>
        <v>0</v>
      </c>
      <c r="GC273" s="146" cm="1">
        <f t="array" ref="GC273">IF($FY273=0,0,_xlfn.IFS($FY273='Key assumptions'!$C$120,_xlfn.XLOOKUP(LEFT(GC$7,6),Inflation_Year,Inflation_NominaltoReal),TRUE,_xlfn.XLOOKUP($FY273,Inflation_Year,NominaltoReal)))</f>
        <v>0</v>
      </c>
      <c r="GD273" s="146" cm="1">
        <f t="array" ref="GD273">IF($FY273=0,0,_xlfn.IFS($FY273='Key assumptions'!$C$120,_xlfn.XLOOKUP(LEFT(GD$7,6),Inflation_Year,Inflation_NominaltoReal),TRUE,_xlfn.XLOOKUP($FY273,Inflation_Year,NominaltoReal)))</f>
        <v>0</v>
      </c>
      <c r="GE273" s="146" cm="1">
        <f t="array" ref="GE273">IF($FY273=0,0,_xlfn.IFS($FY273='Key assumptions'!$C$120,_xlfn.XLOOKUP(LEFT(GE$7,6),Inflation_Year,Inflation_NominaltoReal),TRUE,_xlfn.XLOOKUP($FY273,Inflation_Year,NominaltoReal)))</f>
        <v>0</v>
      </c>
      <c r="GF273" s="146" cm="1">
        <f t="array" ref="GF273">IF($FY273=0,0,_xlfn.IFS($FY273='Key assumptions'!$C$120,_xlfn.XLOOKUP(LEFT(GF$7,6),Inflation_Year,Inflation_NominaltoReal),TRUE,_xlfn.XLOOKUP($FY273,Inflation_Year,NominaltoReal)))</f>
        <v>0</v>
      </c>
      <c r="GG273" s="143"/>
      <c r="GH273" s="145" cm="1">
        <f t="array" ref="GH273">SUMPRODUCT(--($CR$7:$FW$7&gt;=GH$5),--($CR$7:$FW$7&lt;=GH$6),$CR273:$FW273)*FZ273</f>
        <v>0</v>
      </c>
      <c r="GI273" s="145" cm="1">
        <f t="array" ref="GI273">SUMPRODUCT(--($CR$7:$FW$7&gt;=GI$5),--($CR$7:$FW$7&lt;=GI$6),$CR273:$FW273)*GA273</f>
        <v>0</v>
      </c>
      <c r="GJ273" s="145" cm="1">
        <f t="array" ref="GJ273">SUMPRODUCT(--($CR$7:$FW$7&gt;=GJ$5),--($CR$7:$FW$7&lt;=GJ$6),$CR273:$FW273)*GB273</f>
        <v>0</v>
      </c>
      <c r="GK273" s="145" cm="1">
        <f t="array" ref="GK273">SUMPRODUCT(--($CR$7:$FW$7&gt;=GK$5),--($CR$7:$FW$7&lt;=GK$6),$CR273:$FW273)*GC273</f>
        <v>0</v>
      </c>
      <c r="GL273" s="145" cm="1">
        <f t="array" ref="GL273">SUMPRODUCT(--($CR$7:$FW$7&gt;=GL$5),--($CR$7:$FW$7&lt;=GL$6),$CR273:$FW273)*GD273</f>
        <v>0</v>
      </c>
      <c r="GM273" s="145" cm="1">
        <f t="array" ref="GM273">SUMPRODUCT(--($CR$7:$FW$7&gt;=GM$5),--($CR$7:$FW$7&lt;=GM$6),$CR273:$FW273)*GE273</f>
        <v>0</v>
      </c>
      <c r="GN273" s="145" cm="1">
        <f t="array" ref="GN273">SUMPRODUCT(--($CR$7:$FW$7&gt;=GN$5),--($CR$7:$FW$7&lt;=GN$6),$CR273:$FW273)*GF273</f>
        <v>0</v>
      </c>
      <c r="GO273" s="145">
        <f t="shared" si="92"/>
        <v>0</v>
      </c>
      <c r="GP273" s="87"/>
      <c r="GR273" s="145" cm="1">
        <f t="array" ref="GR273">SUMPRODUCT(--($CR$7:$FW$7&gt;=GR$5),--($CR$7:$FW$7&lt;=GR$6),$CR273:$FW273)</f>
        <v>0</v>
      </c>
      <c r="GT273" s="214" cm="1">
        <f t="array" ref="GT273">--AND(MIN(IF($K273:$CP273&lt;&gt;0,$K$7:$CP$7))&gt;=GT$5,MIN(IF($K273:$CP273&lt;&gt;0,$K$7:$CP$7))&lt;=GT$6)</f>
        <v>0</v>
      </c>
      <c r="GU273" s="214" cm="1">
        <f t="array" ref="GU273">--AND(MIN(IF($K273:$CP273&lt;&gt;0,$K$7:$CP$7))&gt;=GU$5,MIN(IF($K273:$CP273&lt;&gt;0,$K$7:$CP$7))&lt;=GU$6)</f>
        <v>0</v>
      </c>
      <c r="GV273" s="214" cm="1">
        <f t="array" ref="GV273">--AND(MIN(IF($K273:$CP273&lt;&gt;0,$K$7:$CP$7))&gt;=GV$5,MIN(IF($K273:$CP273&lt;&gt;0,$K$7:$CP$7))&lt;=GV$6)</f>
        <v>0</v>
      </c>
      <c r="GW273" s="214" cm="1">
        <f t="array" ref="GW273">--AND(MIN(IF($K273:$CP273&lt;&gt;0,$K$7:$CP$7))&gt;=GW$5,MIN(IF($K273:$CP273&lt;&gt;0,$K$7:$CP$7))&lt;=GW$6)</f>
        <v>0</v>
      </c>
      <c r="GX273" s="214" cm="1">
        <f t="array" ref="GX273">--AND(MIN(IF($K273:$CP273&lt;&gt;0,$K$7:$CP$7))&gt;=GX$5,MIN(IF($K273:$CP273&lt;&gt;0,$K$7:$CP$7))&lt;=GX$6)</f>
        <v>0</v>
      </c>
      <c r="GY273" s="214" cm="1">
        <f t="array" ref="GY273">--AND(MIN(IF($K273:$CP273&lt;&gt;0,$K$7:$CP$7))&gt;=GY$5,MIN(IF($K273:$CP273&lt;&gt;0,$K$7:$CP$7))&lt;=GY$6)</f>
        <v>0</v>
      </c>
      <c r="GZ273" s="214" cm="1">
        <f t="array" ref="GZ273">--AND(MIN(IF($K273:$CP273&lt;&gt;0,$K$7:$CP$7))&gt;=GZ$5,MIN(IF($K273:$CP273&lt;&gt;0,$K$7:$CP$7))&lt;=GZ$6)</f>
        <v>0</v>
      </c>
      <c r="HA273" s="214">
        <f t="shared" si="93"/>
        <v>0</v>
      </c>
      <c r="HC273" s="214" cm="1">
        <f t="array" ref="HC273">--AND(MIN(IF($K273:$CP273&lt;&gt;0,$K$7:$CP$7))&gt;=HC$5,MIN(IF($K273:$CP273&lt;&gt;0,$K$7:$CP$7))&lt;=HC$6)</f>
        <v>0</v>
      </c>
      <c r="HE273" s="147" t="str">
        <f t="shared" si="111"/>
        <v>No</v>
      </c>
      <c r="HF273" s="147" t="str">
        <f t="shared" si="112"/>
        <v>No</v>
      </c>
      <c r="HG273" s="147">
        <f>IF($HF273="Yes",0,$H273*avg_hrs*12*'Key assumptions'!$D$87)</f>
        <v>0</v>
      </c>
      <c r="HH273" s="147">
        <f>IF(HE273="Yes",'Key assumptions'!$D$84*HG273,0)</f>
        <v>0</v>
      </c>
      <c r="HI273" s="144">
        <f>IFERROR(AVERAGEIFS($K273:$CP273,$K$7:$CP$7,"&gt;="&amp;'Key assumptions'!$D$24,$K$7:$CP$7,"&lt;="&amp;'Key assumptions'!$D$25),0)</f>
        <v>0</v>
      </c>
      <c r="HJ273" s="148">
        <f t="shared" si="113"/>
        <v>0</v>
      </c>
      <c r="HK273" s="148">
        <f t="shared" si="94"/>
        <v>0</v>
      </c>
      <c r="HL273" s="148">
        <f t="shared" si="95"/>
        <v>0</v>
      </c>
      <c r="HM273" s="148">
        <f t="shared" si="96"/>
        <v>0</v>
      </c>
      <c r="HN273" s="148">
        <f t="shared" si="97"/>
        <v>0</v>
      </c>
      <c r="HO273" s="148">
        <f t="shared" si="98"/>
        <v>0</v>
      </c>
      <c r="HP273" s="148">
        <f t="shared" si="99"/>
        <v>0</v>
      </c>
      <c r="HQ273" s="148">
        <f t="shared" si="100"/>
        <v>0</v>
      </c>
      <c r="HR273" s="147">
        <f t="shared" si="101"/>
        <v>0</v>
      </c>
      <c r="HU273" s="147">
        <f>$HJ273*HC273/(1+'Key assumptions'!G295)^0.75</f>
        <v>0</v>
      </c>
      <c r="HW273" s="216">
        <f t="shared" si="102"/>
        <v>0</v>
      </c>
      <c r="HX273" s="216">
        <f t="shared" si="103"/>
        <v>0</v>
      </c>
      <c r="HY273" s="216">
        <f t="shared" si="104"/>
        <v>0</v>
      </c>
      <c r="HZ273" s="216">
        <f t="shared" si="105"/>
        <v>0</v>
      </c>
      <c r="IA273" s="216">
        <f t="shared" si="106"/>
        <v>0</v>
      </c>
      <c r="IB273" s="216">
        <f t="shared" si="107"/>
        <v>0</v>
      </c>
      <c r="IC273" s="216">
        <f t="shared" si="108"/>
        <v>0</v>
      </c>
      <c r="ID273" s="216">
        <f t="shared" si="109"/>
        <v>0</v>
      </c>
      <c r="IF273" s="216">
        <f t="shared" si="110"/>
        <v>0</v>
      </c>
    </row>
    <row r="274" spans="2:240" x14ac:dyDescent="0.2">
      <c r="B274" s="141"/>
      <c r="C274" s="141"/>
      <c r="D274" s="141"/>
      <c r="E274" s="141"/>
      <c r="F274" s="141"/>
      <c r="G274" s="141"/>
      <c r="H274" s="142"/>
      <c r="I274" s="126"/>
      <c r="J274" s="143"/>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3"/>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c r="EE274" s="145"/>
      <c r="EF274" s="145"/>
      <c r="EG274" s="145"/>
      <c r="EH274" s="145"/>
      <c r="EI274" s="145"/>
      <c r="EJ274" s="145"/>
      <c r="EK274" s="145"/>
      <c r="EL274" s="145"/>
      <c r="EM274" s="145"/>
      <c r="EN274" s="145"/>
      <c r="EO274" s="145"/>
      <c r="EP274" s="145"/>
      <c r="EQ274" s="145"/>
      <c r="ER274" s="145"/>
      <c r="ES274" s="145"/>
      <c r="ET274" s="145"/>
      <c r="EU274" s="145"/>
      <c r="EV274" s="145"/>
      <c r="EW274" s="145"/>
      <c r="EX274" s="145"/>
      <c r="EY274" s="145"/>
      <c r="EZ274" s="145"/>
      <c r="FA274" s="145"/>
      <c r="FB274" s="145"/>
      <c r="FC274" s="145"/>
      <c r="FD274" s="145"/>
      <c r="FE274" s="145"/>
      <c r="FF274" s="145"/>
      <c r="FG274" s="145"/>
      <c r="FH274" s="145"/>
      <c r="FI274" s="145"/>
      <c r="FJ274" s="145"/>
      <c r="FK274" s="145"/>
      <c r="FL274" s="145"/>
      <c r="FM274" s="145"/>
      <c r="FN274" s="145"/>
      <c r="FO274" s="145"/>
      <c r="FP274" s="145"/>
      <c r="FQ274" s="145"/>
      <c r="FR274" s="145"/>
      <c r="FS274" s="145"/>
      <c r="FT274" s="145"/>
      <c r="FU274" s="145"/>
      <c r="FV274" s="145"/>
      <c r="FW274" s="145"/>
      <c r="FX274" s="143"/>
      <c r="FY274" s="146">
        <f>_xlfn.XLOOKUP($E274,'Key assumptions'!$B$112:$B$120,'Key assumptions'!$C$112:$C$120,0)</f>
        <v>0</v>
      </c>
      <c r="FZ274" s="146" cm="1">
        <f t="array" ref="FZ274">IF($FY274=0,0,_xlfn.IFS($FY274='Key assumptions'!$C$120,_xlfn.XLOOKUP(LEFT(FZ$7,6),Inflation_Year,Inflation_NominaltoReal),TRUE,_xlfn.XLOOKUP($FY274,Inflation_Year,NominaltoReal)))</f>
        <v>0</v>
      </c>
      <c r="GA274" s="146" cm="1">
        <f t="array" ref="GA274">IF($FY274=0,0,_xlfn.IFS($FY274='Key assumptions'!$C$120,_xlfn.XLOOKUP(LEFT(GA$7,6),Inflation_Year,Inflation_NominaltoReal),TRUE,_xlfn.XLOOKUP($FY274,Inflation_Year,NominaltoReal)))</f>
        <v>0</v>
      </c>
      <c r="GB274" s="146" cm="1">
        <f t="array" ref="GB274">IF($FY274=0,0,_xlfn.IFS($FY274='Key assumptions'!$C$120,_xlfn.XLOOKUP(LEFT(GB$7,6),Inflation_Year,Inflation_NominaltoReal),TRUE,_xlfn.XLOOKUP($FY274,Inflation_Year,NominaltoReal)))</f>
        <v>0</v>
      </c>
      <c r="GC274" s="146" cm="1">
        <f t="array" ref="GC274">IF($FY274=0,0,_xlfn.IFS($FY274='Key assumptions'!$C$120,_xlfn.XLOOKUP(LEFT(GC$7,6),Inflation_Year,Inflation_NominaltoReal),TRUE,_xlfn.XLOOKUP($FY274,Inflation_Year,NominaltoReal)))</f>
        <v>0</v>
      </c>
      <c r="GD274" s="146" cm="1">
        <f t="array" ref="GD274">IF($FY274=0,0,_xlfn.IFS($FY274='Key assumptions'!$C$120,_xlfn.XLOOKUP(LEFT(GD$7,6),Inflation_Year,Inflation_NominaltoReal),TRUE,_xlfn.XLOOKUP($FY274,Inflation_Year,NominaltoReal)))</f>
        <v>0</v>
      </c>
      <c r="GE274" s="146" cm="1">
        <f t="array" ref="GE274">IF($FY274=0,0,_xlfn.IFS($FY274='Key assumptions'!$C$120,_xlfn.XLOOKUP(LEFT(GE$7,6),Inflation_Year,Inflation_NominaltoReal),TRUE,_xlfn.XLOOKUP($FY274,Inflation_Year,NominaltoReal)))</f>
        <v>0</v>
      </c>
      <c r="GF274" s="146" cm="1">
        <f t="array" ref="GF274">IF($FY274=0,0,_xlfn.IFS($FY274='Key assumptions'!$C$120,_xlfn.XLOOKUP(LEFT(GF$7,6),Inflation_Year,Inflation_NominaltoReal),TRUE,_xlfn.XLOOKUP($FY274,Inflation_Year,NominaltoReal)))</f>
        <v>0</v>
      </c>
      <c r="GG274" s="143"/>
      <c r="GH274" s="145" cm="1">
        <f t="array" ref="GH274">SUMPRODUCT(--($CR$7:$FW$7&gt;=GH$5),--($CR$7:$FW$7&lt;=GH$6),$CR274:$FW274)*FZ274</f>
        <v>0</v>
      </c>
      <c r="GI274" s="145" cm="1">
        <f t="array" ref="GI274">SUMPRODUCT(--($CR$7:$FW$7&gt;=GI$5),--($CR$7:$FW$7&lt;=GI$6),$CR274:$FW274)*GA274</f>
        <v>0</v>
      </c>
      <c r="GJ274" s="145" cm="1">
        <f t="array" ref="GJ274">SUMPRODUCT(--($CR$7:$FW$7&gt;=GJ$5),--($CR$7:$FW$7&lt;=GJ$6),$CR274:$FW274)*GB274</f>
        <v>0</v>
      </c>
      <c r="GK274" s="145" cm="1">
        <f t="array" ref="GK274">SUMPRODUCT(--($CR$7:$FW$7&gt;=GK$5),--($CR$7:$FW$7&lt;=GK$6),$CR274:$FW274)*GC274</f>
        <v>0</v>
      </c>
      <c r="GL274" s="145" cm="1">
        <f t="array" ref="GL274">SUMPRODUCT(--($CR$7:$FW$7&gt;=GL$5),--($CR$7:$FW$7&lt;=GL$6),$CR274:$FW274)*GD274</f>
        <v>0</v>
      </c>
      <c r="GM274" s="145" cm="1">
        <f t="array" ref="GM274">SUMPRODUCT(--($CR$7:$FW$7&gt;=GM$5),--($CR$7:$FW$7&lt;=GM$6),$CR274:$FW274)*GE274</f>
        <v>0</v>
      </c>
      <c r="GN274" s="145" cm="1">
        <f t="array" ref="GN274">SUMPRODUCT(--($CR$7:$FW$7&gt;=GN$5),--($CR$7:$FW$7&lt;=GN$6),$CR274:$FW274)*GF274</f>
        <v>0</v>
      </c>
      <c r="GO274" s="145">
        <f t="shared" si="92"/>
        <v>0</v>
      </c>
      <c r="GP274" s="87"/>
      <c r="GR274" s="145" cm="1">
        <f t="array" ref="GR274">SUMPRODUCT(--($CR$7:$FW$7&gt;=GR$5),--($CR$7:$FW$7&lt;=GR$6),$CR274:$FW274)</f>
        <v>0</v>
      </c>
      <c r="GT274" s="214" cm="1">
        <f t="array" ref="GT274">--AND(MIN(IF($K274:$CP274&lt;&gt;0,$K$7:$CP$7))&gt;=GT$5,MIN(IF($K274:$CP274&lt;&gt;0,$K$7:$CP$7))&lt;=GT$6)</f>
        <v>0</v>
      </c>
      <c r="GU274" s="214" cm="1">
        <f t="array" ref="GU274">--AND(MIN(IF($K274:$CP274&lt;&gt;0,$K$7:$CP$7))&gt;=GU$5,MIN(IF($K274:$CP274&lt;&gt;0,$K$7:$CP$7))&lt;=GU$6)</f>
        <v>0</v>
      </c>
      <c r="GV274" s="214" cm="1">
        <f t="array" ref="GV274">--AND(MIN(IF($K274:$CP274&lt;&gt;0,$K$7:$CP$7))&gt;=GV$5,MIN(IF($K274:$CP274&lt;&gt;0,$K$7:$CP$7))&lt;=GV$6)</f>
        <v>0</v>
      </c>
      <c r="GW274" s="214" cm="1">
        <f t="array" ref="GW274">--AND(MIN(IF($K274:$CP274&lt;&gt;0,$K$7:$CP$7))&gt;=GW$5,MIN(IF($K274:$CP274&lt;&gt;0,$K$7:$CP$7))&lt;=GW$6)</f>
        <v>0</v>
      </c>
      <c r="GX274" s="214" cm="1">
        <f t="array" ref="GX274">--AND(MIN(IF($K274:$CP274&lt;&gt;0,$K$7:$CP$7))&gt;=GX$5,MIN(IF($K274:$CP274&lt;&gt;0,$K$7:$CP$7))&lt;=GX$6)</f>
        <v>0</v>
      </c>
      <c r="GY274" s="214" cm="1">
        <f t="array" ref="GY274">--AND(MIN(IF($K274:$CP274&lt;&gt;0,$K$7:$CP$7))&gt;=GY$5,MIN(IF($K274:$CP274&lt;&gt;0,$K$7:$CP$7))&lt;=GY$6)</f>
        <v>0</v>
      </c>
      <c r="GZ274" s="214" cm="1">
        <f t="array" ref="GZ274">--AND(MIN(IF($K274:$CP274&lt;&gt;0,$K$7:$CP$7))&gt;=GZ$5,MIN(IF($K274:$CP274&lt;&gt;0,$K$7:$CP$7))&lt;=GZ$6)</f>
        <v>0</v>
      </c>
      <c r="HA274" s="214">
        <f t="shared" si="93"/>
        <v>0</v>
      </c>
      <c r="HC274" s="214" cm="1">
        <f t="array" ref="HC274">--AND(MIN(IF($K274:$CP274&lt;&gt;0,$K$7:$CP$7))&gt;=HC$5,MIN(IF($K274:$CP274&lt;&gt;0,$K$7:$CP$7))&lt;=HC$6)</f>
        <v>0</v>
      </c>
      <c r="HE274" s="147" t="str">
        <f t="shared" si="111"/>
        <v>No</v>
      </c>
      <c r="HF274" s="147" t="str">
        <f t="shared" si="112"/>
        <v>No</v>
      </c>
      <c r="HG274" s="147">
        <f>IF($HF274="Yes",0,$H274*avg_hrs*12*'Key assumptions'!$D$87)</f>
        <v>0</v>
      </c>
      <c r="HH274" s="147">
        <f>IF(HE274="Yes",'Key assumptions'!$D$84*HG274,0)</f>
        <v>0</v>
      </c>
      <c r="HI274" s="144">
        <f>IFERROR(AVERAGEIFS($K274:$CP274,$K$7:$CP$7,"&gt;="&amp;'Key assumptions'!$D$24,$K$7:$CP$7,"&lt;="&amp;'Key assumptions'!$D$25),0)</f>
        <v>0</v>
      </c>
      <c r="HJ274" s="148">
        <f t="shared" si="113"/>
        <v>0</v>
      </c>
      <c r="HK274" s="148">
        <f t="shared" si="94"/>
        <v>0</v>
      </c>
      <c r="HL274" s="148">
        <f t="shared" si="95"/>
        <v>0</v>
      </c>
      <c r="HM274" s="148">
        <f t="shared" si="96"/>
        <v>0</v>
      </c>
      <c r="HN274" s="148">
        <f t="shared" si="97"/>
        <v>0</v>
      </c>
      <c r="HO274" s="148">
        <f t="shared" si="98"/>
        <v>0</v>
      </c>
      <c r="HP274" s="148">
        <f t="shared" si="99"/>
        <v>0</v>
      </c>
      <c r="HQ274" s="148">
        <f t="shared" si="100"/>
        <v>0</v>
      </c>
      <c r="HR274" s="147">
        <f t="shared" si="101"/>
        <v>0</v>
      </c>
      <c r="HU274" s="147">
        <f>$HJ274*HC274/(1+'Key assumptions'!G296)^0.75</f>
        <v>0</v>
      </c>
      <c r="HW274" s="216">
        <f t="shared" si="102"/>
        <v>0</v>
      </c>
      <c r="HX274" s="216">
        <f t="shared" si="103"/>
        <v>0</v>
      </c>
      <c r="HY274" s="216">
        <f t="shared" si="104"/>
        <v>0</v>
      </c>
      <c r="HZ274" s="216">
        <f t="shared" si="105"/>
        <v>0</v>
      </c>
      <c r="IA274" s="216">
        <f t="shared" si="106"/>
        <v>0</v>
      </c>
      <c r="IB274" s="216">
        <f t="shared" si="107"/>
        <v>0</v>
      </c>
      <c r="IC274" s="216">
        <f t="shared" si="108"/>
        <v>0</v>
      </c>
      <c r="ID274" s="216">
        <f t="shared" si="109"/>
        <v>0</v>
      </c>
      <c r="IF274" s="216">
        <f t="shared" si="110"/>
        <v>0</v>
      </c>
    </row>
    <row r="275" spans="2:240" x14ac:dyDescent="0.2">
      <c r="B275" s="141"/>
      <c r="C275" s="141"/>
      <c r="D275" s="141"/>
      <c r="E275" s="141"/>
      <c r="F275" s="141"/>
      <c r="G275" s="141"/>
      <c r="H275" s="142"/>
      <c r="I275" s="126"/>
      <c r="J275" s="143"/>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3"/>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c r="EE275" s="145"/>
      <c r="EF275" s="145"/>
      <c r="EG275" s="145"/>
      <c r="EH275" s="145"/>
      <c r="EI275" s="145"/>
      <c r="EJ275" s="145"/>
      <c r="EK275" s="145"/>
      <c r="EL275" s="145"/>
      <c r="EM275" s="145"/>
      <c r="EN275" s="145"/>
      <c r="EO275" s="145"/>
      <c r="EP275" s="145"/>
      <c r="EQ275" s="145"/>
      <c r="ER275" s="145"/>
      <c r="ES275" s="145"/>
      <c r="ET275" s="145"/>
      <c r="EU275" s="145"/>
      <c r="EV275" s="145"/>
      <c r="EW275" s="145"/>
      <c r="EX275" s="145"/>
      <c r="EY275" s="145"/>
      <c r="EZ275" s="145"/>
      <c r="FA275" s="145"/>
      <c r="FB275" s="145"/>
      <c r="FC275" s="145"/>
      <c r="FD275" s="145"/>
      <c r="FE275" s="145"/>
      <c r="FF275" s="145"/>
      <c r="FG275" s="145"/>
      <c r="FH275" s="145"/>
      <c r="FI275" s="145"/>
      <c r="FJ275" s="145"/>
      <c r="FK275" s="145"/>
      <c r="FL275" s="145"/>
      <c r="FM275" s="145"/>
      <c r="FN275" s="145"/>
      <c r="FO275" s="145"/>
      <c r="FP275" s="145"/>
      <c r="FQ275" s="145"/>
      <c r="FR275" s="145"/>
      <c r="FS275" s="145"/>
      <c r="FT275" s="145"/>
      <c r="FU275" s="145"/>
      <c r="FV275" s="145"/>
      <c r="FW275" s="145"/>
      <c r="FX275" s="143"/>
      <c r="FY275" s="146">
        <f>_xlfn.XLOOKUP($E275,'Key assumptions'!$B$112:$B$120,'Key assumptions'!$C$112:$C$120,0)</f>
        <v>0</v>
      </c>
      <c r="FZ275" s="146" cm="1">
        <f t="array" ref="FZ275">IF($FY275=0,0,_xlfn.IFS($FY275='Key assumptions'!$C$120,_xlfn.XLOOKUP(LEFT(FZ$7,6),Inflation_Year,Inflation_NominaltoReal),TRUE,_xlfn.XLOOKUP($FY275,Inflation_Year,NominaltoReal)))</f>
        <v>0</v>
      </c>
      <c r="GA275" s="146" cm="1">
        <f t="array" ref="GA275">IF($FY275=0,0,_xlfn.IFS($FY275='Key assumptions'!$C$120,_xlfn.XLOOKUP(LEFT(GA$7,6),Inflation_Year,Inflation_NominaltoReal),TRUE,_xlfn.XLOOKUP($FY275,Inflation_Year,NominaltoReal)))</f>
        <v>0</v>
      </c>
      <c r="GB275" s="146" cm="1">
        <f t="array" ref="GB275">IF($FY275=0,0,_xlfn.IFS($FY275='Key assumptions'!$C$120,_xlfn.XLOOKUP(LEFT(GB$7,6),Inflation_Year,Inflation_NominaltoReal),TRUE,_xlfn.XLOOKUP($FY275,Inflation_Year,NominaltoReal)))</f>
        <v>0</v>
      </c>
      <c r="GC275" s="146" cm="1">
        <f t="array" ref="GC275">IF($FY275=0,0,_xlfn.IFS($FY275='Key assumptions'!$C$120,_xlfn.XLOOKUP(LEFT(GC$7,6),Inflation_Year,Inflation_NominaltoReal),TRUE,_xlfn.XLOOKUP($FY275,Inflation_Year,NominaltoReal)))</f>
        <v>0</v>
      </c>
      <c r="GD275" s="146" cm="1">
        <f t="array" ref="GD275">IF($FY275=0,0,_xlfn.IFS($FY275='Key assumptions'!$C$120,_xlfn.XLOOKUP(LEFT(GD$7,6),Inflation_Year,Inflation_NominaltoReal),TRUE,_xlfn.XLOOKUP($FY275,Inflation_Year,NominaltoReal)))</f>
        <v>0</v>
      </c>
      <c r="GE275" s="146" cm="1">
        <f t="array" ref="GE275">IF($FY275=0,0,_xlfn.IFS($FY275='Key assumptions'!$C$120,_xlfn.XLOOKUP(LEFT(GE$7,6),Inflation_Year,Inflation_NominaltoReal),TRUE,_xlfn.XLOOKUP($FY275,Inflation_Year,NominaltoReal)))</f>
        <v>0</v>
      </c>
      <c r="GF275" s="146" cm="1">
        <f t="array" ref="GF275">IF($FY275=0,0,_xlfn.IFS($FY275='Key assumptions'!$C$120,_xlfn.XLOOKUP(LEFT(GF$7,6),Inflation_Year,Inflation_NominaltoReal),TRUE,_xlfn.XLOOKUP($FY275,Inflation_Year,NominaltoReal)))</f>
        <v>0</v>
      </c>
      <c r="GG275" s="143"/>
      <c r="GH275" s="145" cm="1">
        <f t="array" ref="GH275">SUMPRODUCT(--($CR$7:$FW$7&gt;=GH$5),--($CR$7:$FW$7&lt;=GH$6),$CR275:$FW275)*FZ275</f>
        <v>0</v>
      </c>
      <c r="GI275" s="145" cm="1">
        <f t="array" ref="GI275">SUMPRODUCT(--($CR$7:$FW$7&gt;=GI$5),--($CR$7:$FW$7&lt;=GI$6),$CR275:$FW275)*GA275</f>
        <v>0</v>
      </c>
      <c r="GJ275" s="145" cm="1">
        <f t="array" ref="GJ275">SUMPRODUCT(--($CR$7:$FW$7&gt;=GJ$5),--($CR$7:$FW$7&lt;=GJ$6),$CR275:$FW275)*GB275</f>
        <v>0</v>
      </c>
      <c r="GK275" s="145" cm="1">
        <f t="array" ref="GK275">SUMPRODUCT(--($CR$7:$FW$7&gt;=GK$5),--($CR$7:$FW$7&lt;=GK$6),$CR275:$FW275)*GC275</f>
        <v>0</v>
      </c>
      <c r="GL275" s="145" cm="1">
        <f t="array" ref="GL275">SUMPRODUCT(--($CR$7:$FW$7&gt;=GL$5),--($CR$7:$FW$7&lt;=GL$6),$CR275:$FW275)*GD275</f>
        <v>0</v>
      </c>
      <c r="GM275" s="145" cm="1">
        <f t="array" ref="GM275">SUMPRODUCT(--($CR$7:$FW$7&gt;=GM$5),--($CR$7:$FW$7&lt;=GM$6),$CR275:$FW275)*GE275</f>
        <v>0</v>
      </c>
      <c r="GN275" s="145" cm="1">
        <f t="array" ref="GN275">SUMPRODUCT(--($CR$7:$FW$7&gt;=GN$5),--($CR$7:$FW$7&lt;=GN$6),$CR275:$FW275)*GF275</f>
        <v>0</v>
      </c>
      <c r="GO275" s="145">
        <f t="shared" si="92"/>
        <v>0</v>
      </c>
      <c r="GP275" s="87"/>
      <c r="GR275" s="145" cm="1">
        <f t="array" ref="GR275">SUMPRODUCT(--($CR$7:$FW$7&gt;=GR$5),--($CR$7:$FW$7&lt;=GR$6),$CR275:$FW275)</f>
        <v>0</v>
      </c>
      <c r="GT275" s="214" cm="1">
        <f t="array" ref="GT275">--AND(MIN(IF($K275:$CP275&lt;&gt;0,$K$7:$CP$7))&gt;=GT$5,MIN(IF($K275:$CP275&lt;&gt;0,$K$7:$CP$7))&lt;=GT$6)</f>
        <v>0</v>
      </c>
      <c r="GU275" s="214" cm="1">
        <f t="array" ref="GU275">--AND(MIN(IF($K275:$CP275&lt;&gt;0,$K$7:$CP$7))&gt;=GU$5,MIN(IF($K275:$CP275&lt;&gt;0,$K$7:$CP$7))&lt;=GU$6)</f>
        <v>0</v>
      </c>
      <c r="GV275" s="214" cm="1">
        <f t="array" ref="GV275">--AND(MIN(IF($K275:$CP275&lt;&gt;0,$K$7:$CP$7))&gt;=GV$5,MIN(IF($K275:$CP275&lt;&gt;0,$K$7:$CP$7))&lt;=GV$6)</f>
        <v>0</v>
      </c>
      <c r="GW275" s="214" cm="1">
        <f t="array" ref="GW275">--AND(MIN(IF($K275:$CP275&lt;&gt;0,$K$7:$CP$7))&gt;=GW$5,MIN(IF($K275:$CP275&lt;&gt;0,$K$7:$CP$7))&lt;=GW$6)</f>
        <v>0</v>
      </c>
      <c r="GX275" s="214" cm="1">
        <f t="array" ref="GX275">--AND(MIN(IF($K275:$CP275&lt;&gt;0,$K$7:$CP$7))&gt;=GX$5,MIN(IF($K275:$CP275&lt;&gt;0,$K$7:$CP$7))&lt;=GX$6)</f>
        <v>0</v>
      </c>
      <c r="GY275" s="214" cm="1">
        <f t="array" ref="GY275">--AND(MIN(IF($K275:$CP275&lt;&gt;0,$K$7:$CP$7))&gt;=GY$5,MIN(IF($K275:$CP275&lt;&gt;0,$K$7:$CP$7))&lt;=GY$6)</f>
        <v>0</v>
      </c>
      <c r="GZ275" s="214" cm="1">
        <f t="array" ref="GZ275">--AND(MIN(IF($K275:$CP275&lt;&gt;0,$K$7:$CP$7))&gt;=GZ$5,MIN(IF($K275:$CP275&lt;&gt;0,$K$7:$CP$7))&lt;=GZ$6)</f>
        <v>0</v>
      </c>
      <c r="HA275" s="214">
        <f t="shared" si="93"/>
        <v>0</v>
      </c>
      <c r="HC275" s="214" cm="1">
        <f t="array" ref="HC275">--AND(MIN(IF($K275:$CP275&lt;&gt;0,$K$7:$CP$7))&gt;=HC$5,MIN(IF($K275:$CP275&lt;&gt;0,$K$7:$CP$7))&lt;=HC$6)</f>
        <v>0</v>
      </c>
      <c r="HE275" s="147" t="str">
        <f t="shared" si="111"/>
        <v>No</v>
      </c>
      <c r="HF275" s="147" t="str">
        <f t="shared" si="112"/>
        <v>No</v>
      </c>
      <c r="HG275" s="147">
        <f>IF($HF275="Yes",0,$H275*avg_hrs*12*'Key assumptions'!$D$87)</f>
        <v>0</v>
      </c>
      <c r="HH275" s="147">
        <f>IF(HE275="Yes",'Key assumptions'!$D$84*HG275,0)</f>
        <v>0</v>
      </c>
      <c r="HI275" s="144">
        <f>IFERROR(AVERAGEIFS($K275:$CP275,$K$7:$CP$7,"&gt;="&amp;'Key assumptions'!$D$24,$K$7:$CP$7,"&lt;="&amp;'Key assumptions'!$D$25),0)</f>
        <v>0</v>
      </c>
      <c r="HJ275" s="148">
        <f t="shared" si="113"/>
        <v>0</v>
      </c>
      <c r="HK275" s="148">
        <f t="shared" si="94"/>
        <v>0</v>
      </c>
      <c r="HL275" s="148">
        <f t="shared" si="95"/>
        <v>0</v>
      </c>
      <c r="HM275" s="148">
        <f t="shared" si="96"/>
        <v>0</v>
      </c>
      <c r="HN275" s="148">
        <f t="shared" si="97"/>
        <v>0</v>
      </c>
      <c r="HO275" s="148">
        <f t="shared" si="98"/>
        <v>0</v>
      </c>
      <c r="HP275" s="148">
        <f t="shared" si="99"/>
        <v>0</v>
      </c>
      <c r="HQ275" s="148">
        <f t="shared" si="100"/>
        <v>0</v>
      </c>
      <c r="HR275" s="147">
        <f t="shared" si="101"/>
        <v>0</v>
      </c>
      <c r="HU275" s="147">
        <f>$HJ275*HC275/(1+'Key assumptions'!G297)^0.75</f>
        <v>0</v>
      </c>
      <c r="HW275" s="216">
        <f t="shared" si="102"/>
        <v>0</v>
      </c>
      <c r="HX275" s="216">
        <f t="shared" si="103"/>
        <v>0</v>
      </c>
      <c r="HY275" s="216">
        <f t="shared" si="104"/>
        <v>0</v>
      </c>
      <c r="HZ275" s="216">
        <f t="shared" si="105"/>
        <v>0</v>
      </c>
      <c r="IA275" s="216">
        <f t="shared" si="106"/>
        <v>0</v>
      </c>
      <c r="IB275" s="216">
        <f t="shared" si="107"/>
        <v>0</v>
      </c>
      <c r="IC275" s="216">
        <f t="shared" si="108"/>
        <v>0</v>
      </c>
      <c r="ID275" s="216">
        <f t="shared" si="109"/>
        <v>0</v>
      </c>
      <c r="IF275" s="216">
        <f t="shared" si="110"/>
        <v>0</v>
      </c>
    </row>
    <row r="276" spans="2:240" x14ac:dyDescent="0.2">
      <c r="B276" s="141"/>
      <c r="C276" s="141"/>
      <c r="D276" s="141"/>
      <c r="E276" s="141"/>
      <c r="F276" s="141"/>
      <c r="G276" s="141"/>
      <c r="H276" s="142"/>
      <c r="I276" s="126"/>
      <c r="J276" s="143"/>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3"/>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c r="EE276" s="145"/>
      <c r="EF276" s="145"/>
      <c r="EG276" s="145"/>
      <c r="EH276" s="145"/>
      <c r="EI276" s="145"/>
      <c r="EJ276" s="145"/>
      <c r="EK276" s="145"/>
      <c r="EL276" s="145"/>
      <c r="EM276" s="145"/>
      <c r="EN276" s="145"/>
      <c r="EO276" s="145"/>
      <c r="EP276" s="145"/>
      <c r="EQ276" s="145"/>
      <c r="ER276" s="145"/>
      <c r="ES276" s="145"/>
      <c r="ET276" s="145"/>
      <c r="EU276" s="145"/>
      <c r="EV276" s="145"/>
      <c r="EW276" s="145"/>
      <c r="EX276" s="145"/>
      <c r="EY276" s="145"/>
      <c r="EZ276" s="145"/>
      <c r="FA276" s="145"/>
      <c r="FB276" s="145"/>
      <c r="FC276" s="145"/>
      <c r="FD276" s="145"/>
      <c r="FE276" s="145"/>
      <c r="FF276" s="145"/>
      <c r="FG276" s="145"/>
      <c r="FH276" s="145"/>
      <c r="FI276" s="145"/>
      <c r="FJ276" s="145"/>
      <c r="FK276" s="145"/>
      <c r="FL276" s="145"/>
      <c r="FM276" s="145"/>
      <c r="FN276" s="145"/>
      <c r="FO276" s="145"/>
      <c r="FP276" s="145"/>
      <c r="FQ276" s="145"/>
      <c r="FR276" s="145"/>
      <c r="FS276" s="145"/>
      <c r="FT276" s="145"/>
      <c r="FU276" s="145"/>
      <c r="FV276" s="145"/>
      <c r="FW276" s="145"/>
      <c r="FX276" s="143"/>
      <c r="FY276" s="146">
        <f>_xlfn.XLOOKUP($E276,'Key assumptions'!$B$112:$B$120,'Key assumptions'!$C$112:$C$120,0)</f>
        <v>0</v>
      </c>
      <c r="FZ276" s="146" cm="1">
        <f t="array" ref="FZ276">IF($FY276=0,0,_xlfn.IFS($FY276='Key assumptions'!$C$120,_xlfn.XLOOKUP(LEFT(FZ$7,6),Inflation_Year,Inflation_NominaltoReal),TRUE,_xlfn.XLOOKUP($FY276,Inflation_Year,NominaltoReal)))</f>
        <v>0</v>
      </c>
      <c r="GA276" s="146" cm="1">
        <f t="array" ref="GA276">IF($FY276=0,0,_xlfn.IFS($FY276='Key assumptions'!$C$120,_xlfn.XLOOKUP(LEFT(GA$7,6),Inflation_Year,Inflation_NominaltoReal),TRUE,_xlfn.XLOOKUP($FY276,Inflation_Year,NominaltoReal)))</f>
        <v>0</v>
      </c>
      <c r="GB276" s="146" cm="1">
        <f t="array" ref="GB276">IF($FY276=0,0,_xlfn.IFS($FY276='Key assumptions'!$C$120,_xlfn.XLOOKUP(LEFT(GB$7,6),Inflation_Year,Inflation_NominaltoReal),TRUE,_xlfn.XLOOKUP($FY276,Inflation_Year,NominaltoReal)))</f>
        <v>0</v>
      </c>
      <c r="GC276" s="146" cm="1">
        <f t="array" ref="GC276">IF($FY276=0,0,_xlfn.IFS($FY276='Key assumptions'!$C$120,_xlfn.XLOOKUP(LEFT(GC$7,6),Inflation_Year,Inflation_NominaltoReal),TRUE,_xlfn.XLOOKUP($FY276,Inflation_Year,NominaltoReal)))</f>
        <v>0</v>
      </c>
      <c r="GD276" s="146" cm="1">
        <f t="array" ref="GD276">IF($FY276=0,0,_xlfn.IFS($FY276='Key assumptions'!$C$120,_xlfn.XLOOKUP(LEFT(GD$7,6),Inflation_Year,Inflation_NominaltoReal),TRUE,_xlfn.XLOOKUP($FY276,Inflation_Year,NominaltoReal)))</f>
        <v>0</v>
      </c>
      <c r="GE276" s="146" cm="1">
        <f t="array" ref="GE276">IF($FY276=0,0,_xlfn.IFS($FY276='Key assumptions'!$C$120,_xlfn.XLOOKUP(LEFT(GE$7,6),Inflation_Year,Inflation_NominaltoReal),TRUE,_xlfn.XLOOKUP($FY276,Inflation_Year,NominaltoReal)))</f>
        <v>0</v>
      </c>
      <c r="GF276" s="146" cm="1">
        <f t="array" ref="GF276">IF($FY276=0,0,_xlfn.IFS($FY276='Key assumptions'!$C$120,_xlfn.XLOOKUP(LEFT(GF$7,6),Inflation_Year,Inflation_NominaltoReal),TRUE,_xlfn.XLOOKUP($FY276,Inflation_Year,NominaltoReal)))</f>
        <v>0</v>
      </c>
      <c r="GG276" s="143"/>
      <c r="GH276" s="145" cm="1">
        <f t="array" ref="GH276">SUMPRODUCT(--($CR$7:$FW$7&gt;=GH$5),--($CR$7:$FW$7&lt;=GH$6),$CR276:$FW276)*FZ276</f>
        <v>0</v>
      </c>
      <c r="GI276" s="145" cm="1">
        <f t="array" ref="GI276">SUMPRODUCT(--($CR$7:$FW$7&gt;=GI$5),--($CR$7:$FW$7&lt;=GI$6),$CR276:$FW276)*GA276</f>
        <v>0</v>
      </c>
      <c r="GJ276" s="145" cm="1">
        <f t="array" ref="GJ276">SUMPRODUCT(--($CR$7:$FW$7&gt;=GJ$5),--($CR$7:$FW$7&lt;=GJ$6),$CR276:$FW276)*GB276</f>
        <v>0</v>
      </c>
      <c r="GK276" s="145" cm="1">
        <f t="array" ref="GK276">SUMPRODUCT(--($CR$7:$FW$7&gt;=GK$5),--($CR$7:$FW$7&lt;=GK$6),$CR276:$FW276)*GC276</f>
        <v>0</v>
      </c>
      <c r="GL276" s="145" cm="1">
        <f t="array" ref="GL276">SUMPRODUCT(--($CR$7:$FW$7&gt;=GL$5),--($CR$7:$FW$7&lt;=GL$6),$CR276:$FW276)*GD276</f>
        <v>0</v>
      </c>
      <c r="GM276" s="145" cm="1">
        <f t="array" ref="GM276">SUMPRODUCT(--($CR$7:$FW$7&gt;=GM$5),--($CR$7:$FW$7&lt;=GM$6),$CR276:$FW276)*GE276</f>
        <v>0</v>
      </c>
      <c r="GN276" s="145" cm="1">
        <f t="array" ref="GN276">SUMPRODUCT(--($CR$7:$FW$7&gt;=GN$5),--($CR$7:$FW$7&lt;=GN$6),$CR276:$FW276)*GF276</f>
        <v>0</v>
      </c>
      <c r="GO276" s="145">
        <f t="shared" si="92"/>
        <v>0</v>
      </c>
      <c r="GP276" s="87"/>
      <c r="GR276" s="145" cm="1">
        <f t="array" ref="GR276">SUMPRODUCT(--($CR$7:$FW$7&gt;=GR$5),--($CR$7:$FW$7&lt;=GR$6),$CR276:$FW276)</f>
        <v>0</v>
      </c>
      <c r="GT276" s="214" cm="1">
        <f t="array" ref="GT276">--AND(MIN(IF($K276:$CP276&lt;&gt;0,$K$7:$CP$7))&gt;=GT$5,MIN(IF($K276:$CP276&lt;&gt;0,$K$7:$CP$7))&lt;=GT$6)</f>
        <v>0</v>
      </c>
      <c r="GU276" s="214" cm="1">
        <f t="array" ref="GU276">--AND(MIN(IF($K276:$CP276&lt;&gt;0,$K$7:$CP$7))&gt;=GU$5,MIN(IF($K276:$CP276&lt;&gt;0,$K$7:$CP$7))&lt;=GU$6)</f>
        <v>0</v>
      </c>
      <c r="GV276" s="214" cm="1">
        <f t="array" ref="GV276">--AND(MIN(IF($K276:$CP276&lt;&gt;0,$K$7:$CP$7))&gt;=GV$5,MIN(IF($K276:$CP276&lt;&gt;0,$K$7:$CP$7))&lt;=GV$6)</f>
        <v>0</v>
      </c>
      <c r="GW276" s="214" cm="1">
        <f t="array" ref="GW276">--AND(MIN(IF($K276:$CP276&lt;&gt;0,$K$7:$CP$7))&gt;=GW$5,MIN(IF($K276:$CP276&lt;&gt;0,$K$7:$CP$7))&lt;=GW$6)</f>
        <v>0</v>
      </c>
      <c r="GX276" s="214" cm="1">
        <f t="array" ref="GX276">--AND(MIN(IF($K276:$CP276&lt;&gt;0,$K$7:$CP$7))&gt;=GX$5,MIN(IF($K276:$CP276&lt;&gt;0,$K$7:$CP$7))&lt;=GX$6)</f>
        <v>0</v>
      </c>
      <c r="GY276" s="214" cm="1">
        <f t="array" ref="GY276">--AND(MIN(IF($K276:$CP276&lt;&gt;0,$K$7:$CP$7))&gt;=GY$5,MIN(IF($K276:$CP276&lt;&gt;0,$K$7:$CP$7))&lt;=GY$6)</f>
        <v>0</v>
      </c>
      <c r="GZ276" s="214" cm="1">
        <f t="array" ref="GZ276">--AND(MIN(IF($K276:$CP276&lt;&gt;0,$K$7:$CP$7))&gt;=GZ$5,MIN(IF($K276:$CP276&lt;&gt;0,$K$7:$CP$7))&lt;=GZ$6)</f>
        <v>0</v>
      </c>
      <c r="HA276" s="214">
        <f t="shared" si="93"/>
        <v>0</v>
      </c>
      <c r="HC276" s="214" cm="1">
        <f t="array" ref="HC276">--AND(MIN(IF($K276:$CP276&lt;&gt;0,$K$7:$CP$7))&gt;=HC$5,MIN(IF($K276:$CP276&lt;&gt;0,$K$7:$CP$7))&lt;=HC$6)</f>
        <v>0</v>
      </c>
      <c r="HE276" s="147" t="str">
        <f t="shared" si="111"/>
        <v>No</v>
      </c>
      <c r="HF276" s="147" t="str">
        <f t="shared" si="112"/>
        <v>No</v>
      </c>
      <c r="HG276" s="147">
        <f>IF($HF276="Yes",0,$H276*avg_hrs*12*'Key assumptions'!$D$87)</f>
        <v>0</v>
      </c>
      <c r="HH276" s="147">
        <f>IF(HE276="Yes",'Key assumptions'!$D$84*HG276,0)</f>
        <v>0</v>
      </c>
      <c r="HI276" s="144">
        <f>IFERROR(AVERAGEIFS($K276:$CP276,$K$7:$CP$7,"&gt;="&amp;'Key assumptions'!$D$24,$K$7:$CP$7,"&lt;="&amp;'Key assumptions'!$D$25),0)</f>
        <v>0</v>
      </c>
      <c r="HJ276" s="148">
        <f t="shared" si="113"/>
        <v>0</v>
      </c>
      <c r="HK276" s="148">
        <f t="shared" si="94"/>
        <v>0</v>
      </c>
      <c r="HL276" s="148">
        <f t="shared" si="95"/>
        <v>0</v>
      </c>
      <c r="HM276" s="148">
        <f t="shared" si="96"/>
        <v>0</v>
      </c>
      <c r="HN276" s="148">
        <f t="shared" si="97"/>
        <v>0</v>
      </c>
      <c r="HO276" s="148">
        <f t="shared" si="98"/>
        <v>0</v>
      </c>
      <c r="HP276" s="148">
        <f t="shared" si="99"/>
        <v>0</v>
      </c>
      <c r="HQ276" s="148">
        <f t="shared" si="100"/>
        <v>0</v>
      </c>
      <c r="HR276" s="147">
        <f t="shared" si="101"/>
        <v>0</v>
      </c>
      <c r="HU276" s="147">
        <f>$HJ276*HC276/(1+'Key assumptions'!G298)^0.75</f>
        <v>0</v>
      </c>
      <c r="HW276" s="216">
        <f t="shared" si="102"/>
        <v>0</v>
      </c>
      <c r="HX276" s="216">
        <f t="shared" si="103"/>
        <v>0</v>
      </c>
      <c r="HY276" s="216">
        <f t="shared" si="104"/>
        <v>0</v>
      </c>
      <c r="HZ276" s="216">
        <f t="shared" si="105"/>
        <v>0</v>
      </c>
      <c r="IA276" s="216">
        <f t="shared" si="106"/>
        <v>0</v>
      </c>
      <c r="IB276" s="216">
        <f t="shared" si="107"/>
        <v>0</v>
      </c>
      <c r="IC276" s="216">
        <f t="shared" si="108"/>
        <v>0</v>
      </c>
      <c r="ID276" s="216">
        <f t="shared" si="109"/>
        <v>0</v>
      </c>
      <c r="IF276" s="216">
        <f t="shared" si="110"/>
        <v>0</v>
      </c>
    </row>
    <row r="277" spans="2:240" x14ac:dyDescent="0.2">
      <c r="B277" s="141"/>
      <c r="C277" s="141"/>
      <c r="D277" s="141"/>
      <c r="E277" s="141"/>
      <c r="F277" s="141"/>
      <c r="G277" s="141"/>
      <c r="H277" s="142"/>
      <c r="I277" s="126"/>
      <c r="J277" s="143"/>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3"/>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c r="EE277" s="145"/>
      <c r="EF277" s="145"/>
      <c r="EG277" s="145"/>
      <c r="EH277" s="145"/>
      <c r="EI277" s="145"/>
      <c r="EJ277" s="145"/>
      <c r="EK277" s="145"/>
      <c r="EL277" s="145"/>
      <c r="EM277" s="145"/>
      <c r="EN277" s="145"/>
      <c r="EO277" s="145"/>
      <c r="EP277" s="145"/>
      <c r="EQ277" s="145"/>
      <c r="ER277" s="145"/>
      <c r="ES277" s="145"/>
      <c r="ET277" s="145"/>
      <c r="EU277" s="145"/>
      <c r="EV277" s="145"/>
      <c r="EW277" s="145"/>
      <c r="EX277" s="145"/>
      <c r="EY277" s="145"/>
      <c r="EZ277" s="145"/>
      <c r="FA277" s="145"/>
      <c r="FB277" s="145"/>
      <c r="FC277" s="145"/>
      <c r="FD277" s="145"/>
      <c r="FE277" s="145"/>
      <c r="FF277" s="145"/>
      <c r="FG277" s="145"/>
      <c r="FH277" s="145"/>
      <c r="FI277" s="145"/>
      <c r="FJ277" s="145"/>
      <c r="FK277" s="145"/>
      <c r="FL277" s="145"/>
      <c r="FM277" s="145"/>
      <c r="FN277" s="145"/>
      <c r="FO277" s="145"/>
      <c r="FP277" s="145"/>
      <c r="FQ277" s="145"/>
      <c r="FR277" s="145"/>
      <c r="FS277" s="145"/>
      <c r="FT277" s="145"/>
      <c r="FU277" s="145"/>
      <c r="FV277" s="145"/>
      <c r="FW277" s="145"/>
      <c r="FX277" s="143"/>
      <c r="FY277" s="146">
        <f>_xlfn.XLOOKUP($E277,'Key assumptions'!$B$112:$B$120,'Key assumptions'!$C$112:$C$120,0)</f>
        <v>0</v>
      </c>
      <c r="FZ277" s="146" cm="1">
        <f t="array" ref="FZ277">IF($FY277=0,0,_xlfn.IFS($FY277='Key assumptions'!$C$120,_xlfn.XLOOKUP(LEFT(FZ$7,6),Inflation_Year,Inflation_NominaltoReal),TRUE,_xlfn.XLOOKUP($FY277,Inflation_Year,NominaltoReal)))</f>
        <v>0</v>
      </c>
      <c r="GA277" s="146" cm="1">
        <f t="array" ref="GA277">IF($FY277=0,0,_xlfn.IFS($FY277='Key assumptions'!$C$120,_xlfn.XLOOKUP(LEFT(GA$7,6),Inflation_Year,Inflation_NominaltoReal),TRUE,_xlfn.XLOOKUP($FY277,Inflation_Year,NominaltoReal)))</f>
        <v>0</v>
      </c>
      <c r="GB277" s="146" cm="1">
        <f t="array" ref="GB277">IF($FY277=0,0,_xlfn.IFS($FY277='Key assumptions'!$C$120,_xlfn.XLOOKUP(LEFT(GB$7,6),Inflation_Year,Inflation_NominaltoReal),TRUE,_xlfn.XLOOKUP($FY277,Inflation_Year,NominaltoReal)))</f>
        <v>0</v>
      </c>
      <c r="GC277" s="146" cm="1">
        <f t="array" ref="GC277">IF($FY277=0,0,_xlfn.IFS($FY277='Key assumptions'!$C$120,_xlfn.XLOOKUP(LEFT(GC$7,6),Inflation_Year,Inflation_NominaltoReal),TRUE,_xlfn.XLOOKUP($FY277,Inflation_Year,NominaltoReal)))</f>
        <v>0</v>
      </c>
      <c r="GD277" s="146" cm="1">
        <f t="array" ref="GD277">IF($FY277=0,0,_xlfn.IFS($FY277='Key assumptions'!$C$120,_xlfn.XLOOKUP(LEFT(GD$7,6),Inflation_Year,Inflation_NominaltoReal),TRUE,_xlfn.XLOOKUP($FY277,Inflation_Year,NominaltoReal)))</f>
        <v>0</v>
      </c>
      <c r="GE277" s="146" cm="1">
        <f t="array" ref="GE277">IF($FY277=0,0,_xlfn.IFS($FY277='Key assumptions'!$C$120,_xlfn.XLOOKUP(LEFT(GE$7,6),Inflation_Year,Inflation_NominaltoReal),TRUE,_xlfn.XLOOKUP($FY277,Inflation_Year,NominaltoReal)))</f>
        <v>0</v>
      </c>
      <c r="GF277" s="146" cm="1">
        <f t="array" ref="GF277">IF($FY277=0,0,_xlfn.IFS($FY277='Key assumptions'!$C$120,_xlfn.XLOOKUP(LEFT(GF$7,6),Inflation_Year,Inflation_NominaltoReal),TRUE,_xlfn.XLOOKUP($FY277,Inflation_Year,NominaltoReal)))</f>
        <v>0</v>
      </c>
      <c r="GG277" s="143"/>
      <c r="GH277" s="145" cm="1">
        <f t="array" ref="GH277">SUMPRODUCT(--($CR$7:$FW$7&gt;=GH$5),--($CR$7:$FW$7&lt;=GH$6),$CR277:$FW277)*FZ277</f>
        <v>0</v>
      </c>
      <c r="GI277" s="145" cm="1">
        <f t="array" ref="GI277">SUMPRODUCT(--($CR$7:$FW$7&gt;=GI$5),--($CR$7:$FW$7&lt;=GI$6),$CR277:$FW277)*GA277</f>
        <v>0</v>
      </c>
      <c r="GJ277" s="145" cm="1">
        <f t="array" ref="GJ277">SUMPRODUCT(--($CR$7:$FW$7&gt;=GJ$5),--($CR$7:$FW$7&lt;=GJ$6),$CR277:$FW277)*GB277</f>
        <v>0</v>
      </c>
      <c r="GK277" s="145" cm="1">
        <f t="array" ref="GK277">SUMPRODUCT(--($CR$7:$FW$7&gt;=GK$5),--($CR$7:$FW$7&lt;=GK$6),$CR277:$FW277)*GC277</f>
        <v>0</v>
      </c>
      <c r="GL277" s="145" cm="1">
        <f t="array" ref="GL277">SUMPRODUCT(--($CR$7:$FW$7&gt;=GL$5),--($CR$7:$FW$7&lt;=GL$6),$CR277:$FW277)*GD277</f>
        <v>0</v>
      </c>
      <c r="GM277" s="145" cm="1">
        <f t="array" ref="GM277">SUMPRODUCT(--($CR$7:$FW$7&gt;=GM$5),--($CR$7:$FW$7&lt;=GM$6),$CR277:$FW277)*GE277</f>
        <v>0</v>
      </c>
      <c r="GN277" s="145" cm="1">
        <f t="array" ref="GN277">SUMPRODUCT(--($CR$7:$FW$7&gt;=GN$5),--($CR$7:$FW$7&lt;=GN$6),$CR277:$FW277)*GF277</f>
        <v>0</v>
      </c>
      <c r="GO277" s="145">
        <f t="shared" si="92"/>
        <v>0</v>
      </c>
      <c r="GP277" s="87"/>
      <c r="GR277" s="145" cm="1">
        <f t="array" ref="GR277">SUMPRODUCT(--($CR$7:$FW$7&gt;=GR$5),--($CR$7:$FW$7&lt;=GR$6),$CR277:$FW277)</f>
        <v>0</v>
      </c>
      <c r="GT277" s="214" cm="1">
        <f t="array" ref="GT277">--AND(MIN(IF($K277:$CP277&lt;&gt;0,$K$7:$CP$7))&gt;=GT$5,MIN(IF($K277:$CP277&lt;&gt;0,$K$7:$CP$7))&lt;=GT$6)</f>
        <v>0</v>
      </c>
      <c r="GU277" s="214" cm="1">
        <f t="array" ref="GU277">--AND(MIN(IF($K277:$CP277&lt;&gt;0,$K$7:$CP$7))&gt;=GU$5,MIN(IF($K277:$CP277&lt;&gt;0,$K$7:$CP$7))&lt;=GU$6)</f>
        <v>0</v>
      </c>
      <c r="GV277" s="214" cm="1">
        <f t="array" ref="GV277">--AND(MIN(IF($K277:$CP277&lt;&gt;0,$K$7:$CP$7))&gt;=GV$5,MIN(IF($K277:$CP277&lt;&gt;0,$K$7:$CP$7))&lt;=GV$6)</f>
        <v>0</v>
      </c>
      <c r="GW277" s="214" cm="1">
        <f t="array" ref="GW277">--AND(MIN(IF($K277:$CP277&lt;&gt;0,$K$7:$CP$7))&gt;=GW$5,MIN(IF($K277:$CP277&lt;&gt;0,$K$7:$CP$7))&lt;=GW$6)</f>
        <v>0</v>
      </c>
      <c r="GX277" s="214" cm="1">
        <f t="array" ref="GX277">--AND(MIN(IF($K277:$CP277&lt;&gt;0,$K$7:$CP$7))&gt;=GX$5,MIN(IF($K277:$CP277&lt;&gt;0,$K$7:$CP$7))&lt;=GX$6)</f>
        <v>0</v>
      </c>
      <c r="GY277" s="214" cm="1">
        <f t="array" ref="GY277">--AND(MIN(IF($K277:$CP277&lt;&gt;0,$K$7:$CP$7))&gt;=GY$5,MIN(IF($K277:$CP277&lt;&gt;0,$K$7:$CP$7))&lt;=GY$6)</f>
        <v>0</v>
      </c>
      <c r="GZ277" s="214" cm="1">
        <f t="array" ref="GZ277">--AND(MIN(IF($K277:$CP277&lt;&gt;0,$K$7:$CP$7))&gt;=GZ$5,MIN(IF($K277:$CP277&lt;&gt;0,$K$7:$CP$7))&lt;=GZ$6)</f>
        <v>0</v>
      </c>
      <c r="HA277" s="214">
        <f t="shared" si="93"/>
        <v>0</v>
      </c>
      <c r="HC277" s="214" cm="1">
        <f t="array" ref="HC277">--AND(MIN(IF($K277:$CP277&lt;&gt;0,$K$7:$CP$7))&gt;=HC$5,MIN(IF($K277:$CP277&lt;&gt;0,$K$7:$CP$7))&lt;=HC$6)</f>
        <v>0</v>
      </c>
      <c r="HE277" s="147" t="str">
        <f t="shared" si="111"/>
        <v>No</v>
      </c>
      <c r="HF277" s="147" t="str">
        <f t="shared" si="112"/>
        <v>No</v>
      </c>
      <c r="HG277" s="147">
        <f>IF($HF277="Yes",0,$H277*avg_hrs*12*'Key assumptions'!$D$87)</f>
        <v>0</v>
      </c>
      <c r="HH277" s="147">
        <f>IF(HE277="Yes",'Key assumptions'!$D$84*HG277,0)</f>
        <v>0</v>
      </c>
      <c r="HI277" s="144">
        <f>IFERROR(AVERAGEIFS($K277:$CP277,$K$7:$CP$7,"&gt;="&amp;'Key assumptions'!$D$24,$K$7:$CP$7,"&lt;="&amp;'Key assumptions'!$D$25),0)</f>
        <v>0</v>
      </c>
      <c r="HJ277" s="148">
        <f t="shared" si="113"/>
        <v>0</v>
      </c>
      <c r="HK277" s="148">
        <f t="shared" si="94"/>
        <v>0</v>
      </c>
      <c r="HL277" s="148">
        <f t="shared" si="95"/>
        <v>0</v>
      </c>
      <c r="HM277" s="148">
        <f t="shared" si="96"/>
        <v>0</v>
      </c>
      <c r="HN277" s="148">
        <f t="shared" si="97"/>
        <v>0</v>
      </c>
      <c r="HO277" s="148">
        <f t="shared" si="98"/>
        <v>0</v>
      </c>
      <c r="HP277" s="148">
        <f t="shared" si="99"/>
        <v>0</v>
      </c>
      <c r="HQ277" s="148">
        <f t="shared" si="100"/>
        <v>0</v>
      </c>
      <c r="HR277" s="147">
        <f t="shared" si="101"/>
        <v>0</v>
      </c>
      <c r="HU277" s="147">
        <f>$HJ277*HC277/(1+'Key assumptions'!G299)^0.75</f>
        <v>0</v>
      </c>
      <c r="HW277" s="216">
        <f t="shared" si="102"/>
        <v>0</v>
      </c>
      <c r="HX277" s="216">
        <f t="shared" si="103"/>
        <v>0</v>
      </c>
      <c r="HY277" s="216">
        <f t="shared" si="104"/>
        <v>0</v>
      </c>
      <c r="HZ277" s="216">
        <f t="shared" si="105"/>
        <v>0</v>
      </c>
      <c r="IA277" s="216">
        <f t="shared" si="106"/>
        <v>0</v>
      </c>
      <c r="IB277" s="216">
        <f t="shared" si="107"/>
        <v>0</v>
      </c>
      <c r="IC277" s="216">
        <f t="shared" si="108"/>
        <v>0</v>
      </c>
      <c r="ID277" s="216">
        <f t="shared" si="109"/>
        <v>0</v>
      </c>
      <c r="IF277" s="216">
        <f t="shared" si="110"/>
        <v>0</v>
      </c>
    </row>
    <row r="278" spans="2:240" x14ac:dyDescent="0.2">
      <c r="B278" s="141"/>
      <c r="C278" s="141"/>
      <c r="D278" s="141"/>
      <c r="E278" s="141"/>
      <c r="F278" s="141"/>
      <c r="G278" s="141"/>
      <c r="H278" s="142"/>
      <c r="I278" s="126"/>
      <c r="J278" s="143"/>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3"/>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c r="EE278" s="145"/>
      <c r="EF278" s="145"/>
      <c r="EG278" s="145"/>
      <c r="EH278" s="145"/>
      <c r="EI278" s="145"/>
      <c r="EJ278" s="145"/>
      <c r="EK278" s="145"/>
      <c r="EL278" s="145"/>
      <c r="EM278" s="145"/>
      <c r="EN278" s="145"/>
      <c r="EO278" s="145"/>
      <c r="EP278" s="145"/>
      <c r="EQ278" s="145"/>
      <c r="ER278" s="145"/>
      <c r="ES278" s="145"/>
      <c r="ET278" s="145"/>
      <c r="EU278" s="145"/>
      <c r="EV278" s="145"/>
      <c r="EW278" s="145"/>
      <c r="EX278" s="145"/>
      <c r="EY278" s="145"/>
      <c r="EZ278" s="145"/>
      <c r="FA278" s="145"/>
      <c r="FB278" s="145"/>
      <c r="FC278" s="145"/>
      <c r="FD278" s="145"/>
      <c r="FE278" s="145"/>
      <c r="FF278" s="145"/>
      <c r="FG278" s="145"/>
      <c r="FH278" s="145"/>
      <c r="FI278" s="145"/>
      <c r="FJ278" s="145"/>
      <c r="FK278" s="145"/>
      <c r="FL278" s="145"/>
      <c r="FM278" s="145"/>
      <c r="FN278" s="145"/>
      <c r="FO278" s="145"/>
      <c r="FP278" s="145"/>
      <c r="FQ278" s="145"/>
      <c r="FR278" s="145"/>
      <c r="FS278" s="145"/>
      <c r="FT278" s="145"/>
      <c r="FU278" s="145"/>
      <c r="FV278" s="145"/>
      <c r="FW278" s="145"/>
      <c r="FX278" s="143"/>
      <c r="FY278" s="146">
        <f>_xlfn.XLOOKUP($E278,'Key assumptions'!$B$112:$B$120,'Key assumptions'!$C$112:$C$120,0)</f>
        <v>0</v>
      </c>
      <c r="FZ278" s="146" cm="1">
        <f t="array" ref="FZ278">IF($FY278=0,0,_xlfn.IFS($FY278='Key assumptions'!$C$120,_xlfn.XLOOKUP(LEFT(FZ$7,6),Inflation_Year,Inflation_NominaltoReal),TRUE,_xlfn.XLOOKUP($FY278,Inflation_Year,NominaltoReal)))</f>
        <v>0</v>
      </c>
      <c r="GA278" s="146" cm="1">
        <f t="array" ref="GA278">IF($FY278=0,0,_xlfn.IFS($FY278='Key assumptions'!$C$120,_xlfn.XLOOKUP(LEFT(GA$7,6),Inflation_Year,Inflation_NominaltoReal),TRUE,_xlfn.XLOOKUP($FY278,Inflation_Year,NominaltoReal)))</f>
        <v>0</v>
      </c>
      <c r="GB278" s="146" cm="1">
        <f t="array" ref="GB278">IF($FY278=0,0,_xlfn.IFS($FY278='Key assumptions'!$C$120,_xlfn.XLOOKUP(LEFT(GB$7,6),Inflation_Year,Inflation_NominaltoReal),TRUE,_xlfn.XLOOKUP($FY278,Inflation_Year,NominaltoReal)))</f>
        <v>0</v>
      </c>
      <c r="GC278" s="146" cm="1">
        <f t="array" ref="GC278">IF($FY278=0,0,_xlfn.IFS($FY278='Key assumptions'!$C$120,_xlfn.XLOOKUP(LEFT(GC$7,6),Inflation_Year,Inflation_NominaltoReal),TRUE,_xlfn.XLOOKUP($FY278,Inflation_Year,NominaltoReal)))</f>
        <v>0</v>
      </c>
      <c r="GD278" s="146" cm="1">
        <f t="array" ref="GD278">IF($FY278=0,0,_xlfn.IFS($FY278='Key assumptions'!$C$120,_xlfn.XLOOKUP(LEFT(GD$7,6),Inflation_Year,Inflation_NominaltoReal),TRUE,_xlfn.XLOOKUP($FY278,Inflation_Year,NominaltoReal)))</f>
        <v>0</v>
      </c>
      <c r="GE278" s="146" cm="1">
        <f t="array" ref="GE278">IF($FY278=0,0,_xlfn.IFS($FY278='Key assumptions'!$C$120,_xlfn.XLOOKUP(LEFT(GE$7,6),Inflation_Year,Inflation_NominaltoReal),TRUE,_xlfn.XLOOKUP($FY278,Inflation_Year,NominaltoReal)))</f>
        <v>0</v>
      </c>
      <c r="GF278" s="146" cm="1">
        <f t="array" ref="GF278">IF($FY278=0,0,_xlfn.IFS($FY278='Key assumptions'!$C$120,_xlfn.XLOOKUP(LEFT(GF$7,6),Inflation_Year,Inflation_NominaltoReal),TRUE,_xlfn.XLOOKUP($FY278,Inflation_Year,NominaltoReal)))</f>
        <v>0</v>
      </c>
      <c r="GG278" s="143"/>
      <c r="GH278" s="145" cm="1">
        <f t="array" ref="GH278">SUMPRODUCT(--($CR$7:$FW$7&gt;=GH$5),--($CR$7:$FW$7&lt;=GH$6),$CR278:$FW278)*FZ278</f>
        <v>0</v>
      </c>
      <c r="GI278" s="145" cm="1">
        <f t="array" ref="GI278">SUMPRODUCT(--($CR$7:$FW$7&gt;=GI$5),--($CR$7:$FW$7&lt;=GI$6),$CR278:$FW278)*GA278</f>
        <v>0</v>
      </c>
      <c r="GJ278" s="145" cm="1">
        <f t="array" ref="GJ278">SUMPRODUCT(--($CR$7:$FW$7&gt;=GJ$5),--($CR$7:$FW$7&lt;=GJ$6),$CR278:$FW278)*GB278</f>
        <v>0</v>
      </c>
      <c r="GK278" s="145" cm="1">
        <f t="array" ref="GK278">SUMPRODUCT(--($CR$7:$FW$7&gt;=GK$5),--($CR$7:$FW$7&lt;=GK$6),$CR278:$FW278)*GC278</f>
        <v>0</v>
      </c>
      <c r="GL278" s="145" cm="1">
        <f t="array" ref="GL278">SUMPRODUCT(--($CR$7:$FW$7&gt;=GL$5),--($CR$7:$FW$7&lt;=GL$6),$CR278:$FW278)*GD278</f>
        <v>0</v>
      </c>
      <c r="GM278" s="145" cm="1">
        <f t="array" ref="GM278">SUMPRODUCT(--($CR$7:$FW$7&gt;=GM$5),--($CR$7:$FW$7&lt;=GM$6),$CR278:$FW278)*GE278</f>
        <v>0</v>
      </c>
      <c r="GN278" s="145" cm="1">
        <f t="array" ref="GN278">SUMPRODUCT(--($CR$7:$FW$7&gt;=GN$5),--($CR$7:$FW$7&lt;=GN$6),$CR278:$FW278)*GF278</f>
        <v>0</v>
      </c>
      <c r="GO278" s="145">
        <f t="shared" si="92"/>
        <v>0</v>
      </c>
      <c r="GP278" s="87"/>
      <c r="GR278" s="145" cm="1">
        <f t="array" ref="GR278">SUMPRODUCT(--($CR$7:$FW$7&gt;=GR$5),--($CR$7:$FW$7&lt;=GR$6),$CR278:$FW278)</f>
        <v>0</v>
      </c>
      <c r="GT278" s="214" cm="1">
        <f t="array" ref="GT278">--AND(MIN(IF($K278:$CP278&lt;&gt;0,$K$7:$CP$7))&gt;=GT$5,MIN(IF($K278:$CP278&lt;&gt;0,$K$7:$CP$7))&lt;=GT$6)</f>
        <v>0</v>
      </c>
      <c r="GU278" s="214" cm="1">
        <f t="array" ref="GU278">--AND(MIN(IF($K278:$CP278&lt;&gt;0,$K$7:$CP$7))&gt;=GU$5,MIN(IF($K278:$CP278&lt;&gt;0,$K$7:$CP$7))&lt;=GU$6)</f>
        <v>0</v>
      </c>
      <c r="GV278" s="214" cm="1">
        <f t="array" ref="GV278">--AND(MIN(IF($K278:$CP278&lt;&gt;0,$K$7:$CP$7))&gt;=GV$5,MIN(IF($K278:$CP278&lt;&gt;0,$K$7:$CP$7))&lt;=GV$6)</f>
        <v>0</v>
      </c>
      <c r="GW278" s="214" cm="1">
        <f t="array" ref="GW278">--AND(MIN(IF($K278:$CP278&lt;&gt;0,$K$7:$CP$7))&gt;=GW$5,MIN(IF($K278:$CP278&lt;&gt;0,$K$7:$CP$7))&lt;=GW$6)</f>
        <v>0</v>
      </c>
      <c r="GX278" s="214" cm="1">
        <f t="array" ref="GX278">--AND(MIN(IF($K278:$CP278&lt;&gt;0,$K$7:$CP$7))&gt;=GX$5,MIN(IF($K278:$CP278&lt;&gt;0,$K$7:$CP$7))&lt;=GX$6)</f>
        <v>0</v>
      </c>
      <c r="GY278" s="214" cm="1">
        <f t="array" ref="GY278">--AND(MIN(IF($K278:$CP278&lt;&gt;0,$K$7:$CP$7))&gt;=GY$5,MIN(IF($K278:$CP278&lt;&gt;0,$K$7:$CP$7))&lt;=GY$6)</f>
        <v>0</v>
      </c>
      <c r="GZ278" s="214" cm="1">
        <f t="array" ref="GZ278">--AND(MIN(IF($K278:$CP278&lt;&gt;0,$K$7:$CP$7))&gt;=GZ$5,MIN(IF($K278:$CP278&lt;&gt;0,$K$7:$CP$7))&lt;=GZ$6)</f>
        <v>0</v>
      </c>
      <c r="HA278" s="214">
        <f t="shared" si="93"/>
        <v>0</v>
      </c>
      <c r="HC278" s="214" cm="1">
        <f t="array" ref="HC278">--AND(MIN(IF($K278:$CP278&lt;&gt;0,$K$7:$CP$7))&gt;=HC$5,MIN(IF($K278:$CP278&lt;&gt;0,$K$7:$CP$7))&lt;=HC$6)</f>
        <v>0</v>
      </c>
      <c r="HE278" s="147" t="str">
        <f t="shared" si="111"/>
        <v>No</v>
      </c>
      <c r="HF278" s="147" t="str">
        <f t="shared" si="112"/>
        <v>No</v>
      </c>
      <c r="HG278" s="147">
        <f>IF($HF278="Yes",0,$H278*avg_hrs*12*'Key assumptions'!$D$87)</f>
        <v>0</v>
      </c>
      <c r="HH278" s="147">
        <f>IF(HE278="Yes",'Key assumptions'!$D$84*HG278,0)</f>
        <v>0</v>
      </c>
      <c r="HI278" s="144">
        <f>IFERROR(AVERAGEIFS($K278:$CP278,$K$7:$CP$7,"&gt;="&amp;'Key assumptions'!$D$24,$K$7:$CP$7,"&lt;="&amp;'Key assumptions'!$D$25),0)</f>
        <v>0</v>
      </c>
      <c r="HJ278" s="148">
        <f t="shared" si="113"/>
        <v>0</v>
      </c>
      <c r="HK278" s="148">
        <f t="shared" si="94"/>
        <v>0</v>
      </c>
      <c r="HL278" s="148">
        <f t="shared" si="95"/>
        <v>0</v>
      </c>
      <c r="HM278" s="148">
        <f t="shared" si="96"/>
        <v>0</v>
      </c>
      <c r="HN278" s="148">
        <f t="shared" si="97"/>
        <v>0</v>
      </c>
      <c r="HO278" s="148">
        <f t="shared" si="98"/>
        <v>0</v>
      </c>
      <c r="HP278" s="148">
        <f t="shared" si="99"/>
        <v>0</v>
      </c>
      <c r="HQ278" s="148">
        <f t="shared" si="100"/>
        <v>0</v>
      </c>
      <c r="HR278" s="147">
        <f t="shared" si="101"/>
        <v>0</v>
      </c>
      <c r="HU278" s="147">
        <f>$HJ278*HC278/(1+'Key assumptions'!G300)^0.75</f>
        <v>0</v>
      </c>
      <c r="HW278" s="216">
        <f t="shared" si="102"/>
        <v>0</v>
      </c>
      <c r="HX278" s="216">
        <f t="shared" si="103"/>
        <v>0</v>
      </c>
      <c r="HY278" s="216">
        <f t="shared" si="104"/>
        <v>0</v>
      </c>
      <c r="HZ278" s="216">
        <f t="shared" si="105"/>
        <v>0</v>
      </c>
      <c r="IA278" s="216">
        <f t="shared" si="106"/>
        <v>0</v>
      </c>
      <c r="IB278" s="216">
        <f t="shared" si="107"/>
        <v>0</v>
      </c>
      <c r="IC278" s="216">
        <f t="shared" si="108"/>
        <v>0</v>
      </c>
      <c r="ID278" s="216">
        <f t="shared" si="109"/>
        <v>0</v>
      </c>
      <c r="IF278" s="216">
        <f t="shared" si="110"/>
        <v>0</v>
      </c>
    </row>
    <row r="279" spans="2:240" x14ac:dyDescent="0.2">
      <c r="B279" s="141"/>
      <c r="C279" s="141"/>
      <c r="D279" s="141"/>
      <c r="E279" s="141"/>
      <c r="F279" s="141"/>
      <c r="G279" s="141"/>
      <c r="H279" s="142"/>
      <c r="I279" s="126"/>
      <c r="J279" s="143"/>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3"/>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c r="EE279" s="145"/>
      <c r="EF279" s="145"/>
      <c r="EG279" s="145"/>
      <c r="EH279" s="145"/>
      <c r="EI279" s="145"/>
      <c r="EJ279" s="145"/>
      <c r="EK279" s="145"/>
      <c r="EL279" s="145"/>
      <c r="EM279" s="145"/>
      <c r="EN279" s="145"/>
      <c r="EO279" s="145"/>
      <c r="EP279" s="145"/>
      <c r="EQ279" s="145"/>
      <c r="ER279" s="145"/>
      <c r="ES279" s="145"/>
      <c r="ET279" s="145"/>
      <c r="EU279" s="145"/>
      <c r="EV279" s="145"/>
      <c r="EW279" s="145"/>
      <c r="EX279" s="145"/>
      <c r="EY279" s="145"/>
      <c r="EZ279" s="145"/>
      <c r="FA279" s="145"/>
      <c r="FB279" s="145"/>
      <c r="FC279" s="145"/>
      <c r="FD279" s="145"/>
      <c r="FE279" s="145"/>
      <c r="FF279" s="145"/>
      <c r="FG279" s="145"/>
      <c r="FH279" s="145"/>
      <c r="FI279" s="145"/>
      <c r="FJ279" s="145"/>
      <c r="FK279" s="145"/>
      <c r="FL279" s="145"/>
      <c r="FM279" s="145"/>
      <c r="FN279" s="145"/>
      <c r="FO279" s="145"/>
      <c r="FP279" s="145"/>
      <c r="FQ279" s="145"/>
      <c r="FR279" s="145"/>
      <c r="FS279" s="145"/>
      <c r="FT279" s="145"/>
      <c r="FU279" s="145"/>
      <c r="FV279" s="145"/>
      <c r="FW279" s="145"/>
      <c r="FX279" s="143"/>
      <c r="FY279" s="146">
        <f>_xlfn.XLOOKUP($E279,'Key assumptions'!$B$112:$B$120,'Key assumptions'!$C$112:$C$120,0)</f>
        <v>0</v>
      </c>
      <c r="FZ279" s="146" cm="1">
        <f t="array" ref="FZ279">IF($FY279=0,0,_xlfn.IFS($FY279='Key assumptions'!$C$120,_xlfn.XLOOKUP(LEFT(FZ$7,6),Inflation_Year,Inflation_NominaltoReal),TRUE,_xlfn.XLOOKUP($FY279,Inflation_Year,NominaltoReal)))</f>
        <v>0</v>
      </c>
      <c r="GA279" s="146" cm="1">
        <f t="array" ref="GA279">IF($FY279=0,0,_xlfn.IFS($FY279='Key assumptions'!$C$120,_xlfn.XLOOKUP(LEFT(GA$7,6),Inflation_Year,Inflation_NominaltoReal),TRUE,_xlfn.XLOOKUP($FY279,Inflation_Year,NominaltoReal)))</f>
        <v>0</v>
      </c>
      <c r="GB279" s="146" cm="1">
        <f t="array" ref="GB279">IF($FY279=0,0,_xlfn.IFS($FY279='Key assumptions'!$C$120,_xlfn.XLOOKUP(LEFT(GB$7,6),Inflation_Year,Inflation_NominaltoReal),TRUE,_xlfn.XLOOKUP($FY279,Inflation_Year,NominaltoReal)))</f>
        <v>0</v>
      </c>
      <c r="GC279" s="146" cm="1">
        <f t="array" ref="GC279">IF($FY279=0,0,_xlfn.IFS($FY279='Key assumptions'!$C$120,_xlfn.XLOOKUP(LEFT(GC$7,6),Inflation_Year,Inflation_NominaltoReal),TRUE,_xlfn.XLOOKUP($FY279,Inflation_Year,NominaltoReal)))</f>
        <v>0</v>
      </c>
      <c r="GD279" s="146" cm="1">
        <f t="array" ref="GD279">IF($FY279=0,0,_xlfn.IFS($FY279='Key assumptions'!$C$120,_xlfn.XLOOKUP(LEFT(GD$7,6),Inflation_Year,Inflation_NominaltoReal),TRUE,_xlfn.XLOOKUP($FY279,Inflation_Year,NominaltoReal)))</f>
        <v>0</v>
      </c>
      <c r="GE279" s="146" cm="1">
        <f t="array" ref="GE279">IF($FY279=0,0,_xlfn.IFS($FY279='Key assumptions'!$C$120,_xlfn.XLOOKUP(LEFT(GE$7,6),Inflation_Year,Inflation_NominaltoReal),TRUE,_xlfn.XLOOKUP($FY279,Inflation_Year,NominaltoReal)))</f>
        <v>0</v>
      </c>
      <c r="GF279" s="146" cm="1">
        <f t="array" ref="GF279">IF($FY279=0,0,_xlfn.IFS($FY279='Key assumptions'!$C$120,_xlfn.XLOOKUP(LEFT(GF$7,6),Inflation_Year,Inflation_NominaltoReal),TRUE,_xlfn.XLOOKUP($FY279,Inflation_Year,NominaltoReal)))</f>
        <v>0</v>
      </c>
      <c r="GG279" s="143"/>
      <c r="GH279" s="145" cm="1">
        <f t="array" ref="GH279">SUMPRODUCT(--($CR$7:$FW$7&gt;=GH$5),--($CR$7:$FW$7&lt;=GH$6),$CR279:$FW279)*FZ279</f>
        <v>0</v>
      </c>
      <c r="GI279" s="145" cm="1">
        <f t="array" ref="GI279">SUMPRODUCT(--($CR$7:$FW$7&gt;=GI$5),--($CR$7:$FW$7&lt;=GI$6),$CR279:$FW279)*GA279</f>
        <v>0</v>
      </c>
      <c r="GJ279" s="145" cm="1">
        <f t="array" ref="GJ279">SUMPRODUCT(--($CR$7:$FW$7&gt;=GJ$5),--($CR$7:$FW$7&lt;=GJ$6),$CR279:$FW279)*GB279</f>
        <v>0</v>
      </c>
      <c r="GK279" s="145" cm="1">
        <f t="array" ref="GK279">SUMPRODUCT(--($CR$7:$FW$7&gt;=GK$5),--($CR$7:$FW$7&lt;=GK$6),$CR279:$FW279)*GC279</f>
        <v>0</v>
      </c>
      <c r="GL279" s="145" cm="1">
        <f t="array" ref="GL279">SUMPRODUCT(--($CR$7:$FW$7&gt;=GL$5),--($CR$7:$FW$7&lt;=GL$6),$CR279:$FW279)*GD279</f>
        <v>0</v>
      </c>
      <c r="GM279" s="145" cm="1">
        <f t="array" ref="GM279">SUMPRODUCT(--($CR$7:$FW$7&gt;=GM$5),--($CR$7:$FW$7&lt;=GM$6),$CR279:$FW279)*GE279</f>
        <v>0</v>
      </c>
      <c r="GN279" s="145" cm="1">
        <f t="array" ref="GN279">SUMPRODUCT(--($CR$7:$FW$7&gt;=GN$5),--($CR$7:$FW$7&lt;=GN$6),$CR279:$FW279)*GF279</f>
        <v>0</v>
      </c>
      <c r="GO279" s="145">
        <f t="shared" si="92"/>
        <v>0</v>
      </c>
      <c r="GP279" s="87"/>
      <c r="GR279" s="145" cm="1">
        <f t="array" ref="GR279">SUMPRODUCT(--($CR$7:$FW$7&gt;=GR$5),--($CR$7:$FW$7&lt;=GR$6),$CR279:$FW279)</f>
        <v>0</v>
      </c>
      <c r="GT279" s="214" cm="1">
        <f t="array" ref="GT279">--AND(MIN(IF($K279:$CP279&lt;&gt;0,$K$7:$CP$7))&gt;=GT$5,MIN(IF($K279:$CP279&lt;&gt;0,$K$7:$CP$7))&lt;=GT$6)</f>
        <v>0</v>
      </c>
      <c r="GU279" s="214" cm="1">
        <f t="array" ref="GU279">--AND(MIN(IF($K279:$CP279&lt;&gt;0,$K$7:$CP$7))&gt;=GU$5,MIN(IF($K279:$CP279&lt;&gt;0,$K$7:$CP$7))&lt;=GU$6)</f>
        <v>0</v>
      </c>
      <c r="GV279" s="214" cm="1">
        <f t="array" ref="GV279">--AND(MIN(IF($K279:$CP279&lt;&gt;0,$K$7:$CP$7))&gt;=GV$5,MIN(IF($K279:$CP279&lt;&gt;0,$K$7:$CP$7))&lt;=GV$6)</f>
        <v>0</v>
      </c>
      <c r="GW279" s="214" cm="1">
        <f t="array" ref="GW279">--AND(MIN(IF($K279:$CP279&lt;&gt;0,$K$7:$CP$7))&gt;=GW$5,MIN(IF($K279:$CP279&lt;&gt;0,$K$7:$CP$7))&lt;=GW$6)</f>
        <v>0</v>
      </c>
      <c r="GX279" s="214" cm="1">
        <f t="array" ref="GX279">--AND(MIN(IF($K279:$CP279&lt;&gt;0,$K$7:$CP$7))&gt;=GX$5,MIN(IF($K279:$CP279&lt;&gt;0,$K$7:$CP$7))&lt;=GX$6)</f>
        <v>0</v>
      </c>
      <c r="GY279" s="214" cm="1">
        <f t="array" ref="GY279">--AND(MIN(IF($K279:$CP279&lt;&gt;0,$K$7:$CP$7))&gt;=GY$5,MIN(IF($K279:$CP279&lt;&gt;0,$K$7:$CP$7))&lt;=GY$6)</f>
        <v>0</v>
      </c>
      <c r="GZ279" s="214" cm="1">
        <f t="array" ref="GZ279">--AND(MIN(IF($K279:$CP279&lt;&gt;0,$K$7:$CP$7))&gt;=GZ$5,MIN(IF($K279:$CP279&lt;&gt;0,$K$7:$CP$7))&lt;=GZ$6)</f>
        <v>0</v>
      </c>
      <c r="HA279" s="214">
        <f t="shared" si="93"/>
        <v>0</v>
      </c>
      <c r="HC279" s="214" cm="1">
        <f t="array" ref="HC279">--AND(MIN(IF($K279:$CP279&lt;&gt;0,$K$7:$CP$7))&gt;=HC$5,MIN(IF($K279:$CP279&lt;&gt;0,$K$7:$CP$7))&lt;=HC$6)</f>
        <v>0</v>
      </c>
      <c r="HE279" s="147" t="str">
        <f t="shared" si="111"/>
        <v>No</v>
      </c>
      <c r="HF279" s="147" t="str">
        <f t="shared" si="112"/>
        <v>No</v>
      </c>
      <c r="HG279" s="147">
        <f>IF($HF279="Yes",0,$H279*avg_hrs*12*'Key assumptions'!$D$87)</f>
        <v>0</v>
      </c>
      <c r="HH279" s="147">
        <f>IF(HE279="Yes",'Key assumptions'!$D$84*HG279,0)</f>
        <v>0</v>
      </c>
      <c r="HI279" s="144">
        <f>IFERROR(AVERAGEIFS($K279:$CP279,$K$7:$CP$7,"&gt;="&amp;'Key assumptions'!$D$24,$K$7:$CP$7,"&lt;="&amp;'Key assumptions'!$D$25),0)</f>
        <v>0</v>
      </c>
      <c r="HJ279" s="148">
        <f t="shared" si="113"/>
        <v>0</v>
      </c>
      <c r="HK279" s="148">
        <f t="shared" si="94"/>
        <v>0</v>
      </c>
      <c r="HL279" s="148">
        <f t="shared" si="95"/>
        <v>0</v>
      </c>
      <c r="HM279" s="148">
        <f t="shared" si="96"/>
        <v>0</v>
      </c>
      <c r="HN279" s="148">
        <f t="shared" si="97"/>
        <v>0</v>
      </c>
      <c r="HO279" s="148">
        <f t="shared" si="98"/>
        <v>0</v>
      </c>
      <c r="HP279" s="148">
        <f t="shared" si="99"/>
        <v>0</v>
      </c>
      <c r="HQ279" s="148">
        <f t="shared" si="100"/>
        <v>0</v>
      </c>
      <c r="HR279" s="147">
        <f t="shared" si="101"/>
        <v>0</v>
      </c>
      <c r="HU279" s="147">
        <f>$HJ279*HC279/(1+'Key assumptions'!G301)^0.75</f>
        <v>0</v>
      </c>
      <c r="HW279" s="216">
        <f t="shared" si="102"/>
        <v>0</v>
      </c>
      <c r="HX279" s="216">
        <f t="shared" si="103"/>
        <v>0</v>
      </c>
      <c r="HY279" s="216">
        <f t="shared" si="104"/>
        <v>0</v>
      </c>
      <c r="HZ279" s="216">
        <f t="shared" si="105"/>
        <v>0</v>
      </c>
      <c r="IA279" s="216">
        <f t="shared" si="106"/>
        <v>0</v>
      </c>
      <c r="IB279" s="216">
        <f t="shared" si="107"/>
        <v>0</v>
      </c>
      <c r="IC279" s="216">
        <f t="shared" si="108"/>
        <v>0</v>
      </c>
      <c r="ID279" s="216">
        <f t="shared" si="109"/>
        <v>0</v>
      </c>
      <c r="IF279" s="216">
        <f t="shared" si="110"/>
        <v>0</v>
      </c>
    </row>
    <row r="280" spans="2:240" x14ac:dyDescent="0.2">
      <c r="B280" s="141"/>
      <c r="C280" s="141"/>
      <c r="D280" s="141"/>
      <c r="E280" s="141"/>
      <c r="F280" s="141"/>
      <c r="G280" s="141"/>
      <c r="H280" s="142"/>
      <c r="I280" s="126"/>
      <c r="J280" s="143"/>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3"/>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c r="EE280" s="145"/>
      <c r="EF280" s="145"/>
      <c r="EG280" s="145"/>
      <c r="EH280" s="145"/>
      <c r="EI280" s="145"/>
      <c r="EJ280" s="145"/>
      <c r="EK280" s="145"/>
      <c r="EL280" s="145"/>
      <c r="EM280" s="145"/>
      <c r="EN280" s="145"/>
      <c r="EO280" s="145"/>
      <c r="EP280" s="145"/>
      <c r="EQ280" s="145"/>
      <c r="ER280" s="145"/>
      <c r="ES280" s="145"/>
      <c r="ET280" s="145"/>
      <c r="EU280" s="145"/>
      <c r="EV280" s="145"/>
      <c r="EW280" s="145"/>
      <c r="EX280" s="145"/>
      <c r="EY280" s="145"/>
      <c r="EZ280" s="145"/>
      <c r="FA280" s="145"/>
      <c r="FB280" s="145"/>
      <c r="FC280" s="145"/>
      <c r="FD280" s="145"/>
      <c r="FE280" s="145"/>
      <c r="FF280" s="145"/>
      <c r="FG280" s="145"/>
      <c r="FH280" s="145"/>
      <c r="FI280" s="145"/>
      <c r="FJ280" s="145"/>
      <c r="FK280" s="145"/>
      <c r="FL280" s="145"/>
      <c r="FM280" s="145"/>
      <c r="FN280" s="145"/>
      <c r="FO280" s="145"/>
      <c r="FP280" s="145"/>
      <c r="FQ280" s="145"/>
      <c r="FR280" s="145"/>
      <c r="FS280" s="145"/>
      <c r="FT280" s="145"/>
      <c r="FU280" s="145"/>
      <c r="FV280" s="145"/>
      <c r="FW280" s="145"/>
      <c r="FX280" s="143"/>
      <c r="FY280" s="146">
        <f>_xlfn.XLOOKUP($E280,'Key assumptions'!$B$112:$B$120,'Key assumptions'!$C$112:$C$120,0)</f>
        <v>0</v>
      </c>
      <c r="FZ280" s="146" cm="1">
        <f t="array" ref="FZ280">IF($FY280=0,0,_xlfn.IFS($FY280='Key assumptions'!$C$120,_xlfn.XLOOKUP(LEFT(FZ$7,6),Inflation_Year,Inflation_NominaltoReal),TRUE,_xlfn.XLOOKUP($FY280,Inflation_Year,NominaltoReal)))</f>
        <v>0</v>
      </c>
      <c r="GA280" s="146" cm="1">
        <f t="array" ref="GA280">IF($FY280=0,0,_xlfn.IFS($FY280='Key assumptions'!$C$120,_xlfn.XLOOKUP(LEFT(GA$7,6),Inflation_Year,Inflation_NominaltoReal),TRUE,_xlfn.XLOOKUP($FY280,Inflation_Year,NominaltoReal)))</f>
        <v>0</v>
      </c>
      <c r="GB280" s="146" cm="1">
        <f t="array" ref="GB280">IF($FY280=0,0,_xlfn.IFS($FY280='Key assumptions'!$C$120,_xlfn.XLOOKUP(LEFT(GB$7,6),Inflation_Year,Inflation_NominaltoReal),TRUE,_xlfn.XLOOKUP($FY280,Inflation_Year,NominaltoReal)))</f>
        <v>0</v>
      </c>
      <c r="GC280" s="146" cm="1">
        <f t="array" ref="GC280">IF($FY280=0,0,_xlfn.IFS($FY280='Key assumptions'!$C$120,_xlfn.XLOOKUP(LEFT(GC$7,6),Inflation_Year,Inflation_NominaltoReal),TRUE,_xlfn.XLOOKUP($FY280,Inflation_Year,NominaltoReal)))</f>
        <v>0</v>
      </c>
      <c r="GD280" s="146" cm="1">
        <f t="array" ref="GD280">IF($FY280=0,0,_xlfn.IFS($FY280='Key assumptions'!$C$120,_xlfn.XLOOKUP(LEFT(GD$7,6),Inflation_Year,Inflation_NominaltoReal),TRUE,_xlfn.XLOOKUP($FY280,Inflation_Year,NominaltoReal)))</f>
        <v>0</v>
      </c>
      <c r="GE280" s="146" cm="1">
        <f t="array" ref="GE280">IF($FY280=0,0,_xlfn.IFS($FY280='Key assumptions'!$C$120,_xlfn.XLOOKUP(LEFT(GE$7,6),Inflation_Year,Inflation_NominaltoReal),TRUE,_xlfn.XLOOKUP($FY280,Inflation_Year,NominaltoReal)))</f>
        <v>0</v>
      </c>
      <c r="GF280" s="146" cm="1">
        <f t="array" ref="GF280">IF($FY280=0,0,_xlfn.IFS($FY280='Key assumptions'!$C$120,_xlfn.XLOOKUP(LEFT(GF$7,6),Inflation_Year,Inflation_NominaltoReal),TRUE,_xlfn.XLOOKUP($FY280,Inflation_Year,NominaltoReal)))</f>
        <v>0</v>
      </c>
      <c r="GG280" s="143"/>
      <c r="GH280" s="145" cm="1">
        <f t="array" ref="GH280">SUMPRODUCT(--($CR$7:$FW$7&gt;=GH$5),--($CR$7:$FW$7&lt;=GH$6),$CR280:$FW280)*FZ280</f>
        <v>0</v>
      </c>
      <c r="GI280" s="145" cm="1">
        <f t="array" ref="GI280">SUMPRODUCT(--($CR$7:$FW$7&gt;=GI$5),--($CR$7:$FW$7&lt;=GI$6),$CR280:$FW280)*GA280</f>
        <v>0</v>
      </c>
      <c r="GJ280" s="145" cm="1">
        <f t="array" ref="GJ280">SUMPRODUCT(--($CR$7:$FW$7&gt;=GJ$5),--($CR$7:$FW$7&lt;=GJ$6),$CR280:$FW280)*GB280</f>
        <v>0</v>
      </c>
      <c r="GK280" s="145" cm="1">
        <f t="array" ref="GK280">SUMPRODUCT(--($CR$7:$FW$7&gt;=GK$5),--($CR$7:$FW$7&lt;=GK$6),$CR280:$FW280)*GC280</f>
        <v>0</v>
      </c>
      <c r="GL280" s="145" cm="1">
        <f t="array" ref="GL280">SUMPRODUCT(--($CR$7:$FW$7&gt;=GL$5),--($CR$7:$FW$7&lt;=GL$6),$CR280:$FW280)*GD280</f>
        <v>0</v>
      </c>
      <c r="GM280" s="145" cm="1">
        <f t="array" ref="GM280">SUMPRODUCT(--($CR$7:$FW$7&gt;=GM$5),--($CR$7:$FW$7&lt;=GM$6),$CR280:$FW280)*GE280</f>
        <v>0</v>
      </c>
      <c r="GN280" s="145" cm="1">
        <f t="array" ref="GN280">SUMPRODUCT(--($CR$7:$FW$7&gt;=GN$5),--($CR$7:$FW$7&lt;=GN$6),$CR280:$FW280)*GF280</f>
        <v>0</v>
      </c>
      <c r="GO280" s="145">
        <f t="shared" si="92"/>
        <v>0</v>
      </c>
      <c r="GP280" s="87"/>
      <c r="GR280" s="145" cm="1">
        <f t="array" ref="GR280">SUMPRODUCT(--($CR$7:$FW$7&gt;=GR$5),--($CR$7:$FW$7&lt;=GR$6),$CR280:$FW280)</f>
        <v>0</v>
      </c>
      <c r="GT280" s="214" cm="1">
        <f t="array" ref="GT280">--AND(MIN(IF($K280:$CP280&lt;&gt;0,$K$7:$CP$7))&gt;=GT$5,MIN(IF($K280:$CP280&lt;&gt;0,$K$7:$CP$7))&lt;=GT$6)</f>
        <v>0</v>
      </c>
      <c r="GU280" s="214" cm="1">
        <f t="array" ref="GU280">--AND(MIN(IF($K280:$CP280&lt;&gt;0,$K$7:$CP$7))&gt;=GU$5,MIN(IF($K280:$CP280&lt;&gt;0,$K$7:$CP$7))&lt;=GU$6)</f>
        <v>0</v>
      </c>
      <c r="GV280" s="214" cm="1">
        <f t="array" ref="GV280">--AND(MIN(IF($K280:$CP280&lt;&gt;0,$K$7:$CP$7))&gt;=GV$5,MIN(IF($K280:$CP280&lt;&gt;0,$K$7:$CP$7))&lt;=GV$6)</f>
        <v>0</v>
      </c>
      <c r="GW280" s="214" cm="1">
        <f t="array" ref="GW280">--AND(MIN(IF($K280:$CP280&lt;&gt;0,$K$7:$CP$7))&gt;=GW$5,MIN(IF($K280:$CP280&lt;&gt;0,$K$7:$CP$7))&lt;=GW$6)</f>
        <v>0</v>
      </c>
      <c r="GX280" s="214" cm="1">
        <f t="array" ref="GX280">--AND(MIN(IF($K280:$CP280&lt;&gt;0,$K$7:$CP$7))&gt;=GX$5,MIN(IF($K280:$CP280&lt;&gt;0,$K$7:$CP$7))&lt;=GX$6)</f>
        <v>0</v>
      </c>
      <c r="GY280" s="214" cm="1">
        <f t="array" ref="GY280">--AND(MIN(IF($K280:$CP280&lt;&gt;0,$K$7:$CP$7))&gt;=GY$5,MIN(IF($K280:$CP280&lt;&gt;0,$K$7:$CP$7))&lt;=GY$6)</f>
        <v>0</v>
      </c>
      <c r="GZ280" s="214" cm="1">
        <f t="array" ref="GZ280">--AND(MIN(IF($K280:$CP280&lt;&gt;0,$K$7:$CP$7))&gt;=GZ$5,MIN(IF($K280:$CP280&lt;&gt;0,$K$7:$CP$7))&lt;=GZ$6)</f>
        <v>0</v>
      </c>
      <c r="HA280" s="214">
        <f t="shared" si="93"/>
        <v>0</v>
      </c>
      <c r="HC280" s="214" cm="1">
        <f t="array" ref="HC280">--AND(MIN(IF($K280:$CP280&lt;&gt;0,$K$7:$CP$7))&gt;=HC$5,MIN(IF($K280:$CP280&lt;&gt;0,$K$7:$CP$7))&lt;=HC$6)</f>
        <v>0</v>
      </c>
      <c r="HE280" s="147" t="str">
        <f t="shared" si="111"/>
        <v>No</v>
      </c>
      <c r="HF280" s="147" t="str">
        <f t="shared" si="112"/>
        <v>No</v>
      </c>
      <c r="HG280" s="147">
        <f>IF($HF280="Yes",0,$H280*avg_hrs*12*'Key assumptions'!$D$87)</f>
        <v>0</v>
      </c>
      <c r="HH280" s="147">
        <f>IF(HE280="Yes",'Key assumptions'!$D$84*HG280,0)</f>
        <v>0</v>
      </c>
      <c r="HI280" s="144">
        <f>IFERROR(AVERAGEIFS($K280:$CP280,$K$7:$CP$7,"&gt;="&amp;'Key assumptions'!$D$24,$K$7:$CP$7,"&lt;="&amp;'Key assumptions'!$D$25),0)</f>
        <v>0</v>
      </c>
      <c r="HJ280" s="148">
        <f t="shared" si="113"/>
        <v>0</v>
      </c>
      <c r="HK280" s="148">
        <f t="shared" si="94"/>
        <v>0</v>
      </c>
      <c r="HL280" s="148">
        <f t="shared" si="95"/>
        <v>0</v>
      </c>
      <c r="HM280" s="148">
        <f t="shared" si="96"/>
        <v>0</v>
      </c>
      <c r="HN280" s="148">
        <f t="shared" si="97"/>
        <v>0</v>
      </c>
      <c r="HO280" s="148">
        <f t="shared" si="98"/>
        <v>0</v>
      </c>
      <c r="HP280" s="148">
        <f t="shared" si="99"/>
        <v>0</v>
      </c>
      <c r="HQ280" s="148">
        <f t="shared" si="100"/>
        <v>0</v>
      </c>
      <c r="HR280" s="147">
        <f t="shared" si="101"/>
        <v>0</v>
      </c>
      <c r="HU280" s="147">
        <f>$HJ280*HC280/(1+'Key assumptions'!G302)^0.75</f>
        <v>0</v>
      </c>
      <c r="HW280" s="216">
        <f t="shared" si="102"/>
        <v>0</v>
      </c>
      <c r="HX280" s="216">
        <f t="shared" si="103"/>
        <v>0</v>
      </c>
      <c r="HY280" s="216">
        <f t="shared" si="104"/>
        <v>0</v>
      </c>
      <c r="HZ280" s="216">
        <f t="shared" si="105"/>
        <v>0</v>
      </c>
      <c r="IA280" s="216">
        <f t="shared" si="106"/>
        <v>0</v>
      </c>
      <c r="IB280" s="216">
        <f t="shared" si="107"/>
        <v>0</v>
      </c>
      <c r="IC280" s="216">
        <f t="shared" si="108"/>
        <v>0</v>
      </c>
      <c r="ID280" s="216">
        <f t="shared" si="109"/>
        <v>0</v>
      </c>
      <c r="IF280" s="216">
        <f t="shared" si="110"/>
        <v>0</v>
      </c>
    </row>
    <row r="281" spans="2:240" x14ac:dyDescent="0.2">
      <c r="B281" s="141"/>
      <c r="C281" s="141"/>
      <c r="D281" s="141"/>
      <c r="E281" s="141"/>
      <c r="F281" s="141"/>
      <c r="G281" s="141"/>
      <c r="H281" s="142"/>
      <c r="I281" s="126"/>
      <c r="J281" s="143"/>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3"/>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c r="EE281" s="145"/>
      <c r="EF281" s="145"/>
      <c r="EG281" s="145"/>
      <c r="EH281" s="145"/>
      <c r="EI281" s="145"/>
      <c r="EJ281" s="145"/>
      <c r="EK281" s="145"/>
      <c r="EL281" s="145"/>
      <c r="EM281" s="145"/>
      <c r="EN281" s="145"/>
      <c r="EO281" s="145"/>
      <c r="EP281" s="145"/>
      <c r="EQ281" s="145"/>
      <c r="ER281" s="145"/>
      <c r="ES281" s="145"/>
      <c r="ET281" s="145"/>
      <c r="EU281" s="145"/>
      <c r="EV281" s="145"/>
      <c r="EW281" s="145"/>
      <c r="EX281" s="145"/>
      <c r="EY281" s="145"/>
      <c r="EZ281" s="145"/>
      <c r="FA281" s="145"/>
      <c r="FB281" s="145"/>
      <c r="FC281" s="145"/>
      <c r="FD281" s="145"/>
      <c r="FE281" s="145"/>
      <c r="FF281" s="145"/>
      <c r="FG281" s="145"/>
      <c r="FH281" s="145"/>
      <c r="FI281" s="145"/>
      <c r="FJ281" s="145"/>
      <c r="FK281" s="145"/>
      <c r="FL281" s="145"/>
      <c r="FM281" s="145"/>
      <c r="FN281" s="145"/>
      <c r="FO281" s="145"/>
      <c r="FP281" s="145"/>
      <c r="FQ281" s="145"/>
      <c r="FR281" s="145"/>
      <c r="FS281" s="145"/>
      <c r="FT281" s="145"/>
      <c r="FU281" s="145"/>
      <c r="FV281" s="145"/>
      <c r="FW281" s="145"/>
      <c r="FX281" s="143"/>
      <c r="FY281" s="146">
        <f>_xlfn.XLOOKUP($E281,'Key assumptions'!$B$112:$B$120,'Key assumptions'!$C$112:$C$120,0)</f>
        <v>0</v>
      </c>
      <c r="FZ281" s="146" cm="1">
        <f t="array" ref="FZ281">IF($FY281=0,0,_xlfn.IFS($FY281='Key assumptions'!$C$120,_xlfn.XLOOKUP(LEFT(FZ$7,6),Inflation_Year,Inflation_NominaltoReal),TRUE,_xlfn.XLOOKUP($FY281,Inflation_Year,NominaltoReal)))</f>
        <v>0</v>
      </c>
      <c r="GA281" s="146" cm="1">
        <f t="array" ref="GA281">IF($FY281=0,0,_xlfn.IFS($FY281='Key assumptions'!$C$120,_xlfn.XLOOKUP(LEFT(GA$7,6),Inflation_Year,Inflation_NominaltoReal),TRUE,_xlfn.XLOOKUP($FY281,Inflation_Year,NominaltoReal)))</f>
        <v>0</v>
      </c>
      <c r="GB281" s="146" cm="1">
        <f t="array" ref="GB281">IF($FY281=0,0,_xlfn.IFS($FY281='Key assumptions'!$C$120,_xlfn.XLOOKUP(LEFT(GB$7,6),Inflation_Year,Inflation_NominaltoReal),TRUE,_xlfn.XLOOKUP($FY281,Inflation_Year,NominaltoReal)))</f>
        <v>0</v>
      </c>
      <c r="GC281" s="146" cm="1">
        <f t="array" ref="GC281">IF($FY281=0,0,_xlfn.IFS($FY281='Key assumptions'!$C$120,_xlfn.XLOOKUP(LEFT(GC$7,6),Inflation_Year,Inflation_NominaltoReal),TRUE,_xlfn.XLOOKUP($FY281,Inflation_Year,NominaltoReal)))</f>
        <v>0</v>
      </c>
      <c r="GD281" s="146" cm="1">
        <f t="array" ref="GD281">IF($FY281=0,0,_xlfn.IFS($FY281='Key assumptions'!$C$120,_xlfn.XLOOKUP(LEFT(GD$7,6),Inflation_Year,Inflation_NominaltoReal),TRUE,_xlfn.XLOOKUP($FY281,Inflation_Year,NominaltoReal)))</f>
        <v>0</v>
      </c>
      <c r="GE281" s="146" cm="1">
        <f t="array" ref="GE281">IF($FY281=0,0,_xlfn.IFS($FY281='Key assumptions'!$C$120,_xlfn.XLOOKUP(LEFT(GE$7,6),Inflation_Year,Inflation_NominaltoReal),TRUE,_xlfn.XLOOKUP($FY281,Inflation_Year,NominaltoReal)))</f>
        <v>0</v>
      </c>
      <c r="GF281" s="146" cm="1">
        <f t="array" ref="GF281">IF($FY281=0,0,_xlfn.IFS($FY281='Key assumptions'!$C$120,_xlfn.XLOOKUP(LEFT(GF$7,6),Inflation_Year,Inflation_NominaltoReal),TRUE,_xlfn.XLOOKUP($FY281,Inflation_Year,NominaltoReal)))</f>
        <v>0</v>
      </c>
      <c r="GG281" s="143"/>
      <c r="GH281" s="145" cm="1">
        <f t="array" ref="GH281">SUMPRODUCT(--($CR$7:$FW$7&gt;=GH$5),--($CR$7:$FW$7&lt;=GH$6),$CR281:$FW281)*FZ281</f>
        <v>0</v>
      </c>
      <c r="GI281" s="145" cm="1">
        <f t="array" ref="GI281">SUMPRODUCT(--($CR$7:$FW$7&gt;=GI$5),--($CR$7:$FW$7&lt;=GI$6),$CR281:$FW281)*GA281</f>
        <v>0</v>
      </c>
      <c r="GJ281" s="145" cm="1">
        <f t="array" ref="GJ281">SUMPRODUCT(--($CR$7:$FW$7&gt;=GJ$5),--($CR$7:$FW$7&lt;=GJ$6),$CR281:$FW281)*GB281</f>
        <v>0</v>
      </c>
      <c r="GK281" s="145" cm="1">
        <f t="array" ref="GK281">SUMPRODUCT(--($CR$7:$FW$7&gt;=GK$5),--($CR$7:$FW$7&lt;=GK$6),$CR281:$FW281)*GC281</f>
        <v>0</v>
      </c>
      <c r="GL281" s="145" cm="1">
        <f t="array" ref="GL281">SUMPRODUCT(--($CR$7:$FW$7&gt;=GL$5),--($CR$7:$FW$7&lt;=GL$6),$CR281:$FW281)*GD281</f>
        <v>0</v>
      </c>
      <c r="GM281" s="145" cm="1">
        <f t="array" ref="GM281">SUMPRODUCT(--($CR$7:$FW$7&gt;=GM$5),--($CR$7:$FW$7&lt;=GM$6),$CR281:$FW281)*GE281</f>
        <v>0</v>
      </c>
      <c r="GN281" s="145" cm="1">
        <f t="array" ref="GN281">SUMPRODUCT(--($CR$7:$FW$7&gt;=GN$5),--($CR$7:$FW$7&lt;=GN$6),$CR281:$FW281)*GF281</f>
        <v>0</v>
      </c>
      <c r="GO281" s="145">
        <f t="shared" si="92"/>
        <v>0</v>
      </c>
      <c r="GP281" s="87"/>
      <c r="GR281" s="145" cm="1">
        <f t="array" ref="GR281">SUMPRODUCT(--($CR$7:$FW$7&gt;=GR$5),--($CR$7:$FW$7&lt;=GR$6),$CR281:$FW281)</f>
        <v>0</v>
      </c>
      <c r="GT281" s="214" cm="1">
        <f t="array" ref="GT281">--AND(MIN(IF($K281:$CP281&lt;&gt;0,$K$7:$CP$7))&gt;=GT$5,MIN(IF($K281:$CP281&lt;&gt;0,$K$7:$CP$7))&lt;=GT$6)</f>
        <v>0</v>
      </c>
      <c r="GU281" s="214" cm="1">
        <f t="array" ref="GU281">--AND(MIN(IF($K281:$CP281&lt;&gt;0,$K$7:$CP$7))&gt;=GU$5,MIN(IF($K281:$CP281&lt;&gt;0,$K$7:$CP$7))&lt;=GU$6)</f>
        <v>0</v>
      </c>
      <c r="GV281" s="214" cm="1">
        <f t="array" ref="GV281">--AND(MIN(IF($K281:$CP281&lt;&gt;0,$K$7:$CP$7))&gt;=GV$5,MIN(IF($K281:$CP281&lt;&gt;0,$K$7:$CP$7))&lt;=GV$6)</f>
        <v>0</v>
      </c>
      <c r="GW281" s="214" cm="1">
        <f t="array" ref="GW281">--AND(MIN(IF($K281:$CP281&lt;&gt;0,$K$7:$CP$7))&gt;=GW$5,MIN(IF($K281:$CP281&lt;&gt;0,$K$7:$CP$7))&lt;=GW$6)</f>
        <v>0</v>
      </c>
      <c r="GX281" s="214" cm="1">
        <f t="array" ref="GX281">--AND(MIN(IF($K281:$CP281&lt;&gt;0,$K$7:$CP$7))&gt;=GX$5,MIN(IF($K281:$CP281&lt;&gt;0,$K$7:$CP$7))&lt;=GX$6)</f>
        <v>0</v>
      </c>
      <c r="GY281" s="214" cm="1">
        <f t="array" ref="GY281">--AND(MIN(IF($K281:$CP281&lt;&gt;0,$K$7:$CP$7))&gt;=GY$5,MIN(IF($K281:$CP281&lt;&gt;0,$K$7:$CP$7))&lt;=GY$6)</f>
        <v>0</v>
      </c>
      <c r="GZ281" s="214" cm="1">
        <f t="array" ref="GZ281">--AND(MIN(IF($K281:$CP281&lt;&gt;0,$K$7:$CP$7))&gt;=GZ$5,MIN(IF($K281:$CP281&lt;&gt;0,$K$7:$CP$7))&lt;=GZ$6)</f>
        <v>0</v>
      </c>
      <c r="HA281" s="214">
        <f t="shared" si="93"/>
        <v>0</v>
      </c>
      <c r="HC281" s="214" cm="1">
        <f t="array" ref="HC281">--AND(MIN(IF($K281:$CP281&lt;&gt;0,$K$7:$CP$7))&gt;=HC$5,MIN(IF($K281:$CP281&lt;&gt;0,$K$7:$CP$7))&lt;=HC$6)</f>
        <v>0</v>
      </c>
      <c r="HE281" s="147" t="str">
        <f t="shared" si="111"/>
        <v>No</v>
      </c>
      <c r="HF281" s="147" t="str">
        <f t="shared" si="112"/>
        <v>No</v>
      </c>
      <c r="HG281" s="147">
        <f>IF($HF281="Yes",0,$H281*avg_hrs*12*'Key assumptions'!$D$87)</f>
        <v>0</v>
      </c>
      <c r="HH281" s="147">
        <f>IF(HE281="Yes",'Key assumptions'!$D$84*HG281,0)</f>
        <v>0</v>
      </c>
      <c r="HI281" s="144">
        <f>IFERROR(AVERAGEIFS($K281:$CP281,$K$7:$CP$7,"&gt;="&amp;'Key assumptions'!$D$24,$K$7:$CP$7,"&lt;="&amp;'Key assumptions'!$D$25),0)</f>
        <v>0</v>
      </c>
      <c r="HJ281" s="148">
        <f t="shared" si="113"/>
        <v>0</v>
      </c>
      <c r="HK281" s="148">
        <f t="shared" si="94"/>
        <v>0</v>
      </c>
      <c r="HL281" s="148">
        <f t="shared" si="95"/>
        <v>0</v>
      </c>
      <c r="HM281" s="148">
        <f t="shared" si="96"/>
        <v>0</v>
      </c>
      <c r="HN281" s="148">
        <f t="shared" si="97"/>
        <v>0</v>
      </c>
      <c r="HO281" s="148">
        <f t="shared" si="98"/>
        <v>0</v>
      </c>
      <c r="HP281" s="148">
        <f t="shared" si="99"/>
        <v>0</v>
      </c>
      <c r="HQ281" s="148">
        <f t="shared" si="100"/>
        <v>0</v>
      </c>
      <c r="HR281" s="147">
        <f t="shared" si="101"/>
        <v>0</v>
      </c>
      <c r="HU281" s="147">
        <f>$HJ281*HC281/(1+'Key assumptions'!G303)^0.75</f>
        <v>0</v>
      </c>
      <c r="HW281" s="216">
        <f t="shared" si="102"/>
        <v>0</v>
      </c>
      <c r="HX281" s="216">
        <f t="shared" si="103"/>
        <v>0</v>
      </c>
      <c r="HY281" s="216">
        <f t="shared" si="104"/>
        <v>0</v>
      </c>
      <c r="HZ281" s="216">
        <f t="shared" si="105"/>
        <v>0</v>
      </c>
      <c r="IA281" s="216">
        <f t="shared" si="106"/>
        <v>0</v>
      </c>
      <c r="IB281" s="216">
        <f t="shared" si="107"/>
        <v>0</v>
      </c>
      <c r="IC281" s="216">
        <f t="shared" si="108"/>
        <v>0</v>
      </c>
      <c r="ID281" s="216">
        <f t="shared" si="109"/>
        <v>0</v>
      </c>
      <c r="IF281" s="216">
        <f t="shared" si="110"/>
        <v>0</v>
      </c>
    </row>
    <row r="282" spans="2:240" x14ac:dyDescent="0.2">
      <c r="B282" s="141"/>
      <c r="C282" s="141"/>
      <c r="D282" s="141"/>
      <c r="E282" s="141"/>
      <c r="F282" s="141"/>
      <c r="G282" s="141"/>
      <c r="H282" s="142"/>
      <c r="I282" s="126"/>
      <c r="J282" s="143"/>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3"/>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c r="EE282" s="145"/>
      <c r="EF282" s="145"/>
      <c r="EG282" s="145"/>
      <c r="EH282" s="145"/>
      <c r="EI282" s="145"/>
      <c r="EJ282" s="145"/>
      <c r="EK282" s="145"/>
      <c r="EL282" s="145"/>
      <c r="EM282" s="145"/>
      <c r="EN282" s="145"/>
      <c r="EO282" s="145"/>
      <c r="EP282" s="145"/>
      <c r="EQ282" s="145"/>
      <c r="ER282" s="145"/>
      <c r="ES282" s="145"/>
      <c r="ET282" s="145"/>
      <c r="EU282" s="145"/>
      <c r="EV282" s="145"/>
      <c r="EW282" s="145"/>
      <c r="EX282" s="145"/>
      <c r="EY282" s="145"/>
      <c r="EZ282" s="145"/>
      <c r="FA282" s="145"/>
      <c r="FB282" s="145"/>
      <c r="FC282" s="145"/>
      <c r="FD282" s="145"/>
      <c r="FE282" s="145"/>
      <c r="FF282" s="145"/>
      <c r="FG282" s="145"/>
      <c r="FH282" s="145"/>
      <c r="FI282" s="145"/>
      <c r="FJ282" s="145"/>
      <c r="FK282" s="145"/>
      <c r="FL282" s="145"/>
      <c r="FM282" s="145"/>
      <c r="FN282" s="145"/>
      <c r="FO282" s="145"/>
      <c r="FP282" s="145"/>
      <c r="FQ282" s="145"/>
      <c r="FR282" s="145"/>
      <c r="FS282" s="145"/>
      <c r="FT282" s="145"/>
      <c r="FU282" s="145"/>
      <c r="FV282" s="145"/>
      <c r="FW282" s="145"/>
      <c r="FX282" s="143"/>
      <c r="FY282" s="146">
        <f>_xlfn.XLOOKUP($E282,'Key assumptions'!$B$112:$B$120,'Key assumptions'!$C$112:$C$120,0)</f>
        <v>0</v>
      </c>
      <c r="FZ282" s="146" cm="1">
        <f t="array" ref="FZ282">IF($FY282=0,0,_xlfn.IFS($FY282='Key assumptions'!$C$120,_xlfn.XLOOKUP(LEFT(FZ$7,6),Inflation_Year,Inflation_NominaltoReal),TRUE,_xlfn.XLOOKUP($FY282,Inflation_Year,NominaltoReal)))</f>
        <v>0</v>
      </c>
      <c r="GA282" s="146" cm="1">
        <f t="array" ref="GA282">IF($FY282=0,0,_xlfn.IFS($FY282='Key assumptions'!$C$120,_xlfn.XLOOKUP(LEFT(GA$7,6),Inflation_Year,Inflation_NominaltoReal),TRUE,_xlfn.XLOOKUP($FY282,Inflation_Year,NominaltoReal)))</f>
        <v>0</v>
      </c>
      <c r="GB282" s="146" cm="1">
        <f t="array" ref="GB282">IF($FY282=0,0,_xlfn.IFS($FY282='Key assumptions'!$C$120,_xlfn.XLOOKUP(LEFT(GB$7,6),Inflation_Year,Inflation_NominaltoReal),TRUE,_xlfn.XLOOKUP($FY282,Inflation_Year,NominaltoReal)))</f>
        <v>0</v>
      </c>
      <c r="GC282" s="146" cm="1">
        <f t="array" ref="GC282">IF($FY282=0,0,_xlfn.IFS($FY282='Key assumptions'!$C$120,_xlfn.XLOOKUP(LEFT(GC$7,6),Inflation_Year,Inflation_NominaltoReal),TRUE,_xlfn.XLOOKUP($FY282,Inflation_Year,NominaltoReal)))</f>
        <v>0</v>
      </c>
      <c r="GD282" s="146" cm="1">
        <f t="array" ref="GD282">IF($FY282=0,0,_xlfn.IFS($FY282='Key assumptions'!$C$120,_xlfn.XLOOKUP(LEFT(GD$7,6),Inflation_Year,Inflation_NominaltoReal),TRUE,_xlfn.XLOOKUP($FY282,Inflation_Year,NominaltoReal)))</f>
        <v>0</v>
      </c>
      <c r="GE282" s="146" cm="1">
        <f t="array" ref="GE282">IF($FY282=0,0,_xlfn.IFS($FY282='Key assumptions'!$C$120,_xlfn.XLOOKUP(LEFT(GE$7,6),Inflation_Year,Inflation_NominaltoReal),TRUE,_xlfn.XLOOKUP($FY282,Inflation_Year,NominaltoReal)))</f>
        <v>0</v>
      </c>
      <c r="GF282" s="146" cm="1">
        <f t="array" ref="GF282">IF($FY282=0,0,_xlfn.IFS($FY282='Key assumptions'!$C$120,_xlfn.XLOOKUP(LEFT(GF$7,6),Inflation_Year,Inflation_NominaltoReal),TRUE,_xlfn.XLOOKUP($FY282,Inflation_Year,NominaltoReal)))</f>
        <v>0</v>
      </c>
      <c r="GG282" s="143"/>
      <c r="GH282" s="145" cm="1">
        <f t="array" ref="GH282">SUMPRODUCT(--($CR$7:$FW$7&gt;=GH$5),--($CR$7:$FW$7&lt;=GH$6),$CR282:$FW282)*FZ282</f>
        <v>0</v>
      </c>
      <c r="GI282" s="145" cm="1">
        <f t="array" ref="GI282">SUMPRODUCT(--($CR$7:$FW$7&gt;=GI$5),--($CR$7:$FW$7&lt;=GI$6),$CR282:$FW282)*GA282</f>
        <v>0</v>
      </c>
      <c r="GJ282" s="145" cm="1">
        <f t="array" ref="GJ282">SUMPRODUCT(--($CR$7:$FW$7&gt;=GJ$5),--($CR$7:$FW$7&lt;=GJ$6),$CR282:$FW282)*GB282</f>
        <v>0</v>
      </c>
      <c r="GK282" s="145" cm="1">
        <f t="array" ref="GK282">SUMPRODUCT(--($CR$7:$FW$7&gt;=GK$5),--($CR$7:$FW$7&lt;=GK$6),$CR282:$FW282)*GC282</f>
        <v>0</v>
      </c>
      <c r="GL282" s="145" cm="1">
        <f t="array" ref="GL282">SUMPRODUCT(--($CR$7:$FW$7&gt;=GL$5),--($CR$7:$FW$7&lt;=GL$6),$CR282:$FW282)*GD282</f>
        <v>0</v>
      </c>
      <c r="GM282" s="145" cm="1">
        <f t="array" ref="GM282">SUMPRODUCT(--($CR$7:$FW$7&gt;=GM$5),--($CR$7:$FW$7&lt;=GM$6),$CR282:$FW282)*GE282</f>
        <v>0</v>
      </c>
      <c r="GN282" s="145" cm="1">
        <f t="array" ref="GN282">SUMPRODUCT(--($CR$7:$FW$7&gt;=GN$5),--($CR$7:$FW$7&lt;=GN$6),$CR282:$FW282)*GF282</f>
        <v>0</v>
      </c>
      <c r="GO282" s="145">
        <f t="shared" si="92"/>
        <v>0</v>
      </c>
      <c r="GP282" s="87"/>
      <c r="GR282" s="145" cm="1">
        <f t="array" ref="GR282">SUMPRODUCT(--($CR$7:$FW$7&gt;=GR$5),--($CR$7:$FW$7&lt;=GR$6),$CR282:$FW282)</f>
        <v>0</v>
      </c>
      <c r="GT282" s="214" cm="1">
        <f t="array" ref="GT282">--AND(MIN(IF($K282:$CP282&lt;&gt;0,$K$7:$CP$7))&gt;=GT$5,MIN(IF($K282:$CP282&lt;&gt;0,$K$7:$CP$7))&lt;=GT$6)</f>
        <v>0</v>
      </c>
      <c r="GU282" s="214" cm="1">
        <f t="array" ref="GU282">--AND(MIN(IF($K282:$CP282&lt;&gt;0,$K$7:$CP$7))&gt;=GU$5,MIN(IF($K282:$CP282&lt;&gt;0,$K$7:$CP$7))&lt;=GU$6)</f>
        <v>0</v>
      </c>
      <c r="GV282" s="214" cm="1">
        <f t="array" ref="GV282">--AND(MIN(IF($K282:$CP282&lt;&gt;0,$K$7:$CP$7))&gt;=GV$5,MIN(IF($K282:$CP282&lt;&gt;0,$K$7:$CP$7))&lt;=GV$6)</f>
        <v>0</v>
      </c>
      <c r="GW282" s="214" cm="1">
        <f t="array" ref="GW282">--AND(MIN(IF($K282:$CP282&lt;&gt;0,$K$7:$CP$7))&gt;=GW$5,MIN(IF($K282:$CP282&lt;&gt;0,$K$7:$CP$7))&lt;=GW$6)</f>
        <v>0</v>
      </c>
      <c r="GX282" s="214" cm="1">
        <f t="array" ref="GX282">--AND(MIN(IF($K282:$CP282&lt;&gt;0,$K$7:$CP$7))&gt;=GX$5,MIN(IF($K282:$CP282&lt;&gt;0,$K$7:$CP$7))&lt;=GX$6)</f>
        <v>0</v>
      </c>
      <c r="GY282" s="214" cm="1">
        <f t="array" ref="GY282">--AND(MIN(IF($K282:$CP282&lt;&gt;0,$K$7:$CP$7))&gt;=GY$5,MIN(IF($K282:$CP282&lt;&gt;0,$K$7:$CP$7))&lt;=GY$6)</f>
        <v>0</v>
      </c>
      <c r="GZ282" s="214" cm="1">
        <f t="array" ref="GZ282">--AND(MIN(IF($K282:$CP282&lt;&gt;0,$K$7:$CP$7))&gt;=GZ$5,MIN(IF($K282:$CP282&lt;&gt;0,$K$7:$CP$7))&lt;=GZ$6)</f>
        <v>0</v>
      </c>
      <c r="HA282" s="214">
        <f t="shared" si="93"/>
        <v>0</v>
      </c>
      <c r="HC282" s="214" cm="1">
        <f t="array" ref="HC282">--AND(MIN(IF($K282:$CP282&lt;&gt;0,$K$7:$CP$7))&gt;=HC$5,MIN(IF($K282:$CP282&lt;&gt;0,$K$7:$CP$7))&lt;=HC$6)</f>
        <v>0</v>
      </c>
      <c r="HE282" s="147" t="str">
        <f t="shared" si="111"/>
        <v>No</v>
      </c>
      <c r="HF282" s="147" t="str">
        <f t="shared" si="112"/>
        <v>No</v>
      </c>
      <c r="HG282" s="147">
        <f>IF($HF282="Yes",0,$H282*avg_hrs*12*'Key assumptions'!$D$87)</f>
        <v>0</v>
      </c>
      <c r="HH282" s="147">
        <f>IF(HE282="Yes",'Key assumptions'!$D$84*HG282,0)</f>
        <v>0</v>
      </c>
      <c r="HI282" s="144">
        <f>IFERROR(AVERAGEIFS($K282:$CP282,$K$7:$CP$7,"&gt;="&amp;'Key assumptions'!$D$24,$K$7:$CP$7,"&lt;="&amp;'Key assumptions'!$D$25),0)</f>
        <v>0</v>
      </c>
      <c r="HJ282" s="148">
        <f t="shared" si="113"/>
        <v>0</v>
      </c>
      <c r="HK282" s="148">
        <f t="shared" si="94"/>
        <v>0</v>
      </c>
      <c r="HL282" s="148">
        <f t="shared" si="95"/>
        <v>0</v>
      </c>
      <c r="HM282" s="148">
        <f t="shared" si="96"/>
        <v>0</v>
      </c>
      <c r="HN282" s="148">
        <f t="shared" si="97"/>
        <v>0</v>
      </c>
      <c r="HO282" s="148">
        <f t="shared" si="98"/>
        <v>0</v>
      </c>
      <c r="HP282" s="148">
        <f t="shared" si="99"/>
        <v>0</v>
      </c>
      <c r="HQ282" s="148">
        <f t="shared" si="100"/>
        <v>0</v>
      </c>
      <c r="HR282" s="147">
        <f t="shared" si="101"/>
        <v>0</v>
      </c>
      <c r="HU282" s="147">
        <f>$HJ282*HC282/(1+'Key assumptions'!G304)^0.75</f>
        <v>0</v>
      </c>
      <c r="HW282" s="216">
        <f t="shared" si="102"/>
        <v>0</v>
      </c>
      <c r="HX282" s="216">
        <f t="shared" si="103"/>
        <v>0</v>
      </c>
      <c r="HY282" s="216">
        <f t="shared" si="104"/>
        <v>0</v>
      </c>
      <c r="HZ282" s="216">
        <f t="shared" si="105"/>
        <v>0</v>
      </c>
      <c r="IA282" s="216">
        <f t="shared" si="106"/>
        <v>0</v>
      </c>
      <c r="IB282" s="216">
        <f t="shared" si="107"/>
        <v>0</v>
      </c>
      <c r="IC282" s="216">
        <f t="shared" si="108"/>
        <v>0</v>
      </c>
      <c r="ID282" s="216">
        <f t="shared" si="109"/>
        <v>0</v>
      </c>
      <c r="IF282" s="216">
        <f t="shared" si="110"/>
        <v>0</v>
      </c>
    </row>
    <row r="283" spans="2:240" x14ac:dyDescent="0.2">
      <c r="B283" s="141"/>
      <c r="C283" s="141"/>
      <c r="D283" s="141"/>
      <c r="E283" s="141"/>
      <c r="F283" s="141"/>
      <c r="G283" s="141"/>
      <c r="H283" s="142"/>
      <c r="I283" s="126"/>
      <c r="J283" s="143"/>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3"/>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c r="EE283" s="145"/>
      <c r="EF283" s="145"/>
      <c r="EG283" s="145"/>
      <c r="EH283" s="145"/>
      <c r="EI283" s="145"/>
      <c r="EJ283" s="145"/>
      <c r="EK283" s="145"/>
      <c r="EL283" s="145"/>
      <c r="EM283" s="145"/>
      <c r="EN283" s="145"/>
      <c r="EO283" s="145"/>
      <c r="EP283" s="145"/>
      <c r="EQ283" s="145"/>
      <c r="ER283" s="145"/>
      <c r="ES283" s="145"/>
      <c r="ET283" s="145"/>
      <c r="EU283" s="145"/>
      <c r="EV283" s="145"/>
      <c r="EW283" s="145"/>
      <c r="EX283" s="145"/>
      <c r="EY283" s="145"/>
      <c r="EZ283" s="145"/>
      <c r="FA283" s="145"/>
      <c r="FB283" s="145"/>
      <c r="FC283" s="145"/>
      <c r="FD283" s="145"/>
      <c r="FE283" s="145"/>
      <c r="FF283" s="145"/>
      <c r="FG283" s="145"/>
      <c r="FH283" s="145"/>
      <c r="FI283" s="145"/>
      <c r="FJ283" s="145"/>
      <c r="FK283" s="145"/>
      <c r="FL283" s="145"/>
      <c r="FM283" s="145"/>
      <c r="FN283" s="145"/>
      <c r="FO283" s="145"/>
      <c r="FP283" s="145"/>
      <c r="FQ283" s="145"/>
      <c r="FR283" s="145"/>
      <c r="FS283" s="145"/>
      <c r="FT283" s="145"/>
      <c r="FU283" s="145"/>
      <c r="FV283" s="145"/>
      <c r="FW283" s="145"/>
      <c r="FX283" s="143"/>
      <c r="FY283" s="146">
        <f>_xlfn.XLOOKUP($E283,'Key assumptions'!$B$112:$B$120,'Key assumptions'!$C$112:$C$120,0)</f>
        <v>0</v>
      </c>
      <c r="FZ283" s="146" cm="1">
        <f t="array" ref="FZ283">IF($FY283=0,0,_xlfn.IFS($FY283='Key assumptions'!$C$120,_xlfn.XLOOKUP(LEFT(FZ$7,6),Inflation_Year,Inflation_NominaltoReal),TRUE,_xlfn.XLOOKUP($FY283,Inflation_Year,NominaltoReal)))</f>
        <v>0</v>
      </c>
      <c r="GA283" s="146" cm="1">
        <f t="array" ref="GA283">IF($FY283=0,0,_xlfn.IFS($FY283='Key assumptions'!$C$120,_xlfn.XLOOKUP(LEFT(GA$7,6),Inflation_Year,Inflation_NominaltoReal),TRUE,_xlfn.XLOOKUP($FY283,Inflation_Year,NominaltoReal)))</f>
        <v>0</v>
      </c>
      <c r="GB283" s="146" cm="1">
        <f t="array" ref="GB283">IF($FY283=0,0,_xlfn.IFS($FY283='Key assumptions'!$C$120,_xlfn.XLOOKUP(LEFT(GB$7,6),Inflation_Year,Inflation_NominaltoReal),TRUE,_xlfn.XLOOKUP($FY283,Inflation_Year,NominaltoReal)))</f>
        <v>0</v>
      </c>
      <c r="GC283" s="146" cm="1">
        <f t="array" ref="GC283">IF($FY283=0,0,_xlfn.IFS($FY283='Key assumptions'!$C$120,_xlfn.XLOOKUP(LEFT(GC$7,6),Inflation_Year,Inflation_NominaltoReal),TRUE,_xlfn.XLOOKUP($FY283,Inflation_Year,NominaltoReal)))</f>
        <v>0</v>
      </c>
      <c r="GD283" s="146" cm="1">
        <f t="array" ref="GD283">IF($FY283=0,0,_xlfn.IFS($FY283='Key assumptions'!$C$120,_xlfn.XLOOKUP(LEFT(GD$7,6),Inflation_Year,Inflation_NominaltoReal),TRUE,_xlfn.XLOOKUP($FY283,Inflation_Year,NominaltoReal)))</f>
        <v>0</v>
      </c>
      <c r="GE283" s="146" cm="1">
        <f t="array" ref="GE283">IF($FY283=0,0,_xlfn.IFS($FY283='Key assumptions'!$C$120,_xlfn.XLOOKUP(LEFT(GE$7,6),Inflation_Year,Inflation_NominaltoReal),TRUE,_xlfn.XLOOKUP($FY283,Inflation_Year,NominaltoReal)))</f>
        <v>0</v>
      </c>
      <c r="GF283" s="146" cm="1">
        <f t="array" ref="GF283">IF($FY283=0,0,_xlfn.IFS($FY283='Key assumptions'!$C$120,_xlfn.XLOOKUP(LEFT(GF$7,6),Inflation_Year,Inflation_NominaltoReal),TRUE,_xlfn.XLOOKUP($FY283,Inflation_Year,NominaltoReal)))</f>
        <v>0</v>
      </c>
      <c r="GG283" s="143"/>
      <c r="GH283" s="145" cm="1">
        <f t="array" ref="GH283">SUMPRODUCT(--($CR$7:$FW$7&gt;=GH$5),--($CR$7:$FW$7&lt;=GH$6),$CR283:$FW283)*FZ283</f>
        <v>0</v>
      </c>
      <c r="GI283" s="145" cm="1">
        <f t="array" ref="GI283">SUMPRODUCT(--($CR$7:$FW$7&gt;=GI$5),--($CR$7:$FW$7&lt;=GI$6),$CR283:$FW283)*GA283</f>
        <v>0</v>
      </c>
      <c r="GJ283" s="145" cm="1">
        <f t="array" ref="GJ283">SUMPRODUCT(--($CR$7:$FW$7&gt;=GJ$5),--($CR$7:$FW$7&lt;=GJ$6),$CR283:$FW283)*GB283</f>
        <v>0</v>
      </c>
      <c r="GK283" s="145" cm="1">
        <f t="array" ref="GK283">SUMPRODUCT(--($CR$7:$FW$7&gt;=GK$5),--($CR$7:$FW$7&lt;=GK$6),$CR283:$FW283)*GC283</f>
        <v>0</v>
      </c>
      <c r="GL283" s="145" cm="1">
        <f t="array" ref="GL283">SUMPRODUCT(--($CR$7:$FW$7&gt;=GL$5),--($CR$7:$FW$7&lt;=GL$6),$CR283:$FW283)*GD283</f>
        <v>0</v>
      </c>
      <c r="GM283" s="145" cm="1">
        <f t="array" ref="GM283">SUMPRODUCT(--($CR$7:$FW$7&gt;=GM$5),--($CR$7:$FW$7&lt;=GM$6),$CR283:$FW283)*GE283</f>
        <v>0</v>
      </c>
      <c r="GN283" s="145" cm="1">
        <f t="array" ref="GN283">SUMPRODUCT(--($CR$7:$FW$7&gt;=GN$5),--($CR$7:$FW$7&lt;=GN$6),$CR283:$FW283)*GF283</f>
        <v>0</v>
      </c>
      <c r="GO283" s="145">
        <f t="shared" si="92"/>
        <v>0</v>
      </c>
      <c r="GP283" s="87"/>
      <c r="GR283" s="145" cm="1">
        <f t="array" ref="GR283">SUMPRODUCT(--($CR$7:$FW$7&gt;=GR$5),--($CR$7:$FW$7&lt;=GR$6),$CR283:$FW283)</f>
        <v>0</v>
      </c>
      <c r="GT283" s="214" cm="1">
        <f t="array" ref="GT283">--AND(MIN(IF($K283:$CP283&lt;&gt;0,$K$7:$CP$7))&gt;=GT$5,MIN(IF($K283:$CP283&lt;&gt;0,$K$7:$CP$7))&lt;=GT$6)</f>
        <v>0</v>
      </c>
      <c r="GU283" s="214" cm="1">
        <f t="array" ref="GU283">--AND(MIN(IF($K283:$CP283&lt;&gt;0,$K$7:$CP$7))&gt;=GU$5,MIN(IF($K283:$CP283&lt;&gt;0,$K$7:$CP$7))&lt;=GU$6)</f>
        <v>0</v>
      </c>
      <c r="GV283" s="214" cm="1">
        <f t="array" ref="GV283">--AND(MIN(IF($K283:$CP283&lt;&gt;0,$K$7:$CP$7))&gt;=GV$5,MIN(IF($K283:$CP283&lt;&gt;0,$K$7:$CP$7))&lt;=GV$6)</f>
        <v>0</v>
      </c>
      <c r="GW283" s="214" cm="1">
        <f t="array" ref="GW283">--AND(MIN(IF($K283:$CP283&lt;&gt;0,$K$7:$CP$7))&gt;=GW$5,MIN(IF($K283:$CP283&lt;&gt;0,$K$7:$CP$7))&lt;=GW$6)</f>
        <v>0</v>
      </c>
      <c r="GX283" s="214" cm="1">
        <f t="array" ref="GX283">--AND(MIN(IF($K283:$CP283&lt;&gt;0,$K$7:$CP$7))&gt;=GX$5,MIN(IF($K283:$CP283&lt;&gt;0,$K$7:$CP$7))&lt;=GX$6)</f>
        <v>0</v>
      </c>
      <c r="GY283" s="214" cm="1">
        <f t="array" ref="GY283">--AND(MIN(IF($K283:$CP283&lt;&gt;0,$K$7:$CP$7))&gt;=GY$5,MIN(IF($K283:$CP283&lt;&gt;0,$K$7:$CP$7))&lt;=GY$6)</f>
        <v>0</v>
      </c>
      <c r="GZ283" s="214" cm="1">
        <f t="array" ref="GZ283">--AND(MIN(IF($K283:$CP283&lt;&gt;0,$K$7:$CP$7))&gt;=GZ$5,MIN(IF($K283:$CP283&lt;&gt;0,$K$7:$CP$7))&lt;=GZ$6)</f>
        <v>0</v>
      </c>
      <c r="HA283" s="214">
        <f t="shared" si="93"/>
        <v>0</v>
      </c>
      <c r="HC283" s="214" cm="1">
        <f t="array" ref="HC283">--AND(MIN(IF($K283:$CP283&lt;&gt;0,$K$7:$CP$7))&gt;=HC$5,MIN(IF($K283:$CP283&lt;&gt;0,$K$7:$CP$7))&lt;=HC$6)</f>
        <v>0</v>
      </c>
      <c r="HE283" s="147" t="str">
        <f t="shared" si="111"/>
        <v>No</v>
      </c>
      <c r="HF283" s="147" t="str">
        <f t="shared" si="112"/>
        <v>No</v>
      </c>
      <c r="HG283" s="147">
        <f>IF($HF283="Yes",0,$H283*avg_hrs*12*'Key assumptions'!$D$87)</f>
        <v>0</v>
      </c>
      <c r="HH283" s="147">
        <f>IF(HE283="Yes",'Key assumptions'!$D$84*HG283,0)</f>
        <v>0</v>
      </c>
      <c r="HI283" s="144">
        <f>IFERROR(AVERAGEIFS($K283:$CP283,$K$7:$CP$7,"&gt;="&amp;'Key assumptions'!$D$24,$K$7:$CP$7,"&lt;="&amp;'Key assumptions'!$D$25),0)</f>
        <v>0</v>
      </c>
      <c r="HJ283" s="148">
        <f t="shared" si="113"/>
        <v>0</v>
      </c>
      <c r="HK283" s="148">
        <f t="shared" si="94"/>
        <v>0</v>
      </c>
      <c r="HL283" s="148">
        <f t="shared" si="95"/>
        <v>0</v>
      </c>
      <c r="HM283" s="148">
        <f t="shared" si="96"/>
        <v>0</v>
      </c>
      <c r="HN283" s="148">
        <f t="shared" si="97"/>
        <v>0</v>
      </c>
      <c r="HO283" s="148">
        <f t="shared" si="98"/>
        <v>0</v>
      </c>
      <c r="HP283" s="148">
        <f t="shared" si="99"/>
        <v>0</v>
      </c>
      <c r="HQ283" s="148">
        <f t="shared" si="100"/>
        <v>0</v>
      </c>
      <c r="HR283" s="147">
        <f t="shared" si="101"/>
        <v>0</v>
      </c>
      <c r="HU283" s="147">
        <f>$HJ283*HC283/(1+'Key assumptions'!G305)^0.75</f>
        <v>0</v>
      </c>
      <c r="HW283" s="216">
        <f t="shared" si="102"/>
        <v>0</v>
      </c>
      <c r="HX283" s="216">
        <f t="shared" si="103"/>
        <v>0</v>
      </c>
      <c r="HY283" s="216">
        <f t="shared" si="104"/>
        <v>0</v>
      </c>
      <c r="HZ283" s="216">
        <f t="shared" si="105"/>
        <v>0</v>
      </c>
      <c r="IA283" s="216">
        <f t="shared" si="106"/>
        <v>0</v>
      </c>
      <c r="IB283" s="216">
        <f t="shared" si="107"/>
        <v>0</v>
      </c>
      <c r="IC283" s="216">
        <f t="shared" si="108"/>
        <v>0</v>
      </c>
      <c r="ID283" s="216">
        <f t="shared" si="109"/>
        <v>0</v>
      </c>
      <c r="IF283" s="216">
        <f t="shared" si="110"/>
        <v>0</v>
      </c>
    </row>
    <row r="284" spans="2:240" x14ac:dyDescent="0.2">
      <c r="B284" s="141"/>
      <c r="C284" s="141"/>
      <c r="D284" s="141"/>
      <c r="E284" s="141"/>
      <c r="F284" s="141"/>
      <c r="G284" s="141"/>
      <c r="H284" s="142"/>
      <c r="I284" s="126"/>
      <c r="J284" s="143"/>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3"/>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c r="EE284" s="145"/>
      <c r="EF284" s="145"/>
      <c r="EG284" s="145"/>
      <c r="EH284" s="145"/>
      <c r="EI284" s="145"/>
      <c r="EJ284" s="145"/>
      <c r="EK284" s="145"/>
      <c r="EL284" s="145"/>
      <c r="EM284" s="145"/>
      <c r="EN284" s="145"/>
      <c r="EO284" s="145"/>
      <c r="EP284" s="145"/>
      <c r="EQ284" s="145"/>
      <c r="ER284" s="145"/>
      <c r="ES284" s="145"/>
      <c r="ET284" s="145"/>
      <c r="EU284" s="145"/>
      <c r="EV284" s="145"/>
      <c r="EW284" s="145"/>
      <c r="EX284" s="145"/>
      <c r="EY284" s="145"/>
      <c r="EZ284" s="145"/>
      <c r="FA284" s="145"/>
      <c r="FB284" s="145"/>
      <c r="FC284" s="145"/>
      <c r="FD284" s="145"/>
      <c r="FE284" s="145"/>
      <c r="FF284" s="145"/>
      <c r="FG284" s="145"/>
      <c r="FH284" s="145"/>
      <c r="FI284" s="145"/>
      <c r="FJ284" s="145"/>
      <c r="FK284" s="145"/>
      <c r="FL284" s="145"/>
      <c r="FM284" s="145"/>
      <c r="FN284" s="145"/>
      <c r="FO284" s="145"/>
      <c r="FP284" s="145"/>
      <c r="FQ284" s="145"/>
      <c r="FR284" s="145"/>
      <c r="FS284" s="145"/>
      <c r="FT284" s="145"/>
      <c r="FU284" s="145"/>
      <c r="FV284" s="145"/>
      <c r="FW284" s="145"/>
      <c r="FX284" s="143"/>
      <c r="FY284" s="146">
        <f>_xlfn.XLOOKUP($E284,'Key assumptions'!$B$112:$B$120,'Key assumptions'!$C$112:$C$120,0)</f>
        <v>0</v>
      </c>
      <c r="FZ284" s="146" cm="1">
        <f t="array" ref="FZ284">IF($FY284=0,0,_xlfn.IFS($FY284='Key assumptions'!$C$120,_xlfn.XLOOKUP(LEFT(FZ$7,6),Inflation_Year,Inflation_NominaltoReal),TRUE,_xlfn.XLOOKUP($FY284,Inflation_Year,NominaltoReal)))</f>
        <v>0</v>
      </c>
      <c r="GA284" s="146" cm="1">
        <f t="array" ref="GA284">IF($FY284=0,0,_xlfn.IFS($FY284='Key assumptions'!$C$120,_xlfn.XLOOKUP(LEFT(GA$7,6),Inflation_Year,Inflation_NominaltoReal),TRUE,_xlfn.XLOOKUP($FY284,Inflation_Year,NominaltoReal)))</f>
        <v>0</v>
      </c>
      <c r="GB284" s="146" cm="1">
        <f t="array" ref="GB284">IF($FY284=0,0,_xlfn.IFS($FY284='Key assumptions'!$C$120,_xlfn.XLOOKUP(LEFT(GB$7,6),Inflation_Year,Inflation_NominaltoReal),TRUE,_xlfn.XLOOKUP($FY284,Inflation_Year,NominaltoReal)))</f>
        <v>0</v>
      </c>
      <c r="GC284" s="146" cm="1">
        <f t="array" ref="GC284">IF($FY284=0,0,_xlfn.IFS($FY284='Key assumptions'!$C$120,_xlfn.XLOOKUP(LEFT(GC$7,6),Inflation_Year,Inflation_NominaltoReal),TRUE,_xlfn.XLOOKUP($FY284,Inflation_Year,NominaltoReal)))</f>
        <v>0</v>
      </c>
      <c r="GD284" s="146" cm="1">
        <f t="array" ref="GD284">IF($FY284=0,0,_xlfn.IFS($FY284='Key assumptions'!$C$120,_xlfn.XLOOKUP(LEFT(GD$7,6),Inflation_Year,Inflation_NominaltoReal),TRUE,_xlfn.XLOOKUP($FY284,Inflation_Year,NominaltoReal)))</f>
        <v>0</v>
      </c>
      <c r="GE284" s="146" cm="1">
        <f t="array" ref="GE284">IF($FY284=0,0,_xlfn.IFS($FY284='Key assumptions'!$C$120,_xlfn.XLOOKUP(LEFT(GE$7,6),Inflation_Year,Inflation_NominaltoReal),TRUE,_xlfn.XLOOKUP($FY284,Inflation_Year,NominaltoReal)))</f>
        <v>0</v>
      </c>
      <c r="GF284" s="146" cm="1">
        <f t="array" ref="GF284">IF($FY284=0,0,_xlfn.IFS($FY284='Key assumptions'!$C$120,_xlfn.XLOOKUP(LEFT(GF$7,6),Inflation_Year,Inflation_NominaltoReal),TRUE,_xlfn.XLOOKUP($FY284,Inflation_Year,NominaltoReal)))</f>
        <v>0</v>
      </c>
      <c r="GG284" s="143"/>
      <c r="GH284" s="145" cm="1">
        <f t="array" ref="GH284">SUMPRODUCT(--($CR$7:$FW$7&gt;=GH$5),--($CR$7:$FW$7&lt;=GH$6),$CR284:$FW284)*FZ284</f>
        <v>0</v>
      </c>
      <c r="GI284" s="145" cm="1">
        <f t="array" ref="GI284">SUMPRODUCT(--($CR$7:$FW$7&gt;=GI$5),--($CR$7:$FW$7&lt;=GI$6),$CR284:$FW284)*GA284</f>
        <v>0</v>
      </c>
      <c r="GJ284" s="145" cm="1">
        <f t="array" ref="GJ284">SUMPRODUCT(--($CR$7:$FW$7&gt;=GJ$5),--($CR$7:$FW$7&lt;=GJ$6),$CR284:$FW284)*GB284</f>
        <v>0</v>
      </c>
      <c r="GK284" s="145" cm="1">
        <f t="array" ref="GK284">SUMPRODUCT(--($CR$7:$FW$7&gt;=GK$5),--($CR$7:$FW$7&lt;=GK$6),$CR284:$FW284)*GC284</f>
        <v>0</v>
      </c>
      <c r="GL284" s="145" cm="1">
        <f t="array" ref="GL284">SUMPRODUCT(--($CR$7:$FW$7&gt;=GL$5),--($CR$7:$FW$7&lt;=GL$6),$CR284:$FW284)*GD284</f>
        <v>0</v>
      </c>
      <c r="GM284" s="145" cm="1">
        <f t="array" ref="GM284">SUMPRODUCT(--($CR$7:$FW$7&gt;=GM$5),--($CR$7:$FW$7&lt;=GM$6),$CR284:$FW284)*GE284</f>
        <v>0</v>
      </c>
      <c r="GN284" s="145" cm="1">
        <f t="array" ref="GN284">SUMPRODUCT(--($CR$7:$FW$7&gt;=GN$5),--($CR$7:$FW$7&lt;=GN$6),$CR284:$FW284)*GF284</f>
        <v>0</v>
      </c>
      <c r="GO284" s="145">
        <f t="shared" si="92"/>
        <v>0</v>
      </c>
      <c r="GP284" s="87"/>
      <c r="GR284" s="145" cm="1">
        <f t="array" ref="GR284">SUMPRODUCT(--($CR$7:$FW$7&gt;=GR$5),--($CR$7:$FW$7&lt;=GR$6),$CR284:$FW284)</f>
        <v>0</v>
      </c>
      <c r="GT284" s="214" cm="1">
        <f t="array" ref="GT284">--AND(MIN(IF($K284:$CP284&lt;&gt;0,$K$7:$CP$7))&gt;=GT$5,MIN(IF($K284:$CP284&lt;&gt;0,$K$7:$CP$7))&lt;=GT$6)</f>
        <v>0</v>
      </c>
      <c r="GU284" s="214" cm="1">
        <f t="array" ref="GU284">--AND(MIN(IF($K284:$CP284&lt;&gt;0,$K$7:$CP$7))&gt;=GU$5,MIN(IF($K284:$CP284&lt;&gt;0,$K$7:$CP$7))&lt;=GU$6)</f>
        <v>0</v>
      </c>
      <c r="GV284" s="214" cm="1">
        <f t="array" ref="GV284">--AND(MIN(IF($K284:$CP284&lt;&gt;0,$K$7:$CP$7))&gt;=GV$5,MIN(IF($K284:$CP284&lt;&gt;0,$K$7:$CP$7))&lt;=GV$6)</f>
        <v>0</v>
      </c>
      <c r="GW284" s="214" cm="1">
        <f t="array" ref="GW284">--AND(MIN(IF($K284:$CP284&lt;&gt;0,$K$7:$CP$7))&gt;=GW$5,MIN(IF($K284:$CP284&lt;&gt;0,$K$7:$CP$7))&lt;=GW$6)</f>
        <v>0</v>
      </c>
      <c r="GX284" s="214" cm="1">
        <f t="array" ref="GX284">--AND(MIN(IF($K284:$CP284&lt;&gt;0,$K$7:$CP$7))&gt;=GX$5,MIN(IF($K284:$CP284&lt;&gt;0,$K$7:$CP$7))&lt;=GX$6)</f>
        <v>0</v>
      </c>
      <c r="GY284" s="214" cm="1">
        <f t="array" ref="GY284">--AND(MIN(IF($K284:$CP284&lt;&gt;0,$K$7:$CP$7))&gt;=GY$5,MIN(IF($K284:$CP284&lt;&gt;0,$K$7:$CP$7))&lt;=GY$6)</f>
        <v>0</v>
      </c>
      <c r="GZ284" s="214" cm="1">
        <f t="array" ref="GZ284">--AND(MIN(IF($K284:$CP284&lt;&gt;0,$K$7:$CP$7))&gt;=GZ$5,MIN(IF($K284:$CP284&lt;&gt;0,$K$7:$CP$7))&lt;=GZ$6)</f>
        <v>0</v>
      </c>
      <c r="HA284" s="214">
        <f t="shared" si="93"/>
        <v>0</v>
      </c>
      <c r="HC284" s="214" cm="1">
        <f t="array" ref="HC284">--AND(MIN(IF($K284:$CP284&lt;&gt;0,$K$7:$CP$7))&gt;=HC$5,MIN(IF($K284:$CP284&lt;&gt;0,$K$7:$CP$7))&lt;=HC$6)</f>
        <v>0</v>
      </c>
      <c r="HE284" s="147" t="str">
        <f t="shared" si="111"/>
        <v>No</v>
      </c>
      <c r="HF284" s="147" t="str">
        <f t="shared" si="112"/>
        <v>No</v>
      </c>
      <c r="HG284" s="147">
        <f>IF($HF284="Yes",0,$H284*avg_hrs*12*'Key assumptions'!$D$87)</f>
        <v>0</v>
      </c>
      <c r="HH284" s="147">
        <f>IF(HE284="Yes",'Key assumptions'!$D$84*HG284,0)</f>
        <v>0</v>
      </c>
      <c r="HI284" s="144">
        <f>IFERROR(AVERAGEIFS($K284:$CP284,$K$7:$CP$7,"&gt;="&amp;'Key assumptions'!$D$24,$K$7:$CP$7,"&lt;="&amp;'Key assumptions'!$D$25),0)</f>
        <v>0</v>
      </c>
      <c r="HJ284" s="148">
        <f t="shared" si="113"/>
        <v>0</v>
      </c>
      <c r="HK284" s="148">
        <f t="shared" si="94"/>
        <v>0</v>
      </c>
      <c r="HL284" s="148">
        <f t="shared" si="95"/>
        <v>0</v>
      </c>
      <c r="HM284" s="148">
        <f t="shared" si="96"/>
        <v>0</v>
      </c>
      <c r="HN284" s="148">
        <f t="shared" si="97"/>
        <v>0</v>
      </c>
      <c r="HO284" s="148">
        <f t="shared" si="98"/>
        <v>0</v>
      </c>
      <c r="HP284" s="148">
        <f t="shared" si="99"/>
        <v>0</v>
      </c>
      <c r="HQ284" s="148">
        <f t="shared" si="100"/>
        <v>0</v>
      </c>
      <c r="HR284" s="147">
        <f t="shared" si="101"/>
        <v>0</v>
      </c>
      <c r="HU284" s="147">
        <f>$HJ284*HC284/(1+'Key assumptions'!G306)^0.75</f>
        <v>0</v>
      </c>
      <c r="HW284" s="216">
        <f t="shared" si="102"/>
        <v>0</v>
      </c>
      <c r="HX284" s="216">
        <f t="shared" si="103"/>
        <v>0</v>
      </c>
      <c r="HY284" s="216">
        <f t="shared" si="104"/>
        <v>0</v>
      </c>
      <c r="HZ284" s="216">
        <f t="shared" si="105"/>
        <v>0</v>
      </c>
      <c r="IA284" s="216">
        <f t="shared" si="106"/>
        <v>0</v>
      </c>
      <c r="IB284" s="216">
        <f t="shared" si="107"/>
        <v>0</v>
      </c>
      <c r="IC284" s="216">
        <f t="shared" si="108"/>
        <v>0</v>
      </c>
      <c r="ID284" s="216">
        <f t="shared" si="109"/>
        <v>0</v>
      </c>
      <c r="IF284" s="216">
        <f t="shared" si="110"/>
        <v>0</v>
      </c>
    </row>
    <row r="285" spans="2:240" x14ac:dyDescent="0.2">
      <c r="B285" s="141"/>
      <c r="C285" s="141"/>
      <c r="D285" s="141"/>
      <c r="E285" s="141"/>
      <c r="F285" s="141"/>
      <c r="G285" s="141"/>
      <c r="H285" s="142"/>
      <c r="I285" s="126"/>
      <c r="J285" s="143"/>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3"/>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c r="EE285" s="145"/>
      <c r="EF285" s="145"/>
      <c r="EG285" s="145"/>
      <c r="EH285" s="145"/>
      <c r="EI285" s="145"/>
      <c r="EJ285" s="145"/>
      <c r="EK285" s="145"/>
      <c r="EL285" s="145"/>
      <c r="EM285" s="145"/>
      <c r="EN285" s="145"/>
      <c r="EO285" s="145"/>
      <c r="EP285" s="145"/>
      <c r="EQ285" s="145"/>
      <c r="ER285" s="145"/>
      <c r="ES285" s="145"/>
      <c r="ET285" s="145"/>
      <c r="EU285" s="145"/>
      <c r="EV285" s="145"/>
      <c r="EW285" s="145"/>
      <c r="EX285" s="145"/>
      <c r="EY285" s="145"/>
      <c r="EZ285" s="145"/>
      <c r="FA285" s="145"/>
      <c r="FB285" s="145"/>
      <c r="FC285" s="145"/>
      <c r="FD285" s="145"/>
      <c r="FE285" s="145"/>
      <c r="FF285" s="145"/>
      <c r="FG285" s="145"/>
      <c r="FH285" s="145"/>
      <c r="FI285" s="145"/>
      <c r="FJ285" s="145"/>
      <c r="FK285" s="145"/>
      <c r="FL285" s="145"/>
      <c r="FM285" s="145"/>
      <c r="FN285" s="145"/>
      <c r="FO285" s="145"/>
      <c r="FP285" s="145"/>
      <c r="FQ285" s="145"/>
      <c r="FR285" s="145"/>
      <c r="FS285" s="145"/>
      <c r="FT285" s="145"/>
      <c r="FU285" s="145"/>
      <c r="FV285" s="145"/>
      <c r="FW285" s="145"/>
      <c r="FX285" s="143"/>
      <c r="FY285" s="146">
        <f>_xlfn.XLOOKUP($E285,'Key assumptions'!$B$112:$B$120,'Key assumptions'!$C$112:$C$120,0)</f>
        <v>0</v>
      </c>
      <c r="FZ285" s="146" cm="1">
        <f t="array" ref="FZ285">IF($FY285=0,0,_xlfn.IFS($FY285='Key assumptions'!$C$120,_xlfn.XLOOKUP(LEFT(FZ$7,6),Inflation_Year,Inflation_NominaltoReal),TRUE,_xlfn.XLOOKUP($FY285,Inflation_Year,NominaltoReal)))</f>
        <v>0</v>
      </c>
      <c r="GA285" s="146" cm="1">
        <f t="array" ref="GA285">IF($FY285=0,0,_xlfn.IFS($FY285='Key assumptions'!$C$120,_xlfn.XLOOKUP(LEFT(GA$7,6),Inflation_Year,Inflation_NominaltoReal),TRUE,_xlfn.XLOOKUP($FY285,Inflation_Year,NominaltoReal)))</f>
        <v>0</v>
      </c>
      <c r="GB285" s="146" cm="1">
        <f t="array" ref="GB285">IF($FY285=0,0,_xlfn.IFS($FY285='Key assumptions'!$C$120,_xlfn.XLOOKUP(LEFT(GB$7,6),Inflation_Year,Inflation_NominaltoReal),TRUE,_xlfn.XLOOKUP($FY285,Inflation_Year,NominaltoReal)))</f>
        <v>0</v>
      </c>
      <c r="GC285" s="146" cm="1">
        <f t="array" ref="GC285">IF($FY285=0,0,_xlfn.IFS($FY285='Key assumptions'!$C$120,_xlfn.XLOOKUP(LEFT(GC$7,6),Inflation_Year,Inflation_NominaltoReal),TRUE,_xlfn.XLOOKUP($FY285,Inflation_Year,NominaltoReal)))</f>
        <v>0</v>
      </c>
      <c r="GD285" s="146" cm="1">
        <f t="array" ref="GD285">IF($FY285=0,0,_xlfn.IFS($FY285='Key assumptions'!$C$120,_xlfn.XLOOKUP(LEFT(GD$7,6),Inflation_Year,Inflation_NominaltoReal),TRUE,_xlfn.XLOOKUP($FY285,Inflation_Year,NominaltoReal)))</f>
        <v>0</v>
      </c>
      <c r="GE285" s="146" cm="1">
        <f t="array" ref="GE285">IF($FY285=0,0,_xlfn.IFS($FY285='Key assumptions'!$C$120,_xlfn.XLOOKUP(LEFT(GE$7,6),Inflation_Year,Inflation_NominaltoReal),TRUE,_xlfn.XLOOKUP($FY285,Inflation_Year,NominaltoReal)))</f>
        <v>0</v>
      </c>
      <c r="GF285" s="146" cm="1">
        <f t="array" ref="GF285">IF($FY285=0,0,_xlfn.IFS($FY285='Key assumptions'!$C$120,_xlfn.XLOOKUP(LEFT(GF$7,6),Inflation_Year,Inflation_NominaltoReal),TRUE,_xlfn.XLOOKUP($FY285,Inflation_Year,NominaltoReal)))</f>
        <v>0</v>
      </c>
      <c r="GG285" s="143"/>
      <c r="GH285" s="145" cm="1">
        <f t="array" ref="GH285">SUMPRODUCT(--($CR$7:$FW$7&gt;=GH$5),--($CR$7:$FW$7&lt;=GH$6),$CR285:$FW285)*FZ285</f>
        <v>0</v>
      </c>
      <c r="GI285" s="145" cm="1">
        <f t="array" ref="GI285">SUMPRODUCT(--($CR$7:$FW$7&gt;=GI$5),--($CR$7:$FW$7&lt;=GI$6),$CR285:$FW285)*GA285</f>
        <v>0</v>
      </c>
      <c r="GJ285" s="145" cm="1">
        <f t="array" ref="GJ285">SUMPRODUCT(--($CR$7:$FW$7&gt;=GJ$5),--($CR$7:$FW$7&lt;=GJ$6),$CR285:$FW285)*GB285</f>
        <v>0</v>
      </c>
      <c r="GK285" s="145" cm="1">
        <f t="array" ref="GK285">SUMPRODUCT(--($CR$7:$FW$7&gt;=GK$5),--($CR$7:$FW$7&lt;=GK$6),$CR285:$FW285)*GC285</f>
        <v>0</v>
      </c>
      <c r="GL285" s="145" cm="1">
        <f t="array" ref="GL285">SUMPRODUCT(--($CR$7:$FW$7&gt;=GL$5),--($CR$7:$FW$7&lt;=GL$6),$CR285:$FW285)*GD285</f>
        <v>0</v>
      </c>
      <c r="GM285" s="145" cm="1">
        <f t="array" ref="GM285">SUMPRODUCT(--($CR$7:$FW$7&gt;=GM$5),--($CR$7:$FW$7&lt;=GM$6),$CR285:$FW285)*GE285</f>
        <v>0</v>
      </c>
      <c r="GN285" s="145" cm="1">
        <f t="array" ref="GN285">SUMPRODUCT(--($CR$7:$FW$7&gt;=GN$5),--($CR$7:$FW$7&lt;=GN$6),$CR285:$FW285)*GF285</f>
        <v>0</v>
      </c>
      <c r="GO285" s="145">
        <f t="shared" si="92"/>
        <v>0</v>
      </c>
      <c r="GP285" s="87"/>
      <c r="GR285" s="145" cm="1">
        <f t="array" ref="GR285">SUMPRODUCT(--($CR$7:$FW$7&gt;=GR$5),--($CR$7:$FW$7&lt;=GR$6),$CR285:$FW285)</f>
        <v>0</v>
      </c>
      <c r="GT285" s="214" cm="1">
        <f t="array" ref="GT285">--AND(MIN(IF($K285:$CP285&lt;&gt;0,$K$7:$CP$7))&gt;=GT$5,MIN(IF($K285:$CP285&lt;&gt;0,$K$7:$CP$7))&lt;=GT$6)</f>
        <v>0</v>
      </c>
      <c r="GU285" s="214" cm="1">
        <f t="array" ref="GU285">--AND(MIN(IF($K285:$CP285&lt;&gt;0,$K$7:$CP$7))&gt;=GU$5,MIN(IF($K285:$CP285&lt;&gt;0,$K$7:$CP$7))&lt;=GU$6)</f>
        <v>0</v>
      </c>
      <c r="GV285" s="214" cm="1">
        <f t="array" ref="GV285">--AND(MIN(IF($K285:$CP285&lt;&gt;0,$K$7:$CP$7))&gt;=GV$5,MIN(IF($K285:$CP285&lt;&gt;0,$K$7:$CP$7))&lt;=GV$6)</f>
        <v>0</v>
      </c>
      <c r="GW285" s="214" cm="1">
        <f t="array" ref="GW285">--AND(MIN(IF($K285:$CP285&lt;&gt;0,$K$7:$CP$7))&gt;=GW$5,MIN(IF($K285:$CP285&lt;&gt;0,$K$7:$CP$7))&lt;=GW$6)</f>
        <v>0</v>
      </c>
      <c r="GX285" s="214" cm="1">
        <f t="array" ref="GX285">--AND(MIN(IF($K285:$CP285&lt;&gt;0,$K$7:$CP$7))&gt;=GX$5,MIN(IF($K285:$CP285&lt;&gt;0,$K$7:$CP$7))&lt;=GX$6)</f>
        <v>0</v>
      </c>
      <c r="GY285" s="214" cm="1">
        <f t="array" ref="GY285">--AND(MIN(IF($K285:$CP285&lt;&gt;0,$K$7:$CP$7))&gt;=GY$5,MIN(IF($K285:$CP285&lt;&gt;0,$K$7:$CP$7))&lt;=GY$6)</f>
        <v>0</v>
      </c>
      <c r="GZ285" s="214" cm="1">
        <f t="array" ref="GZ285">--AND(MIN(IF($K285:$CP285&lt;&gt;0,$K$7:$CP$7))&gt;=GZ$5,MIN(IF($K285:$CP285&lt;&gt;0,$K$7:$CP$7))&lt;=GZ$6)</f>
        <v>0</v>
      </c>
      <c r="HA285" s="214">
        <f t="shared" si="93"/>
        <v>0</v>
      </c>
      <c r="HC285" s="214" cm="1">
        <f t="array" ref="HC285">--AND(MIN(IF($K285:$CP285&lt;&gt;0,$K$7:$CP$7))&gt;=HC$5,MIN(IF($K285:$CP285&lt;&gt;0,$K$7:$CP$7))&lt;=HC$6)</f>
        <v>0</v>
      </c>
      <c r="HE285" s="147" t="str">
        <f t="shared" si="111"/>
        <v>No</v>
      </c>
      <c r="HF285" s="147" t="str">
        <f t="shared" si="112"/>
        <v>No</v>
      </c>
      <c r="HG285" s="147">
        <f>IF($HF285="Yes",0,$H285*avg_hrs*12*'Key assumptions'!$D$87)</f>
        <v>0</v>
      </c>
      <c r="HH285" s="147">
        <f>IF(HE285="Yes",'Key assumptions'!$D$84*HG285,0)</f>
        <v>0</v>
      </c>
      <c r="HI285" s="144">
        <f>IFERROR(AVERAGEIFS($K285:$CP285,$K$7:$CP$7,"&gt;="&amp;'Key assumptions'!$D$24,$K$7:$CP$7,"&lt;="&amp;'Key assumptions'!$D$25),0)</f>
        <v>0</v>
      </c>
      <c r="HJ285" s="148">
        <f t="shared" si="113"/>
        <v>0</v>
      </c>
      <c r="HK285" s="148">
        <f t="shared" si="94"/>
        <v>0</v>
      </c>
      <c r="HL285" s="148">
        <f t="shared" si="95"/>
        <v>0</v>
      </c>
      <c r="HM285" s="148">
        <f t="shared" si="96"/>
        <v>0</v>
      </c>
      <c r="HN285" s="148">
        <f t="shared" si="97"/>
        <v>0</v>
      </c>
      <c r="HO285" s="148">
        <f t="shared" si="98"/>
        <v>0</v>
      </c>
      <c r="HP285" s="148">
        <f t="shared" si="99"/>
        <v>0</v>
      </c>
      <c r="HQ285" s="148">
        <f t="shared" si="100"/>
        <v>0</v>
      </c>
      <c r="HR285" s="147">
        <f t="shared" si="101"/>
        <v>0</v>
      </c>
      <c r="HU285" s="147">
        <f>$HJ285*HC285/(1+'Key assumptions'!G307)^0.75</f>
        <v>0</v>
      </c>
      <c r="HW285" s="216">
        <f t="shared" si="102"/>
        <v>0</v>
      </c>
      <c r="HX285" s="216">
        <f t="shared" si="103"/>
        <v>0</v>
      </c>
      <c r="HY285" s="216">
        <f t="shared" si="104"/>
        <v>0</v>
      </c>
      <c r="HZ285" s="216">
        <f t="shared" si="105"/>
        <v>0</v>
      </c>
      <c r="IA285" s="216">
        <f t="shared" si="106"/>
        <v>0</v>
      </c>
      <c r="IB285" s="216">
        <f t="shared" si="107"/>
        <v>0</v>
      </c>
      <c r="IC285" s="216">
        <f t="shared" si="108"/>
        <v>0</v>
      </c>
      <c r="ID285" s="216">
        <f t="shared" si="109"/>
        <v>0</v>
      </c>
      <c r="IF285" s="216">
        <f t="shared" si="110"/>
        <v>0</v>
      </c>
    </row>
    <row r="286" spans="2:240" x14ac:dyDescent="0.2">
      <c r="B286" s="141"/>
      <c r="C286" s="141"/>
      <c r="D286" s="141"/>
      <c r="E286" s="141"/>
      <c r="F286" s="141"/>
      <c r="G286" s="141"/>
      <c r="H286" s="142"/>
      <c r="I286" s="126"/>
      <c r="J286" s="143"/>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3"/>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c r="EE286" s="145"/>
      <c r="EF286" s="145"/>
      <c r="EG286" s="145"/>
      <c r="EH286" s="145"/>
      <c r="EI286" s="145"/>
      <c r="EJ286" s="145"/>
      <c r="EK286" s="145"/>
      <c r="EL286" s="145"/>
      <c r="EM286" s="145"/>
      <c r="EN286" s="145"/>
      <c r="EO286" s="145"/>
      <c r="EP286" s="145"/>
      <c r="EQ286" s="145"/>
      <c r="ER286" s="145"/>
      <c r="ES286" s="145"/>
      <c r="ET286" s="145"/>
      <c r="EU286" s="145"/>
      <c r="EV286" s="145"/>
      <c r="EW286" s="145"/>
      <c r="EX286" s="145"/>
      <c r="EY286" s="145"/>
      <c r="EZ286" s="145"/>
      <c r="FA286" s="145"/>
      <c r="FB286" s="145"/>
      <c r="FC286" s="145"/>
      <c r="FD286" s="145"/>
      <c r="FE286" s="145"/>
      <c r="FF286" s="145"/>
      <c r="FG286" s="145"/>
      <c r="FH286" s="145"/>
      <c r="FI286" s="145"/>
      <c r="FJ286" s="145"/>
      <c r="FK286" s="145"/>
      <c r="FL286" s="145"/>
      <c r="FM286" s="145"/>
      <c r="FN286" s="145"/>
      <c r="FO286" s="145"/>
      <c r="FP286" s="145"/>
      <c r="FQ286" s="145"/>
      <c r="FR286" s="145"/>
      <c r="FS286" s="145"/>
      <c r="FT286" s="145"/>
      <c r="FU286" s="145"/>
      <c r="FV286" s="145"/>
      <c r="FW286" s="145"/>
      <c r="FX286" s="143"/>
      <c r="FY286" s="146">
        <f>_xlfn.XLOOKUP($E286,'Key assumptions'!$B$112:$B$120,'Key assumptions'!$C$112:$C$120,0)</f>
        <v>0</v>
      </c>
      <c r="FZ286" s="146" cm="1">
        <f t="array" ref="FZ286">IF($FY286=0,0,_xlfn.IFS($FY286='Key assumptions'!$C$120,_xlfn.XLOOKUP(LEFT(FZ$7,6),Inflation_Year,Inflation_NominaltoReal),TRUE,_xlfn.XLOOKUP($FY286,Inflation_Year,NominaltoReal)))</f>
        <v>0</v>
      </c>
      <c r="GA286" s="146" cm="1">
        <f t="array" ref="GA286">IF($FY286=0,0,_xlfn.IFS($FY286='Key assumptions'!$C$120,_xlfn.XLOOKUP(LEFT(GA$7,6),Inflation_Year,Inflation_NominaltoReal),TRUE,_xlfn.XLOOKUP($FY286,Inflation_Year,NominaltoReal)))</f>
        <v>0</v>
      </c>
      <c r="GB286" s="146" cm="1">
        <f t="array" ref="GB286">IF($FY286=0,0,_xlfn.IFS($FY286='Key assumptions'!$C$120,_xlfn.XLOOKUP(LEFT(GB$7,6),Inflation_Year,Inflation_NominaltoReal),TRUE,_xlfn.XLOOKUP($FY286,Inflation_Year,NominaltoReal)))</f>
        <v>0</v>
      </c>
      <c r="GC286" s="146" cm="1">
        <f t="array" ref="GC286">IF($FY286=0,0,_xlfn.IFS($FY286='Key assumptions'!$C$120,_xlfn.XLOOKUP(LEFT(GC$7,6),Inflation_Year,Inflation_NominaltoReal),TRUE,_xlfn.XLOOKUP($FY286,Inflation_Year,NominaltoReal)))</f>
        <v>0</v>
      </c>
      <c r="GD286" s="146" cm="1">
        <f t="array" ref="GD286">IF($FY286=0,0,_xlfn.IFS($FY286='Key assumptions'!$C$120,_xlfn.XLOOKUP(LEFT(GD$7,6),Inflation_Year,Inflation_NominaltoReal),TRUE,_xlfn.XLOOKUP($FY286,Inflation_Year,NominaltoReal)))</f>
        <v>0</v>
      </c>
      <c r="GE286" s="146" cm="1">
        <f t="array" ref="GE286">IF($FY286=0,0,_xlfn.IFS($FY286='Key assumptions'!$C$120,_xlfn.XLOOKUP(LEFT(GE$7,6),Inflation_Year,Inflation_NominaltoReal),TRUE,_xlfn.XLOOKUP($FY286,Inflation_Year,NominaltoReal)))</f>
        <v>0</v>
      </c>
      <c r="GF286" s="146" cm="1">
        <f t="array" ref="GF286">IF($FY286=0,0,_xlfn.IFS($FY286='Key assumptions'!$C$120,_xlfn.XLOOKUP(LEFT(GF$7,6),Inflation_Year,Inflation_NominaltoReal),TRUE,_xlfn.XLOOKUP($FY286,Inflation_Year,NominaltoReal)))</f>
        <v>0</v>
      </c>
      <c r="GG286" s="143"/>
      <c r="GH286" s="145" cm="1">
        <f t="array" ref="GH286">SUMPRODUCT(--($CR$7:$FW$7&gt;=GH$5),--($CR$7:$FW$7&lt;=GH$6),$CR286:$FW286)*FZ286</f>
        <v>0</v>
      </c>
      <c r="GI286" s="145" cm="1">
        <f t="array" ref="GI286">SUMPRODUCT(--($CR$7:$FW$7&gt;=GI$5),--($CR$7:$FW$7&lt;=GI$6),$CR286:$FW286)*GA286</f>
        <v>0</v>
      </c>
      <c r="GJ286" s="145" cm="1">
        <f t="array" ref="GJ286">SUMPRODUCT(--($CR$7:$FW$7&gt;=GJ$5),--($CR$7:$FW$7&lt;=GJ$6),$CR286:$FW286)*GB286</f>
        <v>0</v>
      </c>
      <c r="GK286" s="145" cm="1">
        <f t="array" ref="GK286">SUMPRODUCT(--($CR$7:$FW$7&gt;=GK$5),--($CR$7:$FW$7&lt;=GK$6),$CR286:$FW286)*GC286</f>
        <v>0</v>
      </c>
      <c r="GL286" s="145" cm="1">
        <f t="array" ref="GL286">SUMPRODUCT(--($CR$7:$FW$7&gt;=GL$5),--($CR$7:$FW$7&lt;=GL$6),$CR286:$FW286)*GD286</f>
        <v>0</v>
      </c>
      <c r="GM286" s="145" cm="1">
        <f t="array" ref="GM286">SUMPRODUCT(--($CR$7:$FW$7&gt;=GM$5),--($CR$7:$FW$7&lt;=GM$6),$CR286:$FW286)*GE286</f>
        <v>0</v>
      </c>
      <c r="GN286" s="145" cm="1">
        <f t="array" ref="GN286">SUMPRODUCT(--($CR$7:$FW$7&gt;=GN$5),--($CR$7:$FW$7&lt;=GN$6),$CR286:$FW286)*GF286</f>
        <v>0</v>
      </c>
      <c r="GO286" s="145">
        <f t="shared" si="92"/>
        <v>0</v>
      </c>
      <c r="GP286" s="87"/>
      <c r="GR286" s="145" cm="1">
        <f t="array" ref="GR286">SUMPRODUCT(--($CR$7:$FW$7&gt;=GR$5),--($CR$7:$FW$7&lt;=GR$6),$CR286:$FW286)</f>
        <v>0</v>
      </c>
      <c r="GT286" s="214" cm="1">
        <f t="array" ref="GT286">--AND(MIN(IF($K286:$CP286&lt;&gt;0,$K$7:$CP$7))&gt;=GT$5,MIN(IF($K286:$CP286&lt;&gt;0,$K$7:$CP$7))&lt;=GT$6)</f>
        <v>0</v>
      </c>
      <c r="GU286" s="214" cm="1">
        <f t="array" ref="GU286">--AND(MIN(IF($K286:$CP286&lt;&gt;0,$K$7:$CP$7))&gt;=GU$5,MIN(IF($K286:$CP286&lt;&gt;0,$K$7:$CP$7))&lt;=GU$6)</f>
        <v>0</v>
      </c>
      <c r="GV286" s="214" cm="1">
        <f t="array" ref="GV286">--AND(MIN(IF($K286:$CP286&lt;&gt;0,$K$7:$CP$7))&gt;=GV$5,MIN(IF($K286:$CP286&lt;&gt;0,$K$7:$CP$7))&lt;=GV$6)</f>
        <v>0</v>
      </c>
      <c r="GW286" s="214" cm="1">
        <f t="array" ref="GW286">--AND(MIN(IF($K286:$CP286&lt;&gt;0,$K$7:$CP$7))&gt;=GW$5,MIN(IF($K286:$CP286&lt;&gt;0,$K$7:$CP$7))&lt;=GW$6)</f>
        <v>0</v>
      </c>
      <c r="GX286" s="214" cm="1">
        <f t="array" ref="GX286">--AND(MIN(IF($K286:$CP286&lt;&gt;0,$K$7:$CP$7))&gt;=GX$5,MIN(IF($K286:$CP286&lt;&gt;0,$K$7:$CP$7))&lt;=GX$6)</f>
        <v>0</v>
      </c>
      <c r="GY286" s="214" cm="1">
        <f t="array" ref="GY286">--AND(MIN(IF($K286:$CP286&lt;&gt;0,$K$7:$CP$7))&gt;=GY$5,MIN(IF($K286:$CP286&lt;&gt;0,$K$7:$CP$7))&lt;=GY$6)</f>
        <v>0</v>
      </c>
      <c r="GZ286" s="214" cm="1">
        <f t="array" ref="GZ286">--AND(MIN(IF($K286:$CP286&lt;&gt;0,$K$7:$CP$7))&gt;=GZ$5,MIN(IF($K286:$CP286&lt;&gt;0,$K$7:$CP$7))&lt;=GZ$6)</f>
        <v>0</v>
      </c>
      <c r="HA286" s="214">
        <f t="shared" si="93"/>
        <v>0</v>
      </c>
      <c r="HC286" s="214" cm="1">
        <f t="array" ref="HC286">--AND(MIN(IF($K286:$CP286&lt;&gt;0,$K$7:$CP$7))&gt;=HC$5,MIN(IF($K286:$CP286&lt;&gt;0,$K$7:$CP$7))&lt;=HC$6)</f>
        <v>0</v>
      </c>
      <c r="HE286" s="147" t="str">
        <f t="shared" si="111"/>
        <v>No</v>
      </c>
      <c r="HF286" s="147" t="str">
        <f t="shared" si="112"/>
        <v>No</v>
      </c>
      <c r="HG286" s="147">
        <f>IF($HF286="Yes",0,$H286*avg_hrs*12*'Key assumptions'!$D$87)</f>
        <v>0</v>
      </c>
      <c r="HH286" s="147">
        <f>IF(HE286="Yes",'Key assumptions'!$D$84*HG286,0)</f>
        <v>0</v>
      </c>
      <c r="HI286" s="144">
        <f>IFERROR(AVERAGEIFS($K286:$CP286,$K$7:$CP$7,"&gt;="&amp;'Key assumptions'!$D$24,$K$7:$CP$7,"&lt;="&amp;'Key assumptions'!$D$25),0)</f>
        <v>0</v>
      </c>
      <c r="HJ286" s="148">
        <f t="shared" si="113"/>
        <v>0</v>
      </c>
      <c r="HK286" s="148">
        <f t="shared" si="94"/>
        <v>0</v>
      </c>
      <c r="HL286" s="148">
        <f t="shared" si="95"/>
        <v>0</v>
      </c>
      <c r="HM286" s="148">
        <f t="shared" si="96"/>
        <v>0</v>
      </c>
      <c r="HN286" s="148">
        <f t="shared" si="97"/>
        <v>0</v>
      </c>
      <c r="HO286" s="148">
        <f t="shared" si="98"/>
        <v>0</v>
      </c>
      <c r="HP286" s="148">
        <f t="shared" si="99"/>
        <v>0</v>
      </c>
      <c r="HQ286" s="148">
        <f t="shared" si="100"/>
        <v>0</v>
      </c>
      <c r="HR286" s="147">
        <f t="shared" si="101"/>
        <v>0</v>
      </c>
      <c r="HU286" s="147">
        <f>$HJ286*HC286/(1+'Key assumptions'!G308)^0.75</f>
        <v>0</v>
      </c>
      <c r="HW286" s="216">
        <f t="shared" si="102"/>
        <v>0</v>
      </c>
      <c r="HX286" s="216">
        <f t="shared" si="103"/>
        <v>0</v>
      </c>
      <c r="HY286" s="216">
        <f t="shared" si="104"/>
        <v>0</v>
      </c>
      <c r="HZ286" s="216">
        <f t="shared" si="105"/>
        <v>0</v>
      </c>
      <c r="IA286" s="216">
        <f t="shared" si="106"/>
        <v>0</v>
      </c>
      <c r="IB286" s="216">
        <f t="shared" si="107"/>
        <v>0</v>
      </c>
      <c r="IC286" s="216">
        <f t="shared" si="108"/>
        <v>0</v>
      </c>
      <c r="ID286" s="216">
        <f t="shared" si="109"/>
        <v>0</v>
      </c>
      <c r="IF286" s="216">
        <f t="shared" si="110"/>
        <v>0</v>
      </c>
    </row>
    <row r="287" spans="2:240" x14ac:dyDescent="0.2">
      <c r="B287" s="141"/>
      <c r="C287" s="141"/>
      <c r="D287" s="141"/>
      <c r="E287" s="141"/>
      <c r="F287" s="141"/>
      <c r="G287" s="141"/>
      <c r="H287" s="142"/>
      <c r="I287" s="126"/>
      <c r="J287" s="143"/>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3"/>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c r="EE287" s="145"/>
      <c r="EF287" s="145"/>
      <c r="EG287" s="145"/>
      <c r="EH287" s="145"/>
      <c r="EI287" s="145"/>
      <c r="EJ287" s="145"/>
      <c r="EK287" s="145"/>
      <c r="EL287" s="145"/>
      <c r="EM287" s="145"/>
      <c r="EN287" s="145"/>
      <c r="EO287" s="145"/>
      <c r="EP287" s="145"/>
      <c r="EQ287" s="145"/>
      <c r="ER287" s="145"/>
      <c r="ES287" s="145"/>
      <c r="ET287" s="145"/>
      <c r="EU287" s="145"/>
      <c r="EV287" s="145"/>
      <c r="EW287" s="145"/>
      <c r="EX287" s="145"/>
      <c r="EY287" s="145"/>
      <c r="EZ287" s="145"/>
      <c r="FA287" s="145"/>
      <c r="FB287" s="145"/>
      <c r="FC287" s="145"/>
      <c r="FD287" s="145"/>
      <c r="FE287" s="145"/>
      <c r="FF287" s="145"/>
      <c r="FG287" s="145"/>
      <c r="FH287" s="145"/>
      <c r="FI287" s="145"/>
      <c r="FJ287" s="145"/>
      <c r="FK287" s="145"/>
      <c r="FL287" s="145"/>
      <c r="FM287" s="145"/>
      <c r="FN287" s="145"/>
      <c r="FO287" s="145"/>
      <c r="FP287" s="145"/>
      <c r="FQ287" s="145"/>
      <c r="FR287" s="145"/>
      <c r="FS287" s="145"/>
      <c r="FT287" s="145"/>
      <c r="FU287" s="145"/>
      <c r="FV287" s="145"/>
      <c r="FW287" s="145"/>
      <c r="FX287" s="143"/>
      <c r="FY287" s="146">
        <f>_xlfn.XLOOKUP($E287,'Key assumptions'!$B$112:$B$120,'Key assumptions'!$C$112:$C$120,0)</f>
        <v>0</v>
      </c>
      <c r="FZ287" s="146" cm="1">
        <f t="array" ref="FZ287">IF($FY287=0,0,_xlfn.IFS($FY287='Key assumptions'!$C$120,_xlfn.XLOOKUP(LEFT(FZ$7,6),Inflation_Year,Inflation_NominaltoReal),TRUE,_xlfn.XLOOKUP($FY287,Inflation_Year,NominaltoReal)))</f>
        <v>0</v>
      </c>
      <c r="GA287" s="146" cm="1">
        <f t="array" ref="GA287">IF($FY287=0,0,_xlfn.IFS($FY287='Key assumptions'!$C$120,_xlfn.XLOOKUP(LEFT(GA$7,6),Inflation_Year,Inflation_NominaltoReal),TRUE,_xlfn.XLOOKUP($FY287,Inflation_Year,NominaltoReal)))</f>
        <v>0</v>
      </c>
      <c r="GB287" s="146" cm="1">
        <f t="array" ref="GB287">IF($FY287=0,0,_xlfn.IFS($FY287='Key assumptions'!$C$120,_xlfn.XLOOKUP(LEFT(GB$7,6),Inflation_Year,Inflation_NominaltoReal),TRUE,_xlfn.XLOOKUP($FY287,Inflation_Year,NominaltoReal)))</f>
        <v>0</v>
      </c>
      <c r="GC287" s="146" cm="1">
        <f t="array" ref="GC287">IF($FY287=0,0,_xlfn.IFS($FY287='Key assumptions'!$C$120,_xlfn.XLOOKUP(LEFT(GC$7,6),Inflation_Year,Inflation_NominaltoReal),TRUE,_xlfn.XLOOKUP($FY287,Inflation_Year,NominaltoReal)))</f>
        <v>0</v>
      </c>
      <c r="GD287" s="146" cm="1">
        <f t="array" ref="GD287">IF($FY287=0,0,_xlfn.IFS($FY287='Key assumptions'!$C$120,_xlfn.XLOOKUP(LEFT(GD$7,6),Inflation_Year,Inflation_NominaltoReal),TRUE,_xlfn.XLOOKUP($FY287,Inflation_Year,NominaltoReal)))</f>
        <v>0</v>
      </c>
      <c r="GE287" s="146" cm="1">
        <f t="array" ref="GE287">IF($FY287=0,0,_xlfn.IFS($FY287='Key assumptions'!$C$120,_xlfn.XLOOKUP(LEFT(GE$7,6),Inflation_Year,Inflation_NominaltoReal),TRUE,_xlfn.XLOOKUP($FY287,Inflation_Year,NominaltoReal)))</f>
        <v>0</v>
      </c>
      <c r="GF287" s="146" cm="1">
        <f t="array" ref="GF287">IF($FY287=0,0,_xlfn.IFS($FY287='Key assumptions'!$C$120,_xlfn.XLOOKUP(LEFT(GF$7,6),Inflation_Year,Inflation_NominaltoReal),TRUE,_xlfn.XLOOKUP($FY287,Inflation_Year,NominaltoReal)))</f>
        <v>0</v>
      </c>
      <c r="GG287" s="143"/>
      <c r="GH287" s="145" cm="1">
        <f t="array" ref="GH287">SUMPRODUCT(--($CR$7:$FW$7&gt;=GH$5),--($CR$7:$FW$7&lt;=GH$6),$CR287:$FW287)*FZ287</f>
        <v>0</v>
      </c>
      <c r="GI287" s="145" cm="1">
        <f t="array" ref="GI287">SUMPRODUCT(--($CR$7:$FW$7&gt;=GI$5),--($CR$7:$FW$7&lt;=GI$6),$CR287:$FW287)*GA287</f>
        <v>0</v>
      </c>
      <c r="GJ287" s="145" cm="1">
        <f t="array" ref="GJ287">SUMPRODUCT(--($CR$7:$FW$7&gt;=GJ$5),--($CR$7:$FW$7&lt;=GJ$6),$CR287:$FW287)*GB287</f>
        <v>0</v>
      </c>
      <c r="GK287" s="145" cm="1">
        <f t="array" ref="GK287">SUMPRODUCT(--($CR$7:$FW$7&gt;=GK$5),--($CR$7:$FW$7&lt;=GK$6),$CR287:$FW287)*GC287</f>
        <v>0</v>
      </c>
      <c r="GL287" s="145" cm="1">
        <f t="array" ref="GL287">SUMPRODUCT(--($CR$7:$FW$7&gt;=GL$5),--($CR$7:$FW$7&lt;=GL$6),$CR287:$FW287)*GD287</f>
        <v>0</v>
      </c>
      <c r="GM287" s="145" cm="1">
        <f t="array" ref="GM287">SUMPRODUCT(--($CR$7:$FW$7&gt;=GM$5),--($CR$7:$FW$7&lt;=GM$6),$CR287:$FW287)*GE287</f>
        <v>0</v>
      </c>
      <c r="GN287" s="145" cm="1">
        <f t="array" ref="GN287">SUMPRODUCT(--($CR$7:$FW$7&gt;=GN$5),--($CR$7:$FW$7&lt;=GN$6),$CR287:$FW287)*GF287</f>
        <v>0</v>
      </c>
      <c r="GO287" s="145">
        <f t="shared" si="92"/>
        <v>0</v>
      </c>
      <c r="GP287" s="87"/>
      <c r="GR287" s="145" cm="1">
        <f t="array" ref="GR287">SUMPRODUCT(--($CR$7:$FW$7&gt;=GR$5),--($CR$7:$FW$7&lt;=GR$6),$CR287:$FW287)</f>
        <v>0</v>
      </c>
      <c r="GT287" s="214" cm="1">
        <f t="array" ref="GT287">--AND(MIN(IF($K287:$CP287&lt;&gt;0,$K$7:$CP$7))&gt;=GT$5,MIN(IF($K287:$CP287&lt;&gt;0,$K$7:$CP$7))&lt;=GT$6)</f>
        <v>0</v>
      </c>
      <c r="GU287" s="214" cm="1">
        <f t="array" ref="GU287">--AND(MIN(IF($K287:$CP287&lt;&gt;0,$K$7:$CP$7))&gt;=GU$5,MIN(IF($K287:$CP287&lt;&gt;0,$K$7:$CP$7))&lt;=GU$6)</f>
        <v>0</v>
      </c>
      <c r="GV287" s="214" cm="1">
        <f t="array" ref="GV287">--AND(MIN(IF($K287:$CP287&lt;&gt;0,$K$7:$CP$7))&gt;=GV$5,MIN(IF($K287:$CP287&lt;&gt;0,$K$7:$CP$7))&lt;=GV$6)</f>
        <v>0</v>
      </c>
      <c r="GW287" s="214" cm="1">
        <f t="array" ref="GW287">--AND(MIN(IF($K287:$CP287&lt;&gt;0,$K$7:$CP$7))&gt;=GW$5,MIN(IF($K287:$CP287&lt;&gt;0,$K$7:$CP$7))&lt;=GW$6)</f>
        <v>0</v>
      </c>
      <c r="GX287" s="214" cm="1">
        <f t="array" ref="GX287">--AND(MIN(IF($K287:$CP287&lt;&gt;0,$K$7:$CP$7))&gt;=GX$5,MIN(IF($K287:$CP287&lt;&gt;0,$K$7:$CP$7))&lt;=GX$6)</f>
        <v>0</v>
      </c>
      <c r="GY287" s="214" cm="1">
        <f t="array" ref="GY287">--AND(MIN(IF($K287:$CP287&lt;&gt;0,$K$7:$CP$7))&gt;=GY$5,MIN(IF($K287:$CP287&lt;&gt;0,$K$7:$CP$7))&lt;=GY$6)</f>
        <v>0</v>
      </c>
      <c r="GZ287" s="214" cm="1">
        <f t="array" ref="GZ287">--AND(MIN(IF($K287:$CP287&lt;&gt;0,$K$7:$CP$7))&gt;=GZ$5,MIN(IF($K287:$CP287&lt;&gt;0,$K$7:$CP$7))&lt;=GZ$6)</f>
        <v>0</v>
      </c>
      <c r="HA287" s="214">
        <f t="shared" si="93"/>
        <v>0</v>
      </c>
      <c r="HC287" s="214" cm="1">
        <f t="array" ref="HC287">--AND(MIN(IF($K287:$CP287&lt;&gt;0,$K$7:$CP$7))&gt;=HC$5,MIN(IF($K287:$CP287&lt;&gt;0,$K$7:$CP$7))&lt;=HC$6)</f>
        <v>0</v>
      </c>
      <c r="HE287" s="147" t="str">
        <f t="shared" si="111"/>
        <v>No</v>
      </c>
      <c r="HF287" s="147" t="str">
        <f t="shared" si="112"/>
        <v>No</v>
      </c>
      <c r="HG287" s="147">
        <f>IF($HF287="Yes",0,$H287*avg_hrs*12*'Key assumptions'!$D$87)</f>
        <v>0</v>
      </c>
      <c r="HH287" s="147">
        <f>IF(HE287="Yes",'Key assumptions'!$D$84*HG287,0)</f>
        <v>0</v>
      </c>
      <c r="HI287" s="144">
        <f>IFERROR(AVERAGEIFS($K287:$CP287,$K$7:$CP$7,"&gt;="&amp;'Key assumptions'!$D$24,$K$7:$CP$7,"&lt;="&amp;'Key assumptions'!$D$25),0)</f>
        <v>0</v>
      </c>
      <c r="HJ287" s="148">
        <f t="shared" si="113"/>
        <v>0</v>
      </c>
      <c r="HK287" s="148">
        <f t="shared" si="94"/>
        <v>0</v>
      </c>
      <c r="HL287" s="148">
        <f t="shared" si="95"/>
        <v>0</v>
      </c>
      <c r="HM287" s="148">
        <f t="shared" si="96"/>
        <v>0</v>
      </c>
      <c r="HN287" s="148">
        <f t="shared" si="97"/>
        <v>0</v>
      </c>
      <c r="HO287" s="148">
        <f t="shared" si="98"/>
        <v>0</v>
      </c>
      <c r="HP287" s="148">
        <f t="shared" si="99"/>
        <v>0</v>
      </c>
      <c r="HQ287" s="148">
        <f t="shared" si="100"/>
        <v>0</v>
      </c>
      <c r="HR287" s="147">
        <f t="shared" si="101"/>
        <v>0</v>
      </c>
      <c r="HU287" s="147">
        <f>$HJ287*HC287/(1+'Key assumptions'!G309)^0.75</f>
        <v>0</v>
      </c>
      <c r="HW287" s="216">
        <f t="shared" si="102"/>
        <v>0</v>
      </c>
      <c r="HX287" s="216">
        <f t="shared" si="103"/>
        <v>0</v>
      </c>
      <c r="HY287" s="216">
        <f t="shared" si="104"/>
        <v>0</v>
      </c>
      <c r="HZ287" s="216">
        <f t="shared" si="105"/>
        <v>0</v>
      </c>
      <c r="IA287" s="216">
        <f t="shared" si="106"/>
        <v>0</v>
      </c>
      <c r="IB287" s="216">
        <f t="shared" si="107"/>
        <v>0</v>
      </c>
      <c r="IC287" s="216">
        <f t="shared" si="108"/>
        <v>0</v>
      </c>
      <c r="ID287" s="216">
        <f t="shared" si="109"/>
        <v>0</v>
      </c>
      <c r="IF287" s="216">
        <f t="shared" si="110"/>
        <v>0</v>
      </c>
    </row>
    <row r="288" spans="2:240" x14ac:dyDescent="0.2">
      <c r="B288" s="141"/>
      <c r="C288" s="141"/>
      <c r="D288" s="141"/>
      <c r="E288" s="141"/>
      <c r="F288" s="141"/>
      <c r="G288" s="141"/>
      <c r="H288" s="142"/>
      <c r="I288" s="126"/>
      <c r="J288" s="143"/>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3"/>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c r="EE288" s="145"/>
      <c r="EF288" s="145"/>
      <c r="EG288" s="145"/>
      <c r="EH288" s="145"/>
      <c r="EI288" s="145"/>
      <c r="EJ288" s="145"/>
      <c r="EK288" s="145"/>
      <c r="EL288" s="145"/>
      <c r="EM288" s="145"/>
      <c r="EN288" s="145"/>
      <c r="EO288" s="145"/>
      <c r="EP288" s="145"/>
      <c r="EQ288" s="145"/>
      <c r="ER288" s="145"/>
      <c r="ES288" s="145"/>
      <c r="ET288" s="145"/>
      <c r="EU288" s="145"/>
      <c r="EV288" s="145"/>
      <c r="EW288" s="145"/>
      <c r="EX288" s="145"/>
      <c r="EY288" s="145"/>
      <c r="EZ288" s="145"/>
      <c r="FA288" s="145"/>
      <c r="FB288" s="145"/>
      <c r="FC288" s="145"/>
      <c r="FD288" s="145"/>
      <c r="FE288" s="145"/>
      <c r="FF288" s="145"/>
      <c r="FG288" s="145"/>
      <c r="FH288" s="145"/>
      <c r="FI288" s="145"/>
      <c r="FJ288" s="145"/>
      <c r="FK288" s="145"/>
      <c r="FL288" s="145"/>
      <c r="FM288" s="145"/>
      <c r="FN288" s="145"/>
      <c r="FO288" s="145"/>
      <c r="FP288" s="145"/>
      <c r="FQ288" s="145"/>
      <c r="FR288" s="145"/>
      <c r="FS288" s="145"/>
      <c r="FT288" s="145"/>
      <c r="FU288" s="145"/>
      <c r="FV288" s="145"/>
      <c r="FW288" s="145"/>
      <c r="FX288" s="143"/>
      <c r="FY288" s="146">
        <f>_xlfn.XLOOKUP($E288,'Key assumptions'!$B$112:$B$120,'Key assumptions'!$C$112:$C$120,0)</f>
        <v>0</v>
      </c>
      <c r="FZ288" s="146" cm="1">
        <f t="array" ref="FZ288">IF($FY288=0,0,_xlfn.IFS($FY288='Key assumptions'!$C$120,_xlfn.XLOOKUP(LEFT(FZ$7,6),Inflation_Year,Inflation_NominaltoReal),TRUE,_xlfn.XLOOKUP($FY288,Inflation_Year,NominaltoReal)))</f>
        <v>0</v>
      </c>
      <c r="GA288" s="146" cm="1">
        <f t="array" ref="GA288">IF($FY288=0,0,_xlfn.IFS($FY288='Key assumptions'!$C$120,_xlfn.XLOOKUP(LEFT(GA$7,6),Inflation_Year,Inflation_NominaltoReal),TRUE,_xlfn.XLOOKUP($FY288,Inflation_Year,NominaltoReal)))</f>
        <v>0</v>
      </c>
      <c r="GB288" s="146" cm="1">
        <f t="array" ref="GB288">IF($FY288=0,0,_xlfn.IFS($FY288='Key assumptions'!$C$120,_xlfn.XLOOKUP(LEFT(GB$7,6),Inflation_Year,Inflation_NominaltoReal),TRUE,_xlfn.XLOOKUP($FY288,Inflation_Year,NominaltoReal)))</f>
        <v>0</v>
      </c>
      <c r="GC288" s="146" cm="1">
        <f t="array" ref="GC288">IF($FY288=0,0,_xlfn.IFS($FY288='Key assumptions'!$C$120,_xlfn.XLOOKUP(LEFT(GC$7,6),Inflation_Year,Inflation_NominaltoReal),TRUE,_xlfn.XLOOKUP($FY288,Inflation_Year,NominaltoReal)))</f>
        <v>0</v>
      </c>
      <c r="GD288" s="146" cm="1">
        <f t="array" ref="GD288">IF($FY288=0,0,_xlfn.IFS($FY288='Key assumptions'!$C$120,_xlfn.XLOOKUP(LEFT(GD$7,6),Inflation_Year,Inflation_NominaltoReal),TRUE,_xlfn.XLOOKUP($FY288,Inflation_Year,NominaltoReal)))</f>
        <v>0</v>
      </c>
      <c r="GE288" s="146" cm="1">
        <f t="array" ref="GE288">IF($FY288=0,0,_xlfn.IFS($FY288='Key assumptions'!$C$120,_xlfn.XLOOKUP(LEFT(GE$7,6),Inflation_Year,Inflation_NominaltoReal),TRUE,_xlfn.XLOOKUP($FY288,Inflation_Year,NominaltoReal)))</f>
        <v>0</v>
      </c>
      <c r="GF288" s="146" cm="1">
        <f t="array" ref="GF288">IF($FY288=0,0,_xlfn.IFS($FY288='Key assumptions'!$C$120,_xlfn.XLOOKUP(LEFT(GF$7,6),Inflation_Year,Inflation_NominaltoReal),TRUE,_xlfn.XLOOKUP($FY288,Inflation_Year,NominaltoReal)))</f>
        <v>0</v>
      </c>
      <c r="GG288" s="143"/>
      <c r="GH288" s="145" cm="1">
        <f t="array" ref="GH288">SUMPRODUCT(--($CR$7:$FW$7&gt;=GH$5),--($CR$7:$FW$7&lt;=GH$6),$CR288:$FW288)*FZ288</f>
        <v>0</v>
      </c>
      <c r="GI288" s="145" cm="1">
        <f t="array" ref="GI288">SUMPRODUCT(--($CR$7:$FW$7&gt;=GI$5),--($CR$7:$FW$7&lt;=GI$6),$CR288:$FW288)*GA288</f>
        <v>0</v>
      </c>
      <c r="GJ288" s="145" cm="1">
        <f t="array" ref="GJ288">SUMPRODUCT(--($CR$7:$FW$7&gt;=GJ$5),--($CR$7:$FW$7&lt;=GJ$6),$CR288:$FW288)*GB288</f>
        <v>0</v>
      </c>
      <c r="GK288" s="145" cm="1">
        <f t="array" ref="GK288">SUMPRODUCT(--($CR$7:$FW$7&gt;=GK$5),--($CR$7:$FW$7&lt;=GK$6),$CR288:$FW288)*GC288</f>
        <v>0</v>
      </c>
      <c r="GL288" s="145" cm="1">
        <f t="array" ref="GL288">SUMPRODUCT(--($CR$7:$FW$7&gt;=GL$5),--($CR$7:$FW$7&lt;=GL$6),$CR288:$FW288)*GD288</f>
        <v>0</v>
      </c>
      <c r="GM288" s="145" cm="1">
        <f t="array" ref="GM288">SUMPRODUCT(--($CR$7:$FW$7&gt;=GM$5),--($CR$7:$FW$7&lt;=GM$6),$CR288:$FW288)*GE288</f>
        <v>0</v>
      </c>
      <c r="GN288" s="145" cm="1">
        <f t="array" ref="GN288">SUMPRODUCT(--($CR$7:$FW$7&gt;=GN$5),--($CR$7:$FW$7&lt;=GN$6),$CR288:$FW288)*GF288</f>
        <v>0</v>
      </c>
      <c r="GO288" s="145">
        <f t="shared" si="92"/>
        <v>0</v>
      </c>
      <c r="GP288" s="87"/>
      <c r="GR288" s="145" cm="1">
        <f t="array" ref="GR288">SUMPRODUCT(--($CR$7:$FW$7&gt;=GR$5),--($CR$7:$FW$7&lt;=GR$6),$CR288:$FW288)</f>
        <v>0</v>
      </c>
      <c r="GT288" s="214" cm="1">
        <f t="array" ref="GT288">--AND(MIN(IF($K288:$CP288&lt;&gt;0,$K$7:$CP$7))&gt;=GT$5,MIN(IF($K288:$CP288&lt;&gt;0,$K$7:$CP$7))&lt;=GT$6)</f>
        <v>0</v>
      </c>
      <c r="GU288" s="214" cm="1">
        <f t="array" ref="GU288">--AND(MIN(IF($K288:$CP288&lt;&gt;0,$K$7:$CP$7))&gt;=GU$5,MIN(IF($K288:$CP288&lt;&gt;0,$K$7:$CP$7))&lt;=GU$6)</f>
        <v>0</v>
      </c>
      <c r="GV288" s="214" cm="1">
        <f t="array" ref="GV288">--AND(MIN(IF($K288:$CP288&lt;&gt;0,$K$7:$CP$7))&gt;=GV$5,MIN(IF($K288:$CP288&lt;&gt;0,$K$7:$CP$7))&lt;=GV$6)</f>
        <v>0</v>
      </c>
      <c r="GW288" s="214" cm="1">
        <f t="array" ref="GW288">--AND(MIN(IF($K288:$CP288&lt;&gt;0,$K$7:$CP$7))&gt;=GW$5,MIN(IF($K288:$CP288&lt;&gt;0,$K$7:$CP$7))&lt;=GW$6)</f>
        <v>0</v>
      </c>
      <c r="GX288" s="214" cm="1">
        <f t="array" ref="GX288">--AND(MIN(IF($K288:$CP288&lt;&gt;0,$K$7:$CP$7))&gt;=GX$5,MIN(IF($K288:$CP288&lt;&gt;0,$K$7:$CP$7))&lt;=GX$6)</f>
        <v>0</v>
      </c>
      <c r="GY288" s="214" cm="1">
        <f t="array" ref="GY288">--AND(MIN(IF($K288:$CP288&lt;&gt;0,$K$7:$CP$7))&gt;=GY$5,MIN(IF($K288:$CP288&lt;&gt;0,$K$7:$CP$7))&lt;=GY$6)</f>
        <v>0</v>
      </c>
      <c r="GZ288" s="214" cm="1">
        <f t="array" ref="GZ288">--AND(MIN(IF($K288:$CP288&lt;&gt;0,$K$7:$CP$7))&gt;=GZ$5,MIN(IF($K288:$CP288&lt;&gt;0,$K$7:$CP$7))&lt;=GZ$6)</f>
        <v>0</v>
      </c>
      <c r="HA288" s="214">
        <f t="shared" si="93"/>
        <v>0</v>
      </c>
      <c r="HC288" s="214" cm="1">
        <f t="array" ref="HC288">--AND(MIN(IF($K288:$CP288&lt;&gt;0,$K$7:$CP$7))&gt;=HC$5,MIN(IF($K288:$CP288&lt;&gt;0,$K$7:$CP$7))&lt;=HC$6)</f>
        <v>0</v>
      </c>
      <c r="HE288" s="147" t="str">
        <f t="shared" si="111"/>
        <v>No</v>
      </c>
      <c r="HF288" s="147" t="str">
        <f t="shared" si="112"/>
        <v>No</v>
      </c>
      <c r="HG288" s="147">
        <f>IF($HF288="Yes",0,$H288*avg_hrs*12*'Key assumptions'!$D$87)</f>
        <v>0</v>
      </c>
      <c r="HH288" s="147">
        <f>IF(HE288="Yes",'Key assumptions'!$D$84*HG288,0)</f>
        <v>0</v>
      </c>
      <c r="HI288" s="144">
        <f>IFERROR(AVERAGEIFS($K288:$CP288,$K$7:$CP$7,"&gt;="&amp;'Key assumptions'!$D$24,$K$7:$CP$7,"&lt;="&amp;'Key assumptions'!$D$25),0)</f>
        <v>0</v>
      </c>
      <c r="HJ288" s="148">
        <f t="shared" si="113"/>
        <v>0</v>
      </c>
      <c r="HK288" s="148">
        <f t="shared" si="94"/>
        <v>0</v>
      </c>
      <c r="HL288" s="148">
        <f t="shared" si="95"/>
        <v>0</v>
      </c>
      <c r="HM288" s="148">
        <f t="shared" si="96"/>
        <v>0</v>
      </c>
      <c r="HN288" s="148">
        <f t="shared" si="97"/>
        <v>0</v>
      </c>
      <c r="HO288" s="148">
        <f t="shared" si="98"/>
        <v>0</v>
      </c>
      <c r="HP288" s="148">
        <f t="shared" si="99"/>
        <v>0</v>
      </c>
      <c r="HQ288" s="148">
        <f t="shared" si="100"/>
        <v>0</v>
      </c>
      <c r="HR288" s="147">
        <f t="shared" si="101"/>
        <v>0</v>
      </c>
      <c r="HU288" s="147">
        <f>$HJ288*HC288/(1+'Key assumptions'!G310)^0.75</f>
        <v>0</v>
      </c>
      <c r="HW288" s="216">
        <f t="shared" si="102"/>
        <v>0</v>
      </c>
      <c r="HX288" s="216">
        <f t="shared" si="103"/>
        <v>0</v>
      </c>
      <c r="HY288" s="216">
        <f t="shared" si="104"/>
        <v>0</v>
      </c>
      <c r="HZ288" s="216">
        <f t="shared" si="105"/>
        <v>0</v>
      </c>
      <c r="IA288" s="216">
        <f t="shared" si="106"/>
        <v>0</v>
      </c>
      <c r="IB288" s="216">
        <f t="shared" si="107"/>
        <v>0</v>
      </c>
      <c r="IC288" s="216">
        <f t="shared" si="108"/>
        <v>0</v>
      </c>
      <c r="ID288" s="216">
        <f t="shared" si="109"/>
        <v>0</v>
      </c>
      <c r="IF288" s="216">
        <f t="shared" si="110"/>
        <v>0</v>
      </c>
    </row>
    <row r="289" spans="1:241" x14ac:dyDescent="0.2">
      <c r="B289" s="114"/>
      <c r="C289" s="114"/>
      <c r="D289" s="114"/>
      <c r="E289" s="114"/>
      <c r="F289" s="79"/>
      <c r="G289" s="79"/>
      <c r="H289" s="114"/>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X289" s="110"/>
      <c r="FY289" s="110"/>
      <c r="FZ289" s="110"/>
      <c r="GA289" s="110"/>
      <c r="GB289" s="110"/>
      <c r="GC289" s="110"/>
      <c r="GD289" s="110"/>
      <c r="GE289" s="110"/>
      <c r="GF289" s="110"/>
      <c r="GG289" s="110"/>
      <c r="GH289" s="110"/>
      <c r="GI289" s="110"/>
      <c r="GJ289" s="110"/>
      <c r="GK289" s="110"/>
      <c r="GL289" s="110"/>
      <c r="GM289" s="110"/>
      <c r="GN289" s="110"/>
      <c r="GO289" s="110"/>
      <c r="GP289" s="87"/>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row>
    <row r="290" spans="1:241" ht="26.25" customHeight="1" x14ac:dyDescent="0.2">
      <c r="A290" s="72"/>
      <c r="B290" s="160"/>
      <c r="C290" s="71"/>
      <c r="D290" s="71"/>
      <c r="E290" s="74"/>
      <c r="F290" s="199"/>
      <c r="G290" s="199"/>
      <c r="H290" s="199"/>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152"/>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c r="DM290" s="71"/>
      <c r="DN290" s="71"/>
      <c r="DO290" s="71"/>
      <c r="DP290" s="71"/>
      <c r="DQ290" s="71"/>
      <c r="DR290" s="71"/>
      <c r="DS290" s="71"/>
      <c r="DT290" s="71"/>
      <c r="DU290" s="71"/>
      <c r="DV290" s="71"/>
      <c r="DW290" s="71"/>
      <c r="DX290" s="71"/>
      <c r="DY290" s="71"/>
      <c r="DZ290" s="71"/>
      <c r="EA290" s="71"/>
      <c r="EB290" s="71"/>
      <c r="EC290" s="71"/>
      <c r="ED290" s="7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71"/>
      <c r="GD290" s="71"/>
      <c r="GE290" s="71"/>
      <c r="GF290" s="71"/>
      <c r="GG290" s="71"/>
      <c r="GH290" s="71"/>
      <c r="GI290" s="71"/>
      <c r="GJ290" s="71"/>
      <c r="GK290" s="71"/>
      <c r="GL290" s="71"/>
      <c r="GM290" s="71"/>
      <c r="GN290" s="71"/>
      <c r="GO290" s="71"/>
      <c r="GP290" s="71"/>
      <c r="GQ290" s="71"/>
      <c r="GR290" s="71"/>
      <c r="GS290" s="71"/>
      <c r="GT290" s="152"/>
      <c r="GU290" s="71"/>
      <c r="GV290" s="71"/>
      <c r="GW290" s="71"/>
      <c r="GX290" s="71"/>
      <c r="GY290" s="71"/>
      <c r="GZ290" s="71"/>
      <c r="HA290" s="71"/>
      <c r="HB290" s="71"/>
      <c r="HC290" s="71"/>
      <c r="HD290" s="71"/>
      <c r="HE290" s="74"/>
      <c r="HF290" s="74"/>
      <c r="HG290" s="74"/>
      <c r="HH290" s="74"/>
      <c r="HI290" s="71"/>
      <c r="HJ290" s="71"/>
      <c r="HK290" s="152"/>
      <c r="HL290" s="71"/>
      <c r="HM290" s="71"/>
      <c r="HN290" s="71"/>
      <c r="HO290" s="71"/>
      <c r="HP290" s="71"/>
      <c r="HQ290" s="71"/>
      <c r="HR290" s="71"/>
      <c r="HS290" s="71"/>
      <c r="HT290" s="71"/>
      <c r="HU290" s="71"/>
      <c r="HV290" s="71"/>
      <c r="HW290" s="152"/>
      <c r="HX290" s="152"/>
      <c r="HY290" s="71"/>
      <c r="HZ290" s="71"/>
      <c r="IA290" s="71"/>
      <c r="IB290" s="71"/>
      <c r="IC290" s="71"/>
      <c r="ID290" s="71"/>
      <c r="IE290" s="71"/>
      <c r="IF290" s="71"/>
      <c r="IG290" s="71"/>
    </row>
    <row r="291" spans="1:241" x14ac:dyDescent="0.2">
      <c r="B291" s="114"/>
      <c r="C291" s="114"/>
      <c r="D291" s="114"/>
      <c r="E291" s="114"/>
      <c r="F291" s="79"/>
      <c r="G291" s="79"/>
      <c r="H291" s="114"/>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X291" s="110"/>
      <c r="FY291" s="110"/>
      <c r="FZ291" s="110"/>
      <c r="GA291" s="110"/>
      <c r="GB291" s="110"/>
      <c r="GC291" s="110"/>
      <c r="GD291" s="110"/>
      <c r="GE291" s="110"/>
      <c r="GF291" s="110"/>
      <c r="GG291" s="110"/>
      <c r="GH291" s="110"/>
      <c r="GI291" s="110"/>
      <c r="GJ291" s="110"/>
      <c r="GK291" s="110"/>
      <c r="GL291" s="110"/>
      <c r="GM291" s="110"/>
      <c r="GN291" s="110"/>
      <c r="GO291" s="110"/>
      <c r="GP291" s="87"/>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row>
    <row r="292" spans="1:241" x14ac:dyDescent="0.2">
      <c r="B292" s="114"/>
      <c r="C292" s="114"/>
      <c r="D292" s="114"/>
      <c r="E292" s="114"/>
      <c r="F292" s="79"/>
      <c r="G292" s="79"/>
      <c r="H292" s="114"/>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row>
    <row r="293" spans="1:241" x14ac:dyDescent="0.2">
      <c r="B293" s="114"/>
      <c r="C293" s="114"/>
      <c r="D293" s="114"/>
      <c r="E293" s="114"/>
      <c r="F293" s="79"/>
      <c r="G293" s="79"/>
      <c r="H293" s="114"/>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row>
  </sheetData>
  <autoFilter ref="B7:ID255" xr:uid="{4ADF39E1-4BDF-4228-BB43-B005768E9DB4}"/>
  <conditionalFormatting sqref="C4:J6">
    <cfRule type="cellIs" dxfId="164" priority="11" operator="equal">
      <formula>"OK"</formula>
    </cfRule>
  </conditionalFormatting>
  <conditionalFormatting sqref="FY8:GF288">
    <cfRule type="expression" dxfId="163" priority="6">
      <formula>$M8="Manual $ Spread"</formula>
    </cfRule>
  </conditionalFormatting>
  <conditionalFormatting sqref="GP7 GS8:HB130 GT8:HA288 HS7:HS83 GQ8:GQ130 HD8:HD130 HC8:HC288 HW8:ID288">
    <cfRule type="expression" dxfId="162" priority="58">
      <formula>$AK7="Manual $ Spread"</formula>
    </cfRule>
  </conditionalFormatting>
  <conditionalFormatting sqref="GP7">
    <cfRule type="cellIs" dxfId="161" priority="56" operator="equal">
      <formula>"ERROR"</formula>
    </cfRule>
    <cfRule type="cellIs" dxfId="160" priority="57" operator="equal">
      <formula>"OK"</formula>
    </cfRule>
  </conditionalFormatting>
  <conditionalFormatting sqref="HA8:HA288">
    <cfRule type="expression" dxfId="159" priority="34">
      <formula>$AK8="Manual $ Spread"</formula>
    </cfRule>
  </conditionalFormatting>
  <conditionalFormatting sqref="HE8:HH288 HJ8:HR288">
    <cfRule type="expression" dxfId="158" priority="50">
      <formula>$AK8="Manual $ Spread"</formula>
    </cfRule>
    <cfRule type="expression" dxfId="157" priority="51">
      <formula>$AK8="Manual $ Spread"</formula>
    </cfRule>
  </conditionalFormatting>
  <conditionalFormatting sqref="HS7">
    <cfRule type="cellIs" dxfId="156" priority="4" operator="equal">
      <formula>"ERROR"</formula>
    </cfRule>
    <cfRule type="cellIs" dxfId="155" priority="5" operator="equal">
      <formula>"OK"</formula>
    </cfRule>
  </conditionalFormatting>
  <conditionalFormatting sqref="HU8:HU288">
    <cfRule type="expression" dxfId="154" priority="2">
      <formula>$AK8="Manual $ Spread"</formula>
    </cfRule>
    <cfRule type="expression" dxfId="153" priority="3">
      <formula>$AK8="Manual $ Spread"</formula>
    </cfRule>
  </conditionalFormatting>
  <conditionalFormatting sqref="IF8:IF288">
    <cfRule type="expression" dxfId="152" priority="1">
      <formula>$AK8="Manual $ Spread"</formula>
    </cfRule>
  </conditionalFormatting>
  <pageMargins left="0.7" right="0.7" top="0.75" bottom="0.75" header="0.3" footer="0.3"/>
  <pageSetup orientation="portrait" r:id="rId1"/>
  <headerFooter>
    <oddFooter>&amp;L_x000D_&amp;1#&amp;"Aptos"&amp;10&amp;K000000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AB6CD-5908-468A-B5B2-22C917D91EF4}">
  <sheetPr codeName="Sheet7">
    <tabColor theme="5"/>
    <pageSetUpPr autoPageBreaks="0"/>
  </sheetPr>
  <dimension ref="A1:GY293"/>
  <sheetViews>
    <sheetView showGridLines="0" zoomScaleNormal="100" workbookViewId="0">
      <pane xSplit="3" ySplit="7" topLeftCell="D8" activePane="bottomRight" state="frozen"/>
      <selection activeCell="A2" sqref="A2"/>
      <selection pane="topRight" activeCell="A2" sqref="A2"/>
      <selection pane="bottomLeft" activeCell="A2" sqref="A2"/>
      <selection pane="bottomRight"/>
    </sheetView>
  </sheetViews>
  <sheetFormatPr defaultColWidth="8.88671875" defaultRowHeight="12.75" outlineLevelCol="1" x14ac:dyDescent="0.2"/>
  <cols>
    <col min="1" max="1" width="3.88671875" style="65" customWidth="1"/>
    <col min="2" max="2" width="23.109375" style="65" customWidth="1"/>
    <col min="3" max="3" width="58" style="65" customWidth="1"/>
    <col min="4" max="4" width="10.33203125" style="65" customWidth="1"/>
    <col min="5" max="5" width="10.33203125" style="77" customWidth="1"/>
    <col min="6" max="8" width="10.33203125" style="77" customWidth="1" outlineLevel="1"/>
    <col min="9" max="9" width="10.33203125" style="79" customWidth="1"/>
    <col min="10" max="91" width="10.33203125" style="65" customWidth="1" outlineLevel="1"/>
    <col min="92" max="92" width="10.33203125" style="65" customWidth="1" outlineLevel="1" collapsed="1"/>
    <col min="93" max="175" width="10.33203125" style="65" customWidth="1" outlineLevel="1"/>
    <col min="176" max="176" width="10.33203125" style="65" customWidth="1" outlineLevel="1" collapsed="1"/>
    <col min="177" max="178" width="10.33203125" style="65" customWidth="1" outlineLevel="1"/>
    <col min="179" max="201" width="10.33203125" style="65" customWidth="1"/>
    <col min="202" max="16384" width="8.88671875" style="65"/>
  </cols>
  <sheetData>
    <row r="1" spans="1:207" ht="35.25" customHeight="1" x14ac:dyDescent="0.2">
      <c r="A1" s="67" t="str">
        <f>Overview!$B$1</f>
        <v>Labour and overhead costs for Accelerated Syncons</v>
      </c>
      <c r="B1" s="67"/>
      <c r="C1" s="68"/>
      <c r="D1" s="68"/>
      <c r="E1" s="70"/>
      <c r="F1" s="70"/>
      <c r="G1" s="70"/>
      <c r="H1" s="70"/>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row>
    <row r="2" spans="1:207" ht="26.25" customHeight="1" x14ac:dyDescent="0.2">
      <c r="A2" s="72" t="s">
        <v>158</v>
      </c>
      <c r="B2" s="72"/>
      <c r="C2" s="71"/>
      <c r="D2" s="71"/>
      <c r="E2" s="74"/>
      <c r="F2" s="74"/>
      <c r="G2" s="74"/>
      <c r="H2" s="74"/>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row>
    <row r="3" spans="1:207" x14ac:dyDescent="0.2">
      <c r="I3" s="65"/>
      <c r="GP3" s="77"/>
      <c r="GQ3" s="77"/>
      <c r="GS3" s="77"/>
    </row>
    <row r="4" spans="1:207" s="87" customFormat="1" ht="16.5" customHeight="1" x14ac:dyDescent="0.2">
      <c r="B4" s="132" t="str" cm="1">
        <f t="array" ref="B4:FW4">dsheaders2</f>
        <v>Item details</v>
      </c>
      <c r="C4" s="133">
        <v>0</v>
      </c>
      <c r="D4" s="133">
        <v>0</v>
      </c>
      <c r="E4" s="133">
        <v>0</v>
      </c>
      <c r="F4" s="133">
        <v>0</v>
      </c>
      <c r="G4" s="133">
        <v>0</v>
      </c>
      <c r="H4" s="132">
        <v>0</v>
      </c>
      <c r="I4" s="132">
        <v>0</v>
      </c>
      <c r="J4" s="134" t="str">
        <v>blank</v>
      </c>
      <c r="K4" s="132" t="str">
        <v>FTEs (internal labour) / Proportions (non-labour and contracted labour)</v>
      </c>
      <c r="L4" s="132">
        <v>0</v>
      </c>
      <c r="M4" s="132">
        <v>0</v>
      </c>
      <c r="N4" s="132">
        <v>0</v>
      </c>
      <c r="O4" s="132">
        <v>0</v>
      </c>
      <c r="P4" s="132">
        <v>0</v>
      </c>
      <c r="Q4" s="132">
        <v>0</v>
      </c>
      <c r="R4" s="132">
        <v>0</v>
      </c>
      <c r="S4" s="132">
        <v>0</v>
      </c>
      <c r="T4" s="132">
        <v>0</v>
      </c>
      <c r="U4" s="132">
        <v>0</v>
      </c>
      <c r="V4" s="132">
        <v>0</v>
      </c>
      <c r="W4" s="132">
        <v>0</v>
      </c>
      <c r="X4" s="132">
        <v>0</v>
      </c>
      <c r="Y4" s="132">
        <v>0</v>
      </c>
      <c r="Z4" s="132">
        <v>0</v>
      </c>
      <c r="AA4" s="132">
        <v>0</v>
      </c>
      <c r="AB4" s="132">
        <v>0</v>
      </c>
      <c r="AC4" s="132">
        <v>0</v>
      </c>
      <c r="AD4" s="132">
        <v>0</v>
      </c>
      <c r="AE4" s="132">
        <v>0</v>
      </c>
      <c r="AF4" s="132">
        <v>0</v>
      </c>
      <c r="AG4" s="132">
        <v>0</v>
      </c>
      <c r="AH4" s="132">
        <v>0</v>
      </c>
      <c r="AI4" s="132">
        <v>0</v>
      </c>
      <c r="AJ4" s="132">
        <v>0</v>
      </c>
      <c r="AK4" s="132">
        <v>0</v>
      </c>
      <c r="AL4" s="132">
        <v>0</v>
      </c>
      <c r="AM4" s="132">
        <v>0</v>
      </c>
      <c r="AN4" s="132">
        <v>0</v>
      </c>
      <c r="AO4" s="132">
        <v>0</v>
      </c>
      <c r="AP4" s="132">
        <v>0</v>
      </c>
      <c r="AQ4" s="132">
        <v>0</v>
      </c>
      <c r="AR4" s="132">
        <v>0</v>
      </c>
      <c r="AS4" s="132">
        <v>0</v>
      </c>
      <c r="AT4" s="132">
        <v>0</v>
      </c>
      <c r="AU4" s="132">
        <v>0</v>
      </c>
      <c r="AV4" s="132">
        <v>0</v>
      </c>
      <c r="AW4" s="132">
        <v>0</v>
      </c>
      <c r="AX4" s="132">
        <v>0</v>
      </c>
      <c r="AY4" s="132">
        <v>0</v>
      </c>
      <c r="AZ4" s="132">
        <v>0</v>
      </c>
      <c r="BA4" s="132">
        <v>0</v>
      </c>
      <c r="BB4" s="132">
        <v>0</v>
      </c>
      <c r="BC4" s="132">
        <v>0</v>
      </c>
      <c r="BD4" s="132">
        <v>0</v>
      </c>
      <c r="BE4" s="132">
        <v>0</v>
      </c>
      <c r="BF4" s="132">
        <v>0</v>
      </c>
      <c r="BG4" s="132">
        <v>0</v>
      </c>
      <c r="BH4" s="132">
        <v>0</v>
      </c>
      <c r="BI4" s="132">
        <v>0</v>
      </c>
      <c r="BJ4" s="132">
        <v>0</v>
      </c>
      <c r="BK4" s="132">
        <v>0</v>
      </c>
      <c r="BL4" s="132">
        <v>0</v>
      </c>
      <c r="BM4" s="132">
        <v>0</v>
      </c>
      <c r="BN4" s="132">
        <v>0</v>
      </c>
      <c r="BO4" s="132">
        <v>0</v>
      </c>
      <c r="BP4" s="132">
        <v>0</v>
      </c>
      <c r="BQ4" s="132">
        <v>0</v>
      </c>
      <c r="BR4" s="132">
        <v>0</v>
      </c>
      <c r="BS4" s="132">
        <v>0</v>
      </c>
      <c r="BT4" s="132">
        <v>0</v>
      </c>
      <c r="BU4" s="132">
        <v>0</v>
      </c>
      <c r="BV4" s="132">
        <v>0</v>
      </c>
      <c r="BW4" s="132">
        <v>0</v>
      </c>
      <c r="BX4" s="132">
        <v>0</v>
      </c>
      <c r="BY4" s="132">
        <v>0</v>
      </c>
      <c r="BZ4" s="132">
        <v>0</v>
      </c>
      <c r="CA4" s="132">
        <v>0</v>
      </c>
      <c r="CB4" s="132">
        <v>0</v>
      </c>
      <c r="CC4" s="132">
        <v>0</v>
      </c>
      <c r="CD4" s="132">
        <v>0</v>
      </c>
      <c r="CE4" s="132">
        <v>0</v>
      </c>
      <c r="CF4" s="132">
        <v>0</v>
      </c>
      <c r="CG4" s="132">
        <v>0</v>
      </c>
      <c r="CH4" s="132">
        <v>0</v>
      </c>
      <c r="CI4" s="132">
        <v>0</v>
      </c>
      <c r="CJ4" s="132">
        <v>0</v>
      </c>
      <c r="CK4" s="132">
        <v>0</v>
      </c>
      <c r="CL4" s="132">
        <v>0</v>
      </c>
      <c r="CM4" s="132">
        <v>0</v>
      </c>
      <c r="CN4" s="132">
        <v>0</v>
      </c>
      <c r="CO4" s="132">
        <v>0</v>
      </c>
      <c r="CP4" s="132">
        <v>0</v>
      </c>
      <c r="CQ4" s="134" t="str">
        <v>blank</v>
      </c>
      <c r="CR4" s="132" t="str">
        <v>Costs</v>
      </c>
      <c r="CS4" s="132">
        <v>0</v>
      </c>
      <c r="CT4" s="132">
        <v>0</v>
      </c>
      <c r="CU4" s="132">
        <v>0</v>
      </c>
      <c r="CV4" s="132">
        <v>0</v>
      </c>
      <c r="CW4" s="132">
        <v>0</v>
      </c>
      <c r="CX4" s="132">
        <v>0</v>
      </c>
      <c r="CY4" s="132">
        <v>0</v>
      </c>
      <c r="CZ4" s="132">
        <v>0</v>
      </c>
      <c r="DA4" s="132">
        <v>0</v>
      </c>
      <c r="DB4" s="132">
        <v>0</v>
      </c>
      <c r="DC4" s="132">
        <v>0</v>
      </c>
      <c r="DD4" s="132">
        <v>0</v>
      </c>
      <c r="DE4" s="132">
        <v>0</v>
      </c>
      <c r="DF4" s="132">
        <v>0</v>
      </c>
      <c r="DG4" s="132">
        <v>0</v>
      </c>
      <c r="DH4" s="132">
        <v>0</v>
      </c>
      <c r="DI4" s="132">
        <v>0</v>
      </c>
      <c r="DJ4" s="132">
        <v>0</v>
      </c>
      <c r="DK4" s="132">
        <v>0</v>
      </c>
      <c r="DL4" s="132">
        <v>0</v>
      </c>
      <c r="DM4" s="132">
        <v>0</v>
      </c>
      <c r="DN4" s="132">
        <v>0</v>
      </c>
      <c r="DO4" s="132">
        <v>0</v>
      </c>
      <c r="DP4" s="132">
        <v>0</v>
      </c>
      <c r="DQ4" s="132">
        <v>0</v>
      </c>
      <c r="DR4" s="132">
        <v>0</v>
      </c>
      <c r="DS4" s="132">
        <v>0</v>
      </c>
      <c r="DT4" s="132">
        <v>0</v>
      </c>
      <c r="DU4" s="132">
        <v>0</v>
      </c>
      <c r="DV4" s="132">
        <v>0</v>
      </c>
      <c r="DW4" s="132">
        <v>0</v>
      </c>
      <c r="DX4" s="132">
        <v>0</v>
      </c>
      <c r="DY4" s="132">
        <v>0</v>
      </c>
      <c r="DZ4" s="132">
        <v>0</v>
      </c>
      <c r="EA4" s="132">
        <v>0</v>
      </c>
      <c r="EB4" s="132">
        <v>0</v>
      </c>
      <c r="EC4" s="132">
        <v>0</v>
      </c>
      <c r="ED4" s="132">
        <v>0</v>
      </c>
      <c r="EE4" s="132">
        <v>0</v>
      </c>
      <c r="EF4" s="132">
        <v>0</v>
      </c>
      <c r="EG4" s="132">
        <v>0</v>
      </c>
      <c r="EH4" s="132">
        <v>0</v>
      </c>
      <c r="EI4" s="132">
        <v>0</v>
      </c>
      <c r="EJ4" s="132">
        <v>0</v>
      </c>
      <c r="EK4" s="132">
        <v>0</v>
      </c>
      <c r="EL4" s="132">
        <v>0</v>
      </c>
      <c r="EM4" s="132">
        <v>0</v>
      </c>
      <c r="EN4" s="132">
        <v>0</v>
      </c>
      <c r="EO4" s="132">
        <v>0</v>
      </c>
      <c r="EP4" s="132">
        <v>0</v>
      </c>
      <c r="EQ4" s="132">
        <v>0</v>
      </c>
      <c r="ER4" s="132">
        <v>0</v>
      </c>
      <c r="ES4" s="132">
        <v>0</v>
      </c>
      <c r="ET4" s="132">
        <v>0</v>
      </c>
      <c r="EU4" s="132">
        <v>0</v>
      </c>
      <c r="EV4" s="132">
        <v>0</v>
      </c>
      <c r="EW4" s="132">
        <v>0</v>
      </c>
      <c r="EX4" s="132">
        <v>0</v>
      </c>
      <c r="EY4" s="132">
        <v>0</v>
      </c>
      <c r="EZ4" s="132">
        <v>0</v>
      </c>
      <c r="FA4" s="132">
        <v>0</v>
      </c>
      <c r="FB4" s="132">
        <v>0</v>
      </c>
      <c r="FC4" s="132">
        <v>0</v>
      </c>
      <c r="FD4" s="132">
        <v>0</v>
      </c>
      <c r="FE4" s="132">
        <v>0</v>
      </c>
      <c r="FF4" s="132">
        <v>0</v>
      </c>
      <c r="FG4" s="132">
        <v>0</v>
      </c>
      <c r="FH4" s="132">
        <v>0</v>
      </c>
      <c r="FI4" s="132">
        <v>0</v>
      </c>
      <c r="FJ4" s="132">
        <v>0</v>
      </c>
      <c r="FK4" s="132">
        <v>0</v>
      </c>
      <c r="FL4" s="132">
        <v>0</v>
      </c>
      <c r="FM4" s="132">
        <v>0</v>
      </c>
      <c r="FN4" s="132">
        <v>0</v>
      </c>
      <c r="FO4" s="132">
        <v>0</v>
      </c>
      <c r="FP4" s="132">
        <v>0</v>
      </c>
      <c r="FQ4" s="132">
        <v>0</v>
      </c>
      <c r="FR4" s="132">
        <v>0</v>
      </c>
      <c r="FS4" s="132">
        <v>0</v>
      </c>
      <c r="FT4" s="132">
        <v>0</v>
      </c>
      <c r="FU4" s="132">
        <v>0</v>
      </c>
      <c r="FV4" s="132">
        <v>0</v>
      </c>
      <c r="FW4" s="132">
        <v>0</v>
      </c>
      <c r="FX4" s="134"/>
      <c r="FY4" s="132" t="s">
        <v>147</v>
      </c>
      <c r="FZ4" s="132"/>
      <c r="GA4" s="132"/>
      <c r="GB4" s="132"/>
      <c r="GC4" s="132"/>
      <c r="GD4" s="132"/>
      <c r="GE4" s="132"/>
      <c r="GF4" s="132"/>
      <c r="GG4" s="134"/>
      <c r="GH4" s="132" t="s">
        <v>148</v>
      </c>
      <c r="GI4" s="132" t="str">
        <f>"(Real "&amp;'Key assumptions'!$D$11&amp;")"</f>
        <v>(Real $RY2026)</v>
      </c>
      <c r="GJ4" s="132"/>
      <c r="GK4" s="132"/>
      <c r="GL4" s="132"/>
      <c r="GM4" s="132"/>
      <c r="GN4" s="132"/>
      <c r="GO4" s="132"/>
      <c r="GP4" s="132"/>
      <c r="GR4" s="132" t="s">
        <v>255</v>
      </c>
    </row>
    <row r="5" spans="1:207" s="87" customFormat="1" ht="16.5" customHeight="1" x14ac:dyDescent="0.2">
      <c r="B5" s="138"/>
      <c r="C5" s="139"/>
      <c r="D5" s="139"/>
      <c r="E5" s="139"/>
      <c r="F5" s="139"/>
      <c r="G5" s="139"/>
      <c r="H5" s="138"/>
      <c r="I5" s="138"/>
      <c r="J5" s="134"/>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4"/>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4"/>
      <c r="FY5" s="137"/>
      <c r="FZ5" s="137"/>
      <c r="GA5" s="137"/>
      <c r="GB5" s="137"/>
      <c r="GC5" s="137"/>
      <c r="GD5" s="137"/>
      <c r="GE5" s="137"/>
      <c r="GF5" s="137"/>
      <c r="GG5" s="134"/>
      <c r="GH5" s="137" cm="1">
        <f t="array" ref="GH5:GN6">'Key assumptions'!$H$17:$N$18</f>
        <v>46054</v>
      </c>
      <c r="GI5" s="137">
        <v>46296</v>
      </c>
      <c r="GJ5" s="137">
        <v>46661</v>
      </c>
      <c r="GK5" s="137">
        <v>47027</v>
      </c>
      <c r="GL5" s="137">
        <v>47392</v>
      </c>
      <c r="GM5" s="137">
        <v>47757</v>
      </c>
      <c r="GN5" s="137">
        <v>48122</v>
      </c>
      <c r="GO5" s="137"/>
      <c r="GP5" s="137"/>
      <c r="GR5" s="137">
        <v>46054</v>
      </c>
    </row>
    <row r="6" spans="1:207" s="87" customFormat="1" ht="16.5" customHeight="1" x14ac:dyDescent="0.2">
      <c r="B6" s="138"/>
      <c r="C6" s="139"/>
      <c r="D6" s="139"/>
      <c r="E6" s="139"/>
      <c r="F6" s="139"/>
      <c r="G6" s="139"/>
      <c r="H6" s="138"/>
      <c r="I6" s="138"/>
      <c r="J6" s="134"/>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4"/>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4"/>
      <c r="FY6" s="137"/>
      <c r="FZ6" s="137"/>
      <c r="GA6" s="137"/>
      <c r="GB6" s="137"/>
      <c r="GC6" s="137"/>
      <c r="GD6" s="137"/>
      <c r="GE6" s="137"/>
      <c r="GF6" s="137"/>
      <c r="GG6" s="134"/>
      <c r="GH6" s="137">
        <v>46295</v>
      </c>
      <c r="GI6" s="137">
        <v>46660</v>
      </c>
      <c r="GJ6" s="137">
        <v>47026</v>
      </c>
      <c r="GK6" s="137">
        <v>47391</v>
      </c>
      <c r="GL6" s="137">
        <v>47756</v>
      </c>
      <c r="GM6" s="137">
        <v>48121</v>
      </c>
      <c r="GN6" s="137">
        <v>48487</v>
      </c>
      <c r="GO6" s="137"/>
      <c r="GP6" s="137"/>
      <c r="GR6" s="137">
        <v>46203</v>
      </c>
    </row>
    <row r="7" spans="1:207" s="153" customFormat="1" ht="38.25" x14ac:dyDescent="0.2">
      <c r="B7" s="135" t="str" cm="1">
        <f t="array" ref="B7:FW7">ds_headers</f>
        <v>Broader cost category</v>
      </c>
      <c r="C7" s="135" t="str">
        <v>Item</v>
      </c>
      <c r="D7" s="135" t="str">
        <v>Internal or Non-Labour</v>
      </c>
      <c r="E7" s="135" t="str">
        <v>Dollar Basis (Nominal / Real FY)</v>
      </c>
      <c r="F7" s="135" t="str">
        <v>Existing or New</v>
      </c>
      <c r="G7" s="135" t="str">
        <v>Normal time / over time</v>
      </c>
      <c r="H7" s="136" t="str">
        <v>BaseRate</v>
      </c>
      <c r="I7" s="190" t="str">
        <v>Total cost</v>
      </c>
      <c r="J7" s="154">
        <v>0</v>
      </c>
      <c r="K7" s="155">
        <v>45658</v>
      </c>
      <c r="L7" s="155">
        <v>45689</v>
      </c>
      <c r="M7" s="155">
        <v>45717</v>
      </c>
      <c r="N7" s="155">
        <v>45748</v>
      </c>
      <c r="O7" s="155">
        <v>45778</v>
      </c>
      <c r="P7" s="155">
        <v>45809</v>
      </c>
      <c r="Q7" s="155">
        <v>45839</v>
      </c>
      <c r="R7" s="155">
        <v>45870</v>
      </c>
      <c r="S7" s="156">
        <v>45901</v>
      </c>
      <c r="T7" s="156">
        <v>45931</v>
      </c>
      <c r="U7" s="155">
        <v>45962</v>
      </c>
      <c r="V7" s="155">
        <v>45992</v>
      </c>
      <c r="W7" s="155">
        <v>46023</v>
      </c>
      <c r="X7" s="155">
        <v>46054</v>
      </c>
      <c r="Y7" s="155">
        <v>46082</v>
      </c>
      <c r="Z7" s="155">
        <v>46113</v>
      </c>
      <c r="AA7" s="155">
        <v>46143</v>
      </c>
      <c r="AB7" s="155">
        <v>46174</v>
      </c>
      <c r="AC7" s="155">
        <v>46204</v>
      </c>
      <c r="AD7" s="155">
        <v>46235</v>
      </c>
      <c r="AE7" s="155">
        <v>46266</v>
      </c>
      <c r="AF7" s="155">
        <v>46296</v>
      </c>
      <c r="AG7" s="155">
        <v>46327</v>
      </c>
      <c r="AH7" s="155">
        <v>46357</v>
      </c>
      <c r="AI7" s="155">
        <v>46388</v>
      </c>
      <c r="AJ7" s="155">
        <v>46419</v>
      </c>
      <c r="AK7" s="155">
        <v>46447</v>
      </c>
      <c r="AL7" s="155">
        <v>46478</v>
      </c>
      <c r="AM7" s="155">
        <v>46508</v>
      </c>
      <c r="AN7" s="155">
        <v>46539</v>
      </c>
      <c r="AO7" s="155">
        <v>46569</v>
      </c>
      <c r="AP7" s="155">
        <v>46600</v>
      </c>
      <c r="AQ7" s="155">
        <v>46631</v>
      </c>
      <c r="AR7" s="155">
        <v>46661</v>
      </c>
      <c r="AS7" s="155">
        <v>46692</v>
      </c>
      <c r="AT7" s="155">
        <v>46722</v>
      </c>
      <c r="AU7" s="155">
        <v>46753</v>
      </c>
      <c r="AV7" s="155">
        <v>46784</v>
      </c>
      <c r="AW7" s="155">
        <v>46813</v>
      </c>
      <c r="AX7" s="155">
        <v>46844</v>
      </c>
      <c r="AY7" s="155">
        <v>46874</v>
      </c>
      <c r="AZ7" s="155">
        <v>46905</v>
      </c>
      <c r="BA7" s="155">
        <v>46935</v>
      </c>
      <c r="BB7" s="155">
        <v>46966</v>
      </c>
      <c r="BC7" s="155">
        <v>46997</v>
      </c>
      <c r="BD7" s="155">
        <v>47027</v>
      </c>
      <c r="BE7" s="155">
        <v>47058</v>
      </c>
      <c r="BF7" s="155">
        <v>47088</v>
      </c>
      <c r="BG7" s="155">
        <v>47119</v>
      </c>
      <c r="BH7" s="155">
        <v>47150</v>
      </c>
      <c r="BI7" s="155">
        <v>47178</v>
      </c>
      <c r="BJ7" s="155">
        <v>47209</v>
      </c>
      <c r="BK7" s="155">
        <v>47239</v>
      </c>
      <c r="BL7" s="155">
        <v>47270</v>
      </c>
      <c r="BM7" s="155">
        <v>47300</v>
      </c>
      <c r="BN7" s="155">
        <v>47331</v>
      </c>
      <c r="BO7" s="155">
        <v>47362</v>
      </c>
      <c r="BP7" s="155">
        <v>47392</v>
      </c>
      <c r="BQ7" s="155">
        <v>47423</v>
      </c>
      <c r="BR7" s="155">
        <v>47453</v>
      </c>
      <c r="BS7" s="155">
        <v>47514</v>
      </c>
      <c r="BT7" s="155">
        <v>47542</v>
      </c>
      <c r="BU7" s="155">
        <v>47573</v>
      </c>
      <c r="BV7" s="155">
        <v>47603</v>
      </c>
      <c r="BW7" s="155">
        <v>47634</v>
      </c>
      <c r="BX7" s="155">
        <v>47664</v>
      </c>
      <c r="BY7" s="155">
        <v>47695</v>
      </c>
      <c r="BZ7" s="155">
        <v>47726</v>
      </c>
      <c r="CA7" s="155">
        <v>47756</v>
      </c>
      <c r="CB7" s="155">
        <v>47787</v>
      </c>
      <c r="CC7" s="155">
        <v>47817</v>
      </c>
      <c r="CD7" s="155">
        <v>47848</v>
      </c>
      <c r="CE7" s="155">
        <v>47879</v>
      </c>
      <c r="CF7" s="155">
        <v>47907</v>
      </c>
      <c r="CG7" s="155">
        <v>47938</v>
      </c>
      <c r="CH7" s="155">
        <v>47968</v>
      </c>
      <c r="CI7" s="155">
        <v>47999</v>
      </c>
      <c r="CJ7" s="155">
        <v>48029</v>
      </c>
      <c r="CK7" s="155">
        <v>48060</v>
      </c>
      <c r="CL7" s="155">
        <v>48091</v>
      </c>
      <c r="CM7" s="155">
        <v>48121</v>
      </c>
      <c r="CN7" s="155">
        <v>48152</v>
      </c>
      <c r="CO7" s="155">
        <v>48182</v>
      </c>
      <c r="CP7" s="155">
        <v>48213</v>
      </c>
      <c r="CQ7" s="154">
        <v>0</v>
      </c>
      <c r="CR7" s="156">
        <v>45658</v>
      </c>
      <c r="CS7" s="156">
        <v>45689</v>
      </c>
      <c r="CT7" s="156">
        <v>45717</v>
      </c>
      <c r="CU7" s="156">
        <v>45748</v>
      </c>
      <c r="CV7" s="156">
        <v>45778</v>
      </c>
      <c r="CW7" s="156">
        <v>45809</v>
      </c>
      <c r="CX7" s="156">
        <v>45839</v>
      </c>
      <c r="CY7" s="156">
        <v>45870</v>
      </c>
      <c r="CZ7" s="156">
        <v>45901</v>
      </c>
      <c r="DA7" s="156">
        <v>45931</v>
      </c>
      <c r="DB7" s="156">
        <v>45962</v>
      </c>
      <c r="DC7" s="156">
        <v>45992</v>
      </c>
      <c r="DD7" s="156">
        <v>46023</v>
      </c>
      <c r="DE7" s="156">
        <v>46054</v>
      </c>
      <c r="DF7" s="156">
        <v>46082</v>
      </c>
      <c r="DG7" s="156">
        <v>46113</v>
      </c>
      <c r="DH7" s="156">
        <v>46143</v>
      </c>
      <c r="DI7" s="156">
        <v>46174</v>
      </c>
      <c r="DJ7" s="156">
        <v>46204</v>
      </c>
      <c r="DK7" s="156">
        <v>46235</v>
      </c>
      <c r="DL7" s="156">
        <v>46266</v>
      </c>
      <c r="DM7" s="156">
        <v>46296</v>
      </c>
      <c r="DN7" s="156">
        <v>46327</v>
      </c>
      <c r="DO7" s="156">
        <v>46357</v>
      </c>
      <c r="DP7" s="156">
        <v>46388</v>
      </c>
      <c r="DQ7" s="156">
        <v>46419</v>
      </c>
      <c r="DR7" s="156">
        <v>46447</v>
      </c>
      <c r="DS7" s="156">
        <v>46478</v>
      </c>
      <c r="DT7" s="156">
        <v>46508</v>
      </c>
      <c r="DU7" s="156">
        <v>46539</v>
      </c>
      <c r="DV7" s="156">
        <v>46569</v>
      </c>
      <c r="DW7" s="156">
        <v>46600</v>
      </c>
      <c r="DX7" s="156">
        <v>46631</v>
      </c>
      <c r="DY7" s="156">
        <v>46661</v>
      </c>
      <c r="DZ7" s="156">
        <v>46692</v>
      </c>
      <c r="EA7" s="156">
        <v>46722</v>
      </c>
      <c r="EB7" s="156">
        <v>46753</v>
      </c>
      <c r="EC7" s="156">
        <v>46784</v>
      </c>
      <c r="ED7" s="156">
        <v>46813</v>
      </c>
      <c r="EE7" s="156">
        <v>46844</v>
      </c>
      <c r="EF7" s="156">
        <v>46874</v>
      </c>
      <c r="EG7" s="156">
        <v>46905</v>
      </c>
      <c r="EH7" s="156">
        <v>46935</v>
      </c>
      <c r="EI7" s="156">
        <v>46966</v>
      </c>
      <c r="EJ7" s="156">
        <v>46997</v>
      </c>
      <c r="EK7" s="156">
        <v>47027</v>
      </c>
      <c r="EL7" s="156">
        <v>47058</v>
      </c>
      <c r="EM7" s="156">
        <v>47088</v>
      </c>
      <c r="EN7" s="156">
        <v>47119</v>
      </c>
      <c r="EO7" s="156">
        <v>47150</v>
      </c>
      <c r="EP7" s="156">
        <v>47178</v>
      </c>
      <c r="EQ7" s="156">
        <v>47209</v>
      </c>
      <c r="ER7" s="156">
        <v>47239</v>
      </c>
      <c r="ES7" s="156">
        <v>47270</v>
      </c>
      <c r="ET7" s="156">
        <v>47300</v>
      </c>
      <c r="EU7" s="156">
        <v>47331</v>
      </c>
      <c r="EV7" s="156">
        <v>47362</v>
      </c>
      <c r="EW7" s="156">
        <v>47392</v>
      </c>
      <c r="EX7" s="156">
        <v>47423</v>
      </c>
      <c r="EY7" s="156">
        <v>47453</v>
      </c>
      <c r="EZ7" s="156">
        <v>47514</v>
      </c>
      <c r="FA7" s="156">
        <v>47542</v>
      </c>
      <c r="FB7" s="156">
        <v>47573</v>
      </c>
      <c r="FC7" s="156">
        <v>47603</v>
      </c>
      <c r="FD7" s="156">
        <v>47634</v>
      </c>
      <c r="FE7" s="156">
        <v>47664</v>
      </c>
      <c r="FF7" s="156">
        <v>47695</v>
      </c>
      <c r="FG7" s="156">
        <v>47726</v>
      </c>
      <c r="FH7" s="156">
        <v>47756</v>
      </c>
      <c r="FI7" s="156">
        <v>47787</v>
      </c>
      <c r="FJ7" s="156">
        <v>47817</v>
      </c>
      <c r="FK7" s="156">
        <v>47848</v>
      </c>
      <c r="FL7" s="156">
        <v>47879</v>
      </c>
      <c r="FM7" s="156">
        <v>47907</v>
      </c>
      <c r="FN7" s="156">
        <v>47938</v>
      </c>
      <c r="FO7" s="156">
        <v>47968</v>
      </c>
      <c r="FP7" s="156">
        <v>47999</v>
      </c>
      <c r="FQ7" s="156">
        <v>48029</v>
      </c>
      <c r="FR7" s="156">
        <v>48060</v>
      </c>
      <c r="FS7" s="156">
        <v>48091</v>
      </c>
      <c r="FT7" s="156">
        <v>48121</v>
      </c>
      <c r="FU7" s="156">
        <v>48152</v>
      </c>
      <c r="FV7" s="156">
        <v>48182</v>
      </c>
      <c r="FW7" s="156">
        <v>48213</v>
      </c>
      <c r="FX7" s="154"/>
      <c r="FY7" s="140" t="s">
        <v>50</v>
      </c>
      <c r="FZ7" s="140" t="str" cm="1">
        <f t="array" ref="FZ7:GF7">model_forecastperiod</f>
        <v>RY2026
01Feb-30Sep</v>
      </c>
      <c r="GA7" s="140" t="str">
        <v>RY2027</v>
      </c>
      <c r="GB7" s="140" t="str">
        <v>RY2028</v>
      </c>
      <c r="GC7" s="140" t="str">
        <v>RY2029</v>
      </c>
      <c r="GD7" s="140" t="str">
        <v>RY2030</v>
      </c>
      <c r="GE7" s="140" t="str">
        <v>RY2031</v>
      </c>
      <c r="GF7" s="140" t="str">
        <v>RY2032</v>
      </c>
      <c r="GG7" s="154"/>
      <c r="GH7" s="140" t="str" cm="1">
        <f t="array" ref="GH7:GN7">model_forecastperiod</f>
        <v>RY2026
01Feb-30Sep</v>
      </c>
      <c r="GI7" s="140" t="str">
        <v>RY2027</v>
      </c>
      <c r="GJ7" s="140" t="str">
        <v>RY2028</v>
      </c>
      <c r="GK7" s="140" t="str">
        <v>RY2029</v>
      </c>
      <c r="GL7" s="140" t="str">
        <v>RY2030</v>
      </c>
      <c r="GM7" s="140" t="str">
        <v>RY2031</v>
      </c>
      <c r="GN7" s="140" t="str">
        <v>RY2032</v>
      </c>
      <c r="GO7" s="140" t="s">
        <v>133</v>
      </c>
      <c r="GP7" s="157" t="str">
        <f>IF(ROUND(SUM(GH8:GN288),5)=ROUND(Outsourced_labour_calcs!J24,5),"OK","ERROR")</f>
        <v>OK</v>
      </c>
      <c r="GQ7" s="88"/>
      <c r="GR7" s="140" t="s">
        <v>254</v>
      </c>
      <c r="GS7" s="88"/>
      <c r="GT7" s="88"/>
      <c r="GU7" s="88"/>
      <c r="GV7" s="88"/>
      <c r="GW7" s="88"/>
      <c r="GX7" s="88"/>
      <c r="GY7" s="88"/>
    </row>
    <row r="8" spans="1:207" x14ac:dyDescent="0.2">
      <c r="B8" s="141" t="str" cm="1">
        <f t="array" ref="B8:FW13">_xlfn._xlws.FILTER(data_source,ds_labourcat="Contracted Labour")</f>
        <v>Transaction Procurement Support</v>
      </c>
      <c r="C8" s="141" t="str">
        <v>Outsource Consultant</v>
      </c>
      <c r="D8" s="141" t="str">
        <v>Contracted Labour</v>
      </c>
      <c r="E8" s="141" t="str">
        <v>$ Nominal</v>
      </c>
      <c r="F8" s="141">
        <v>0</v>
      </c>
      <c r="G8" s="141" t="str">
        <v/>
      </c>
      <c r="H8" s="142">
        <v>0</v>
      </c>
      <c r="I8" s="126">
        <v>112800</v>
      </c>
      <c r="J8" s="143">
        <v>0</v>
      </c>
      <c r="K8" s="144">
        <v>0</v>
      </c>
      <c r="L8" s="144">
        <v>0</v>
      </c>
      <c r="M8" s="144">
        <v>0</v>
      </c>
      <c r="N8" s="144">
        <v>0</v>
      </c>
      <c r="O8" s="144">
        <v>0</v>
      </c>
      <c r="P8" s="144">
        <v>0</v>
      </c>
      <c r="Q8" s="144">
        <v>0</v>
      </c>
      <c r="R8" s="144">
        <v>0</v>
      </c>
      <c r="S8" s="144">
        <v>0</v>
      </c>
      <c r="T8" s="144">
        <v>0</v>
      </c>
      <c r="U8" s="144">
        <v>0</v>
      </c>
      <c r="V8" s="144">
        <v>0</v>
      </c>
      <c r="W8" s="144">
        <v>0</v>
      </c>
      <c r="X8" s="144">
        <v>0.33333333333333331</v>
      </c>
      <c r="Y8" s="144">
        <v>0.33333333333333331</v>
      </c>
      <c r="Z8" s="144">
        <v>0.33333333333333331</v>
      </c>
      <c r="AA8" s="144">
        <v>0</v>
      </c>
      <c r="AB8" s="144">
        <v>0</v>
      </c>
      <c r="AC8" s="144">
        <v>0</v>
      </c>
      <c r="AD8" s="144">
        <v>0</v>
      </c>
      <c r="AE8" s="144">
        <v>0</v>
      </c>
      <c r="AF8" s="144">
        <v>0</v>
      </c>
      <c r="AG8" s="144">
        <v>0</v>
      </c>
      <c r="AH8" s="144">
        <v>0</v>
      </c>
      <c r="AI8" s="144">
        <v>0</v>
      </c>
      <c r="AJ8" s="144">
        <v>0</v>
      </c>
      <c r="AK8" s="144">
        <v>0</v>
      </c>
      <c r="AL8" s="144">
        <v>0</v>
      </c>
      <c r="AM8" s="144">
        <v>0</v>
      </c>
      <c r="AN8" s="144">
        <v>0</v>
      </c>
      <c r="AO8" s="144">
        <v>0</v>
      </c>
      <c r="AP8" s="144">
        <v>0</v>
      </c>
      <c r="AQ8" s="144">
        <v>0</v>
      </c>
      <c r="AR8" s="144">
        <v>0</v>
      </c>
      <c r="AS8" s="144">
        <v>0</v>
      </c>
      <c r="AT8" s="144">
        <v>0</v>
      </c>
      <c r="AU8" s="144">
        <v>0</v>
      </c>
      <c r="AV8" s="144">
        <v>0</v>
      </c>
      <c r="AW8" s="144">
        <v>0</v>
      </c>
      <c r="AX8" s="144">
        <v>0</v>
      </c>
      <c r="AY8" s="144">
        <v>0</v>
      </c>
      <c r="AZ8" s="144">
        <v>0</v>
      </c>
      <c r="BA8" s="144">
        <v>0</v>
      </c>
      <c r="BB8" s="144">
        <v>0</v>
      </c>
      <c r="BC8" s="144">
        <v>0</v>
      </c>
      <c r="BD8" s="144">
        <v>0</v>
      </c>
      <c r="BE8" s="144">
        <v>0</v>
      </c>
      <c r="BF8" s="144">
        <v>0</v>
      </c>
      <c r="BG8" s="144">
        <v>0</v>
      </c>
      <c r="BH8" s="144">
        <v>0</v>
      </c>
      <c r="BI8" s="144">
        <v>0</v>
      </c>
      <c r="BJ8" s="144">
        <v>0</v>
      </c>
      <c r="BK8" s="144">
        <v>0</v>
      </c>
      <c r="BL8" s="144">
        <v>0</v>
      </c>
      <c r="BM8" s="144">
        <v>0</v>
      </c>
      <c r="BN8" s="144">
        <v>0</v>
      </c>
      <c r="BO8" s="144">
        <v>0</v>
      </c>
      <c r="BP8" s="144">
        <v>0</v>
      </c>
      <c r="BQ8" s="144">
        <v>0</v>
      </c>
      <c r="BR8" s="144">
        <v>0</v>
      </c>
      <c r="BS8" s="144">
        <v>0</v>
      </c>
      <c r="BT8" s="144">
        <v>0</v>
      </c>
      <c r="BU8" s="144">
        <v>0</v>
      </c>
      <c r="BV8" s="144">
        <v>0</v>
      </c>
      <c r="BW8" s="144">
        <v>0</v>
      </c>
      <c r="BX8" s="144">
        <v>0</v>
      </c>
      <c r="BY8" s="144">
        <v>0</v>
      </c>
      <c r="BZ8" s="144">
        <v>0</v>
      </c>
      <c r="CA8" s="144">
        <v>0</v>
      </c>
      <c r="CB8" s="144">
        <v>0</v>
      </c>
      <c r="CC8" s="144">
        <v>0</v>
      </c>
      <c r="CD8" s="144">
        <v>0</v>
      </c>
      <c r="CE8" s="144">
        <v>0</v>
      </c>
      <c r="CF8" s="144">
        <v>0</v>
      </c>
      <c r="CG8" s="144">
        <v>0</v>
      </c>
      <c r="CH8" s="144">
        <v>0</v>
      </c>
      <c r="CI8" s="144">
        <v>0</v>
      </c>
      <c r="CJ8" s="144">
        <v>0</v>
      </c>
      <c r="CK8" s="144">
        <v>0</v>
      </c>
      <c r="CL8" s="144">
        <v>0</v>
      </c>
      <c r="CM8" s="144">
        <v>0</v>
      </c>
      <c r="CN8" s="144">
        <v>0</v>
      </c>
      <c r="CO8" s="144">
        <v>0</v>
      </c>
      <c r="CP8" s="144">
        <v>0</v>
      </c>
      <c r="CQ8" s="143">
        <v>0</v>
      </c>
      <c r="CR8" s="145">
        <v>0</v>
      </c>
      <c r="CS8" s="145">
        <v>0</v>
      </c>
      <c r="CT8" s="145">
        <v>0</v>
      </c>
      <c r="CU8" s="145">
        <v>0</v>
      </c>
      <c r="CV8" s="145">
        <v>0</v>
      </c>
      <c r="CW8" s="145">
        <v>0</v>
      </c>
      <c r="CX8" s="145">
        <v>0</v>
      </c>
      <c r="CY8" s="145">
        <v>0</v>
      </c>
      <c r="CZ8" s="145">
        <v>0</v>
      </c>
      <c r="DA8" s="145">
        <v>0</v>
      </c>
      <c r="DB8" s="145">
        <v>0</v>
      </c>
      <c r="DC8" s="145">
        <v>0</v>
      </c>
      <c r="DD8" s="145">
        <v>0</v>
      </c>
      <c r="DE8" s="145">
        <v>37600</v>
      </c>
      <c r="DF8" s="145">
        <v>37600</v>
      </c>
      <c r="DG8" s="145">
        <v>37600</v>
      </c>
      <c r="DH8" s="145">
        <v>0</v>
      </c>
      <c r="DI8" s="145">
        <v>0</v>
      </c>
      <c r="DJ8" s="145">
        <v>0</v>
      </c>
      <c r="DK8" s="145">
        <v>0</v>
      </c>
      <c r="DL8" s="145">
        <v>0</v>
      </c>
      <c r="DM8" s="145">
        <v>0</v>
      </c>
      <c r="DN8" s="145">
        <v>0</v>
      </c>
      <c r="DO8" s="145">
        <v>0</v>
      </c>
      <c r="DP8" s="145">
        <v>0</v>
      </c>
      <c r="DQ8" s="145">
        <v>0</v>
      </c>
      <c r="DR8" s="145">
        <v>0</v>
      </c>
      <c r="DS8" s="145">
        <v>0</v>
      </c>
      <c r="DT8" s="145">
        <v>0</v>
      </c>
      <c r="DU8" s="145">
        <v>0</v>
      </c>
      <c r="DV8" s="145">
        <v>0</v>
      </c>
      <c r="DW8" s="145">
        <v>0</v>
      </c>
      <c r="DX8" s="145">
        <v>0</v>
      </c>
      <c r="DY8" s="145">
        <v>0</v>
      </c>
      <c r="DZ8" s="145">
        <v>0</v>
      </c>
      <c r="EA8" s="145">
        <v>0</v>
      </c>
      <c r="EB8" s="145">
        <v>0</v>
      </c>
      <c r="EC8" s="145">
        <v>0</v>
      </c>
      <c r="ED8" s="145">
        <v>0</v>
      </c>
      <c r="EE8" s="145">
        <v>0</v>
      </c>
      <c r="EF8" s="145">
        <v>0</v>
      </c>
      <c r="EG8" s="145">
        <v>0</v>
      </c>
      <c r="EH8" s="145">
        <v>0</v>
      </c>
      <c r="EI8" s="145">
        <v>0</v>
      </c>
      <c r="EJ8" s="145">
        <v>0</v>
      </c>
      <c r="EK8" s="145">
        <v>0</v>
      </c>
      <c r="EL8" s="145">
        <v>0</v>
      </c>
      <c r="EM8" s="145">
        <v>0</v>
      </c>
      <c r="EN8" s="145">
        <v>0</v>
      </c>
      <c r="EO8" s="145">
        <v>0</v>
      </c>
      <c r="EP8" s="145">
        <v>0</v>
      </c>
      <c r="EQ8" s="145">
        <v>0</v>
      </c>
      <c r="ER8" s="145">
        <v>0</v>
      </c>
      <c r="ES8" s="145">
        <v>0</v>
      </c>
      <c r="ET8" s="145">
        <v>0</v>
      </c>
      <c r="EU8" s="145">
        <v>0</v>
      </c>
      <c r="EV8" s="145">
        <v>0</v>
      </c>
      <c r="EW8" s="145">
        <v>0</v>
      </c>
      <c r="EX8" s="145">
        <v>0</v>
      </c>
      <c r="EY8" s="145">
        <v>0</v>
      </c>
      <c r="EZ8" s="145">
        <v>0</v>
      </c>
      <c r="FA8" s="145">
        <v>0</v>
      </c>
      <c r="FB8" s="145">
        <v>0</v>
      </c>
      <c r="FC8" s="145">
        <v>0</v>
      </c>
      <c r="FD8" s="145">
        <v>0</v>
      </c>
      <c r="FE8" s="145">
        <v>0</v>
      </c>
      <c r="FF8" s="145">
        <v>0</v>
      </c>
      <c r="FG8" s="145">
        <v>0</v>
      </c>
      <c r="FH8" s="145">
        <v>0</v>
      </c>
      <c r="FI8" s="145">
        <v>0</v>
      </c>
      <c r="FJ8" s="145">
        <v>0</v>
      </c>
      <c r="FK8" s="145">
        <v>0</v>
      </c>
      <c r="FL8" s="145">
        <v>0</v>
      </c>
      <c r="FM8" s="145">
        <v>0</v>
      </c>
      <c r="FN8" s="145">
        <v>0</v>
      </c>
      <c r="FO8" s="145">
        <v>0</v>
      </c>
      <c r="FP8" s="145">
        <v>0</v>
      </c>
      <c r="FQ8" s="145">
        <v>0</v>
      </c>
      <c r="FR8" s="145">
        <v>0</v>
      </c>
      <c r="FS8" s="145">
        <v>0</v>
      </c>
      <c r="FT8" s="145">
        <v>0</v>
      </c>
      <c r="FU8" s="145">
        <v>0</v>
      </c>
      <c r="FV8" s="145">
        <v>0</v>
      </c>
      <c r="FW8" s="145">
        <v>0</v>
      </c>
      <c r="FX8" s="143"/>
      <c r="FY8" s="146" t="str">
        <f>_xlfn.XLOOKUP($E8,'Key assumptions'!$B$112:$B$120,'Key assumptions'!$C$112:$C$120,0)</f>
        <v>Nominal</v>
      </c>
      <c r="FZ8" s="146" cm="1">
        <f t="array" ref="FZ8">IF($FY8=0,0,_xlfn.IFS($FY8='Key assumptions'!$C$120,_xlfn.XLOOKUP(LEFT(FZ$7,6),Inflation_Year,Inflation_NominaltoReal),TRUE,_xlfn.XLOOKUP($FY8,Inflation_Year,NominaltoReal)))</f>
        <v>1.0197075870962191</v>
      </c>
      <c r="GA8" s="146" cm="1">
        <f t="array" ref="GA8">IF($FY8=0,0,_xlfn.IFS($FY8='Key assumptions'!$C$120,_xlfn.XLOOKUP(LEFT(GA$7,6),Inflation_Year,Inflation_NominaltoReal),TRUE,_xlfn.XLOOKUP($FY8,Inflation_Year,NominaltoReal)))</f>
        <v>0.98700804022984445</v>
      </c>
      <c r="GB8" s="146" cm="1">
        <f t="array" ref="GB8">IF($FY8=0,0,_xlfn.IFS($FY8='Key assumptions'!$C$120,_xlfn.XLOOKUP(LEFT(GB$7,6),Inflation_Year,Inflation_NominaltoReal),TRUE,_xlfn.XLOOKUP($FY8,Inflation_Year,NominaltoReal)))</f>
        <v>0.96152830081941731</v>
      </c>
      <c r="GC8" s="146" cm="1">
        <f t="array" ref="GC8">IF($FY8=0,0,_xlfn.IFS($FY8='Key assumptions'!$C$120,_xlfn.XLOOKUP(LEFT(GC$7,6),Inflation_Year,Inflation_NominaltoReal),TRUE,_xlfn.XLOOKUP($FY8,Inflation_Year,NominaltoReal)))</f>
        <v>0.93670632415656829</v>
      </c>
      <c r="GD8" s="146" cm="1">
        <f t="array" ref="GD8">IF($FY8=0,0,_xlfn.IFS($FY8='Key assumptions'!$C$120,_xlfn.XLOOKUP(LEFT(GD$7,6),Inflation_Year,Inflation_NominaltoReal),TRUE,_xlfn.XLOOKUP($FY8,Inflation_Year,NominaltoReal)))</f>
        <v>0.91252513001143176</v>
      </c>
      <c r="GE8" s="146" cm="1">
        <f t="array" ref="GE8">IF($FY8=0,0,_xlfn.IFS($FY8='Key assumptions'!$C$120,_xlfn.XLOOKUP(LEFT(GE$7,6),Inflation_Year,Inflation_NominaltoReal),TRUE,_xlfn.XLOOKUP($FY8,Inflation_Year,NominaltoReal)))</f>
        <v>0.88896817650095872</v>
      </c>
      <c r="GF8" s="146" cm="1">
        <f t="array" ref="GF8">IF($FY8=0,0,_xlfn.IFS($FY8='Key assumptions'!$C$120,_xlfn.XLOOKUP(LEFT(GF$7,6),Inflation_Year,Inflation_NominaltoReal),TRUE,_xlfn.XLOOKUP($FY8,Inflation_Year,NominaltoReal)))</f>
        <v>0.86601934877293718</v>
      </c>
      <c r="GG8" s="143"/>
      <c r="GH8" s="145" cm="1">
        <f t="array" ref="GH8">SUMPRODUCT(--($CR$7:$FW$7&gt;=GH$5),--($CR$7:$FW$7&lt;=GH$6),$CR8:$FW8)*FZ8</f>
        <v>115023.01582445351</v>
      </c>
      <c r="GI8" s="145" cm="1">
        <f t="array" ref="GI8">SUMPRODUCT(--($CR$7:$FW$7&gt;=GI$5),--($CR$7:$FW$7&lt;=GI$6),$CR8:$FW8)*GA8</f>
        <v>0</v>
      </c>
      <c r="GJ8" s="145" cm="1">
        <f t="array" ref="GJ8">SUMPRODUCT(--($CR$7:$FW$7&gt;=GJ$5),--($CR$7:$FW$7&lt;=GJ$6),$CR8:$FW8)*GB8</f>
        <v>0</v>
      </c>
      <c r="GK8" s="145" cm="1">
        <f t="array" ref="GK8">SUMPRODUCT(--($CR$7:$FW$7&gt;=GK$5),--($CR$7:$FW$7&lt;=GK$6),$CR8:$FW8)*GC8</f>
        <v>0</v>
      </c>
      <c r="GL8" s="145" cm="1">
        <f t="array" ref="GL8">SUMPRODUCT(--($CR$7:$FW$7&gt;=GL$5),--($CR$7:$FW$7&lt;=GL$6),$CR8:$FW8)*GD8</f>
        <v>0</v>
      </c>
      <c r="GM8" s="145" cm="1">
        <f t="array" ref="GM8">SUMPRODUCT(--($CR$7:$FW$7&gt;=GM$5),--($CR$7:$FW$7&lt;=GM$6),$CR8:$FW8)*GE8</f>
        <v>0</v>
      </c>
      <c r="GN8" s="145" cm="1">
        <f t="array" ref="GN8">SUMPRODUCT(--($CR$7:$FW$7&gt;=GN$5),--($CR$7:$FW$7&lt;=GN$6),$CR8:$FW8)*GF8</f>
        <v>0</v>
      </c>
      <c r="GO8" s="145">
        <f t="shared" ref="GO8:GO71" si="0">SUM(GH8:GN8)</f>
        <v>115023.01582445351</v>
      </c>
      <c r="GP8" s="87"/>
      <c r="GQ8" s="89"/>
      <c r="GR8" s="145" cm="1">
        <f t="array" ref="GR8">SUMPRODUCT(--($CR$7:$FW$7&gt;=GR$5),--($CR$7:$FW$7&lt;=GR$6),$CR8:$FW8)*GJ8</f>
        <v>0</v>
      </c>
      <c r="GS8" s="89"/>
      <c r="GT8" s="89"/>
      <c r="GU8" s="89"/>
      <c r="GV8" s="89"/>
      <c r="GW8" s="89"/>
      <c r="GX8" s="89"/>
      <c r="GY8" s="89"/>
    </row>
    <row r="9" spans="1:207" x14ac:dyDescent="0.2">
      <c r="B9" s="141" t="str">
        <v>Transaction Procurement Support</v>
      </c>
      <c r="C9" s="141" t="str">
        <v>Outsource Consultant</v>
      </c>
      <c r="D9" s="141" t="str">
        <v>Contracted Labour</v>
      </c>
      <c r="E9" s="141" t="str">
        <v>$ Nominal</v>
      </c>
      <c r="F9" s="141">
        <v>0</v>
      </c>
      <c r="G9" s="141" t="str">
        <v/>
      </c>
      <c r="H9" s="142">
        <v>0</v>
      </c>
      <c r="I9" s="126">
        <v>106152.15</v>
      </c>
      <c r="J9" s="143">
        <v>0</v>
      </c>
      <c r="K9" s="144">
        <v>0</v>
      </c>
      <c r="L9" s="144">
        <v>0</v>
      </c>
      <c r="M9" s="144">
        <v>0</v>
      </c>
      <c r="N9" s="144">
        <v>0</v>
      </c>
      <c r="O9" s="144">
        <v>0</v>
      </c>
      <c r="P9" s="144">
        <v>0</v>
      </c>
      <c r="Q9" s="144">
        <v>0</v>
      </c>
      <c r="R9" s="144">
        <v>0</v>
      </c>
      <c r="S9" s="144">
        <v>0</v>
      </c>
      <c r="T9" s="144">
        <v>0</v>
      </c>
      <c r="U9" s="144">
        <v>0</v>
      </c>
      <c r="V9" s="144">
        <v>0</v>
      </c>
      <c r="W9" s="144">
        <v>0</v>
      </c>
      <c r="X9" s="144">
        <v>0.3542085581874696</v>
      </c>
      <c r="Y9" s="144">
        <v>0.3542085581874696</v>
      </c>
      <c r="Z9" s="144">
        <v>0.29158288362506085</v>
      </c>
      <c r="AA9" s="144">
        <v>0</v>
      </c>
      <c r="AB9" s="144">
        <v>0</v>
      </c>
      <c r="AC9" s="144">
        <v>0</v>
      </c>
      <c r="AD9" s="144">
        <v>0</v>
      </c>
      <c r="AE9" s="144">
        <v>0</v>
      </c>
      <c r="AF9" s="144">
        <v>0</v>
      </c>
      <c r="AG9" s="144">
        <v>0</v>
      </c>
      <c r="AH9" s="144">
        <v>0</v>
      </c>
      <c r="AI9" s="144">
        <v>0</v>
      </c>
      <c r="AJ9" s="144">
        <v>0</v>
      </c>
      <c r="AK9" s="144">
        <v>0</v>
      </c>
      <c r="AL9" s="144">
        <v>0</v>
      </c>
      <c r="AM9" s="144">
        <v>0</v>
      </c>
      <c r="AN9" s="144">
        <v>0</v>
      </c>
      <c r="AO9" s="144">
        <v>0</v>
      </c>
      <c r="AP9" s="144">
        <v>0</v>
      </c>
      <c r="AQ9" s="144">
        <v>0</v>
      </c>
      <c r="AR9" s="144">
        <v>0</v>
      </c>
      <c r="AS9" s="144">
        <v>0</v>
      </c>
      <c r="AT9" s="144">
        <v>0</v>
      </c>
      <c r="AU9" s="144">
        <v>0</v>
      </c>
      <c r="AV9" s="144">
        <v>0</v>
      </c>
      <c r="AW9" s="144">
        <v>0</v>
      </c>
      <c r="AX9" s="144">
        <v>0</v>
      </c>
      <c r="AY9" s="144">
        <v>0</v>
      </c>
      <c r="AZ9" s="144">
        <v>0</v>
      </c>
      <c r="BA9" s="144">
        <v>0</v>
      </c>
      <c r="BB9" s="144">
        <v>0</v>
      </c>
      <c r="BC9" s="144">
        <v>0</v>
      </c>
      <c r="BD9" s="144">
        <v>0</v>
      </c>
      <c r="BE9" s="144">
        <v>0</v>
      </c>
      <c r="BF9" s="144">
        <v>0</v>
      </c>
      <c r="BG9" s="144">
        <v>0</v>
      </c>
      <c r="BH9" s="144">
        <v>0</v>
      </c>
      <c r="BI9" s="144">
        <v>0</v>
      </c>
      <c r="BJ9" s="144">
        <v>0</v>
      </c>
      <c r="BK9" s="144">
        <v>0</v>
      </c>
      <c r="BL9" s="144">
        <v>0</v>
      </c>
      <c r="BM9" s="144">
        <v>0</v>
      </c>
      <c r="BN9" s="144">
        <v>0</v>
      </c>
      <c r="BO9" s="144">
        <v>0</v>
      </c>
      <c r="BP9" s="144">
        <v>0</v>
      </c>
      <c r="BQ9" s="144">
        <v>0</v>
      </c>
      <c r="BR9" s="144">
        <v>0</v>
      </c>
      <c r="BS9" s="144">
        <v>0</v>
      </c>
      <c r="BT9" s="144">
        <v>0</v>
      </c>
      <c r="BU9" s="144">
        <v>0</v>
      </c>
      <c r="BV9" s="144">
        <v>0</v>
      </c>
      <c r="BW9" s="144">
        <v>0</v>
      </c>
      <c r="BX9" s="144">
        <v>0</v>
      </c>
      <c r="BY9" s="144">
        <v>0</v>
      </c>
      <c r="BZ9" s="144">
        <v>0</v>
      </c>
      <c r="CA9" s="144">
        <v>0</v>
      </c>
      <c r="CB9" s="144">
        <v>0</v>
      </c>
      <c r="CC9" s="144">
        <v>0</v>
      </c>
      <c r="CD9" s="144">
        <v>0</v>
      </c>
      <c r="CE9" s="144">
        <v>0</v>
      </c>
      <c r="CF9" s="144">
        <v>0</v>
      </c>
      <c r="CG9" s="144">
        <v>0</v>
      </c>
      <c r="CH9" s="144">
        <v>0</v>
      </c>
      <c r="CI9" s="144">
        <v>0</v>
      </c>
      <c r="CJ9" s="144">
        <v>0</v>
      </c>
      <c r="CK9" s="144">
        <v>0</v>
      </c>
      <c r="CL9" s="144">
        <v>0</v>
      </c>
      <c r="CM9" s="144">
        <v>0</v>
      </c>
      <c r="CN9" s="144">
        <v>0</v>
      </c>
      <c r="CO9" s="144">
        <v>0</v>
      </c>
      <c r="CP9" s="144">
        <v>0</v>
      </c>
      <c r="CQ9" s="143">
        <v>0</v>
      </c>
      <c r="CR9" s="145">
        <v>0</v>
      </c>
      <c r="CS9" s="145">
        <v>0</v>
      </c>
      <c r="CT9" s="145">
        <v>0</v>
      </c>
      <c r="CU9" s="145">
        <v>0</v>
      </c>
      <c r="CV9" s="145">
        <v>0</v>
      </c>
      <c r="CW9" s="145">
        <v>0</v>
      </c>
      <c r="CX9" s="145">
        <v>0</v>
      </c>
      <c r="CY9" s="145">
        <v>0</v>
      </c>
      <c r="CZ9" s="145">
        <v>0</v>
      </c>
      <c r="DA9" s="145">
        <v>0</v>
      </c>
      <c r="DB9" s="145">
        <v>0</v>
      </c>
      <c r="DC9" s="145">
        <v>0</v>
      </c>
      <c r="DD9" s="145">
        <v>0</v>
      </c>
      <c r="DE9" s="145">
        <v>37600</v>
      </c>
      <c r="DF9" s="145">
        <v>37600</v>
      </c>
      <c r="DG9" s="145">
        <v>30952.15</v>
      </c>
      <c r="DH9" s="145">
        <v>0</v>
      </c>
      <c r="DI9" s="145">
        <v>0</v>
      </c>
      <c r="DJ9" s="145">
        <v>0</v>
      </c>
      <c r="DK9" s="145">
        <v>0</v>
      </c>
      <c r="DL9" s="145">
        <v>0</v>
      </c>
      <c r="DM9" s="145">
        <v>0</v>
      </c>
      <c r="DN9" s="145">
        <v>0</v>
      </c>
      <c r="DO9" s="145">
        <v>0</v>
      </c>
      <c r="DP9" s="145">
        <v>0</v>
      </c>
      <c r="DQ9" s="145">
        <v>0</v>
      </c>
      <c r="DR9" s="145">
        <v>0</v>
      </c>
      <c r="DS9" s="145">
        <v>0</v>
      </c>
      <c r="DT9" s="145">
        <v>0</v>
      </c>
      <c r="DU9" s="145">
        <v>0</v>
      </c>
      <c r="DV9" s="145">
        <v>0</v>
      </c>
      <c r="DW9" s="145">
        <v>0</v>
      </c>
      <c r="DX9" s="145">
        <v>0</v>
      </c>
      <c r="DY9" s="145">
        <v>0</v>
      </c>
      <c r="DZ9" s="145">
        <v>0</v>
      </c>
      <c r="EA9" s="145">
        <v>0</v>
      </c>
      <c r="EB9" s="145">
        <v>0</v>
      </c>
      <c r="EC9" s="145">
        <v>0</v>
      </c>
      <c r="ED9" s="145">
        <v>0</v>
      </c>
      <c r="EE9" s="145">
        <v>0</v>
      </c>
      <c r="EF9" s="145">
        <v>0</v>
      </c>
      <c r="EG9" s="145">
        <v>0</v>
      </c>
      <c r="EH9" s="145">
        <v>0</v>
      </c>
      <c r="EI9" s="145">
        <v>0</v>
      </c>
      <c r="EJ9" s="145">
        <v>0</v>
      </c>
      <c r="EK9" s="145">
        <v>0</v>
      </c>
      <c r="EL9" s="145">
        <v>0</v>
      </c>
      <c r="EM9" s="145">
        <v>0</v>
      </c>
      <c r="EN9" s="145">
        <v>0</v>
      </c>
      <c r="EO9" s="145">
        <v>0</v>
      </c>
      <c r="EP9" s="145">
        <v>0</v>
      </c>
      <c r="EQ9" s="145">
        <v>0</v>
      </c>
      <c r="ER9" s="145">
        <v>0</v>
      </c>
      <c r="ES9" s="145">
        <v>0</v>
      </c>
      <c r="ET9" s="145">
        <v>0</v>
      </c>
      <c r="EU9" s="145">
        <v>0</v>
      </c>
      <c r="EV9" s="145">
        <v>0</v>
      </c>
      <c r="EW9" s="145">
        <v>0</v>
      </c>
      <c r="EX9" s="145">
        <v>0</v>
      </c>
      <c r="EY9" s="145">
        <v>0</v>
      </c>
      <c r="EZ9" s="145">
        <v>0</v>
      </c>
      <c r="FA9" s="145">
        <v>0</v>
      </c>
      <c r="FB9" s="145">
        <v>0</v>
      </c>
      <c r="FC9" s="145">
        <v>0</v>
      </c>
      <c r="FD9" s="145">
        <v>0</v>
      </c>
      <c r="FE9" s="145">
        <v>0</v>
      </c>
      <c r="FF9" s="145">
        <v>0</v>
      </c>
      <c r="FG9" s="145">
        <v>0</v>
      </c>
      <c r="FH9" s="145">
        <v>0</v>
      </c>
      <c r="FI9" s="145">
        <v>0</v>
      </c>
      <c r="FJ9" s="145">
        <v>0</v>
      </c>
      <c r="FK9" s="145">
        <v>0</v>
      </c>
      <c r="FL9" s="145">
        <v>0</v>
      </c>
      <c r="FM9" s="145">
        <v>0</v>
      </c>
      <c r="FN9" s="145">
        <v>0</v>
      </c>
      <c r="FO9" s="145">
        <v>0</v>
      </c>
      <c r="FP9" s="145">
        <v>0</v>
      </c>
      <c r="FQ9" s="145">
        <v>0</v>
      </c>
      <c r="FR9" s="145">
        <v>0</v>
      </c>
      <c r="FS9" s="145">
        <v>0</v>
      </c>
      <c r="FT9" s="145">
        <v>0</v>
      </c>
      <c r="FU9" s="145">
        <v>0</v>
      </c>
      <c r="FV9" s="145">
        <v>0</v>
      </c>
      <c r="FW9" s="145">
        <v>0</v>
      </c>
      <c r="FX9" s="143"/>
      <c r="FY9" s="146" t="str">
        <f>_xlfn.XLOOKUP($E9,'Key assumptions'!$B$112:$B$120,'Key assumptions'!$C$112:$C$120,0)</f>
        <v>Nominal</v>
      </c>
      <c r="FZ9" s="146" cm="1">
        <f t="array" ref="FZ9">IF($FY9=0,0,_xlfn.IFS($FY9='Key assumptions'!$C$120,_xlfn.XLOOKUP(LEFT(FZ$7,6),Inflation_Year,Inflation_NominaltoReal),TRUE,_xlfn.XLOOKUP($FY9,Inflation_Year,NominaltoReal)))</f>
        <v>1.0197075870962191</v>
      </c>
      <c r="GA9" s="146" cm="1">
        <f t="array" ref="GA9">IF($FY9=0,0,_xlfn.IFS($FY9='Key assumptions'!$C$120,_xlfn.XLOOKUP(LEFT(GA$7,6),Inflation_Year,Inflation_NominaltoReal),TRUE,_xlfn.XLOOKUP($FY9,Inflation_Year,NominaltoReal)))</f>
        <v>0.98700804022984445</v>
      </c>
      <c r="GB9" s="146" cm="1">
        <f t="array" ref="GB9">IF($FY9=0,0,_xlfn.IFS($FY9='Key assumptions'!$C$120,_xlfn.XLOOKUP(LEFT(GB$7,6),Inflation_Year,Inflation_NominaltoReal),TRUE,_xlfn.XLOOKUP($FY9,Inflation_Year,NominaltoReal)))</f>
        <v>0.96152830081941731</v>
      </c>
      <c r="GC9" s="146" cm="1">
        <f t="array" ref="GC9">IF($FY9=0,0,_xlfn.IFS($FY9='Key assumptions'!$C$120,_xlfn.XLOOKUP(LEFT(GC$7,6),Inflation_Year,Inflation_NominaltoReal),TRUE,_xlfn.XLOOKUP($FY9,Inflation_Year,NominaltoReal)))</f>
        <v>0.93670632415656829</v>
      </c>
      <c r="GD9" s="146" cm="1">
        <f t="array" ref="GD9">IF($FY9=0,0,_xlfn.IFS($FY9='Key assumptions'!$C$120,_xlfn.XLOOKUP(LEFT(GD$7,6),Inflation_Year,Inflation_NominaltoReal),TRUE,_xlfn.XLOOKUP($FY9,Inflation_Year,NominaltoReal)))</f>
        <v>0.91252513001143176</v>
      </c>
      <c r="GE9" s="146" cm="1">
        <f t="array" ref="GE9">IF($FY9=0,0,_xlfn.IFS($FY9='Key assumptions'!$C$120,_xlfn.XLOOKUP(LEFT(GE$7,6),Inflation_Year,Inflation_NominaltoReal),TRUE,_xlfn.XLOOKUP($FY9,Inflation_Year,NominaltoReal)))</f>
        <v>0.88896817650095872</v>
      </c>
      <c r="GF9" s="146" cm="1">
        <f t="array" ref="GF9">IF($FY9=0,0,_xlfn.IFS($FY9='Key assumptions'!$C$120,_xlfn.XLOOKUP(LEFT(GF$7,6),Inflation_Year,Inflation_NominaltoReal),TRUE,_xlfn.XLOOKUP($FY9,Inflation_Year,NominaltoReal)))</f>
        <v>0.86601934877293718</v>
      </c>
      <c r="GG9" s="143"/>
      <c r="GH9" s="145" cm="1">
        <f t="array" ref="GH9">SUMPRODUCT(--($CR$7:$FW$7&gt;=GH$5),--($CR$7:$FW$7&lt;=GH$6),$CR9:$FW9)*FZ9</f>
        <v>108244.1527415759</v>
      </c>
      <c r="GI9" s="145" cm="1">
        <f t="array" ref="GI9">SUMPRODUCT(--($CR$7:$FW$7&gt;=GI$5),--($CR$7:$FW$7&lt;=GI$6),$CR9:$FW9)*GA9</f>
        <v>0</v>
      </c>
      <c r="GJ9" s="145" cm="1">
        <f t="array" ref="GJ9">SUMPRODUCT(--($CR$7:$FW$7&gt;=GJ$5),--($CR$7:$FW$7&lt;=GJ$6),$CR9:$FW9)*GB9</f>
        <v>0</v>
      </c>
      <c r="GK9" s="145" cm="1">
        <f t="array" ref="GK9">SUMPRODUCT(--($CR$7:$FW$7&gt;=GK$5),--($CR$7:$FW$7&lt;=GK$6),$CR9:$FW9)*GC9</f>
        <v>0</v>
      </c>
      <c r="GL9" s="145" cm="1">
        <f t="array" ref="GL9">SUMPRODUCT(--($CR$7:$FW$7&gt;=GL$5),--($CR$7:$FW$7&lt;=GL$6),$CR9:$FW9)*GD9</f>
        <v>0</v>
      </c>
      <c r="GM9" s="145" cm="1">
        <f t="array" ref="GM9">SUMPRODUCT(--($CR$7:$FW$7&gt;=GM$5),--($CR$7:$FW$7&lt;=GM$6),$CR9:$FW9)*GE9</f>
        <v>0</v>
      </c>
      <c r="GN9" s="145" cm="1">
        <f t="array" ref="GN9">SUMPRODUCT(--($CR$7:$FW$7&gt;=GN$5),--($CR$7:$FW$7&lt;=GN$6),$CR9:$FW9)*GF9</f>
        <v>0</v>
      </c>
      <c r="GO9" s="145">
        <f t="shared" si="0"/>
        <v>108244.1527415759</v>
      </c>
      <c r="GP9" s="87"/>
      <c r="GQ9" s="89"/>
      <c r="GR9" s="145" cm="1">
        <f t="array" ref="GR9">SUMPRODUCT(--($CR$7:$FW$7&gt;=GR$5),--($CR$7:$FW$7&lt;=GR$6),$CR9:$FW9)</f>
        <v>106152.15</v>
      </c>
      <c r="GS9" s="89"/>
      <c r="GT9" s="89"/>
      <c r="GU9" s="89"/>
      <c r="GV9" s="89"/>
      <c r="GW9" s="89"/>
      <c r="GX9" s="89"/>
      <c r="GY9" s="89"/>
    </row>
    <row r="10" spans="1:207" x14ac:dyDescent="0.2">
      <c r="B10" s="141" t="str">
        <v>Transaction Procurement Support</v>
      </c>
      <c r="C10" s="141" t="str">
        <v>Outsource Consultant</v>
      </c>
      <c r="D10" s="141" t="str">
        <v>Contracted Labour</v>
      </c>
      <c r="E10" s="141" t="str">
        <v>$ Nominal</v>
      </c>
      <c r="F10" s="141">
        <v>0</v>
      </c>
      <c r="G10" s="141" t="str">
        <v/>
      </c>
      <c r="H10" s="142">
        <v>0</v>
      </c>
      <c r="I10" s="126">
        <v>768000</v>
      </c>
      <c r="J10" s="143">
        <v>0</v>
      </c>
      <c r="K10" s="144">
        <v>0</v>
      </c>
      <c r="L10" s="144">
        <v>0</v>
      </c>
      <c r="M10" s="144">
        <v>0</v>
      </c>
      <c r="N10" s="144">
        <v>0</v>
      </c>
      <c r="O10" s="144">
        <v>0</v>
      </c>
      <c r="P10" s="144">
        <v>0</v>
      </c>
      <c r="Q10" s="144">
        <v>0</v>
      </c>
      <c r="R10" s="144">
        <v>0</v>
      </c>
      <c r="S10" s="144">
        <v>0</v>
      </c>
      <c r="T10" s="144">
        <v>0</v>
      </c>
      <c r="U10" s="144">
        <v>0</v>
      </c>
      <c r="V10" s="144">
        <v>0</v>
      </c>
      <c r="W10" s="144">
        <v>0</v>
      </c>
      <c r="X10" s="144">
        <v>3.125E-2</v>
      </c>
      <c r="Y10" s="144">
        <v>3.125E-2</v>
      </c>
      <c r="Z10" s="144">
        <v>3.125E-2</v>
      </c>
      <c r="AA10" s="144">
        <v>3.125E-2</v>
      </c>
      <c r="AB10" s="144">
        <v>3.125E-2</v>
      </c>
      <c r="AC10" s="144">
        <v>3.125E-2</v>
      </c>
      <c r="AD10" s="144">
        <v>3.125E-2</v>
      </c>
      <c r="AE10" s="144">
        <v>3.125E-2</v>
      </c>
      <c r="AF10" s="144">
        <v>3.125E-2</v>
      </c>
      <c r="AG10" s="144">
        <v>3.125E-2</v>
      </c>
      <c r="AH10" s="144">
        <v>3.125E-2</v>
      </c>
      <c r="AI10" s="144">
        <v>3.125E-2</v>
      </c>
      <c r="AJ10" s="144">
        <v>3.125E-2</v>
      </c>
      <c r="AK10" s="144">
        <v>3.125E-2</v>
      </c>
      <c r="AL10" s="144">
        <v>3.125E-2</v>
      </c>
      <c r="AM10" s="144">
        <v>3.125E-2</v>
      </c>
      <c r="AN10" s="144">
        <v>3.125E-2</v>
      </c>
      <c r="AO10" s="144">
        <v>3.125E-2</v>
      </c>
      <c r="AP10" s="144">
        <v>3.125E-2</v>
      </c>
      <c r="AQ10" s="144">
        <v>3.125E-2</v>
      </c>
      <c r="AR10" s="144">
        <v>3.125E-2</v>
      </c>
      <c r="AS10" s="144">
        <v>3.125E-2</v>
      </c>
      <c r="AT10" s="144">
        <v>3.125E-2</v>
      </c>
      <c r="AU10" s="144">
        <v>3.125E-2</v>
      </c>
      <c r="AV10" s="144">
        <v>3.125E-2</v>
      </c>
      <c r="AW10" s="144">
        <v>3.125E-2</v>
      </c>
      <c r="AX10" s="144">
        <v>3.125E-2</v>
      </c>
      <c r="AY10" s="144">
        <v>3.125E-2</v>
      </c>
      <c r="AZ10" s="144">
        <v>3.125E-2</v>
      </c>
      <c r="BA10" s="144">
        <v>3.125E-2</v>
      </c>
      <c r="BB10" s="144">
        <v>3.125E-2</v>
      </c>
      <c r="BC10" s="144">
        <v>3.125E-2</v>
      </c>
      <c r="BD10" s="144">
        <v>0</v>
      </c>
      <c r="BE10" s="144">
        <v>0</v>
      </c>
      <c r="BF10" s="144">
        <v>0</v>
      </c>
      <c r="BG10" s="144">
        <v>0</v>
      </c>
      <c r="BH10" s="144">
        <v>0</v>
      </c>
      <c r="BI10" s="144">
        <v>0</v>
      </c>
      <c r="BJ10" s="144">
        <v>0</v>
      </c>
      <c r="BK10" s="144">
        <v>0</v>
      </c>
      <c r="BL10" s="144">
        <v>0</v>
      </c>
      <c r="BM10" s="144">
        <v>0</v>
      </c>
      <c r="BN10" s="144">
        <v>0</v>
      </c>
      <c r="BO10" s="144">
        <v>0</v>
      </c>
      <c r="BP10" s="144">
        <v>0</v>
      </c>
      <c r="BQ10" s="144">
        <v>0</v>
      </c>
      <c r="BR10" s="144">
        <v>0</v>
      </c>
      <c r="BS10" s="144">
        <v>0</v>
      </c>
      <c r="BT10" s="144">
        <v>0</v>
      </c>
      <c r="BU10" s="144">
        <v>0</v>
      </c>
      <c r="BV10" s="144">
        <v>0</v>
      </c>
      <c r="BW10" s="144">
        <v>0</v>
      </c>
      <c r="BX10" s="144">
        <v>0</v>
      </c>
      <c r="BY10" s="144">
        <v>0</v>
      </c>
      <c r="BZ10" s="144">
        <v>0</v>
      </c>
      <c r="CA10" s="144">
        <v>0</v>
      </c>
      <c r="CB10" s="144">
        <v>0</v>
      </c>
      <c r="CC10" s="144">
        <v>0</v>
      </c>
      <c r="CD10" s="144">
        <v>0</v>
      </c>
      <c r="CE10" s="144">
        <v>0</v>
      </c>
      <c r="CF10" s="144">
        <v>0</v>
      </c>
      <c r="CG10" s="144">
        <v>0</v>
      </c>
      <c r="CH10" s="144">
        <v>0</v>
      </c>
      <c r="CI10" s="144">
        <v>0</v>
      </c>
      <c r="CJ10" s="144">
        <v>0</v>
      </c>
      <c r="CK10" s="144">
        <v>0</v>
      </c>
      <c r="CL10" s="144">
        <v>0</v>
      </c>
      <c r="CM10" s="144">
        <v>0</v>
      </c>
      <c r="CN10" s="144">
        <v>0</v>
      </c>
      <c r="CO10" s="144">
        <v>0</v>
      </c>
      <c r="CP10" s="144">
        <v>0</v>
      </c>
      <c r="CQ10" s="143">
        <v>0</v>
      </c>
      <c r="CR10" s="145">
        <v>0</v>
      </c>
      <c r="CS10" s="145">
        <v>0</v>
      </c>
      <c r="CT10" s="145">
        <v>0</v>
      </c>
      <c r="CU10" s="145">
        <v>0</v>
      </c>
      <c r="CV10" s="145">
        <v>0</v>
      </c>
      <c r="CW10" s="145">
        <v>0</v>
      </c>
      <c r="CX10" s="145">
        <v>0</v>
      </c>
      <c r="CY10" s="145">
        <v>0</v>
      </c>
      <c r="CZ10" s="145">
        <v>0</v>
      </c>
      <c r="DA10" s="145">
        <v>0</v>
      </c>
      <c r="DB10" s="145">
        <v>0</v>
      </c>
      <c r="DC10" s="145">
        <v>0</v>
      </c>
      <c r="DD10" s="145">
        <v>0</v>
      </c>
      <c r="DE10" s="145">
        <v>24000</v>
      </c>
      <c r="DF10" s="145">
        <v>24000</v>
      </c>
      <c r="DG10" s="145">
        <v>24000</v>
      </c>
      <c r="DH10" s="145">
        <v>24000</v>
      </c>
      <c r="DI10" s="145">
        <v>24000</v>
      </c>
      <c r="DJ10" s="145">
        <v>24000</v>
      </c>
      <c r="DK10" s="145">
        <v>24000</v>
      </c>
      <c r="DL10" s="145">
        <v>24000</v>
      </c>
      <c r="DM10" s="145">
        <v>24000</v>
      </c>
      <c r="DN10" s="145">
        <v>24000</v>
      </c>
      <c r="DO10" s="145">
        <v>24000</v>
      </c>
      <c r="DP10" s="145">
        <v>24000</v>
      </c>
      <c r="DQ10" s="145">
        <v>24000</v>
      </c>
      <c r="DR10" s="145">
        <v>24000</v>
      </c>
      <c r="DS10" s="145">
        <v>24000</v>
      </c>
      <c r="DT10" s="145">
        <v>24000</v>
      </c>
      <c r="DU10" s="145">
        <v>24000</v>
      </c>
      <c r="DV10" s="145">
        <v>24000</v>
      </c>
      <c r="DW10" s="145">
        <v>24000</v>
      </c>
      <c r="DX10" s="145">
        <v>24000</v>
      </c>
      <c r="DY10" s="145">
        <v>24000</v>
      </c>
      <c r="DZ10" s="145">
        <v>24000</v>
      </c>
      <c r="EA10" s="145">
        <v>24000</v>
      </c>
      <c r="EB10" s="145">
        <v>24000</v>
      </c>
      <c r="EC10" s="145">
        <v>24000</v>
      </c>
      <c r="ED10" s="145">
        <v>24000</v>
      </c>
      <c r="EE10" s="145">
        <v>24000</v>
      </c>
      <c r="EF10" s="145">
        <v>24000</v>
      </c>
      <c r="EG10" s="145">
        <v>24000</v>
      </c>
      <c r="EH10" s="145">
        <v>24000</v>
      </c>
      <c r="EI10" s="145">
        <v>24000</v>
      </c>
      <c r="EJ10" s="145">
        <v>24000</v>
      </c>
      <c r="EK10" s="145">
        <v>0</v>
      </c>
      <c r="EL10" s="145">
        <v>0</v>
      </c>
      <c r="EM10" s="145">
        <v>0</v>
      </c>
      <c r="EN10" s="145">
        <v>0</v>
      </c>
      <c r="EO10" s="145">
        <v>0</v>
      </c>
      <c r="EP10" s="145">
        <v>0</v>
      </c>
      <c r="EQ10" s="145">
        <v>0</v>
      </c>
      <c r="ER10" s="145">
        <v>0</v>
      </c>
      <c r="ES10" s="145">
        <v>0</v>
      </c>
      <c r="ET10" s="145">
        <v>0</v>
      </c>
      <c r="EU10" s="145">
        <v>0</v>
      </c>
      <c r="EV10" s="145">
        <v>0</v>
      </c>
      <c r="EW10" s="145">
        <v>0</v>
      </c>
      <c r="EX10" s="145">
        <v>0</v>
      </c>
      <c r="EY10" s="145">
        <v>0</v>
      </c>
      <c r="EZ10" s="145">
        <v>0</v>
      </c>
      <c r="FA10" s="145">
        <v>0</v>
      </c>
      <c r="FB10" s="145">
        <v>0</v>
      </c>
      <c r="FC10" s="145">
        <v>0</v>
      </c>
      <c r="FD10" s="145">
        <v>0</v>
      </c>
      <c r="FE10" s="145">
        <v>0</v>
      </c>
      <c r="FF10" s="145">
        <v>0</v>
      </c>
      <c r="FG10" s="145">
        <v>0</v>
      </c>
      <c r="FH10" s="145">
        <v>0</v>
      </c>
      <c r="FI10" s="145">
        <v>0</v>
      </c>
      <c r="FJ10" s="145">
        <v>0</v>
      </c>
      <c r="FK10" s="145">
        <v>0</v>
      </c>
      <c r="FL10" s="145">
        <v>0</v>
      </c>
      <c r="FM10" s="145">
        <v>0</v>
      </c>
      <c r="FN10" s="145">
        <v>0</v>
      </c>
      <c r="FO10" s="145">
        <v>0</v>
      </c>
      <c r="FP10" s="145">
        <v>0</v>
      </c>
      <c r="FQ10" s="145">
        <v>0</v>
      </c>
      <c r="FR10" s="145">
        <v>0</v>
      </c>
      <c r="FS10" s="145">
        <v>0</v>
      </c>
      <c r="FT10" s="145">
        <v>0</v>
      </c>
      <c r="FU10" s="145">
        <v>0</v>
      </c>
      <c r="FV10" s="145">
        <v>0</v>
      </c>
      <c r="FW10" s="145">
        <v>0</v>
      </c>
      <c r="FX10" s="143"/>
      <c r="FY10" s="146" t="str">
        <f>_xlfn.XLOOKUP($E10,'Key assumptions'!$B$112:$B$120,'Key assumptions'!$C$112:$C$120,0)</f>
        <v>Nominal</v>
      </c>
      <c r="FZ10" s="146" cm="1">
        <f t="array" ref="FZ10">IF($FY10=0,0,_xlfn.IFS($FY10='Key assumptions'!$C$120,_xlfn.XLOOKUP(LEFT(FZ$7,6),Inflation_Year,Inflation_NominaltoReal),TRUE,_xlfn.XLOOKUP($FY10,Inflation_Year,NominaltoReal)))</f>
        <v>1.0197075870962191</v>
      </c>
      <c r="GA10" s="146" cm="1">
        <f t="array" ref="GA10">IF($FY10=0,0,_xlfn.IFS($FY10='Key assumptions'!$C$120,_xlfn.XLOOKUP(LEFT(GA$7,6),Inflation_Year,Inflation_NominaltoReal),TRUE,_xlfn.XLOOKUP($FY10,Inflation_Year,NominaltoReal)))</f>
        <v>0.98700804022984445</v>
      </c>
      <c r="GB10" s="146" cm="1">
        <f t="array" ref="GB10">IF($FY10=0,0,_xlfn.IFS($FY10='Key assumptions'!$C$120,_xlfn.XLOOKUP(LEFT(GB$7,6),Inflation_Year,Inflation_NominaltoReal),TRUE,_xlfn.XLOOKUP($FY10,Inflation_Year,NominaltoReal)))</f>
        <v>0.96152830081941731</v>
      </c>
      <c r="GC10" s="146" cm="1">
        <f t="array" ref="GC10">IF($FY10=0,0,_xlfn.IFS($FY10='Key assumptions'!$C$120,_xlfn.XLOOKUP(LEFT(GC$7,6),Inflation_Year,Inflation_NominaltoReal),TRUE,_xlfn.XLOOKUP($FY10,Inflation_Year,NominaltoReal)))</f>
        <v>0.93670632415656829</v>
      </c>
      <c r="GD10" s="146" cm="1">
        <f t="array" ref="GD10">IF($FY10=0,0,_xlfn.IFS($FY10='Key assumptions'!$C$120,_xlfn.XLOOKUP(LEFT(GD$7,6),Inflation_Year,Inflation_NominaltoReal),TRUE,_xlfn.XLOOKUP($FY10,Inflation_Year,NominaltoReal)))</f>
        <v>0.91252513001143176</v>
      </c>
      <c r="GE10" s="146" cm="1">
        <f t="array" ref="GE10">IF($FY10=0,0,_xlfn.IFS($FY10='Key assumptions'!$C$120,_xlfn.XLOOKUP(LEFT(GE$7,6),Inflation_Year,Inflation_NominaltoReal),TRUE,_xlfn.XLOOKUP($FY10,Inflation_Year,NominaltoReal)))</f>
        <v>0.88896817650095872</v>
      </c>
      <c r="GF10" s="146" cm="1">
        <f t="array" ref="GF10">IF($FY10=0,0,_xlfn.IFS($FY10='Key assumptions'!$C$120,_xlfn.XLOOKUP(LEFT(GF$7,6),Inflation_Year,Inflation_NominaltoReal),TRUE,_xlfn.XLOOKUP($FY10,Inflation_Year,NominaltoReal)))</f>
        <v>0.86601934877293718</v>
      </c>
      <c r="GG10" s="143"/>
      <c r="GH10" s="145" cm="1">
        <f t="array" ref="GH10">SUMPRODUCT(--($CR$7:$FW$7&gt;=GH$5),--($CR$7:$FW$7&lt;=GH$6),$CR10:$FW10)*FZ10</f>
        <v>195783.85672247407</v>
      </c>
      <c r="GI10" s="145" cm="1">
        <f t="array" ref="GI10">SUMPRODUCT(--($CR$7:$FW$7&gt;=GI$5),--($CR$7:$FW$7&lt;=GI$6),$CR10:$FW10)*GA10</f>
        <v>284258.31558619521</v>
      </c>
      <c r="GJ10" s="145" cm="1">
        <f t="array" ref="GJ10">SUMPRODUCT(--($CR$7:$FW$7&gt;=GJ$5),--($CR$7:$FW$7&lt;=GJ$6),$CR10:$FW10)*GB10</f>
        <v>276920.15063599218</v>
      </c>
      <c r="GK10" s="145" cm="1">
        <f t="array" ref="GK10">SUMPRODUCT(--($CR$7:$FW$7&gt;=GK$5),--($CR$7:$FW$7&lt;=GK$6),$CR10:$FW10)*GC10</f>
        <v>0</v>
      </c>
      <c r="GL10" s="145" cm="1">
        <f t="array" ref="GL10">SUMPRODUCT(--($CR$7:$FW$7&gt;=GL$5),--($CR$7:$FW$7&lt;=GL$6),$CR10:$FW10)*GD10</f>
        <v>0</v>
      </c>
      <c r="GM10" s="145" cm="1">
        <f t="array" ref="GM10">SUMPRODUCT(--($CR$7:$FW$7&gt;=GM$5),--($CR$7:$FW$7&lt;=GM$6),$CR10:$FW10)*GE10</f>
        <v>0</v>
      </c>
      <c r="GN10" s="145" cm="1">
        <f t="array" ref="GN10">SUMPRODUCT(--($CR$7:$FW$7&gt;=GN$5),--($CR$7:$FW$7&lt;=GN$6),$CR10:$FW10)*GF10</f>
        <v>0</v>
      </c>
      <c r="GO10" s="145">
        <f t="shared" si="0"/>
        <v>756962.32294466149</v>
      </c>
      <c r="GP10" s="87"/>
      <c r="GQ10" s="89"/>
      <c r="GR10" s="145" cm="1">
        <f t="array" ref="GR10">SUMPRODUCT(--($CR$7:$FW$7&gt;=GR$5),--($CR$7:$FW$7&lt;=GR$6),$CR10:$FW10)</f>
        <v>120000</v>
      </c>
      <c r="GS10" s="89"/>
      <c r="GT10" s="89"/>
      <c r="GU10" s="89"/>
      <c r="GV10" s="89"/>
      <c r="GW10" s="89"/>
      <c r="GX10" s="89"/>
      <c r="GY10" s="89"/>
    </row>
    <row r="11" spans="1:207" x14ac:dyDescent="0.2">
      <c r="B11" s="141" t="str">
        <v>Project Delivery Management - Project Engineering</v>
      </c>
      <c r="C11" s="141" t="str">
        <v>Outsource Consultant</v>
      </c>
      <c r="D11" s="141" t="str">
        <v>Contracted Labour</v>
      </c>
      <c r="E11" s="141" t="str">
        <v>$ Nominal</v>
      </c>
      <c r="F11" s="141">
        <v>0</v>
      </c>
      <c r="G11" s="141" t="str">
        <v/>
      </c>
      <c r="H11" s="142">
        <v>0</v>
      </c>
      <c r="I11" s="126">
        <v>652800</v>
      </c>
      <c r="J11" s="143">
        <v>0</v>
      </c>
      <c r="K11" s="144">
        <v>0</v>
      </c>
      <c r="L11" s="144">
        <v>0</v>
      </c>
      <c r="M11" s="144">
        <v>0</v>
      </c>
      <c r="N11" s="144">
        <v>0</v>
      </c>
      <c r="O11" s="144">
        <v>0</v>
      </c>
      <c r="P11" s="144">
        <v>0</v>
      </c>
      <c r="Q11" s="144">
        <v>0</v>
      </c>
      <c r="R11" s="144">
        <v>0</v>
      </c>
      <c r="S11" s="144">
        <v>0</v>
      </c>
      <c r="T11" s="144">
        <v>0</v>
      </c>
      <c r="U11" s="144">
        <v>0</v>
      </c>
      <c r="V11" s="144">
        <v>0</v>
      </c>
      <c r="W11" s="144">
        <v>0</v>
      </c>
      <c r="X11" s="144">
        <v>0</v>
      </c>
      <c r="Y11" s="144">
        <v>8.3333333333333329E-2</v>
      </c>
      <c r="Z11" s="144">
        <v>8.3333333333333329E-2</v>
      </c>
      <c r="AA11" s="144">
        <v>8.3333333333333329E-2</v>
      </c>
      <c r="AB11" s="144">
        <v>8.3333333333333329E-2</v>
      </c>
      <c r="AC11" s="144">
        <v>8.3333333333333329E-2</v>
      </c>
      <c r="AD11" s="144">
        <v>8.3333333333333329E-2</v>
      </c>
      <c r="AE11" s="144">
        <v>8.3333333333333329E-2</v>
      </c>
      <c r="AF11" s="144">
        <v>8.3333333333333329E-2</v>
      </c>
      <c r="AG11" s="144">
        <v>8.3333333333333329E-2</v>
      </c>
      <c r="AH11" s="144">
        <v>8.3333333333333329E-2</v>
      </c>
      <c r="AI11" s="144">
        <v>8.3333333333333329E-2</v>
      </c>
      <c r="AJ11" s="144">
        <v>8.3333333333333329E-2</v>
      </c>
      <c r="AK11" s="144">
        <v>0</v>
      </c>
      <c r="AL11" s="144">
        <v>0</v>
      </c>
      <c r="AM11" s="144">
        <v>0</v>
      </c>
      <c r="AN11" s="144">
        <v>0</v>
      </c>
      <c r="AO11" s="144">
        <v>0</v>
      </c>
      <c r="AP11" s="144">
        <v>0</v>
      </c>
      <c r="AQ11" s="144">
        <v>0</v>
      </c>
      <c r="AR11" s="144">
        <v>0</v>
      </c>
      <c r="AS11" s="144">
        <v>0</v>
      </c>
      <c r="AT11" s="144">
        <v>0</v>
      </c>
      <c r="AU11" s="144">
        <v>0</v>
      </c>
      <c r="AV11" s="144">
        <v>0</v>
      </c>
      <c r="AW11" s="144">
        <v>0</v>
      </c>
      <c r="AX11" s="144">
        <v>0</v>
      </c>
      <c r="AY11" s="144">
        <v>0</v>
      </c>
      <c r="AZ11" s="144">
        <v>0</v>
      </c>
      <c r="BA11" s="144">
        <v>0</v>
      </c>
      <c r="BB11" s="144">
        <v>0</v>
      </c>
      <c r="BC11" s="144">
        <v>0</v>
      </c>
      <c r="BD11" s="144">
        <v>0</v>
      </c>
      <c r="BE11" s="144">
        <v>0</v>
      </c>
      <c r="BF11" s="144">
        <v>0</v>
      </c>
      <c r="BG11" s="144">
        <v>0</v>
      </c>
      <c r="BH11" s="144">
        <v>0</v>
      </c>
      <c r="BI11" s="144">
        <v>0</v>
      </c>
      <c r="BJ11" s="144">
        <v>0</v>
      </c>
      <c r="BK11" s="144">
        <v>0</v>
      </c>
      <c r="BL11" s="144">
        <v>0</v>
      </c>
      <c r="BM11" s="144">
        <v>0</v>
      </c>
      <c r="BN11" s="144">
        <v>0</v>
      </c>
      <c r="BO11" s="144">
        <v>0</v>
      </c>
      <c r="BP11" s="144">
        <v>0</v>
      </c>
      <c r="BQ11" s="144">
        <v>0</v>
      </c>
      <c r="BR11" s="144">
        <v>0</v>
      </c>
      <c r="BS11" s="144">
        <v>0</v>
      </c>
      <c r="BT11" s="144">
        <v>0</v>
      </c>
      <c r="BU11" s="144">
        <v>0</v>
      </c>
      <c r="BV11" s="144">
        <v>0</v>
      </c>
      <c r="BW11" s="144">
        <v>0</v>
      </c>
      <c r="BX11" s="144">
        <v>0</v>
      </c>
      <c r="BY11" s="144">
        <v>0</v>
      </c>
      <c r="BZ11" s="144">
        <v>0</v>
      </c>
      <c r="CA11" s="144">
        <v>0</v>
      </c>
      <c r="CB11" s="144">
        <v>0</v>
      </c>
      <c r="CC11" s="144">
        <v>0</v>
      </c>
      <c r="CD11" s="144">
        <v>0</v>
      </c>
      <c r="CE11" s="144">
        <v>0</v>
      </c>
      <c r="CF11" s="144">
        <v>0</v>
      </c>
      <c r="CG11" s="144">
        <v>0</v>
      </c>
      <c r="CH11" s="144">
        <v>0</v>
      </c>
      <c r="CI11" s="144">
        <v>0</v>
      </c>
      <c r="CJ11" s="144">
        <v>0</v>
      </c>
      <c r="CK11" s="144">
        <v>0</v>
      </c>
      <c r="CL11" s="144">
        <v>0</v>
      </c>
      <c r="CM11" s="144">
        <v>0</v>
      </c>
      <c r="CN11" s="144">
        <v>0</v>
      </c>
      <c r="CO11" s="144">
        <v>0</v>
      </c>
      <c r="CP11" s="144">
        <v>0</v>
      </c>
      <c r="CQ11" s="143">
        <v>0</v>
      </c>
      <c r="CR11" s="145">
        <v>0</v>
      </c>
      <c r="CS11" s="145">
        <v>0</v>
      </c>
      <c r="CT11" s="145">
        <v>0</v>
      </c>
      <c r="CU11" s="145">
        <v>0</v>
      </c>
      <c r="CV11" s="145">
        <v>0</v>
      </c>
      <c r="CW11" s="145">
        <v>0</v>
      </c>
      <c r="CX11" s="145">
        <v>0</v>
      </c>
      <c r="CY11" s="145">
        <v>0</v>
      </c>
      <c r="CZ11" s="145">
        <v>0</v>
      </c>
      <c r="DA11" s="145">
        <v>0</v>
      </c>
      <c r="DB11" s="145">
        <v>0</v>
      </c>
      <c r="DC11" s="145">
        <v>0</v>
      </c>
      <c r="DD11" s="145">
        <v>0</v>
      </c>
      <c r="DE11" s="145">
        <v>0</v>
      </c>
      <c r="DF11" s="145">
        <v>54400</v>
      </c>
      <c r="DG11" s="145">
        <v>54400</v>
      </c>
      <c r="DH11" s="145">
        <v>54400</v>
      </c>
      <c r="DI11" s="145">
        <v>54400</v>
      </c>
      <c r="DJ11" s="145">
        <v>54400</v>
      </c>
      <c r="DK11" s="145">
        <v>54400</v>
      </c>
      <c r="DL11" s="145">
        <v>54400</v>
      </c>
      <c r="DM11" s="145">
        <v>54400</v>
      </c>
      <c r="DN11" s="145">
        <v>54400</v>
      </c>
      <c r="DO11" s="145">
        <v>54400</v>
      </c>
      <c r="DP11" s="145">
        <v>54400</v>
      </c>
      <c r="DQ11" s="145">
        <v>54400</v>
      </c>
      <c r="DR11" s="145">
        <v>0</v>
      </c>
      <c r="DS11" s="145">
        <v>0</v>
      </c>
      <c r="DT11" s="145">
        <v>0</v>
      </c>
      <c r="DU11" s="145">
        <v>0</v>
      </c>
      <c r="DV11" s="145">
        <v>0</v>
      </c>
      <c r="DW11" s="145">
        <v>0</v>
      </c>
      <c r="DX11" s="145">
        <v>0</v>
      </c>
      <c r="DY11" s="145">
        <v>0</v>
      </c>
      <c r="DZ11" s="145">
        <v>0</v>
      </c>
      <c r="EA11" s="145">
        <v>0</v>
      </c>
      <c r="EB11" s="145">
        <v>0</v>
      </c>
      <c r="EC11" s="145">
        <v>0</v>
      </c>
      <c r="ED11" s="145">
        <v>0</v>
      </c>
      <c r="EE11" s="145">
        <v>0</v>
      </c>
      <c r="EF11" s="145">
        <v>0</v>
      </c>
      <c r="EG11" s="145">
        <v>0</v>
      </c>
      <c r="EH11" s="145">
        <v>0</v>
      </c>
      <c r="EI11" s="145">
        <v>0</v>
      </c>
      <c r="EJ11" s="145">
        <v>0</v>
      </c>
      <c r="EK11" s="145">
        <v>0</v>
      </c>
      <c r="EL11" s="145">
        <v>0</v>
      </c>
      <c r="EM11" s="145">
        <v>0</v>
      </c>
      <c r="EN11" s="145">
        <v>0</v>
      </c>
      <c r="EO11" s="145">
        <v>0</v>
      </c>
      <c r="EP11" s="145">
        <v>0</v>
      </c>
      <c r="EQ11" s="145">
        <v>0</v>
      </c>
      <c r="ER11" s="145">
        <v>0</v>
      </c>
      <c r="ES11" s="145">
        <v>0</v>
      </c>
      <c r="ET11" s="145">
        <v>0</v>
      </c>
      <c r="EU11" s="145">
        <v>0</v>
      </c>
      <c r="EV11" s="145">
        <v>0</v>
      </c>
      <c r="EW11" s="145">
        <v>0</v>
      </c>
      <c r="EX11" s="145">
        <v>0</v>
      </c>
      <c r="EY11" s="145">
        <v>0</v>
      </c>
      <c r="EZ11" s="145">
        <v>0</v>
      </c>
      <c r="FA11" s="145">
        <v>0</v>
      </c>
      <c r="FB11" s="145">
        <v>0</v>
      </c>
      <c r="FC11" s="145">
        <v>0</v>
      </c>
      <c r="FD11" s="145">
        <v>0</v>
      </c>
      <c r="FE11" s="145">
        <v>0</v>
      </c>
      <c r="FF11" s="145">
        <v>0</v>
      </c>
      <c r="FG11" s="145">
        <v>0</v>
      </c>
      <c r="FH11" s="145">
        <v>0</v>
      </c>
      <c r="FI11" s="145">
        <v>0</v>
      </c>
      <c r="FJ11" s="145">
        <v>0</v>
      </c>
      <c r="FK11" s="145">
        <v>0</v>
      </c>
      <c r="FL11" s="145">
        <v>0</v>
      </c>
      <c r="FM11" s="145">
        <v>0</v>
      </c>
      <c r="FN11" s="145">
        <v>0</v>
      </c>
      <c r="FO11" s="145">
        <v>0</v>
      </c>
      <c r="FP11" s="145">
        <v>0</v>
      </c>
      <c r="FQ11" s="145">
        <v>0</v>
      </c>
      <c r="FR11" s="145">
        <v>0</v>
      </c>
      <c r="FS11" s="145">
        <v>0</v>
      </c>
      <c r="FT11" s="145">
        <v>0</v>
      </c>
      <c r="FU11" s="145">
        <v>0</v>
      </c>
      <c r="FV11" s="145">
        <v>0</v>
      </c>
      <c r="FW11" s="145">
        <v>0</v>
      </c>
      <c r="FX11" s="143"/>
      <c r="FY11" s="146" t="str">
        <f>_xlfn.XLOOKUP($E11,'Key assumptions'!$B$112:$B$120,'Key assumptions'!$C$112:$C$120,0)</f>
        <v>Nominal</v>
      </c>
      <c r="FZ11" s="146" cm="1">
        <f t="array" ref="FZ11">IF($FY11=0,0,_xlfn.IFS($FY11='Key assumptions'!$C$120,_xlfn.XLOOKUP(LEFT(FZ$7,6),Inflation_Year,Inflation_NominaltoReal),TRUE,_xlfn.XLOOKUP($FY11,Inflation_Year,NominaltoReal)))</f>
        <v>1.0197075870962191</v>
      </c>
      <c r="GA11" s="146" cm="1">
        <f t="array" ref="GA11">IF($FY11=0,0,_xlfn.IFS($FY11='Key assumptions'!$C$120,_xlfn.XLOOKUP(LEFT(GA$7,6),Inflation_Year,Inflation_NominaltoReal),TRUE,_xlfn.XLOOKUP($FY11,Inflation_Year,NominaltoReal)))</f>
        <v>0.98700804022984445</v>
      </c>
      <c r="GB11" s="146" cm="1">
        <f t="array" ref="GB11">IF($FY11=0,0,_xlfn.IFS($FY11='Key assumptions'!$C$120,_xlfn.XLOOKUP(LEFT(GB$7,6),Inflation_Year,Inflation_NominaltoReal),TRUE,_xlfn.XLOOKUP($FY11,Inflation_Year,NominaltoReal)))</f>
        <v>0.96152830081941731</v>
      </c>
      <c r="GC11" s="146" cm="1">
        <f t="array" ref="GC11">IF($FY11=0,0,_xlfn.IFS($FY11='Key assumptions'!$C$120,_xlfn.XLOOKUP(LEFT(GC$7,6),Inflation_Year,Inflation_NominaltoReal),TRUE,_xlfn.XLOOKUP($FY11,Inflation_Year,NominaltoReal)))</f>
        <v>0.93670632415656829</v>
      </c>
      <c r="GD11" s="146" cm="1">
        <f t="array" ref="GD11">IF($FY11=0,0,_xlfn.IFS($FY11='Key assumptions'!$C$120,_xlfn.XLOOKUP(LEFT(GD$7,6),Inflation_Year,Inflation_NominaltoReal),TRUE,_xlfn.XLOOKUP($FY11,Inflation_Year,NominaltoReal)))</f>
        <v>0.91252513001143176</v>
      </c>
      <c r="GE11" s="146" cm="1">
        <f t="array" ref="GE11">IF($FY11=0,0,_xlfn.IFS($FY11='Key assumptions'!$C$120,_xlfn.XLOOKUP(LEFT(GE$7,6),Inflation_Year,Inflation_NominaltoReal),TRUE,_xlfn.XLOOKUP($FY11,Inflation_Year,NominaltoReal)))</f>
        <v>0.88896817650095872</v>
      </c>
      <c r="GF11" s="146" cm="1">
        <f t="array" ref="GF11">IF($FY11=0,0,_xlfn.IFS($FY11='Key assumptions'!$C$120,_xlfn.XLOOKUP(LEFT(GF$7,6),Inflation_Year,Inflation_NominaltoReal),TRUE,_xlfn.XLOOKUP($FY11,Inflation_Year,NominaltoReal)))</f>
        <v>0.86601934877293718</v>
      </c>
      <c r="GG11" s="143"/>
      <c r="GH11" s="145" cm="1">
        <f t="array" ref="GH11">SUMPRODUCT(--($CR$7:$FW$7&gt;=GH$5),--($CR$7:$FW$7&lt;=GH$6),$CR11:$FW11)*FZ11</f>
        <v>388304.64916624024</v>
      </c>
      <c r="GI11" s="145" cm="1">
        <f t="array" ref="GI11">SUMPRODUCT(--($CR$7:$FW$7&gt;=GI$5),--($CR$7:$FW$7&lt;=GI$6),$CR11:$FW11)*GA11</f>
        <v>268466.1869425177</v>
      </c>
      <c r="GJ11" s="145" cm="1">
        <f t="array" ref="GJ11">SUMPRODUCT(--($CR$7:$FW$7&gt;=GJ$5),--($CR$7:$FW$7&lt;=GJ$6),$CR11:$FW11)*GB11</f>
        <v>0</v>
      </c>
      <c r="GK11" s="145" cm="1">
        <f t="array" ref="GK11">SUMPRODUCT(--($CR$7:$FW$7&gt;=GK$5),--($CR$7:$FW$7&lt;=GK$6),$CR11:$FW11)*GC11</f>
        <v>0</v>
      </c>
      <c r="GL11" s="145" cm="1">
        <f t="array" ref="GL11">SUMPRODUCT(--($CR$7:$FW$7&gt;=GL$5),--($CR$7:$FW$7&lt;=GL$6),$CR11:$FW11)*GD11</f>
        <v>0</v>
      </c>
      <c r="GM11" s="145" cm="1">
        <f t="array" ref="GM11">SUMPRODUCT(--($CR$7:$FW$7&gt;=GM$5),--($CR$7:$FW$7&lt;=GM$6),$CR11:$FW11)*GE11</f>
        <v>0</v>
      </c>
      <c r="GN11" s="145" cm="1">
        <f t="array" ref="GN11">SUMPRODUCT(--($CR$7:$FW$7&gt;=GN$5),--($CR$7:$FW$7&lt;=GN$6),$CR11:$FW11)*GF11</f>
        <v>0</v>
      </c>
      <c r="GO11" s="145">
        <f t="shared" si="0"/>
        <v>656770.83610875788</v>
      </c>
      <c r="GP11" s="87"/>
      <c r="GQ11" s="89"/>
      <c r="GR11" s="145" cm="1">
        <f t="array" ref="GR11">SUMPRODUCT(--($CR$7:$FW$7&gt;=GR$5),--($CR$7:$FW$7&lt;=GR$6),$CR11:$FW11)</f>
        <v>217600</v>
      </c>
      <c r="GS11" s="89"/>
      <c r="GT11" s="89"/>
      <c r="GU11" s="89"/>
      <c r="GV11" s="89"/>
      <c r="GW11" s="89"/>
      <c r="GX11" s="89"/>
      <c r="GY11" s="89"/>
    </row>
    <row r="12" spans="1:207" x14ac:dyDescent="0.2">
      <c r="B12" s="141" t="str">
        <v>Regulatory Approvals</v>
      </c>
      <c r="C12" s="141" t="str">
        <v>Outsource Consultant</v>
      </c>
      <c r="D12" s="141" t="str">
        <v>Contracted Labour</v>
      </c>
      <c r="E12" s="141" t="str">
        <v>$ Nominal</v>
      </c>
      <c r="F12" s="141">
        <v>0</v>
      </c>
      <c r="G12" s="141" t="str">
        <v/>
      </c>
      <c r="H12" s="142">
        <v>0</v>
      </c>
      <c r="I12" s="126">
        <v>294400</v>
      </c>
      <c r="J12" s="143">
        <v>0</v>
      </c>
      <c r="K12" s="144">
        <v>0</v>
      </c>
      <c r="L12" s="144">
        <v>0</v>
      </c>
      <c r="M12" s="144">
        <v>0</v>
      </c>
      <c r="N12" s="144">
        <v>0</v>
      </c>
      <c r="O12" s="144">
        <v>0</v>
      </c>
      <c r="P12" s="144">
        <v>0</v>
      </c>
      <c r="Q12" s="144">
        <v>0</v>
      </c>
      <c r="R12" s="144">
        <v>0</v>
      </c>
      <c r="S12" s="144">
        <v>0</v>
      </c>
      <c r="T12" s="144">
        <v>0</v>
      </c>
      <c r="U12" s="144">
        <v>0</v>
      </c>
      <c r="V12" s="144">
        <v>0</v>
      </c>
      <c r="W12" s="144">
        <v>0</v>
      </c>
      <c r="X12" s="144">
        <v>0.125</v>
      </c>
      <c r="Y12" s="144">
        <v>0.125</v>
      </c>
      <c r="Z12" s="144">
        <v>0.125</v>
      </c>
      <c r="AA12" s="144">
        <v>0.125</v>
      </c>
      <c r="AB12" s="144">
        <v>0.125</v>
      </c>
      <c r="AC12" s="144">
        <v>0.125</v>
      </c>
      <c r="AD12" s="144">
        <v>0.125</v>
      </c>
      <c r="AE12" s="144">
        <v>0.125</v>
      </c>
      <c r="AF12" s="144">
        <v>0</v>
      </c>
      <c r="AG12" s="144">
        <v>0</v>
      </c>
      <c r="AH12" s="144">
        <v>0</v>
      </c>
      <c r="AI12" s="144">
        <v>0</v>
      </c>
      <c r="AJ12" s="144">
        <v>0</v>
      </c>
      <c r="AK12" s="144">
        <v>0</v>
      </c>
      <c r="AL12" s="144">
        <v>0</v>
      </c>
      <c r="AM12" s="144">
        <v>0</v>
      </c>
      <c r="AN12" s="144">
        <v>0</v>
      </c>
      <c r="AO12" s="144">
        <v>0</v>
      </c>
      <c r="AP12" s="144">
        <v>0</v>
      </c>
      <c r="AQ12" s="144">
        <v>0</v>
      </c>
      <c r="AR12" s="144">
        <v>0</v>
      </c>
      <c r="AS12" s="144">
        <v>0</v>
      </c>
      <c r="AT12" s="144">
        <v>0</v>
      </c>
      <c r="AU12" s="144">
        <v>0</v>
      </c>
      <c r="AV12" s="144">
        <v>0</v>
      </c>
      <c r="AW12" s="144">
        <v>0</v>
      </c>
      <c r="AX12" s="144">
        <v>0</v>
      </c>
      <c r="AY12" s="144">
        <v>0</v>
      </c>
      <c r="AZ12" s="144">
        <v>0</v>
      </c>
      <c r="BA12" s="144">
        <v>0</v>
      </c>
      <c r="BB12" s="144">
        <v>0</v>
      </c>
      <c r="BC12" s="144">
        <v>0</v>
      </c>
      <c r="BD12" s="144">
        <v>0</v>
      </c>
      <c r="BE12" s="144">
        <v>0</v>
      </c>
      <c r="BF12" s="144">
        <v>0</v>
      </c>
      <c r="BG12" s="144">
        <v>0</v>
      </c>
      <c r="BH12" s="144">
        <v>0</v>
      </c>
      <c r="BI12" s="144">
        <v>0</v>
      </c>
      <c r="BJ12" s="144">
        <v>0</v>
      </c>
      <c r="BK12" s="144">
        <v>0</v>
      </c>
      <c r="BL12" s="144">
        <v>0</v>
      </c>
      <c r="BM12" s="144">
        <v>0</v>
      </c>
      <c r="BN12" s="144">
        <v>0</v>
      </c>
      <c r="BO12" s="144">
        <v>0</v>
      </c>
      <c r="BP12" s="144">
        <v>0</v>
      </c>
      <c r="BQ12" s="144">
        <v>0</v>
      </c>
      <c r="BR12" s="144">
        <v>0</v>
      </c>
      <c r="BS12" s="144">
        <v>0</v>
      </c>
      <c r="BT12" s="144">
        <v>0</v>
      </c>
      <c r="BU12" s="144">
        <v>0</v>
      </c>
      <c r="BV12" s="144">
        <v>0</v>
      </c>
      <c r="BW12" s="144">
        <v>0</v>
      </c>
      <c r="BX12" s="144">
        <v>0</v>
      </c>
      <c r="BY12" s="144">
        <v>0</v>
      </c>
      <c r="BZ12" s="144">
        <v>0</v>
      </c>
      <c r="CA12" s="144">
        <v>0</v>
      </c>
      <c r="CB12" s="144">
        <v>0</v>
      </c>
      <c r="CC12" s="144">
        <v>0</v>
      </c>
      <c r="CD12" s="144">
        <v>0</v>
      </c>
      <c r="CE12" s="144">
        <v>0</v>
      </c>
      <c r="CF12" s="144">
        <v>0</v>
      </c>
      <c r="CG12" s="144">
        <v>0</v>
      </c>
      <c r="CH12" s="144">
        <v>0</v>
      </c>
      <c r="CI12" s="144">
        <v>0</v>
      </c>
      <c r="CJ12" s="144">
        <v>0</v>
      </c>
      <c r="CK12" s="144">
        <v>0</v>
      </c>
      <c r="CL12" s="144">
        <v>0</v>
      </c>
      <c r="CM12" s="144">
        <v>0</v>
      </c>
      <c r="CN12" s="144">
        <v>0</v>
      </c>
      <c r="CO12" s="144">
        <v>0</v>
      </c>
      <c r="CP12" s="144">
        <v>0</v>
      </c>
      <c r="CQ12" s="143">
        <v>0</v>
      </c>
      <c r="CR12" s="145">
        <v>0</v>
      </c>
      <c r="CS12" s="145">
        <v>0</v>
      </c>
      <c r="CT12" s="145">
        <v>0</v>
      </c>
      <c r="CU12" s="145">
        <v>0</v>
      </c>
      <c r="CV12" s="145">
        <v>0</v>
      </c>
      <c r="CW12" s="145">
        <v>0</v>
      </c>
      <c r="CX12" s="145">
        <v>0</v>
      </c>
      <c r="CY12" s="145">
        <v>0</v>
      </c>
      <c r="CZ12" s="145">
        <v>0</v>
      </c>
      <c r="DA12" s="145">
        <v>0</v>
      </c>
      <c r="DB12" s="145">
        <v>0</v>
      </c>
      <c r="DC12" s="145">
        <v>0</v>
      </c>
      <c r="DD12" s="145">
        <v>0</v>
      </c>
      <c r="DE12" s="145">
        <v>36800</v>
      </c>
      <c r="DF12" s="145">
        <v>36800</v>
      </c>
      <c r="DG12" s="145">
        <v>36800</v>
      </c>
      <c r="DH12" s="145">
        <v>36800</v>
      </c>
      <c r="DI12" s="145">
        <v>36800</v>
      </c>
      <c r="DJ12" s="145">
        <v>36800</v>
      </c>
      <c r="DK12" s="145">
        <v>36800</v>
      </c>
      <c r="DL12" s="145">
        <v>36800</v>
      </c>
      <c r="DM12" s="145">
        <v>0</v>
      </c>
      <c r="DN12" s="145">
        <v>0</v>
      </c>
      <c r="DO12" s="145">
        <v>0</v>
      </c>
      <c r="DP12" s="145">
        <v>0</v>
      </c>
      <c r="DQ12" s="145">
        <v>0</v>
      </c>
      <c r="DR12" s="145">
        <v>0</v>
      </c>
      <c r="DS12" s="145">
        <v>0</v>
      </c>
      <c r="DT12" s="145">
        <v>0</v>
      </c>
      <c r="DU12" s="145">
        <v>0</v>
      </c>
      <c r="DV12" s="145">
        <v>0</v>
      </c>
      <c r="DW12" s="145">
        <v>0</v>
      </c>
      <c r="DX12" s="145">
        <v>0</v>
      </c>
      <c r="DY12" s="145">
        <v>0</v>
      </c>
      <c r="DZ12" s="145">
        <v>0</v>
      </c>
      <c r="EA12" s="145">
        <v>0</v>
      </c>
      <c r="EB12" s="145">
        <v>0</v>
      </c>
      <c r="EC12" s="145">
        <v>0</v>
      </c>
      <c r="ED12" s="145">
        <v>0</v>
      </c>
      <c r="EE12" s="145">
        <v>0</v>
      </c>
      <c r="EF12" s="145">
        <v>0</v>
      </c>
      <c r="EG12" s="145">
        <v>0</v>
      </c>
      <c r="EH12" s="145">
        <v>0</v>
      </c>
      <c r="EI12" s="145">
        <v>0</v>
      </c>
      <c r="EJ12" s="145">
        <v>0</v>
      </c>
      <c r="EK12" s="145">
        <v>0</v>
      </c>
      <c r="EL12" s="145">
        <v>0</v>
      </c>
      <c r="EM12" s="145">
        <v>0</v>
      </c>
      <c r="EN12" s="145">
        <v>0</v>
      </c>
      <c r="EO12" s="145">
        <v>0</v>
      </c>
      <c r="EP12" s="145">
        <v>0</v>
      </c>
      <c r="EQ12" s="145">
        <v>0</v>
      </c>
      <c r="ER12" s="145">
        <v>0</v>
      </c>
      <c r="ES12" s="145">
        <v>0</v>
      </c>
      <c r="ET12" s="145">
        <v>0</v>
      </c>
      <c r="EU12" s="145">
        <v>0</v>
      </c>
      <c r="EV12" s="145">
        <v>0</v>
      </c>
      <c r="EW12" s="145">
        <v>0</v>
      </c>
      <c r="EX12" s="145">
        <v>0</v>
      </c>
      <c r="EY12" s="145">
        <v>0</v>
      </c>
      <c r="EZ12" s="145">
        <v>0</v>
      </c>
      <c r="FA12" s="145">
        <v>0</v>
      </c>
      <c r="FB12" s="145">
        <v>0</v>
      </c>
      <c r="FC12" s="145">
        <v>0</v>
      </c>
      <c r="FD12" s="145">
        <v>0</v>
      </c>
      <c r="FE12" s="145">
        <v>0</v>
      </c>
      <c r="FF12" s="145">
        <v>0</v>
      </c>
      <c r="FG12" s="145">
        <v>0</v>
      </c>
      <c r="FH12" s="145">
        <v>0</v>
      </c>
      <c r="FI12" s="145">
        <v>0</v>
      </c>
      <c r="FJ12" s="145">
        <v>0</v>
      </c>
      <c r="FK12" s="145">
        <v>0</v>
      </c>
      <c r="FL12" s="145">
        <v>0</v>
      </c>
      <c r="FM12" s="145">
        <v>0</v>
      </c>
      <c r="FN12" s="145">
        <v>0</v>
      </c>
      <c r="FO12" s="145">
        <v>0</v>
      </c>
      <c r="FP12" s="145">
        <v>0</v>
      </c>
      <c r="FQ12" s="145">
        <v>0</v>
      </c>
      <c r="FR12" s="145">
        <v>0</v>
      </c>
      <c r="FS12" s="145">
        <v>0</v>
      </c>
      <c r="FT12" s="145">
        <v>0</v>
      </c>
      <c r="FU12" s="145">
        <v>0</v>
      </c>
      <c r="FV12" s="145">
        <v>0</v>
      </c>
      <c r="FW12" s="145">
        <v>0</v>
      </c>
      <c r="FX12" s="143"/>
      <c r="FY12" s="146" t="str">
        <f>_xlfn.XLOOKUP($E12,'Key assumptions'!$B$112:$B$120,'Key assumptions'!$C$112:$C$120,0)</f>
        <v>Nominal</v>
      </c>
      <c r="FZ12" s="146" cm="1">
        <f t="array" ref="FZ12">IF($FY12=0,0,_xlfn.IFS($FY12='Key assumptions'!$C$120,_xlfn.XLOOKUP(LEFT(FZ$7,6),Inflation_Year,Inflation_NominaltoReal),TRUE,_xlfn.XLOOKUP($FY12,Inflation_Year,NominaltoReal)))</f>
        <v>1.0197075870962191</v>
      </c>
      <c r="GA12" s="146" cm="1">
        <f t="array" ref="GA12">IF($FY12=0,0,_xlfn.IFS($FY12='Key assumptions'!$C$120,_xlfn.XLOOKUP(LEFT(GA$7,6),Inflation_Year,Inflation_NominaltoReal),TRUE,_xlfn.XLOOKUP($FY12,Inflation_Year,NominaltoReal)))</f>
        <v>0.98700804022984445</v>
      </c>
      <c r="GB12" s="146" cm="1">
        <f t="array" ref="GB12">IF($FY12=0,0,_xlfn.IFS($FY12='Key assumptions'!$C$120,_xlfn.XLOOKUP(LEFT(GB$7,6),Inflation_Year,Inflation_NominaltoReal),TRUE,_xlfn.XLOOKUP($FY12,Inflation_Year,NominaltoReal)))</f>
        <v>0.96152830081941731</v>
      </c>
      <c r="GC12" s="146" cm="1">
        <f t="array" ref="GC12">IF($FY12=0,0,_xlfn.IFS($FY12='Key assumptions'!$C$120,_xlfn.XLOOKUP(LEFT(GC$7,6),Inflation_Year,Inflation_NominaltoReal),TRUE,_xlfn.XLOOKUP($FY12,Inflation_Year,NominaltoReal)))</f>
        <v>0.93670632415656829</v>
      </c>
      <c r="GD12" s="146" cm="1">
        <f t="array" ref="GD12">IF($FY12=0,0,_xlfn.IFS($FY12='Key assumptions'!$C$120,_xlfn.XLOOKUP(LEFT(GD$7,6),Inflation_Year,Inflation_NominaltoReal),TRUE,_xlfn.XLOOKUP($FY12,Inflation_Year,NominaltoReal)))</f>
        <v>0.91252513001143176</v>
      </c>
      <c r="GE12" s="146" cm="1">
        <f t="array" ref="GE12">IF($FY12=0,0,_xlfn.IFS($FY12='Key assumptions'!$C$120,_xlfn.XLOOKUP(LEFT(GE$7,6),Inflation_Year,Inflation_NominaltoReal),TRUE,_xlfn.XLOOKUP($FY12,Inflation_Year,NominaltoReal)))</f>
        <v>0.88896817650095872</v>
      </c>
      <c r="GF12" s="146" cm="1">
        <f t="array" ref="GF12">IF($FY12=0,0,_xlfn.IFS($FY12='Key assumptions'!$C$120,_xlfn.XLOOKUP(LEFT(GF$7,6),Inflation_Year,Inflation_NominaltoReal),TRUE,_xlfn.XLOOKUP($FY12,Inflation_Year,NominaltoReal)))</f>
        <v>0.86601934877293718</v>
      </c>
      <c r="GG12" s="143"/>
      <c r="GH12" s="145" cm="1">
        <f t="array" ref="GH12">SUMPRODUCT(--($CR$7:$FW$7&gt;=GH$5),--($CR$7:$FW$7&lt;=GH$6),$CR12:$FW12)*FZ12</f>
        <v>300201.91364112688</v>
      </c>
      <c r="GI12" s="145" cm="1">
        <f t="array" ref="GI12">SUMPRODUCT(--($CR$7:$FW$7&gt;=GI$5),--($CR$7:$FW$7&lt;=GI$6),$CR12:$FW12)*GA12</f>
        <v>0</v>
      </c>
      <c r="GJ12" s="145" cm="1">
        <f t="array" ref="GJ12">SUMPRODUCT(--($CR$7:$FW$7&gt;=GJ$5),--($CR$7:$FW$7&lt;=GJ$6),$CR12:$FW12)*GB12</f>
        <v>0</v>
      </c>
      <c r="GK12" s="145" cm="1">
        <f t="array" ref="GK12">SUMPRODUCT(--($CR$7:$FW$7&gt;=GK$5),--($CR$7:$FW$7&lt;=GK$6),$CR12:$FW12)*GC12</f>
        <v>0</v>
      </c>
      <c r="GL12" s="145" cm="1">
        <f t="array" ref="GL12">SUMPRODUCT(--($CR$7:$FW$7&gt;=GL$5),--($CR$7:$FW$7&lt;=GL$6),$CR12:$FW12)*GD12</f>
        <v>0</v>
      </c>
      <c r="GM12" s="145" cm="1">
        <f t="array" ref="GM12">SUMPRODUCT(--($CR$7:$FW$7&gt;=GM$5),--($CR$7:$FW$7&lt;=GM$6),$CR12:$FW12)*GE12</f>
        <v>0</v>
      </c>
      <c r="GN12" s="145" cm="1">
        <f t="array" ref="GN12">SUMPRODUCT(--($CR$7:$FW$7&gt;=GN$5),--($CR$7:$FW$7&lt;=GN$6),$CR12:$FW12)*GF12</f>
        <v>0</v>
      </c>
      <c r="GO12" s="145">
        <f t="shared" si="0"/>
        <v>300201.91364112688</v>
      </c>
      <c r="GP12" s="87"/>
      <c r="GQ12" s="89"/>
      <c r="GR12" s="145" cm="1">
        <f t="array" ref="GR12">SUMPRODUCT(--($CR$7:$FW$7&gt;=GR$5),--($CR$7:$FW$7&lt;=GR$6),$CR12:$FW12)</f>
        <v>184000</v>
      </c>
      <c r="GS12" s="89"/>
      <c r="GT12" s="89"/>
      <c r="GU12" s="89"/>
      <c r="GV12" s="89"/>
      <c r="GW12" s="89"/>
      <c r="GX12" s="89"/>
      <c r="GY12" s="89"/>
    </row>
    <row r="13" spans="1:207" x14ac:dyDescent="0.2">
      <c r="B13" s="141" t="str">
        <v>Regulatory Approvals</v>
      </c>
      <c r="C13" s="141" t="str">
        <v>Outsource Consultant</v>
      </c>
      <c r="D13" s="141" t="str">
        <v>Contracted Labour</v>
      </c>
      <c r="E13" s="141" t="str">
        <v>$ Nominal</v>
      </c>
      <c r="F13" s="141">
        <v>0</v>
      </c>
      <c r="G13" s="141" t="str">
        <v/>
      </c>
      <c r="H13" s="142">
        <v>0</v>
      </c>
      <c r="I13" s="126">
        <v>76800</v>
      </c>
      <c r="J13" s="143">
        <v>0</v>
      </c>
      <c r="K13" s="144">
        <v>0</v>
      </c>
      <c r="L13" s="144">
        <v>0</v>
      </c>
      <c r="M13" s="144">
        <v>0</v>
      </c>
      <c r="N13" s="144">
        <v>0</v>
      </c>
      <c r="O13" s="144">
        <v>0</v>
      </c>
      <c r="P13" s="144">
        <v>0</v>
      </c>
      <c r="Q13" s="144">
        <v>0</v>
      </c>
      <c r="R13" s="144">
        <v>0</v>
      </c>
      <c r="S13" s="144">
        <v>0</v>
      </c>
      <c r="T13" s="144">
        <v>0</v>
      </c>
      <c r="U13" s="144">
        <v>0</v>
      </c>
      <c r="V13" s="144">
        <v>0</v>
      </c>
      <c r="W13" s="144">
        <v>0</v>
      </c>
      <c r="X13" s="144">
        <v>0.5</v>
      </c>
      <c r="Y13" s="144">
        <v>0.5</v>
      </c>
      <c r="Z13" s="144">
        <v>0</v>
      </c>
      <c r="AA13" s="144">
        <v>0</v>
      </c>
      <c r="AB13" s="144">
        <v>0</v>
      </c>
      <c r="AC13" s="144">
        <v>0</v>
      </c>
      <c r="AD13" s="144">
        <v>0</v>
      </c>
      <c r="AE13" s="144">
        <v>0</v>
      </c>
      <c r="AF13" s="144">
        <v>0</v>
      </c>
      <c r="AG13" s="144">
        <v>0</v>
      </c>
      <c r="AH13" s="144">
        <v>0</v>
      </c>
      <c r="AI13" s="144">
        <v>0</v>
      </c>
      <c r="AJ13" s="144">
        <v>0</v>
      </c>
      <c r="AK13" s="144">
        <v>0</v>
      </c>
      <c r="AL13" s="144">
        <v>0</v>
      </c>
      <c r="AM13" s="144">
        <v>0</v>
      </c>
      <c r="AN13" s="144">
        <v>0</v>
      </c>
      <c r="AO13" s="144">
        <v>0</v>
      </c>
      <c r="AP13" s="144">
        <v>0</v>
      </c>
      <c r="AQ13" s="144">
        <v>0</v>
      </c>
      <c r="AR13" s="144">
        <v>0</v>
      </c>
      <c r="AS13" s="144">
        <v>0</v>
      </c>
      <c r="AT13" s="144">
        <v>0</v>
      </c>
      <c r="AU13" s="144">
        <v>0</v>
      </c>
      <c r="AV13" s="144">
        <v>0</v>
      </c>
      <c r="AW13" s="144">
        <v>0</v>
      </c>
      <c r="AX13" s="144">
        <v>0</v>
      </c>
      <c r="AY13" s="144">
        <v>0</v>
      </c>
      <c r="AZ13" s="144">
        <v>0</v>
      </c>
      <c r="BA13" s="144">
        <v>0</v>
      </c>
      <c r="BB13" s="144">
        <v>0</v>
      </c>
      <c r="BC13" s="144">
        <v>0</v>
      </c>
      <c r="BD13" s="144">
        <v>0</v>
      </c>
      <c r="BE13" s="144">
        <v>0</v>
      </c>
      <c r="BF13" s="144">
        <v>0</v>
      </c>
      <c r="BG13" s="144">
        <v>0</v>
      </c>
      <c r="BH13" s="144">
        <v>0</v>
      </c>
      <c r="BI13" s="144">
        <v>0</v>
      </c>
      <c r="BJ13" s="144">
        <v>0</v>
      </c>
      <c r="BK13" s="144">
        <v>0</v>
      </c>
      <c r="BL13" s="144">
        <v>0</v>
      </c>
      <c r="BM13" s="144">
        <v>0</v>
      </c>
      <c r="BN13" s="144">
        <v>0</v>
      </c>
      <c r="BO13" s="144">
        <v>0</v>
      </c>
      <c r="BP13" s="144">
        <v>0</v>
      </c>
      <c r="BQ13" s="144">
        <v>0</v>
      </c>
      <c r="BR13" s="144">
        <v>0</v>
      </c>
      <c r="BS13" s="144">
        <v>0</v>
      </c>
      <c r="BT13" s="144">
        <v>0</v>
      </c>
      <c r="BU13" s="144">
        <v>0</v>
      </c>
      <c r="BV13" s="144">
        <v>0</v>
      </c>
      <c r="BW13" s="144">
        <v>0</v>
      </c>
      <c r="BX13" s="144">
        <v>0</v>
      </c>
      <c r="BY13" s="144">
        <v>0</v>
      </c>
      <c r="BZ13" s="144">
        <v>0</v>
      </c>
      <c r="CA13" s="144">
        <v>0</v>
      </c>
      <c r="CB13" s="144">
        <v>0</v>
      </c>
      <c r="CC13" s="144">
        <v>0</v>
      </c>
      <c r="CD13" s="144">
        <v>0</v>
      </c>
      <c r="CE13" s="144">
        <v>0</v>
      </c>
      <c r="CF13" s="144">
        <v>0</v>
      </c>
      <c r="CG13" s="144">
        <v>0</v>
      </c>
      <c r="CH13" s="144">
        <v>0</v>
      </c>
      <c r="CI13" s="144">
        <v>0</v>
      </c>
      <c r="CJ13" s="144">
        <v>0</v>
      </c>
      <c r="CK13" s="144">
        <v>0</v>
      </c>
      <c r="CL13" s="144">
        <v>0</v>
      </c>
      <c r="CM13" s="144">
        <v>0</v>
      </c>
      <c r="CN13" s="144">
        <v>0</v>
      </c>
      <c r="CO13" s="144">
        <v>0</v>
      </c>
      <c r="CP13" s="144">
        <v>0</v>
      </c>
      <c r="CQ13" s="143">
        <v>0</v>
      </c>
      <c r="CR13" s="145">
        <v>0</v>
      </c>
      <c r="CS13" s="145">
        <v>0</v>
      </c>
      <c r="CT13" s="145">
        <v>0</v>
      </c>
      <c r="CU13" s="145">
        <v>0</v>
      </c>
      <c r="CV13" s="145">
        <v>0</v>
      </c>
      <c r="CW13" s="145">
        <v>0</v>
      </c>
      <c r="CX13" s="145">
        <v>0</v>
      </c>
      <c r="CY13" s="145">
        <v>0</v>
      </c>
      <c r="CZ13" s="145">
        <v>0</v>
      </c>
      <c r="DA13" s="145">
        <v>0</v>
      </c>
      <c r="DB13" s="145">
        <v>0</v>
      </c>
      <c r="DC13" s="145">
        <v>0</v>
      </c>
      <c r="DD13" s="145">
        <v>0</v>
      </c>
      <c r="DE13" s="145">
        <v>38400</v>
      </c>
      <c r="DF13" s="145">
        <v>38400</v>
      </c>
      <c r="DG13" s="145">
        <v>0</v>
      </c>
      <c r="DH13" s="145">
        <v>0</v>
      </c>
      <c r="DI13" s="145">
        <v>0</v>
      </c>
      <c r="DJ13" s="145">
        <v>0</v>
      </c>
      <c r="DK13" s="145">
        <v>0</v>
      </c>
      <c r="DL13" s="145">
        <v>0</v>
      </c>
      <c r="DM13" s="145">
        <v>0</v>
      </c>
      <c r="DN13" s="145">
        <v>0</v>
      </c>
      <c r="DO13" s="145">
        <v>0</v>
      </c>
      <c r="DP13" s="145">
        <v>0</v>
      </c>
      <c r="DQ13" s="145">
        <v>0</v>
      </c>
      <c r="DR13" s="145">
        <v>0</v>
      </c>
      <c r="DS13" s="145">
        <v>0</v>
      </c>
      <c r="DT13" s="145">
        <v>0</v>
      </c>
      <c r="DU13" s="145">
        <v>0</v>
      </c>
      <c r="DV13" s="145">
        <v>0</v>
      </c>
      <c r="DW13" s="145">
        <v>0</v>
      </c>
      <c r="DX13" s="145">
        <v>0</v>
      </c>
      <c r="DY13" s="145">
        <v>0</v>
      </c>
      <c r="DZ13" s="145">
        <v>0</v>
      </c>
      <c r="EA13" s="145">
        <v>0</v>
      </c>
      <c r="EB13" s="145">
        <v>0</v>
      </c>
      <c r="EC13" s="145">
        <v>0</v>
      </c>
      <c r="ED13" s="145">
        <v>0</v>
      </c>
      <c r="EE13" s="145">
        <v>0</v>
      </c>
      <c r="EF13" s="145">
        <v>0</v>
      </c>
      <c r="EG13" s="145">
        <v>0</v>
      </c>
      <c r="EH13" s="145">
        <v>0</v>
      </c>
      <c r="EI13" s="145">
        <v>0</v>
      </c>
      <c r="EJ13" s="145">
        <v>0</v>
      </c>
      <c r="EK13" s="145">
        <v>0</v>
      </c>
      <c r="EL13" s="145">
        <v>0</v>
      </c>
      <c r="EM13" s="145">
        <v>0</v>
      </c>
      <c r="EN13" s="145">
        <v>0</v>
      </c>
      <c r="EO13" s="145">
        <v>0</v>
      </c>
      <c r="EP13" s="145">
        <v>0</v>
      </c>
      <c r="EQ13" s="145">
        <v>0</v>
      </c>
      <c r="ER13" s="145">
        <v>0</v>
      </c>
      <c r="ES13" s="145">
        <v>0</v>
      </c>
      <c r="ET13" s="145">
        <v>0</v>
      </c>
      <c r="EU13" s="145">
        <v>0</v>
      </c>
      <c r="EV13" s="145">
        <v>0</v>
      </c>
      <c r="EW13" s="145">
        <v>0</v>
      </c>
      <c r="EX13" s="145">
        <v>0</v>
      </c>
      <c r="EY13" s="145">
        <v>0</v>
      </c>
      <c r="EZ13" s="145">
        <v>0</v>
      </c>
      <c r="FA13" s="145">
        <v>0</v>
      </c>
      <c r="FB13" s="145">
        <v>0</v>
      </c>
      <c r="FC13" s="145">
        <v>0</v>
      </c>
      <c r="FD13" s="145">
        <v>0</v>
      </c>
      <c r="FE13" s="145">
        <v>0</v>
      </c>
      <c r="FF13" s="145">
        <v>0</v>
      </c>
      <c r="FG13" s="145">
        <v>0</v>
      </c>
      <c r="FH13" s="145">
        <v>0</v>
      </c>
      <c r="FI13" s="145">
        <v>0</v>
      </c>
      <c r="FJ13" s="145">
        <v>0</v>
      </c>
      <c r="FK13" s="145">
        <v>0</v>
      </c>
      <c r="FL13" s="145">
        <v>0</v>
      </c>
      <c r="FM13" s="145">
        <v>0</v>
      </c>
      <c r="FN13" s="145">
        <v>0</v>
      </c>
      <c r="FO13" s="145">
        <v>0</v>
      </c>
      <c r="FP13" s="145">
        <v>0</v>
      </c>
      <c r="FQ13" s="145">
        <v>0</v>
      </c>
      <c r="FR13" s="145">
        <v>0</v>
      </c>
      <c r="FS13" s="145">
        <v>0</v>
      </c>
      <c r="FT13" s="145">
        <v>0</v>
      </c>
      <c r="FU13" s="145">
        <v>0</v>
      </c>
      <c r="FV13" s="145">
        <v>0</v>
      </c>
      <c r="FW13" s="145">
        <v>0</v>
      </c>
      <c r="FX13" s="143"/>
      <c r="FY13" s="146" t="str">
        <f>_xlfn.XLOOKUP($E13,'Key assumptions'!$B$112:$B$120,'Key assumptions'!$C$112:$C$120,0)</f>
        <v>Nominal</v>
      </c>
      <c r="FZ13" s="146" cm="1">
        <f t="array" ref="FZ13">IF($FY13=0,0,_xlfn.IFS($FY13='Key assumptions'!$C$120,_xlfn.XLOOKUP(LEFT(FZ$7,6),Inflation_Year,Inflation_NominaltoReal),TRUE,_xlfn.XLOOKUP($FY13,Inflation_Year,NominaltoReal)))</f>
        <v>1.0197075870962191</v>
      </c>
      <c r="GA13" s="146" cm="1">
        <f t="array" ref="GA13">IF($FY13=0,0,_xlfn.IFS($FY13='Key assumptions'!$C$120,_xlfn.XLOOKUP(LEFT(GA$7,6),Inflation_Year,Inflation_NominaltoReal),TRUE,_xlfn.XLOOKUP($FY13,Inflation_Year,NominaltoReal)))</f>
        <v>0.98700804022984445</v>
      </c>
      <c r="GB13" s="146" cm="1">
        <f t="array" ref="GB13">IF($FY13=0,0,_xlfn.IFS($FY13='Key assumptions'!$C$120,_xlfn.XLOOKUP(LEFT(GB$7,6),Inflation_Year,Inflation_NominaltoReal),TRUE,_xlfn.XLOOKUP($FY13,Inflation_Year,NominaltoReal)))</f>
        <v>0.96152830081941731</v>
      </c>
      <c r="GC13" s="146" cm="1">
        <f t="array" ref="GC13">IF($FY13=0,0,_xlfn.IFS($FY13='Key assumptions'!$C$120,_xlfn.XLOOKUP(LEFT(GC$7,6),Inflation_Year,Inflation_NominaltoReal),TRUE,_xlfn.XLOOKUP($FY13,Inflation_Year,NominaltoReal)))</f>
        <v>0.93670632415656829</v>
      </c>
      <c r="GD13" s="146" cm="1">
        <f t="array" ref="GD13">IF($FY13=0,0,_xlfn.IFS($FY13='Key assumptions'!$C$120,_xlfn.XLOOKUP(LEFT(GD$7,6),Inflation_Year,Inflation_NominaltoReal),TRUE,_xlfn.XLOOKUP($FY13,Inflation_Year,NominaltoReal)))</f>
        <v>0.91252513001143176</v>
      </c>
      <c r="GE13" s="146" cm="1">
        <f t="array" ref="GE13">IF($FY13=0,0,_xlfn.IFS($FY13='Key assumptions'!$C$120,_xlfn.XLOOKUP(LEFT(GE$7,6),Inflation_Year,Inflation_NominaltoReal),TRUE,_xlfn.XLOOKUP($FY13,Inflation_Year,NominaltoReal)))</f>
        <v>0.88896817650095872</v>
      </c>
      <c r="GF13" s="146" cm="1">
        <f t="array" ref="GF13">IF($FY13=0,0,_xlfn.IFS($FY13='Key assumptions'!$C$120,_xlfn.XLOOKUP(LEFT(GF$7,6),Inflation_Year,Inflation_NominaltoReal),TRUE,_xlfn.XLOOKUP($FY13,Inflation_Year,NominaltoReal)))</f>
        <v>0.86601934877293718</v>
      </c>
      <c r="GG13" s="143"/>
      <c r="GH13" s="145" cm="1">
        <f t="array" ref="GH13">SUMPRODUCT(--($CR$7:$FW$7&gt;=GH$5),--($CR$7:$FW$7&lt;=GH$6),$CR13:$FW13)*FZ13</f>
        <v>78313.542688989633</v>
      </c>
      <c r="GI13" s="145" cm="1">
        <f t="array" ref="GI13">SUMPRODUCT(--($CR$7:$FW$7&gt;=GI$5),--($CR$7:$FW$7&lt;=GI$6),$CR13:$FW13)*GA13</f>
        <v>0</v>
      </c>
      <c r="GJ13" s="145" cm="1">
        <f t="array" ref="GJ13">SUMPRODUCT(--($CR$7:$FW$7&gt;=GJ$5),--($CR$7:$FW$7&lt;=GJ$6),$CR13:$FW13)*GB13</f>
        <v>0</v>
      </c>
      <c r="GK13" s="145" cm="1">
        <f t="array" ref="GK13">SUMPRODUCT(--($CR$7:$FW$7&gt;=GK$5),--($CR$7:$FW$7&lt;=GK$6),$CR13:$FW13)*GC13</f>
        <v>0</v>
      </c>
      <c r="GL13" s="145" cm="1">
        <f t="array" ref="GL13">SUMPRODUCT(--($CR$7:$FW$7&gt;=GL$5),--($CR$7:$FW$7&lt;=GL$6),$CR13:$FW13)*GD13</f>
        <v>0</v>
      </c>
      <c r="GM13" s="145" cm="1">
        <f t="array" ref="GM13">SUMPRODUCT(--($CR$7:$FW$7&gt;=GM$5),--($CR$7:$FW$7&lt;=GM$6),$CR13:$FW13)*GE13</f>
        <v>0</v>
      </c>
      <c r="GN13" s="145" cm="1">
        <f t="array" ref="GN13">SUMPRODUCT(--($CR$7:$FW$7&gt;=GN$5),--($CR$7:$FW$7&lt;=GN$6),$CR13:$FW13)*GF13</f>
        <v>0</v>
      </c>
      <c r="GO13" s="145">
        <f t="shared" si="0"/>
        <v>78313.542688989633</v>
      </c>
      <c r="GP13" s="87"/>
      <c r="GQ13" s="90"/>
      <c r="GR13" s="145" cm="1">
        <f t="array" ref="GR13">SUMPRODUCT(--($CR$7:$FW$7&gt;=GR$5),--($CR$7:$FW$7&lt;=GR$6),$CR13:$FW13)</f>
        <v>76800</v>
      </c>
      <c r="GS13" s="90"/>
      <c r="GT13" s="90"/>
      <c r="GU13" s="90"/>
      <c r="GV13" s="90"/>
      <c r="GW13" s="90"/>
      <c r="GX13" s="90"/>
      <c r="GY13" s="90"/>
    </row>
    <row r="14" spans="1:207" x14ac:dyDescent="0.2">
      <c r="B14" s="141"/>
      <c r="C14" s="141"/>
      <c r="D14" s="141"/>
      <c r="E14" s="141"/>
      <c r="F14" s="141"/>
      <c r="G14" s="141"/>
      <c r="H14" s="142"/>
      <c r="I14" s="126"/>
      <c r="J14" s="143"/>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3"/>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3"/>
      <c r="FY14" s="146">
        <f>_xlfn.XLOOKUP($E14,'Key assumptions'!$B$112:$B$120,'Key assumptions'!$C$112:$C$120,0)</f>
        <v>0</v>
      </c>
      <c r="FZ14" s="146" cm="1">
        <f t="array" ref="FZ14">IF($FY14=0,0,_xlfn.IFS($FY14='Key assumptions'!$C$120,_xlfn.XLOOKUP(LEFT(FZ$7,6),Inflation_Year,Inflation_NominaltoReal),TRUE,_xlfn.XLOOKUP($FY14,Inflation_Year,NominaltoReal)))</f>
        <v>0</v>
      </c>
      <c r="GA14" s="146" cm="1">
        <f t="array" ref="GA14">IF($FY14=0,0,_xlfn.IFS($FY14='Key assumptions'!$C$120,_xlfn.XLOOKUP(LEFT(GA$7,6),Inflation_Year,Inflation_NominaltoReal),TRUE,_xlfn.XLOOKUP($FY14,Inflation_Year,NominaltoReal)))</f>
        <v>0</v>
      </c>
      <c r="GB14" s="146" cm="1">
        <f t="array" ref="GB14">IF($FY14=0,0,_xlfn.IFS($FY14='Key assumptions'!$C$120,_xlfn.XLOOKUP(LEFT(GB$7,6),Inflation_Year,Inflation_NominaltoReal),TRUE,_xlfn.XLOOKUP($FY14,Inflation_Year,NominaltoReal)))</f>
        <v>0</v>
      </c>
      <c r="GC14" s="146" cm="1">
        <f t="array" ref="GC14">IF($FY14=0,0,_xlfn.IFS($FY14='Key assumptions'!$C$120,_xlfn.XLOOKUP(LEFT(GC$7,6),Inflation_Year,Inflation_NominaltoReal),TRUE,_xlfn.XLOOKUP($FY14,Inflation_Year,NominaltoReal)))</f>
        <v>0</v>
      </c>
      <c r="GD14" s="146" cm="1">
        <f t="array" ref="GD14">IF($FY14=0,0,_xlfn.IFS($FY14='Key assumptions'!$C$120,_xlfn.XLOOKUP(LEFT(GD$7,6),Inflation_Year,Inflation_NominaltoReal),TRUE,_xlfn.XLOOKUP($FY14,Inflation_Year,NominaltoReal)))</f>
        <v>0</v>
      </c>
      <c r="GE14" s="146" cm="1">
        <f t="array" ref="GE14">IF($FY14=0,0,_xlfn.IFS($FY14='Key assumptions'!$C$120,_xlfn.XLOOKUP(LEFT(GE$7,6),Inflation_Year,Inflation_NominaltoReal),TRUE,_xlfn.XLOOKUP($FY14,Inflation_Year,NominaltoReal)))</f>
        <v>0</v>
      </c>
      <c r="GF14" s="146" cm="1">
        <f t="array" ref="GF14">IF($FY14=0,0,_xlfn.IFS($FY14='Key assumptions'!$C$120,_xlfn.XLOOKUP(LEFT(GF$7,6),Inflation_Year,Inflation_NominaltoReal),TRUE,_xlfn.XLOOKUP($FY14,Inflation_Year,NominaltoReal)))</f>
        <v>0</v>
      </c>
      <c r="GG14" s="143"/>
      <c r="GH14" s="145" cm="1">
        <f t="array" ref="GH14">SUMPRODUCT(--($CR$7:$FW$7&gt;=GH$5),--($CR$7:$FW$7&lt;=GH$6),$CR14:$FW14)*FZ14</f>
        <v>0</v>
      </c>
      <c r="GI14" s="145" cm="1">
        <f t="array" ref="GI14">SUMPRODUCT(--($CR$7:$FW$7&gt;=GI$5),--($CR$7:$FW$7&lt;=GI$6),$CR14:$FW14)*GA14</f>
        <v>0</v>
      </c>
      <c r="GJ14" s="145" cm="1">
        <f t="array" ref="GJ14">SUMPRODUCT(--($CR$7:$FW$7&gt;=GJ$5),--($CR$7:$FW$7&lt;=GJ$6),$CR14:$FW14)*GB14</f>
        <v>0</v>
      </c>
      <c r="GK14" s="145" cm="1">
        <f t="array" ref="GK14">SUMPRODUCT(--($CR$7:$FW$7&gt;=GK$5),--($CR$7:$FW$7&lt;=GK$6),$CR14:$FW14)*GC14</f>
        <v>0</v>
      </c>
      <c r="GL14" s="145" cm="1">
        <f t="array" ref="GL14">SUMPRODUCT(--($CR$7:$FW$7&gt;=GL$5),--($CR$7:$FW$7&lt;=GL$6),$CR14:$FW14)*GD14</f>
        <v>0</v>
      </c>
      <c r="GM14" s="145" cm="1">
        <f t="array" ref="GM14">SUMPRODUCT(--($CR$7:$FW$7&gt;=GM$5),--($CR$7:$FW$7&lt;=GM$6),$CR14:$FW14)*GE14</f>
        <v>0</v>
      </c>
      <c r="GN14" s="145" cm="1">
        <f t="array" ref="GN14">SUMPRODUCT(--($CR$7:$FW$7&gt;=GN$5),--($CR$7:$FW$7&lt;=GN$6),$CR14:$FW14)*GF14</f>
        <v>0</v>
      </c>
      <c r="GO14" s="145">
        <f t="shared" si="0"/>
        <v>0</v>
      </c>
      <c r="GP14" s="87"/>
      <c r="GQ14" s="89"/>
      <c r="GR14" s="145" cm="1">
        <f t="array" ref="GR14">SUMPRODUCT(--($CR$7:$FW$7&gt;=GR$5),--($CR$7:$FW$7&lt;=GR$6),$CR14:$FW14)</f>
        <v>0</v>
      </c>
      <c r="GS14" s="89"/>
      <c r="GT14" s="89"/>
      <c r="GU14" s="89"/>
      <c r="GV14" s="89"/>
      <c r="GW14" s="89"/>
      <c r="GX14" s="89"/>
      <c r="GY14" s="89"/>
    </row>
    <row r="15" spans="1:207" x14ac:dyDescent="0.2">
      <c r="B15" s="141"/>
      <c r="C15" s="141"/>
      <c r="D15" s="141"/>
      <c r="E15" s="141"/>
      <c r="F15" s="141"/>
      <c r="G15" s="141"/>
      <c r="H15" s="142"/>
      <c r="I15" s="126"/>
      <c r="J15" s="143"/>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3"/>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3"/>
      <c r="FY15" s="146">
        <f>_xlfn.XLOOKUP($E15,'Key assumptions'!$B$112:$B$120,'Key assumptions'!$C$112:$C$120,0)</f>
        <v>0</v>
      </c>
      <c r="FZ15" s="146" cm="1">
        <f t="array" ref="FZ15">IF($FY15=0,0,_xlfn.IFS($FY15='Key assumptions'!$C$120,_xlfn.XLOOKUP(LEFT(FZ$7,6),Inflation_Year,Inflation_NominaltoReal),TRUE,_xlfn.XLOOKUP($FY15,Inflation_Year,NominaltoReal)))</f>
        <v>0</v>
      </c>
      <c r="GA15" s="146" cm="1">
        <f t="array" ref="GA15">IF($FY15=0,0,_xlfn.IFS($FY15='Key assumptions'!$C$120,_xlfn.XLOOKUP(LEFT(GA$7,6),Inflation_Year,Inflation_NominaltoReal),TRUE,_xlfn.XLOOKUP($FY15,Inflation_Year,NominaltoReal)))</f>
        <v>0</v>
      </c>
      <c r="GB15" s="146" cm="1">
        <f t="array" ref="GB15">IF($FY15=0,0,_xlfn.IFS($FY15='Key assumptions'!$C$120,_xlfn.XLOOKUP(LEFT(GB$7,6),Inflation_Year,Inflation_NominaltoReal),TRUE,_xlfn.XLOOKUP($FY15,Inflation_Year,NominaltoReal)))</f>
        <v>0</v>
      </c>
      <c r="GC15" s="146" cm="1">
        <f t="array" ref="GC15">IF($FY15=0,0,_xlfn.IFS($FY15='Key assumptions'!$C$120,_xlfn.XLOOKUP(LEFT(GC$7,6),Inflation_Year,Inflation_NominaltoReal),TRUE,_xlfn.XLOOKUP($FY15,Inflation_Year,NominaltoReal)))</f>
        <v>0</v>
      </c>
      <c r="GD15" s="146" cm="1">
        <f t="array" ref="GD15">IF($FY15=0,0,_xlfn.IFS($FY15='Key assumptions'!$C$120,_xlfn.XLOOKUP(LEFT(GD$7,6),Inflation_Year,Inflation_NominaltoReal),TRUE,_xlfn.XLOOKUP($FY15,Inflation_Year,NominaltoReal)))</f>
        <v>0</v>
      </c>
      <c r="GE15" s="146" cm="1">
        <f t="array" ref="GE15">IF($FY15=0,0,_xlfn.IFS($FY15='Key assumptions'!$C$120,_xlfn.XLOOKUP(LEFT(GE$7,6),Inflation_Year,Inflation_NominaltoReal),TRUE,_xlfn.XLOOKUP($FY15,Inflation_Year,NominaltoReal)))</f>
        <v>0</v>
      </c>
      <c r="GF15" s="146" cm="1">
        <f t="array" ref="GF15">IF($FY15=0,0,_xlfn.IFS($FY15='Key assumptions'!$C$120,_xlfn.XLOOKUP(LEFT(GF$7,6),Inflation_Year,Inflation_NominaltoReal),TRUE,_xlfn.XLOOKUP($FY15,Inflation_Year,NominaltoReal)))</f>
        <v>0</v>
      </c>
      <c r="GG15" s="143"/>
      <c r="GH15" s="145" cm="1">
        <f t="array" ref="GH15">SUMPRODUCT(--($CR$7:$FW$7&gt;=GH$5),--($CR$7:$FW$7&lt;=GH$6),$CR15:$FW15)*FZ15</f>
        <v>0</v>
      </c>
      <c r="GI15" s="145" cm="1">
        <f t="array" ref="GI15">SUMPRODUCT(--($CR$7:$FW$7&gt;=GI$5),--($CR$7:$FW$7&lt;=GI$6),$CR15:$FW15)*GA15</f>
        <v>0</v>
      </c>
      <c r="GJ15" s="145" cm="1">
        <f t="array" ref="GJ15">SUMPRODUCT(--($CR$7:$FW$7&gt;=GJ$5),--($CR$7:$FW$7&lt;=GJ$6),$CR15:$FW15)*GB15</f>
        <v>0</v>
      </c>
      <c r="GK15" s="145" cm="1">
        <f t="array" ref="GK15">SUMPRODUCT(--($CR$7:$FW$7&gt;=GK$5),--($CR$7:$FW$7&lt;=GK$6),$CR15:$FW15)*GC15</f>
        <v>0</v>
      </c>
      <c r="GL15" s="145" cm="1">
        <f t="array" ref="GL15">SUMPRODUCT(--($CR$7:$FW$7&gt;=GL$5),--($CR$7:$FW$7&lt;=GL$6),$CR15:$FW15)*GD15</f>
        <v>0</v>
      </c>
      <c r="GM15" s="145" cm="1">
        <f t="array" ref="GM15">SUMPRODUCT(--($CR$7:$FW$7&gt;=GM$5),--($CR$7:$FW$7&lt;=GM$6),$CR15:$FW15)*GE15</f>
        <v>0</v>
      </c>
      <c r="GN15" s="145" cm="1">
        <f t="array" ref="GN15">SUMPRODUCT(--($CR$7:$FW$7&gt;=GN$5),--($CR$7:$FW$7&lt;=GN$6),$CR15:$FW15)*GF15</f>
        <v>0</v>
      </c>
      <c r="GO15" s="145">
        <f t="shared" si="0"/>
        <v>0</v>
      </c>
      <c r="GP15" s="87"/>
      <c r="GQ15" s="89"/>
      <c r="GR15" s="145" cm="1">
        <f t="array" ref="GR15">SUMPRODUCT(--($CR$7:$FW$7&gt;=GR$5),--($CR$7:$FW$7&lt;=GR$6),$CR15:$FW15)</f>
        <v>0</v>
      </c>
      <c r="GS15" s="89"/>
      <c r="GT15" s="89"/>
      <c r="GU15" s="89"/>
      <c r="GV15" s="89"/>
      <c r="GW15" s="89"/>
      <c r="GX15" s="89"/>
      <c r="GY15" s="89"/>
    </row>
    <row r="16" spans="1:207" x14ac:dyDescent="0.2">
      <c r="B16" s="141"/>
      <c r="C16" s="141"/>
      <c r="D16" s="141"/>
      <c r="E16" s="141"/>
      <c r="F16" s="141"/>
      <c r="G16" s="141"/>
      <c r="H16" s="142"/>
      <c r="I16" s="126"/>
      <c r="J16" s="143"/>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3"/>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3"/>
      <c r="FY16" s="146">
        <f>_xlfn.XLOOKUP($E16,'Key assumptions'!$B$112:$B$120,'Key assumptions'!$C$112:$C$120,0)</f>
        <v>0</v>
      </c>
      <c r="FZ16" s="146" cm="1">
        <f t="array" ref="FZ16">IF($FY16=0,0,_xlfn.IFS($FY16='Key assumptions'!$C$120,_xlfn.XLOOKUP(LEFT(FZ$7,6),Inflation_Year,Inflation_NominaltoReal),TRUE,_xlfn.XLOOKUP($FY16,Inflation_Year,NominaltoReal)))</f>
        <v>0</v>
      </c>
      <c r="GA16" s="146" cm="1">
        <f t="array" ref="GA16">IF($FY16=0,0,_xlfn.IFS($FY16='Key assumptions'!$C$120,_xlfn.XLOOKUP(LEFT(GA$7,6),Inflation_Year,Inflation_NominaltoReal),TRUE,_xlfn.XLOOKUP($FY16,Inflation_Year,NominaltoReal)))</f>
        <v>0</v>
      </c>
      <c r="GB16" s="146" cm="1">
        <f t="array" ref="GB16">IF($FY16=0,0,_xlfn.IFS($FY16='Key assumptions'!$C$120,_xlfn.XLOOKUP(LEFT(GB$7,6),Inflation_Year,Inflation_NominaltoReal),TRUE,_xlfn.XLOOKUP($FY16,Inflation_Year,NominaltoReal)))</f>
        <v>0</v>
      </c>
      <c r="GC16" s="146" cm="1">
        <f t="array" ref="GC16">IF($FY16=0,0,_xlfn.IFS($FY16='Key assumptions'!$C$120,_xlfn.XLOOKUP(LEFT(GC$7,6),Inflation_Year,Inflation_NominaltoReal),TRUE,_xlfn.XLOOKUP($FY16,Inflation_Year,NominaltoReal)))</f>
        <v>0</v>
      </c>
      <c r="GD16" s="146" cm="1">
        <f t="array" ref="GD16">IF($FY16=0,0,_xlfn.IFS($FY16='Key assumptions'!$C$120,_xlfn.XLOOKUP(LEFT(GD$7,6),Inflation_Year,Inflation_NominaltoReal),TRUE,_xlfn.XLOOKUP($FY16,Inflation_Year,NominaltoReal)))</f>
        <v>0</v>
      </c>
      <c r="GE16" s="146" cm="1">
        <f t="array" ref="GE16">IF($FY16=0,0,_xlfn.IFS($FY16='Key assumptions'!$C$120,_xlfn.XLOOKUP(LEFT(GE$7,6),Inflation_Year,Inflation_NominaltoReal),TRUE,_xlfn.XLOOKUP($FY16,Inflation_Year,NominaltoReal)))</f>
        <v>0</v>
      </c>
      <c r="GF16" s="146" cm="1">
        <f t="array" ref="GF16">IF($FY16=0,0,_xlfn.IFS($FY16='Key assumptions'!$C$120,_xlfn.XLOOKUP(LEFT(GF$7,6),Inflation_Year,Inflation_NominaltoReal),TRUE,_xlfn.XLOOKUP($FY16,Inflation_Year,NominaltoReal)))</f>
        <v>0</v>
      </c>
      <c r="GG16" s="143"/>
      <c r="GH16" s="145" cm="1">
        <f t="array" ref="GH16">SUMPRODUCT(--($CR$7:$FW$7&gt;=GH$5),--($CR$7:$FW$7&lt;=GH$6),$CR16:$FW16)*FZ16</f>
        <v>0</v>
      </c>
      <c r="GI16" s="145" cm="1">
        <f t="array" ref="GI16">SUMPRODUCT(--($CR$7:$FW$7&gt;=GI$5),--($CR$7:$FW$7&lt;=GI$6),$CR16:$FW16)*GA16</f>
        <v>0</v>
      </c>
      <c r="GJ16" s="145" cm="1">
        <f t="array" ref="GJ16">SUMPRODUCT(--($CR$7:$FW$7&gt;=GJ$5),--($CR$7:$FW$7&lt;=GJ$6),$CR16:$FW16)*GB16</f>
        <v>0</v>
      </c>
      <c r="GK16" s="145" cm="1">
        <f t="array" ref="GK16">SUMPRODUCT(--($CR$7:$FW$7&gt;=GK$5),--($CR$7:$FW$7&lt;=GK$6),$CR16:$FW16)*GC16</f>
        <v>0</v>
      </c>
      <c r="GL16" s="145" cm="1">
        <f t="array" ref="GL16">SUMPRODUCT(--($CR$7:$FW$7&gt;=GL$5),--($CR$7:$FW$7&lt;=GL$6),$CR16:$FW16)*GD16</f>
        <v>0</v>
      </c>
      <c r="GM16" s="145" cm="1">
        <f t="array" ref="GM16">SUMPRODUCT(--($CR$7:$FW$7&gt;=GM$5),--($CR$7:$FW$7&lt;=GM$6),$CR16:$FW16)*GE16</f>
        <v>0</v>
      </c>
      <c r="GN16" s="145" cm="1">
        <f t="array" ref="GN16">SUMPRODUCT(--($CR$7:$FW$7&gt;=GN$5),--($CR$7:$FW$7&lt;=GN$6),$CR16:$FW16)*GF16</f>
        <v>0</v>
      </c>
      <c r="GO16" s="145">
        <f t="shared" si="0"/>
        <v>0</v>
      </c>
      <c r="GP16" s="87"/>
      <c r="GQ16" s="90"/>
      <c r="GR16" s="145" cm="1">
        <f t="array" ref="GR16">SUMPRODUCT(--($CR$7:$FW$7&gt;=GR$5),--($CR$7:$FW$7&lt;=GR$6),$CR16:$FW16)</f>
        <v>0</v>
      </c>
      <c r="GS16" s="90"/>
      <c r="GT16" s="90"/>
      <c r="GU16" s="90"/>
      <c r="GV16" s="90"/>
      <c r="GW16" s="90"/>
      <c r="GX16" s="90"/>
      <c r="GY16" s="90"/>
    </row>
    <row r="17" spans="2:207" x14ac:dyDescent="0.2">
      <c r="B17" s="141"/>
      <c r="C17" s="141"/>
      <c r="D17" s="141"/>
      <c r="E17" s="141"/>
      <c r="F17" s="141"/>
      <c r="G17" s="141"/>
      <c r="H17" s="142"/>
      <c r="I17" s="126"/>
      <c r="J17" s="143"/>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3"/>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3"/>
      <c r="FY17" s="146">
        <f>_xlfn.XLOOKUP($E17,'Key assumptions'!$B$112:$B$120,'Key assumptions'!$C$112:$C$120,0)</f>
        <v>0</v>
      </c>
      <c r="FZ17" s="146" cm="1">
        <f t="array" ref="FZ17">IF($FY17=0,0,_xlfn.IFS($FY17='Key assumptions'!$C$120,_xlfn.XLOOKUP(LEFT(FZ$7,6),Inflation_Year,Inflation_NominaltoReal),TRUE,_xlfn.XLOOKUP($FY17,Inflation_Year,NominaltoReal)))</f>
        <v>0</v>
      </c>
      <c r="GA17" s="146" cm="1">
        <f t="array" ref="GA17">IF($FY17=0,0,_xlfn.IFS($FY17='Key assumptions'!$C$120,_xlfn.XLOOKUP(LEFT(GA$7,6),Inflation_Year,Inflation_NominaltoReal),TRUE,_xlfn.XLOOKUP($FY17,Inflation_Year,NominaltoReal)))</f>
        <v>0</v>
      </c>
      <c r="GB17" s="146" cm="1">
        <f t="array" ref="GB17">IF($FY17=0,0,_xlfn.IFS($FY17='Key assumptions'!$C$120,_xlfn.XLOOKUP(LEFT(GB$7,6),Inflation_Year,Inflation_NominaltoReal),TRUE,_xlfn.XLOOKUP($FY17,Inflation_Year,NominaltoReal)))</f>
        <v>0</v>
      </c>
      <c r="GC17" s="146" cm="1">
        <f t="array" ref="GC17">IF($FY17=0,0,_xlfn.IFS($FY17='Key assumptions'!$C$120,_xlfn.XLOOKUP(LEFT(GC$7,6),Inflation_Year,Inflation_NominaltoReal),TRUE,_xlfn.XLOOKUP($FY17,Inflation_Year,NominaltoReal)))</f>
        <v>0</v>
      </c>
      <c r="GD17" s="146" cm="1">
        <f t="array" ref="GD17">IF($FY17=0,0,_xlfn.IFS($FY17='Key assumptions'!$C$120,_xlfn.XLOOKUP(LEFT(GD$7,6),Inflation_Year,Inflation_NominaltoReal),TRUE,_xlfn.XLOOKUP($FY17,Inflation_Year,NominaltoReal)))</f>
        <v>0</v>
      </c>
      <c r="GE17" s="146" cm="1">
        <f t="array" ref="GE17">IF($FY17=0,0,_xlfn.IFS($FY17='Key assumptions'!$C$120,_xlfn.XLOOKUP(LEFT(GE$7,6),Inflation_Year,Inflation_NominaltoReal),TRUE,_xlfn.XLOOKUP($FY17,Inflation_Year,NominaltoReal)))</f>
        <v>0</v>
      </c>
      <c r="GF17" s="146" cm="1">
        <f t="array" ref="GF17">IF($FY17=0,0,_xlfn.IFS($FY17='Key assumptions'!$C$120,_xlfn.XLOOKUP(LEFT(GF$7,6),Inflation_Year,Inflation_NominaltoReal),TRUE,_xlfn.XLOOKUP($FY17,Inflation_Year,NominaltoReal)))</f>
        <v>0</v>
      </c>
      <c r="GG17" s="143"/>
      <c r="GH17" s="145" cm="1">
        <f t="array" ref="GH17">SUMPRODUCT(--($CR$7:$FW$7&gt;=GH$5),--($CR$7:$FW$7&lt;=GH$6),$CR17:$FW17)*FZ17</f>
        <v>0</v>
      </c>
      <c r="GI17" s="145" cm="1">
        <f t="array" ref="GI17">SUMPRODUCT(--($CR$7:$FW$7&gt;=GI$5),--($CR$7:$FW$7&lt;=GI$6),$CR17:$FW17)*GA17</f>
        <v>0</v>
      </c>
      <c r="GJ17" s="145" cm="1">
        <f t="array" ref="GJ17">SUMPRODUCT(--($CR$7:$FW$7&gt;=GJ$5),--($CR$7:$FW$7&lt;=GJ$6),$CR17:$FW17)*GB17</f>
        <v>0</v>
      </c>
      <c r="GK17" s="145" cm="1">
        <f t="array" ref="GK17">SUMPRODUCT(--($CR$7:$FW$7&gt;=GK$5),--($CR$7:$FW$7&lt;=GK$6),$CR17:$FW17)*GC17</f>
        <v>0</v>
      </c>
      <c r="GL17" s="145" cm="1">
        <f t="array" ref="GL17">SUMPRODUCT(--($CR$7:$FW$7&gt;=GL$5),--($CR$7:$FW$7&lt;=GL$6),$CR17:$FW17)*GD17</f>
        <v>0</v>
      </c>
      <c r="GM17" s="145" cm="1">
        <f t="array" ref="GM17">SUMPRODUCT(--($CR$7:$FW$7&gt;=GM$5),--($CR$7:$FW$7&lt;=GM$6),$CR17:$FW17)*GE17</f>
        <v>0</v>
      </c>
      <c r="GN17" s="145" cm="1">
        <f t="array" ref="GN17">SUMPRODUCT(--($CR$7:$FW$7&gt;=GN$5),--($CR$7:$FW$7&lt;=GN$6),$CR17:$FW17)*GF17</f>
        <v>0</v>
      </c>
      <c r="GO17" s="145">
        <f t="shared" si="0"/>
        <v>0</v>
      </c>
      <c r="GP17" s="87"/>
      <c r="GQ17" s="90"/>
      <c r="GR17" s="145" cm="1">
        <f t="array" ref="GR17">SUMPRODUCT(--($CR$7:$FW$7&gt;=GR$5),--($CR$7:$FW$7&lt;=GR$6),$CR17:$FW17)</f>
        <v>0</v>
      </c>
      <c r="GS17" s="90"/>
      <c r="GT17" s="90"/>
      <c r="GU17" s="90"/>
      <c r="GV17" s="90"/>
      <c r="GW17" s="90"/>
      <c r="GX17" s="90"/>
      <c r="GY17" s="90"/>
    </row>
    <row r="18" spans="2:207" x14ac:dyDescent="0.2">
      <c r="B18" s="141"/>
      <c r="C18" s="141"/>
      <c r="D18" s="141"/>
      <c r="E18" s="141"/>
      <c r="F18" s="141"/>
      <c r="G18" s="141"/>
      <c r="H18" s="142"/>
      <c r="I18" s="126"/>
      <c r="J18" s="143"/>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3"/>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3"/>
      <c r="FY18" s="146">
        <f>_xlfn.XLOOKUP($E18,'Key assumptions'!$B$112:$B$120,'Key assumptions'!$C$112:$C$120,0)</f>
        <v>0</v>
      </c>
      <c r="FZ18" s="146" cm="1">
        <f t="array" ref="FZ18">IF($FY18=0,0,_xlfn.IFS($FY18='Key assumptions'!$C$120,_xlfn.XLOOKUP(LEFT(FZ$7,6),Inflation_Year,Inflation_NominaltoReal),TRUE,_xlfn.XLOOKUP($FY18,Inflation_Year,NominaltoReal)))</f>
        <v>0</v>
      </c>
      <c r="GA18" s="146" cm="1">
        <f t="array" ref="GA18">IF($FY18=0,0,_xlfn.IFS($FY18='Key assumptions'!$C$120,_xlfn.XLOOKUP(LEFT(GA$7,6),Inflation_Year,Inflation_NominaltoReal),TRUE,_xlfn.XLOOKUP($FY18,Inflation_Year,NominaltoReal)))</f>
        <v>0</v>
      </c>
      <c r="GB18" s="146" cm="1">
        <f t="array" ref="GB18">IF($FY18=0,0,_xlfn.IFS($FY18='Key assumptions'!$C$120,_xlfn.XLOOKUP(LEFT(GB$7,6),Inflation_Year,Inflation_NominaltoReal),TRUE,_xlfn.XLOOKUP($FY18,Inflation_Year,NominaltoReal)))</f>
        <v>0</v>
      </c>
      <c r="GC18" s="146" cm="1">
        <f t="array" ref="GC18">IF($FY18=0,0,_xlfn.IFS($FY18='Key assumptions'!$C$120,_xlfn.XLOOKUP(LEFT(GC$7,6),Inflation_Year,Inflation_NominaltoReal),TRUE,_xlfn.XLOOKUP($FY18,Inflation_Year,NominaltoReal)))</f>
        <v>0</v>
      </c>
      <c r="GD18" s="146" cm="1">
        <f t="array" ref="GD18">IF($FY18=0,0,_xlfn.IFS($FY18='Key assumptions'!$C$120,_xlfn.XLOOKUP(LEFT(GD$7,6),Inflation_Year,Inflation_NominaltoReal),TRUE,_xlfn.XLOOKUP($FY18,Inflation_Year,NominaltoReal)))</f>
        <v>0</v>
      </c>
      <c r="GE18" s="146" cm="1">
        <f t="array" ref="GE18">IF($FY18=0,0,_xlfn.IFS($FY18='Key assumptions'!$C$120,_xlfn.XLOOKUP(LEFT(GE$7,6),Inflation_Year,Inflation_NominaltoReal),TRUE,_xlfn.XLOOKUP($FY18,Inflation_Year,NominaltoReal)))</f>
        <v>0</v>
      </c>
      <c r="GF18" s="146" cm="1">
        <f t="array" ref="GF18">IF($FY18=0,0,_xlfn.IFS($FY18='Key assumptions'!$C$120,_xlfn.XLOOKUP(LEFT(GF$7,6),Inflation_Year,Inflation_NominaltoReal),TRUE,_xlfn.XLOOKUP($FY18,Inflation_Year,NominaltoReal)))</f>
        <v>0</v>
      </c>
      <c r="GG18" s="143"/>
      <c r="GH18" s="145" cm="1">
        <f t="array" ref="GH18">SUMPRODUCT(--($CR$7:$FW$7&gt;=GH$5),--($CR$7:$FW$7&lt;=GH$6),$CR18:$FW18)*FZ18</f>
        <v>0</v>
      </c>
      <c r="GI18" s="145" cm="1">
        <f t="array" ref="GI18">SUMPRODUCT(--($CR$7:$FW$7&gt;=GI$5),--($CR$7:$FW$7&lt;=GI$6),$CR18:$FW18)*GA18</f>
        <v>0</v>
      </c>
      <c r="GJ18" s="145" cm="1">
        <f t="array" ref="GJ18">SUMPRODUCT(--($CR$7:$FW$7&gt;=GJ$5),--($CR$7:$FW$7&lt;=GJ$6),$CR18:$FW18)*GB18</f>
        <v>0</v>
      </c>
      <c r="GK18" s="145" cm="1">
        <f t="array" ref="GK18">SUMPRODUCT(--($CR$7:$FW$7&gt;=GK$5),--($CR$7:$FW$7&lt;=GK$6),$CR18:$FW18)*GC18</f>
        <v>0</v>
      </c>
      <c r="GL18" s="145" cm="1">
        <f t="array" ref="GL18">SUMPRODUCT(--($CR$7:$FW$7&gt;=GL$5),--($CR$7:$FW$7&lt;=GL$6),$CR18:$FW18)*GD18</f>
        <v>0</v>
      </c>
      <c r="GM18" s="145" cm="1">
        <f t="array" ref="GM18">SUMPRODUCT(--($CR$7:$FW$7&gt;=GM$5),--($CR$7:$FW$7&lt;=GM$6),$CR18:$FW18)*GE18</f>
        <v>0</v>
      </c>
      <c r="GN18" s="145" cm="1">
        <f t="array" ref="GN18">SUMPRODUCT(--($CR$7:$FW$7&gt;=GN$5),--($CR$7:$FW$7&lt;=GN$6),$CR18:$FW18)*GF18</f>
        <v>0</v>
      </c>
      <c r="GO18" s="145">
        <f t="shared" si="0"/>
        <v>0</v>
      </c>
      <c r="GP18" s="87"/>
      <c r="GQ18" s="89"/>
      <c r="GR18" s="145" cm="1">
        <f t="array" ref="GR18">SUMPRODUCT(--($CR$7:$FW$7&gt;=GR$5),--($CR$7:$FW$7&lt;=GR$6),$CR18:$FW18)</f>
        <v>0</v>
      </c>
      <c r="GS18" s="89"/>
      <c r="GT18" s="89"/>
      <c r="GU18" s="89"/>
      <c r="GV18" s="89"/>
      <c r="GW18" s="89"/>
      <c r="GX18" s="89"/>
      <c r="GY18" s="89"/>
    </row>
    <row r="19" spans="2:207" x14ac:dyDescent="0.2">
      <c r="B19" s="141"/>
      <c r="C19" s="141"/>
      <c r="D19" s="141"/>
      <c r="E19" s="141"/>
      <c r="F19" s="141"/>
      <c r="G19" s="141"/>
      <c r="H19" s="142"/>
      <c r="I19" s="126"/>
      <c r="J19" s="143"/>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3"/>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3"/>
      <c r="FY19" s="146">
        <f>_xlfn.XLOOKUP($E19,'Key assumptions'!$B$112:$B$120,'Key assumptions'!$C$112:$C$120,0)</f>
        <v>0</v>
      </c>
      <c r="FZ19" s="146" cm="1">
        <f t="array" ref="FZ19">IF($FY19=0,0,_xlfn.IFS($FY19='Key assumptions'!$C$120,_xlfn.XLOOKUP(LEFT(FZ$7,6),Inflation_Year,Inflation_NominaltoReal),TRUE,_xlfn.XLOOKUP($FY19,Inflation_Year,NominaltoReal)))</f>
        <v>0</v>
      </c>
      <c r="GA19" s="146" cm="1">
        <f t="array" ref="GA19">IF($FY19=0,0,_xlfn.IFS($FY19='Key assumptions'!$C$120,_xlfn.XLOOKUP(LEFT(GA$7,6),Inflation_Year,Inflation_NominaltoReal),TRUE,_xlfn.XLOOKUP($FY19,Inflation_Year,NominaltoReal)))</f>
        <v>0</v>
      </c>
      <c r="GB19" s="146" cm="1">
        <f t="array" ref="GB19">IF($FY19=0,0,_xlfn.IFS($FY19='Key assumptions'!$C$120,_xlfn.XLOOKUP(LEFT(GB$7,6),Inflation_Year,Inflation_NominaltoReal),TRUE,_xlfn.XLOOKUP($FY19,Inflation_Year,NominaltoReal)))</f>
        <v>0</v>
      </c>
      <c r="GC19" s="146" cm="1">
        <f t="array" ref="GC19">IF($FY19=0,0,_xlfn.IFS($FY19='Key assumptions'!$C$120,_xlfn.XLOOKUP(LEFT(GC$7,6),Inflation_Year,Inflation_NominaltoReal),TRUE,_xlfn.XLOOKUP($FY19,Inflation_Year,NominaltoReal)))</f>
        <v>0</v>
      </c>
      <c r="GD19" s="146" cm="1">
        <f t="array" ref="GD19">IF($FY19=0,0,_xlfn.IFS($FY19='Key assumptions'!$C$120,_xlfn.XLOOKUP(LEFT(GD$7,6),Inflation_Year,Inflation_NominaltoReal),TRUE,_xlfn.XLOOKUP($FY19,Inflation_Year,NominaltoReal)))</f>
        <v>0</v>
      </c>
      <c r="GE19" s="146" cm="1">
        <f t="array" ref="GE19">IF($FY19=0,0,_xlfn.IFS($FY19='Key assumptions'!$C$120,_xlfn.XLOOKUP(LEFT(GE$7,6),Inflation_Year,Inflation_NominaltoReal),TRUE,_xlfn.XLOOKUP($FY19,Inflation_Year,NominaltoReal)))</f>
        <v>0</v>
      </c>
      <c r="GF19" s="146" cm="1">
        <f t="array" ref="GF19">IF($FY19=0,0,_xlfn.IFS($FY19='Key assumptions'!$C$120,_xlfn.XLOOKUP(LEFT(GF$7,6),Inflation_Year,Inflation_NominaltoReal),TRUE,_xlfn.XLOOKUP($FY19,Inflation_Year,NominaltoReal)))</f>
        <v>0</v>
      </c>
      <c r="GG19" s="143"/>
      <c r="GH19" s="145" cm="1">
        <f t="array" ref="GH19">SUMPRODUCT(--($CR$7:$FW$7&gt;=GH$5),--($CR$7:$FW$7&lt;=GH$6),$CR19:$FW19)*FZ19</f>
        <v>0</v>
      </c>
      <c r="GI19" s="145" cm="1">
        <f t="array" ref="GI19">SUMPRODUCT(--($CR$7:$FW$7&gt;=GI$5),--($CR$7:$FW$7&lt;=GI$6),$CR19:$FW19)*GA19</f>
        <v>0</v>
      </c>
      <c r="GJ19" s="145" cm="1">
        <f t="array" ref="GJ19">SUMPRODUCT(--($CR$7:$FW$7&gt;=GJ$5),--($CR$7:$FW$7&lt;=GJ$6),$CR19:$FW19)*GB19</f>
        <v>0</v>
      </c>
      <c r="GK19" s="145" cm="1">
        <f t="array" ref="GK19">SUMPRODUCT(--($CR$7:$FW$7&gt;=GK$5),--($CR$7:$FW$7&lt;=GK$6),$CR19:$FW19)*GC19</f>
        <v>0</v>
      </c>
      <c r="GL19" s="145" cm="1">
        <f t="array" ref="GL19">SUMPRODUCT(--($CR$7:$FW$7&gt;=GL$5),--($CR$7:$FW$7&lt;=GL$6),$CR19:$FW19)*GD19</f>
        <v>0</v>
      </c>
      <c r="GM19" s="145" cm="1">
        <f t="array" ref="GM19">SUMPRODUCT(--($CR$7:$FW$7&gt;=GM$5),--($CR$7:$FW$7&lt;=GM$6),$CR19:$FW19)*GE19</f>
        <v>0</v>
      </c>
      <c r="GN19" s="145" cm="1">
        <f t="array" ref="GN19">SUMPRODUCT(--($CR$7:$FW$7&gt;=GN$5),--($CR$7:$FW$7&lt;=GN$6),$CR19:$FW19)*GF19</f>
        <v>0</v>
      </c>
      <c r="GO19" s="145">
        <f t="shared" si="0"/>
        <v>0</v>
      </c>
      <c r="GP19" s="87"/>
      <c r="GQ19" s="89"/>
      <c r="GR19" s="145" cm="1">
        <f t="array" ref="GR19">SUMPRODUCT(--($CR$7:$FW$7&gt;=GR$5),--($CR$7:$FW$7&lt;=GR$6),$CR19:$FW19)</f>
        <v>0</v>
      </c>
      <c r="GS19" s="89"/>
      <c r="GT19" s="89"/>
      <c r="GU19" s="89"/>
      <c r="GV19" s="89"/>
      <c r="GW19" s="89"/>
      <c r="GX19" s="89"/>
      <c r="GY19" s="89"/>
    </row>
    <row r="20" spans="2:207" x14ac:dyDescent="0.2">
      <c r="B20" s="141"/>
      <c r="C20" s="141"/>
      <c r="D20" s="141"/>
      <c r="E20" s="141"/>
      <c r="F20" s="141"/>
      <c r="G20" s="141"/>
      <c r="H20" s="142"/>
      <c r="I20" s="126"/>
      <c r="J20" s="143"/>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3"/>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c r="EE20" s="145"/>
      <c r="EF20" s="145"/>
      <c r="EG20" s="145"/>
      <c r="EH20" s="145"/>
      <c r="EI20" s="145"/>
      <c r="EJ20" s="145"/>
      <c r="EK20" s="145"/>
      <c r="EL20" s="145"/>
      <c r="EM20" s="145"/>
      <c r="EN20" s="145"/>
      <c r="EO20" s="145"/>
      <c r="EP20" s="145"/>
      <c r="EQ20" s="145"/>
      <c r="ER20" s="145"/>
      <c r="ES20" s="145"/>
      <c r="ET20" s="145"/>
      <c r="EU20" s="145"/>
      <c r="EV20" s="145"/>
      <c r="EW20" s="145"/>
      <c r="EX20" s="145"/>
      <c r="EY20" s="145"/>
      <c r="EZ20" s="145"/>
      <c r="FA20" s="145"/>
      <c r="FB20" s="145"/>
      <c r="FC20" s="145"/>
      <c r="FD20" s="145"/>
      <c r="FE20" s="145"/>
      <c r="FF20" s="145"/>
      <c r="FG20" s="145"/>
      <c r="FH20" s="145"/>
      <c r="FI20" s="145"/>
      <c r="FJ20" s="145"/>
      <c r="FK20" s="145"/>
      <c r="FL20" s="145"/>
      <c r="FM20" s="145"/>
      <c r="FN20" s="145"/>
      <c r="FO20" s="145"/>
      <c r="FP20" s="145"/>
      <c r="FQ20" s="145"/>
      <c r="FR20" s="145"/>
      <c r="FS20" s="145"/>
      <c r="FT20" s="145"/>
      <c r="FU20" s="145"/>
      <c r="FV20" s="145"/>
      <c r="FW20" s="145"/>
      <c r="FX20" s="143"/>
      <c r="FY20" s="146">
        <f>_xlfn.XLOOKUP($E20,'Key assumptions'!$B$112:$B$120,'Key assumptions'!$C$112:$C$120,0)</f>
        <v>0</v>
      </c>
      <c r="FZ20" s="146" cm="1">
        <f t="array" ref="FZ20">IF($FY20=0,0,_xlfn.IFS($FY20='Key assumptions'!$C$120,_xlfn.XLOOKUP(LEFT(FZ$7,6),Inflation_Year,Inflation_NominaltoReal),TRUE,_xlfn.XLOOKUP($FY20,Inflation_Year,NominaltoReal)))</f>
        <v>0</v>
      </c>
      <c r="GA20" s="146" cm="1">
        <f t="array" ref="GA20">IF($FY20=0,0,_xlfn.IFS($FY20='Key assumptions'!$C$120,_xlfn.XLOOKUP(LEFT(GA$7,6),Inflation_Year,Inflation_NominaltoReal),TRUE,_xlfn.XLOOKUP($FY20,Inflation_Year,NominaltoReal)))</f>
        <v>0</v>
      </c>
      <c r="GB20" s="146" cm="1">
        <f t="array" ref="GB20">IF($FY20=0,0,_xlfn.IFS($FY20='Key assumptions'!$C$120,_xlfn.XLOOKUP(LEFT(GB$7,6),Inflation_Year,Inflation_NominaltoReal),TRUE,_xlfn.XLOOKUP($FY20,Inflation_Year,NominaltoReal)))</f>
        <v>0</v>
      </c>
      <c r="GC20" s="146" cm="1">
        <f t="array" ref="GC20">IF($FY20=0,0,_xlfn.IFS($FY20='Key assumptions'!$C$120,_xlfn.XLOOKUP(LEFT(GC$7,6),Inflation_Year,Inflation_NominaltoReal),TRUE,_xlfn.XLOOKUP($FY20,Inflation_Year,NominaltoReal)))</f>
        <v>0</v>
      </c>
      <c r="GD20" s="146" cm="1">
        <f t="array" ref="GD20">IF($FY20=0,0,_xlfn.IFS($FY20='Key assumptions'!$C$120,_xlfn.XLOOKUP(LEFT(GD$7,6),Inflation_Year,Inflation_NominaltoReal),TRUE,_xlfn.XLOOKUP($FY20,Inflation_Year,NominaltoReal)))</f>
        <v>0</v>
      </c>
      <c r="GE20" s="146" cm="1">
        <f t="array" ref="GE20">IF($FY20=0,0,_xlfn.IFS($FY20='Key assumptions'!$C$120,_xlfn.XLOOKUP(LEFT(GE$7,6),Inflation_Year,Inflation_NominaltoReal),TRUE,_xlfn.XLOOKUP($FY20,Inflation_Year,NominaltoReal)))</f>
        <v>0</v>
      </c>
      <c r="GF20" s="146" cm="1">
        <f t="array" ref="GF20">IF($FY20=0,0,_xlfn.IFS($FY20='Key assumptions'!$C$120,_xlfn.XLOOKUP(LEFT(GF$7,6),Inflation_Year,Inflation_NominaltoReal),TRUE,_xlfn.XLOOKUP($FY20,Inflation_Year,NominaltoReal)))</f>
        <v>0</v>
      </c>
      <c r="GG20" s="143"/>
      <c r="GH20" s="145" cm="1">
        <f t="array" ref="GH20">SUMPRODUCT(--($CR$7:$FW$7&gt;=GH$5),--($CR$7:$FW$7&lt;=GH$6),$CR20:$FW20)*FZ20</f>
        <v>0</v>
      </c>
      <c r="GI20" s="145" cm="1">
        <f t="array" ref="GI20">SUMPRODUCT(--($CR$7:$FW$7&gt;=GI$5),--($CR$7:$FW$7&lt;=GI$6),$CR20:$FW20)*GA20</f>
        <v>0</v>
      </c>
      <c r="GJ20" s="145" cm="1">
        <f t="array" ref="GJ20">SUMPRODUCT(--($CR$7:$FW$7&gt;=GJ$5),--($CR$7:$FW$7&lt;=GJ$6),$CR20:$FW20)*GB20</f>
        <v>0</v>
      </c>
      <c r="GK20" s="145" cm="1">
        <f t="array" ref="GK20">SUMPRODUCT(--($CR$7:$FW$7&gt;=GK$5),--($CR$7:$FW$7&lt;=GK$6),$CR20:$FW20)*GC20</f>
        <v>0</v>
      </c>
      <c r="GL20" s="145" cm="1">
        <f t="array" ref="GL20">SUMPRODUCT(--($CR$7:$FW$7&gt;=GL$5),--($CR$7:$FW$7&lt;=GL$6),$CR20:$FW20)*GD20</f>
        <v>0</v>
      </c>
      <c r="GM20" s="145" cm="1">
        <f t="array" ref="GM20">SUMPRODUCT(--($CR$7:$FW$7&gt;=GM$5),--($CR$7:$FW$7&lt;=GM$6),$CR20:$FW20)*GE20</f>
        <v>0</v>
      </c>
      <c r="GN20" s="145" cm="1">
        <f t="array" ref="GN20">SUMPRODUCT(--($CR$7:$FW$7&gt;=GN$5),--($CR$7:$FW$7&lt;=GN$6),$CR20:$FW20)*GF20</f>
        <v>0</v>
      </c>
      <c r="GO20" s="145">
        <f t="shared" si="0"/>
        <v>0</v>
      </c>
      <c r="GP20" s="87"/>
      <c r="GQ20" s="89"/>
      <c r="GR20" s="145" cm="1">
        <f t="array" ref="GR20">SUMPRODUCT(--($CR$7:$FW$7&gt;=GR$5),--($CR$7:$FW$7&lt;=GR$6),$CR20:$FW20)</f>
        <v>0</v>
      </c>
      <c r="GS20" s="89"/>
      <c r="GT20" s="89"/>
      <c r="GU20" s="89"/>
      <c r="GV20" s="89"/>
      <c r="GW20" s="89"/>
      <c r="GX20" s="89"/>
      <c r="GY20" s="89"/>
    </row>
    <row r="21" spans="2:207" x14ac:dyDescent="0.2">
      <c r="B21" s="141"/>
      <c r="C21" s="141"/>
      <c r="D21" s="141"/>
      <c r="E21" s="141"/>
      <c r="F21" s="141"/>
      <c r="G21" s="141"/>
      <c r="H21" s="142"/>
      <c r="I21" s="126"/>
      <c r="J21" s="143"/>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3"/>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3"/>
      <c r="FY21" s="146">
        <f>_xlfn.XLOOKUP($E21,'Key assumptions'!$B$112:$B$120,'Key assumptions'!$C$112:$C$120,0)</f>
        <v>0</v>
      </c>
      <c r="FZ21" s="146" cm="1">
        <f t="array" ref="FZ21">IF($FY21=0,0,_xlfn.IFS($FY21='Key assumptions'!$C$120,_xlfn.XLOOKUP(LEFT(FZ$7,6),Inflation_Year,Inflation_NominaltoReal),TRUE,_xlfn.XLOOKUP($FY21,Inflation_Year,NominaltoReal)))</f>
        <v>0</v>
      </c>
      <c r="GA21" s="146" cm="1">
        <f t="array" ref="GA21">IF($FY21=0,0,_xlfn.IFS($FY21='Key assumptions'!$C$120,_xlfn.XLOOKUP(LEFT(GA$7,6),Inflation_Year,Inflation_NominaltoReal),TRUE,_xlfn.XLOOKUP($FY21,Inflation_Year,NominaltoReal)))</f>
        <v>0</v>
      </c>
      <c r="GB21" s="146" cm="1">
        <f t="array" ref="GB21">IF($FY21=0,0,_xlfn.IFS($FY21='Key assumptions'!$C$120,_xlfn.XLOOKUP(LEFT(GB$7,6),Inflation_Year,Inflation_NominaltoReal),TRUE,_xlfn.XLOOKUP($FY21,Inflation_Year,NominaltoReal)))</f>
        <v>0</v>
      </c>
      <c r="GC21" s="146" cm="1">
        <f t="array" ref="GC21">IF($FY21=0,0,_xlfn.IFS($FY21='Key assumptions'!$C$120,_xlfn.XLOOKUP(LEFT(GC$7,6),Inflation_Year,Inflation_NominaltoReal),TRUE,_xlfn.XLOOKUP($FY21,Inflation_Year,NominaltoReal)))</f>
        <v>0</v>
      </c>
      <c r="GD21" s="146" cm="1">
        <f t="array" ref="GD21">IF($FY21=0,0,_xlfn.IFS($FY21='Key assumptions'!$C$120,_xlfn.XLOOKUP(LEFT(GD$7,6),Inflation_Year,Inflation_NominaltoReal),TRUE,_xlfn.XLOOKUP($FY21,Inflation_Year,NominaltoReal)))</f>
        <v>0</v>
      </c>
      <c r="GE21" s="146" cm="1">
        <f t="array" ref="GE21">IF($FY21=0,0,_xlfn.IFS($FY21='Key assumptions'!$C$120,_xlfn.XLOOKUP(LEFT(GE$7,6),Inflation_Year,Inflation_NominaltoReal),TRUE,_xlfn.XLOOKUP($FY21,Inflation_Year,NominaltoReal)))</f>
        <v>0</v>
      </c>
      <c r="GF21" s="146" cm="1">
        <f t="array" ref="GF21">IF($FY21=0,0,_xlfn.IFS($FY21='Key assumptions'!$C$120,_xlfn.XLOOKUP(LEFT(GF$7,6),Inflation_Year,Inflation_NominaltoReal),TRUE,_xlfn.XLOOKUP($FY21,Inflation_Year,NominaltoReal)))</f>
        <v>0</v>
      </c>
      <c r="GG21" s="143"/>
      <c r="GH21" s="145" cm="1">
        <f t="array" ref="GH21">SUMPRODUCT(--($CR$7:$FW$7&gt;=GH$5),--($CR$7:$FW$7&lt;=GH$6),$CR21:$FW21)*FZ21</f>
        <v>0</v>
      </c>
      <c r="GI21" s="145" cm="1">
        <f t="array" ref="GI21">SUMPRODUCT(--($CR$7:$FW$7&gt;=GI$5),--($CR$7:$FW$7&lt;=GI$6),$CR21:$FW21)*GA21</f>
        <v>0</v>
      </c>
      <c r="GJ21" s="145" cm="1">
        <f t="array" ref="GJ21">SUMPRODUCT(--($CR$7:$FW$7&gt;=GJ$5),--($CR$7:$FW$7&lt;=GJ$6),$CR21:$FW21)*GB21</f>
        <v>0</v>
      </c>
      <c r="GK21" s="145" cm="1">
        <f t="array" ref="GK21">SUMPRODUCT(--($CR$7:$FW$7&gt;=GK$5),--($CR$7:$FW$7&lt;=GK$6),$CR21:$FW21)*GC21</f>
        <v>0</v>
      </c>
      <c r="GL21" s="145" cm="1">
        <f t="array" ref="GL21">SUMPRODUCT(--($CR$7:$FW$7&gt;=GL$5),--($CR$7:$FW$7&lt;=GL$6),$CR21:$FW21)*GD21</f>
        <v>0</v>
      </c>
      <c r="GM21" s="145" cm="1">
        <f t="array" ref="GM21">SUMPRODUCT(--($CR$7:$FW$7&gt;=GM$5),--($CR$7:$FW$7&lt;=GM$6),$CR21:$FW21)*GE21</f>
        <v>0</v>
      </c>
      <c r="GN21" s="145" cm="1">
        <f t="array" ref="GN21">SUMPRODUCT(--($CR$7:$FW$7&gt;=GN$5),--($CR$7:$FW$7&lt;=GN$6),$CR21:$FW21)*GF21</f>
        <v>0</v>
      </c>
      <c r="GO21" s="145">
        <f t="shared" si="0"/>
        <v>0</v>
      </c>
      <c r="GP21" s="87"/>
      <c r="GQ21" s="90"/>
      <c r="GR21" s="145" cm="1">
        <f t="array" ref="GR21">SUMPRODUCT(--($CR$7:$FW$7&gt;=GR$5),--($CR$7:$FW$7&lt;=GR$6),$CR21:$FW21)</f>
        <v>0</v>
      </c>
      <c r="GS21" s="90"/>
      <c r="GT21" s="90"/>
      <c r="GU21" s="90"/>
      <c r="GV21" s="90"/>
      <c r="GW21" s="90"/>
      <c r="GX21" s="90"/>
      <c r="GY21" s="90"/>
    </row>
    <row r="22" spans="2:207" x14ac:dyDescent="0.2">
      <c r="B22" s="141"/>
      <c r="C22" s="141"/>
      <c r="D22" s="141"/>
      <c r="E22" s="141"/>
      <c r="F22" s="141"/>
      <c r="G22" s="141"/>
      <c r="H22" s="142"/>
      <c r="I22" s="126"/>
      <c r="J22" s="143"/>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3"/>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c r="EE22" s="145"/>
      <c r="EF22" s="145"/>
      <c r="EG22" s="145"/>
      <c r="EH22" s="145"/>
      <c r="EI22" s="145"/>
      <c r="EJ22" s="145"/>
      <c r="EK22" s="145"/>
      <c r="EL22" s="145"/>
      <c r="EM22" s="145"/>
      <c r="EN22" s="145"/>
      <c r="EO22" s="145"/>
      <c r="EP22" s="145"/>
      <c r="EQ22" s="145"/>
      <c r="ER22" s="145"/>
      <c r="ES22" s="145"/>
      <c r="ET22" s="145"/>
      <c r="EU22" s="145"/>
      <c r="EV22" s="145"/>
      <c r="EW22" s="145"/>
      <c r="EX22" s="145"/>
      <c r="EY22" s="145"/>
      <c r="EZ22" s="145"/>
      <c r="FA22" s="145"/>
      <c r="FB22" s="145"/>
      <c r="FC22" s="145"/>
      <c r="FD22" s="145"/>
      <c r="FE22" s="145"/>
      <c r="FF22" s="145"/>
      <c r="FG22" s="145"/>
      <c r="FH22" s="145"/>
      <c r="FI22" s="145"/>
      <c r="FJ22" s="145"/>
      <c r="FK22" s="145"/>
      <c r="FL22" s="145"/>
      <c r="FM22" s="145"/>
      <c r="FN22" s="145"/>
      <c r="FO22" s="145"/>
      <c r="FP22" s="145"/>
      <c r="FQ22" s="145"/>
      <c r="FR22" s="145"/>
      <c r="FS22" s="145"/>
      <c r="FT22" s="145"/>
      <c r="FU22" s="145"/>
      <c r="FV22" s="145"/>
      <c r="FW22" s="145"/>
      <c r="FX22" s="143"/>
      <c r="FY22" s="146">
        <f>_xlfn.XLOOKUP($E22,'Key assumptions'!$B$112:$B$120,'Key assumptions'!$C$112:$C$120,0)</f>
        <v>0</v>
      </c>
      <c r="FZ22" s="146" cm="1">
        <f t="array" ref="FZ22">IF($FY22=0,0,_xlfn.IFS($FY22='Key assumptions'!$C$120,_xlfn.XLOOKUP(LEFT(FZ$7,6),Inflation_Year,Inflation_NominaltoReal),TRUE,_xlfn.XLOOKUP($FY22,Inflation_Year,NominaltoReal)))</f>
        <v>0</v>
      </c>
      <c r="GA22" s="146" cm="1">
        <f t="array" ref="GA22">IF($FY22=0,0,_xlfn.IFS($FY22='Key assumptions'!$C$120,_xlfn.XLOOKUP(LEFT(GA$7,6),Inflation_Year,Inflation_NominaltoReal),TRUE,_xlfn.XLOOKUP($FY22,Inflation_Year,NominaltoReal)))</f>
        <v>0</v>
      </c>
      <c r="GB22" s="146" cm="1">
        <f t="array" ref="GB22">IF($FY22=0,0,_xlfn.IFS($FY22='Key assumptions'!$C$120,_xlfn.XLOOKUP(LEFT(GB$7,6),Inflation_Year,Inflation_NominaltoReal),TRUE,_xlfn.XLOOKUP($FY22,Inflation_Year,NominaltoReal)))</f>
        <v>0</v>
      </c>
      <c r="GC22" s="146" cm="1">
        <f t="array" ref="GC22">IF($FY22=0,0,_xlfn.IFS($FY22='Key assumptions'!$C$120,_xlfn.XLOOKUP(LEFT(GC$7,6),Inflation_Year,Inflation_NominaltoReal),TRUE,_xlfn.XLOOKUP($FY22,Inflation_Year,NominaltoReal)))</f>
        <v>0</v>
      </c>
      <c r="GD22" s="146" cm="1">
        <f t="array" ref="GD22">IF($FY22=0,0,_xlfn.IFS($FY22='Key assumptions'!$C$120,_xlfn.XLOOKUP(LEFT(GD$7,6),Inflation_Year,Inflation_NominaltoReal),TRUE,_xlfn.XLOOKUP($FY22,Inflation_Year,NominaltoReal)))</f>
        <v>0</v>
      </c>
      <c r="GE22" s="146" cm="1">
        <f t="array" ref="GE22">IF($FY22=0,0,_xlfn.IFS($FY22='Key assumptions'!$C$120,_xlfn.XLOOKUP(LEFT(GE$7,6),Inflation_Year,Inflation_NominaltoReal),TRUE,_xlfn.XLOOKUP($FY22,Inflation_Year,NominaltoReal)))</f>
        <v>0</v>
      </c>
      <c r="GF22" s="146" cm="1">
        <f t="array" ref="GF22">IF($FY22=0,0,_xlfn.IFS($FY22='Key assumptions'!$C$120,_xlfn.XLOOKUP(LEFT(GF$7,6),Inflation_Year,Inflation_NominaltoReal),TRUE,_xlfn.XLOOKUP($FY22,Inflation_Year,NominaltoReal)))</f>
        <v>0</v>
      </c>
      <c r="GG22" s="143"/>
      <c r="GH22" s="145" cm="1">
        <f t="array" ref="GH22">SUMPRODUCT(--($CR$7:$FW$7&gt;=GH$5),--($CR$7:$FW$7&lt;=GH$6),$CR22:$FW22)*FZ22</f>
        <v>0</v>
      </c>
      <c r="GI22" s="145" cm="1">
        <f t="array" ref="GI22">SUMPRODUCT(--($CR$7:$FW$7&gt;=GI$5),--($CR$7:$FW$7&lt;=GI$6),$CR22:$FW22)*GA22</f>
        <v>0</v>
      </c>
      <c r="GJ22" s="145" cm="1">
        <f t="array" ref="GJ22">SUMPRODUCT(--($CR$7:$FW$7&gt;=GJ$5),--($CR$7:$FW$7&lt;=GJ$6),$CR22:$FW22)*GB22</f>
        <v>0</v>
      </c>
      <c r="GK22" s="145" cm="1">
        <f t="array" ref="GK22">SUMPRODUCT(--($CR$7:$FW$7&gt;=GK$5),--($CR$7:$FW$7&lt;=GK$6),$CR22:$FW22)*GC22</f>
        <v>0</v>
      </c>
      <c r="GL22" s="145" cm="1">
        <f t="array" ref="GL22">SUMPRODUCT(--($CR$7:$FW$7&gt;=GL$5),--($CR$7:$FW$7&lt;=GL$6),$CR22:$FW22)*GD22</f>
        <v>0</v>
      </c>
      <c r="GM22" s="145" cm="1">
        <f t="array" ref="GM22">SUMPRODUCT(--($CR$7:$FW$7&gt;=GM$5),--($CR$7:$FW$7&lt;=GM$6),$CR22:$FW22)*GE22</f>
        <v>0</v>
      </c>
      <c r="GN22" s="145" cm="1">
        <f t="array" ref="GN22">SUMPRODUCT(--($CR$7:$FW$7&gt;=GN$5),--($CR$7:$FW$7&lt;=GN$6),$CR22:$FW22)*GF22</f>
        <v>0</v>
      </c>
      <c r="GO22" s="145">
        <f t="shared" si="0"/>
        <v>0</v>
      </c>
      <c r="GP22" s="87"/>
      <c r="GQ22" s="89"/>
      <c r="GR22" s="145" cm="1">
        <f t="array" ref="GR22">SUMPRODUCT(--($CR$7:$FW$7&gt;=GR$5),--($CR$7:$FW$7&lt;=GR$6),$CR22:$FW22)</f>
        <v>0</v>
      </c>
      <c r="GS22" s="89"/>
      <c r="GT22" s="89"/>
      <c r="GU22" s="89"/>
      <c r="GV22" s="89"/>
      <c r="GW22" s="89"/>
      <c r="GX22" s="89"/>
      <c r="GY22" s="89"/>
    </row>
    <row r="23" spans="2:207" x14ac:dyDescent="0.2">
      <c r="B23" s="141"/>
      <c r="C23" s="141"/>
      <c r="D23" s="141"/>
      <c r="E23" s="141"/>
      <c r="F23" s="141"/>
      <c r="G23" s="141"/>
      <c r="H23" s="142"/>
      <c r="I23" s="126"/>
      <c r="J23" s="143"/>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3"/>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3"/>
      <c r="FY23" s="146">
        <f>_xlfn.XLOOKUP($E23,'Key assumptions'!$B$112:$B$120,'Key assumptions'!$C$112:$C$120,0)</f>
        <v>0</v>
      </c>
      <c r="FZ23" s="146" cm="1">
        <f t="array" ref="FZ23">IF($FY23=0,0,_xlfn.IFS($FY23='Key assumptions'!$C$120,_xlfn.XLOOKUP(LEFT(FZ$7,6),Inflation_Year,Inflation_NominaltoReal),TRUE,_xlfn.XLOOKUP($FY23,Inflation_Year,NominaltoReal)))</f>
        <v>0</v>
      </c>
      <c r="GA23" s="146" cm="1">
        <f t="array" ref="GA23">IF($FY23=0,0,_xlfn.IFS($FY23='Key assumptions'!$C$120,_xlfn.XLOOKUP(LEFT(GA$7,6),Inflation_Year,Inflation_NominaltoReal),TRUE,_xlfn.XLOOKUP($FY23,Inflation_Year,NominaltoReal)))</f>
        <v>0</v>
      </c>
      <c r="GB23" s="146" cm="1">
        <f t="array" ref="GB23">IF($FY23=0,0,_xlfn.IFS($FY23='Key assumptions'!$C$120,_xlfn.XLOOKUP(LEFT(GB$7,6),Inflation_Year,Inflation_NominaltoReal),TRUE,_xlfn.XLOOKUP($FY23,Inflation_Year,NominaltoReal)))</f>
        <v>0</v>
      </c>
      <c r="GC23" s="146" cm="1">
        <f t="array" ref="GC23">IF($FY23=0,0,_xlfn.IFS($FY23='Key assumptions'!$C$120,_xlfn.XLOOKUP(LEFT(GC$7,6),Inflation_Year,Inflation_NominaltoReal),TRUE,_xlfn.XLOOKUP($FY23,Inflation_Year,NominaltoReal)))</f>
        <v>0</v>
      </c>
      <c r="GD23" s="146" cm="1">
        <f t="array" ref="GD23">IF($FY23=0,0,_xlfn.IFS($FY23='Key assumptions'!$C$120,_xlfn.XLOOKUP(LEFT(GD$7,6),Inflation_Year,Inflation_NominaltoReal),TRUE,_xlfn.XLOOKUP($FY23,Inflation_Year,NominaltoReal)))</f>
        <v>0</v>
      </c>
      <c r="GE23" s="146" cm="1">
        <f t="array" ref="GE23">IF($FY23=0,0,_xlfn.IFS($FY23='Key assumptions'!$C$120,_xlfn.XLOOKUP(LEFT(GE$7,6),Inflation_Year,Inflation_NominaltoReal),TRUE,_xlfn.XLOOKUP($FY23,Inflation_Year,NominaltoReal)))</f>
        <v>0</v>
      </c>
      <c r="GF23" s="146" cm="1">
        <f t="array" ref="GF23">IF($FY23=0,0,_xlfn.IFS($FY23='Key assumptions'!$C$120,_xlfn.XLOOKUP(LEFT(GF$7,6),Inflation_Year,Inflation_NominaltoReal),TRUE,_xlfn.XLOOKUP($FY23,Inflation_Year,NominaltoReal)))</f>
        <v>0</v>
      </c>
      <c r="GG23" s="143"/>
      <c r="GH23" s="145" cm="1">
        <f t="array" ref="GH23">SUMPRODUCT(--($CR$7:$FW$7&gt;=GH$5),--($CR$7:$FW$7&lt;=GH$6),$CR23:$FW23)*FZ23</f>
        <v>0</v>
      </c>
      <c r="GI23" s="145" cm="1">
        <f t="array" ref="GI23">SUMPRODUCT(--($CR$7:$FW$7&gt;=GI$5),--($CR$7:$FW$7&lt;=GI$6),$CR23:$FW23)*GA23</f>
        <v>0</v>
      </c>
      <c r="GJ23" s="145" cm="1">
        <f t="array" ref="GJ23">SUMPRODUCT(--($CR$7:$FW$7&gt;=GJ$5),--($CR$7:$FW$7&lt;=GJ$6),$CR23:$FW23)*GB23</f>
        <v>0</v>
      </c>
      <c r="GK23" s="145" cm="1">
        <f t="array" ref="GK23">SUMPRODUCT(--($CR$7:$FW$7&gt;=GK$5),--($CR$7:$FW$7&lt;=GK$6),$CR23:$FW23)*GC23</f>
        <v>0</v>
      </c>
      <c r="GL23" s="145" cm="1">
        <f t="array" ref="GL23">SUMPRODUCT(--($CR$7:$FW$7&gt;=GL$5),--($CR$7:$FW$7&lt;=GL$6),$CR23:$FW23)*GD23</f>
        <v>0</v>
      </c>
      <c r="GM23" s="145" cm="1">
        <f t="array" ref="GM23">SUMPRODUCT(--($CR$7:$FW$7&gt;=GM$5),--($CR$7:$FW$7&lt;=GM$6),$CR23:$FW23)*GE23</f>
        <v>0</v>
      </c>
      <c r="GN23" s="145" cm="1">
        <f t="array" ref="GN23">SUMPRODUCT(--($CR$7:$FW$7&gt;=GN$5),--($CR$7:$FW$7&lt;=GN$6),$CR23:$FW23)*GF23</f>
        <v>0</v>
      </c>
      <c r="GO23" s="145">
        <f t="shared" si="0"/>
        <v>0</v>
      </c>
      <c r="GP23" s="87"/>
      <c r="GQ23" s="89"/>
      <c r="GR23" s="145" cm="1">
        <f t="array" ref="GR23">SUMPRODUCT(--($CR$7:$FW$7&gt;=GR$5),--($CR$7:$FW$7&lt;=GR$6),$CR23:$FW23)</f>
        <v>0</v>
      </c>
      <c r="GS23" s="89"/>
      <c r="GT23" s="89"/>
      <c r="GU23" s="89"/>
      <c r="GV23" s="89"/>
      <c r="GW23" s="89"/>
      <c r="GX23" s="89"/>
      <c r="GY23" s="89"/>
    </row>
    <row r="24" spans="2:207" x14ac:dyDescent="0.2">
      <c r="B24" s="141"/>
      <c r="C24" s="141"/>
      <c r="D24" s="141"/>
      <c r="E24" s="141"/>
      <c r="F24" s="141"/>
      <c r="G24" s="141"/>
      <c r="H24" s="142"/>
      <c r="I24" s="126"/>
      <c r="J24" s="143"/>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3"/>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3"/>
      <c r="FY24" s="146">
        <f>_xlfn.XLOOKUP($E24,'Key assumptions'!$B$112:$B$120,'Key assumptions'!$C$112:$C$120,0)</f>
        <v>0</v>
      </c>
      <c r="FZ24" s="146" cm="1">
        <f t="array" ref="FZ24">IF($FY24=0,0,_xlfn.IFS($FY24='Key assumptions'!$C$120,_xlfn.XLOOKUP(LEFT(FZ$7,6),Inflation_Year,Inflation_NominaltoReal),TRUE,_xlfn.XLOOKUP($FY24,Inflation_Year,NominaltoReal)))</f>
        <v>0</v>
      </c>
      <c r="GA24" s="146" cm="1">
        <f t="array" ref="GA24">IF($FY24=0,0,_xlfn.IFS($FY24='Key assumptions'!$C$120,_xlfn.XLOOKUP(LEFT(GA$7,6),Inflation_Year,Inflation_NominaltoReal),TRUE,_xlfn.XLOOKUP($FY24,Inflation_Year,NominaltoReal)))</f>
        <v>0</v>
      </c>
      <c r="GB24" s="146" cm="1">
        <f t="array" ref="GB24">IF($FY24=0,0,_xlfn.IFS($FY24='Key assumptions'!$C$120,_xlfn.XLOOKUP(LEFT(GB$7,6),Inflation_Year,Inflation_NominaltoReal),TRUE,_xlfn.XLOOKUP($FY24,Inflation_Year,NominaltoReal)))</f>
        <v>0</v>
      </c>
      <c r="GC24" s="146" cm="1">
        <f t="array" ref="GC24">IF($FY24=0,0,_xlfn.IFS($FY24='Key assumptions'!$C$120,_xlfn.XLOOKUP(LEFT(GC$7,6),Inflation_Year,Inflation_NominaltoReal),TRUE,_xlfn.XLOOKUP($FY24,Inflation_Year,NominaltoReal)))</f>
        <v>0</v>
      </c>
      <c r="GD24" s="146" cm="1">
        <f t="array" ref="GD24">IF($FY24=0,0,_xlfn.IFS($FY24='Key assumptions'!$C$120,_xlfn.XLOOKUP(LEFT(GD$7,6),Inflation_Year,Inflation_NominaltoReal),TRUE,_xlfn.XLOOKUP($FY24,Inflation_Year,NominaltoReal)))</f>
        <v>0</v>
      </c>
      <c r="GE24" s="146" cm="1">
        <f t="array" ref="GE24">IF($FY24=0,0,_xlfn.IFS($FY24='Key assumptions'!$C$120,_xlfn.XLOOKUP(LEFT(GE$7,6),Inflation_Year,Inflation_NominaltoReal),TRUE,_xlfn.XLOOKUP($FY24,Inflation_Year,NominaltoReal)))</f>
        <v>0</v>
      </c>
      <c r="GF24" s="146" cm="1">
        <f t="array" ref="GF24">IF($FY24=0,0,_xlfn.IFS($FY24='Key assumptions'!$C$120,_xlfn.XLOOKUP(LEFT(GF$7,6),Inflation_Year,Inflation_NominaltoReal),TRUE,_xlfn.XLOOKUP($FY24,Inflation_Year,NominaltoReal)))</f>
        <v>0</v>
      </c>
      <c r="GG24" s="143"/>
      <c r="GH24" s="145" cm="1">
        <f t="array" ref="GH24">SUMPRODUCT(--($CR$7:$FW$7&gt;=GH$5),--($CR$7:$FW$7&lt;=GH$6),$CR24:$FW24)*FZ24</f>
        <v>0</v>
      </c>
      <c r="GI24" s="145" cm="1">
        <f t="array" ref="GI24">SUMPRODUCT(--($CR$7:$FW$7&gt;=GI$5),--($CR$7:$FW$7&lt;=GI$6),$CR24:$FW24)*GA24</f>
        <v>0</v>
      </c>
      <c r="GJ24" s="145" cm="1">
        <f t="array" ref="GJ24">SUMPRODUCT(--($CR$7:$FW$7&gt;=GJ$5),--($CR$7:$FW$7&lt;=GJ$6),$CR24:$FW24)*GB24</f>
        <v>0</v>
      </c>
      <c r="GK24" s="145" cm="1">
        <f t="array" ref="GK24">SUMPRODUCT(--($CR$7:$FW$7&gt;=GK$5),--($CR$7:$FW$7&lt;=GK$6),$CR24:$FW24)*GC24</f>
        <v>0</v>
      </c>
      <c r="GL24" s="145" cm="1">
        <f t="array" ref="GL24">SUMPRODUCT(--($CR$7:$FW$7&gt;=GL$5),--($CR$7:$FW$7&lt;=GL$6),$CR24:$FW24)*GD24</f>
        <v>0</v>
      </c>
      <c r="GM24" s="145" cm="1">
        <f t="array" ref="GM24">SUMPRODUCT(--($CR$7:$FW$7&gt;=GM$5),--($CR$7:$FW$7&lt;=GM$6),$CR24:$FW24)*GE24</f>
        <v>0</v>
      </c>
      <c r="GN24" s="145" cm="1">
        <f t="array" ref="GN24">SUMPRODUCT(--($CR$7:$FW$7&gt;=GN$5),--($CR$7:$FW$7&lt;=GN$6),$CR24:$FW24)*GF24</f>
        <v>0</v>
      </c>
      <c r="GO24" s="145">
        <f t="shared" si="0"/>
        <v>0</v>
      </c>
      <c r="GP24" s="87"/>
      <c r="GQ24" s="89"/>
      <c r="GR24" s="145" cm="1">
        <f t="array" ref="GR24">SUMPRODUCT(--($CR$7:$FW$7&gt;=GR$5),--($CR$7:$FW$7&lt;=GR$6),$CR24:$FW24)</f>
        <v>0</v>
      </c>
      <c r="GS24" s="89"/>
      <c r="GT24" s="89"/>
      <c r="GU24" s="89"/>
      <c r="GV24" s="89"/>
      <c r="GW24" s="89"/>
      <c r="GX24" s="89"/>
      <c r="GY24" s="89"/>
    </row>
    <row r="25" spans="2:207" x14ac:dyDescent="0.2">
      <c r="B25" s="141"/>
      <c r="C25" s="141"/>
      <c r="D25" s="141"/>
      <c r="E25" s="141"/>
      <c r="F25" s="141"/>
      <c r="G25" s="141"/>
      <c r="H25" s="142"/>
      <c r="I25" s="126"/>
      <c r="J25" s="143"/>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3"/>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5"/>
      <c r="EG25" s="145"/>
      <c r="EH25" s="145"/>
      <c r="EI25" s="145"/>
      <c r="EJ25" s="145"/>
      <c r="EK25" s="145"/>
      <c r="EL25" s="145"/>
      <c r="EM25" s="145"/>
      <c r="EN25" s="145"/>
      <c r="EO25" s="145"/>
      <c r="EP25" s="145"/>
      <c r="EQ25" s="145"/>
      <c r="ER25" s="145"/>
      <c r="ES25" s="145"/>
      <c r="ET25" s="145"/>
      <c r="EU25" s="145"/>
      <c r="EV25" s="145"/>
      <c r="EW25" s="145"/>
      <c r="EX25" s="145"/>
      <c r="EY25" s="145"/>
      <c r="EZ25" s="145"/>
      <c r="FA25" s="145"/>
      <c r="FB25" s="145"/>
      <c r="FC25" s="145"/>
      <c r="FD25" s="145"/>
      <c r="FE25" s="145"/>
      <c r="FF25" s="145"/>
      <c r="FG25" s="145"/>
      <c r="FH25" s="145"/>
      <c r="FI25" s="145"/>
      <c r="FJ25" s="145"/>
      <c r="FK25" s="145"/>
      <c r="FL25" s="145"/>
      <c r="FM25" s="145"/>
      <c r="FN25" s="145"/>
      <c r="FO25" s="145"/>
      <c r="FP25" s="145"/>
      <c r="FQ25" s="145"/>
      <c r="FR25" s="145"/>
      <c r="FS25" s="145"/>
      <c r="FT25" s="145"/>
      <c r="FU25" s="145"/>
      <c r="FV25" s="145"/>
      <c r="FW25" s="145"/>
      <c r="FX25" s="143"/>
      <c r="FY25" s="146">
        <f>_xlfn.XLOOKUP($E25,'Key assumptions'!$B$112:$B$120,'Key assumptions'!$C$112:$C$120,0)</f>
        <v>0</v>
      </c>
      <c r="FZ25" s="146" cm="1">
        <f t="array" ref="FZ25">IF($FY25=0,0,_xlfn.IFS($FY25='Key assumptions'!$C$120,_xlfn.XLOOKUP(LEFT(FZ$7,6),Inflation_Year,Inflation_NominaltoReal),TRUE,_xlfn.XLOOKUP($FY25,Inflation_Year,NominaltoReal)))</f>
        <v>0</v>
      </c>
      <c r="GA25" s="146" cm="1">
        <f t="array" ref="GA25">IF($FY25=0,0,_xlfn.IFS($FY25='Key assumptions'!$C$120,_xlfn.XLOOKUP(LEFT(GA$7,6),Inflation_Year,Inflation_NominaltoReal),TRUE,_xlfn.XLOOKUP($FY25,Inflation_Year,NominaltoReal)))</f>
        <v>0</v>
      </c>
      <c r="GB25" s="146" cm="1">
        <f t="array" ref="GB25">IF($FY25=0,0,_xlfn.IFS($FY25='Key assumptions'!$C$120,_xlfn.XLOOKUP(LEFT(GB$7,6),Inflation_Year,Inflation_NominaltoReal),TRUE,_xlfn.XLOOKUP($FY25,Inflation_Year,NominaltoReal)))</f>
        <v>0</v>
      </c>
      <c r="GC25" s="146" cm="1">
        <f t="array" ref="GC25">IF($FY25=0,0,_xlfn.IFS($FY25='Key assumptions'!$C$120,_xlfn.XLOOKUP(LEFT(GC$7,6),Inflation_Year,Inflation_NominaltoReal),TRUE,_xlfn.XLOOKUP($FY25,Inflation_Year,NominaltoReal)))</f>
        <v>0</v>
      </c>
      <c r="GD25" s="146" cm="1">
        <f t="array" ref="GD25">IF($FY25=0,0,_xlfn.IFS($FY25='Key assumptions'!$C$120,_xlfn.XLOOKUP(LEFT(GD$7,6),Inflation_Year,Inflation_NominaltoReal),TRUE,_xlfn.XLOOKUP($FY25,Inflation_Year,NominaltoReal)))</f>
        <v>0</v>
      </c>
      <c r="GE25" s="146" cm="1">
        <f t="array" ref="GE25">IF($FY25=0,0,_xlfn.IFS($FY25='Key assumptions'!$C$120,_xlfn.XLOOKUP(LEFT(GE$7,6),Inflation_Year,Inflation_NominaltoReal),TRUE,_xlfn.XLOOKUP($FY25,Inflation_Year,NominaltoReal)))</f>
        <v>0</v>
      </c>
      <c r="GF25" s="146" cm="1">
        <f t="array" ref="GF25">IF($FY25=0,0,_xlfn.IFS($FY25='Key assumptions'!$C$120,_xlfn.XLOOKUP(LEFT(GF$7,6),Inflation_Year,Inflation_NominaltoReal),TRUE,_xlfn.XLOOKUP($FY25,Inflation_Year,NominaltoReal)))</f>
        <v>0</v>
      </c>
      <c r="GG25" s="143"/>
      <c r="GH25" s="145" cm="1">
        <f t="array" ref="GH25">SUMPRODUCT(--($CR$7:$FW$7&gt;=GH$5),--($CR$7:$FW$7&lt;=GH$6),$CR25:$FW25)*FZ25</f>
        <v>0</v>
      </c>
      <c r="GI25" s="145" cm="1">
        <f t="array" ref="GI25">SUMPRODUCT(--($CR$7:$FW$7&gt;=GI$5),--($CR$7:$FW$7&lt;=GI$6),$CR25:$FW25)*GA25</f>
        <v>0</v>
      </c>
      <c r="GJ25" s="145" cm="1">
        <f t="array" ref="GJ25">SUMPRODUCT(--($CR$7:$FW$7&gt;=GJ$5),--($CR$7:$FW$7&lt;=GJ$6),$CR25:$FW25)*GB25</f>
        <v>0</v>
      </c>
      <c r="GK25" s="145" cm="1">
        <f t="array" ref="GK25">SUMPRODUCT(--($CR$7:$FW$7&gt;=GK$5),--($CR$7:$FW$7&lt;=GK$6),$CR25:$FW25)*GC25</f>
        <v>0</v>
      </c>
      <c r="GL25" s="145" cm="1">
        <f t="array" ref="GL25">SUMPRODUCT(--($CR$7:$FW$7&gt;=GL$5),--($CR$7:$FW$7&lt;=GL$6),$CR25:$FW25)*GD25</f>
        <v>0</v>
      </c>
      <c r="GM25" s="145" cm="1">
        <f t="array" ref="GM25">SUMPRODUCT(--($CR$7:$FW$7&gt;=GM$5),--($CR$7:$FW$7&lt;=GM$6),$CR25:$FW25)*GE25</f>
        <v>0</v>
      </c>
      <c r="GN25" s="145" cm="1">
        <f t="array" ref="GN25">SUMPRODUCT(--($CR$7:$FW$7&gt;=GN$5),--($CR$7:$FW$7&lt;=GN$6),$CR25:$FW25)*GF25</f>
        <v>0</v>
      </c>
      <c r="GO25" s="145">
        <f t="shared" si="0"/>
        <v>0</v>
      </c>
      <c r="GP25" s="87"/>
      <c r="GQ25" s="89"/>
      <c r="GR25" s="145" cm="1">
        <f t="array" ref="GR25">SUMPRODUCT(--($CR$7:$FW$7&gt;=GR$5),--($CR$7:$FW$7&lt;=GR$6),$CR25:$FW25)</f>
        <v>0</v>
      </c>
      <c r="GS25" s="89"/>
      <c r="GT25" s="89"/>
      <c r="GU25" s="89"/>
      <c r="GV25" s="89"/>
      <c r="GW25" s="89"/>
      <c r="GX25" s="89"/>
      <c r="GY25" s="89"/>
    </row>
    <row r="26" spans="2:207" x14ac:dyDescent="0.2">
      <c r="B26" s="141"/>
      <c r="C26" s="141"/>
      <c r="D26" s="141"/>
      <c r="E26" s="141"/>
      <c r="F26" s="141"/>
      <c r="G26" s="141"/>
      <c r="H26" s="142"/>
      <c r="I26" s="126"/>
      <c r="J26" s="143"/>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3"/>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c r="EE26" s="145"/>
      <c r="EF26" s="145"/>
      <c r="EG26" s="145"/>
      <c r="EH26" s="145"/>
      <c r="EI26" s="145"/>
      <c r="EJ26" s="145"/>
      <c r="EK26" s="145"/>
      <c r="EL26" s="145"/>
      <c r="EM26" s="145"/>
      <c r="EN26" s="145"/>
      <c r="EO26" s="145"/>
      <c r="EP26" s="145"/>
      <c r="EQ26" s="145"/>
      <c r="ER26" s="145"/>
      <c r="ES26" s="145"/>
      <c r="ET26" s="145"/>
      <c r="EU26" s="145"/>
      <c r="EV26" s="145"/>
      <c r="EW26" s="145"/>
      <c r="EX26" s="145"/>
      <c r="EY26" s="145"/>
      <c r="EZ26" s="145"/>
      <c r="FA26" s="145"/>
      <c r="FB26" s="145"/>
      <c r="FC26" s="145"/>
      <c r="FD26" s="145"/>
      <c r="FE26" s="145"/>
      <c r="FF26" s="145"/>
      <c r="FG26" s="145"/>
      <c r="FH26" s="145"/>
      <c r="FI26" s="145"/>
      <c r="FJ26" s="145"/>
      <c r="FK26" s="145"/>
      <c r="FL26" s="145"/>
      <c r="FM26" s="145"/>
      <c r="FN26" s="145"/>
      <c r="FO26" s="145"/>
      <c r="FP26" s="145"/>
      <c r="FQ26" s="145"/>
      <c r="FR26" s="145"/>
      <c r="FS26" s="145"/>
      <c r="FT26" s="145"/>
      <c r="FU26" s="145"/>
      <c r="FV26" s="145"/>
      <c r="FW26" s="145"/>
      <c r="FX26" s="143"/>
      <c r="FY26" s="146">
        <f>_xlfn.XLOOKUP($E26,'Key assumptions'!$B$112:$B$120,'Key assumptions'!$C$112:$C$120,0)</f>
        <v>0</v>
      </c>
      <c r="FZ26" s="146" cm="1">
        <f t="array" ref="FZ26">IF($FY26=0,0,_xlfn.IFS($FY26='Key assumptions'!$C$120,_xlfn.XLOOKUP(LEFT(FZ$7,6),Inflation_Year,Inflation_NominaltoReal),TRUE,_xlfn.XLOOKUP($FY26,Inflation_Year,NominaltoReal)))</f>
        <v>0</v>
      </c>
      <c r="GA26" s="146" cm="1">
        <f t="array" ref="GA26">IF($FY26=0,0,_xlfn.IFS($FY26='Key assumptions'!$C$120,_xlfn.XLOOKUP(LEFT(GA$7,6),Inflation_Year,Inflation_NominaltoReal),TRUE,_xlfn.XLOOKUP($FY26,Inflation_Year,NominaltoReal)))</f>
        <v>0</v>
      </c>
      <c r="GB26" s="146" cm="1">
        <f t="array" ref="GB26">IF($FY26=0,0,_xlfn.IFS($FY26='Key assumptions'!$C$120,_xlfn.XLOOKUP(LEFT(GB$7,6),Inflation_Year,Inflation_NominaltoReal),TRUE,_xlfn.XLOOKUP($FY26,Inflation_Year,NominaltoReal)))</f>
        <v>0</v>
      </c>
      <c r="GC26" s="146" cm="1">
        <f t="array" ref="GC26">IF($FY26=0,0,_xlfn.IFS($FY26='Key assumptions'!$C$120,_xlfn.XLOOKUP(LEFT(GC$7,6),Inflation_Year,Inflation_NominaltoReal),TRUE,_xlfn.XLOOKUP($FY26,Inflation_Year,NominaltoReal)))</f>
        <v>0</v>
      </c>
      <c r="GD26" s="146" cm="1">
        <f t="array" ref="GD26">IF($FY26=0,0,_xlfn.IFS($FY26='Key assumptions'!$C$120,_xlfn.XLOOKUP(LEFT(GD$7,6),Inflation_Year,Inflation_NominaltoReal),TRUE,_xlfn.XLOOKUP($FY26,Inflation_Year,NominaltoReal)))</f>
        <v>0</v>
      </c>
      <c r="GE26" s="146" cm="1">
        <f t="array" ref="GE26">IF($FY26=0,0,_xlfn.IFS($FY26='Key assumptions'!$C$120,_xlfn.XLOOKUP(LEFT(GE$7,6),Inflation_Year,Inflation_NominaltoReal),TRUE,_xlfn.XLOOKUP($FY26,Inflation_Year,NominaltoReal)))</f>
        <v>0</v>
      </c>
      <c r="GF26" s="146" cm="1">
        <f t="array" ref="GF26">IF($FY26=0,0,_xlfn.IFS($FY26='Key assumptions'!$C$120,_xlfn.XLOOKUP(LEFT(GF$7,6),Inflation_Year,Inflation_NominaltoReal),TRUE,_xlfn.XLOOKUP($FY26,Inflation_Year,NominaltoReal)))</f>
        <v>0</v>
      </c>
      <c r="GG26" s="143"/>
      <c r="GH26" s="145" cm="1">
        <f t="array" ref="GH26">SUMPRODUCT(--($CR$7:$FW$7&gt;=GH$5),--($CR$7:$FW$7&lt;=GH$6),$CR26:$FW26)*FZ26</f>
        <v>0</v>
      </c>
      <c r="GI26" s="145" cm="1">
        <f t="array" ref="GI26">SUMPRODUCT(--($CR$7:$FW$7&gt;=GI$5),--($CR$7:$FW$7&lt;=GI$6),$CR26:$FW26)*GA26</f>
        <v>0</v>
      </c>
      <c r="GJ26" s="145" cm="1">
        <f t="array" ref="GJ26">SUMPRODUCT(--($CR$7:$FW$7&gt;=GJ$5),--($CR$7:$FW$7&lt;=GJ$6),$CR26:$FW26)*GB26</f>
        <v>0</v>
      </c>
      <c r="GK26" s="145" cm="1">
        <f t="array" ref="GK26">SUMPRODUCT(--($CR$7:$FW$7&gt;=GK$5),--($CR$7:$FW$7&lt;=GK$6),$CR26:$FW26)*GC26</f>
        <v>0</v>
      </c>
      <c r="GL26" s="145" cm="1">
        <f t="array" ref="GL26">SUMPRODUCT(--($CR$7:$FW$7&gt;=GL$5),--($CR$7:$FW$7&lt;=GL$6),$CR26:$FW26)*GD26</f>
        <v>0</v>
      </c>
      <c r="GM26" s="145" cm="1">
        <f t="array" ref="GM26">SUMPRODUCT(--($CR$7:$FW$7&gt;=GM$5),--($CR$7:$FW$7&lt;=GM$6),$CR26:$FW26)*GE26</f>
        <v>0</v>
      </c>
      <c r="GN26" s="145" cm="1">
        <f t="array" ref="GN26">SUMPRODUCT(--($CR$7:$FW$7&gt;=GN$5),--($CR$7:$FW$7&lt;=GN$6),$CR26:$FW26)*GF26</f>
        <v>0</v>
      </c>
      <c r="GO26" s="145">
        <f t="shared" si="0"/>
        <v>0</v>
      </c>
      <c r="GP26" s="87"/>
      <c r="GQ26" s="89"/>
      <c r="GR26" s="145" cm="1">
        <f t="array" ref="GR26">SUMPRODUCT(--($CR$7:$FW$7&gt;=GR$5),--($CR$7:$FW$7&lt;=GR$6),$CR26:$FW26)</f>
        <v>0</v>
      </c>
      <c r="GS26" s="89"/>
      <c r="GT26" s="89"/>
      <c r="GU26" s="89"/>
      <c r="GV26" s="89"/>
      <c r="GW26" s="89"/>
      <c r="GX26" s="89"/>
      <c r="GY26" s="89"/>
    </row>
    <row r="27" spans="2:207" x14ac:dyDescent="0.2">
      <c r="B27" s="141"/>
      <c r="C27" s="141"/>
      <c r="D27" s="141"/>
      <c r="E27" s="141"/>
      <c r="F27" s="141"/>
      <c r="G27" s="141"/>
      <c r="H27" s="142"/>
      <c r="I27" s="126"/>
      <c r="J27" s="143"/>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3"/>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c r="EE27" s="145"/>
      <c r="EF27" s="145"/>
      <c r="EG27" s="145"/>
      <c r="EH27" s="145"/>
      <c r="EI27" s="145"/>
      <c r="EJ27" s="145"/>
      <c r="EK27" s="145"/>
      <c r="EL27" s="145"/>
      <c r="EM27" s="145"/>
      <c r="EN27" s="145"/>
      <c r="EO27" s="145"/>
      <c r="EP27" s="145"/>
      <c r="EQ27" s="145"/>
      <c r="ER27" s="145"/>
      <c r="ES27" s="145"/>
      <c r="ET27" s="145"/>
      <c r="EU27" s="145"/>
      <c r="EV27" s="145"/>
      <c r="EW27" s="145"/>
      <c r="EX27" s="145"/>
      <c r="EY27" s="145"/>
      <c r="EZ27" s="145"/>
      <c r="FA27" s="145"/>
      <c r="FB27" s="145"/>
      <c r="FC27" s="145"/>
      <c r="FD27" s="145"/>
      <c r="FE27" s="145"/>
      <c r="FF27" s="145"/>
      <c r="FG27" s="145"/>
      <c r="FH27" s="145"/>
      <c r="FI27" s="145"/>
      <c r="FJ27" s="145"/>
      <c r="FK27" s="145"/>
      <c r="FL27" s="145"/>
      <c r="FM27" s="145"/>
      <c r="FN27" s="145"/>
      <c r="FO27" s="145"/>
      <c r="FP27" s="145"/>
      <c r="FQ27" s="145"/>
      <c r="FR27" s="145"/>
      <c r="FS27" s="145"/>
      <c r="FT27" s="145"/>
      <c r="FU27" s="145"/>
      <c r="FV27" s="145"/>
      <c r="FW27" s="145"/>
      <c r="FX27" s="143"/>
      <c r="FY27" s="146">
        <f>_xlfn.XLOOKUP($E27,'Key assumptions'!$B$112:$B$120,'Key assumptions'!$C$112:$C$120,0)</f>
        <v>0</v>
      </c>
      <c r="FZ27" s="146" cm="1">
        <f t="array" ref="FZ27">IF($FY27=0,0,_xlfn.IFS($FY27='Key assumptions'!$C$120,_xlfn.XLOOKUP(LEFT(FZ$7,6),Inflation_Year,Inflation_NominaltoReal),TRUE,_xlfn.XLOOKUP($FY27,Inflation_Year,NominaltoReal)))</f>
        <v>0</v>
      </c>
      <c r="GA27" s="146" cm="1">
        <f t="array" ref="GA27">IF($FY27=0,0,_xlfn.IFS($FY27='Key assumptions'!$C$120,_xlfn.XLOOKUP(LEFT(GA$7,6),Inflation_Year,Inflation_NominaltoReal),TRUE,_xlfn.XLOOKUP($FY27,Inflation_Year,NominaltoReal)))</f>
        <v>0</v>
      </c>
      <c r="GB27" s="146" cm="1">
        <f t="array" ref="GB27">IF($FY27=0,0,_xlfn.IFS($FY27='Key assumptions'!$C$120,_xlfn.XLOOKUP(LEFT(GB$7,6),Inflation_Year,Inflation_NominaltoReal),TRUE,_xlfn.XLOOKUP($FY27,Inflation_Year,NominaltoReal)))</f>
        <v>0</v>
      </c>
      <c r="GC27" s="146" cm="1">
        <f t="array" ref="GC27">IF($FY27=0,0,_xlfn.IFS($FY27='Key assumptions'!$C$120,_xlfn.XLOOKUP(LEFT(GC$7,6),Inflation_Year,Inflation_NominaltoReal),TRUE,_xlfn.XLOOKUP($FY27,Inflation_Year,NominaltoReal)))</f>
        <v>0</v>
      </c>
      <c r="GD27" s="146" cm="1">
        <f t="array" ref="GD27">IF($FY27=0,0,_xlfn.IFS($FY27='Key assumptions'!$C$120,_xlfn.XLOOKUP(LEFT(GD$7,6),Inflation_Year,Inflation_NominaltoReal),TRUE,_xlfn.XLOOKUP($FY27,Inflation_Year,NominaltoReal)))</f>
        <v>0</v>
      </c>
      <c r="GE27" s="146" cm="1">
        <f t="array" ref="GE27">IF($FY27=0,0,_xlfn.IFS($FY27='Key assumptions'!$C$120,_xlfn.XLOOKUP(LEFT(GE$7,6),Inflation_Year,Inflation_NominaltoReal),TRUE,_xlfn.XLOOKUP($FY27,Inflation_Year,NominaltoReal)))</f>
        <v>0</v>
      </c>
      <c r="GF27" s="146" cm="1">
        <f t="array" ref="GF27">IF($FY27=0,0,_xlfn.IFS($FY27='Key assumptions'!$C$120,_xlfn.XLOOKUP(LEFT(GF$7,6),Inflation_Year,Inflation_NominaltoReal),TRUE,_xlfn.XLOOKUP($FY27,Inflation_Year,NominaltoReal)))</f>
        <v>0</v>
      </c>
      <c r="GG27" s="143"/>
      <c r="GH27" s="145" cm="1">
        <f t="array" ref="GH27">SUMPRODUCT(--($CR$7:$FW$7&gt;=GH$5),--($CR$7:$FW$7&lt;=GH$6),$CR27:$FW27)*FZ27</f>
        <v>0</v>
      </c>
      <c r="GI27" s="145" cm="1">
        <f t="array" ref="GI27">SUMPRODUCT(--($CR$7:$FW$7&gt;=GI$5),--($CR$7:$FW$7&lt;=GI$6),$CR27:$FW27)*GA27</f>
        <v>0</v>
      </c>
      <c r="GJ27" s="145" cm="1">
        <f t="array" ref="GJ27">SUMPRODUCT(--($CR$7:$FW$7&gt;=GJ$5),--($CR$7:$FW$7&lt;=GJ$6),$CR27:$FW27)*GB27</f>
        <v>0</v>
      </c>
      <c r="GK27" s="145" cm="1">
        <f t="array" ref="GK27">SUMPRODUCT(--($CR$7:$FW$7&gt;=GK$5),--($CR$7:$FW$7&lt;=GK$6),$CR27:$FW27)*GC27</f>
        <v>0</v>
      </c>
      <c r="GL27" s="145" cm="1">
        <f t="array" ref="GL27">SUMPRODUCT(--($CR$7:$FW$7&gt;=GL$5),--($CR$7:$FW$7&lt;=GL$6),$CR27:$FW27)*GD27</f>
        <v>0</v>
      </c>
      <c r="GM27" s="145" cm="1">
        <f t="array" ref="GM27">SUMPRODUCT(--($CR$7:$FW$7&gt;=GM$5),--($CR$7:$FW$7&lt;=GM$6),$CR27:$FW27)*GE27</f>
        <v>0</v>
      </c>
      <c r="GN27" s="145" cm="1">
        <f t="array" ref="GN27">SUMPRODUCT(--($CR$7:$FW$7&gt;=GN$5),--($CR$7:$FW$7&lt;=GN$6),$CR27:$FW27)*GF27</f>
        <v>0</v>
      </c>
      <c r="GO27" s="145">
        <f t="shared" si="0"/>
        <v>0</v>
      </c>
      <c r="GP27" s="87"/>
      <c r="GQ27" s="89"/>
      <c r="GR27" s="145" cm="1">
        <f t="array" ref="GR27">SUMPRODUCT(--($CR$7:$FW$7&gt;=GR$5),--($CR$7:$FW$7&lt;=GR$6),$CR27:$FW27)</f>
        <v>0</v>
      </c>
      <c r="GS27" s="89"/>
      <c r="GT27" s="89"/>
      <c r="GU27" s="89"/>
      <c r="GV27" s="89"/>
      <c r="GW27" s="89"/>
      <c r="GX27" s="89"/>
      <c r="GY27" s="89"/>
    </row>
    <row r="28" spans="2:207" x14ac:dyDescent="0.2">
      <c r="B28" s="141"/>
      <c r="C28" s="141"/>
      <c r="D28" s="141"/>
      <c r="E28" s="141"/>
      <c r="F28" s="141"/>
      <c r="G28" s="141"/>
      <c r="H28" s="142"/>
      <c r="I28" s="126"/>
      <c r="J28" s="143"/>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3"/>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5"/>
      <c r="EK28" s="145"/>
      <c r="EL28" s="145"/>
      <c r="EM28" s="145"/>
      <c r="EN28" s="145"/>
      <c r="EO28" s="145"/>
      <c r="EP28" s="145"/>
      <c r="EQ28" s="145"/>
      <c r="ER28" s="145"/>
      <c r="ES28" s="145"/>
      <c r="ET28" s="145"/>
      <c r="EU28" s="145"/>
      <c r="EV28" s="145"/>
      <c r="EW28" s="145"/>
      <c r="EX28" s="145"/>
      <c r="EY28" s="145"/>
      <c r="EZ28" s="145"/>
      <c r="FA28" s="145"/>
      <c r="FB28" s="145"/>
      <c r="FC28" s="145"/>
      <c r="FD28" s="145"/>
      <c r="FE28" s="145"/>
      <c r="FF28" s="145"/>
      <c r="FG28" s="145"/>
      <c r="FH28" s="145"/>
      <c r="FI28" s="145"/>
      <c r="FJ28" s="145"/>
      <c r="FK28" s="145"/>
      <c r="FL28" s="145"/>
      <c r="FM28" s="145"/>
      <c r="FN28" s="145"/>
      <c r="FO28" s="145"/>
      <c r="FP28" s="145"/>
      <c r="FQ28" s="145"/>
      <c r="FR28" s="145"/>
      <c r="FS28" s="145"/>
      <c r="FT28" s="145"/>
      <c r="FU28" s="145"/>
      <c r="FV28" s="145"/>
      <c r="FW28" s="145"/>
      <c r="FX28" s="143"/>
      <c r="FY28" s="146">
        <f>_xlfn.XLOOKUP($E28,'Key assumptions'!$B$112:$B$120,'Key assumptions'!$C$112:$C$120,0)</f>
        <v>0</v>
      </c>
      <c r="FZ28" s="146" cm="1">
        <f t="array" ref="FZ28">IF($FY28=0,0,_xlfn.IFS($FY28='Key assumptions'!$C$120,_xlfn.XLOOKUP(LEFT(FZ$7,6),Inflation_Year,Inflation_NominaltoReal),TRUE,_xlfn.XLOOKUP($FY28,Inflation_Year,NominaltoReal)))</f>
        <v>0</v>
      </c>
      <c r="GA28" s="146" cm="1">
        <f t="array" ref="GA28">IF($FY28=0,0,_xlfn.IFS($FY28='Key assumptions'!$C$120,_xlfn.XLOOKUP(LEFT(GA$7,6),Inflation_Year,Inflation_NominaltoReal),TRUE,_xlfn.XLOOKUP($FY28,Inflation_Year,NominaltoReal)))</f>
        <v>0</v>
      </c>
      <c r="GB28" s="146" cm="1">
        <f t="array" ref="GB28">IF($FY28=0,0,_xlfn.IFS($FY28='Key assumptions'!$C$120,_xlfn.XLOOKUP(LEFT(GB$7,6),Inflation_Year,Inflation_NominaltoReal),TRUE,_xlfn.XLOOKUP($FY28,Inflation_Year,NominaltoReal)))</f>
        <v>0</v>
      </c>
      <c r="GC28" s="146" cm="1">
        <f t="array" ref="GC28">IF($FY28=0,0,_xlfn.IFS($FY28='Key assumptions'!$C$120,_xlfn.XLOOKUP(LEFT(GC$7,6),Inflation_Year,Inflation_NominaltoReal),TRUE,_xlfn.XLOOKUP($FY28,Inflation_Year,NominaltoReal)))</f>
        <v>0</v>
      </c>
      <c r="GD28" s="146" cm="1">
        <f t="array" ref="GD28">IF($FY28=0,0,_xlfn.IFS($FY28='Key assumptions'!$C$120,_xlfn.XLOOKUP(LEFT(GD$7,6),Inflation_Year,Inflation_NominaltoReal),TRUE,_xlfn.XLOOKUP($FY28,Inflation_Year,NominaltoReal)))</f>
        <v>0</v>
      </c>
      <c r="GE28" s="146" cm="1">
        <f t="array" ref="GE28">IF($FY28=0,0,_xlfn.IFS($FY28='Key assumptions'!$C$120,_xlfn.XLOOKUP(LEFT(GE$7,6),Inflation_Year,Inflation_NominaltoReal),TRUE,_xlfn.XLOOKUP($FY28,Inflation_Year,NominaltoReal)))</f>
        <v>0</v>
      </c>
      <c r="GF28" s="146" cm="1">
        <f t="array" ref="GF28">IF($FY28=0,0,_xlfn.IFS($FY28='Key assumptions'!$C$120,_xlfn.XLOOKUP(LEFT(GF$7,6),Inflation_Year,Inflation_NominaltoReal),TRUE,_xlfn.XLOOKUP($FY28,Inflation_Year,NominaltoReal)))</f>
        <v>0</v>
      </c>
      <c r="GG28" s="143"/>
      <c r="GH28" s="145" cm="1">
        <f t="array" ref="GH28">SUMPRODUCT(--($CR$7:$FW$7&gt;=GH$5),--($CR$7:$FW$7&lt;=GH$6),$CR28:$FW28)*FZ28</f>
        <v>0</v>
      </c>
      <c r="GI28" s="145" cm="1">
        <f t="array" ref="GI28">SUMPRODUCT(--($CR$7:$FW$7&gt;=GI$5),--($CR$7:$FW$7&lt;=GI$6),$CR28:$FW28)*GA28</f>
        <v>0</v>
      </c>
      <c r="GJ28" s="145" cm="1">
        <f t="array" ref="GJ28">SUMPRODUCT(--($CR$7:$FW$7&gt;=GJ$5),--($CR$7:$FW$7&lt;=GJ$6),$CR28:$FW28)*GB28</f>
        <v>0</v>
      </c>
      <c r="GK28" s="145" cm="1">
        <f t="array" ref="GK28">SUMPRODUCT(--($CR$7:$FW$7&gt;=GK$5),--($CR$7:$FW$7&lt;=GK$6),$CR28:$FW28)*GC28</f>
        <v>0</v>
      </c>
      <c r="GL28" s="145" cm="1">
        <f t="array" ref="GL28">SUMPRODUCT(--($CR$7:$FW$7&gt;=GL$5),--($CR$7:$FW$7&lt;=GL$6),$CR28:$FW28)*GD28</f>
        <v>0</v>
      </c>
      <c r="GM28" s="145" cm="1">
        <f t="array" ref="GM28">SUMPRODUCT(--($CR$7:$FW$7&gt;=GM$5),--($CR$7:$FW$7&lt;=GM$6),$CR28:$FW28)*GE28</f>
        <v>0</v>
      </c>
      <c r="GN28" s="145" cm="1">
        <f t="array" ref="GN28">SUMPRODUCT(--($CR$7:$FW$7&gt;=GN$5),--($CR$7:$FW$7&lt;=GN$6),$CR28:$FW28)*GF28</f>
        <v>0</v>
      </c>
      <c r="GO28" s="145">
        <f t="shared" si="0"/>
        <v>0</v>
      </c>
      <c r="GP28" s="87"/>
      <c r="GQ28" s="90"/>
      <c r="GR28" s="145" cm="1">
        <f t="array" ref="GR28">SUMPRODUCT(--($CR$7:$FW$7&gt;=GR$5),--($CR$7:$FW$7&lt;=GR$6),$CR28:$FW28)</f>
        <v>0</v>
      </c>
      <c r="GS28" s="90"/>
      <c r="GT28" s="90"/>
      <c r="GU28" s="90"/>
      <c r="GV28" s="90"/>
      <c r="GW28" s="90"/>
      <c r="GX28" s="90"/>
      <c r="GY28" s="90"/>
    </row>
    <row r="29" spans="2:207" x14ac:dyDescent="0.2">
      <c r="B29" s="141"/>
      <c r="C29" s="141"/>
      <c r="D29" s="141"/>
      <c r="E29" s="141"/>
      <c r="F29" s="141"/>
      <c r="G29" s="141"/>
      <c r="H29" s="142"/>
      <c r="I29" s="126"/>
      <c r="J29" s="143"/>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3"/>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c r="FO29" s="145"/>
      <c r="FP29" s="145"/>
      <c r="FQ29" s="145"/>
      <c r="FR29" s="145"/>
      <c r="FS29" s="145"/>
      <c r="FT29" s="145"/>
      <c r="FU29" s="145"/>
      <c r="FV29" s="145"/>
      <c r="FW29" s="145"/>
      <c r="FX29" s="143"/>
      <c r="FY29" s="146">
        <f>_xlfn.XLOOKUP($E29,'Key assumptions'!$B$112:$B$120,'Key assumptions'!$C$112:$C$120,0)</f>
        <v>0</v>
      </c>
      <c r="FZ29" s="146" cm="1">
        <f t="array" ref="FZ29">IF($FY29=0,0,_xlfn.IFS($FY29='Key assumptions'!$C$120,_xlfn.XLOOKUP(LEFT(FZ$7,6),Inflation_Year,Inflation_NominaltoReal),TRUE,_xlfn.XLOOKUP($FY29,Inflation_Year,NominaltoReal)))</f>
        <v>0</v>
      </c>
      <c r="GA29" s="146" cm="1">
        <f t="array" ref="GA29">IF($FY29=0,0,_xlfn.IFS($FY29='Key assumptions'!$C$120,_xlfn.XLOOKUP(LEFT(GA$7,6),Inflation_Year,Inflation_NominaltoReal),TRUE,_xlfn.XLOOKUP($FY29,Inflation_Year,NominaltoReal)))</f>
        <v>0</v>
      </c>
      <c r="GB29" s="146" cm="1">
        <f t="array" ref="GB29">IF($FY29=0,0,_xlfn.IFS($FY29='Key assumptions'!$C$120,_xlfn.XLOOKUP(LEFT(GB$7,6),Inflation_Year,Inflation_NominaltoReal),TRUE,_xlfn.XLOOKUP($FY29,Inflation_Year,NominaltoReal)))</f>
        <v>0</v>
      </c>
      <c r="GC29" s="146" cm="1">
        <f t="array" ref="GC29">IF($FY29=0,0,_xlfn.IFS($FY29='Key assumptions'!$C$120,_xlfn.XLOOKUP(LEFT(GC$7,6),Inflation_Year,Inflation_NominaltoReal),TRUE,_xlfn.XLOOKUP($FY29,Inflation_Year,NominaltoReal)))</f>
        <v>0</v>
      </c>
      <c r="GD29" s="146" cm="1">
        <f t="array" ref="GD29">IF($FY29=0,0,_xlfn.IFS($FY29='Key assumptions'!$C$120,_xlfn.XLOOKUP(LEFT(GD$7,6),Inflation_Year,Inflation_NominaltoReal),TRUE,_xlfn.XLOOKUP($FY29,Inflation_Year,NominaltoReal)))</f>
        <v>0</v>
      </c>
      <c r="GE29" s="146" cm="1">
        <f t="array" ref="GE29">IF($FY29=0,0,_xlfn.IFS($FY29='Key assumptions'!$C$120,_xlfn.XLOOKUP(LEFT(GE$7,6),Inflation_Year,Inflation_NominaltoReal),TRUE,_xlfn.XLOOKUP($FY29,Inflation_Year,NominaltoReal)))</f>
        <v>0</v>
      </c>
      <c r="GF29" s="146" cm="1">
        <f t="array" ref="GF29">IF($FY29=0,0,_xlfn.IFS($FY29='Key assumptions'!$C$120,_xlfn.XLOOKUP(LEFT(GF$7,6),Inflation_Year,Inflation_NominaltoReal),TRUE,_xlfn.XLOOKUP($FY29,Inflation_Year,NominaltoReal)))</f>
        <v>0</v>
      </c>
      <c r="GG29" s="143"/>
      <c r="GH29" s="145" cm="1">
        <f t="array" ref="GH29">SUMPRODUCT(--($CR$7:$FW$7&gt;=GH$5),--($CR$7:$FW$7&lt;=GH$6),$CR29:$FW29)*FZ29</f>
        <v>0</v>
      </c>
      <c r="GI29" s="145" cm="1">
        <f t="array" ref="GI29">SUMPRODUCT(--($CR$7:$FW$7&gt;=GI$5),--($CR$7:$FW$7&lt;=GI$6),$CR29:$FW29)*GA29</f>
        <v>0</v>
      </c>
      <c r="GJ29" s="145" cm="1">
        <f t="array" ref="GJ29">SUMPRODUCT(--($CR$7:$FW$7&gt;=GJ$5),--($CR$7:$FW$7&lt;=GJ$6),$CR29:$FW29)*GB29</f>
        <v>0</v>
      </c>
      <c r="GK29" s="145" cm="1">
        <f t="array" ref="GK29">SUMPRODUCT(--($CR$7:$FW$7&gt;=GK$5),--($CR$7:$FW$7&lt;=GK$6),$CR29:$FW29)*GC29</f>
        <v>0</v>
      </c>
      <c r="GL29" s="145" cm="1">
        <f t="array" ref="GL29">SUMPRODUCT(--($CR$7:$FW$7&gt;=GL$5),--($CR$7:$FW$7&lt;=GL$6),$CR29:$FW29)*GD29</f>
        <v>0</v>
      </c>
      <c r="GM29" s="145" cm="1">
        <f t="array" ref="GM29">SUMPRODUCT(--($CR$7:$FW$7&gt;=GM$5),--($CR$7:$FW$7&lt;=GM$6),$CR29:$FW29)*GE29</f>
        <v>0</v>
      </c>
      <c r="GN29" s="145" cm="1">
        <f t="array" ref="GN29">SUMPRODUCT(--($CR$7:$FW$7&gt;=GN$5),--($CR$7:$FW$7&lt;=GN$6),$CR29:$FW29)*GF29</f>
        <v>0</v>
      </c>
      <c r="GO29" s="145">
        <f t="shared" si="0"/>
        <v>0</v>
      </c>
      <c r="GP29" s="87"/>
      <c r="GQ29" s="89"/>
      <c r="GR29" s="145" cm="1">
        <f t="array" ref="GR29">SUMPRODUCT(--($CR$7:$FW$7&gt;=GR$5),--($CR$7:$FW$7&lt;=GR$6),$CR29:$FW29)</f>
        <v>0</v>
      </c>
      <c r="GS29" s="89"/>
      <c r="GT29" s="89"/>
      <c r="GU29" s="89"/>
      <c r="GV29" s="89"/>
      <c r="GW29" s="89"/>
      <c r="GX29" s="89"/>
      <c r="GY29" s="89"/>
    </row>
    <row r="30" spans="2:207" x14ac:dyDescent="0.2">
      <c r="B30" s="141"/>
      <c r="C30" s="141"/>
      <c r="D30" s="141"/>
      <c r="E30" s="141"/>
      <c r="F30" s="141"/>
      <c r="G30" s="141"/>
      <c r="H30" s="142"/>
      <c r="I30" s="126"/>
      <c r="J30" s="143"/>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3"/>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c r="EE30" s="145"/>
      <c r="EF30" s="145"/>
      <c r="EG30" s="145"/>
      <c r="EH30" s="145"/>
      <c r="EI30" s="145"/>
      <c r="EJ30" s="145"/>
      <c r="EK30" s="145"/>
      <c r="EL30" s="145"/>
      <c r="EM30" s="145"/>
      <c r="EN30" s="145"/>
      <c r="EO30" s="145"/>
      <c r="EP30" s="145"/>
      <c r="EQ30" s="145"/>
      <c r="ER30" s="145"/>
      <c r="ES30" s="145"/>
      <c r="ET30" s="145"/>
      <c r="EU30" s="145"/>
      <c r="EV30" s="145"/>
      <c r="EW30" s="145"/>
      <c r="EX30" s="145"/>
      <c r="EY30" s="145"/>
      <c r="EZ30" s="145"/>
      <c r="FA30" s="145"/>
      <c r="FB30" s="145"/>
      <c r="FC30" s="145"/>
      <c r="FD30" s="145"/>
      <c r="FE30" s="145"/>
      <c r="FF30" s="145"/>
      <c r="FG30" s="145"/>
      <c r="FH30" s="145"/>
      <c r="FI30" s="145"/>
      <c r="FJ30" s="145"/>
      <c r="FK30" s="145"/>
      <c r="FL30" s="145"/>
      <c r="FM30" s="145"/>
      <c r="FN30" s="145"/>
      <c r="FO30" s="145"/>
      <c r="FP30" s="145"/>
      <c r="FQ30" s="145"/>
      <c r="FR30" s="145"/>
      <c r="FS30" s="145"/>
      <c r="FT30" s="145"/>
      <c r="FU30" s="145"/>
      <c r="FV30" s="145"/>
      <c r="FW30" s="145"/>
      <c r="FX30" s="143"/>
      <c r="FY30" s="146">
        <f>_xlfn.XLOOKUP($E30,'Key assumptions'!$B$112:$B$120,'Key assumptions'!$C$112:$C$120,0)</f>
        <v>0</v>
      </c>
      <c r="FZ30" s="146" cm="1">
        <f t="array" ref="FZ30">IF($FY30=0,0,_xlfn.IFS($FY30='Key assumptions'!$C$120,_xlfn.XLOOKUP(LEFT(FZ$7,6),Inflation_Year,Inflation_NominaltoReal),TRUE,_xlfn.XLOOKUP($FY30,Inflation_Year,NominaltoReal)))</f>
        <v>0</v>
      </c>
      <c r="GA30" s="146" cm="1">
        <f t="array" ref="GA30">IF($FY30=0,0,_xlfn.IFS($FY30='Key assumptions'!$C$120,_xlfn.XLOOKUP(LEFT(GA$7,6),Inflation_Year,Inflation_NominaltoReal),TRUE,_xlfn.XLOOKUP($FY30,Inflation_Year,NominaltoReal)))</f>
        <v>0</v>
      </c>
      <c r="GB30" s="146" cm="1">
        <f t="array" ref="GB30">IF($FY30=0,0,_xlfn.IFS($FY30='Key assumptions'!$C$120,_xlfn.XLOOKUP(LEFT(GB$7,6),Inflation_Year,Inflation_NominaltoReal),TRUE,_xlfn.XLOOKUP($FY30,Inflation_Year,NominaltoReal)))</f>
        <v>0</v>
      </c>
      <c r="GC30" s="146" cm="1">
        <f t="array" ref="GC30">IF($FY30=0,0,_xlfn.IFS($FY30='Key assumptions'!$C$120,_xlfn.XLOOKUP(LEFT(GC$7,6),Inflation_Year,Inflation_NominaltoReal),TRUE,_xlfn.XLOOKUP($FY30,Inflation_Year,NominaltoReal)))</f>
        <v>0</v>
      </c>
      <c r="GD30" s="146" cm="1">
        <f t="array" ref="GD30">IF($FY30=0,0,_xlfn.IFS($FY30='Key assumptions'!$C$120,_xlfn.XLOOKUP(LEFT(GD$7,6),Inflation_Year,Inflation_NominaltoReal),TRUE,_xlfn.XLOOKUP($FY30,Inflation_Year,NominaltoReal)))</f>
        <v>0</v>
      </c>
      <c r="GE30" s="146" cm="1">
        <f t="array" ref="GE30">IF($FY30=0,0,_xlfn.IFS($FY30='Key assumptions'!$C$120,_xlfn.XLOOKUP(LEFT(GE$7,6),Inflation_Year,Inflation_NominaltoReal),TRUE,_xlfn.XLOOKUP($FY30,Inflation_Year,NominaltoReal)))</f>
        <v>0</v>
      </c>
      <c r="GF30" s="146" cm="1">
        <f t="array" ref="GF30">IF($FY30=0,0,_xlfn.IFS($FY30='Key assumptions'!$C$120,_xlfn.XLOOKUP(LEFT(GF$7,6),Inflation_Year,Inflation_NominaltoReal),TRUE,_xlfn.XLOOKUP($FY30,Inflation_Year,NominaltoReal)))</f>
        <v>0</v>
      </c>
      <c r="GG30" s="143"/>
      <c r="GH30" s="145" cm="1">
        <f t="array" ref="GH30">SUMPRODUCT(--($CR$7:$FW$7&gt;=GH$5),--($CR$7:$FW$7&lt;=GH$6),$CR30:$FW30)*FZ30</f>
        <v>0</v>
      </c>
      <c r="GI30" s="145" cm="1">
        <f t="array" ref="GI30">SUMPRODUCT(--($CR$7:$FW$7&gt;=GI$5),--($CR$7:$FW$7&lt;=GI$6),$CR30:$FW30)*GA30</f>
        <v>0</v>
      </c>
      <c r="GJ30" s="145" cm="1">
        <f t="array" ref="GJ30">SUMPRODUCT(--($CR$7:$FW$7&gt;=GJ$5),--($CR$7:$FW$7&lt;=GJ$6),$CR30:$FW30)*GB30</f>
        <v>0</v>
      </c>
      <c r="GK30" s="145" cm="1">
        <f t="array" ref="GK30">SUMPRODUCT(--($CR$7:$FW$7&gt;=GK$5),--($CR$7:$FW$7&lt;=GK$6),$CR30:$FW30)*GC30</f>
        <v>0</v>
      </c>
      <c r="GL30" s="145" cm="1">
        <f t="array" ref="GL30">SUMPRODUCT(--($CR$7:$FW$7&gt;=GL$5),--($CR$7:$FW$7&lt;=GL$6),$CR30:$FW30)*GD30</f>
        <v>0</v>
      </c>
      <c r="GM30" s="145" cm="1">
        <f t="array" ref="GM30">SUMPRODUCT(--($CR$7:$FW$7&gt;=GM$5),--($CR$7:$FW$7&lt;=GM$6),$CR30:$FW30)*GE30</f>
        <v>0</v>
      </c>
      <c r="GN30" s="145" cm="1">
        <f t="array" ref="GN30">SUMPRODUCT(--($CR$7:$FW$7&gt;=GN$5),--($CR$7:$FW$7&lt;=GN$6),$CR30:$FW30)*GF30</f>
        <v>0</v>
      </c>
      <c r="GO30" s="145">
        <f t="shared" si="0"/>
        <v>0</v>
      </c>
      <c r="GP30" s="87"/>
      <c r="GQ30" s="89"/>
      <c r="GR30" s="145" cm="1">
        <f t="array" ref="GR30">SUMPRODUCT(--($CR$7:$FW$7&gt;=GR$5),--($CR$7:$FW$7&lt;=GR$6),$CR30:$FW30)</f>
        <v>0</v>
      </c>
      <c r="GS30" s="89"/>
      <c r="GT30" s="89"/>
      <c r="GU30" s="89"/>
      <c r="GV30" s="89"/>
      <c r="GW30" s="89"/>
      <c r="GX30" s="89"/>
      <c r="GY30" s="89"/>
    </row>
    <row r="31" spans="2:207" x14ac:dyDescent="0.2">
      <c r="B31" s="141"/>
      <c r="C31" s="141"/>
      <c r="D31" s="141"/>
      <c r="E31" s="141"/>
      <c r="F31" s="141"/>
      <c r="G31" s="141"/>
      <c r="H31" s="142"/>
      <c r="I31" s="126"/>
      <c r="J31" s="143"/>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3"/>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c r="EE31" s="145"/>
      <c r="EF31" s="145"/>
      <c r="EG31" s="145"/>
      <c r="EH31" s="145"/>
      <c r="EI31" s="145"/>
      <c r="EJ31" s="145"/>
      <c r="EK31" s="145"/>
      <c r="EL31" s="145"/>
      <c r="EM31" s="145"/>
      <c r="EN31" s="145"/>
      <c r="EO31" s="145"/>
      <c r="EP31" s="145"/>
      <c r="EQ31" s="145"/>
      <c r="ER31" s="145"/>
      <c r="ES31" s="145"/>
      <c r="ET31" s="145"/>
      <c r="EU31" s="145"/>
      <c r="EV31" s="145"/>
      <c r="EW31" s="145"/>
      <c r="EX31" s="145"/>
      <c r="EY31" s="145"/>
      <c r="EZ31" s="145"/>
      <c r="FA31" s="145"/>
      <c r="FB31" s="145"/>
      <c r="FC31" s="145"/>
      <c r="FD31" s="145"/>
      <c r="FE31" s="145"/>
      <c r="FF31" s="145"/>
      <c r="FG31" s="145"/>
      <c r="FH31" s="145"/>
      <c r="FI31" s="145"/>
      <c r="FJ31" s="145"/>
      <c r="FK31" s="145"/>
      <c r="FL31" s="145"/>
      <c r="FM31" s="145"/>
      <c r="FN31" s="145"/>
      <c r="FO31" s="145"/>
      <c r="FP31" s="145"/>
      <c r="FQ31" s="145"/>
      <c r="FR31" s="145"/>
      <c r="FS31" s="145"/>
      <c r="FT31" s="145"/>
      <c r="FU31" s="145"/>
      <c r="FV31" s="145"/>
      <c r="FW31" s="145"/>
      <c r="FX31" s="143"/>
      <c r="FY31" s="146">
        <f>_xlfn.XLOOKUP($E31,'Key assumptions'!$B$112:$B$120,'Key assumptions'!$C$112:$C$120,0)</f>
        <v>0</v>
      </c>
      <c r="FZ31" s="146" cm="1">
        <f t="array" ref="FZ31">IF($FY31=0,0,_xlfn.IFS($FY31='Key assumptions'!$C$120,_xlfn.XLOOKUP(LEFT(FZ$7,6),Inflation_Year,Inflation_NominaltoReal),TRUE,_xlfn.XLOOKUP($FY31,Inflation_Year,NominaltoReal)))</f>
        <v>0</v>
      </c>
      <c r="GA31" s="146" cm="1">
        <f t="array" ref="GA31">IF($FY31=0,0,_xlfn.IFS($FY31='Key assumptions'!$C$120,_xlfn.XLOOKUP(LEFT(GA$7,6),Inflation_Year,Inflation_NominaltoReal),TRUE,_xlfn.XLOOKUP($FY31,Inflation_Year,NominaltoReal)))</f>
        <v>0</v>
      </c>
      <c r="GB31" s="146" cm="1">
        <f t="array" ref="GB31">IF($FY31=0,0,_xlfn.IFS($FY31='Key assumptions'!$C$120,_xlfn.XLOOKUP(LEFT(GB$7,6),Inflation_Year,Inflation_NominaltoReal),TRUE,_xlfn.XLOOKUP($FY31,Inflation_Year,NominaltoReal)))</f>
        <v>0</v>
      </c>
      <c r="GC31" s="146" cm="1">
        <f t="array" ref="GC31">IF($FY31=0,0,_xlfn.IFS($FY31='Key assumptions'!$C$120,_xlfn.XLOOKUP(LEFT(GC$7,6),Inflation_Year,Inflation_NominaltoReal),TRUE,_xlfn.XLOOKUP($FY31,Inflation_Year,NominaltoReal)))</f>
        <v>0</v>
      </c>
      <c r="GD31" s="146" cm="1">
        <f t="array" ref="GD31">IF($FY31=0,0,_xlfn.IFS($FY31='Key assumptions'!$C$120,_xlfn.XLOOKUP(LEFT(GD$7,6),Inflation_Year,Inflation_NominaltoReal),TRUE,_xlfn.XLOOKUP($FY31,Inflation_Year,NominaltoReal)))</f>
        <v>0</v>
      </c>
      <c r="GE31" s="146" cm="1">
        <f t="array" ref="GE31">IF($FY31=0,0,_xlfn.IFS($FY31='Key assumptions'!$C$120,_xlfn.XLOOKUP(LEFT(GE$7,6),Inflation_Year,Inflation_NominaltoReal),TRUE,_xlfn.XLOOKUP($FY31,Inflation_Year,NominaltoReal)))</f>
        <v>0</v>
      </c>
      <c r="GF31" s="146" cm="1">
        <f t="array" ref="GF31">IF($FY31=0,0,_xlfn.IFS($FY31='Key assumptions'!$C$120,_xlfn.XLOOKUP(LEFT(GF$7,6),Inflation_Year,Inflation_NominaltoReal),TRUE,_xlfn.XLOOKUP($FY31,Inflation_Year,NominaltoReal)))</f>
        <v>0</v>
      </c>
      <c r="GG31" s="143"/>
      <c r="GH31" s="145" cm="1">
        <f t="array" ref="GH31">SUMPRODUCT(--($CR$7:$FW$7&gt;=GH$5),--($CR$7:$FW$7&lt;=GH$6),$CR31:$FW31)*FZ31</f>
        <v>0</v>
      </c>
      <c r="GI31" s="145" cm="1">
        <f t="array" ref="GI31">SUMPRODUCT(--($CR$7:$FW$7&gt;=GI$5),--($CR$7:$FW$7&lt;=GI$6),$CR31:$FW31)*GA31</f>
        <v>0</v>
      </c>
      <c r="GJ31" s="145" cm="1">
        <f t="array" ref="GJ31">SUMPRODUCT(--($CR$7:$FW$7&gt;=GJ$5),--($CR$7:$FW$7&lt;=GJ$6),$CR31:$FW31)*GB31</f>
        <v>0</v>
      </c>
      <c r="GK31" s="145" cm="1">
        <f t="array" ref="GK31">SUMPRODUCT(--($CR$7:$FW$7&gt;=GK$5),--($CR$7:$FW$7&lt;=GK$6),$CR31:$FW31)*GC31</f>
        <v>0</v>
      </c>
      <c r="GL31" s="145" cm="1">
        <f t="array" ref="GL31">SUMPRODUCT(--($CR$7:$FW$7&gt;=GL$5),--($CR$7:$FW$7&lt;=GL$6),$CR31:$FW31)*GD31</f>
        <v>0</v>
      </c>
      <c r="GM31" s="145" cm="1">
        <f t="array" ref="GM31">SUMPRODUCT(--($CR$7:$FW$7&gt;=GM$5),--($CR$7:$FW$7&lt;=GM$6),$CR31:$FW31)*GE31</f>
        <v>0</v>
      </c>
      <c r="GN31" s="145" cm="1">
        <f t="array" ref="GN31">SUMPRODUCT(--($CR$7:$FW$7&gt;=GN$5),--($CR$7:$FW$7&lt;=GN$6),$CR31:$FW31)*GF31</f>
        <v>0</v>
      </c>
      <c r="GO31" s="145">
        <f t="shared" si="0"/>
        <v>0</v>
      </c>
      <c r="GP31" s="87"/>
      <c r="GQ31" s="89"/>
      <c r="GR31" s="145" cm="1">
        <f t="array" ref="GR31">SUMPRODUCT(--($CR$7:$FW$7&gt;=GR$5),--($CR$7:$FW$7&lt;=GR$6),$CR31:$FW31)</f>
        <v>0</v>
      </c>
      <c r="GS31" s="89"/>
      <c r="GT31" s="89"/>
      <c r="GU31" s="89"/>
      <c r="GV31" s="89"/>
      <c r="GW31" s="89"/>
      <c r="GX31" s="89"/>
      <c r="GY31" s="89"/>
    </row>
    <row r="32" spans="2:207" x14ac:dyDescent="0.2">
      <c r="B32" s="141"/>
      <c r="C32" s="141"/>
      <c r="D32" s="141"/>
      <c r="E32" s="141"/>
      <c r="F32" s="141"/>
      <c r="G32" s="141"/>
      <c r="H32" s="142"/>
      <c r="I32" s="126"/>
      <c r="J32" s="143"/>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3"/>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c r="EE32" s="145"/>
      <c r="EF32" s="145"/>
      <c r="EG32" s="145"/>
      <c r="EH32" s="145"/>
      <c r="EI32" s="145"/>
      <c r="EJ32" s="145"/>
      <c r="EK32" s="145"/>
      <c r="EL32" s="145"/>
      <c r="EM32" s="145"/>
      <c r="EN32" s="145"/>
      <c r="EO32" s="145"/>
      <c r="EP32" s="145"/>
      <c r="EQ32" s="145"/>
      <c r="ER32" s="145"/>
      <c r="ES32" s="145"/>
      <c r="ET32" s="145"/>
      <c r="EU32" s="145"/>
      <c r="EV32" s="145"/>
      <c r="EW32" s="145"/>
      <c r="EX32" s="145"/>
      <c r="EY32" s="145"/>
      <c r="EZ32" s="145"/>
      <c r="FA32" s="145"/>
      <c r="FB32" s="145"/>
      <c r="FC32" s="145"/>
      <c r="FD32" s="145"/>
      <c r="FE32" s="145"/>
      <c r="FF32" s="145"/>
      <c r="FG32" s="145"/>
      <c r="FH32" s="145"/>
      <c r="FI32" s="145"/>
      <c r="FJ32" s="145"/>
      <c r="FK32" s="145"/>
      <c r="FL32" s="145"/>
      <c r="FM32" s="145"/>
      <c r="FN32" s="145"/>
      <c r="FO32" s="145"/>
      <c r="FP32" s="145"/>
      <c r="FQ32" s="145"/>
      <c r="FR32" s="145"/>
      <c r="FS32" s="145"/>
      <c r="FT32" s="145"/>
      <c r="FU32" s="145"/>
      <c r="FV32" s="145"/>
      <c r="FW32" s="145"/>
      <c r="FX32" s="143"/>
      <c r="FY32" s="146">
        <f>_xlfn.XLOOKUP($E32,'Key assumptions'!$B$112:$B$120,'Key assumptions'!$C$112:$C$120,0)</f>
        <v>0</v>
      </c>
      <c r="FZ32" s="146" cm="1">
        <f t="array" ref="FZ32">IF($FY32=0,0,_xlfn.IFS($FY32='Key assumptions'!$C$120,_xlfn.XLOOKUP(LEFT(FZ$7,6),Inflation_Year,Inflation_NominaltoReal),TRUE,_xlfn.XLOOKUP($FY32,Inflation_Year,NominaltoReal)))</f>
        <v>0</v>
      </c>
      <c r="GA32" s="146" cm="1">
        <f t="array" ref="GA32">IF($FY32=0,0,_xlfn.IFS($FY32='Key assumptions'!$C$120,_xlfn.XLOOKUP(LEFT(GA$7,6),Inflation_Year,Inflation_NominaltoReal),TRUE,_xlfn.XLOOKUP($FY32,Inflation_Year,NominaltoReal)))</f>
        <v>0</v>
      </c>
      <c r="GB32" s="146" cm="1">
        <f t="array" ref="GB32">IF($FY32=0,0,_xlfn.IFS($FY32='Key assumptions'!$C$120,_xlfn.XLOOKUP(LEFT(GB$7,6),Inflation_Year,Inflation_NominaltoReal),TRUE,_xlfn.XLOOKUP($FY32,Inflation_Year,NominaltoReal)))</f>
        <v>0</v>
      </c>
      <c r="GC32" s="146" cm="1">
        <f t="array" ref="GC32">IF($FY32=0,0,_xlfn.IFS($FY32='Key assumptions'!$C$120,_xlfn.XLOOKUP(LEFT(GC$7,6),Inflation_Year,Inflation_NominaltoReal),TRUE,_xlfn.XLOOKUP($FY32,Inflation_Year,NominaltoReal)))</f>
        <v>0</v>
      </c>
      <c r="GD32" s="146" cm="1">
        <f t="array" ref="GD32">IF($FY32=0,0,_xlfn.IFS($FY32='Key assumptions'!$C$120,_xlfn.XLOOKUP(LEFT(GD$7,6),Inflation_Year,Inflation_NominaltoReal),TRUE,_xlfn.XLOOKUP($FY32,Inflation_Year,NominaltoReal)))</f>
        <v>0</v>
      </c>
      <c r="GE32" s="146" cm="1">
        <f t="array" ref="GE32">IF($FY32=0,0,_xlfn.IFS($FY32='Key assumptions'!$C$120,_xlfn.XLOOKUP(LEFT(GE$7,6),Inflation_Year,Inflation_NominaltoReal),TRUE,_xlfn.XLOOKUP($FY32,Inflation_Year,NominaltoReal)))</f>
        <v>0</v>
      </c>
      <c r="GF32" s="146" cm="1">
        <f t="array" ref="GF32">IF($FY32=0,0,_xlfn.IFS($FY32='Key assumptions'!$C$120,_xlfn.XLOOKUP(LEFT(GF$7,6),Inflation_Year,Inflation_NominaltoReal),TRUE,_xlfn.XLOOKUP($FY32,Inflation_Year,NominaltoReal)))</f>
        <v>0</v>
      </c>
      <c r="GG32" s="143"/>
      <c r="GH32" s="145" cm="1">
        <f t="array" ref="GH32">SUMPRODUCT(--($CR$7:$FW$7&gt;=GH$5),--($CR$7:$FW$7&lt;=GH$6),$CR32:$FW32)*FZ32</f>
        <v>0</v>
      </c>
      <c r="GI32" s="145" cm="1">
        <f t="array" ref="GI32">SUMPRODUCT(--($CR$7:$FW$7&gt;=GI$5),--($CR$7:$FW$7&lt;=GI$6),$CR32:$FW32)*GA32</f>
        <v>0</v>
      </c>
      <c r="GJ32" s="145" cm="1">
        <f t="array" ref="GJ32">SUMPRODUCT(--($CR$7:$FW$7&gt;=GJ$5),--($CR$7:$FW$7&lt;=GJ$6),$CR32:$FW32)*GB32</f>
        <v>0</v>
      </c>
      <c r="GK32" s="145" cm="1">
        <f t="array" ref="GK32">SUMPRODUCT(--($CR$7:$FW$7&gt;=GK$5),--($CR$7:$FW$7&lt;=GK$6),$CR32:$FW32)*GC32</f>
        <v>0</v>
      </c>
      <c r="GL32" s="145" cm="1">
        <f t="array" ref="GL32">SUMPRODUCT(--($CR$7:$FW$7&gt;=GL$5),--($CR$7:$FW$7&lt;=GL$6),$CR32:$FW32)*GD32</f>
        <v>0</v>
      </c>
      <c r="GM32" s="145" cm="1">
        <f t="array" ref="GM32">SUMPRODUCT(--($CR$7:$FW$7&gt;=GM$5),--($CR$7:$FW$7&lt;=GM$6),$CR32:$FW32)*GE32</f>
        <v>0</v>
      </c>
      <c r="GN32" s="145" cm="1">
        <f t="array" ref="GN32">SUMPRODUCT(--($CR$7:$FW$7&gt;=GN$5),--($CR$7:$FW$7&lt;=GN$6),$CR32:$FW32)*GF32</f>
        <v>0</v>
      </c>
      <c r="GO32" s="145">
        <f t="shared" si="0"/>
        <v>0</v>
      </c>
      <c r="GP32" s="87"/>
      <c r="GQ32" s="89"/>
      <c r="GR32" s="145" cm="1">
        <f t="array" ref="GR32">SUMPRODUCT(--($CR$7:$FW$7&gt;=GR$5),--($CR$7:$FW$7&lt;=GR$6),$CR32:$FW32)</f>
        <v>0</v>
      </c>
      <c r="GS32" s="89"/>
      <c r="GT32" s="89"/>
      <c r="GU32" s="89"/>
      <c r="GV32" s="89"/>
      <c r="GW32" s="89"/>
      <c r="GX32" s="89"/>
      <c r="GY32" s="89"/>
    </row>
    <row r="33" spans="2:207" x14ac:dyDescent="0.2">
      <c r="B33" s="141"/>
      <c r="C33" s="141"/>
      <c r="D33" s="141"/>
      <c r="E33" s="141"/>
      <c r="F33" s="141"/>
      <c r="G33" s="141"/>
      <c r="H33" s="142"/>
      <c r="I33" s="126"/>
      <c r="J33" s="143"/>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3"/>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5"/>
      <c r="FG33" s="145"/>
      <c r="FH33" s="145"/>
      <c r="FI33" s="145"/>
      <c r="FJ33" s="145"/>
      <c r="FK33" s="145"/>
      <c r="FL33" s="145"/>
      <c r="FM33" s="145"/>
      <c r="FN33" s="145"/>
      <c r="FO33" s="145"/>
      <c r="FP33" s="145"/>
      <c r="FQ33" s="145"/>
      <c r="FR33" s="145"/>
      <c r="FS33" s="145"/>
      <c r="FT33" s="145"/>
      <c r="FU33" s="145"/>
      <c r="FV33" s="145"/>
      <c r="FW33" s="145"/>
      <c r="FX33" s="143"/>
      <c r="FY33" s="146">
        <f>_xlfn.XLOOKUP($E33,'Key assumptions'!$B$112:$B$120,'Key assumptions'!$C$112:$C$120,0)</f>
        <v>0</v>
      </c>
      <c r="FZ33" s="146" cm="1">
        <f t="array" ref="FZ33">IF($FY33=0,0,_xlfn.IFS($FY33='Key assumptions'!$C$120,_xlfn.XLOOKUP(LEFT(FZ$7,6),Inflation_Year,Inflation_NominaltoReal),TRUE,_xlfn.XLOOKUP($FY33,Inflation_Year,NominaltoReal)))</f>
        <v>0</v>
      </c>
      <c r="GA33" s="146" cm="1">
        <f t="array" ref="GA33">IF($FY33=0,0,_xlfn.IFS($FY33='Key assumptions'!$C$120,_xlfn.XLOOKUP(LEFT(GA$7,6),Inflation_Year,Inflation_NominaltoReal),TRUE,_xlfn.XLOOKUP($FY33,Inflation_Year,NominaltoReal)))</f>
        <v>0</v>
      </c>
      <c r="GB33" s="146" cm="1">
        <f t="array" ref="GB33">IF($FY33=0,0,_xlfn.IFS($FY33='Key assumptions'!$C$120,_xlfn.XLOOKUP(LEFT(GB$7,6),Inflation_Year,Inflation_NominaltoReal),TRUE,_xlfn.XLOOKUP($FY33,Inflation_Year,NominaltoReal)))</f>
        <v>0</v>
      </c>
      <c r="GC33" s="146" cm="1">
        <f t="array" ref="GC33">IF($FY33=0,0,_xlfn.IFS($FY33='Key assumptions'!$C$120,_xlfn.XLOOKUP(LEFT(GC$7,6),Inflation_Year,Inflation_NominaltoReal),TRUE,_xlfn.XLOOKUP($FY33,Inflation_Year,NominaltoReal)))</f>
        <v>0</v>
      </c>
      <c r="GD33" s="146" cm="1">
        <f t="array" ref="GD33">IF($FY33=0,0,_xlfn.IFS($FY33='Key assumptions'!$C$120,_xlfn.XLOOKUP(LEFT(GD$7,6),Inflation_Year,Inflation_NominaltoReal),TRUE,_xlfn.XLOOKUP($FY33,Inflation_Year,NominaltoReal)))</f>
        <v>0</v>
      </c>
      <c r="GE33" s="146" cm="1">
        <f t="array" ref="GE33">IF($FY33=0,0,_xlfn.IFS($FY33='Key assumptions'!$C$120,_xlfn.XLOOKUP(LEFT(GE$7,6),Inflation_Year,Inflation_NominaltoReal),TRUE,_xlfn.XLOOKUP($FY33,Inflation_Year,NominaltoReal)))</f>
        <v>0</v>
      </c>
      <c r="GF33" s="146" cm="1">
        <f t="array" ref="GF33">IF($FY33=0,0,_xlfn.IFS($FY33='Key assumptions'!$C$120,_xlfn.XLOOKUP(LEFT(GF$7,6),Inflation_Year,Inflation_NominaltoReal),TRUE,_xlfn.XLOOKUP($FY33,Inflation_Year,NominaltoReal)))</f>
        <v>0</v>
      </c>
      <c r="GG33" s="143"/>
      <c r="GH33" s="145" cm="1">
        <f t="array" ref="GH33">SUMPRODUCT(--($CR$7:$FW$7&gt;=GH$5),--($CR$7:$FW$7&lt;=GH$6),$CR33:$FW33)*FZ33</f>
        <v>0</v>
      </c>
      <c r="GI33" s="145" cm="1">
        <f t="array" ref="GI33">SUMPRODUCT(--($CR$7:$FW$7&gt;=GI$5),--($CR$7:$FW$7&lt;=GI$6),$CR33:$FW33)*GA33</f>
        <v>0</v>
      </c>
      <c r="GJ33" s="145" cm="1">
        <f t="array" ref="GJ33">SUMPRODUCT(--($CR$7:$FW$7&gt;=GJ$5),--($CR$7:$FW$7&lt;=GJ$6),$CR33:$FW33)*GB33</f>
        <v>0</v>
      </c>
      <c r="GK33" s="145" cm="1">
        <f t="array" ref="GK33">SUMPRODUCT(--($CR$7:$FW$7&gt;=GK$5),--($CR$7:$FW$7&lt;=GK$6),$CR33:$FW33)*GC33</f>
        <v>0</v>
      </c>
      <c r="GL33" s="145" cm="1">
        <f t="array" ref="GL33">SUMPRODUCT(--($CR$7:$FW$7&gt;=GL$5),--($CR$7:$FW$7&lt;=GL$6),$CR33:$FW33)*GD33</f>
        <v>0</v>
      </c>
      <c r="GM33" s="145" cm="1">
        <f t="array" ref="GM33">SUMPRODUCT(--($CR$7:$FW$7&gt;=GM$5),--($CR$7:$FW$7&lt;=GM$6),$CR33:$FW33)*GE33</f>
        <v>0</v>
      </c>
      <c r="GN33" s="145" cm="1">
        <f t="array" ref="GN33">SUMPRODUCT(--($CR$7:$FW$7&gt;=GN$5),--($CR$7:$FW$7&lt;=GN$6),$CR33:$FW33)*GF33</f>
        <v>0</v>
      </c>
      <c r="GO33" s="145">
        <f t="shared" si="0"/>
        <v>0</v>
      </c>
      <c r="GP33" s="87"/>
      <c r="GQ33" s="89"/>
      <c r="GR33" s="145" cm="1">
        <f t="array" ref="GR33">SUMPRODUCT(--($CR$7:$FW$7&gt;=GR$5),--($CR$7:$FW$7&lt;=GR$6),$CR33:$FW33)</f>
        <v>0</v>
      </c>
      <c r="GS33" s="89"/>
      <c r="GT33" s="89"/>
      <c r="GU33" s="89"/>
      <c r="GV33" s="89"/>
      <c r="GW33" s="89"/>
      <c r="GX33" s="89"/>
      <c r="GY33" s="89"/>
    </row>
    <row r="34" spans="2:207" x14ac:dyDescent="0.2">
      <c r="B34" s="141"/>
      <c r="C34" s="141"/>
      <c r="D34" s="141"/>
      <c r="E34" s="141"/>
      <c r="F34" s="141"/>
      <c r="G34" s="141"/>
      <c r="H34" s="142"/>
      <c r="I34" s="126"/>
      <c r="J34" s="143"/>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3"/>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3"/>
      <c r="FY34" s="146">
        <f>_xlfn.XLOOKUP($E34,'Key assumptions'!$B$112:$B$120,'Key assumptions'!$C$112:$C$120,0)</f>
        <v>0</v>
      </c>
      <c r="FZ34" s="146" cm="1">
        <f t="array" ref="FZ34">IF($FY34=0,0,_xlfn.IFS($FY34='Key assumptions'!$C$120,_xlfn.XLOOKUP(LEFT(FZ$7,6),Inflation_Year,Inflation_NominaltoReal),TRUE,_xlfn.XLOOKUP($FY34,Inflation_Year,NominaltoReal)))</f>
        <v>0</v>
      </c>
      <c r="GA34" s="146" cm="1">
        <f t="array" ref="GA34">IF($FY34=0,0,_xlfn.IFS($FY34='Key assumptions'!$C$120,_xlfn.XLOOKUP(LEFT(GA$7,6),Inflation_Year,Inflation_NominaltoReal),TRUE,_xlfn.XLOOKUP($FY34,Inflation_Year,NominaltoReal)))</f>
        <v>0</v>
      </c>
      <c r="GB34" s="146" cm="1">
        <f t="array" ref="GB34">IF($FY34=0,0,_xlfn.IFS($FY34='Key assumptions'!$C$120,_xlfn.XLOOKUP(LEFT(GB$7,6),Inflation_Year,Inflation_NominaltoReal),TRUE,_xlfn.XLOOKUP($FY34,Inflation_Year,NominaltoReal)))</f>
        <v>0</v>
      </c>
      <c r="GC34" s="146" cm="1">
        <f t="array" ref="GC34">IF($FY34=0,0,_xlfn.IFS($FY34='Key assumptions'!$C$120,_xlfn.XLOOKUP(LEFT(GC$7,6),Inflation_Year,Inflation_NominaltoReal),TRUE,_xlfn.XLOOKUP($FY34,Inflation_Year,NominaltoReal)))</f>
        <v>0</v>
      </c>
      <c r="GD34" s="146" cm="1">
        <f t="array" ref="GD34">IF($FY34=0,0,_xlfn.IFS($FY34='Key assumptions'!$C$120,_xlfn.XLOOKUP(LEFT(GD$7,6),Inflation_Year,Inflation_NominaltoReal),TRUE,_xlfn.XLOOKUP($FY34,Inflation_Year,NominaltoReal)))</f>
        <v>0</v>
      </c>
      <c r="GE34" s="146" cm="1">
        <f t="array" ref="GE34">IF($FY34=0,0,_xlfn.IFS($FY34='Key assumptions'!$C$120,_xlfn.XLOOKUP(LEFT(GE$7,6),Inflation_Year,Inflation_NominaltoReal),TRUE,_xlfn.XLOOKUP($FY34,Inflation_Year,NominaltoReal)))</f>
        <v>0</v>
      </c>
      <c r="GF34" s="146" cm="1">
        <f t="array" ref="GF34">IF($FY34=0,0,_xlfn.IFS($FY34='Key assumptions'!$C$120,_xlfn.XLOOKUP(LEFT(GF$7,6),Inflation_Year,Inflation_NominaltoReal),TRUE,_xlfn.XLOOKUP($FY34,Inflation_Year,NominaltoReal)))</f>
        <v>0</v>
      </c>
      <c r="GG34" s="143"/>
      <c r="GH34" s="145" cm="1">
        <f t="array" ref="GH34">SUMPRODUCT(--($CR$7:$FW$7&gt;=GH$5),--($CR$7:$FW$7&lt;=GH$6),$CR34:$FW34)*FZ34</f>
        <v>0</v>
      </c>
      <c r="GI34" s="145" cm="1">
        <f t="array" ref="GI34">SUMPRODUCT(--($CR$7:$FW$7&gt;=GI$5),--($CR$7:$FW$7&lt;=GI$6),$CR34:$FW34)*GA34</f>
        <v>0</v>
      </c>
      <c r="GJ34" s="145" cm="1">
        <f t="array" ref="GJ34">SUMPRODUCT(--($CR$7:$FW$7&gt;=GJ$5),--($CR$7:$FW$7&lt;=GJ$6),$CR34:$FW34)*GB34</f>
        <v>0</v>
      </c>
      <c r="GK34" s="145" cm="1">
        <f t="array" ref="GK34">SUMPRODUCT(--($CR$7:$FW$7&gt;=GK$5),--($CR$7:$FW$7&lt;=GK$6),$CR34:$FW34)*GC34</f>
        <v>0</v>
      </c>
      <c r="GL34" s="145" cm="1">
        <f t="array" ref="GL34">SUMPRODUCT(--($CR$7:$FW$7&gt;=GL$5),--($CR$7:$FW$7&lt;=GL$6),$CR34:$FW34)*GD34</f>
        <v>0</v>
      </c>
      <c r="GM34" s="145" cm="1">
        <f t="array" ref="GM34">SUMPRODUCT(--($CR$7:$FW$7&gt;=GM$5),--($CR$7:$FW$7&lt;=GM$6),$CR34:$FW34)*GE34</f>
        <v>0</v>
      </c>
      <c r="GN34" s="145" cm="1">
        <f t="array" ref="GN34">SUMPRODUCT(--($CR$7:$FW$7&gt;=GN$5),--($CR$7:$FW$7&lt;=GN$6),$CR34:$FW34)*GF34</f>
        <v>0</v>
      </c>
      <c r="GO34" s="145">
        <f t="shared" si="0"/>
        <v>0</v>
      </c>
      <c r="GP34" s="87"/>
      <c r="GQ34" s="90"/>
      <c r="GR34" s="145" cm="1">
        <f t="array" ref="GR34">SUMPRODUCT(--($CR$7:$FW$7&gt;=GR$5),--($CR$7:$FW$7&lt;=GR$6),$CR34:$FW34)</f>
        <v>0</v>
      </c>
      <c r="GS34" s="90"/>
      <c r="GT34" s="90"/>
      <c r="GU34" s="90"/>
      <c r="GV34" s="90"/>
      <c r="GW34" s="90"/>
      <c r="GX34" s="90"/>
      <c r="GY34" s="90"/>
    </row>
    <row r="35" spans="2:207" x14ac:dyDescent="0.2">
      <c r="B35" s="141"/>
      <c r="C35" s="141"/>
      <c r="D35" s="141"/>
      <c r="E35" s="141"/>
      <c r="F35" s="141"/>
      <c r="G35" s="141"/>
      <c r="H35" s="142"/>
      <c r="I35" s="126"/>
      <c r="J35" s="143"/>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3"/>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145"/>
      <c r="EV35" s="145"/>
      <c r="EW35" s="145"/>
      <c r="EX35" s="145"/>
      <c r="EY35" s="145"/>
      <c r="EZ35" s="145"/>
      <c r="FA35" s="145"/>
      <c r="FB35" s="145"/>
      <c r="FC35" s="145"/>
      <c r="FD35" s="145"/>
      <c r="FE35" s="145"/>
      <c r="FF35" s="145"/>
      <c r="FG35" s="145"/>
      <c r="FH35" s="145"/>
      <c r="FI35" s="145"/>
      <c r="FJ35" s="145"/>
      <c r="FK35" s="145"/>
      <c r="FL35" s="145"/>
      <c r="FM35" s="145"/>
      <c r="FN35" s="145"/>
      <c r="FO35" s="145"/>
      <c r="FP35" s="145"/>
      <c r="FQ35" s="145"/>
      <c r="FR35" s="145"/>
      <c r="FS35" s="145"/>
      <c r="FT35" s="145"/>
      <c r="FU35" s="145"/>
      <c r="FV35" s="145"/>
      <c r="FW35" s="145"/>
      <c r="FX35" s="143"/>
      <c r="FY35" s="146">
        <f>_xlfn.XLOOKUP($E35,'Key assumptions'!$B$112:$B$120,'Key assumptions'!$C$112:$C$120,0)</f>
        <v>0</v>
      </c>
      <c r="FZ35" s="146" cm="1">
        <f t="array" ref="FZ35">IF($FY35=0,0,_xlfn.IFS($FY35='Key assumptions'!$C$120,_xlfn.XLOOKUP(LEFT(FZ$7,6),Inflation_Year,Inflation_NominaltoReal),TRUE,_xlfn.XLOOKUP($FY35,Inflation_Year,NominaltoReal)))</f>
        <v>0</v>
      </c>
      <c r="GA35" s="146" cm="1">
        <f t="array" ref="GA35">IF($FY35=0,0,_xlfn.IFS($FY35='Key assumptions'!$C$120,_xlfn.XLOOKUP(LEFT(GA$7,6),Inflation_Year,Inflation_NominaltoReal),TRUE,_xlfn.XLOOKUP($FY35,Inflation_Year,NominaltoReal)))</f>
        <v>0</v>
      </c>
      <c r="GB35" s="146" cm="1">
        <f t="array" ref="GB35">IF($FY35=0,0,_xlfn.IFS($FY35='Key assumptions'!$C$120,_xlfn.XLOOKUP(LEFT(GB$7,6),Inflation_Year,Inflation_NominaltoReal),TRUE,_xlfn.XLOOKUP($FY35,Inflation_Year,NominaltoReal)))</f>
        <v>0</v>
      </c>
      <c r="GC35" s="146" cm="1">
        <f t="array" ref="GC35">IF($FY35=0,0,_xlfn.IFS($FY35='Key assumptions'!$C$120,_xlfn.XLOOKUP(LEFT(GC$7,6),Inflation_Year,Inflation_NominaltoReal),TRUE,_xlfn.XLOOKUP($FY35,Inflation_Year,NominaltoReal)))</f>
        <v>0</v>
      </c>
      <c r="GD35" s="146" cm="1">
        <f t="array" ref="GD35">IF($FY35=0,0,_xlfn.IFS($FY35='Key assumptions'!$C$120,_xlfn.XLOOKUP(LEFT(GD$7,6),Inflation_Year,Inflation_NominaltoReal),TRUE,_xlfn.XLOOKUP($FY35,Inflation_Year,NominaltoReal)))</f>
        <v>0</v>
      </c>
      <c r="GE35" s="146" cm="1">
        <f t="array" ref="GE35">IF($FY35=0,0,_xlfn.IFS($FY35='Key assumptions'!$C$120,_xlfn.XLOOKUP(LEFT(GE$7,6),Inflation_Year,Inflation_NominaltoReal),TRUE,_xlfn.XLOOKUP($FY35,Inflation_Year,NominaltoReal)))</f>
        <v>0</v>
      </c>
      <c r="GF35" s="146" cm="1">
        <f t="array" ref="GF35">IF($FY35=0,0,_xlfn.IFS($FY35='Key assumptions'!$C$120,_xlfn.XLOOKUP(LEFT(GF$7,6),Inflation_Year,Inflation_NominaltoReal),TRUE,_xlfn.XLOOKUP($FY35,Inflation_Year,NominaltoReal)))</f>
        <v>0</v>
      </c>
      <c r="GG35" s="143"/>
      <c r="GH35" s="145" cm="1">
        <f t="array" ref="GH35">SUMPRODUCT(--($CR$7:$FW$7&gt;=GH$5),--($CR$7:$FW$7&lt;=GH$6),$CR35:$FW35)*FZ35</f>
        <v>0</v>
      </c>
      <c r="GI35" s="145" cm="1">
        <f t="array" ref="GI35">SUMPRODUCT(--($CR$7:$FW$7&gt;=GI$5),--($CR$7:$FW$7&lt;=GI$6),$CR35:$FW35)*GA35</f>
        <v>0</v>
      </c>
      <c r="GJ35" s="145" cm="1">
        <f t="array" ref="GJ35">SUMPRODUCT(--($CR$7:$FW$7&gt;=GJ$5),--($CR$7:$FW$7&lt;=GJ$6),$CR35:$FW35)*GB35</f>
        <v>0</v>
      </c>
      <c r="GK35" s="145" cm="1">
        <f t="array" ref="GK35">SUMPRODUCT(--($CR$7:$FW$7&gt;=GK$5),--($CR$7:$FW$7&lt;=GK$6),$CR35:$FW35)*GC35</f>
        <v>0</v>
      </c>
      <c r="GL35" s="145" cm="1">
        <f t="array" ref="GL35">SUMPRODUCT(--($CR$7:$FW$7&gt;=GL$5),--($CR$7:$FW$7&lt;=GL$6),$CR35:$FW35)*GD35</f>
        <v>0</v>
      </c>
      <c r="GM35" s="145" cm="1">
        <f t="array" ref="GM35">SUMPRODUCT(--($CR$7:$FW$7&gt;=GM$5),--($CR$7:$FW$7&lt;=GM$6),$CR35:$FW35)*GE35</f>
        <v>0</v>
      </c>
      <c r="GN35" s="145" cm="1">
        <f t="array" ref="GN35">SUMPRODUCT(--($CR$7:$FW$7&gt;=GN$5),--($CR$7:$FW$7&lt;=GN$6),$CR35:$FW35)*GF35</f>
        <v>0</v>
      </c>
      <c r="GO35" s="145">
        <f t="shared" si="0"/>
        <v>0</v>
      </c>
      <c r="GP35" s="87"/>
      <c r="GR35" s="145" cm="1">
        <f t="array" ref="GR35">SUMPRODUCT(--($CR$7:$FW$7&gt;=GR$5),--($CR$7:$FW$7&lt;=GR$6),$CR35:$FW35)</f>
        <v>0</v>
      </c>
    </row>
    <row r="36" spans="2:207" x14ac:dyDescent="0.2">
      <c r="B36" s="141"/>
      <c r="C36" s="141"/>
      <c r="D36" s="141"/>
      <c r="E36" s="141"/>
      <c r="F36" s="141"/>
      <c r="G36" s="141"/>
      <c r="H36" s="142"/>
      <c r="I36" s="126"/>
      <c r="J36" s="143"/>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3"/>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3"/>
      <c r="FY36" s="146">
        <f>_xlfn.XLOOKUP($E36,'Key assumptions'!$B$112:$B$120,'Key assumptions'!$C$112:$C$120,0)</f>
        <v>0</v>
      </c>
      <c r="FZ36" s="146" cm="1">
        <f t="array" ref="FZ36">IF($FY36=0,0,_xlfn.IFS($FY36='Key assumptions'!$C$120,_xlfn.XLOOKUP(LEFT(FZ$7,6),Inflation_Year,Inflation_NominaltoReal),TRUE,_xlfn.XLOOKUP($FY36,Inflation_Year,NominaltoReal)))</f>
        <v>0</v>
      </c>
      <c r="GA36" s="146" cm="1">
        <f t="array" ref="GA36">IF($FY36=0,0,_xlfn.IFS($FY36='Key assumptions'!$C$120,_xlfn.XLOOKUP(LEFT(GA$7,6),Inflation_Year,Inflation_NominaltoReal),TRUE,_xlfn.XLOOKUP($FY36,Inflation_Year,NominaltoReal)))</f>
        <v>0</v>
      </c>
      <c r="GB36" s="146" cm="1">
        <f t="array" ref="GB36">IF($FY36=0,0,_xlfn.IFS($FY36='Key assumptions'!$C$120,_xlfn.XLOOKUP(LEFT(GB$7,6),Inflation_Year,Inflation_NominaltoReal),TRUE,_xlfn.XLOOKUP($FY36,Inflation_Year,NominaltoReal)))</f>
        <v>0</v>
      </c>
      <c r="GC36" s="146" cm="1">
        <f t="array" ref="GC36">IF($FY36=0,0,_xlfn.IFS($FY36='Key assumptions'!$C$120,_xlfn.XLOOKUP(LEFT(GC$7,6),Inflation_Year,Inflation_NominaltoReal),TRUE,_xlfn.XLOOKUP($FY36,Inflation_Year,NominaltoReal)))</f>
        <v>0</v>
      </c>
      <c r="GD36" s="146" cm="1">
        <f t="array" ref="GD36">IF($FY36=0,0,_xlfn.IFS($FY36='Key assumptions'!$C$120,_xlfn.XLOOKUP(LEFT(GD$7,6),Inflation_Year,Inflation_NominaltoReal),TRUE,_xlfn.XLOOKUP($FY36,Inflation_Year,NominaltoReal)))</f>
        <v>0</v>
      </c>
      <c r="GE36" s="146" cm="1">
        <f t="array" ref="GE36">IF($FY36=0,0,_xlfn.IFS($FY36='Key assumptions'!$C$120,_xlfn.XLOOKUP(LEFT(GE$7,6),Inflation_Year,Inflation_NominaltoReal),TRUE,_xlfn.XLOOKUP($FY36,Inflation_Year,NominaltoReal)))</f>
        <v>0</v>
      </c>
      <c r="GF36" s="146" cm="1">
        <f t="array" ref="GF36">IF($FY36=0,0,_xlfn.IFS($FY36='Key assumptions'!$C$120,_xlfn.XLOOKUP(LEFT(GF$7,6),Inflation_Year,Inflation_NominaltoReal),TRUE,_xlfn.XLOOKUP($FY36,Inflation_Year,NominaltoReal)))</f>
        <v>0</v>
      </c>
      <c r="GG36" s="143"/>
      <c r="GH36" s="145" cm="1">
        <f t="array" ref="GH36">SUMPRODUCT(--($CR$7:$FW$7&gt;=GH$5),--($CR$7:$FW$7&lt;=GH$6),$CR36:$FW36)*FZ36</f>
        <v>0</v>
      </c>
      <c r="GI36" s="145" cm="1">
        <f t="array" ref="GI36">SUMPRODUCT(--($CR$7:$FW$7&gt;=GI$5),--($CR$7:$FW$7&lt;=GI$6),$CR36:$FW36)*GA36</f>
        <v>0</v>
      </c>
      <c r="GJ36" s="145" cm="1">
        <f t="array" ref="GJ36">SUMPRODUCT(--($CR$7:$FW$7&gt;=GJ$5),--($CR$7:$FW$7&lt;=GJ$6),$CR36:$FW36)*GB36</f>
        <v>0</v>
      </c>
      <c r="GK36" s="145" cm="1">
        <f t="array" ref="GK36">SUMPRODUCT(--($CR$7:$FW$7&gt;=GK$5),--($CR$7:$FW$7&lt;=GK$6),$CR36:$FW36)*GC36</f>
        <v>0</v>
      </c>
      <c r="GL36" s="145" cm="1">
        <f t="array" ref="GL36">SUMPRODUCT(--($CR$7:$FW$7&gt;=GL$5),--($CR$7:$FW$7&lt;=GL$6),$CR36:$FW36)*GD36</f>
        <v>0</v>
      </c>
      <c r="GM36" s="145" cm="1">
        <f t="array" ref="GM36">SUMPRODUCT(--($CR$7:$FW$7&gt;=GM$5),--($CR$7:$FW$7&lt;=GM$6),$CR36:$FW36)*GE36</f>
        <v>0</v>
      </c>
      <c r="GN36" s="145" cm="1">
        <f t="array" ref="GN36">SUMPRODUCT(--($CR$7:$FW$7&gt;=GN$5),--($CR$7:$FW$7&lt;=GN$6),$CR36:$FW36)*GF36</f>
        <v>0</v>
      </c>
      <c r="GO36" s="145">
        <f t="shared" si="0"/>
        <v>0</v>
      </c>
      <c r="GP36" s="87"/>
      <c r="GR36" s="145" cm="1">
        <f t="array" ref="GR36">SUMPRODUCT(--($CR$7:$FW$7&gt;=GR$5),--($CR$7:$FW$7&lt;=GR$6),$CR36:$FW36)</f>
        <v>0</v>
      </c>
    </row>
    <row r="37" spans="2:207" x14ac:dyDescent="0.2">
      <c r="B37" s="141"/>
      <c r="C37" s="141"/>
      <c r="D37" s="141"/>
      <c r="E37" s="141"/>
      <c r="F37" s="141"/>
      <c r="G37" s="141"/>
      <c r="H37" s="142"/>
      <c r="I37" s="126"/>
      <c r="J37" s="143"/>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3"/>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3"/>
      <c r="FY37" s="146">
        <f>_xlfn.XLOOKUP($E37,'Key assumptions'!$B$112:$B$120,'Key assumptions'!$C$112:$C$120,0)</f>
        <v>0</v>
      </c>
      <c r="FZ37" s="146" cm="1">
        <f t="array" ref="FZ37">IF($FY37=0,0,_xlfn.IFS($FY37='Key assumptions'!$C$120,_xlfn.XLOOKUP(LEFT(FZ$7,6),Inflation_Year,Inflation_NominaltoReal),TRUE,_xlfn.XLOOKUP($FY37,Inflation_Year,NominaltoReal)))</f>
        <v>0</v>
      </c>
      <c r="GA37" s="146" cm="1">
        <f t="array" ref="GA37">IF($FY37=0,0,_xlfn.IFS($FY37='Key assumptions'!$C$120,_xlfn.XLOOKUP(LEFT(GA$7,6),Inflation_Year,Inflation_NominaltoReal),TRUE,_xlfn.XLOOKUP($FY37,Inflation_Year,NominaltoReal)))</f>
        <v>0</v>
      </c>
      <c r="GB37" s="146" cm="1">
        <f t="array" ref="GB37">IF($FY37=0,0,_xlfn.IFS($FY37='Key assumptions'!$C$120,_xlfn.XLOOKUP(LEFT(GB$7,6),Inflation_Year,Inflation_NominaltoReal),TRUE,_xlfn.XLOOKUP($FY37,Inflation_Year,NominaltoReal)))</f>
        <v>0</v>
      </c>
      <c r="GC37" s="146" cm="1">
        <f t="array" ref="GC37">IF($FY37=0,0,_xlfn.IFS($FY37='Key assumptions'!$C$120,_xlfn.XLOOKUP(LEFT(GC$7,6),Inflation_Year,Inflation_NominaltoReal),TRUE,_xlfn.XLOOKUP($FY37,Inflation_Year,NominaltoReal)))</f>
        <v>0</v>
      </c>
      <c r="GD37" s="146" cm="1">
        <f t="array" ref="GD37">IF($FY37=0,0,_xlfn.IFS($FY37='Key assumptions'!$C$120,_xlfn.XLOOKUP(LEFT(GD$7,6),Inflation_Year,Inflation_NominaltoReal),TRUE,_xlfn.XLOOKUP($FY37,Inflation_Year,NominaltoReal)))</f>
        <v>0</v>
      </c>
      <c r="GE37" s="146" cm="1">
        <f t="array" ref="GE37">IF($FY37=0,0,_xlfn.IFS($FY37='Key assumptions'!$C$120,_xlfn.XLOOKUP(LEFT(GE$7,6),Inflation_Year,Inflation_NominaltoReal),TRUE,_xlfn.XLOOKUP($FY37,Inflation_Year,NominaltoReal)))</f>
        <v>0</v>
      </c>
      <c r="GF37" s="146" cm="1">
        <f t="array" ref="GF37">IF($FY37=0,0,_xlfn.IFS($FY37='Key assumptions'!$C$120,_xlfn.XLOOKUP(LEFT(GF$7,6),Inflation_Year,Inflation_NominaltoReal),TRUE,_xlfn.XLOOKUP($FY37,Inflation_Year,NominaltoReal)))</f>
        <v>0</v>
      </c>
      <c r="GG37" s="143"/>
      <c r="GH37" s="145" cm="1">
        <f t="array" ref="GH37">SUMPRODUCT(--($CR$7:$FW$7&gt;=GH$5),--($CR$7:$FW$7&lt;=GH$6),$CR37:$FW37)*FZ37</f>
        <v>0</v>
      </c>
      <c r="GI37" s="145" cm="1">
        <f t="array" ref="GI37">SUMPRODUCT(--($CR$7:$FW$7&gt;=GI$5),--($CR$7:$FW$7&lt;=GI$6),$CR37:$FW37)*GA37</f>
        <v>0</v>
      </c>
      <c r="GJ37" s="145" cm="1">
        <f t="array" ref="GJ37">SUMPRODUCT(--($CR$7:$FW$7&gt;=GJ$5),--($CR$7:$FW$7&lt;=GJ$6),$CR37:$FW37)*GB37</f>
        <v>0</v>
      </c>
      <c r="GK37" s="145" cm="1">
        <f t="array" ref="GK37">SUMPRODUCT(--($CR$7:$FW$7&gt;=GK$5),--($CR$7:$FW$7&lt;=GK$6),$CR37:$FW37)*GC37</f>
        <v>0</v>
      </c>
      <c r="GL37" s="145" cm="1">
        <f t="array" ref="GL37">SUMPRODUCT(--($CR$7:$FW$7&gt;=GL$5),--($CR$7:$FW$7&lt;=GL$6),$CR37:$FW37)*GD37</f>
        <v>0</v>
      </c>
      <c r="GM37" s="145" cm="1">
        <f t="array" ref="GM37">SUMPRODUCT(--($CR$7:$FW$7&gt;=GM$5),--($CR$7:$FW$7&lt;=GM$6),$CR37:$FW37)*GE37</f>
        <v>0</v>
      </c>
      <c r="GN37" s="145" cm="1">
        <f t="array" ref="GN37">SUMPRODUCT(--($CR$7:$FW$7&gt;=GN$5),--($CR$7:$FW$7&lt;=GN$6),$CR37:$FW37)*GF37</f>
        <v>0</v>
      </c>
      <c r="GO37" s="145">
        <f t="shared" si="0"/>
        <v>0</v>
      </c>
      <c r="GP37" s="87"/>
      <c r="GR37" s="145" cm="1">
        <f t="array" ref="GR37">SUMPRODUCT(--($CR$7:$FW$7&gt;=GR$5),--($CR$7:$FW$7&lt;=GR$6),$CR37:$FW37)</f>
        <v>0</v>
      </c>
    </row>
    <row r="38" spans="2:207" x14ac:dyDescent="0.2">
      <c r="B38" s="141"/>
      <c r="C38" s="141"/>
      <c r="D38" s="141"/>
      <c r="E38" s="141"/>
      <c r="F38" s="141"/>
      <c r="G38" s="141"/>
      <c r="H38" s="142"/>
      <c r="I38" s="126"/>
      <c r="J38" s="143"/>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3"/>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3"/>
      <c r="FY38" s="146">
        <f>_xlfn.XLOOKUP($E38,'Key assumptions'!$B$112:$B$120,'Key assumptions'!$C$112:$C$120,0)</f>
        <v>0</v>
      </c>
      <c r="FZ38" s="146" cm="1">
        <f t="array" ref="FZ38">IF($FY38=0,0,_xlfn.IFS($FY38='Key assumptions'!$C$120,_xlfn.XLOOKUP(LEFT(FZ$7,6),Inflation_Year,Inflation_NominaltoReal),TRUE,_xlfn.XLOOKUP($FY38,Inflation_Year,NominaltoReal)))</f>
        <v>0</v>
      </c>
      <c r="GA38" s="146" cm="1">
        <f t="array" ref="GA38">IF($FY38=0,0,_xlfn.IFS($FY38='Key assumptions'!$C$120,_xlfn.XLOOKUP(LEFT(GA$7,6),Inflation_Year,Inflation_NominaltoReal),TRUE,_xlfn.XLOOKUP($FY38,Inflation_Year,NominaltoReal)))</f>
        <v>0</v>
      </c>
      <c r="GB38" s="146" cm="1">
        <f t="array" ref="GB38">IF($FY38=0,0,_xlfn.IFS($FY38='Key assumptions'!$C$120,_xlfn.XLOOKUP(LEFT(GB$7,6),Inflation_Year,Inflation_NominaltoReal),TRUE,_xlfn.XLOOKUP($FY38,Inflation_Year,NominaltoReal)))</f>
        <v>0</v>
      </c>
      <c r="GC38" s="146" cm="1">
        <f t="array" ref="GC38">IF($FY38=0,0,_xlfn.IFS($FY38='Key assumptions'!$C$120,_xlfn.XLOOKUP(LEFT(GC$7,6),Inflation_Year,Inflation_NominaltoReal),TRUE,_xlfn.XLOOKUP($FY38,Inflation_Year,NominaltoReal)))</f>
        <v>0</v>
      </c>
      <c r="GD38" s="146" cm="1">
        <f t="array" ref="GD38">IF($FY38=0,0,_xlfn.IFS($FY38='Key assumptions'!$C$120,_xlfn.XLOOKUP(LEFT(GD$7,6),Inflation_Year,Inflation_NominaltoReal),TRUE,_xlfn.XLOOKUP($FY38,Inflation_Year,NominaltoReal)))</f>
        <v>0</v>
      </c>
      <c r="GE38" s="146" cm="1">
        <f t="array" ref="GE38">IF($FY38=0,0,_xlfn.IFS($FY38='Key assumptions'!$C$120,_xlfn.XLOOKUP(LEFT(GE$7,6),Inflation_Year,Inflation_NominaltoReal),TRUE,_xlfn.XLOOKUP($FY38,Inflation_Year,NominaltoReal)))</f>
        <v>0</v>
      </c>
      <c r="GF38" s="146" cm="1">
        <f t="array" ref="GF38">IF($FY38=0,0,_xlfn.IFS($FY38='Key assumptions'!$C$120,_xlfn.XLOOKUP(LEFT(GF$7,6),Inflation_Year,Inflation_NominaltoReal),TRUE,_xlfn.XLOOKUP($FY38,Inflation_Year,NominaltoReal)))</f>
        <v>0</v>
      </c>
      <c r="GG38" s="143"/>
      <c r="GH38" s="145" cm="1">
        <f t="array" ref="GH38">SUMPRODUCT(--($CR$7:$FW$7&gt;=GH$5),--($CR$7:$FW$7&lt;=GH$6),$CR38:$FW38)*FZ38</f>
        <v>0</v>
      </c>
      <c r="GI38" s="145" cm="1">
        <f t="array" ref="GI38">SUMPRODUCT(--($CR$7:$FW$7&gt;=GI$5),--($CR$7:$FW$7&lt;=GI$6),$CR38:$FW38)*GA38</f>
        <v>0</v>
      </c>
      <c r="GJ38" s="145" cm="1">
        <f t="array" ref="GJ38">SUMPRODUCT(--($CR$7:$FW$7&gt;=GJ$5),--($CR$7:$FW$7&lt;=GJ$6),$CR38:$FW38)*GB38</f>
        <v>0</v>
      </c>
      <c r="GK38" s="145" cm="1">
        <f t="array" ref="GK38">SUMPRODUCT(--($CR$7:$FW$7&gt;=GK$5),--($CR$7:$FW$7&lt;=GK$6),$CR38:$FW38)*GC38</f>
        <v>0</v>
      </c>
      <c r="GL38" s="145" cm="1">
        <f t="array" ref="GL38">SUMPRODUCT(--($CR$7:$FW$7&gt;=GL$5),--($CR$7:$FW$7&lt;=GL$6),$CR38:$FW38)*GD38</f>
        <v>0</v>
      </c>
      <c r="GM38" s="145" cm="1">
        <f t="array" ref="GM38">SUMPRODUCT(--($CR$7:$FW$7&gt;=GM$5),--($CR$7:$FW$7&lt;=GM$6),$CR38:$FW38)*GE38</f>
        <v>0</v>
      </c>
      <c r="GN38" s="145" cm="1">
        <f t="array" ref="GN38">SUMPRODUCT(--($CR$7:$FW$7&gt;=GN$5),--($CR$7:$FW$7&lt;=GN$6),$CR38:$FW38)*GF38</f>
        <v>0</v>
      </c>
      <c r="GO38" s="145">
        <f t="shared" si="0"/>
        <v>0</v>
      </c>
      <c r="GP38" s="87"/>
      <c r="GR38" s="145" cm="1">
        <f t="array" ref="GR38">SUMPRODUCT(--($CR$7:$FW$7&gt;=GR$5),--($CR$7:$FW$7&lt;=GR$6),$CR38:$FW38)</f>
        <v>0</v>
      </c>
    </row>
    <row r="39" spans="2:207" x14ac:dyDescent="0.2">
      <c r="B39" s="141"/>
      <c r="C39" s="141"/>
      <c r="D39" s="141"/>
      <c r="E39" s="141"/>
      <c r="F39" s="141"/>
      <c r="G39" s="141"/>
      <c r="H39" s="142"/>
      <c r="I39" s="126"/>
      <c r="J39" s="143"/>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3"/>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3"/>
      <c r="FY39" s="146">
        <f>_xlfn.XLOOKUP($E39,'Key assumptions'!$B$112:$B$120,'Key assumptions'!$C$112:$C$120,0)</f>
        <v>0</v>
      </c>
      <c r="FZ39" s="146" cm="1">
        <f t="array" ref="FZ39">IF($FY39=0,0,_xlfn.IFS($FY39='Key assumptions'!$C$120,_xlfn.XLOOKUP(LEFT(FZ$7,6),Inflation_Year,Inflation_NominaltoReal),TRUE,_xlfn.XLOOKUP($FY39,Inflation_Year,NominaltoReal)))</f>
        <v>0</v>
      </c>
      <c r="GA39" s="146" cm="1">
        <f t="array" ref="GA39">IF($FY39=0,0,_xlfn.IFS($FY39='Key assumptions'!$C$120,_xlfn.XLOOKUP(LEFT(GA$7,6),Inflation_Year,Inflation_NominaltoReal),TRUE,_xlfn.XLOOKUP($FY39,Inflation_Year,NominaltoReal)))</f>
        <v>0</v>
      </c>
      <c r="GB39" s="146" cm="1">
        <f t="array" ref="GB39">IF($FY39=0,0,_xlfn.IFS($FY39='Key assumptions'!$C$120,_xlfn.XLOOKUP(LEFT(GB$7,6),Inflation_Year,Inflation_NominaltoReal),TRUE,_xlfn.XLOOKUP($FY39,Inflation_Year,NominaltoReal)))</f>
        <v>0</v>
      </c>
      <c r="GC39" s="146" cm="1">
        <f t="array" ref="GC39">IF($FY39=0,0,_xlfn.IFS($FY39='Key assumptions'!$C$120,_xlfn.XLOOKUP(LEFT(GC$7,6),Inflation_Year,Inflation_NominaltoReal),TRUE,_xlfn.XLOOKUP($FY39,Inflation_Year,NominaltoReal)))</f>
        <v>0</v>
      </c>
      <c r="GD39" s="146" cm="1">
        <f t="array" ref="GD39">IF($FY39=0,0,_xlfn.IFS($FY39='Key assumptions'!$C$120,_xlfn.XLOOKUP(LEFT(GD$7,6),Inflation_Year,Inflation_NominaltoReal),TRUE,_xlfn.XLOOKUP($FY39,Inflation_Year,NominaltoReal)))</f>
        <v>0</v>
      </c>
      <c r="GE39" s="146" cm="1">
        <f t="array" ref="GE39">IF($FY39=0,0,_xlfn.IFS($FY39='Key assumptions'!$C$120,_xlfn.XLOOKUP(LEFT(GE$7,6),Inflation_Year,Inflation_NominaltoReal),TRUE,_xlfn.XLOOKUP($FY39,Inflation_Year,NominaltoReal)))</f>
        <v>0</v>
      </c>
      <c r="GF39" s="146" cm="1">
        <f t="array" ref="GF39">IF($FY39=0,0,_xlfn.IFS($FY39='Key assumptions'!$C$120,_xlfn.XLOOKUP(LEFT(GF$7,6),Inflation_Year,Inflation_NominaltoReal),TRUE,_xlfn.XLOOKUP($FY39,Inflation_Year,NominaltoReal)))</f>
        <v>0</v>
      </c>
      <c r="GG39" s="143"/>
      <c r="GH39" s="145" cm="1">
        <f t="array" ref="GH39">SUMPRODUCT(--($CR$7:$FW$7&gt;=GH$5),--($CR$7:$FW$7&lt;=GH$6),$CR39:$FW39)*FZ39</f>
        <v>0</v>
      </c>
      <c r="GI39" s="145" cm="1">
        <f t="array" ref="GI39">SUMPRODUCT(--($CR$7:$FW$7&gt;=GI$5),--($CR$7:$FW$7&lt;=GI$6),$CR39:$FW39)*GA39</f>
        <v>0</v>
      </c>
      <c r="GJ39" s="145" cm="1">
        <f t="array" ref="GJ39">SUMPRODUCT(--($CR$7:$FW$7&gt;=GJ$5),--($CR$7:$FW$7&lt;=GJ$6),$CR39:$FW39)*GB39</f>
        <v>0</v>
      </c>
      <c r="GK39" s="145" cm="1">
        <f t="array" ref="GK39">SUMPRODUCT(--($CR$7:$FW$7&gt;=GK$5),--($CR$7:$FW$7&lt;=GK$6),$CR39:$FW39)*GC39</f>
        <v>0</v>
      </c>
      <c r="GL39" s="145" cm="1">
        <f t="array" ref="GL39">SUMPRODUCT(--($CR$7:$FW$7&gt;=GL$5),--($CR$7:$FW$7&lt;=GL$6),$CR39:$FW39)*GD39</f>
        <v>0</v>
      </c>
      <c r="GM39" s="145" cm="1">
        <f t="array" ref="GM39">SUMPRODUCT(--($CR$7:$FW$7&gt;=GM$5),--($CR$7:$FW$7&lt;=GM$6),$CR39:$FW39)*GE39</f>
        <v>0</v>
      </c>
      <c r="GN39" s="145" cm="1">
        <f t="array" ref="GN39">SUMPRODUCT(--($CR$7:$FW$7&gt;=GN$5),--($CR$7:$FW$7&lt;=GN$6),$CR39:$FW39)*GF39</f>
        <v>0</v>
      </c>
      <c r="GO39" s="145">
        <f t="shared" si="0"/>
        <v>0</v>
      </c>
      <c r="GP39" s="87"/>
      <c r="GR39" s="145" cm="1">
        <f t="array" ref="GR39">SUMPRODUCT(--($CR$7:$FW$7&gt;=GR$5),--($CR$7:$FW$7&lt;=GR$6),$CR39:$FW39)</f>
        <v>0</v>
      </c>
    </row>
    <row r="40" spans="2:207" x14ac:dyDescent="0.2">
      <c r="B40" s="141"/>
      <c r="C40" s="141"/>
      <c r="D40" s="141"/>
      <c r="E40" s="141"/>
      <c r="F40" s="141"/>
      <c r="G40" s="141"/>
      <c r="H40" s="142"/>
      <c r="I40" s="126"/>
      <c r="J40" s="143"/>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3"/>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c r="EE40" s="145"/>
      <c r="EF40" s="145"/>
      <c r="EG40" s="145"/>
      <c r="EH40" s="145"/>
      <c r="EI40" s="145"/>
      <c r="EJ40" s="145"/>
      <c r="EK40" s="145"/>
      <c r="EL40" s="145"/>
      <c r="EM40" s="145"/>
      <c r="EN40" s="145"/>
      <c r="EO40" s="145"/>
      <c r="EP40" s="145"/>
      <c r="EQ40" s="145"/>
      <c r="ER40" s="145"/>
      <c r="ES40" s="145"/>
      <c r="ET40" s="145"/>
      <c r="EU40" s="145"/>
      <c r="EV40" s="145"/>
      <c r="EW40" s="145"/>
      <c r="EX40" s="145"/>
      <c r="EY40" s="145"/>
      <c r="EZ40" s="145"/>
      <c r="FA40" s="145"/>
      <c r="FB40" s="145"/>
      <c r="FC40" s="145"/>
      <c r="FD40" s="145"/>
      <c r="FE40" s="145"/>
      <c r="FF40" s="145"/>
      <c r="FG40" s="145"/>
      <c r="FH40" s="145"/>
      <c r="FI40" s="145"/>
      <c r="FJ40" s="145"/>
      <c r="FK40" s="145"/>
      <c r="FL40" s="145"/>
      <c r="FM40" s="145"/>
      <c r="FN40" s="145"/>
      <c r="FO40" s="145"/>
      <c r="FP40" s="145"/>
      <c r="FQ40" s="145"/>
      <c r="FR40" s="145"/>
      <c r="FS40" s="145"/>
      <c r="FT40" s="145"/>
      <c r="FU40" s="145"/>
      <c r="FV40" s="145"/>
      <c r="FW40" s="145"/>
      <c r="FX40" s="143"/>
      <c r="FY40" s="146">
        <f>_xlfn.XLOOKUP($E40,'Key assumptions'!$B$112:$B$120,'Key assumptions'!$C$112:$C$120,0)</f>
        <v>0</v>
      </c>
      <c r="FZ40" s="146" cm="1">
        <f t="array" ref="FZ40">IF($FY40=0,0,_xlfn.IFS($FY40='Key assumptions'!$C$120,_xlfn.XLOOKUP(LEFT(FZ$7,6),Inflation_Year,Inflation_NominaltoReal),TRUE,_xlfn.XLOOKUP($FY40,Inflation_Year,NominaltoReal)))</f>
        <v>0</v>
      </c>
      <c r="GA40" s="146" cm="1">
        <f t="array" ref="GA40">IF($FY40=0,0,_xlfn.IFS($FY40='Key assumptions'!$C$120,_xlfn.XLOOKUP(LEFT(GA$7,6),Inflation_Year,Inflation_NominaltoReal),TRUE,_xlfn.XLOOKUP($FY40,Inflation_Year,NominaltoReal)))</f>
        <v>0</v>
      </c>
      <c r="GB40" s="146" cm="1">
        <f t="array" ref="GB40">IF($FY40=0,0,_xlfn.IFS($FY40='Key assumptions'!$C$120,_xlfn.XLOOKUP(LEFT(GB$7,6),Inflation_Year,Inflation_NominaltoReal),TRUE,_xlfn.XLOOKUP($FY40,Inflation_Year,NominaltoReal)))</f>
        <v>0</v>
      </c>
      <c r="GC40" s="146" cm="1">
        <f t="array" ref="GC40">IF($FY40=0,0,_xlfn.IFS($FY40='Key assumptions'!$C$120,_xlfn.XLOOKUP(LEFT(GC$7,6),Inflation_Year,Inflation_NominaltoReal),TRUE,_xlfn.XLOOKUP($FY40,Inflation_Year,NominaltoReal)))</f>
        <v>0</v>
      </c>
      <c r="GD40" s="146" cm="1">
        <f t="array" ref="GD40">IF($FY40=0,0,_xlfn.IFS($FY40='Key assumptions'!$C$120,_xlfn.XLOOKUP(LEFT(GD$7,6),Inflation_Year,Inflation_NominaltoReal),TRUE,_xlfn.XLOOKUP($FY40,Inflation_Year,NominaltoReal)))</f>
        <v>0</v>
      </c>
      <c r="GE40" s="146" cm="1">
        <f t="array" ref="GE40">IF($FY40=0,0,_xlfn.IFS($FY40='Key assumptions'!$C$120,_xlfn.XLOOKUP(LEFT(GE$7,6),Inflation_Year,Inflation_NominaltoReal),TRUE,_xlfn.XLOOKUP($FY40,Inflation_Year,NominaltoReal)))</f>
        <v>0</v>
      </c>
      <c r="GF40" s="146" cm="1">
        <f t="array" ref="GF40">IF($FY40=0,0,_xlfn.IFS($FY40='Key assumptions'!$C$120,_xlfn.XLOOKUP(LEFT(GF$7,6),Inflation_Year,Inflation_NominaltoReal),TRUE,_xlfn.XLOOKUP($FY40,Inflation_Year,NominaltoReal)))</f>
        <v>0</v>
      </c>
      <c r="GG40" s="143"/>
      <c r="GH40" s="145" cm="1">
        <f t="array" ref="GH40">SUMPRODUCT(--($CR$7:$FW$7&gt;=GH$5),--($CR$7:$FW$7&lt;=GH$6),$CR40:$FW40)*FZ40</f>
        <v>0</v>
      </c>
      <c r="GI40" s="145" cm="1">
        <f t="array" ref="GI40">SUMPRODUCT(--($CR$7:$FW$7&gt;=GI$5),--($CR$7:$FW$7&lt;=GI$6),$CR40:$FW40)*GA40</f>
        <v>0</v>
      </c>
      <c r="GJ40" s="145" cm="1">
        <f t="array" ref="GJ40">SUMPRODUCT(--($CR$7:$FW$7&gt;=GJ$5),--($CR$7:$FW$7&lt;=GJ$6),$CR40:$FW40)*GB40</f>
        <v>0</v>
      </c>
      <c r="GK40" s="145" cm="1">
        <f t="array" ref="GK40">SUMPRODUCT(--($CR$7:$FW$7&gt;=GK$5),--($CR$7:$FW$7&lt;=GK$6),$CR40:$FW40)*GC40</f>
        <v>0</v>
      </c>
      <c r="GL40" s="145" cm="1">
        <f t="array" ref="GL40">SUMPRODUCT(--($CR$7:$FW$7&gt;=GL$5),--($CR$7:$FW$7&lt;=GL$6),$CR40:$FW40)*GD40</f>
        <v>0</v>
      </c>
      <c r="GM40" s="145" cm="1">
        <f t="array" ref="GM40">SUMPRODUCT(--($CR$7:$FW$7&gt;=GM$5),--($CR$7:$FW$7&lt;=GM$6),$CR40:$FW40)*GE40</f>
        <v>0</v>
      </c>
      <c r="GN40" s="145" cm="1">
        <f t="array" ref="GN40">SUMPRODUCT(--($CR$7:$FW$7&gt;=GN$5),--($CR$7:$FW$7&lt;=GN$6),$CR40:$FW40)*GF40</f>
        <v>0</v>
      </c>
      <c r="GO40" s="145">
        <f t="shared" si="0"/>
        <v>0</v>
      </c>
      <c r="GP40" s="87"/>
      <c r="GR40" s="145" cm="1">
        <f t="array" ref="GR40">SUMPRODUCT(--($CR$7:$FW$7&gt;=GR$5),--($CR$7:$FW$7&lt;=GR$6),$CR40:$FW40)</f>
        <v>0</v>
      </c>
    </row>
    <row r="41" spans="2:207" x14ac:dyDescent="0.2">
      <c r="B41" s="141"/>
      <c r="C41" s="141"/>
      <c r="D41" s="141"/>
      <c r="E41" s="141"/>
      <c r="F41" s="141"/>
      <c r="G41" s="141"/>
      <c r="H41" s="142"/>
      <c r="I41" s="126"/>
      <c r="J41" s="143"/>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3"/>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c r="ER41" s="145"/>
      <c r="ES41" s="145"/>
      <c r="ET41" s="145"/>
      <c r="EU41" s="145"/>
      <c r="EV41" s="145"/>
      <c r="EW41" s="145"/>
      <c r="EX41" s="145"/>
      <c r="EY41" s="145"/>
      <c r="EZ41" s="145"/>
      <c r="FA41" s="145"/>
      <c r="FB41" s="145"/>
      <c r="FC41" s="145"/>
      <c r="FD41" s="145"/>
      <c r="FE41" s="145"/>
      <c r="FF41" s="145"/>
      <c r="FG41" s="145"/>
      <c r="FH41" s="145"/>
      <c r="FI41" s="145"/>
      <c r="FJ41" s="145"/>
      <c r="FK41" s="145"/>
      <c r="FL41" s="145"/>
      <c r="FM41" s="145"/>
      <c r="FN41" s="145"/>
      <c r="FO41" s="145"/>
      <c r="FP41" s="145"/>
      <c r="FQ41" s="145"/>
      <c r="FR41" s="145"/>
      <c r="FS41" s="145"/>
      <c r="FT41" s="145"/>
      <c r="FU41" s="145"/>
      <c r="FV41" s="145"/>
      <c r="FW41" s="145"/>
      <c r="FX41" s="143"/>
      <c r="FY41" s="146">
        <f>_xlfn.XLOOKUP($E41,'Key assumptions'!$B$112:$B$120,'Key assumptions'!$C$112:$C$120,0)</f>
        <v>0</v>
      </c>
      <c r="FZ41" s="146" cm="1">
        <f t="array" ref="FZ41">IF($FY41=0,0,_xlfn.IFS($FY41='Key assumptions'!$C$120,_xlfn.XLOOKUP(LEFT(FZ$7,6),Inflation_Year,Inflation_NominaltoReal),TRUE,_xlfn.XLOOKUP($FY41,Inflation_Year,NominaltoReal)))</f>
        <v>0</v>
      </c>
      <c r="GA41" s="146" cm="1">
        <f t="array" ref="GA41">IF($FY41=0,0,_xlfn.IFS($FY41='Key assumptions'!$C$120,_xlfn.XLOOKUP(LEFT(GA$7,6),Inflation_Year,Inflation_NominaltoReal),TRUE,_xlfn.XLOOKUP($FY41,Inflation_Year,NominaltoReal)))</f>
        <v>0</v>
      </c>
      <c r="GB41" s="146" cm="1">
        <f t="array" ref="GB41">IF($FY41=0,0,_xlfn.IFS($FY41='Key assumptions'!$C$120,_xlfn.XLOOKUP(LEFT(GB$7,6),Inflation_Year,Inflation_NominaltoReal),TRUE,_xlfn.XLOOKUP($FY41,Inflation_Year,NominaltoReal)))</f>
        <v>0</v>
      </c>
      <c r="GC41" s="146" cm="1">
        <f t="array" ref="GC41">IF($FY41=0,0,_xlfn.IFS($FY41='Key assumptions'!$C$120,_xlfn.XLOOKUP(LEFT(GC$7,6),Inflation_Year,Inflation_NominaltoReal),TRUE,_xlfn.XLOOKUP($FY41,Inflation_Year,NominaltoReal)))</f>
        <v>0</v>
      </c>
      <c r="GD41" s="146" cm="1">
        <f t="array" ref="GD41">IF($FY41=0,0,_xlfn.IFS($FY41='Key assumptions'!$C$120,_xlfn.XLOOKUP(LEFT(GD$7,6),Inflation_Year,Inflation_NominaltoReal),TRUE,_xlfn.XLOOKUP($FY41,Inflation_Year,NominaltoReal)))</f>
        <v>0</v>
      </c>
      <c r="GE41" s="146" cm="1">
        <f t="array" ref="GE41">IF($FY41=0,0,_xlfn.IFS($FY41='Key assumptions'!$C$120,_xlfn.XLOOKUP(LEFT(GE$7,6),Inflation_Year,Inflation_NominaltoReal),TRUE,_xlfn.XLOOKUP($FY41,Inflation_Year,NominaltoReal)))</f>
        <v>0</v>
      </c>
      <c r="GF41" s="146" cm="1">
        <f t="array" ref="GF41">IF($FY41=0,0,_xlfn.IFS($FY41='Key assumptions'!$C$120,_xlfn.XLOOKUP(LEFT(GF$7,6),Inflation_Year,Inflation_NominaltoReal),TRUE,_xlfn.XLOOKUP($FY41,Inflation_Year,NominaltoReal)))</f>
        <v>0</v>
      </c>
      <c r="GG41" s="143"/>
      <c r="GH41" s="145" cm="1">
        <f t="array" ref="GH41">SUMPRODUCT(--($CR$7:$FW$7&gt;=GH$5),--($CR$7:$FW$7&lt;=GH$6),$CR41:$FW41)*FZ41</f>
        <v>0</v>
      </c>
      <c r="GI41" s="145" cm="1">
        <f t="array" ref="GI41">SUMPRODUCT(--($CR$7:$FW$7&gt;=GI$5),--($CR$7:$FW$7&lt;=GI$6),$CR41:$FW41)*GA41</f>
        <v>0</v>
      </c>
      <c r="GJ41" s="145" cm="1">
        <f t="array" ref="GJ41">SUMPRODUCT(--($CR$7:$FW$7&gt;=GJ$5),--($CR$7:$FW$7&lt;=GJ$6),$CR41:$FW41)*GB41</f>
        <v>0</v>
      </c>
      <c r="GK41" s="145" cm="1">
        <f t="array" ref="GK41">SUMPRODUCT(--($CR$7:$FW$7&gt;=GK$5),--($CR$7:$FW$7&lt;=GK$6),$CR41:$FW41)*GC41</f>
        <v>0</v>
      </c>
      <c r="GL41" s="145" cm="1">
        <f t="array" ref="GL41">SUMPRODUCT(--($CR$7:$FW$7&gt;=GL$5),--($CR$7:$FW$7&lt;=GL$6),$CR41:$FW41)*GD41</f>
        <v>0</v>
      </c>
      <c r="GM41" s="145" cm="1">
        <f t="array" ref="GM41">SUMPRODUCT(--($CR$7:$FW$7&gt;=GM$5),--($CR$7:$FW$7&lt;=GM$6),$CR41:$FW41)*GE41</f>
        <v>0</v>
      </c>
      <c r="GN41" s="145" cm="1">
        <f t="array" ref="GN41">SUMPRODUCT(--($CR$7:$FW$7&gt;=GN$5),--($CR$7:$FW$7&lt;=GN$6),$CR41:$FW41)*GF41</f>
        <v>0</v>
      </c>
      <c r="GO41" s="145">
        <f t="shared" si="0"/>
        <v>0</v>
      </c>
      <c r="GP41" s="87"/>
      <c r="GR41" s="145" cm="1">
        <f t="array" ref="GR41">SUMPRODUCT(--($CR$7:$FW$7&gt;=GR$5),--($CR$7:$FW$7&lt;=GR$6),$CR41:$FW41)</f>
        <v>0</v>
      </c>
    </row>
    <row r="42" spans="2:207" x14ac:dyDescent="0.2">
      <c r="B42" s="141"/>
      <c r="C42" s="141"/>
      <c r="D42" s="141"/>
      <c r="E42" s="141"/>
      <c r="F42" s="141"/>
      <c r="G42" s="141"/>
      <c r="H42" s="142"/>
      <c r="I42" s="126"/>
      <c r="J42" s="143"/>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3"/>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c r="EE42" s="145"/>
      <c r="EF42" s="145"/>
      <c r="EG42" s="145"/>
      <c r="EH42" s="145"/>
      <c r="EI42" s="145"/>
      <c r="EJ42" s="145"/>
      <c r="EK42" s="145"/>
      <c r="EL42" s="145"/>
      <c r="EM42" s="145"/>
      <c r="EN42" s="145"/>
      <c r="EO42" s="145"/>
      <c r="EP42" s="145"/>
      <c r="EQ42" s="145"/>
      <c r="ER42" s="145"/>
      <c r="ES42" s="145"/>
      <c r="ET42" s="145"/>
      <c r="EU42" s="145"/>
      <c r="EV42" s="145"/>
      <c r="EW42" s="145"/>
      <c r="EX42" s="145"/>
      <c r="EY42" s="145"/>
      <c r="EZ42" s="145"/>
      <c r="FA42" s="145"/>
      <c r="FB42" s="145"/>
      <c r="FC42" s="145"/>
      <c r="FD42" s="145"/>
      <c r="FE42" s="145"/>
      <c r="FF42" s="145"/>
      <c r="FG42" s="145"/>
      <c r="FH42" s="145"/>
      <c r="FI42" s="145"/>
      <c r="FJ42" s="145"/>
      <c r="FK42" s="145"/>
      <c r="FL42" s="145"/>
      <c r="FM42" s="145"/>
      <c r="FN42" s="145"/>
      <c r="FO42" s="145"/>
      <c r="FP42" s="145"/>
      <c r="FQ42" s="145"/>
      <c r="FR42" s="145"/>
      <c r="FS42" s="145"/>
      <c r="FT42" s="145"/>
      <c r="FU42" s="145"/>
      <c r="FV42" s="145"/>
      <c r="FW42" s="145"/>
      <c r="FX42" s="143"/>
      <c r="FY42" s="146">
        <f>_xlfn.XLOOKUP($E42,'Key assumptions'!$B$112:$B$120,'Key assumptions'!$C$112:$C$120,0)</f>
        <v>0</v>
      </c>
      <c r="FZ42" s="146" cm="1">
        <f t="array" ref="FZ42">IF($FY42=0,0,_xlfn.IFS($FY42='Key assumptions'!$C$120,_xlfn.XLOOKUP(LEFT(FZ$7,6),Inflation_Year,Inflation_NominaltoReal),TRUE,_xlfn.XLOOKUP($FY42,Inflation_Year,NominaltoReal)))</f>
        <v>0</v>
      </c>
      <c r="GA42" s="146" cm="1">
        <f t="array" ref="GA42">IF($FY42=0,0,_xlfn.IFS($FY42='Key assumptions'!$C$120,_xlfn.XLOOKUP(LEFT(GA$7,6),Inflation_Year,Inflation_NominaltoReal),TRUE,_xlfn.XLOOKUP($FY42,Inflation_Year,NominaltoReal)))</f>
        <v>0</v>
      </c>
      <c r="GB42" s="146" cm="1">
        <f t="array" ref="GB42">IF($FY42=0,0,_xlfn.IFS($FY42='Key assumptions'!$C$120,_xlfn.XLOOKUP(LEFT(GB$7,6),Inflation_Year,Inflation_NominaltoReal),TRUE,_xlfn.XLOOKUP($FY42,Inflation_Year,NominaltoReal)))</f>
        <v>0</v>
      </c>
      <c r="GC42" s="146" cm="1">
        <f t="array" ref="GC42">IF($FY42=0,0,_xlfn.IFS($FY42='Key assumptions'!$C$120,_xlfn.XLOOKUP(LEFT(GC$7,6),Inflation_Year,Inflation_NominaltoReal),TRUE,_xlfn.XLOOKUP($FY42,Inflation_Year,NominaltoReal)))</f>
        <v>0</v>
      </c>
      <c r="GD42" s="146" cm="1">
        <f t="array" ref="GD42">IF($FY42=0,0,_xlfn.IFS($FY42='Key assumptions'!$C$120,_xlfn.XLOOKUP(LEFT(GD$7,6),Inflation_Year,Inflation_NominaltoReal),TRUE,_xlfn.XLOOKUP($FY42,Inflation_Year,NominaltoReal)))</f>
        <v>0</v>
      </c>
      <c r="GE42" s="146" cm="1">
        <f t="array" ref="GE42">IF($FY42=0,0,_xlfn.IFS($FY42='Key assumptions'!$C$120,_xlfn.XLOOKUP(LEFT(GE$7,6),Inflation_Year,Inflation_NominaltoReal),TRUE,_xlfn.XLOOKUP($FY42,Inflation_Year,NominaltoReal)))</f>
        <v>0</v>
      </c>
      <c r="GF42" s="146" cm="1">
        <f t="array" ref="GF42">IF($FY42=0,0,_xlfn.IFS($FY42='Key assumptions'!$C$120,_xlfn.XLOOKUP(LEFT(GF$7,6),Inflation_Year,Inflation_NominaltoReal),TRUE,_xlfn.XLOOKUP($FY42,Inflation_Year,NominaltoReal)))</f>
        <v>0</v>
      </c>
      <c r="GG42" s="143"/>
      <c r="GH42" s="145" cm="1">
        <f t="array" ref="GH42">SUMPRODUCT(--($CR$7:$FW$7&gt;=GH$5),--($CR$7:$FW$7&lt;=GH$6),$CR42:$FW42)*FZ42</f>
        <v>0</v>
      </c>
      <c r="GI42" s="145" cm="1">
        <f t="array" ref="GI42">SUMPRODUCT(--($CR$7:$FW$7&gt;=GI$5),--($CR$7:$FW$7&lt;=GI$6),$CR42:$FW42)*GA42</f>
        <v>0</v>
      </c>
      <c r="GJ42" s="145" cm="1">
        <f t="array" ref="GJ42">SUMPRODUCT(--($CR$7:$FW$7&gt;=GJ$5),--($CR$7:$FW$7&lt;=GJ$6),$CR42:$FW42)*GB42</f>
        <v>0</v>
      </c>
      <c r="GK42" s="145" cm="1">
        <f t="array" ref="GK42">SUMPRODUCT(--($CR$7:$FW$7&gt;=GK$5),--($CR$7:$FW$7&lt;=GK$6),$CR42:$FW42)*GC42</f>
        <v>0</v>
      </c>
      <c r="GL42" s="145" cm="1">
        <f t="array" ref="GL42">SUMPRODUCT(--($CR$7:$FW$7&gt;=GL$5),--($CR$7:$FW$7&lt;=GL$6),$CR42:$FW42)*GD42</f>
        <v>0</v>
      </c>
      <c r="GM42" s="145" cm="1">
        <f t="array" ref="GM42">SUMPRODUCT(--($CR$7:$FW$7&gt;=GM$5),--($CR$7:$FW$7&lt;=GM$6),$CR42:$FW42)*GE42</f>
        <v>0</v>
      </c>
      <c r="GN42" s="145" cm="1">
        <f t="array" ref="GN42">SUMPRODUCT(--($CR$7:$FW$7&gt;=GN$5),--($CR$7:$FW$7&lt;=GN$6),$CR42:$FW42)*GF42</f>
        <v>0</v>
      </c>
      <c r="GO42" s="145">
        <f t="shared" si="0"/>
        <v>0</v>
      </c>
      <c r="GP42" s="87"/>
      <c r="GR42" s="145" cm="1">
        <f t="array" ref="GR42">SUMPRODUCT(--($CR$7:$FW$7&gt;=GR$5),--($CR$7:$FW$7&lt;=GR$6),$CR42:$FW42)</f>
        <v>0</v>
      </c>
    </row>
    <row r="43" spans="2:207" x14ac:dyDescent="0.2">
      <c r="B43" s="141"/>
      <c r="C43" s="141"/>
      <c r="D43" s="141"/>
      <c r="E43" s="141"/>
      <c r="F43" s="141"/>
      <c r="G43" s="141"/>
      <c r="H43" s="142"/>
      <c r="I43" s="126"/>
      <c r="J43" s="143"/>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3"/>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3"/>
      <c r="FY43" s="146">
        <f>_xlfn.XLOOKUP($E43,'Key assumptions'!$B$112:$B$120,'Key assumptions'!$C$112:$C$120,0)</f>
        <v>0</v>
      </c>
      <c r="FZ43" s="146" cm="1">
        <f t="array" ref="FZ43">IF($FY43=0,0,_xlfn.IFS($FY43='Key assumptions'!$C$120,_xlfn.XLOOKUP(LEFT(FZ$7,6),Inflation_Year,Inflation_NominaltoReal),TRUE,_xlfn.XLOOKUP($FY43,Inflation_Year,NominaltoReal)))</f>
        <v>0</v>
      </c>
      <c r="GA43" s="146" cm="1">
        <f t="array" ref="GA43">IF($FY43=0,0,_xlfn.IFS($FY43='Key assumptions'!$C$120,_xlfn.XLOOKUP(LEFT(GA$7,6),Inflation_Year,Inflation_NominaltoReal),TRUE,_xlfn.XLOOKUP($FY43,Inflation_Year,NominaltoReal)))</f>
        <v>0</v>
      </c>
      <c r="GB43" s="146" cm="1">
        <f t="array" ref="GB43">IF($FY43=0,0,_xlfn.IFS($FY43='Key assumptions'!$C$120,_xlfn.XLOOKUP(LEFT(GB$7,6),Inflation_Year,Inflation_NominaltoReal),TRUE,_xlfn.XLOOKUP($FY43,Inflation_Year,NominaltoReal)))</f>
        <v>0</v>
      </c>
      <c r="GC43" s="146" cm="1">
        <f t="array" ref="GC43">IF($FY43=0,0,_xlfn.IFS($FY43='Key assumptions'!$C$120,_xlfn.XLOOKUP(LEFT(GC$7,6),Inflation_Year,Inflation_NominaltoReal),TRUE,_xlfn.XLOOKUP($FY43,Inflation_Year,NominaltoReal)))</f>
        <v>0</v>
      </c>
      <c r="GD43" s="146" cm="1">
        <f t="array" ref="GD43">IF($FY43=0,0,_xlfn.IFS($FY43='Key assumptions'!$C$120,_xlfn.XLOOKUP(LEFT(GD$7,6),Inflation_Year,Inflation_NominaltoReal),TRUE,_xlfn.XLOOKUP($FY43,Inflation_Year,NominaltoReal)))</f>
        <v>0</v>
      </c>
      <c r="GE43" s="146" cm="1">
        <f t="array" ref="GE43">IF($FY43=0,0,_xlfn.IFS($FY43='Key assumptions'!$C$120,_xlfn.XLOOKUP(LEFT(GE$7,6),Inflation_Year,Inflation_NominaltoReal),TRUE,_xlfn.XLOOKUP($FY43,Inflation_Year,NominaltoReal)))</f>
        <v>0</v>
      </c>
      <c r="GF43" s="146" cm="1">
        <f t="array" ref="GF43">IF($FY43=0,0,_xlfn.IFS($FY43='Key assumptions'!$C$120,_xlfn.XLOOKUP(LEFT(GF$7,6),Inflation_Year,Inflation_NominaltoReal),TRUE,_xlfn.XLOOKUP($FY43,Inflation_Year,NominaltoReal)))</f>
        <v>0</v>
      </c>
      <c r="GG43" s="143"/>
      <c r="GH43" s="145" cm="1">
        <f t="array" ref="GH43">SUMPRODUCT(--($CR$7:$FW$7&gt;=GH$5),--($CR$7:$FW$7&lt;=GH$6),$CR43:$FW43)*FZ43</f>
        <v>0</v>
      </c>
      <c r="GI43" s="145" cm="1">
        <f t="array" ref="GI43">SUMPRODUCT(--($CR$7:$FW$7&gt;=GI$5),--($CR$7:$FW$7&lt;=GI$6),$CR43:$FW43)*GA43</f>
        <v>0</v>
      </c>
      <c r="GJ43" s="145" cm="1">
        <f t="array" ref="GJ43">SUMPRODUCT(--($CR$7:$FW$7&gt;=GJ$5),--($CR$7:$FW$7&lt;=GJ$6),$CR43:$FW43)*GB43</f>
        <v>0</v>
      </c>
      <c r="GK43" s="145" cm="1">
        <f t="array" ref="GK43">SUMPRODUCT(--($CR$7:$FW$7&gt;=GK$5),--($CR$7:$FW$7&lt;=GK$6),$CR43:$FW43)*GC43</f>
        <v>0</v>
      </c>
      <c r="GL43" s="145" cm="1">
        <f t="array" ref="GL43">SUMPRODUCT(--($CR$7:$FW$7&gt;=GL$5),--($CR$7:$FW$7&lt;=GL$6),$CR43:$FW43)*GD43</f>
        <v>0</v>
      </c>
      <c r="GM43" s="145" cm="1">
        <f t="array" ref="GM43">SUMPRODUCT(--($CR$7:$FW$7&gt;=GM$5),--($CR$7:$FW$7&lt;=GM$6),$CR43:$FW43)*GE43</f>
        <v>0</v>
      </c>
      <c r="GN43" s="145" cm="1">
        <f t="array" ref="GN43">SUMPRODUCT(--($CR$7:$FW$7&gt;=GN$5),--($CR$7:$FW$7&lt;=GN$6),$CR43:$FW43)*GF43</f>
        <v>0</v>
      </c>
      <c r="GO43" s="145">
        <f t="shared" si="0"/>
        <v>0</v>
      </c>
      <c r="GP43" s="87"/>
      <c r="GR43" s="145" cm="1">
        <f t="array" ref="GR43">SUMPRODUCT(--($CR$7:$FW$7&gt;=GR$5),--($CR$7:$FW$7&lt;=GR$6),$CR43:$FW43)</f>
        <v>0</v>
      </c>
    </row>
    <row r="44" spans="2:207" x14ac:dyDescent="0.2">
      <c r="B44" s="141"/>
      <c r="C44" s="141"/>
      <c r="D44" s="141"/>
      <c r="E44" s="141"/>
      <c r="F44" s="141"/>
      <c r="G44" s="141"/>
      <c r="H44" s="142"/>
      <c r="I44" s="126"/>
      <c r="J44" s="143"/>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3"/>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145"/>
      <c r="EH44" s="145"/>
      <c r="EI44" s="145"/>
      <c r="EJ44" s="145"/>
      <c r="EK44" s="145"/>
      <c r="EL44" s="145"/>
      <c r="EM44" s="145"/>
      <c r="EN44" s="145"/>
      <c r="EO44" s="145"/>
      <c r="EP44" s="145"/>
      <c r="EQ44" s="145"/>
      <c r="ER44" s="145"/>
      <c r="ES44" s="145"/>
      <c r="ET44" s="145"/>
      <c r="EU44" s="145"/>
      <c r="EV44" s="145"/>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3"/>
      <c r="FY44" s="146">
        <f>_xlfn.XLOOKUP($E44,'Key assumptions'!$B$112:$B$120,'Key assumptions'!$C$112:$C$120,0)</f>
        <v>0</v>
      </c>
      <c r="FZ44" s="146" cm="1">
        <f t="array" ref="FZ44">IF($FY44=0,0,_xlfn.IFS($FY44='Key assumptions'!$C$120,_xlfn.XLOOKUP(LEFT(FZ$7,6),Inflation_Year,Inflation_NominaltoReal),TRUE,_xlfn.XLOOKUP($FY44,Inflation_Year,NominaltoReal)))</f>
        <v>0</v>
      </c>
      <c r="GA44" s="146" cm="1">
        <f t="array" ref="GA44">IF($FY44=0,0,_xlfn.IFS($FY44='Key assumptions'!$C$120,_xlfn.XLOOKUP(LEFT(GA$7,6),Inflation_Year,Inflation_NominaltoReal),TRUE,_xlfn.XLOOKUP($FY44,Inflation_Year,NominaltoReal)))</f>
        <v>0</v>
      </c>
      <c r="GB44" s="146" cm="1">
        <f t="array" ref="GB44">IF($FY44=0,0,_xlfn.IFS($FY44='Key assumptions'!$C$120,_xlfn.XLOOKUP(LEFT(GB$7,6),Inflation_Year,Inflation_NominaltoReal),TRUE,_xlfn.XLOOKUP($FY44,Inflation_Year,NominaltoReal)))</f>
        <v>0</v>
      </c>
      <c r="GC44" s="146" cm="1">
        <f t="array" ref="GC44">IF($FY44=0,0,_xlfn.IFS($FY44='Key assumptions'!$C$120,_xlfn.XLOOKUP(LEFT(GC$7,6),Inflation_Year,Inflation_NominaltoReal),TRUE,_xlfn.XLOOKUP($FY44,Inflation_Year,NominaltoReal)))</f>
        <v>0</v>
      </c>
      <c r="GD44" s="146" cm="1">
        <f t="array" ref="GD44">IF($FY44=0,0,_xlfn.IFS($FY44='Key assumptions'!$C$120,_xlfn.XLOOKUP(LEFT(GD$7,6),Inflation_Year,Inflation_NominaltoReal),TRUE,_xlfn.XLOOKUP($FY44,Inflation_Year,NominaltoReal)))</f>
        <v>0</v>
      </c>
      <c r="GE44" s="146" cm="1">
        <f t="array" ref="GE44">IF($FY44=0,0,_xlfn.IFS($FY44='Key assumptions'!$C$120,_xlfn.XLOOKUP(LEFT(GE$7,6),Inflation_Year,Inflation_NominaltoReal),TRUE,_xlfn.XLOOKUP($FY44,Inflation_Year,NominaltoReal)))</f>
        <v>0</v>
      </c>
      <c r="GF44" s="146" cm="1">
        <f t="array" ref="GF44">IF($FY44=0,0,_xlfn.IFS($FY44='Key assumptions'!$C$120,_xlfn.XLOOKUP(LEFT(GF$7,6),Inflation_Year,Inflation_NominaltoReal),TRUE,_xlfn.XLOOKUP($FY44,Inflation_Year,NominaltoReal)))</f>
        <v>0</v>
      </c>
      <c r="GG44" s="143"/>
      <c r="GH44" s="145" cm="1">
        <f t="array" ref="GH44">SUMPRODUCT(--($CR$7:$FW$7&gt;=GH$5),--($CR$7:$FW$7&lt;=GH$6),$CR44:$FW44)*FZ44</f>
        <v>0</v>
      </c>
      <c r="GI44" s="145" cm="1">
        <f t="array" ref="GI44">SUMPRODUCT(--($CR$7:$FW$7&gt;=GI$5),--($CR$7:$FW$7&lt;=GI$6),$CR44:$FW44)*GA44</f>
        <v>0</v>
      </c>
      <c r="GJ44" s="145" cm="1">
        <f t="array" ref="GJ44">SUMPRODUCT(--($CR$7:$FW$7&gt;=GJ$5),--($CR$7:$FW$7&lt;=GJ$6),$CR44:$FW44)*GB44</f>
        <v>0</v>
      </c>
      <c r="GK44" s="145" cm="1">
        <f t="array" ref="GK44">SUMPRODUCT(--($CR$7:$FW$7&gt;=GK$5),--($CR$7:$FW$7&lt;=GK$6),$CR44:$FW44)*GC44</f>
        <v>0</v>
      </c>
      <c r="GL44" s="145" cm="1">
        <f t="array" ref="GL44">SUMPRODUCT(--($CR$7:$FW$7&gt;=GL$5),--($CR$7:$FW$7&lt;=GL$6),$CR44:$FW44)*GD44</f>
        <v>0</v>
      </c>
      <c r="GM44" s="145" cm="1">
        <f t="array" ref="GM44">SUMPRODUCT(--($CR$7:$FW$7&gt;=GM$5),--($CR$7:$FW$7&lt;=GM$6),$CR44:$FW44)*GE44</f>
        <v>0</v>
      </c>
      <c r="GN44" s="145" cm="1">
        <f t="array" ref="GN44">SUMPRODUCT(--($CR$7:$FW$7&gt;=GN$5),--($CR$7:$FW$7&lt;=GN$6),$CR44:$FW44)*GF44</f>
        <v>0</v>
      </c>
      <c r="GO44" s="145">
        <f t="shared" si="0"/>
        <v>0</v>
      </c>
      <c r="GP44" s="87"/>
      <c r="GR44" s="145" cm="1">
        <f t="array" ref="GR44">SUMPRODUCT(--($CR$7:$FW$7&gt;=GR$5),--($CR$7:$FW$7&lt;=GR$6),$CR44:$FW44)</f>
        <v>0</v>
      </c>
    </row>
    <row r="45" spans="2:207" x14ac:dyDescent="0.2">
      <c r="B45" s="141"/>
      <c r="C45" s="141"/>
      <c r="D45" s="141"/>
      <c r="E45" s="141"/>
      <c r="F45" s="141"/>
      <c r="G45" s="141"/>
      <c r="H45" s="142"/>
      <c r="I45" s="126"/>
      <c r="J45" s="143"/>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3"/>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5"/>
      <c r="EZ45" s="145"/>
      <c r="FA45" s="145"/>
      <c r="FB45" s="145"/>
      <c r="FC45" s="145"/>
      <c r="FD45" s="145"/>
      <c r="FE45" s="145"/>
      <c r="FF45" s="145"/>
      <c r="FG45" s="145"/>
      <c r="FH45" s="145"/>
      <c r="FI45" s="145"/>
      <c r="FJ45" s="145"/>
      <c r="FK45" s="145"/>
      <c r="FL45" s="145"/>
      <c r="FM45" s="145"/>
      <c r="FN45" s="145"/>
      <c r="FO45" s="145"/>
      <c r="FP45" s="145"/>
      <c r="FQ45" s="145"/>
      <c r="FR45" s="145"/>
      <c r="FS45" s="145"/>
      <c r="FT45" s="145"/>
      <c r="FU45" s="145"/>
      <c r="FV45" s="145"/>
      <c r="FW45" s="145"/>
      <c r="FX45" s="143"/>
      <c r="FY45" s="146">
        <f>_xlfn.XLOOKUP($E45,'Key assumptions'!$B$112:$B$120,'Key assumptions'!$C$112:$C$120,0)</f>
        <v>0</v>
      </c>
      <c r="FZ45" s="146" cm="1">
        <f t="array" ref="FZ45">IF($FY45=0,0,_xlfn.IFS($FY45='Key assumptions'!$C$120,_xlfn.XLOOKUP(LEFT(FZ$7,6),Inflation_Year,Inflation_NominaltoReal),TRUE,_xlfn.XLOOKUP($FY45,Inflation_Year,NominaltoReal)))</f>
        <v>0</v>
      </c>
      <c r="GA45" s="146" cm="1">
        <f t="array" ref="GA45">IF($FY45=0,0,_xlfn.IFS($FY45='Key assumptions'!$C$120,_xlfn.XLOOKUP(LEFT(GA$7,6),Inflation_Year,Inflation_NominaltoReal),TRUE,_xlfn.XLOOKUP($FY45,Inflation_Year,NominaltoReal)))</f>
        <v>0</v>
      </c>
      <c r="GB45" s="146" cm="1">
        <f t="array" ref="GB45">IF($FY45=0,0,_xlfn.IFS($FY45='Key assumptions'!$C$120,_xlfn.XLOOKUP(LEFT(GB$7,6),Inflation_Year,Inflation_NominaltoReal),TRUE,_xlfn.XLOOKUP($FY45,Inflation_Year,NominaltoReal)))</f>
        <v>0</v>
      </c>
      <c r="GC45" s="146" cm="1">
        <f t="array" ref="GC45">IF($FY45=0,0,_xlfn.IFS($FY45='Key assumptions'!$C$120,_xlfn.XLOOKUP(LEFT(GC$7,6),Inflation_Year,Inflation_NominaltoReal),TRUE,_xlfn.XLOOKUP($FY45,Inflation_Year,NominaltoReal)))</f>
        <v>0</v>
      </c>
      <c r="GD45" s="146" cm="1">
        <f t="array" ref="GD45">IF($FY45=0,0,_xlfn.IFS($FY45='Key assumptions'!$C$120,_xlfn.XLOOKUP(LEFT(GD$7,6),Inflation_Year,Inflation_NominaltoReal),TRUE,_xlfn.XLOOKUP($FY45,Inflation_Year,NominaltoReal)))</f>
        <v>0</v>
      </c>
      <c r="GE45" s="146" cm="1">
        <f t="array" ref="GE45">IF($FY45=0,0,_xlfn.IFS($FY45='Key assumptions'!$C$120,_xlfn.XLOOKUP(LEFT(GE$7,6),Inflation_Year,Inflation_NominaltoReal),TRUE,_xlfn.XLOOKUP($FY45,Inflation_Year,NominaltoReal)))</f>
        <v>0</v>
      </c>
      <c r="GF45" s="146" cm="1">
        <f t="array" ref="GF45">IF($FY45=0,0,_xlfn.IFS($FY45='Key assumptions'!$C$120,_xlfn.XLOOKUP(LEFT(GF$7,6),Inflation_Year,Inflation_NominaltoReal),TRUE,_xlfn.XLOOKUP($FY45,Inflation_Year,NominaltoReal)))</f>
        <v>0</v>
      </c>
      <c r="GG45" s="143"/>
      <c r="GH45" s="145" cm="1">
        <f t="array" ref="GH45">SUMPRODUCT(--($CR$7:$FW$7&gt;=GH$5),--($CR$7:$FW$7&lt;=GH$6),$CR45:$FW45)*FZ45</f>
        <v>0</v>
      </c>
      <c r="GI45" s="145" cm="1">
        <f t="array" ref="GI45">SUMPRODUCT(--($CR$7:$FW$7&gt;=GI$5),--($CR$7:$FW$7&lt;=GI$6),$CR45:$FW45)*GA45</f>
        <v>0</v>
      </c>
      <c r="GJ45" s="145" cm="1">
        <f t="array" ref="GJ45">SUMPRODUCT(--($CR$7:$FW$7&gt;=GJ$5),--($CR$7:$FW$7&lt;=GJ$6),$CR45:$FW45)*GB45</f>
        <v>0</v>
      </c>
      <c r="GK45" s="145" cm="1">
        <f t="array" ref="GK45">SUMPRODUCT(--($CR$7:$FW$7&gt;=GK$5),--($CR$7:$FW$7&lt;=GK$6),$CR45:$FW45)*GC45</f>
        <v>0</v>
      </c>
      <c r="GL45" s="145" cm="1">
        <f t="array" ref="GL45">SUMPRODUCT(--($CR$7:$FW$7&gt;=GL$5),--($CR$7:$FW$7&lt;=GL$6),$CR45:$FW45)*GD45</f>
        <v>0</v>
      </c>
      <c r="GM45" s="145" cm="1">
        <f t="array" ref="GM45">SUMPRODUCT(--($CR$7:$FW$7&gt;=GM$5),--($CR$7:$FW$7&lt;=GM$6),$CR45:$FW45)*GE45</f>
        <v>0</v>
      </c>
      <c r="GN45" s="145" cm="1">
        <f t="array" ref="GN45">SUMPRODUCT(--($CR$7:$FW$7&gt;=GN$5),--($CR$7:$FW$7&lt;=GN$6),$CR45:$FW45)*GF45</f>
        <v>0</v>
      </c>
      <c r="GO45" s="145">
        <f t="shared" si="0"/>
        <v>0</v>
      </c>
      <c r="GP45" s="87"/>
      <c r="GR45" s="145" cm="1">
        <f t="array" ref="GR45">SUMPRODUCT(--($CR$7:$FW$7&gt;=GR$5),--($CR$7:$FW$7&lt;=GR$6),$CR45:$FW45)</f>
        <v>0</v>
      </c>
    </row>
    <row r="46" spans="2:207" x14ac:dyDescent="0.2">
      <c r="B46" s="141"/>
      <c r="C46" s="141"/>
      <c r="D46" s="141"/>
      <c r="E46" s="141"/>
      <c r="F46" s="141"/>
      <c r="G46" s="141"/>
      <c r="H46" s="142"/>
      <c r="I46" s="126"/>
      <c r="J46" s="143"/>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3"/>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145"/>
      <c r="EH46" s="145"/>
      <c r="EI46" s="145"/>
      <c r="EJ46" s="145"/>
      <c r="EK46" s="145"/>
      <c r="EL46" s="145"/>
      <c r="EM46" s="145"/>
      <c r="EN46" s="145"/>
      <c r="EO46" s="145"/>
      <c r="EP46" s="145"/>
      <c r="EQ46" s="145"/>
      <c r="ER46" s="145"/>
      <c r="ES46" s="145"/>
      <c r="ET46" s="145"/>
      <c r="EU46" s="145"/>
      <c r="EV46" s="145"/>
      <c r="EW46" s="145"/>
      <c r="EX46" s="145"/>
      <c r="EY46" s="145"/>
      <c r="EZ46" s="145"/>
      <c r="FA46" s="145"/>
      <c r="FB46" s="145"/>
      <c r="FC46" s="145"/>
      <c r="FD46" s="145"/>
      <c r="FE46" s="145"/>
      <c r="FF46" s="145"/>
      <c r="FG46" s="145"/>
      <c r="FH46" s="145"/>
      <c r="FI46" s="145"/>
      <c r="FJ46" s="145"/>
      <c r="FK46" s="145"/>
      <c r="FL46" s="145"/>
      <c r="FM46" s="145"/>
      <c r="FN46" s="145"/>
      <c r="FO46" s="145"/>
      <c r="FP46" s="145"/>
      <c r="FQ46" s="145"/>
      <c r="FR46" s="145"/>
      <c r="FS46" s="145"/>
      <c r="FT46" s="145"/>
      <c r="FU46" s="145"/>
      <c r="FV46" s="145"/>
      <c r="FW46" s="145"/>
      <c r="FX46" s="143"/>
      <c r="FY46" s="146">
        <f>_xlfn.XLOOKUP($E46,'Key assumptions'!$B$112:$B$120,'Key assumptions'!$C$112:$C$120,0)</f>
        <v>0</v>
      </c>
      <c r="FZ46" s="146" cm="1">
        <f t="array" ref="FZ46">IF($FY46=0,0,_xlfn.IFS($FY46='Key assumptions'!$C$120,_xlfn.XLOOKUP(LEFT(FZ$7,6),Inflation_Year,Inflation_NominaltoReal),TRUE,_xlfn.XLOOKUP($FY46,Inflation_Year,NominaltoReal)))</f>
        <v>0</v>
      </c>
      <c r="GA46" s="146" cm="1">
        <f t="array" ref="GA46">IF($FY46=0,0,_xlfn.IFS($FY46='Key assumptions'!$C$120,_xlfn.XLOOKUP(LEFT(GA$7,6),Inflation_Year,Inflation_NominaltoReal),TRUE,_xlfn.XLOOKUP($FY46,Inflation_Year,NominaltoReal)))</f>
        <v>0</v>
      </c>
      <c r="GB46" s="146" cm="1">
        <f t="array" ref="GB46">IF($FY46=0,0,_xlfn.IFS($FY46='Key assumptions'!$C$120,_xlfn.XLOOKUP(LEFT(GB$7,6),Inflation_Year,Inflation_NominaltoReal),TRUE,_xlfn.XLOOKUP($FY46,Inflation_Year,NominaltoReal)))</f>
        <v>0</v>
      </c>
      <c r="GC46" s="146" cm="1">
        <f t="array" ref="GC46">IF($FY46=0,0,_xlfn.IFS($FY46='Key assumptions'!$C$120,_xlfn.XLOOKUP(LEFT(GC$7,6),Inflation_Year,Inflation_NominaltoReal),TRUE,_xlfn.XLOOKUP($FY46,Inflation_Year,NominaltoReal)))</f>
        <v>0</v>
      </c>
      <c r="GD46" s="146" cm="1">
        <f t="array" ref="GD46">IF($FY46=0,0,_xlfn.IFS($FY46='Key assumptions'!$C$120,_xlfn.XLOOKUP(LEFT(GD$7,6),Inflation_Year,Inflation_NominaltoReal),TRUE,_xlfn.XLOOKUP($FY46,Inflation_Year,NominaltoReal)))</f>
        <v>0</v>
      </c>
      <c r="GE46" s="146" cm="1">
        <f t="array" ref="GE46">IF($FY46=0,0,_xlfn.IFS($FY46='Key assumptions'!$C$120,_xlfn.XLOOKUP(LEFT(GE$7,6),Inflation_Year,Inflation_NominaltoReal),TRUE,_xlfn.XLOOKUP($FY46,Inflation_Year,NominaltoReal)))</f>
        <v>0</v>
      </c>
      <c r="GF46" s="146" cm="1">
        <f t="array" ref="GF46">IF($FY46=0,0,_xlfn.IFS($FY46='Key assumptions'!$C$120,_xlfn.XLOOKUP(LEFT(GF$7,6),Inflation_Year,Inflation_NominaltoReal),TRUE,_xlfn.XLOOKUP($FY46,Inflation_Year,NominaltoReal)))</f>
        <v>0</v>
      </c>
      <c r="GG46" s="143"/>
      <c r="GH46" s="145" cm="1">
        <f t="array" ref="GH46">SUMPRODUCT(--($CR$7:$FW$7&gt;=GH$5),--($CR$7:$FW$7&lt;=GH$6),$CR46:$FW46)*FZ46</f>
        <v>0</v>
      </c>
      <c r="GI46" s="145" cm="1">
        <f t="array" ref="GI46">SUMPRODUCT(--($CR$7:$FW$7&gt;=GI$5),--($CR$7:$FW$7&lt;=GI$6),$CR46:$FW46)*GA46</f>
        <v>0</v>
      </c>
      <c r="GJ46" s="145" cm="1">
        <f t="array" ref="GJ46">SUMPRODUCT(--($CR$7:$FW$7&gt;=GJ$5),--($CR$7:$FW$7&lt;=GJ$6),$CR46:$FW46)*GB46</f>
        <v>0</v>
      </c>
      <c r="GK46" s="145" cm="1">
        <f t="array" ref="GK46">SUMPRODUCT(--($CR$7:$FW$7&gt;=GK$5),--($CR$7:$FW$7&lt;=GK$6),$CR46:$FW46)*GC46</f>
        <v>0</v>
      </c>
      <c r="GL46" s="145" cm="1">
        <f t="array" ref="GL46">SUMPRODUCT(--($CR$7:$FW$7&gt;=GL$5),--($CR$7:$FW$7&lt;=GL$6),$CR46:$FW46)*GD46</f>
        <v>0</v>
      </c>
      <c r="GM46" s="145" cm="1">
        <f t="array" ref="GM46">SUMPRODUCT(--($CR$7:$FW$7&gt;=GM$5),--($CR$7:$FW$7&lt;=GM$6),$CR46:$FW46)*GE46</f>
        <v>0</v>
      </c>
      <c r="GN46" s="145" cm="1">
        <f t="array" ref="GN46">SUMPRODUCT(--($CR$7:$FW$7&gt;=GN$5),--($CR$7:$FW$7&lt;=GN$6),$CR46:$FW46)*GF46</f>
        <v>0</v>
      </c>
      <c r="GO46" s="145">
        <f t="shared" si="0"/>
        <v>0</v>
      </c>
      <c r="GP46" s="87"/>
      <c r="GR46" s="145" cm="1">
        <f t="array" ref="GR46">SUMPRODUCT(--($CR$7:$FW$7&gt;=GR$5),--($CR$7:$FW$7&lt;=GR$6),$CR46:$FW46)</f>
        <v>0</v>
      </c>
    </row>
    <row r="47" spans="2:207" x14ac:dyDescent="0.2">
      <c r="B47" s="141"/>
      <c r="C47" s="141"/>
      <c r="D47" s="141"/>
      <c r="E47" s="141"/>
      <c r="F47" s="141"/>
      <c r="G47" s="141"/>
      <c r="H47" s="142"/>
      <c r="I47" s="126"/>
      <c r="J47" s="143"/>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3"/>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3"/>
      <c r="FY47" s="146">
        <f>_xlfn.XLOOKUP($E47,'Key assumptions'!$B$112:$B$120,'Key assumptions'!$C$112:$C$120,0)</f>
        <v>0</v>
      </c>
      <c r="FZ47" s="146" cm="1">
        <f t="array" ref="FZ47">IF($FY47=0,0,_xlfn.IFS($FY47='Key assumptions'!$C$120,_xlfn.XLOOKUP(LEFT(FZ$7,6),Inflation_Year,Inflation_NominaltoReal),TRUE,_xlfn.XLOOKUP($FY47,Inflation_Year,NominaltoReal)))</f>
        <v>0</v>
      </c>
      <c r="GA47" s="146" cm="1">
        <f t="array" ref="GA47">IF($FY47=0,0,_xlfn.IFS($FY47='Key assumptions'!$C$120,_xlfn.XLOOKUP(LEFT(GA$7,6),Inflation_Year,Inflation_NominaltoReal),TRUE,_xlfn.XLOOKUP($FY47,Inflation_Year,NominaltoReal)))</f>
        <v>0</v>
      </c>
      <c r="GB47" s="146" cm="1">
        <f t="array" ref="GB47">IF($FY47=0,0,_xlfn.IFS($FY47='Key assumptions'!$C$120,_xlfn.XLOOKUP(LEFT(GB$7,6),Inflation_Year,Inflation_NominaltoReal),TRUE,_xlfn.XLOOKUP($FY47,Inflation_Year,NominaltoReal)))</f>
        <v>0</v>
      </c>
      <c r="GC47" s="146" cm="1">
        <f t="array" ref="GC47">IF($FY47=0,0,_xlfn.IFS($FY47='Key assumptions'!$C$120,_xlfn.XLOOKUP(LEFT(GC$7,6),Inflation_Year,Inflation_NominaltoReal),TRUE,_xlfn.XLOOKUP($FY47,Inflation_Year,NominaltoReal)))</f>
        <v>0</v>
      </c>
      <c r="GD47" s="146" cm="1">
        <f t="array" ref="GD47">IF($FY47=0,0,_xlfn.IFS($FY47='Key assumptions'!$C$120,_xlfn.XLOOKUP(LEFT(GD$7,6),Inflation_Year,Inflation_NominaltoReal),TRUE,_xlfn.XLOOKUP($FY47,Inflation_Year,NominaltoReal)))</f>
        <v>0</v>
      </c>
      <c r="GE47" s="146" cm="1">
        <f t="array" ref="GE47">IF($FY47=0,0,_xlfn.IFS($FY47='Key assumptions'!$C$120,_xlfn.XLOOKUP(LEFT(GE$7,6),Inflation_Year,Inflation_NominaltoReal),TRUE,_xlfn.XLOOKUP($FY47,Inflation_Year,NominaltoReal)))</f>
        <v>0</v>
      </c>
      <c r="GF47" s="146" cm="1">
        <f t="array" ref="GF47">IF($FY47=0,0,_xlfn.IFS($FY47='Key assumptions'!$C$120,_xlfn.XLOOKUP(LEFT(GF$7,6),Inflation_Year,Inflation_NominaltoReal),TRUE,_xlfn.XLOOKUP($FY47,Inflation_Year,NominaltoReal)))</f>
        <v>0</v>
      </c>
      <c r="GG47" s="143"/>
      <c r="GH47" s="145" cm="1">
        <f t="array" ref="GH47">SUMPRODUCT(--($CR$7:$FW$7&gt;=GH$5),--($CR$7:$FW$7&lt;=GH$6),$CR47:$FW47)*FZ47</f>
        <v>0</v>
      </c>
      <c r="GI47" s="145" cm="1">
        <f t="array" ref="GI47">SUMPRODUCT(--($CR$7:$FW$7&gt;=GI$5),--($CR$7:$FW$7&lt;=GI$6),$CR47:$FW47)*GA47</f>
        <v>0</v>
      </c>
      <c r="GJ47" s="145" cm="1">
        <f t="array" ref="GJ47">SUMPRODUCT(--($CR$7:$FW$7&gt;=GJ$5),--($CR$7:$FW$7&lt;=GJ$6),$CR47:$FW47)*GB47</f>
        <v>0</v>
      </c>
      <c r="GK47" s="145" cm="1">
        <f t="array" ref="GK47">SUMPRODUCT(--($CR$7:$FW$7&gt;=GK$5),--($CR$7:$FW$7&lt;=GK$6),$CR47:$FW47)*GC47</f>
        <v>0</v>
      </c>
      <c r="GL47" s="145" cm="1">
        <f t="array" ref="GL47">SUMPRODUCT(--($CR$7:$FW$7&gt;=GL$5),--($CR$7:$FW$7&lt;=GL$6),$CR47:$FW47)*GD47</f>
        <v>0</v>
      </c>
      <c r="GM47" s="145" cm="1">
        <f t="array" ref="GM47">SUMPRODUCT(--($CR$7:$FW$7&gt;=GM$5),--($CR$7:$FW$7&lt;=GM$6),$CR47:$FW47)*GE47</f>
        <v>0</v>
      </c>
      <c r="GN47" s="145" cm="1">
        <f t="array" ref="GN47">SUMPRODUCT(--($CR$7:$FW$7&gt;=GN$5),--($CR$7:$FW$7&lt;=GN$6),$CR47:$FW47)*GF47</f>
        <v>0</v>
      </c>
      <c r="GO47" s="145">
        <f t="shared" si="0"/>
        <v>0</v>
      </c>
      <c r="GP47" s="87"/>
      <c r="GR47" s="145" cm="1">
        <f t="array" ref="GR47">SUMPRODUCT(--($CR$7:$FW$7&gt;=GR$5),--($CR$7:$FW$7&lt;=GR$6),$CR47:$FW47)</f>
        <v>0</v>
      </c>
    </row>
    <row r="48" spans="2:207" x14ac:dyDescent="0.2">
      <c r="B48" s="141"/>
      <c r="C48" s="141"/>
      <c r="D48" s="141"/>
      <c r="E48" s="141"/>
      <c r="F48" s="141"/>
      <c r="G48" s="141"/>
      <c r="H48" s="142"/>
      <c r="I48" s="126"/>
      <c r="J48" s="143"/>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3"/>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3"/>
      <c r="FY48" s="146">
        <f>_xlfn.XLOOKUP($E48,'Key assumptions'!$B$112:$B$120,'Key assumptions'!$C$112:$C$120,0)</f>
        <v>0</v>
      </c>
      <c r="FZ48" s="146" cm="1">
        <f t="array" ref="FZ48">IF($FY48=0,0,_xlfn.IFS($FY48='Key assumptions'!$C$120,_xlfn.XLOOKUP(LEFT(FZ$7,6),Inflation_Year,Inflation_NominaltoReal),TRUE,_xlfn.XLOOKUP($FY48,Inflation_Year,NominaltoReal)))</f>
        <v>0</v>
      </c>
      <c r="GA48" s="146" cm="1">
        <f t="array" ref="GA48">IF($FY48=0,0,_xlfn.IFS($FY48='Key assumptions'!$C$120,_xlfn.XLOOKUP(LEFT(GA$7,6),Inflation_Year,Inflation_NominaltoReal),TRUE,_xlfn.XLOOKUP($FY48,Inflation_Year,NominaltoReal)))</f>
        <v>0</v>
      </c>
      <c r="GB48" s="146" cm="1">
        <f t="array" ref="GB48">IF($FY48=0,0,_xlfn.IFS($FY48='Key assumptions'!$C$120,_xlfn.XLOOKUP(LEFT(GB$7,6),Inflation_Year,Inflation_NominaltoReal),TRUE,_xlfn.XLOOKUP($FY48,Inflation_Year,NominaltoReal)))</f>
        <v>0</v>
      </c>
      <c r="GC48" s="146" cm="1">
        <f t="array" ref="GC48">IF($FY48=0,0,_xlfn.IFS($FY48='Key assumptions'!$C$120,_xlfn.XLOOKUP(LEFT(GC$7,6),Inflation_Year,Inflation_NominaltoReal),TRUE,_xlfn.XLOOKUP($FY48,Inflation_Year,NominaltoReal)))</f>
        <v>0</v>
      </c>
      <c r="GD48" s="146" cm="1">
        <f t="array" ref="GD48">IF($FY48=0,0,_xlfn.IFS($FY48='Key assumptions'!$C$120,_xlfn.XLOOKUP(LEFT(GD$7,6),Inflation_Year,Inflation_NominaltoReal),TRUE,_xlfn.XLOOKUP($FY48,Inflation_Year,NominaltoReal)))</f>
        <v>0</v>
      </c>
      <c r="GE48" s="146" cm="1">
        <f t="array" ref="GE48">IF($FY48=0,0,_xlfn.IFS($FY48='Key assumptions'!$C$120,_xlfn.XLOOKUP(LEFT(GE$7,6),Inflation_Year,Inflation_NominaltoReal),TRUE,_xlfn.XLOOKUP($FY48,Inflation_Year,NominaltoReal)))</f>
        <v>0</v>
      </c>
      <c r="GF48" s="146" cm="1">
        <f t="array" ref="GF48">IF($FY48=0,0,_xlfn.IFS($FY48='Key assumptions'!$C$120,_xlfn.XLOOKUP(LEFT(GF$7,6),Inflation_Year,Inflation_NominaltoReal),TRUE,_xlfn.XLOOKUP($FY48,Inflation_Year,NominaltoReal)))</f>
        <v>0</v>
      </c>
      <c r="GG48" s="143"/>
      <c r="GH48" s="145" cm="1">
        <f t="array" ref="GH48">SUMPRODUCT(--($CR$7:$FW$7&gt;=GH$5),--($CR$7:$FW$7&lt;=GH$6),$CR48:$FW48)*FZ48</f>
        <v>0</v>
      </c>
      <c r="GI48" s="145" cm="1">
        <f t="array" ref="GI48">SUMPRODUCT(--($CR$7:$FW$7&gt;=GI$5),--($CR$7:$FW$7&lt;=GI$6),$CR48:$FW48)*GA48</f>
        <v>0</v>
      </c>
      <c r="GJ48" s="145" cm="1">
        <f t="array" ref="GJ48">SUMPRODUCT(--($CR$7:$FW$7&gt;=GJ$5),--($CR$7:$FW$7&lt;=GJ$6),$CR48:$FW48)*GB48</f>
        <v>0</v>
      </c>
      <c r="GK48" s="145" cm="1">
        <f t="array" ref="GK48">SUMPRODUCT(--($CR$7:$FW$7&gt;=GK$5),--($CR$7:$FW$7&lt;=GK$6),$CR48:$FW48)*GC48</f>
        <v>0</v>
      </c>
      <c r="GL48" s="145" cm="1">
        <f t="array" ref="GL48">SUMPRODUCT(--($CR$7:$FW$7&gt;=GL$5),--($CR$7:$FW$7&lt;=GL$6),$CR48:$FW48)*GD48</f>
        <v>0</v>
      </c>
      <c r="GM48" s="145" cm="1">
        <f t="array" ref="GM48">SUMPRODUCT(--($CR$7:$FW$7&gt;=GM$5),--($CR$7:$FW$7&lt;=GM$6),$CR48:$FW48)*GE48</f>
        <v>0</v>
      </c>
      <c r="GN48" s="145" cm="1">
        <f t="array" ref="GN48">SUMPRODUCT(--($CR$7:$FW$7&gt;=GN$5),--($CR$7:$FW$7&lt;=GN$6),$CR48:$FW48)*GF48</f>
        <v>0</v>
      </c>
      <c r="GO48" s="145">
        <f t="shared" si="0"/>
        <v>0</v>
      </c>
      <c r="GP48" s="87"/>
      <c r="GR48" s="145" cm="1">
        <f t="array" ref="GR48">SUMPRODUCT(--($CR$7:$FW$7&gt;=GR$5),--($CR$7:$FW$7&lt;=GR$6),$CR48:$FW48)</f>
        <v>0</v>
      </c>
    </row>
    <row r="49" spans="2:200" x14ac:dyDescent="0.2">
      <c r="B49" s="141"/>
      <c r="C49" s="141"/>
      <c r="D49" s="141"/>
      <c r="E49" s="141"/>
      <c r="F49" s="141"/>
      <c r="G49" s="141"/>
      <c r="H49" s="142"/>
      <c r="I49" s="126"/>
      <c r="J49" s="143"/>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3"/>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3"/>
      <c r="FY49" s="146">
        <f>_xlfn.XLOOKUP($E49,'Key assumptions'!$B$112:$B$120,'Key assumptions'!$C$112:$C$120,0)</f>
        <v>0</v>
      </c>
      <c r="FZ49" s="146" cm="1">
        <f t="array" ref="FZ49">IF($FY49=0,0,_xlfn.IFS($FY49='Key assumptions'!$C$120,_xlfn.XLOOKUP(LEFT(FZ$7,6),Inflation_Year,Inflation_NominaltoReal),TRUE,_xlfn.XLOOKUP($FY49,Inflation_Year,NominaltoReal)))</f>
        <v>0</v>
      </c>
      <c r="GA49" s="146" cm="1">
        <f t="array" ref="GA49">IF($FY49=0,0,_xlfn.IFS($FY49='Key assumptions'!$C$120,_xlfn.XLOOKUP(LEFT(GA$7,6),Inflation_Year,Inflation_NominaltoReal),TRUE,_xlfn.XLOOKUP($FY49,Inflation_Year,NominaltoReal)))</f>
        <v>0</v>
      </c>
      <c r="GB49" s="146" cm="1">
        <f t="array" ref="GB49">IF($FY49=0,0,_xlfn.IFS($FY49='Key assumptions'!$C$120,_xlfn.XLOOKUP(LEFT(GB$7,6),Inflation_Year,Inflation_NominaltoReal),TRUE,_xlfn.XLOOKUP($FY49,Inflation_Year,NominaltoReal)))</f>
        <v>0</v>
      </c>
      <c r="GC49" s="146" cm="1">
        <f t="array" ref="GC49">IF($FY49=0,0,_xlfn.IFS($FY49='Key assumptions'!$C$120,_xlfn.XLOOKUP(LEFT(GC$7,6),Inflation_Year,Inflation_NominaltoReal),TRUE,_xlfn.XLOOKUP($FY49,Inflation_Year,NominaltoReal)))</f>
        <v>0</v>
      </c>
      <c r="GD49" s="146" cm="1">
        <f t="array" ref="GD49">IF($FY49=0,0,_xlfn.IFS($FY49='Key assumptions'!$C$120,_xlfn.XLOOKUP(LEFT(GD$7,6),Inflation_Year,Inflation_NominaltoReal),TRUE,_xlfn.XLOOKUP($FY49,Inflation_Year,NominaltoReal)))</f>
        <v>0</v>
      </c>
      <c r="GE49" s="146" cm="1">
        <f t="array" ref="GE49">IF($FY49=0,0,_xlfn.IFS($FY49='Key assumptions'!$C$120,_xlfn.XLOOKUP(LEFT(GE$7,6),Inflation_Year,Inflation_NominaltoReal),TRUE,_xlfn.XLOOKUP($FY49,Inflation_Year,NominaltoReal)))</f>
        <v>0</v>
      </c>
      <c r="GF49" s="146" cm="1">
        <f t="array" ref="GF49">IF($FY49=0,0,_xlfn.IFS($FY49='Key assumptions'!$C$120,_xlfn.XLOOKUP(LEFT(GF$7,6),Inflation_Year,Inflation_NominaltoReal),TRUE,_xlfn.XLOOKUP($FY49,Inflation_Year,NominaltoReal)))</f>
        <v>0</v>
      </c>
      <c r="GG49" s="143"/>
      <c r="GH49" s="145" cm="1">
        <f t="array" ref="GH49">SUMPRODUCT(--($CR$7:$FW$7&gt;=GH$5),--($CR$7:$FW$7&lt;=GH$6),$CR49:$FW49)*FZ49</f>
        <v>0</v>
      </c>
      <c r="GI49" s="145" cm="1">
        <f t="array" ref="GI49">SUMPRODUCT(--($CR$7:$FW$7&gt;=GI$5),--($CR$7:$FW$7&lt;=GI$6),$CR49:$FW49)*GA49</f>
        <v>0</v>
      </c>
      <c r="GJ49" s="145" cm="1">
        <f t="array" ref="GJ49">SUMPRODUCT(--($CR$7:$FW$7&gt;=GJ$5),--($CR$7:$FW$7&lt;=GJ$6),$CR49:$FW49)*GB49</f>
        <v>0</v>
      </c>
      <c r="GK49" s="145" cm="1">
        <f t="array" ref="GK49">SUMPRODUCT(--($CR$7:$FW$7&gt;=GK$5),--($CR$7:$FW$7&lt;=GK$6),$CR49:$FW49)*GC49</f>
        <v>0</v>
      </c>
      <c r="GL49" s="145" cm="1">
        <f t="array" ref="GL49">SUMPRODUCT(--($CR$7:$FW$7&gt;=GL$5),--($CR$7:$FW$7&lt;=GL$6),$CR49:$FW49)*GD49</f>
        <v>0</v>
      </c>
      <c r="GM49" s="145" cm="1">
        <f t="array" ref="GM49">SUMPRODUCT(--($CR$7:$FW$7&gt;=GM$5),--($CR$7:$FW$7&lt;=GM$6),$CR49:$FW49)*GE49</f>
        <v>0</v>
      </c>
      <c r="GN49" s="145" cm="1">
        <f t="array" ref="GN49">SUMPRODUCT(--($CR$7:$FW$7&gt;=GN$5),--($CR$7:$FW$7&lt;=GN$6),$CR49:$FW49)*GF49</f>
        <v>0</v>
      </c>
      <c r="GO49" s="145">
        <f t="shared" si="0"/>
        <v>0</v>
      </c>
      <c r="GP49" s="87"/>
      <c r="GR49" s="145" cm="1">
        <f t="array" ref="GR49">SUMPRODUCT(--($CR$7:$FW$7&gt;=GR$5),--($CR$7:$FW$7&lt;=GR$6),$CR49:$FW49)</f>
        <v>0</v>
      </c>
    </row>
    <row r="50" spans="2:200" x14ac:dyDescent="0.2">
      <c r="B50" s="141"/>
      <c r="C50" s="141"/>
      <c r="D50" s="141"/>
      <c r="E50" s="141"/>
      <c r="F50" s="141"/>
      <c r="G50" s="141"/>
      <c r="H50" s="142"/>
      <c r="I50" s="126"/>
      <c r="J50" s="143"/>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3"/>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3"/>
      <c r="FY50" s="146">
        <f>_xlfn.XLOOKUP($E50,'Key assumptions'!$B$112:$B$120,'Key assumptions'!$C$112:$C$120,0)</f>
        <v>0</v>
      </c>
      <c r="FZ50" s="146" cm="1">
        <f t="array" ref="FZ50">IF($FY50=0,0,_xlfn.IFS($FY50='Key assumptions'!$C$120,_xlfn.XLOOKUP(LEFT(FZ$7,6),Inflation_Year,Inflation_NominaltoReal),TRUE,_xlfn.XLOOKUP($FY50,Inflation_Year,NominaltoReal)))</f>
        <v>0</v>
      </c>
      <c r="GA50" s="146" cm="1">
        <f t="array" ref="GA50">IF($FY50=0,0,_xlfn.IFS($FY50='Key assumptions'!$C$120,_xlfn.XLOOKUP(LEFT(GA$7,6),Inflation_Year,Inflation_NominaltoReal),TRUE,_xlfn.XLOOKUP($FY50,Inflation_Year,NominaltoReal)))</f>
        <v>0</v>
      </c>
      <c r="GB50" s="146" cm="1">
        <f t="array" ref="GB50">IF($FY50=0,0,_xlfn.IFS($FY50='Key assumptions'!$C$120,_xlfn.XLOOKUP(LEFT(GB$7,6),Inflation_Year,Inflation_NominaltoReal),TRUE,_xlfn.XLOOKUP($FY50,Inflation_Year,NominaltoReal)))</f>
        <v>0</v>
      </c>
      <c r="GC50" s="146" cm="1">
        <f t="array" ref="GC50">IF($FY50=0,0,_xlfn.IFS($FY50='Key assumptions'!$C$120,_xlfn.XLOOKUP(LEFT(GC$7,6),Inflation_Year,Inflation_NominaltoReal),TRUE,_xlfn.XLOOKUP($FY50,Inflation_Year,NominaltoReal)))</f>
        <v>0</v>
      </c>
      <c r="GD50" s="146" cm="1">
        <f t="array" ref="GD50">IF($FY50=0,0,_xlfn.IFS($FY50='Key assumptions'!$C$120,_xlfn.XLOOKUP(LEFT(GD$7,6),Inflation_Year,Inflation_NominaltoReal),TRUE,_xlfn.XLOOKUP($FY50,Inflation_Year,NominaltoReal)))</f>
        <v>0</v>
      </c>
      <c r="GE50" s="146" cm="1">
        <f t="array" ref="GE50">IF($FY50=0,0,_xlfn.IFS($FY50='Key assumptions'!$C$120,_xlfn.XLOOKUP(LEFT(GE$7,6),Inflation_Year,Inflation_NominaltoReal),TRUE,_xlfn.XLOOKUP($FY50,Inflation_Year,NominaltoReal)))</f>
        <v>0</v>
      </c>
      <c r="GF50" s="146" cm="1">
        <f t="array" ref="GF50">IF($FY50=0,0,_xlfn.IFS($FY50='Key assumptions'!$C$120,_xlfn.XLOOKUP(LEFT(GF$7,6),Inflation_Year,Inflation_NominaltoReal),TRUE,_xlfn.XLOOKUP($FY50,Inflation_Year,NominaltoReal)))</f>
        <v>0</v>
      </c>
      <c r="GG50" s="143"/>
      <c r="GH50" s="145" cm="1">
        <f t="array" ref="GH50">SUMPRODUCT(--($CR$7:$FW$7&gt;=GH$5),--($CR$7:$FW$7&lt;=GH$6),$CR50:$FW50)*FZ50</f>
        <v>0</v>
      </c>
      <c r="GI50" s="145" cm="1">
        <f t="array" ref="GI50">SUMPRODUCT(--($CR$7:$FW$7&gt;=GI$5),--($CR$7:$FW$7&lt;=GI$6),$CR50:$FW50)*GA50</f>
        <v>0</v>
      </c>
      <c r="GJ50" s="145" cm="1">
        <f t="array" ref="GJ50">SUMPRODUCT(--($CR$7:$FW$7&gt;=GJ$5),--($CR$7:$FW$7&lt;=GJ$6),$CR50:$FW50)*GB50</f>
        <v>0</v>
      </c>
      <c r="GK50" s="145" cm="1">
        <f t="array" ref="GK50">SUMPRODUCT(--($CR$7:$FW$7&gt;=GK$5),--($CR$7:$FW$7&lt;=GK$6),$CR50:$FW50)*GC50</f>
        <v>0</v>
      </c>
      <c r="GL50" s="145" cm="1">
        <f t="array" ref="GL50">SUMPRODUCT(--($CR$7:$FW$7&gt;=GL$5),--($CR$7:$FW$7&lt;=GL$6),$CR50:$FW50)*GD50</f>
        <v>0</v>
      </c>
      <c r="GM50" s="145" cm="1">
        <f t="array" ref="GM50">SUMPRODUCT(--($CR$7:$FW$7&gt;=GM$5),--($CR$7:$FW$7&lt;=GM$6),$CR50:$FW50)*GE50</f>
        <v>0</v>
      </c>
      <c r="GN50" s="145" cm="1">
        <f t="array" ref="GN50">SUMPRODUCT(--($CR$7:$FW$7&gt;=GN$5),--($CR$7:$FW$7&lt;=GN$6),$CR50:$FW50)*GF50</f>
        <v>0</v>
      </c>
      <c r="GO50" s="145">
        <f t="shared" si="0"/>
        <v>0</v>
      </c>
      <c r="GP50" s="87"/>
      <c r="GR50" s="145" cm="1">
        <f t="array" ref="GR50">SUMPRODUCT(--($CR$7:$FW$7&gt;=GR$5),--($CR$7:$FW$7&lt;=GR$6),$CR50:$FW50)</f>
        <v>0</v>
      </c>
    </row>
    <row r="51" spans="2:200" x14ac:dyDescent="0.2">
      <c r="B51" s="141"/>
      <c r="C51" s="141"/>
      <c r="D51" s="141"/>
      <c r="E51" s="141"/>
      <c r="F51" s="141"/>
      <c r="G51" s="141"/>
      <c r="H51" s="142"/>
      <c r="I51" s="126"/>
      <c r="J51" s="143"/>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3"/>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c r="EE51" s="145"/>
      <c r="EF51" s="145"/>
      <c r="EG51" s="145"/>
      <c r="EH51" s="145"/>
      <c r="EI51" s="145"/>
      <c r="EJ51" s="145"/>
      <c r="EK51" s="145"/>
      <c r="EL51" s="145"/>
      <c r="EM51" s="145"/>
      <c r="EN51" s="145"/>
      <c r="EO51" s="145"/>
      <c r="EP51" s="145"/>
      <c r="EQ51" s="145"/>
      <c r="ER51" s="145"/>
      <c r="ES51" s="145"/>
      <c r="ET51" s="145"/>
      <c r="EU51" s="145"/>
      <c r="EV51" s="145"/>
      <c r="EW51" s="145"/>
      <c r="EX51" s="145"/>
      <c r="EY51" s="145"/>
      <c r="EZ51" s="145"/>
      <c r="FA51" s="145"/>
      <c r="FB51" s="145"/>
      <c r="FC51" s="145"/>
      <c r="FD51" s="145"/>
      <c r="FE51" s="145"/>
      <c r="FF51" s="145"/>
      <c r="FG51" s="145"/>
      <c r="FH51" s="145"/>
      <c r="FI51" s="145"/>
      <c r="FJ51" s="145"/>
      <c r="FK51" s="145"/>
      <c r="FL51" s="145"/>
      <c r="FM51" s="145"/>
      <c r="FN51" s="145"/>
      <c r="FO51" s="145"/>
      <c r="FP51" s="145"/>
      <c r="FQ51" s="145"/>
      <c r="FR51" s="145"/>
      <c r="FS51" s="145"/>
      <c r="FT51" s="145"/>
      <c r="FU51" s="145"/>
      <c r="FV51" s="145"/>
      <c r="FW51" s="145"/>
      <c r="FX51" s="143"/>
      <c r="FY51" s="146">
        <f>_xlfn.XLOOKUP($E51,'Key assumptions'!$B$112:$B$120,'Key assumptions'!$C$112:$C$120,0)</f>
        <v>0</v>
      </c>
      <c r="FZ51" s="146" cm="1">
        <f t="array" ref="FZ51">IF($FY51=0,0,_xlfn.IFS($FY51='Key assumptions'!$C$120,_xlfn.XLOOKUP(LEFT(FZ$7,6),Inflation_Year,Inflation_NominaltoReal),TRUE,_xlfn.XLOOKUP($FY51,Inflation_Year,NominaltoReal)))</f>
        <v>0</v>
      </c>
      <c r="GA51" s="146" cm="1">
        <f t="array" ref="GA51">IF($FY51=0,0,_xlfn.IFS($FY51='Key assumptions'!$C$120,_xlfn.XLOOKUP(LEFT(GA$7,6),Inflation_Year,Inflation_NominaltoReal),TRUE,_xlfn.XLOOKUP($FY51,Inflation_Year,NominaltoReal)))</f>
        <v>0</v>
      </c>
      <c r="GB51" s="146" cm="1">
        <f t="array" ref="GB51">IF($FY51=0,0,_xlfn.IFS($FY51='Key assumptions'!$C$120,_xlfn.XLOOKUP(LEFT(GB$7,6),Inflation_Year,Inflation_NominaltoReal),TRUE,_xlfn.XLOOKUP($FY51,Inflation_Year,NominaltoReal)))</f>
        <v>0</v>
      </c>
      <c r="GC51" s="146" cm="1">
        <f t="array" ref="GC51">IF($FY51=0,0,_xlfn.IFS($FY51='Key assumptions'!$C$120,_xlfn.XLOOKUP(LEFT(GC$7,6),Inflation_Year,Inflation_NominaltoReal),TRUE,_xlfn.XLOOKUP($FY51,Inflation_Year,NominaltoReal)))</f>
        <v>0</v>
      </c>
      <c r="GD51" s="146" cm="1">
        <f t="array" ref="GD51">IF($FY51=0,0,_xlfn.IFS($FY51='Key assumptions'!$C$120,_xlfn.XLOOKUP(LEFT(GD$7,6),Inflation_Year,Inflation_NominaltoReal),TRUE,_xlfn.XLOOKUP($FY51,Inflation_Year,NominaltoReal)))</f>
        <v>0</v>
      </c>
      <c r="GE51" s="146" cm="1">
        <f t="array" ref="GE51">IF($FY51=0,0,_xlfn.IFS($FY51='Key assumptions'!$C$120,_xlfn.XLOOKUP(LEFT(GE$7,6),Inflation_Year,Inflation_NominaltoReal),TRUE,_xlfn.XLOOKUP($FY51,Inflation_Year,NominaltoReal)))</f>
        <v>0</v>
      </c>
      <c r="GF51" s="146" cm="1">
        <f t="array" ref="GF51">IF($FY51=0,0,_xlfn.IFS($FY51='Key assumptions'!$C$120,_xlfn.XLOOKUP(LEFT(GF$7,6),Inflation_Year,Inflation_NominaltoReal),TRUE,_xlfn.XLOOKUP($FY51,Inflation_Year,NominaltoReal)))</f>
        <v>0</v>
      </c>
      <c r="GG51" s="143"/>
      <c r="GH51" s="145" cm="1">
        <f t="array" ref="GH51">SUMPRODUCT(--($CR$7:$FW$7&gt;=GH$5),--($CR$7:$FW$7&lt;=GH$6),$CR51:$FW51)*FZ51</f>
        <v>0</v>
      </c>
      <c r="GI51" s="145" cm="1">
        <f t="array" ref="GI51">SUMPRODUCT(--($CR$7:$FW$7&gt;=GI$5),--($CR$7:$FW$7&lt;=GI$6),$CR51:$FW51)*GA51</f>
        <v>0</v>
      </c>
      <c r="GJ51" s="145" cm="1">
        <f t="array" ref="GJ51">SUMPRODUCT(--($CR$7:$FW$7&gt;=GJ$5),--($CR$7:$FW$7&lt;=GJ$6),$CR51:$FW51)*GB51</f>
        <v>0</v>
      </c>
      <c r="GK51" s="145" cm="1">
        <f t="array" ref="GK51">SUMPRODUCT(--($CR$7:$FW$7&gt;=GK$5),--($CR$7:$FW$7&lt;=GK$6),$CR51:$FW51)*GC51</f>
        <v>0</v>
      </c>
      <c r="GL51" s="145" cm="1">
        <f t="array" ref="GL51">SUMPRODUCT(--($CR$7:$FW$7&gt;=GL$5),--($CR$7:$FW$7&lt;=GL$6),$CR51:$FW51)*GD51</f>
        <v>0</v>
      </c>
      <c r="GM51" s="145" cm="1">
        <f t="array" ref="GM51">SUMPRODUCT(--($CR$7:$FW$7&gt;=GM$5),--($CR$7:$FW$7&lt;=GM$6),$CR51:$FW51)*GE51</f>
        <v>0</v>
      </c>
      <c r="GN51" s="145" cm="1">
        <f t="array" ref="GN51">SUMPRODUCT(--($CR$7:$FW$7&gt;=GN$5),--($CR$7:$FW$7&lt;=GN$6),$CR51:$FW51)*GF51</f>
        <v>0</v>
      </c>
      <c r="GO51" s="145">
        <f t="shared" si="0"/>
        <v>0</v>
      </c>
      <c r="GP51" s="87"/>
      <c r="GR51" s="145" cm="1">
        <f t="array" ref="GR51">SUMPRODUCT(--($CR$7:$FW$7&gt;=GR$5),--($CR$7:$FW$7&lt;=GR$6),$CR51:$FW51)</f>
        <v>0</v>
      </c>
    </row>
    <row r="52" spans="2:200" x14ac:dyDescent="0.2">
      <c r="B52" s="141"/>
      <c r="C52" s="141"/>
      <c r="D52" s="141"/>
      <c r="E52" s="141"/>
      <c r="F52" s="141"/>
      <c r="G52" s="141"/>
      <c r="H52" s="142"/>
      <c r="I52" s="126"/>
      <c r="J52" s="143"/>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3"/>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c r="EE52" s="145"/>
      <c r="EF52" s="145"/>
      <c r="EG52" s="145"/>
      <c r="EH52" s="145"/>
      <c r="EI52" s="145"/>
      <c r="EJ52" s="145"/>
      <c r="EK52" s="145"/>
      <c r="EL52" s="145"/>
      <c r="EM52" s="145"/>
      <c r="EN52" s="145"/>
      <c r="EO52" s="145"/>
      <c r="EP52" s="145"/>
      <c r="EQ52" s="145"/>
      <c r="ER52" s="145"/>
      <c r="ES52" s="145"/>
      <c r="ET52" s="145"/>
      <c r="EU52" s="145"/>
      <c r="EV52" s="145"/>
      <c r="EW52" s="145"/>
      <c r="EX52" s="145"/>
      <c r="EY52" s="145"/>
      <c r="EZ52" s="145"/>
      <c r="FA52" s="145"/>
      <c r="FB52" s="145"/>
      <c r="FC52" s="145"/>
      <c r="FD52" s="145"/>
      <c r="FE52" s="145"/>
      <c r="FF52" s="145"/>
      <c r="FG52" s="145"/>
      <c r="FH52" s="145"/>
      <c r="FI52" s="145"/>
      <c r="FJ52" s="145"/>
      <c r="FK52" s="145"/>
      <c r="FL52" s="145"/>
      <c r="FM52" s="145"/>
      <c r="FN52" s="145"/>
      <c r="FO52" s="145"/>
      <c r="FP52" s="145"/>
      <c r="FQ52" s="145"/>
      <c r="FR52" s="145"/>
      <c r="FS52" s="145"/>
      <c r="FT52" s="145"/>
      <c r="FU52" s="145"/>
      <c r="FV52" s="145"/>
      <c r="FW52" s="145"/>
      <c r="FX52" s="143"/>
      <c r="FY52" s="146">
        <f>_xlfn.XLOOKUP($E52,'Key assumptions'!$B$112:$B$120,'Key assumptions'!$C$112:$C$120,0)</f>
        <v>0</v>
      </c>
      <c r="FZ52" s="146" cm="1">
        <f t="array" ref="FZ52">IF($FY52=0,0,_xlfn.IFS($FY52='Key assumptions'!$C$120,_xlfn.XLOOKUP(LEFT(FZ$7,6),Inflation_Year,Inflation_NominaltoReal),TRUE,_xlfn.XLOOKUP($FY52,Inflation_Year,NominaltoReal)))</f>
        <v>0</v>
      </c>
      <c r="GA52" s="146" cm="1">
        <f t="array" ref="GA52">IF($FY52=0,0,_xlfn.IFS($FY52='Key assumptions'!$C$120,_xlfn.XLOOKUP(LEFT(GA$7,6),Inflation_Year,Inflation_NominaltoReal),TRUE,_xlfn.XLOOKUP($FY52,Inflation_Year,NominaltoReal)))</f>
        <v>0</v>
      </c>
      <c r="GB52" s="146" cm="1">
        <f t="array" ref="GB52">IF($FY52=0,0,_xlfn.IFS($FY52='Key assumptions'!$C$120,_xlfn.XLOOKUP(LEFT(GB$7,6),Inflation_Year,Inflation_NominaltoReal),TRUE,_xlfn.XLOOKUP($FY52,Inflation_Year,NominaltoReal)))</f>
        <v>0</v>
      </c>
      <c r="GC52" s="146" cm="1">
        <f t="array" ref="GC52">IF($FY52=0,0,_xlfn.IFS($FY52='Key assumptions'!$C$120,_xlfn.XLOOKUP(LEFT(GC$7,6),Inflation_Year,Inflation_NominaltoReal),TRUE,_xlfn.XLOOKUP($FY52,Inflation_Year,NominaltoReal)))</f>
        <v>0</v>
      </c>
      <c r="GD52" s="146" cm="1">
        <f t="array" ref="GD52">IF($FY52=0,0,_xlfn.IFS($FY52='Key assumptions'!$C$120,_xlfn.XLOOKUP(LEFT(GD$7,6),Inflation_Year,Inflation_NominaltoReal),TRUE,_xlfn.XLOOKUP($FY52,Inflation_Year,NominaltoReal)))</f>
        <v>0</v>
      </c>
      <c r="GE52" s="146" cm="1">
        <f t="array" ref="GE52">IF($FY52=0,0,_xlfn.IFS($FY52='Key assumptions'!$C$120,_xlfn.XLOOKUP(LEFT(GE$7,6),Inflation_Year,Inflation_NominaltoReal),TRUE,_xlfn.XLOOKUP($FY52,Inflation_Year,NominaltoReal)))</f>
        <v>0</v>
      </c>
      <c r="GF52" s="146" cm="1">
        <f t="array" ref="GF52">IF($FY52=0,0,_xlfn.IFS($FY52='Key assumptions'!$C$120,_xlfn.XLOOKUP(LEFT(GF$7,6),Inflation_Year,Inflation_NominaltoReal),TRUE,_xlfn.XLOOKUP($FY52,Inflation_Year,NominaltoReal)))</f>
        <v>0</v>
      </c>
      <c r="GG52" s="143"/>
      <c r="GH52" s="145" cm="1">
        <f t="array" ref="GH52">SUMPRODUCT(--($CR$7:$FW$7&gt;=GH$5),--($CR$7:$FW$7&lt;=GH$6),$CR52:$FW52)*FZ52</f>
        <v>0</v>
      </c>
      <c r="GI52" s="145" cm="1">
        <f t="array" ref="GI52">SUMPRODUCT(--($CR$7:$FW$7&gt;=GI$5),--($CR$7:$FW$7&lt;=GI$6),$CR52:$FW52)*GA52</f>
        <v>0</v>
      </c>
      <c r="GJ52" s="145" cm="1">
        <f t="array" ref="GJ52">SUMPRODUCT(--($CR$7:$FW$7&gt;=GJ$5),--($CR$7:$FW$7&lt;=GJ$6),$CR52:$FW52)*GB52</f>
        <v>0</v>
      </c>
      <c r="GK52" s="145" cm="1">
        <f t="array" ref="GK52">SUMPRODUCT(--($CR$7:$FW$7&gt;=GK$5),--($CR$7:$FW$7&lt;=GK$6),$CR52:$FW52)*GC52</f>
        <v>0</v>
      </c>
      <c r="GL52" s="145" cm="1">
        <f t="array" ref="GL52">SUMPRODUCT(--($CR$7:$FW$7&gt;=GL$5),--($CR$7:$FW$7&lt;=GL$6),$CR52:$FW52)*GD52</f>
        <v>0</v>
      </c>
      <c r="GM52" s="145" cm="1">
        <f t="array" ref="GM52">SUMPRODUCT(--($CR$7:$FW$7&gt;=GM$5),--($CR$7:$FW$7&lt;=GM$6),$CR52:$FW52)*GE52</f>
        <v>0</v>
      </c>
      <c r="GN52" s="145" cm="1">
        <f t="array" ref="GN52">SUMPRODUCT(--($CR$7:$FW$7&gt;=GN$5),--($CR$7:$FW$7&lt;=GN$6),$CR52:$FW52)*GF52</f>
        <v>0</v>
      </c>
      <c r="GO52" s="145">
        <f t="shared" si="0"/>
        <v>0</v>
      </c>
      <c r="GP52" s="87"/>
      <c r="GR52" s="145" cm="1">
        <f t="array" ref="GR52">SUMPRODUCT(--($CR$7:$FW$7&gt;=GR$5),--($CR$7:$FW$7&lt;=GR$6),$CR52:$FW52)</f>
        <v>0</v>
      </c>
    </row>
    <row r="53" spans="2:200" x14ac:dyDescent="0.2">
      <c r="B53" s="141"/>
      <c r="C53" s="141"/>
      <c r="D53" s="141"/>
      <c r="E53" s="141"/>
      <c r="F53" s="141"/>
      <c r="G53" s="141"/>
      <c r="H53" s="142"/>
      <c r="I53" s="126"/>
      <c r="J53" s="143"/>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3"/>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c r="EE53" s="145"/>
      <c r="EF53" s="145"/>
      <c r="EG53" s="145"/>
      <c r="EH53" s="145"/>
      <c r="EI53" s="145"/>
      <c r="EJ53" s="145"/>
      <c r="EK53" s="145"/>
      <c r="EL53" s="145"/>
      <c r="EM53" s="145"/>
      <c r="EN53" s="145"/>
      <c r="EO53" s="145"/>
      <c r="EP53" s="145"/>
      <c r="EQ53" s="145"/>
      <c r="ER53" s="145"/>
      <c r="ES53" s="145"/>
      <c r="ET53" s="145"/>
      <c r="EU53" s="145"/>
      <c r="EV53" s="145"/>
      <c r="EW53" s="145"/>
      <c r="EX53" s="145"/>
      <c r="EY53" s="145"/>
      <c r="EZ53" s="145"/>
      <c r="FA53" s="145"/>
      <c r="FB53" s="145"/>
      <c r="FC53" s="145"/>
      <c r="FD53" s="145"/>
      <c r="FE53" s="145"/>
      <c r="FF53" s="145"/>
      <c r="FG53" s="145"/>
      <c r="FH53" s="145"/>
      <c r="FI53" s="145"/>
      <c r="FJ53" s="145"/>
      <c r="FK53" s="145"/>
      <c r="FL53" s="145"/>
      <c r="FM53" s="145"/>
      <c r="FN53" s="145"/>
      <c r="FO53" s="145"/>
      <c r="FP53" s="145"/>
      <c r="FQ53" s="145"/>
      <c r="FR53" s="145"/>
      <c r="FS53" s="145"/>
      <c r="FT53" s="145"/>
      <c r="FU53" s="145"/>
      <c r="FV53" s="145"/>
      <c r="FW53" s="145"/>
      <c r="FX53" s="143"/>
      <c r="FY53" s="146">
        <f>_xlfn.XLOOKUP($E53,'Key assumptions'!$B$112:$B$120,'Key assumptions'!$C$112:$C$120,0)</f>
        <v>0</v>
      </c>
      <c r="FZ53" s="146" cm="1">
        <f t="array" ref="FZ53">IF($FY53=0,0,_xlfn.IFS($FY53='Key assumptions'!$C$120,_xlfn.XLOOKUP(LEFT(FZ$7,6),Inflation_Year,Inflation_NominaltoReal),TRUE,_xlfn.XLOOKUP($FY53,Inflation_Year,NominaltoReal)))</f>
        <v>0</v>
      </c>
      <c r="GA53" s="146" cm="1">
        <f t="array" ref="GA53">IF($FY53=0,0,_xlfn.IFS($FY53='Key assumptions'!$C$120,_xlfn.XLOOKUP(LEFT(GA$7,6),Inflation_Year,Inflation_NominaltoReal),TRUE,_xlfn.XLOOKUP($FY53,Inflation_Year,NominaltoReal)))</f>
        <v>0</v>
      </c>
      <c r="GB53" s="146" cm="1">
        <f t="array" ref="GB53">IF($FY53=0,0,_xlfn.IFS($FY53='Key assumptions'!$C$120,_xlfn.XLOOKUP(LEFT(GB$7,6),Inflation_Year,Inflation_NominaltoReal),TRUE,_xlfn.XLOOKUP($FY53,Inflation_Year,NominaltoReal)))</f>
        <v>0</v>
      </c>
      <c r="GC53" s="146" cm="1">
        <f t="array" ref="GC53">IF($FY53=0,0,_xlfn.IFS($FY53='Key assumptions'!$C$120,_xlfn.XLOOKUP(LEFT(GC$7,6),Inflation_Year,Inflation_NominaltoReal),TRUE,_xlfn.XLOOKUP($FY53,Inflation_Year,NominaltoReal)))</f>
        <v>0</v>
      </c>
      <c r="GD53" s="146" cm="1">
        <f t="array" ref="GD53">IF($FY53=0,0,_xlfn.IFS($FY53='Key assumptions'!$C$120,_xlfn.XLOOKUP(LEFT(GD$7,6),Inflation_Year,Inflation_NominaltoReal),TRUE,_xlfn.XLOOKUP($FY53,Inflation_Year,NominaltoReal)))</f>
        <v>0</v>
      </c>
      <c r="GE53" s="146" cm="1">
        <f t="array" ref="GE53">IF($FY53=0,0,_xlfn.IFS($FY53='Key assumptions'!$C$120,_xlfn.XLOOKUP(LEFT(GE$7,6),Inflation_Year,Inflation_NominaltoReal),TRUE,_xlfn.XLOOKUP($FY53,Inflation_Year,NominaltoReal)))</f>
        <v>0</v>
      </c>
      <c r="GF53" s="146" cm="1">
        <f t="array" ref="GF53">IF($FY53=0,0,_xlfn.IFS($FY53='Key assumptions'!$C$120,_xlfn.XLOOKUP(LEFT(GF$7,6),Inflation_Year,Inflation_NominaltoReal),TRUE,_xlfn.XLOOKUP($FY53,Inflation_Year,NominaltoReal)))</f>
        <v>0</v>
      </c>
      <c r="GG53" s="143"/>
      <c r="GH53" s="145" cm="1">
        <f t="array" ref="GH53">SUMPRODUCT(--($CR$7:$FW$7&gt;=GH$5),--($CR$7:$FW$7&lt;=GH$6),$CR53:$FW53)*FZ53</f>
        <v>0</v>
      </c>
      <c r="GI53" s="145" cm="1">
        <f t="array" ref="GI53">SUMPRODUCT(--($CR$7:$FW$7&gt;=GI$5),--($CR$7:$FW$7&lt;=GI$6),$CR53:$FW53)*GA53</f>
        <v>0</v>
      </c>
      <c r="GJ53" s="145" cm="1">
        <f t="array" ref="GJ53">SUMPRODUCT(--($CR$7:$FW$7&gt;=GJ$5),--($CR$7:$FW$7&lt;=GJ$6),$CR53:$FW53)*GB53</f>
        <v>0</v>
      </c>
      <c r="GK53" s="145" cm="1">
        <f t="array" ref="GK53">SUMPRODUCT(--($CR$7:$FW$7&gt;=GK$5),--($CR$7:$FW$7&lt;=GK$6),$CR53:$FW53)*GC53</f>
        <v>0</v>
      </c>
      <c r="GL53" s="145" cm="1">
        <f t="array" ref="GL53">SUMPRODUCT(--($CR$7:$FW$7&gt;=GL$5),--($CR$7:$FW$7&lt;=GL$6),$CR53:$FW53)*GD53</f>
        <v>0</v>
      </c>
      <c r="GM53" s="145" cm="1">
        <f t="array" ref="GM53">SUMPRODUCT(--($CR$7:$FW$7&gt;=GM$5),--($CR$7:$FW$7&lt;=GM$6),$CR53:$FW53)*GE53</f>
        <v>0</v>
      </c>
      <c r="GN53" s="145" cm="1">
        <f t="array" ref="GN53">SUMPRODUCT(--($CR$7:$FW$7&gt;=GN$5),--($CR$7:$FW$7&lt;=GN$6),$CR53:$FW53)*GF53</f>
        <v>0</v>
      </c>
      <c r="GO53" s="145">
        <f t="shared" si="0"/>
        <v>0</v>
      </c>
      <c r="GP53" s="87"/>
      <c r="GR53" s="145" cm="1">
        <f t="array" ref="GR53">SUMPRODUCT(--($CR$7:$FW$7&gt;=GR$5),--($CR$7:$FW$7&lt;=GR$6),$CR53:$FW53)</f>
        <v>0</v>
      </c>
    </row>
    <row r="54" spans="2:200" x14ac:dyDescent="0.2">
      <c r="B54" s="141"/>
      <c r="C54" s="141"/>
      <c r="D54" s="141"/>
      <c r="E54" s="141"/>
      <c r="F54" s="141"/>
      <c r="G54" s="141"/>
      <c r="H54" s="142"/>
      <c r="I54" s="126"/>
      <c r="J54" s="143"/>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3"/>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c r="EE54" s="145"/>
      <c r="EF54" s="145"/>
      <c r="EG54" s="145"/>
      <c r="EH54" s="145"/>
      <c r="EI54" s="145"/>
      <c r="EJ54" s="145"/>
      <c r="EK54" s="145"/>
      <c r="EL54" s="145"/>
      <c r="EM54" s="145"/>
      <c r="EN54" s="145"/>
      <c r="EO54" s="145"/>
      <c r="EP54" s="145"/>
      <c r="EQ54" s="145"/>
      <c r="ER54" s="145"/>
      <c r="ES54" s="145"/>
      <c r="ET54" s="145"/>
      <c r="EU54" s="145"/>
      <c r="EV54" s="145"/>
      <c r="EW54" s="145"/>
      <c r="EX54" s="145"/>
      <c r="EY54" s="145"/>
      <c r="EZ54" s="145"/>
      <c r="FA54" s="145"/>
      <c r="FB54" s="145"/>
      <c r="FC54" s="145"/>
      <c r="FD54" s="145"/>
      <c r="FE54" s="145"/>
      <c r="FF54" s="145"/>
      <c r="FG54" s="145"/>
      <c r="FH54" s="145"/>
      <c r="FI54" s="145"/>
      <c r="FJ54" s="145"/>
      <c r="FK54" s="145"/>
      <c r="FL54" s="145"/>
      <c r="FM54" s="145"/>
      <c r="FN54" s="145"/>
      <c r="FO54" s="145"/>
      <c r="FP54" s="145"/>
      <c r="FQ54" s="145"/>
      <c r="FR54" s="145"/>
      <c r="FS54" s="145"/>
      <c r="FT54" s="145"/>
      <c r="FU54" s="145"/>
      <c r="FV54" s="145"/>
      <c r="FW54" s="145"/>
      <c r="FX54" s="143"/>
      <c r="FY54" s="146">
        <f>_xlfn.XLOOKUP($E54,'Key assumptions'!$B$112:$B$120,'Key assumptions'!$C$112:$C$120,0)</f>
        <v>0</v>
      </c>
      <c r="FZ54" s="146" cm="1">
        <f t="array" ref="FZ54">IF($FY54=0,0,_xlfn.IFS($FY54='Key assumptions'!$C$120,_xlfn.XLOOKUP(LEFT(FZ$7,6),Inflation_Year,Inflation_NominaltoReal),TRUE,_xlfn.XLOOKUP($FY54,Inflation_Year,NominaltoReal)))</f>
        <v>0</v>
      </c>
      <c r="GA54" s="146" cm="1">
        <f t="array" ref="GA54">IF($FY54=0,0,_xlfn.IFS($FY54='Key assumptions'!$C$120,_xlfn.XLOOKUP(LEFT(GA$7,6),Inflation_Year,Inflation_NominaltoReal),TRUE,_xlfn.XLOOKUP($FY54,Inflation_Year,NominaltoReal)))</f>
        <v>0</v>
      </c>
      <c r="GB54" s="146" cm="1">
        <f t="array" ref="GB54">IF($FY54=0,0,_xlfn.IFS($FY54='Key assumptions'!$C$120,_xlfn.XLOOKUP(LEFT(GB$7,6),Inflation_Year,Inflation_NominaltoReal),TRUE,_xlfn.XLOOKUP($FY54,Inflation_Year,NominaltoReal)))</f>
        <v>0</v>
      </c>
      <c r="GC54" s="146" cm="1">
        <f t="array" ref="GC54">IF($FY54=0,0,_xlfn.IFS($FY54='Key assumptions'!$C$120,_xlfn.XLOOKUP(LEFT(GC$7,6),Inflation_Year,Inflation_NominaltoReal),TRUE,_xlfn.XLOOKUP($FY54,Inflation_Year,NominaltoReal)))</f>
        <v>0</v>
      </c>
      <c r="GD54" s="146" cm="1">
        <f t="array" ref="GD54">IF($FY54=0,0,_xlfn.IFS($FY54='Key assumptions'!$C$120,_xlfn.XLOOKUP(LEFT(GD$7,6),Inflation_Year,Inflation_NominaltoReal),TRUE,_xlfn.XLOOKUP($FY54,Inflation_Year,NominaltoReal)))</f>
        <v>0</v>
      </c>
      <c r="GE54" s="146" cm="1">
        <f t="array" ref="GE54">IF($FY54=0,0,_xlfn.IFS($FY54='Key assumptions'!$C$120,_xlfn.XLOOKUP(LEFT(GE$7,6),Inflation_Year,Inflation_NominaltoReal),TRUE,_xlfn.XLOOKUP($FY54,Inflation_Year,NominaltoReal)))</f>
        <v>0</v>
      </c>
      <c r="GF54" s="146" cm="1">
        <f t="array" ref="GF54">IF($FY54=0,0,_xlfn.IFS($FY54='Key assumptions'!$C$120,_xlfn.XLOOKUP(LEFT(GF$7,6),Inflation_Year,Inflation_NominaltoReal),TRUE,_xlfn.XLOOKUP($FY54,Inflation_Year,NominaltoReal)))</f>
        <v>0</v>
      </c>
      <c r="GG54" s="143"/>
      <c r="GH54" s="145" cm="1">
        <f t="array" ref="GH54">SUMPRODUCT(--($CR$7:$FW$7&gt;=GH$5),--($CR$7:$FW$7&lt;=GH$6),$CR54:$FW54)*FZ54</f>
        <v>0</v>
      </c>
      <c r="GI54" s="145" cm="1">
        <f t="array" ref="GI54">SUMPRODUCT(--($CR$7:$FW$7&gt;=GI$5),--($CR$7:$FW$7&lt;=GI$6),$CR54:$FW54)*GA54</f>
        <v>0</v>
      </c>
      <c r="GJ54" s="145" cm="1">
        <f t="array" ref="GJ54">SUMPRODUCT(--($CR$7:$FW$7&gt;=GJ$5),--($CR$7:$FW$7&lt;=GJ$6),$CR54:$FW54)*GB54</f>
        <v>0</v>
      </c>
      <c r="GK54" s="145" cm="1">
        <f t="array" ref="GK54">SUMPRODUCT(--($CR$7:$FW$7&gt;=GK$5),--($CR$7:$FW$7&lt;=GK$6),$CR54:$FW54)*GC54</f>
        <v>0</v>
      </c>
      <c r="GL54" s="145" cm="1">
        <f t="array" ref="GL54">SUMPRODUCT(--($CR$7:$FW$7&gt;=GL$5),--($CR$7:$FW$7&lt;=GL$6),$CR54:$FW54)*GD54</f>
        <v>0</v>
      </c>
      <c r="GM54" s="145" cm="1">
        <f t="array" ref="GM54">SUMPRODUCT(--($CR$7:$FW$7&gt;=GM$5),--($CR$7:$FW$7&lt;=GM$6),$CR54:$FW54)*GE54</f>
        <v>0</v>
      </c>
      <c r="GN54" s="145" cm="1">
        <f t="array" ref="GN54">SUMPRODUCT(--($CR$7:$FW$7&gt;=GN$5),--($CR$7:$FW$7&lt;=GN$6),$CR54:$FW54)*GF54</f>
        <v>0</v>
      </c>
      <c r="GO54" s="145">
        <f t="shared" si="0"/>
        <v>0</v>
      </c>
      <c r="GP54" s="87"/>
      <c r="GR54" s="145" cm="1">
        <f t="array" ref="GR54">SUMPRODUCT(--($CR$7:$FW$7&gt;=GR$5),--($CR$7:$FW$7&lt;=GR$6),$CR54:$FW54)</f>
        <v>0</v>
      </c>
    </row>
    <row r="55" spans="2:200" x14ac:dyDescent="0.2">
      <c r="B55" s="141"/>
      <c r="C55" s="141"/>
      <c r="D55" s="141"/>
      <c r="E55" s="141"/>
      <c r="F55" s="141"/>
      <c r="G55" s="141"/>
      <c r="H55" s="142"/>
      <c r="I55" s="126"/>
      <c r="J55" s="143"/>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3"/>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c r="EE55" s="145"/>
      <c r="EF55" s="145"/>
      <c r="EG55" s="145"/>
      <c r="EH55" s="145"/>
      <c r="EI55" s="145"/>
      <c r="EJ55" s="145"/>
      <c r="EK55" s="145"/>
      <c r="EL55" s="145"/>
      <c r="EM55" s="145"/>
      <c r="EN55" s="145"/>
      <c r="EO55" s="145"/>
      <c r="EP55" s="145"/>
      <c r="EQ55" s="145"/>
      <c r="ER55" s="145"/>
      <c r="ES55" s="145"/>
      <c r="ET55" s="145"/>
      <c r="EU55" s="145"/>
      <c r="EV55" s="145"/>
      <c r="EW55" s="145"/>
      <c r="EX55" s="145"/>
      <c r="EY55" s="145"/>
      <c r="EZ55" s="145"/>
      <c r="FA55" s="145"/>
      <c r="FB55" s="145"/>
      <c r="FC55" s="145"/>
      <c r="FD55" s="145"/>
      <c r="FE55" s="145"/>
      <c r="FF55" s="145"/>
      <c r="FG55" s="145"/>
      <c r="FH55" s="145"/>
      <c r="FI55" s="145"/>
      <c r="FJ55" s="145"/>
      <c r="FK55" s="145"/>
      <c r="FL55" s="145"/>
      <c r="FM55" s="145"/>
      <c r="FN55" s="145"/>
      <c r="FO55" s="145"/>
      <c r="FP55" s="145"/>
      <c r="FQ55" s="145"/>
      <c r="FR55" s="145"/>
      <c r="FS55" s="145"/>
      <c r="FT55" s="145"/>
      <c r="FU55" s="145"/>
      <c r="FV55" s="145"/>
      <c r="FW55" s="145"/>
      <c r="FX55" s="143"/>
      <c r="FY55" s="146">
        <f>_xlfn.XLOOKUP($E55,'Key assumptions'!$B$112:$B$120,'Key assumptions'!$C$112:$C$120,0)</f>
        <v>0</v>
      </c>
      <c r="FZ55" s="146" cm="1">
        <f t="array" ref="FZ55">IF($FY55=0,0,_xlfn.IFS($FY55='Key assumptions'!$C$120,_xlfn.XLOOKUP(LEFT(FZ$7,6),Inflation_Year,Inflation_NominaltoReal),TRUE,_xlfn.XLOOKUP($FY55,Inflation_Year,NominaltoReal)))</f>
        <v>0</v>
      </c>
      <c r="GA55" s="146" cm="1">
        <f t="array" ref="GA55">IF($FY55=0,0,_xlfn.IFS($FY55='Key assumptions'!$C$120,_xlfn.XLOOKUP(LEFT(GA$7,6),Inflation_Year,Inflation_NominaltoReal),TRUE,_xlfn.XLOOKUP($FY55,Inflation_Year,NominaltoReal)))</f>
        <v>0</v>
      </c>
      <c r="GB55" s="146" cm="1">
        <f t="array" ref="GB55">IF($FY55=0,0,_xlfn.IFS($FY55='Key assumptions'!$C$120,_xlfn.XLOOKUP(LEFT(GB$7,6),Inflation_Year,Inflation_NominaltoReal),TRUE,_xlfn.XLOOKUP($FY55,Inflation_Year,NominaltoReal)))</f>
        <v>0</v>
      </c>
      <c r="GC55" s="146" cm="1">
        <f t="array" ref="GC55">IF($FY55=0,0,_xlfn.IFS($FY55='Key assumptions'!$C$120,_xlfn.XLOOKUP(LEFT(GC$7,6),Inflation_Year,Inflation_NominaltoReal),TRUE,_xlfn.XLOOKUP($FY55,Inflation_Year,NominaltoReal)))</f>
        <v>0</v>
      </c>
      <c r="GD55" s="146" cm="1">
        <f t="array" ref="GD55">IF($FY55=0,0,_xlfn.IFS($FY55='Key assumptions'!$C$120,_xlfn.XLOOKUP(LEFT(GD$7,6),Inflation_Year,Inflation_NominaltoReal),TRUE,_xlfn.XLOOKUP($FY55,Inflation_Year,NominaltoReal)))</f>
        <v>0</v>
      </c>
      <c r="GE55" s="146" cm="1">
        <f t="array" ref="GE55">IF($FY55=0,0,_xlfn.IFS($FY55='Key assumptions'!$C$120,_xlfn.XLOOKUP(LEFT(GE$7,6),Inflation_Year,Inflation_NominaltoReal),TRUE,_xlfn.XLOOKUP($FY55,Inflation_Year,NominaltoReal)))</f>
        <v>0</v>
      </c>
      <c r="GF55" s="146" cm="1">
        <f t="array" ref="GF55">IF($FY55=0,0,_xlfn.IFS($FY55='Key assumptions'!$C$120,_xlfn.XLOOKUP(LEFT(GF$7,6),Inflation_Year,Inflation_NominaltoReal),TRUE,_xlfn.XLOOKUP($FY55,Inflation_Year,NominaltoReal)))</f>
        <v>0</v>
      </c>
      <c r="GG55" s="143"/>
      <c r="GH55" s="145" cm="1">
        <f t="array" ref="GH55">SUMPRODUCT(--($CR$7:$FW$7&gt;=GH$5),--($CR$7:$FW$7&lt;=GH$6),$CR55:$FW55)*FZ55</f>
        <v>0</v>
      </c>
      <c r="GI55" s="145" cm="1">
        <f t="array" ref="GI55">SUMPRODUCT(--($CR$7:$FW$7&gt;=GI$5),--($CR$7:$FW$7&lt;=GI$6),$CR55:$FW55)*GA55</f>
        <v>0</v>
      </c>
      <c r="GJ55" s="145" cm="1">
        <f t="array" ref="GJ55">SUMPRODUCT(--($CR$7:$FW$7&gt;=GJ$5),--($CR$7:$FW$7&lt;=GJ$6),$CR55:$FW55)*GB55</f>
        <v>0</v>
      </c>
      <c r="GK55" s="145" cm="1">
        <f t="array" ref="GK55">SUMPRODUCT(--($CR$7:$FW$7&gt;=GK$5),--($CR$7:$FW$7&lt;=GK$6),$CR55:$FW55)*GC55</f>
        <v>0</v>
      </c>
      <c r="GL55" s="145" cm="1">
        <f t="array" ref="GL55">SUMPRODUCT(--($CR$7:$FW$7&gt;=GL$5),--($CR$7:$FW$7&lt;=GL$6),$CR55:$FW55)*GD55</f>
        <v>0</v>
      </c>
      <c r="GM55" s="145" cm="1">
        <f t="array" ref="GM55">SUMPRODUCT(--($CR$7:$FW$7&gt;=GM$5),--($CR$7:$FW$7&lt;=GM$6),$CR55:$FW55)*GE55</f>
        <v>0</v>
      </c>
      <c r="GN55" s="145" cm="1">
        <f t="array" ref="GN55">SUMPRODUCT(--($CR$7:$FW$7&gt;=GN$5),--($CR$7:$FW$7&lt;=GN$6),$CR55:$FW55)*GF55</f>
        <v>0</v>
      </c>
      <c r="GO55" s="145">
        <f t="shared" si="0"/>
        <v>0</v>
      </c>
      <c r="GP55" s="87"/>
      <c r="GR55" s="145" cm="1">
        <f t="array" ref="GR55">SUMPRODUCT(--($CR$7:$FW$7&gt;=GR$5),--($CR$7:$FW$7&lt;=GR$6),$CR55:$FW55)</f>
        <v>0</v>
      </c>
    </row>
    <row r="56" spans="2:200" x14ac:dyDescent="0.2">
      <c r="B56" s="141"/>
      <c r="C56" s="141"/>
      <c r="D56" s="141"/>
      <c r="E56" s="141"/>
      <c r="F56" s="141"/>
      <c r="G56" s="141"/>
      <c r="H56" s="142"/>
      <c r="I56" s="126"/>
      <c r="J56" s="143"/>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3"/>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c r="EE56" s="145"/>
      <c r="EF56" s="145"/>
      <c r="EG56" s="145"/>
      <c r="EH56" s="145"/>
      <c r="EI56" s="145"/>
      <c r="EJ56" s="145"/>
      <c r="EK56" s="145"/>
      <c r="EL56" s="145"/>
      <c r="EM56" s="145"/>
      <c r="EN56" s="145"/>
      <c r="EO56" s="145"/>
      <c r="EP56" s="145"/>
      <c r="EQ56" s="145"/>
      <c r="ER56" s="145"/>
      <c r="ES56" s="145"/>
      <c r="ET56" s="145"/>
      <c r="EU56" s="145"/>
      <c r="EV56" s="145"/>
      <c r="EW56" s="145"/>
      <c r="EX56" s="145"/>
      <c r="EY56" s="145"/>
      <c r="EZ56" s="145"/>
      <c r="FA56" s="145"/>
      <c r="FB56" s="145"/>
      <c r="FC56" s="145"/>
      <c r="FD56" s="145"/>
      <c r="FE56" s="145"/>
      <c r="FF56" s="145"/>
      <c r="FG56" s="145"/>
      <c r="FH56" s="145"/>
      <c r="FI56" s="145"/>
      <c r="FJ56" s="145"/>
      <c r="FK56" s="145"/>
      <c r="FL56" s="145"/>
      <c r="FM56" s="145"/>
      <c r="FN56" s="145"/>
      <c r="FO56" s="145"/>
      <c r="FP56" s="145"/>
      <c r="FQ56" s="145"/>
      <c r="FR56" s="145"/>
      <c r="FS56" s="145"/>
      <c r="FT56" s="145"/>
      <c r="FU56" s="145"/>
      <c r="FV56" s="145"/>
      <c r="FW56" s="145"/>
      <c r="FX56" s="143"/>
      <c r="FY56" s="146">
        <f>_xlfn.XLOOKUP($E56,'Key assumptions'!$B$112:$B$120,'Key assumptions'!$C$112:$C$120,0)</f>
        <v>0</v>
      </c>
      <c r="FZ56" s="146" cm="1">
        <f t="array" ref="FZ56">IF($FY56=0,0,_xlfn.IFS($FY56='Key assumptions'!$C$120,_xlfn.XLOOKUP(LEFT(FZ$7,6),Inflation_Year,Inflation_NominaltoReal),TRUE,_xlfn.XLOOKUP($FY56,Inflation_Year,NominaltoReal)))</f>
        <v>0</v>
      </c>
      <c r="GA56" s="146" cm="1">
        <f t="array" ref="GA56">IF($FY56=0,0,_xlfn.IFS($FY56='Key assumptions'!$C$120,_xlfn.XLOOKUP(LEFT(GA$7,6),Inflation_Year,Inflation_NominaltoReal),TRUE,_xlfn.XLOOKUP($FY56,Inflation_Year,NominaltoReal)))</f>
        <v>0</v>
      </c>
      <c r="GB56" s="146" cm="1">
        <f t="array" ref="GB56">IF($FY56=0,0,_xlfn.IFS($FY56='Key assumptions'!$C$120,_xlfn.XLOOKUP(LEFT(GB$7,6),Inflation_Year,Inflation_NominaltoReal),TRUE,_xlfn.XLOOKUP($FY56,Inflation_Year,NominaltoReal)))</f>
        <v>0</v>
      </c>
      <c r="GC56" s="146" cm="1">
        <f t="array" ref="GC56">IF($FY56=0,0,_xlfn.IFS($FY56='Key assumptions'!$C$120,_xlfn.XLOOKUP(LEFT(GC$7,6),Inflation_Year,Inflation_NominaltoReal),TRUE,_xlfn.XLOOKUP($FY56,Inflation_Year,NominaltoReal)))</f>
        <v>0</v>
      </c>
      <c r="GD56" s="146" cm="1">
        <f t="array" ref="GD56">IF($FY56=0,0,_xlfn.IFS($FY56='Key assumptions'!$C$120,_xlfn.XLOOKUP(LEFT(GD$7,6),Inflation_Year,Inflation_NominaltoReal),TRUE,_xlfn.XLOOKUP($FY56,Inflation_Year,NominaltoReal)))</f>
        <v>0</v>
      </c>
      <c r="GE56" s="146" cm="1">
        <f t="array" ref="GE56">IF($FY56=0,0,_xlfn.IFS($FY56='Key assumptions'!$C$120,_xlfn.XLOOKUP(LEFT(GE$7,6),Inflation_Year,Inflation_NominaltoReal),TRUE,_xlfn.XLOOKUP($FY56,Inflation_Year,NominaltoReal)))</f>
        <v>0</v>
      </c>
      <c r="GF56" s="146" cm="1">
        <f t="array" ref="GF56">IF($FY56=0,0,_xlfn.IFS($FY56='Key assumptions'!$C$120,_xlfn.XLOOKUP(LEFT(GF$7,6),Inflation_Year,Inflation_NominaltoReal),TRUE,_xlfn.XLOOKUP($FY56,Inflation_Year,NominaltoReal)))</f>
        <v>0</v>
      </c>
      <c r="GG56" s="143"/>
      <c r="GH56" s="145" cm="1">
        <f t="array" ref="GH56">SUMPRODUCT(--($CR$7:$FW$7&gt;=GH$5),--($CR$7:$FW$7&lt;=GH$6),$CR56:$FW56)*FZ56</f>
        <v>0</v>
      </c>
      <c r="GI56" s="145" cm="1">
        <f t="array" ref="GI56">SUMPRODUCT(--($CR$7:$FW$7&gt;=GI$5),--($CR$7:$FW$7&lt;=GI$6),$CR56:$FW56)*GA56</f>
        <v>0</v>
      </c>
      <c r="GJ56" s="145" cm="1">
        <f t="array" ref="GJ56">SUMPRODUCT(--($CR$7:$FW$7&gt;=GJ$5),--($CR$7:$FW$7&lt;=GJ$6),$CR56:$FW56)*GB56</f>
        <v>0</v>
      </c>
      <c r="GK56" s="145" cm="1">
        <f t="array" ref="GK56">SUMPRODUCT(--($CR$7:$FW$7&gt;=GK$5),--($CR$7:$FW$7&lt;=GK$6),$CR56:$FW56)*GC56</f>
        <v>0</v>
      </c>
      <c r="GL56" s="145" cm="1">
        <f t="array" ref="GL56">SUMPRODUCT(--($CR$7:$FW$7&gt;=GL$5),--($CR$7:$FW$7&lt;=GL$6),$CR56:$FW56)*GD56</f>
        <v>0</v>
      </c>
      <c r="GM56" s="145" cm="1">
        <f t="array" ref="GM56">SUMPRODUCT(--($CR$7:$FW$7&gt;=GM$5),--($CR$7:$FW$7&lt;=GM$6),$CR56:$FW56)*GE56</f>
        <v>0</v>
      </c>
      <c r="GN56" s="145" cm="1">
        <f t="array" ref="GN56">SUMPRODUCT(--($CR$7:$FW$7&gt;=GN$5),--($CR$7:$FW$7&lt;=GN$6),$CR56:$FW56)*GF56</f>
        <v>0</v>
      </c>
      <c r="GO56" s="145">
        <f t="shared" si="0"/>
        <v>0</v>
      </c>
      <c r="GP56" s="87"/>
      <c r="GR56" s="145" cm="1">
        <f t="array" ref="GR56">SUMPRODUCT(--($CR$7:$FW$7&gt;=GR$5),--($CR$7:$FW$7&lt;=GR$6),$CR56:$FW56)</f>
        <v>0</v>
      </c>
    </row>
    <row r="57" spans="2:200" x14ac:dyDescent="0.2">
      <c r="B57" s="141"/>
      <c r="C57" s="141"/>
      <c r="D57" s="141"/>
      <c r="E57" s="141"/>
      <c r="F57" s="141"/>
      <c r="G57" s="141"/>
      <c r="H57" s="142"/>
      <c r="I57" s="126"/>
      <c r="J57" s="143"/>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3"/>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c r="EE57" s="145"/>
      <c r="EF57" s="145"/>
      <c r="EG57" s="145"/>
      <c r="EH57" s="145"/>
      <c r="EI57" s="145"/>
      <c r="EJ57" s="145"/>
      <c r="EK57" s="145"/>
      <c r="EL57" s="145"/>
      <c r="EM57" s="145"/>
      <c r="EN57" s="145"/>
      <c r="EO57" s="145"/>
      <c r="EP57" s="145"/>
      <c r="EQ57" s="145"/>
      <c r="ER57" s="145"/>
      <c r="ES57" s="145"/>
      <c r="ET57" s="145"/>
      <c r="EU57" s="145"/>
      <c r="EV57" s="145"/>
      <c r="EW57" s="145"/>
      <c r="EX57" s="145"/>
      <c r="EY57" s="145"/>
      <c r="EZ57" s="145"/>
      <c r="FA57" s="145"/>
      <c r="FB57" s="145"/>
      <c r="FC57" s="145"/>
      <c r="FD57" s="145"/>
      <c r="FE57" s="145"/>
      <c r="FF57" s="145"/>
      <c r="FG57" s="145"/>
      <c r="FH57" s="145"/>
      <c r="FI57" s="145"/>
      <c r="FJ57" s="145"/>
      <c r="FK57" s="145"/>
      <c r="FL57" s="145"/>
      <c r="FM57" s="145"/>
      <c r="FN57" s="145"/>
      <c r="FO57" s="145"/>
      <c r="FP57" s="145"/>
      <c r="FQ57" s="145"/>
      <c r="FR57" s="145"/>
      <c r="FS57" s="145"/>
      <c r="FT57" s="145"/>
      <c r="FU57" s="145"/>
      <c r="FV57" s="145"/>
      <c r="FW57" s="145"/>
      <c r="FX57" s="143"/>
      <c r="FY57" s="146">
        <f>_xlfn.XLOOKUP($E57,'Key assumptions'!$B$112:$B$120,'Key assumptions'!$C$112:$C$120,0)</f>
        <v>0</v>
      </c>
      <c r="FZ57" s="146" cm="1">
        <f t="array" ref="FZ57">IF($FY57=0,0,_xlfn.IFS($FY57='Key assumptions'!$C$120,_xlfn.XLOOKUP(LEFT(FZ$7,6),Inflation_Year,Inflation_NominaltoReal),TRUE,_xlfn.XLOOKUP($FY57,Inflation_Year,NominaltoReal)))</f>
        <v>0</v>
      </c>
      <c r="GA57" s="146" cm="1">
        <f t="array" ref="GA57">IF($FY57=0,0,_xlfn.IFS($FY57='Key assumptions'!$C$120,_xlfn.XLOOKUP(LEFT(GA$7,6),Inflation_Year,Inflation_NominaltoReal),TRUE,_xlfn.XLOOKUP($FY57,Inflation_Year,NominaltoReal)))</f>
        <v>0</v>
      </c>
      <c r="GB57" s="146" cm="1">
        <f t="array" ref="GB57">IF($FY57=0,0,_xlfn.IFS($FY57='Key assumptions'!$C$120,_xlfn.XLOOKUP(LEFT(GB$7,6),Inflation_Year,Inflation_NominaltoReal),TRUE,_xlfn.XLOOKUP($FY57,Inflation_Year,NominaltoReal)))</f>
        <v>0</v>
      </c>
      <c r="GC57" s="146" cm="1">
        <f t="array" ref="GC57">IF($FY57=0,0,_xlfn.IFS($FY57='Key assumptions'!$C$120,_xlfn.XLOOKUP(LEFT(GC$7,6),Inflation_Year,Inflation_NominaltoReal),TRUE,_xlfn.XLOOKUP($FY57,Inflation_Year,NominaltoReal)))</f>
        <v>0</v>
      </c>
      <c r="GD57" s="146" cm="1">
        <f t="array" ref="GD57">IF($FY57=0,0,_xlfn.IFS($FY57='Key assumptions'!$C$120,_xlfn.XLOOKUP(LEFT(GD$7,6),Inflation_Year,Inflation_NominaltoReal),TRUE,_xlfn.XLOOKUP($FY57,Inflation_Year,NominaltoReal)))</f>
        <v>0</v>
      </c>
      <c r="GE57" s="146" cm="1">
        <f t="array" ref="GE57">IF($FY57=0,0,_xlfn.IFS($FY57='Key assumptions'!$C$120,_xlfn.XLOOKUP(LEFT(GE$7,6),Inflation_Year,Inflation_NominaltoReal),TRUE,_xlfn.XLOOKUP($FY57,Inflation_Year,NominaltoReal)))</f>
        <v>0</v>
      </c>
      <c r="GF57" s="146" cm="1">
        <f t="array" ref="GF57">IF($FY57=0,0,_xlfn.IFS($FY57='Key assumptions'!$C$120,_xlfn.XLOOKUP(LEFT(GF$7,6),Inflation_Year,Inflation_NominaltoReal),TRUE,_xlfn.XLOOKUP($FY57,Inflation_Year,NominaltoReal)))</f>
        <v>0</v>
      </c>
      <c r="GG57" s="143"/>
      <c r="GH57" s="145" cm="1">
        <f t="array" ref="GH57">SUMPRODUCT(--($CR$7:$FW$7&gt;=GH$5),--($CR$7:$FW$7&lt;=GH$6),$CR57:$FW57)*FZ57</f>
        <v>0</v>
      </c>
      <c r="GI57" s="145" cm="1">
        <f t="array" ref="GI57">SUMPRODUCT(--($CR$7:$FW$7&gt;=GI$5),--($CR$7:$FW$7&lt;=GI$6),$CR57:$FW57)*GA57</f>
        <v>0</v>
      </c>
      <c r="GJ57" s="145" cm="1">
        <f t="array" ref="GJ57">SUMPRODUCT(--($CR$7:$FW$7&gt;=GJ$5),--($CR$7:$FW$7&lt;=GJ$6),$CR57:$FW57)*GB57</f>
        <v>0</v>
      </c>
      <c r="GK57" s="145" cm="1">
        <f t="array" ref="GK57">SUMPRODUCT(--($CR$7:$FW$7&gt;=GK$5),--($CR$7:$FW$7&lt;=GK$6),$CR57:$FW57)*GC57</f>
        <v>0</v>
      </c>
      <c r="GL57" s="145" cm="1">
        <f t="array" ref="GL57">SUMPRODUCT(--($CR$7:$FW$7&gt;=GL$5),--($CR$7:$FW$7&lt;=GL$6),$CR57:$FW57)*GD57</f>
        <v>0</v>
      </c>
      <c r="GM57" s="145" cm="1">
        <f t="array" ref="GM57">SUMPRODUCT(--($CR$7:$FW$7&gt;=GM$5),--($CR$7:$FW$7&lt;=GM$6),$CR57:$FW57)*GE57</f>
        <v>0</v>
      </c>
      <c r="GN57" s="145" cm="1">
        <f t="array" ref="GN57">SUMPRODUCT(--($CR$7:$FW$7&gt;=GN$5),--($CR$7:$FW$7&lt;=GN$6),$CR57:$FW57)*GF57</f>
        <v>0</v>
      </c>
      <c r="GO57" s="145">
        <f t="shared" si="0"/>
        <v>0</v>
      </c>
      <c r="GP57" s="87"/>
      <c r="GR57" s="145" cm="1">
        <f t="array" ref="GR57">SUMPRODUCT(--($CR$7:$FW$7&gt;=GR$5),--($CR$7:$FW$7&lt;=GR$6),$CR57:$FW57)</f>
        <v>0</v>
      </c>
    </row>
    <row r="58" spans="2:200" x14ac:dyDescent="0.2">
      <c r="B58" s="141"/>
      <c r="C58" s="141"/>
      <c r="D58" s="141"/>
      <c r="E58" s="141"/>
      <c r="F58" s="141"/>
      <c r="G58" s="141"/>
      <c r="H58" s="142"/>
      <c r="I58" s="126"/>
      <c r="J58" s="143"/>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3"/>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c r="EE58" s="145"/>
      <c r="EF58" s="145"/>
      <c r="EG58" s="145"/>
      <c r="EH58" s="145"/>
      <c r="EI58" s="145"/>
      <c r="EJ58" s="145"/>
      <c r="EK58" s="145"/>
      <c r="EL58" s="145"/>
      <c r="EM58" s="145"/>
      <c r="EN58" s="145"/>
      <c r="EO58" s="145"/>
      <c r="EP58" s="145"/>
      <c r="EQ58" s="145"/>
      <c r="ER58" s="145"/>
      <c r="ES58" s="145"/>
      <c r="ET58" s="145"/>
      <c r="EU58" s="145"/>
      <c r="EV58" s="145"/>
      <c r="EW58" s="145"/>
      <c r="EX58" s="145"/>
      <c r="EY58" s="145"/>
      <c r="EZ58" s="145"/>
      <c r="FA58" s="145"/>
      <c r="FB58" s="145"/>
      <c r="FC58" s="145"/>
      <c r="FD58" s="145"/>
      <c r="FE58" s="145"/>
      <c r="FF58" s="145"/>
      <c r="FG58" s="145"/>
      <c r="FH58" s="145"/>
      <c r="FI58" s="145"/>
      <c r="FJ58" s="145"/>
      <c r="FK58" s="145"/>
      <c r="FL58" s="145"/>
      <c r="FM58" s="145"/>
      <c r="FN58" s="145"/>
      <c r="FO58" s="145"/>
      <c r="FP58" s="145"/>
      <c r="FQ58" s="145"/>
      <c r="FR58" s="145"/>
      <c r="FS58" s="145"/>
      <c r="FT58" s="145"/>
      <c r="FU58" s="145"/>
      <c r="FV58" s="145"/>
      <c r="FW58" s="145"/>
      <c r="FX58" s="143"/>
      <c r="FY58" s="146">
        <f>_xlfn.XLOOKUP($E58,'Key assumptions'!$B$112:$B$120,'Key assumptions'!$C$112:$C$120,0)</f>
        <v>0</v>
      </c>
      <c r="FZ58" s="146" cm="1">
        <f t="array" ref="FZ58">IF($FY58=0,0,_xlfn.IFS($FY58='Key assumptions'!$C$120,_xlfn.XLOOKUP(LEFT(FZ$7,6),Inflation_Year,Inflation_NominaltoReal),TRUE,_xlfn.XLOOKUP($FY58,Inflation_Year,NominaltoReal)))</f>
        <v>0</v>
      </c>
      <c r="GA58" s="146" cm="1">
        <f t="array" ref="GA58">IF($FY58=0,0,_xlfn.IFS($FY58='Key assumptions'!$C$120,_xlfn.XLOOKUP(LEFT(GA$7,6),Inflation_Year,Inflation_NominaltoReal),TRUE,_xlfn.XLOOKUP($FY58,Inflation_Year,NominaltoReal)))</f>
        <v>0</v>
      </c>
      <c r="GB58" s="146" cm="1">
        <f t="array" ref="GB58">IF($FY58=0,0,_xlfn.IFS($FY58='Key assumptions'!$C$120,_xlfn.XLOOKUP(LEFT(GB$7,6),Inflation_Year,Inflation_NominaltoReal),TRUE,_xlfn.XLOOKUP($FY58,Inflation_Year,NominaltoReal)))</f>
        <v>0</v>
      </c>
      <c r="GC58" s="146" cm="1">
        <f t="array" ref="GC58">IF($FY58=0,0,_xlfn.IFS($FY58='Key assumptions'!$C$120,_xlfn.XLOOKUP(LEFT(GC$7,6),Inflation_Year,Inflation_NominaltoReal),TRUE,_xlfn.XLOOKUP($FY58,Inflation_Year,NominaltoReal)))</f>
        <v>0</v>
      </c>
      <c r="GD58" s="146" cm="1">
        <f t="array" ref="GD58">IF($FY58=0,0,_xlfn.IFS($FY58='Key assumptions'!$C$120,_xlfn.XLOOKUP(LEFT(GD$7,6),Inflation_Year,Inflation_NominaltoReal),TRUE,_xlfn.XLOOKUP($FY58,Inflation_Year,NominaltoReal)))</f>
        <v>0</v>
      </c>
      <c r="GE58" s="146" cm="1">
        <f t="array" ref="GE58">IF($FY58=0,0,_xlfn.IFS($FY58='Key assumptions'!$C$120,_xlfn.XLOOKUP(LEFT(GE$7,6),Inflation_Year,Inflation_NominaltoReal),TRUE,_xlfn.XLOOKUP($FY58,Inflation_Year,NominaltoReal)))</f>
        <v>0</v>
      </c>
      <c r="GF58" s="146" cm="1">
        <f t="array" ref="GF58">IF($FY58=0,0,_xlfn.IFS($FY58='Key assumptions'!$C$120,_xlfn.XLOOKUP(LEFT(GF$7,6),Inflation_Year,Inflation_NominaltoReal),TRUE,_xlfn.XLOOKUP($FY58,Inflation_Year,NominaltoReal)))</f>
        <v>0</v>
      </c>
      <c r="GG58" s="143"/>
      <c r="GH58" s="145" cm="1">
        <f t="array" ref="GH58">SUMPRODUCT(--($CR$7:$FW$7&gt;=GH$5),--($CR$7:$FW$7&lt;=GH$6),$CR58:$FW58)*FZ58</f>
        <v>0</v>
      </c>
      <c r="GI58" s="145" cm="1">
        <f t="array" ref="GI58">SUMPRODUCT(--($CR$7:$FW$7&gt;=GI$5),--($CR$7:$FW$7&lt;=GI$6),$CR58:$FW58)*GA58</f>
        <v>0</v>
      </c>
      <c r="GJ58" s="145" cm="1">
        <f t="array" ref="GJ58">SUMPRODUCT(--($CR$7:$FW$7&gt;=GJ$5),--($CR$7:$FW$7&lt;=GJ$6),$CR58:$FW58)*GB58</f>
        <v>0</v>
      </c>
      <c r="GK58" s="145" cm="1">
        <f t="array" ref="GK58">SUMPRODUCT(--($CR$7:$FW$7&gt;=GK$5),--($CR$7:$FW$7&lt;=GK$6),$CR58:$FW58)*GC58</f>
        <v>0</v>
      </c>
      <c r="GL58" s="145" cm="1">
        <f t="array" ref="GL58">SUMPRODUCT(--($CR$7:$FW$7&gt;=GL$5),--($CR$7:$FW$7&lt;=GL$6),$CR58:$FW58)*GD58</f>
        <v>0</v>
      </c>
      <c r="GM58" s="145" cm="1">
        <f t="array" ref="GM58">SUMPRODUCT(--($CR$7:$FW$7&gt;=GM$5),--($CR$7:$FW$7&lt;=GM$6),$CR58:$FW58)*GE58</f>
        <v>0</v>
      </c>
      <c r="GN58" s="145" cm="1">
        <f t="array" ref="GN58">SUMPRODUCT(--($CR$7:$FW$7&gt;=GN$5),--($CR$7:$FW$7&lt;=GN$6),$CR58:$FW58)*GF58</f>
        <v>0</v>
      </c>
      <c r="GO58" s="145">
        <f t="shared" si="0"/>
        <v>0</v>
      </c>
      <c r="GP58" s="87"/>
      <c r="GR58" s="145" cm="1">
        <f t="array" ref="GR58">SUMPRODUCT(--($CR$7:$FW$7&gt;=GR$5),--($CR$7:$FW$7&lt;=GR$6),$CR58:$FW58)</f>
        <v>0</v>
      </c>
    </row>
    <row r="59" spans="2:200" x14ac:dyDescent="0.2">
      <c r="B59" s="141"/>
      <c r="C59" s="141"/>
      <c r="D59" s="141"/>
      <c r="E59" s="141"/>
      <c r="F59" s="141"/>
      <c r="G59" s="141"/>
      <c r="H59" s="142"/>
      <c r="I59" s="126"/>
      <c r="J59" s="143"/>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3"/>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3"/>
      <c r="FY59" s="146">
        <f>_xlfn.XLOOKUP($E59,'Key assumptions'!$B$112:$B$120,'Key assumptions'!$C$112:$C$120,0)</f>
        <v>0</v>
      </c>
      <c r="FZ59" s="146" cm="1">
        <f t="array" ref="FZ59">IF($FY59=0,0,_xlfn.IFS($FY59='Key assumptions'!$C$120,_xlfn.XLOOKUP(LEFT(FZ$7,6),Inflation_Year,Inflation_NominaltoReal),TRUE,_xlfn.XLOOKUP($FY59,Inflation_Year,NominaltoReal)))</f>
        <v>0</v>
      </c>
      <c r="GA59" s="146" cm="1">
        <f t="array" ref="GA59">IF($FY59=0,0,_xlfn.IFS($FY59='Key assumptions'!$C$120,_xlfn.XLOOKUP(LEFT(GA$7,6),Inflation_Year,Inflation_NominaltoReal),TRUE,_xlfn.XLOOKUP($FY59,Inflation_Year,NominaltoReal)))</f>
        <v>0</v>
      </c>
      <c r="GB59" s="146" cm="1">
        <f t="array" ref="GB59">IF($FY59=0,0,_xlfn.IFS($FY59='Key assumptions'!$C$120,_xlfn.XLOOKUP(LEFT(GB$7,6),Inflation_Year,Inflation_NominaltoReal),TRUE,_xlfn.XLOOKUP($FY59,Inflation_Year,NominaltoReal)))</f>
        <v>0</v>
      </c>
      <c r="GC59" s="146" cm="1">
        <f t="array" ref="GC59">IF($FY59=0,0,_xlfn.IFS($FY59='Key assumptions'!$C$120,_xlfn.XLOOKUP(LEFT(GC$7,6),Inflation_Year,Inflation_NominaltoReal),TRUE,_xlfn.XLOOKUP($FY59,Inflation_Year,NominaltoReal)))</f>
        <v>0</v>
      </c>
      <c r="GD59" s="146" cm="1">
        <f t="array" ref="GD59">IF($FY59=0,0,_xlfn.IFS($FY59='Key assumptions'!$C$120,_xlfn.XLOOKUP(LEFT(GD$7,6),Inflation_Year,Inflation_NominaltoReal),TRUE,_xlfn.XLOOKUP($FY59,Inflation_Year,NominaltoReal)))</f>
        <v>0</v>
      </c>
      <c r="GE59" s="146" cm="1">
        <f t="array" ref="GE59">IF($FY59=0,0,_xlfn.IFS($FY59='Key assumptions'!$C$120,_xlfn.XLOOKUP(LEFT(GE$7,6),Inflation_Year,Inflation_NominaltoReal),TRUE,_xlfn.XLOOKUP($FY59,Inflation_Year,NominaltoReal)))</f>
        <v>0</v>
      </c>
      <c r="GF59" s="146" cm="1">
        <f t="array" ref="GF59">IF($FY59=0,0,_xlfn.IFS($FY59='Key assumptions'!$C$120,_xlfn.XLOOKUP(LEFT(GF$7,6),Inflation_Year,Inflation_NominaltoReal),TRUE,_xlfn.XLOOKUP($FY59,Inflation_Year,NominaltoReal)))</f>
        <v>0</v>
      </c>
      <c r="GG59" s="143"/>
      <c r="GH59" s="145" cm="1">
        <f t="array" ref="GH59">SUMPRODUCT(--($CR$7:$FW$7&gt;=GH$5),--($CR$7:$FW$7&lt;=GH$6),$CR59:$FW59)*FZ59</f>
        <v>0</v>
      </c>
      <c r="GI59" s="145" cm="1">
        <f t="array" ref="GI59">SUMPRODUCT(--($CR$7:$FW$7&gt;=GI$5),--($CR$7:$FW$7&lt;=GI$6),$CR59:$FW59)*GA59</f>
        <v>0</v>
      </c>
      <c r="GJ59" s="145" cm="1">
        <f t="array" ref="GJ59">SUMPRODUCT(--($CR$7:$FW$7&gt;=GJ$5),--($CR$7:$FW$7&lt;=GJ$6),$CR59:$FW59)*GB59</f>
        <v>0</v>
      </c>
      <c r="GK59" s="145" cm="1">
        <f t="array" ref="GK59">SUMPRODUCT(--($CR$7:$FW$7&gt;=GK$5),--($CR$7:$FW$7&lt;=GK$6),$CR59:$FW59)*GC59</f>
        <v>0</v>
      </c>
      <c r="GL59" s="145" cm="1">
        <f t="array" ref="GL59">SUMPRODUCT(--($CR$7:$FW$7&gt;=GL$5),--($CR$7:$FW$7&lt;=GL$6),$CR59:$FW59)*GD59</f>
        <v>0</v>
      </c>
      <c r="GM59" s="145" cm="1">
        <f t="array" ref="GM59">SUMPRODUCT(--($CR$7:$FW$7&gt;=GM$5),--($CR$7:$FW$7&lt;=GM$6),$CR59:$FW59)*GE59</f>
        <v>0</v>
      </c>
      <c r="GN59" s="145" cm="1">
        <f t="array" ref="GN59">SUMPRODUCT(--($CR$7:$FW$7&gt;=GN$5),--($CR$7:$FW$7&lt;=GN$6),$CR59:$FW59)*GF59</f>
        <v>0</v>
      </c>
      <c r="GO59" s="145">
        <f t="shared" si="0"/>
        <v>0</v>
      </c>
      <c r="GP59" s="87"/>
      <c r="GR59" s="145" cm="1">
        <f t="array" ref="GR59">SUMPRODUCT(--($CR$7:$FW$7&gt;=GR$5),--($CR$7:$FW$7&lt;=GR$6),$CR59:$FW59)</f>
        <v>0</v>
      </c>
    </row>
    <row r="60" spans="2:200" x14ac:dyDescent="0.2">
      <c r="B60" s="141"/>
      <c r="C60" s="141"/>
      <c r="D60" s="141"/>
      <c r="E60" s="141"/>
      <c r="F60" s="141"/>
      <c r="G60" s="141"/>
      <c r="H60" s="142"/>
      <c r="I60" s="126"/>
      <c r="J60" s="143"/>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3"/>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3"/>
      <c r="FY60" s="146">
        <f>_xlfn.XLOOKUP($E60,'Key assumptions'!$B$112:$B$120,'Key assumptions'!$C$112:$C$120,0)</f>
        <v>0</v>
      </c>
      <c r="FZ60" s="146" cm="1">
        <f t="array" ref="FZ60">IF($FY60=0,0,_xlfn.IFS($FY60='Key assumptions'!$C$120,_xlfn.XLOOKUP(LEFT(FZ$7,6),Inflation_Year,Inflation_NominaltoReal),TRUE,_xlfn.XLOOKUP($FY60,Inflation_Year,NominaltoReal)))</f>
        <v>0</v>
      </c>
      <c r="GA60" s="146" cm="1">
        <f t="array" ref="GA60">IF($FY60=0,0,_xlfn.IFS($FY60='Key assumptions'!$C$120,_xlfn.XLOOKUP(LEFT(GA$7,6),Inflation_Year,Inflation_NominaltoReal),TRUE,_xlfn.XLOOKUP($FY60,Inflation_Year,NominaltoReal)))</f>
        <v>0</v>
      </c>
      <c r="GB60" s="146" cm="1">
        <f t="array" ref="GB60">IF($FY60=0,0,_xlfn.IFS($FY60='Key assumptions'!$C$120,_xlfn.XLOOKUP(LEFT(GB$7,6),Inflation_Year,Inflation_NominaltoReal),TRUE,_xlfn.XLOOKUP($FY60,Inflation_Year,NominaltoReal)))</f>
        <v>0</v>
      </c>
      <c r="GC60" s="146" cm="1">
        <f t="array" ref="GC60">IF($FY60=0,0,_xlfn.IFS($FY60='Key assumptions'!$C$120,_xlfn.XLOOKUP(LEFT(GC$7,6),Inflation_Year,Inflation_NominaltoReal),TRUE,_xlfn.XLOOKUP($FY60,Inflation_Year,NominaltoReal)))</f>
        <v>0</v>
      </c>
      <c r="GD60" s="146" cm="1">
        <f t="array" ref="GD60">IF($FY60=0,0,_xlfn.IFS($FY60='Key assumptions'!$C$120,_xlfn.XLOOKUP(LEFT(GD$7,6),Inflation_Year,Inflation_NominaltoReal),TRUE,_xlfn.XLOOKUP($FY60,Inflation_Year,NominaltoReal)))</f>
        <v>0</v>
      </c>
      <c r="GE60" s="146" cm="1">
        <f t="array" ref="GE60">IF($FY60=0,0,_xlfn.IFS($FY60='Key assumptions'!$C$120,_xlfn.XLOOKUP(LEFT(GE$7,6),Inflation_Year,Inflation_NominaltoReal),TRUE,_xlfn.XLOOKUP($FY60,Inflation_Year,NominaltoReal)))</f>
        <v>0</v>
      </c>
      <c r="GF60" s="146" cm="1">
        <f t="array" ref="GF60">IF($FY60=0,0,_xlfn.IFS($FY60='Key assumptions'!$C$120,_xlfn.XLOOKUP(LEFT(GF$7,6),Inflation_Year,Inflation_NominaltoReal),TRUE,_xlfn.XLOOKUP($FY60,Inflation_Year,NominaltoReal)))</f>
        <v>0</v>
      </c>
      <c r="GG60" s="143"/>
      <c r="GH60" s="145" cm="1">
        <f t="array" ref="GH60">SUMPRODUCT(--($CR$7:$FW$7&gt;=GH$5),--($CR$7:$FW$7&lt;=GH$6),$CR60:$FW60)*FZ60</f>
        <v>0</v>
      </c>
      <c r="GI60" s="145" cm="1">
        <f t="array" ref="GI60">SUMPRODUCT(--($CR$7:$FW$7&gt;=GI$5),--($CR$7:$FW$7&lt;=GI$6),$CR60:$FW60)*GA60</f>
        <v>0</v>
      </c>
      <c r="GJ60" s="145" cm="1">
        <f t="array" ref="GJ60">SUMPRODUCT(--($CR$7:$FW$7&gt;=GJ$5),--($CR$7:$FW$7&lt;=GJ$6),$CR60:$FW60)*GB60</f>
        <v>0</v>
      </c>
      <c r="GK60" s="145" cm="1">
        <f t="array" ref="GK60">SUMPRODUCT(--($CR$7:$FW$7&gt;=GK$5),--($CR$7:$FW$7&lt;=GK$6),$CR60:$FW60)*GC60</f>
        <v>0</v>
      </c>
      <c r="GL60" s="145" cm="1">
        <f t="array" ref="GL60">SUMPRODUCT(--($CR$7:$FW$7&gt;=GL$5),--($CR$7:$FW$7&lt;=GL$6),$CR60:$FW60)*GD60</f>
        <v>0</v>
      </c>
      <c r="GM60" s="145" cm="1">
        <f t="array" ref="GM60">SUMPRODUCT(--($CR$7:$FW$7&gt;=GM$5),--($CR$7:$FW$7&lt;=GM$6),$CR60:$FW60)*GE60</f>
        <v>0</v>
      </c>
      <c r="GN60" s="145" cm="1">
        <f t="array" ref="GN60">SUMPRODUCT(--($CR$7:$FW$7&gt;=GN$5),--($CR$7:$FW$7&lt;=GN$6),$CR60:$FW60)*GF60</f>
        <v>0</v>
      </c>
      <c r="GO60" s="145">
        <f t="shared" si="0"/>
        <v>0</v>
      </c>
      <c r="GP60" s="87"/>
      <c r="GR60" s="145" cm="1">
        <f t="array" ref="GR60">SUMPRODUCT(--($CR$7:$FW$7&gt;=GR$5),--($CR$7:$FW$7&lt;=GR$6),$CR60:$FW60)</f>
        <v>0</v>
      </c>
    </row>
    <row r="61" spans="2:200" x14ac:dyDescent="0.2">
      <c r="B61" s="141"/>
      <c r="C61" s="141"/>
      <c r="D61" s="141"/>
      <c r="E61" s="141"/>
      <c r="F61" s="141"/>
      <c r="G61" s="141"/>
      <c r="H61" s="142"/>
      <c r="I61" s="126"/>
      <c r="J61" s="143"/>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3"/>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3"/>
      <c r="FY61" s="146">
        <f>_xlfn.XLOOKUP($E61,'Key assumptions'!$B$112:$B$120,'Key assumptions'!$C$112:$C$120,0)</f>
        <v>0</v>
      </c>
      <c r="FZ61" s="146" cm="1">
        <f t="array" ref="FZ61">IF($FY61=0,0,_xlfn.IFS($FY61='Key assumptions'!$C$120,_xlfn.XLOOKUP(LEFT(FZ$7,6),Inflation_Year,Inflation_NominaltoReal),TRUE,_xlfn.XLOOKUP($FY61,Inflation_Year,NominaltoReal)))</f>
        <v>0</v>
      </c>
      <c r="GA61" s="146" cm="1">
        <f t="array" ref="GA61">IF($FY61=0,0,_xlfn.IFS($FY61='Key assumptions'!$C$120,_xlfn.XLOOKUP(LEFT(GA$7,6),Inflation_Year,Inflation_NominaltoReal),TRUE,_xlfn.XLOOKUP($FY61,Inflation_Year,NominaltoReal)))</f>
        <v>0</v>
      </c>
      <c r="GB61" s="146" cm="1">
        <f t="array" ref="GB61">IF($FY61=0,0,_xlfn.IFS($FY61='Key assumptions'!$C$120,_xlfn.XLOOKUP(LEFT(GB$7,6),Inflation_Year,Inflation_NominaltoReal),TRUE,_xlfn.XLOOKUP($FY61,Inflation_Year,NominaltoReal)))</f>
        <v>0</v>
      </c>
      <c r="GC61" s="146" cm="1">
        <f t="array" ref="GC61">IF($FY61=0,0,_xlfn.IFS($FY61='Key assumptions'!$C$120,_xlfn.XLOOKUP(LEFT(GC$7,6),Inflation_Year,Inflation_NominaltoReal),TRUE,_xlfn.XLOOKUP($FY61,Inflation_Year,NominaltoReal)))</f>
        <v>0</v>
      </c>
      <c r="GD61" s="146" cm="1">
        <f t="array" ref="GD61">IF($FY61=0,0,_xlfn.IFS($FY61='Key assumptions'!$C$120,_xlfn.XLOOKUP(LEFT(GD$7,6),Inflation_Year,Inflation_NominaltoReal),TRUE,_xlfn.XLOOKUP($FY61,Inflation_Year,NominaltoReal)))</f>
        <v>0</v>
      </c>
      <c r="GE61" s="146" cm="1">
        <f t="array" ref="GE61">IF($FY61=0,0,_xlfn.IFS($FY61='Key assumptions'!$C$120,_xlfn.XLOOKUP(LEFT(GE$7,6),Inflation_Year,Inflation_NominaltoReal),TRUE,_xlfn.XLOOKUP($FY61,Inflation_Year,NominaltoReal)))</f>
        <v>0</v>
      </c>
      <c r="GF61" s="146" cm="1">
        <f t="array" ref="GF61">IF($FY61=0,0,_xlfn.IFS($FY61='Key assumptions'!$C$120,_xlfn.XLOOKUP(LEFT(GF$7,6),Inflation_Year,Inflation_NominaltoReal),TRUE,_xlfn.XLOOKUP($FY61,Inflation_Year,NominaltoReal)))</f>
        <v>0</v>
      </c>
      <c r="GG61" s="143"/>
      <c r="GH61" s="145" cm="1">
        <f t="array" ref="GH61">SUMPRODUCT(--($CR$7:$FW$7&gt;=GH$5),--($CR$7:$FW$7&lt;=GH$6),$CR61:$FW61)*FZ61</f>
        <v>0</v>
      </c>
      <c r="GI61" s="145" cm="1">
        <f t="array" ref="GI61">SUMPRODUCT(--($CR$7:$FW$7&gt;=GI$5),--($CR$7:$FW$7&lt;=GI$6),$CR61:$FW61)*GA61</f>
        <v>0</v>
      </c>
      <c r="GJ61" s="145" cm="1">
        <f t="array" ref="GJ61">SUMPRODUCT(--($CR$7:$FW$7&gt;=GJ$5),--($CR$7:$FW$7&lt;=GJ$6),$CR61:$FW61)*GB61</f>
        <v>0</v>
      </c>
      <c r="GK61" s="145" cm="1">
        <f t="array" ref="GK61">SUMPRODUCT(--($CR$7:$FW$7&gt;=GK$5),--($CR$7:$FW$7&lt;=GK$6),$CR61:$FW61)*GC61</f>
        <v>0</v>
      </c>
      <c r="GL61" s="145" cm="1">
        <f t="array" ref="GL61">SUMPRODUCT(--($CR$7:$FW$7&gt;=GL$5),--($CR$7:$FW$7&lt;=GL$6),$CR61:$FW61)*GD61</f>
        <v>0</v>
      </c>
      <c r="GM61" s="145" cm="1">
        <f t="array" ref="GM61">SUMPRODUCT(--($CR$7:$FW$7&gt;=GM$5),--($CR$7:$FW$7&lt;=GM$6),$CR61:$FW61)*GE61</f>
        <v>0</v>
      </c>
      <c r="GN61" s="145" cm="1">
        <f t="array" ref="GN61">SUMPRODUCT(--($CR$7:$FW$7&gt;=GN$5),--($CR$7:$FW$7&lt;=GN$6),$CR61:$FW61)*GF61</f>
        <v>0</v>
      </c>
      <c r="GO61" s="145">
        <f t="shared" si="0"/>
        <v>0</v>
      </c>
      <c r="GP61" s="87"/>
      <c r="GR61" s="145" cm="1">
        <f t="array" ref="GR61">SUMPRODUCT(--($CR$7:$FW$7&gt;=GR$5),--($CR$7:$FW$7&lt;=GR$6),$CR61:$FW61)</f>
        <v>0</v>
      </c>
    </row>
    <row r="62" spans="2:200" x14ac:dyDescent="0.2">
      <c r="B62" s="141"/>
      <c r="C62" s="141"/>
      <c r="D62" s="141"/>
      <c r="E62" s="141"/>
      <c r="F62" s="141"/>
      <c r="G62" s="141"/>
      <c r="H62" s="142"/>
      <c r="I62" s="126"/>
      <c r="J62" s="143"/>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3"/>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3"/>
      <c r="FY62" s="146">
        <f>_xlfn.XLOOKUP($E62,'Key assumptions'!$B$112:$B$120,'Key assumptions'!$C$112:$C$120,0)</f>
        <v>0</v>
      </c>
      <c r="FZ62" s="146" cm="1">
        <f t="array" ref="FZ62">IF($FY62=0,0,_xlfn.IFS($FY62='Key assumptions'!$C$120,_xlfn.XLOOKUP(LEFT(FZ$7,6),Inflation_Year,Inflation_NominaltoReal),TRUE,_xlfn.XLOOKUP($FY62,Inflation_Year,NominaltoReal)))</f>
        <v>0</v>
      </c>
      <c r="GA62" s="146" cm="1">
        <f t="array" ref="GA62">IF($FY62=0,0,_xlfn.IFS($FY62='Key assumptions'!$C$120,_xlfn.XLOOKUP(LEFT(GA$7,6),Inflation_Year,Inflation_NominaltoReal),TRUE,_xlfn.XLOOKUP($FY62,Inflation_Year,NominaltoReal)))</f>
        <v>0</v>
      </c>
      <c r="GB62" s="146" cm="1">
        <f t="array" ref="GB62">IF($FY62=0,0,_xlfn.IFS($FY62='Key assumptions'!$C$120,_xlfn.XLOOKUP(LEFT(GB$7,6),Inflation_Year,Inflation_NominaltoReal),TRUE,_xlfn.XLOOKUP($FY62,Inflation_Year,NominaltoReal)))</f>
        <v>0</v>
      </c>
      <c r="GC62" s="146" cm="1">
        <f t="array" ref="GC62">IF($FY62=0,0,_xlfn.IFS($FY62='Key assumptions'!$C$120,_xlfn.XLOOKUP(LEFT(GC$7,6),Inflation_Year,Inflation_NominaltoReal),TRUE,_xlfn.XLOOKUP($FY62,Inflation_Year,NominaltoReal)))</f>
        <v>0</v>
      </c>
      <c r="GD62" s="146" cm="1">
        <f t="array" ref="GD62">IF($FY62=0,0,_xlfn.IFS($FY62='Key assumptions'!$C$120,_xlfn.XLOOKUP(LEFT(GD$7,6),Inflation_Year,Inflation_NominaltoReal),TRUE,_xlfn.XLOOKUP($FY62,Inflation_Year,NominaltoReal)))</f>
        <v>0</v>
      </c>
      <c r="GE62" s="146" cm="1">
        <f t="array" ref="GE62">IF($FY62=0,0,_xlfn.IFS($FY62='Key assumptions'!$C$120,_xlfn.XLOOKUP(LEFT(GE$7,6),Inflation_Year,Inflation_NominaltoReal),TRUE,_xlfn.XLOOKUP($FY62,Inflation_Year,NominaltoReal)))</f>
        <v>0</v>
      </c>
      <c r="GF62" s="146" cm="1">
        <f t="array" ref="GF62">IF($FY62=0,0,_xlfn.IFS($FY62='Key assumptions'!$C$120,_xlfn.XLOOKUP(LEFT(GF$7,6),Inflation_Year,Inflation_NominaltoReal),TRUE,_xlfn.XLOOKUP($FY62,Inflation_Year,NominaltoReal)))</f>
        <v>0</v>
      </c>
      <c r="GG62" s="143"/>
      <c r="GH62" s="145" cm="1">
        <f t="array" ref="GH62">SUMPRODUCT(--($CR$7:$FW$7&gt;=GH$5),--($CR$7:$FW$7&lt;=GH$6),$CR62:$FW62)*FZ62</f>
        <v>0</v>
      </c>
      <c r="GI62" s="145" cm="1">
        <f t="array" ref="GI62">SUMPRODUCT(--($CR$7:$FW$7&gt;=GI$5),--($CR$7:$FW$7&lt;=GI$6),$CR62:$FW62)*GA62</f>
        <v>0</v>
      </c>
      <c r="GJ62" s="145" cm="1">
        <f t="array" ref="GJ62">SUMPRODUCT(--($CR$7:$FW$7&gt;=GJ$5),--($CR$7:$FW$7&lt;=GJ$6),$CR62:$FW62)*GB62</f>
        <v>0</v>
      </c>
      <c r="GK62" s="145" cm="1">
        <f t="array" ref="GK62">SUMPRODUCT(--($CR$7:$FW$7&gt;=GK$5),--($CR$7:$FW$7&lt;=GK$6),$CR62:$FW62)*GC62</f>
        <v>0</v>
      </c>
      <c r="GL62" s="145" cm="1">
        <f t="array" ref="GL62">SUMPRODUCT(--($CR$7:$FW$7&gt;=GL$5),--($CR$7:$FW$7&lt;=GL$6),$CR62:$FW62)*GD62</f>
        <v>0</v>
      </c>
      <c r="GM62" s="145" cm="1">
        <f t="array" ref="GM62">SUMPRODUCT(--($CR$7:$FW$7&gt;=GM$5),--($CR$7:$FW$7&lt;=GM$6),$CR62:$FW62)*GE62</f>
        <v>0</v>
      </c>
      <c r="GN62" s="145" cm="1">
        <f t="array" ref="GN62">SUMPRODUCT(--($CR$7:$FW$7&gt;=GN$5),--($CR$7:$FW$7&lt;=GN$6),$CR62:$FW62)*GF62</f>
        <v>0</v>
      </c>
      <c r="GO62" s="145">
        <f t="shared" si="0"/>
        <v>0</v>
      </c>
      <c r="GP62" s="87"/>
      <c r="GR62" s="145" cm="1">
        <f t="array" ref="GR62">SUMPRODUCT(--($CR$7:$FW$7&gt;=GR$5),--($CR$7:$FW$7&lt;=GR$6),$CR62:$FW62)</f>
        <v>0</v>
      </c>
    </row>
    <row r="63" spans="2:200" x14ac:dyDescent="0.2">
      <c r="B63" s="141"/>
      <c r="C63" s="141"/>
      <c r="D63" s="141"/>
      <c r="E63" s="141"/>
      <c r="F63" s="141"/>
      <c r="G63" s="141"/>
      <c r="H63" s="142"/>
      <c r="I63" s="126"/>
      <c r="J63" s="143"/>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3"/>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3"/>
      <c r="FY63" s="146">
        <f>_xlfn.XLOOKUP($E63,'Key assumptions'!$B$112:$B$120,'Key assumptions'!$C$112:$C$120,0)</f>
        <v>0</v>
      </c>
      <c r="FZ63" s="146" cm="1">
        <f t="array" ref="FZ63">IF($FY63=0,0,_xlfn.IFS($FY63='Key assumptions'!$C$120,_xlfn.XLOOKUP(LEFT(FZ$7,6),Inflation_Year,Inflation_NominaltoReal),TRUE,_xlfn.XLOOKUP($FY63,Inflation_Year,NominaltoReal)))</f>
        <v>0</v>
      </c>
      <c r="GA63" s="146" cm="1">
        <f t="array" ref="GA63">IF($FY63=0,0,_xlfn.IFS($FY63='Key assumptions'!$C$120,_xlfn.XLOOKUP(LEFT(GA$7,6),Inflation_Year,Inflation_NominaltoReal),TRUE,_xlfn.XLOOKUP($FY63,Inflation_Year,NominaltoReal)))</f>
        <v>0</v>
      </c>
      <c r="GB63" s="146" cm="1">
        <f t="array" ref="GB63">IF($FY63=0,0,_xlfn.IFS($FY63='Key assumptions'!$C$120,_xlfn.XLOOKUP(LEFT(GB$7,6),Inflation_Year,Inflation_NominaltoReal),TRUE,_xlfn.XLOOKUP($FY63,Inflation_Year,NominaltoReal)))</f>
        <v>0</v>
      </c>
      <c r="GC63" s="146" cm="1">
        <f t="array" ref="GC63">IF($FY63=0,0,_xlfn.IFS($FY63='Key assumptions'!$C$120,_xlfn.XLOOKUP(LEFT(GC$7,6),Inflation_Year,Inflation_NominaltoReal),TRUE,_xlfn.XLOOKUP($FY63,Inflation_Year,NominaltoReal)))</f>
        <v>0</v>
      </c>
      <c r="GD63" s="146" cm="1">
        <f t="array" ref="GD63">IF($FY63=0,0,_xlfn.IFS($FY63='Key assumptions'!$C$120,_xlfn.XLOOKUP(LEFT(GD$7,6),Inflation_Year,Inflation_NominaltoReal),TRUE,_xlfn.XLOOKUP($FY63,Inflation_Year,NominaltoReal)))</f>
        <v>0</v>
      </c>
      <c r="GE63" s="146" cm="1">
        <f t="array" ref="GE63">IF($FY63=0,0,_xlfn.IFS($FY63='Key assumptions'!$C$120,_xlfn.XLOOKUP(LEFT(GE$7,6),Inflation_Year,Inflation_NominaltoReal),TRUE,_xlfn.XLOOKUP($FY63,Inflation_Year,NominaltoReal)))</f>
        <v>0</v>
      </c>
      <c r="GF63" s="146" cm="1">
        <f t="array" ref="GF63">IF($FY63=0,0,_xlfn.IFS($FY63='Key assumptions'!$C$120,_xlfn.XLOOKUP(LEFT(GF$7,6),Inflation_Year,Inflation_NominaltoReal),TRUE,_xlfn.XLOOKUP($FY63,Inflation_Year,NominaltoReal)))</f>
        <v>0</v>
      </c>
      <c r="GG63" s="143"/>
      <c r="GH63" s="145" cm="1">
        <f t="array" ref="GH63">SUMPRODUCT(--($CR$7:$FW$7&gt;=GH$5),--($CR$7:$FW$7&lt;=GH$6),$CR63:$FW63)*FZ63</f>
        <v>0</v>
      </c>
      <c r="GI63" s="145" cm="1">
        <f t="array" ref="GI63">SUMPRODUCT(--($CR$7:$FW$7&gt;=GI$5),--($CR$7:$FW$7&lt;=GI$6),$CR63:$FW63)*GA63</f>
        <v>0</v>
      </c>
      <c r="GJ63" s="145" cm="1">
        <f t="array" ref="GJ63">SUMPRODUCT(--($CR$7:$FW$7&gt;=GJ$5),--($CR$7:$FW$7&lt;=GJ$6),$CR63:$FW63)*GB63</f>
        <v>0</v>
      </c>
      <c r="GK63" s="145" cm="1">
        <f t="array" ref="GK63">SUMPRODUCT(--($CR$7:$FW$7&gt;=GK$5),--($CR$7:$FW$7&lt;=GK$6),$CR63:$FW63)*GC63</f>
        <v>0</v>
      </c>
      <c r="GL63" s="145" cm="1">
        <f t="array" ref="GL63">SUMPRODUCT(--($CR$7:$FW$7&gt;=GL$5),--($CR$7:$FW$7&lt;=GL$6),$CR63:$FW63)*GD63</f>
        <v>0</v>
      </c>
      <c r="GM63" s="145" cm="1">
        <f t="array" ref="GM63">SUMPRODUCT(--($CR$7:$FW$7&gt;=GM$5),--($CR$7:$FW$7&lt;=GM$6),$CR63:$FW63)*GE63</f>
        <v>0</v>
      </c>
      <c r="GN63" s="145" cm="1">
        <f t="array" ref="GN63">SUMPRODUCT(--($CR$7:$FW$7&gt;=GN$5),--($CR$7:$FW$7&lt;=GN$6),$CR63:$FW63)*GF63</f>
        <v>0</v>
      </c>
      <c r="GO63" s="145">
        <f t="shared" si="0"/>
        <v>0</v>
      </c>
      <c r="GP63" s="87"/>
      <c r="GR63" s="145" cm="1">
        <f t="array" ref="GR63">SUMPRODUCT(--($CR$7:$FW$7&gt;=GR$5),--($CR$7:$FW$7&lt;=GR$6),$CR63:$FW63)</f>
        <v>0</v>
      </c>
    </row>
    <row r="64" spans="2:200" x14ac:dyDescent="0.2">
      <c r="B64" s="141"/>
      <c r="C64" s="141"/>
      <c r="D64" s="141"/>
      <c r="E64" s="141"/>
      <c r="F64" s="141"/>
      <c r="G64" s="141"/>
      <c r="H64" s="142"/>
      <c r="I64" s="126"/>
      <c r="J64" s="143"/>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3"/>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3"/>
      <c r="FY64" s="146">
        <f>_xlfn.XLOOKUP($E64,'Key assumptions'!$B$112:$B$120,'Key assumptions'!$C$112:$C$120,0)</f>
        <v>0</v>
      </c>
      <c r="FZ64" s="146" cm="1">
        <f t="array" ref="FZ64">IF($FY64=0,0,_xlfn.IFS($FY64='Key assumptions'!$C$120,_xlfn.XLOOKUP(LEFT(FZ$7,6),Inflation_Year,Inflation_NominaltoReal),TRUE,_xlfn.XLOOKUP($FY64,Inflation_Year,NominaltoReal)))</f>
        <v>0</v>
      </c>
      <c r="GA64" s="146" cm="1">
        <f t="array" ref="GA64">IF($FY64=0,0,_xlfn.IFS($FY64='Key assumptions'!$C$120,_xlfn.XLOOKUP(LEFT(GA$7,6),Inflation_Year,Inflation_NominaltoReal),TRUE,_xlfn.XLOOKUP($FY64,Inflation_Year,NominaltoReal)))</f>
        <v>0</v>
      </c>
      <c r="GB64" s="146" cm="1">
        <f t="array" ref="GB64">IF($FY64=0,0,_xlfn.IFS($FY64='Key assumptions'!$C$120,_xlfn.XLOOKUP(LEFT(GB$7,6),Inflation_Year,Inflation_NominaltoReal),TRUE,_xlfn.XLOOKUP($FY64,Inflation_Year,NominaltoReal)))</f>
        <v>0</v>
      </c>
      <c r="GC64" s="146" cm="1">
        <f t="array" ref="GC64">IF($FY64=0,0,_xlfn.IFS($FY64='Key assumptions'!$C$120,_xlfn.XLOOKUP(LEFT(GC$7,6),Inflation_Year,Inflation_NominaltoReal),TRUE,_xlfn.XLOOKUP($FY64,Inflation_Year,NominaltoReal)))</f>
        <v>0</v>
      </c>
      <c r="GD64" s="146" cm="1">
        <f t="array" ref="GD64">IF($FY64=0,0,_xlfn.IFS($FY64='Key assumptions'!$C$120,_xlfn.XLOOKUP(LEFT(GD$7,6),Inflation_Year,Inflation_NominaltoReal),TRUE,_xlfn.XLOOKUP($FY64,Inflation_Year,NominaltoReal)))</f>
        <v>0</v>
      </c>
      <c r="GE64" s="146" cm="1">
        <f t="array" ref="GE64">IF($FY64=0,0,_xlfn.IFS($FY64='Key assumptions'!$C$120,_xlfn.XLOOKUP(LEFT(GE$7,6),Inflation_Year,Inflation_NominaltoReal),TRUE,_xlfn.XLOOKUP($FY64,Inflation_Year,NominaltoReal)))</f>
        <v>0</v>
      </c>
      <c r="GF64" s="146" cm="1">
        <f t="array" ref="GF64">IF($FY64=0,0,_xlfn.IFS($FY64='Key assumptions'!$C$120,_xlfn.XLOOKUP(LEFT(GF$7,6),Inflation_Year,Inflation_NominaltoReal),TRUE,_xlfn.XLOOKUP($FY64,Inflation_Year,NominaltoReal)))</f>
        <v>0</v>
      </c>
      <c r="GG64" s="143"/>
      <c r="GH64" s="145" cm="1">
        <f t="array" ref="GH64">SUMPRODUCT(--($CR$7:$FW$7&gt;=GH$5),--($CR$7:$FW$7&lt;=GH$6),$CR64:$FW64)*FZ64</f>
        <v>0</v>
      </c>
      <c r="GI64" s="145" cm="1">
        <f t="array" ref="GI64">SUMPRODUCT(--($CR$7:$FW$7&gt;=GI$5),--($CR$7:$FW$7&lt;=GI$6),$CR64:$FW64)*GA64</f>
        <v>0</v>
      </c>
      <c r="GJ64" s="145" cm="1">
        <f t="array" ref="GJ64">SUMPRODUCT(--($CR$7:$FW$7&gt;=GJ$5),--($CR$7:$FW$7&lt;=GJ$6),$CR64:$FW64)*GB64</f>
        <v>0</v>
      </c>
      <c r="GK64" s="145" cm="1">
        <f t="array" ref="GK64">SUMPRODUCT(--($CR$7:$FW$7&gt;=GK$5),--($CR$7:$FW$7&lt;=GK$6),$CR64:$FW64)*GC64</f>
        <v>0</v>
      </c>
      <c r="GL64" s="145" cm="1">
        <f t="array" ref="GL64">SUMPRODUCT(--($CR$7:$FW$7&gt;=GL$5),--($CR$7:$FW$7&lt;=GL$6),$CR64:$FW64)*GD64</f>
        <v>0</v>
      </c>
      <c r="GM64" s="145" cm="1">
        <f t="array" ref="GM64">SUMPRODUCT(--($CR$7:$FW$7&gt;=GM$5),--($CR$7:$FW$7&lt;=GM$6),$CR64:$FW64)*GE64</f>
        <v>0</v>
      </c>
      <c r="GN64" s="145" cm="1">
        <f t="array" ref="GN64">SUMPRODUCT(--($CR$7:$FW$7&gt;=GN$5),--($CR$7:$FW$7&lt;=GN$6),$CR64:$FW64)*GF64</f>
        <v>0</v>
      </c>
      <c r="GO64" s="145">
        <f t="shared" si="0"/>
        <v>0</v>
      </c>
      <c r="GP64" s="87"/>
      <c r="GR64" s="145" cm="1">
        <f t="array" ref="GR64">SUMPRODUCT(--($CR$7:$FW$7&gt;=GR$5),--($CR$7:$FW$7&lt;=GR$6),$CR64:$FW64)</f>
        <v>0</v>
      </c>
    </row>
    <row r="65" spans="2:200" x14ac:dyDescent="0.2">
      <c r="B65" s="141"/>
      <c r="C65" s="141"/>
      <c r="D65" s="141"/>
      <c r="E65" s="141"/>
      <c r="F65" s="141"/>
      <c r="G65" s="141"/>
      <c r="H65" s="142"/>
      <c r="I65" s="126"/>
      <c r="J65" s="143"/>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3"/>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3"/>
      <c r="FY65" s="146">
        <f>_xlfn.XLOOKUP($E65,'Key assumptions'!$B$112:$B$120,'Key assumptions'!$C$112:$C$120,0)</f>
        <v>0</v>
      </c>
      <c r="FZ65" s="146" cm="1">
        <f t="array" ref="FZ65">IF($FY65=0,0,_xlfn.IFS($FY65='Key assumptions'!$C$120,_xlfn.XLOOKUP(LEFT(FZ$7,6),Inflation_Year,Inflation_NominaltoReal),TRUE,_xlfn.XLOOKUP($FY65,Inflation_Year,NominaltoReal)))</f>
        <v>0</v>
      </c>
      <c r="GA65" s="146" cm="1">
        <f t="array" ref="GA65">IF($FY65=0,0,_xlfn.IFS($FY65='Key assumptions'!$C$120,_xlfn.XLOOKUP(LEFT(GA$7,6),Inflation_Year,Inflation_NominaltoReal),TRUE,_xlfn.XLOOKUP($FY65,Inflation_Year,NominaltoReal)))</f>
        <v>0</v>
      </c>
      <c r="GB65" s="146" cm="1">
        <f t="array" ref="GB65">IF($FY65=0,0,_xlfn.IFS($FY65='Key assumptions'!$C$120,_xlfn.XLOOKUP(LEFT(GB$7,6),Inflation_Year,Inflation_NominaltoReal),TRUE,_xlfn.XLOOKUP($FY65,Inflation_Year,NominaltoReal)))</f>
        <v>0</v>
      </c>
      <c r="GC65" s="146" cm="1">
        <f t="array" ref="GC65">IF($FY65=0,0,_xlfn.IFS($FY65='Key assumptions'!$C$120,_xlfn.XLOOKUP(LEFT(GC$7,6),Inflation_Year,Inflation_NominaltoReal),TRUE,_xlfn.XLOOKUP($FY65,Inflation_Year,NominaltoReal)))</f>
        <v>0</v>
      </c>
      <c r="GD65" s="146" cm="1">
        <f t="array" ref="GD65">IF($FY65=0,0,_xlfn.IFS($FY65='Key assumptions'!$C$120,_xlfn.XLOOKUP(LEFT(GD$7,6),Inflation_Year,Inflation_NominaltoReal),TRUE,_xlfn.XLOOKUP($FY65,Inflation_Year,NominaltoReal)))</f>
        <v>0</v>
      </c>
      <c r="GE65" s="146" cm="1">
        <f t="array" ref="GE65">IF($FY65=0,0,_xlfn.IFS($FY65='Key assumptions'!$C$120,_xlfn.XLOOKUP(LEFT(GE$7,6),Inflation_Year,Inflation_NominaltoReal),TRUE,_xlfn.XLOOKUP($FY65,Inflation_Year,NominaltoReal)))</f>
        <v>0</v>
      </c>
      <c r="GF65" s="146" cm="1">
        <f t="array" ref="GF65">IF($FY65=0,0,_xlfn.IFS($FY65='Key assumptions'!$C$120,_xlfn.XLOOKUP(LEFT(GF$7,6),Inflation_Year,Inflation_NominaltoReal),TRUE,_xlfn.XLOOKUP($FY65,Inflation_Year,NominaltoReal)))</f>
        <v>0</v>
      </c>
      <c r="GG65" s="143"/>
      <c r="GH65" s="145" cm="1">
        <f t="array" ref="GH65">SUMPRODUCT(--($CR$7:$FW$7&gt;=GH$5),--($CR$7:$FW$7&lt;=GH$6),$CR65:$FW65)*FZ65</f>
        <v>0</v>
      </c>
      <c r="GI65" s="145" cm="1">
        <f t="array" ref="GI65">SUMPRODUCT(--($CR$7:$FW$7&gt;=GI$5),--($CR$7:$FW$7&lt;=GI$6),$CR65:$FW65)*GA65</f>
        <v>0</v>
      </c>
      <c r="GJ65" s="145" cm="1">
        <f t="array" ref="GJ65">SUMPRODUCT(--($CR$7:$FW$7&gt;=GJ$5),--($CR$7:$FW$7&lt;=GJ$6),$CR65:$FW65)*GB65</f>
        <v>0</v>
      </c>
      <c r="GK65" s="145" cm="1">
        <f t="array" ref="GK65">SUMPRODUCT(--($CR$7:$FW$7&gt;=GK$5),--($CR$7:$FW$7&lt;=GK$6),$CR65:$FW65)*GC65</f>
        <v>0</v>
      </c>
      <c r="GL65" s="145" cm="1">
        <f t="array" ref="GL65">SUMPRODUCT(--($CR$7:$FW$7&gt;=GL$5),--($CR$7:$FW$7&lt;=GL$6),$CR65:$FW65)*GD65</f>
        <v>0</v>
      </c>
      <c r="GM65" s="145" cm="1">
        <f t="array" ref="GM65">SUMPRODUCT(--($CR$7:$FW$7&gt;=GM$5),--($CR$7:$FW$7&lt;=GM$6),$CR65:$FW65)*GE65</f>
        <v>0</v>
      </c>
      <c r="GN65" s="145" cm="1">
        <f t="array" ref="GN65">SUMPRODUCT(--($CR$7:$FW$7&gt;=GN$5),--($CR$7:$FW$7&lt;=GN$6),$CR65:$FW65)*GF65</f>
        <v>0</v>
      </c>
      <c r="GO65" s="145">
        <f t="shared" si="0"/>
        <v>0</v>
      </c>
      <c r="GP65" s="87"/>
      <c r="GR65" s="145" cm="1">
        <f t="array" ref="GR65">SUMPRODUCT(--($CR$7:$FW$7&gt;=GR$5),--($CR$7:$FW$7&lt;=GR$6),$CR65:$FW65)</f>
        <v>0</v>
      </c>
    </row>
    <row r="66" spans="2:200" x14ac:dyDescent="0.2">
      <c r="B66" s="141"/>
      <c r="C66" s="141"/>
      <c r="D66" s="141"/>
      <c r="E66" s="141"/>
      <c r="F66" s="141"/>
      <c r="G66" s="141"/>
      <c r="H66" s="142"/>
      <c r="I66" s="126"/>
      <c r="J66" s="143"/>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3"/>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3"/>
      <c r="FY66" s="146">
        <f>_xlfn.XLOOKUP($E66,'Key assumptions'!$B$112:$B$120,'Key assumptions'!$C$112:$C$120,0)</f>
        <v>0</v>
      </c>
      <c r="FZ66" s="146" cm="1">
        <f t="array" ref="FZ66">IF($FY66=0,0,_xlfn.IFS($FY66='Key assumptions'!$C$120,_xlfn.XLOOKUP(LEFT(FZ$7,6),Inflation_Year,Inflation_NominaltoReal),TRUE,_xlfn.XLOOKUP($FY66,Inflation_Year,NominaltoReal)))</f>
        <v>0</v>
      </c>
      <c r="GA66" s="146" cm="1">
        <f t="array" ref="GA66">IF($FY66=0,0,_xlfn.IFS($FY66='Key assumptions'!$C$120,_xlfn.XLOOKUP(LEFT(GA$7,6),Inflation_Year,Inflation_NominaltoReal),TRUE,_xlfn.XLOOKUP($FY66,Inflation_Year,NominaltoReal)))</f>
        <v>0</v>
      </c>
      <c r="GB66" s="146" cm="1">
        <f t="array" ref="GB66">IF($FY66=0,0,_xlfn.IFS($FY66='Key assumptions'!$C$120,_xlfn.XLOOKUP(LEFT(GB$7,6),Inflation_Year,Inflation_NominaltoReal),TRUE,_xlfn.XLOOKUP($FY66,Inflation_Year,NominaltoReal)))</f>
        <v>0</v>
      </c>
      <c r="GC66" s="146" cm="1">
        <f t="array" ref="GC66">IF($FY66=0,0,_xlfn.IFS($FY66='Key assumptions'!$C$120,_xlfn.XLOOKUP(LEFT(GC$7,6),Inflation_Year,Inflation_NominaltoReal),TRUE,_xlfn.XLOOKUP($FY66,Inflation_Year,NominaltoReal)))</f>
        <v>0</v>
      </c>
      <c r="GD66" s="146" cm="1">
        <f t="array" ref="GD66">IF($FY66=0,0,_xlfn.IFS($FY66='Key assumptions'!$C$120,_xlfn.XLOOKUP(LEFT(GD$7,6),Inflation_Year,Inflation_NominaltoReal),TRUE,_xlfn.XLOOKUP($FY66,Inflation_Year,NominaltoReal)))</f>
        <v>0</v>
      </c>
      <c r="GE66" s="146" cm="1">
        <f t="array" ref="GE66">IF($FY66=0,0,_xlfn.IFS($FY66='Key assumptions'!$C$120,_xlfn.XLOOKUP(LEFT(GE$7,6),Inflation_Year,Inflation_NominaltoReal),TRUE,_xlfn.XLOOKUP($FY66,Inflation_Year,NominaltoReal)))</f>
        <v>0</v>
      </c>
      <c r="GF66" s="146" cm="1">
        <f t="array" ref="GF66">IF($FY66=0,0,_xlfn.IFS($FY66='Key assumptions'!$C$120,_xlfn.XLOOKUP(LEFT(GF$7,6),Inflation_Year,Inflation_NominaltoReal),TRUE,_xlfn.XLOOKUP($FY66,Inflation_Year,NominaltoReal)))</f>
        <v>0</v>
      </c>
      <c r="GG66" s="143"/>
      <c r="GH66" s="145" cm="1">
        <f t="array" ref="GH66">SUMPRODUCT(--($CR$7:$FW$7&gt;=GH$5),--($CR$7:$FW$7&lt;=GH$6),$CR66:$FW66)*FZ66</f>
        <v>0</v>
      </c>
      <c r="GI66" s="145" cm="1">
        <f t="array" ref="GI66">SUMPRODUCT(--($CR$7:$FW$7&gt;=GI$5),--($CR$7:$FW$7&lt;=GI$6),$CR66:$FW66)*GA66</f>
        <v>0</v>
      </c>
      <c r="GJ66" s="145" cm="1">
        <f t="array" ref="GJ66">SUMPRODUCT(--($CR$7:$FW$7&gt;=GJ$5),--($CR$7:$FW$7&lt;=GJ$6),$CR66:$FW66)*GB66</f>
        <v>0</v>
      </c>
      <c r="GK66" s="145" cm="1">
        <f t="array" ref="GK66">SUMPRODUCT(--($CR$7:$FW$7&gt;=GK$5),--($CR$7:$FW$7&lt;=GK$6),$CR66:$FW66)*GC66</f>
        <v>0</v>
      </c>
      <c r="GL66" s="145" cm="1">
        <f t="array" ref="GL66">SUMPRODUCT(--($CR$7:$FW$7&gt;=GL$5),--($CR$7:$FW$7&lt;=GL$6),$CR66:$FW66)*GD66</f>
        <v>0</v>
      </c>
      <c r="GM66" s="145" cm="1">
        <f t="array" ref="GM66">SUMPRODUCT(--($CR$7:$FW$7&gt;=GM$5),--($CR$7:$FW$7&lt;=GM$6),$CR66:$FW66)*GE66</f>
        <v>0</v>
      </c>
      <c r="GN66" s="145" cm="1">
        <f t="array" ref="GN66">SUMPRODUCT(--($CR$7:$FW$7&gt;=GN$5),--($CR$7:$FW$7&lt;=GN$6),$CR66:$FW66)*GF66</f>
        <v>0</v>
      </c>
      <c r="GO66" s="145">
        <f t="shared" si="0"/>
        <v>0</v>
      </c>
      <c r="GP66" s="87"/>
      <c r="GR66" s="145" cm="1">
        <f t="array" ref="GR66">SUMPRODUCT(--($CR$7:$FW$7&gt;=GR$5),--($CR$7:$FW$7&lt;=GR$6),$CR66:$FW66)</f>
        <v>0</v>
      </c>
    </row>
    <row r="67" spans="2:200" x14ac:dyDescent="0.2">
      <c r="B67" s="141"/>
      <c r="C67" s="141"/>
      <c r="D67" s="141"/>
      <c r="E67" s="141"/>
      <c r="F67" s="141"/>
      <c r="G67" s="141"/>
      <c r="H67" s="142"/>
      <c r="I67" s="126"/>
      <c r="J67" s="143"/>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3"/>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3"/>
      <c r="FY67" s="146">
        <f>_xlfn.XLOOKUP($E67,'Key assumptions'!$B$112:$B$120,'Key assumptions'!$C$112:$C$120,0)</f>
        <v>0</v>
      </c>
      <c r="FZ67" s="146" cm="1">
        <f t="array" ref="FZ67">IF($FY67=0,0,_xlfn.IFS($FY67='Key assumptions'!$C$120,_xlfn.XLOOKUP(LEFT(FZ$7,6),Inflation_Year,Inflation_NominaltoReal),TRUE,_xlfn.XLOOKUP($FY67,Inflation_Year,NominaltoReal)))</f>
        <v>0</v>
      </c>
      <c r="GA67" s="146" cm="1">
        <f t="array" ref="GA67">IF($FY67=0,0,_xlfn.IFS($FY67='Key assumptions'!$C$120,_xlfn.XLOOKUP(LEFT(GA$7,6),Inflation_Year,Inflation_NominaltoReal),TRUE,_xlfn.XLOOKUP($FY67,Inflation_Year,NominaltoReal)))</f>
        <v>0</v>
      </c>
      <c r="GB67" s="146" cm="1">
        <f t="array" ref="GB67">IF($FY67=0,0,_xlfn.IFS($FY67='Key assumptions'!$C$120,_xlfn.XLOOKUP(LEFT(GB$7,6),Inflation_Year,Inflation_NominaltoReal),TRUE,_xlfn.XLOOKUP($FY67,Inflation_Year,NominaltoReal)))</f>
        <v>0</v>
      </c>
      <c r="GC67" s="146" cm="1">
        <f t="array" ref="GC67">IF($FY67=0,0,_xlfn.IFS($FY67='Key assumptions'!$C$120,_xlfn.XLOOKUP(LEFT(GC$7,6),Inflation_Year,Inflation_NominaltoReal),TRUE,_xlfn.XLOOKUP($FY67,Inflation_Year,NominaltoReal)))</f>
        <v>0</v>
      </c>
      <c r="GD67" s="146" cm="1">
        <f t="array" ref="GD67">IF($FY67=0,0,_xlfn.IFS($FY67='Key assumptions'!$C$120,_xlfn.XLOOKUP(LEFT(GD$7,6),Inflation_Year,Inflation_NominaltoReal),TRUE,_xlfn.XLOOKUP($FY67,Inflation_Year,NominaltoReal)))</f>
        <v>0</v>
      </c>
      <c r="GE67" s="146" cm="1">
        <f t="array" ref="GE67">IF($FY67=0,0,_xlfn.IFS($FY67='Key assumptions'!$C$120,_xlfn.XLOOKUP(LEFT(GE$7,6),Inflation_Year,Inflation_NominaltoReal),TRUE,_xlfn.XLOOKUP($FY67,Inflation_Year,NominaltoReal)))</f>
        <v>0</v>
      </c>
      <c r="GF67" s="146" cm="1">
        <f t="array" ref="GF67">IF($FY67=0,0,_xlfn.IFS($FY67='Key assumptions'!$C$120,_xlfn.XLOOKUP(LEFT(GF$7,6),Inflation_Year,Inflation_NominaltoReal),TRUE,_xlfn.XLOOKUP($FY67,Inflation_Year,NominaltoReal)))</f>
        <v>0</v>
      </c>
      <c r="GG67" s="143"/>
      <c r="GH67" s="145" cm="1">
        <f t="array" ref="GH67">SUMPRODUCT(--($CR$7:$FW$7&gt;=GH$5),--($CR$7:$FW$7&lt;=GH$6),$CR67:$FW67)*FZ67</f>
        <v>0</v>
      </c>
      <c r="GI67" s="145" cm="1">
        <f t="array" ref="GI67">SUMPRODUCT(--($CR$7:$FW$7&gt;=GI$5),--($CR$7:$FW$7&lt;=GI$6),$CR67:$FW67)*GA67</f>
        <v>0</v>
      </c>
      <c r="GJ67" s="145" cm="1">
        <f t="array" ref="GJ67">SUMPRODUCT(--($CR$7:$FW$7&gt;=GJ$5),--($CR$7:$FW$7&lt;=GJ$6),$CR67:$FW67)*GB67</f>
        <v>0</v>
      </c>
      <c r="GK67" s="145" cm="1">
        <f t="array" ref="GK67">SUMPRODUCT(--($CR$7:$FW$7&gt;=GK$5),--($CR$7:$FW$7&lt;=GK$6),$CR67:$FW67)*GC67</f>
        <v>0</v>
      </c>
      <c r="GL67" s="145" cm="1">
        <f t="array" ref="GL67">SUMPRODUCT(--($CR$7:$FW$7&gt;=GL$5),--($CR$7:$FW$7&lt;=GL$6),$CR67:$FW67)*GD67</f>
        <v>0</v>
      </c>
      <c r="GM67" s="145" cm="1">
        <f t="array" ref="GM67">SUMPRODUCT(--($CR$7:$FW$7&gt;=GM$5),--($CR$7:$FW$7&lt;=GM$6),$CR67:$FW67)*GE67</f>
        <v>0</v>
      </c>
      <c r="GN67" s="145" cm="1">
        <f t="array" ref="GN67">SUMPRODUCT(--($CR$7:$FW$7&gt;=GN$5),--($CR$7:$FW$7&lt;=GN$6),$CR67:$FW67)*GF67</f>
        <v>0</v>
      </c>
      <c r="GO67" s="145">
        <f t="shared" si="0"/>
        <v>0</v>
      </c>
      <c r="GP67" s="87"/>
      <c r="GR67" s="145" cm="1">
        <f t="array" ref="GR67">SUMPRODUCT(--($CR$7:$FW$7&gt;=GR$5),--($CR$7:$FW$7&lt;=GR$6),$CR67:$FW67)</f>
        <v>0</v>
      </c>
    </row>
    <row r="68" spans="2:200" x14ac:dyDescent="0.2">
      <c r="B68" s="141"/>
      <c r="C68" s="141"/>
      <c r="D68" s="141"/>
      <c r="E68" s="141"/>
      <c r="F68" s="141"/>
      <c r="G68" s="141"/>
      <c r="H68" s="142"/>
      <c r="I68" s="126"/>
      <c r="J68" s="143"/>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3"/>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c r="EE68" s="145"/>
      <c r="EF68" s="145"/>
      <c r="EG68" s="145"/>
      <c r="EH68" s="145"/>
      <c r="EI68" s="145"/>
      <c r="EJ68" s="145"/>
      <c r="EK68" s="145"/>
      <c r="EL68" s="145"/>
      <c r="EM68" s="145"/>
      <c r="EN68" s="145"/>
      <c r="EO68" s="145"/>
      <c r="EP68" s="145"/>
      <c r="EQ68" s="145"/>
      <c r="ER68" s="145"/>
      <c r="ES68" s="145"/>
      <c r="ET68" s="145"/>
      <c r="EU68" s="145"/>
      <c r="EV68" s="145"/>
      <c r="EW68" s="145"/>
      <c r="EX68" s="145"/>
      <c r="EY68" s="145"/>
      <c r="EZ68" s="145"/>
      <c r="FA68" s="145"/>
      <c r="FB68" s="145"/>
      <c r="FC68" s="145"/>
      <c r="FD68" s="145"/>
      <c r="FE68" s="145"/>
      <c r="FF68" s="145"/>
      <c r="FG68" s="145"/>
      <c r="FH68" s="145"/>
      <c r="FI68" s="145"/>
      <c r="FJ68" s="145"/>
      <c r="FK68" s="145"/>
      <c r="FL68" s="145"/>
      <c r="FM68" s="145"/>
      <c r="FN68" s="145"/>
      <c r="FO68" s="145"/>
      <c r="FP68" s="145"/>
      <c r="FQ68" s="145"/>
      <c r="FR68" s="145"/>
      <c r="FS68" s="145"/>
      <c r="FT68" s="145"/>
      <c r="FU68" s="145"/>
      <c r="FV68" s="145"/>
      <c r="FW68" s="145"/>
      <c r="FX68" s="143"/>
      <c r="FY68" s="146">
        <f>_xlfn.XLOOKUP($E68,'Key assumptions'!$B$112:$B$120,'Key assumptions'!$C$112:$C$120,0)</f>
        <v>0</v>
      </c>
      <c r="FZ68" s="146" cm="1">
        <f t="array" ref="FZ68">IF($FY68=0,0,_xlfn.IFS($FY68='Key assumptions'!$C$120,_xlfn.XLOOKUP(LEFT(FZ$7,6),Inflation_Year,Inflation_NominaltoReal),TRUE,_xlfn.XLOOKUP($FY68,Inflation_Year,NominaltoReal)))</f>
        <v>0</v>
      </c>
      <c r="GA68" s="146" cm="1">
        <f t="array" ref="GA68">IF($FY68=0,0,_xlfn.IFS($FY68='Key assumptions'!$C$120,_xlfn.XLOOKUP(LEFT(GA$7,6),Inflation_Year,Inflation_NominaltoReal),TRUE,_xlfn.XLOOKUP($FY68,Inflation_Year,NominaltoReal)))</f>
        <v>0</v>
      </c>
      <c r="GB68" s="146" cm="1">
        <f t="array" ref="GB68">IF($FY68=0,0,_xlfn.IFS($FY68='Key assumptions'!$C$120,_xlfn.XLOOKUP(LEFT(GB$7,6),Inflation_Year,Inflation_NominaltoReal),TRUE,_xlfn.XLOOKUP($FY68,Inflation_Year,NominaltoReal)))</f>
        <v>0</v>
      </c>
      <c r="GC68" s="146" cm="1">
        <f t="array" ref="GC68">IF($FY68=0,0,_xlfn.IFS($FY68='Key assumptions'!$C$120,_xlfn.XLOOKUP(LEFT(GC$7,6),Inflation_Year,Inflation_NominaltoReal),TRUE,_xlfn.XLOOKUP($FY68,Inflation_Year,NominaltoReal)))</f>
        <v>0</v>
      </c>
      <c r="GD68" s="146" cm="1">
        <f t="array" ref="GD68">IF($FY68=0,0,_xlfn.IFS($FY68='Key assumptions'!$C$120,_xlfn.XLOOKUP(LEFT(GD$7,6),Inflation_Year,Inflation_NominaltoReal),TRUE,_xlfn.XLOOKUP($FY68,Inflation_Year,NominaltoReal)))</f>
        <v>0</v>
      </c>
      <c r="GE68" s="146" cm="1">
        <f t="array" ref="GE68">IF($FY68=0,0,_xlfn.IFS($FY68='Key assumptions'!$C$120,_xlfn.XLOOKUP(LEFT(GE$7,6),Inflation_Year,Inflation_NominaltoReal),TRUE,_xlfn.XLOOKUP($FY68,Inflation_Year,NominaltoReal)))</f>
        <v>0</v>
      </c>
      <c r="GF68" s="146" cm="1">
        <f t="array" ref="GF68">IF($FY68=0,0,_xlfn.IFS($FY68='Key assumptions'!$C$120,_xlfn.XLOOKUP(LEFT(GF$7,6),Inflation_Year,Inflation_NominaltoReal),TRUE,_xlfn.XLOOKUP($FY68,Inflation_Year,NominaltoReal)))</f>
        <v>0</v>
      </c>
      <c r="GG68" s="143"/>
      <c r="GH68" s="145" cm="1">
        <f t="array" ref="GH68">SUMPRODUCT(--($CR$7:$FW$7&gt;=GH$5),--($CR$7:$FW$7&lt;=GH$6),$CR68:$FW68)*FZ68</f>
        <v>0</v>
      </c>
      <c r="GI68" s="145" cm="1">
        <f t="array" ref="GI68">SUMPRODUCT(--($CR$7:$FW$7&gt;=GI$5),--($CR$7:$FW$7&lt;=GI$6),$CR68:$FW68)*GA68</f>
        <v>0</v>
      </c>
      <c r="GJ68" s="145" cm="1">
        <f t="array" ref="GJ68">SUMPRODUCT(--($CR$7:$FW$7&gt;=GJ$5),--($CR$7:$FW$7&lt;=GJ$6),$CR68:$FW68)*GB68</f>
        <v>0</v>
      </c>
      <c r="GK68" s="145" cm="1">
        <f t="array" ref="GK68">SUMPRODUCT(--($CR$7:$FW$7&gt;=GK$5),--($CR$7:$FW$7&lt;=GK$6),$CR68:$FW68)*GC68</f>
        <v>0</v>
      </c>
      <c r="GL68" s="145" cm="1">
        <f t="array" ref="GL68">SUMPRODUCT(--($CR$7:$FW$7&gt;=GL$5),--($CR$7:$FW$7&lt;=GL$6),$CR68:$FW68)*GD68</f>
        <v>0</v>
      </c>
      <c r="GM68" s="145" cm="1">
        <f t="array" ref="GM68">SUMPRODUCT(--($CR$7:$FW$7&gt;=GM$5),--($CR$7:$FW$7&lt;=GM$6),$CR68:$FW68)*GE68</f>
        <v>0</v>
      </c>
      <c r="GN68" s="145" cm="1">
        <f t="array" ref="GN68">SUMPRODUCT(--($CR$7:$FW$7&gt;=GN$5),--($CR$7:$FW$7&lt;=GN$6),$CR68:$FW68)*GF68</f>
        <v>0</v>
      </c>
      <c r="GO68" s="145">
        <f t="shared" si="0"/>
        <v>0</v>
      </c>
      <c r="GP68" s="87"/>
      <c r="GR68" s="145" cm="1">
        <f t="array" ref="GR68">SUMPRODUCT(--($CR$7:$FW$7&gt;=GR$5),--($CR$7:$FW$7&lt;=GR$6),$CR68:$FW68)</f>
        <v>0</v>
      </c>
    </row>
    <row r="69" spans="2:200" x14ac:dyDescent="0.2">
      <c r="B69" s="141"/>
      <c r="C69" s="141"/>
      <c r="D69" s="141"/>
      <c r="E69" s="141"/>
      <c r="F69" s="141"/>
      <c r="G69" s="141"/>
      <c r="H69" s="142"/>
      <c r="I69" s="126"/>
      <c r="J69" s="143"/>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3"/>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3"/>
      <c r="FY69" s="146">
        <f>_xlfn.XLOOKUP($E69,'Key assumptions'!$B$112:$B$120,'Key assumptions'!$C$112:$C$120,0)</f>
        <v>0</v>
      </c>
      <c r="FZ69" s="146" cm="1">
        <f t="array" ref="FZ69">IF($FY69=0,0,_xlfn.IFS($FY69='Key assumptions'!$C$120,_xlfn.XLOOKUP(LEFT(FZ$7,6),Inflation_Year,Inflation_NominaltoReal),TRUE,_xlfn.XLOOKUP($FY69,Inflation_Year,NominaltoReal)))</f>
        <v>0</v>
      </c>
      <c r="GA69" s="146" cm="1">
        <f t="array" ref="GA69">IF($FY69=0,0,_xlfn.IFS($FY69='Key assumptions'!$C$120,_xlfn.XLOOKUP(LEFT(GA$7,6),Inflation_Year,Inflation_NominaltoReal),TRUE,_xlfn.XLOOKUP($FY69,Inflation_Year,NominaltoReal)))</f>
        <v>0</v>
      </c>
      <c r="GB69" s="146" cm="1">
        <f t="array" ref="GB69">IF($FY69=0,0,_xlfn.IFS($FY69='Key assumptions'!$C$120,_xlfn.XLOOKUP(LEFT(GB$7,6),Inflation_Year,Inflation_NominaltoReal),TRUE,_xlfn.XLOOKUP($FY69,Inflation_Year,NominaltoReal)))</f>
        <v>0</v>
      </c>
      <c r="GC69" s="146" cm="1">
        <f t="array" ref="GC69">IF($FY69=0,0,_xlfn.IFS($FY69='Key assumptions'!$C$120,_xlfn.XLOOKUP(LEFT(GC$7,6),Inflation_Year,Inflation_NominaltoReal),TRUE,_xlfn.XLOOKUP($FY69,Inflation_Year,NominaltoReal)))</f>
        <v>0</v>
      </c>
      <c r="GD69" s="146" cm="1">
        <f t="array" ref="GD69">IF($FY69=0,0,_xlfn.IFS($FY69='Key assumptions'!$C$120,_xlfn.XLOOKUP(LEFT(GD$7,6),Inflation_Year,Inflation_NominaltoReal),TRUE,_xlfn.XLOOKUP($FY69,Inflation_Year,NominaltoReal)))</f>
        <v>0</v>
      </c>
      <c r="GE69" s="146" cm="1">
        <f t="array" ref="GE69">IF($FY69=0,0,_xlfn.IFS($FY69='Key assumptions'!$C$120,_xlfn.XLOOKUP(LEFT(GE$7,6),Inflation_Year,Inflation_NominaltoReal),TRUE,_xlfn.XLOOKUP($FY69,Inflation_Year,NominaltoReal)))</f>
        <v>0</v>
      </c>
      <c r="GF69" s="146" cm="1">
        <f t="array" ref="GF69">IF($FY69=0,0,_xlfn.IFS($FY69='Key assumptions'!$C$120,_xlfn.XLOOKUP(LEFT(GF$7,6),Inflation_Year,Inflation_NominaltoReal),TRUE,_xlfn.XLOOKUP($FY69,Inflation_Year,NominaltoReal)))</f>
        <v>0</v>
      </c>
      <c r="GG69" s="143"/>
      <c r="GH69" s="145" cm="1">
        <f t="array" ref="GH69">SUMPRODUCT(--($CR$7:$FW$7&gt;=GH$5),--($CR$7:$FW$7&lt;=GH$6),$CR69:$FW69)*FZ69</f>
        <v>0</v>
      </c>
      <c r="GI69" s="145" cm="1">
        <f t="array" ref="GI69">SUMPRODUCT(--($CR$7:$FW$7&gt;=GI$5),--($CR$7:$FW$7&lt;=GI$6),$CR69:$FW69)*GA69</f>
        <v>0</v>
      </c>
      <c r="GJ69" s="145" cm="1">
        <f t="array" ref="GJ69">SUMPRODUCT(--($CR$7:$FW$7&gt;=GJ$5),--($CR$7:$FW$7&lt;=GJ$6),$CR69:$FW69)*GB69</f>
        <v>0</v>
      </c>
      <c r="GK69" s="145" cm="1">
        <f t="array" ref="GK69">SUMPRODUCT(--($CR$7:$FW$7&gt;=GK$5),--($CR$7:$FW$7&lt;=GK$6),$CR69:$FW69)*GC69</f>
        <v>0</v>
      </c>
      <c r="GL69" s="145" cm="1">
        <f t="array" ref="GL69">SUMPRODUCT(--($CR$7:$FW$7&gt;=GL$5),--($CR$7:$FW$7&lt;=GL$6),$CR69:$FW69)*GD69</f>
        <v>0</v>
      </c>
      <c r="GM69" s="145" cm="1">
        <f t="array" ref="GM69">SUMPRODUCT(--($CR$7:$FW$7&gt;=GM$5),--($CR$7:$FW$7&lt;=GM$6),$CR69:$FW69)*GE69</f>
        <v>0</v>
      </c>
      <c r="GN69" s="145" cm="1">
        <f t="array" ref="GN69">SUMPRODUCT(--($CR$7:$FW$7&gt;=GN$5),--($CR$7:$FW$7&lt;=GN$6),$CR69:$FW69)*GF69</f>
        <v>0</v>
      </c>
      <c r="GO69" s="145">
        <f t="shared" si="0"/>
        <v>0</v>
      </c>
      <c r="GP69" s="87"/>
      <c r="GR69" s="145" cm="1">
        <f t="array" ref="GR69">SUMPRODUCT(--($CR$7:$FW$7&gt;=GR$5),--($CR$7:$FW$7&lt;=GR$6),$CR69:$FW69)</f>
        <v>0</v>
      </c>
    </row>
    <row r="70" spans="2:200" x14ac:dyDescent="0.2">
      <c r="B70" s="141"/>
      <c r="C70" s="141"/>
      <c r="D70" s="141"/>
      <c r="E70" s="141"/>
      <c r="F70" s="141"/>
      <c r="G70" s="141"/>
      <c r="H70" s="142"/>
      <c r="I70" s="126"/>
      <c r="J70" s="143"/>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3"/>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3"/>
      <c r="FY70" s="146">
        <f>_xlfn.XLOOKUP($E70,'Key assumptions'!$B$112:$B$120,'Key assumptions'!$C$112:$C$120,0)</f>
        <v>0</v>
      </c>
      <c r="FZ70" s="146" cm="1">
        <f t="array" ref="FZ70">IF($FY70=0,0,_xlfn.IFS($FY70='Key assumptions'!$C$120,_xlfn.XLOOKUP(LEFT(FZ$7,6),Inflation_Year,Inflation_NominaltoReal),TRUE,_xlfn.XLOOKUP($FY70,Inflation_Year,NominaltoReal)))</f>
        <v>0</v>
      </c>
      <c r="GA70" s="146" cm="1">
        <f t="array" ref="GA70">IF($FY70=0,0,_xlfn.IFS($FY70='Key assumptions'!$C$120,_xlfn.XLOOKUP(LEFT(GA$7,6),Inflation_Year,Inflation_NominaltoReal),TRUE,_xlfn.XLOOKUP($FY70,Inflation_Year,NominaltoReal)))</f>
        <v>0</v>
      </c>
      <c r="GB70" s="146" cm="1">
        <f t="array" ref="GB70">IF($FY70=0,0,_xlfn.IFS($FY70='Key assumptions'!$C$120,_xlfn.XLOOKUP(LEFT(GB$7,6),Inflation_Year,Inflation_NominaltoReal),TRUE,_xlfn.XLOOKUP($FY70,Inflation_Year,NominaltoReal)))</f>
        <v>0</v>
      </c>
      <c r="GC70" s="146" cm="1">
        <f t="array" ref="GC70">IF($FY70=0,0,_xlfn.IFS($FY70='Key assumptions'!$C$120,_xlfn.XLOOKUP(LEFT(GC$7,6),Inflation_Year,Inflation_NominaltoReal),TRUE,_xlfn.XLOOKUP($FY70,Inflation_Year,NominaltoReal)))</f>
        <v>0</v>
      </c>
      <c r="GD70" s="146" cm="1">
        <f t="array" ref="GD70">IF($FY70=0,0,_xlfn.IFS($FY70='Key assumptions'!$C$120,_xlfn.XLOOKUP(LEFT(GD$7,6),Inflation_Year,Inflation_NominaltoReal),TRUE,_xlfn.XLOOKUP($FY70,Inflation_Year,NominaltoReal)))</f>
        <v>0</v>
      </c>
      <c r="GE70" s="146" cm="1">
        <f t="array" ref="GE70">IF($FY70=0,0,_xlfn.IFS($FY70='Key assumptions'!$C$120,_xlfn.XLOOKUP(LEFT(GE$7,6),Inflation_Year,Inflation_NominaltoReal),TRUE,_xlfn.XLOOKUP($FY70,Inflation_Year,NominaltoReal)))</f>
        <v>0</v>
      </c>
      <c r="GF70" s="146" cm="1">
        <f t="array" ref="GF70">IF($FY70=0,0,_xlfn.IFS($FY70='Key assumptions'!$C$120,_xlfn.XLOOKUP(LEFT(GF$7,6),Inflation_Year,Inflation_NominaltoReal),TRUE,_xlfn.XLOOKUP($FY70,Inflation_Year,NominaltoReal)))</f>
        <v>0</v>
      </c>
      <c r="GG70" s="143"/>
      <c r="GH70" s="145" cm="1">
        <f t="array" ref="GH70">SUMPRODUCT(--($CR$7:$FW$7&gt;=GH$5),--($CR$7:$FW$7&lt;=GH$6),$CR70:$FW70)*FZ70</f>
        <v>0</v>
      </c>
      <c r="GI70" s="145" cm="1">
        <f t="array" ref="GI70">SUMPRODUCT(--($CR$7:$FW$7&gt;=GI$5),--($CR$7:$FW$7&lt;=GI$6),$CR70:$FW70)*GA70</f>
        <v>0</v>
      </c>
      <c r="GJ70" s="145" cm="1">
        <f t="array" ref="GJ70">SUMPRODUCT(--($CR$7:$FW$7&gt;=GJ$5),--($CR$7:$FW$7&lt;=GJ$6),$CR70:$FW70)*GB70</f>
        <v>0</v>
      </c>
      <c r="GK70" s="145" cm="1">
        <f t="array" ref="GK70">SUMPRODUCT(--($CR$7:$FW$7&gt;=GK$5),--($CR$7:$FW$7&lt;=GK$6),$CR70:$FW70)*GC70</f>
        <v>0</v>
      </c>
      <c r="GL70" s="145" cm="1">
        <f t="array" ref="GL70">SUMPRODUCT(--($CR$7:$FW$7&gt;=GL$5),--($CR$7:$FW$7&lt;=GL$6),$CR70:$FW70)*GD70</f>
        <v>0</v>
      </c>
      <c r="GM70" s="145" cm="1">
        <f t="array" ref="GM70">SUMPRODUCT(--($CR$7:$FW$7&gt;=GM$5),--($CR$7:$FW$7&lt;=GM$6),$CR70:$FW70)*GE70</f>
        <v>0</v>
      </c>
      <c r="GN70" s="145" cm="1">
        <f t="array" ref="GN70">SUMPRODUCT(--($CR$7:$FW$7&gt;=GN$5),--($CR$7:$FW$7&lt;=GN$6),$CR70:$FW70)*GF70</f>
        <v>0</v>
      </c>
      <c r="GO70" s="145">
        <f t="shared" si="0"/>
        <v>0</v>
      </c>
      <c r="GP70" s="87"/>
      <c r="GR70" s="145" cm="1">
        <f t="array" ref="GR70">SUMPRODUCT(--($CR$7:$FW$7&gt;=GR$5),--($CR$7:$FW$7&lt;=GR$6),$CR70:$FW70)</f>
        <v>0</v>
      </c>
    </row>
    <row r="71" spans="2:200" x14ac:dyDescent="0.2">
      <c r="B71" s="141"/>
      <c r="C71" s="141"/>
      <c r="D71" s="141"/>
      <c r="E71" s="141"/>
      <c r="F71" s="141"/>
      <c r="G71" s="141"/>
      <c r="H71" s="142"/>
      <c r="I71" s="126"/>
      <c r="J71" s="143"/>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3"/>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145"/>
      <c r="EK71" s="145"/>
      <c r="EL71" s="145"/>
      <c r="EM71" s="145"/>
      <c r="EN71" s="145"/>
      <c r="EO71" s="145"/>
      <c r="EP71" s="145"/>
      <c r="EQ71" s="145"/>
      <c r="ER71" s="145"/>
      <c r="ES71" s="145"/>
      <c r="ET71" s="145"/>
      <c r="EU71" s="145"/>
      <c r="EV71" s="145"/>
      <c r="EW71" s="145"/>
      <c r="EX71" s="145"/>
      <c r="EY71" s="145"/>
      <c r="EZ71" s="145"/>
      <c r="FA71" s="145"/>
      <c r="FB71" s="145"/>
      <c r="FC71" s="145"/>
      <c r="FD71" s="145"/>
      <c r="FE71" s="145"/>
      <c r="FF71" s="145"/>
      <c r="FG71" s="145"/>
      <c r="FH71" s="145"/>
      <c r="FI71" s="145"/>
      <c r="FJ71" s="145"/>
      <c r="FK71" s="145"/>
      <c r="FL71" s="145"/>
      <c r="FM71" s="145"/>
      <c r="FN71" s="145"/>
      <c r="FO71" s="145"/>
      <c r="FP71" s="145"/>
      <c r="FQ71" s="145"/>
      <c r="FR71" s="145"/>
      <c r="FS71" s="145"/>
      <c r="FT71" s="145"/>
      <c r="FU71" s="145"/>
      <c r="FV71" s="145"/>
      <c r="FW71" s="145"/>
      <c r="FX71" s="143"/>
      <c r="FY71" s="146">
        <f>_xlfn.XLOOKUP($E71,'Key assumptions'!$B$112:$B$120,'Key assumptions'!$C$112:$C$120,0)</f>
        <v>0</v>
      </c>
      <c r="FZ71" s="146" cm="1">
        <f t="array" ref="FZ71">IF($FY71=0,0,_xlfn.IFS($FY71='Key assumptions'!$C$120,_xlfn.XLOOKUP(LEFT(FZ$7,6),Inflation_Year,Inflation_NominaltoReal),TRUE,_xlfn.XLOOKUP($FY71,Inflation_Year,NominaltoReal)))</f>
        <v>0</v>
      </c>
      <c r="GA71" s="146" cm="1">
        <f t="array" ref="GA71">IF($FY71=0,0,_xlfn.IFS($FY71='Key assumptions'!$C$120,_xlfn.XLOOKUP(LEFT(GA$7,6),Inflation_Year,Inflation_NominaltoReal),TRUE,_xlfn.XLOOKUP($FY71,Inflation_Year,NominaltoReal)))</f>
        <v>0</v>
      </c>
      <c r="GB71" s="146" cm="1">
        <f t="array" ref="GB71">IF($FY71=0,0,_xlfn.IFS($FY71='Key assumptions'!$C$120,_xlfn.XLOOKUP(LEFT(GB$7,6),Inflation_Year,Inflation_NominaltoReal),TRUE,_xlfn.XLOOKUP($FY71,Inflation_Year,NominaltoReal)))</f>
        <v>0</v>
      </c>
      <c r="GC71" s="146" cm="1">
        <f t="array" ref="GC71">IF($FY71=0,0,_xlfn.IFS($FY71='Key assumptions'!$C$120,_xlfn.XLOOKUP(LEFT(GC$7,6),Inflation_Year,Inflation_NominaltoReal),TRUE,_xlfn.XLOOKUP($FY71,Inflation_Year,NominaltoReal)))</f>
        <v>0</v>
      </c>
      <c r="GD71" s="146" cm="1">
        <f t="array" ref="GD71">IF($FY71=0,0,_xlfn.IFS($FY71='Key assumptions'!$C$120,_xlfn.XLOOKUP(LEFT(GD$7,6),Inflation_Year,Inflation_NominaltoReal),TRUE,_xlfn.XLOOKUP($FY71,Inflation_Year,NominaltoReal)))</f>
        <v>0</v>
      </c>
      <c r="GE71" s="146" cm="1">
        <f t="array" ref="GE71">IF($FY71=0,0,_xlfn.IFS($FY71='Key assumptions'!$C$120,_xlfn.XLOOKUP(LEFT(GE$7,6),Inflation_Year,Inflation_NominaltoReal),TRUE,_xlfn.XLOOKUP($FY71,Inflation_Year,NominaltoReal)))</f>
        <v>0</v>
      </c>
      <c r="GF71" s="146" cm="1">
        <f t="array" ref="GF71">IF($FY71=0,0,_xlfn.IFS($FY71='Key assumptions'!$C$120,_xlfn.XLOOKUP(LEFT(GF$7,6),Inflation_Year,Inflation_NominaltoReal),TRUE,_xlfn.XLOOKUP($FY71,Inflation_Year,NominaltoReal)))</f>
        <v>0</v>
      </c>
      <c r="GG71" s="143"/>
      <c r="GH71" s="145" cm="1">
        <f t="array" ref="GH71">SUMPRODUCT(--($CR$7:$FW$7&gt;=GH$5),--($CR$7:$FW$7&lt;=GH$6),$CR71:$FW71)*FZ71</f>
        <v>0</v>
      </c>
      <c r="GI71" s="145" cm="1">
        <f t="array" ref="GI71">SUMPRODUCT(--($CR$7:$FW$7&gt;=GI$5),--($CR$7:$FW$7&lt;=GI$6),$CR71:$FW71)*GA71</f>
        <v>0</v>
      </c>
      <c r="GJ71" s="145" cm="1">
        <f t="array" ref="GJ71">SUMPRODUCT(--($CR$7:$FW$7&gt;=GJ$5),--($CR$7:$FW$7&lt;=GJ$6),$CR71:$FW71)*GB71</f>
        <v>0</v>
      </c>
      <c r="GK71" s="145" cm="1">
        <f t="array" ref="GK71">SUMPRODUCT(--($CR$7:$FW$7&gt;=GK$5),--($CR$7:$FW$7&lt;=GK$6),$CR71:$FW71)*GC71</f>
        <v>0</v>
      </c>
      <c r="GL71" s="145" cm="1">
        <f t="array" ref="GL71">SUMPRODUCT(--($CR$7:$FW$7&gt;=GL$5),--($CR$7:$FW$7&lt;=GL$6),$CR71:$FW71)*GD71</f>
        <v>0</v>
      </c>
      <c r="GM71" s="145" cm="1">
        <f t="array" ref="GM71">SUMPRODUCT(--($CR$7:$FW$7&gt;=GM$5),--($CR$7:$FW$7&lt;=GM$6),$CR71:$FW71)*GE71</f>
        <v>0</v>
      </c>
      <c r="GN71" s="145" cm="1">
        <f t="array" ref="GN71">SUMPRODUCT(--($CR$7:$FW$7&gt;=GN$5),--($CR$7:$FW$7&lt;=GN$6),$CR71:$FW71)*GF71</f>
        <v>0</v>
      </c>
      <c r="GO71" s="145">
        <f t="shared" si="0"/>
        <v>0</v>
      </c>
      <c r="GP71" s="87"/>
      <c r="GR71" s="145" cm="1">
        <f t="array" ref="GR71">SUMPRODUCT(--($CR$7:$FW$7&gt;=GR$5),--($CR$7:$FW$7&lt;=GR$6),$CR71:$FW71)</f>
        <v>0</v>
      </c>
    </row>
    <row r="72" spans="2:200" x14ac:dyDescent="0.2">
      <c r="B72" s="141"/>
      <c r="C72" s="141"/>
      <c r="D72" s="141"/>
      <c r="E72" s="141"/>
      <c r="F72" s="141"/>
      <c r="G72" s="141"/>
      <c r="H72" s="142"/>
      <c r="I72" s="126"/>
      <c r="J72" s="143"/>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3"/>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145"/>
      <c r="EK72" s="145"/>
      <c r="EL72" s="145"/>
      <c r="EM72" s="145"/>
      <c r="EN72" s="145"/>
      <c r="EO72" s="145"/>
      <c r="EP72" s="145"/>
      <c r="EQ72" s="145"/>
      <c r="ER72" s="145"/>
      <c r="ES72" s="145"/>
      <c r="ET72" s="145"/>
      <c r="EU72" s="145"/>
      <c r="EV72" s="145"/>
      <c r="EW72" s="145"/>
      <c r="EX72" s="145"/>
      <c r="EY72" s="145"/>
      <c r="EZ72" s="145"/>
      <c r="FA72" s="145"/>
      <c r="FB72" s="145"/>
      <c r="FC72" s="145"/>
      <c r="FD72" s="145"/>
      <c r="FE72" s="145"/>
      <c r="FF72" s="145"/>
      <c r="FG72" s="145"/>
      <c r="FH72" s="145"/>
      <c r="FI72" s="145"/>
      <c r="FJ72" s="145"/>
      <c r="FK72" s="145"/>
      <c r="FL72" s="145"/>
      <c r="FM72" s="145"/>
      <c r="FN72" s="145"/>
      <c r="FO72" s="145"/>
      <c r="FP72" s="145"/>
      <c r="FQ72" s="145"/>
      <c r="FR72" s="145"/>
      <c r="FS72" s="145"/>
      <c r="FT72" s="145"/>
      <c r="FU72" s="145"/>
      <c r="FV72" s="145"/>
      <c r="FW72" s="145"/>
      <c r="FX72" s="143"/>
      <c r="FY72" s="146">
        <f>_xlfn.XLOOKUP($E72,'Key assumptions'!$B$112:$B$120,'Key assumptions'!$C$112:$C$120,0)</f>
        <v>0</v>
      </c>
      <c r="FZ72" s="146" cm="1">
        <f t="array" ref="FZ72">IF($FY72=0,0,_xlfn.IFS($FY72='Key assumptions'!$C$120,_xlfn.XLOOKUP(LEFT(FZ$7,6),Inflation_Year,Inflation_NominaltoReal),TRUE,_xlfn.XLOOKUP($FY72,Inflation_Year,NominaltoReal)))</f>
        <v>0</v>
      </c>
      <c r="GA72" s="146" cm="1">
        <f t="array" ref="GA72">IF($FY72=0,0,_xlfn.IFS($FY72='Key assumptions'!$C$120,_xlfn.XLOOKUP(LEFT(GA$7,6),Inflation_Year,Inflation_NominaltoReal),TRUE,_xlfn.XLOOKUP($FY72,Inflation_Year,NominaltoReal)))</f>
        <v>0</v>
      </c>
      <c r="GB72" s="146" cm="1">
        <f t="array" ref="GB72">IF($FY72=0,0,_xlfn.IFS($FY72='Key assumptions'!$C$120,_xlfn.XLOOKUP(LEFT(GB$7,6),Inflation_Year,Inflation_NominaltoReal),TRUE,_xlfn.XLOOKUP($FY72,Inflation_Year,NominaltoReal)))</f>
        <v>0</v>
      </c>
      <c r="GC72" s="146" cm="1">
        <f t="array" ref="GC72">IF($FY72=0,0,_xlfn.IFS($FY72='Key assumptions'!$C$120,_xlfn.XLOOKUP(LEFT(GC$7,6),Inflation_Year,Inflation_NominaltoReal),TRUE,_xlfn.XLOOKUP($FY72,Inflation_Year,NominaltoReal)))</f>
        <v>0</v>
      </c>
      <c r="GD72" s="146" cm="1">
        <f t="array" ref="GD72">IF($FY72=0,0,_xlfn.IFS($FY72='Key assumptions'!$C$120,_xlfn.XLOOKUP(LEFT(GD$7,6),Inflation_Year,Inflation_NominaltoReal),TRUE,_xlfn.XLOOKUP($FY72,Inflation_Year,NominaltoReal)))</f>
        <v>0</v>
      </c>
      <c r="GE72" s="146" cm="1">
        <f t="array" ref="GE72">IF($FY72=0,0,_xlfn.IFS($FY72='Key assumptions'!$C$120,_xlfn.XLOOKUP(LEFT(GE$7,6),Inflation_Year,Inflation_NominaltoReal),TRUE,_xlfn.XLOOKUP($FY72,Inflation_Year,NominaltoReal)))</f>
        <v>0</v>
      </c>
      <c r="GF72" s="146" cm="1">
        <f t="array" ref="GF72">IF($FY72=0,0,_xlfn.IFS($FY72='Key assumptions'!$C$120,_xlfn.XLOOKUP(LEFT(GF$7,6),Inflation_Year,Inflation_NominaltoReal),TRUE,_xlfn.XLOOKUP($FY72,Inflation_Year,NominaltoReal)))</f>
        <v>0</v>
      </c>
      <c r="GG72" s="143"/>
      <c r="GH72" s="145" cm="1">
        <f t="array" ref="GH72">SUMPRODUCT(--($CR$7:$FW$7&gt;=GH$5),--($CR$7:$FW$7&lt;=GH$6),$CR72:$FW72)*FZ72</f>
        <v>0</v>
      </c>
      <c r="GI72" s="145" cm="1">
        <f t="array" ref="GI72">SUMPRODUCT(--($CR$7:$FW$7&gt;=GI$5),--($CR$7:$FW$7&lt;=GI$6),$CR72:$FW72)*GA72</f>
        <v>0</v>
      </c>
      <c r="GJ72" s="145" cm="1">
        <f t="array" ref="GJ72">SUMPRODUCT(--($CR$7:$FW$7&gt;=GJ$5),--($CR$7:$FW$7&lt;=GJ$6),$CR72:$FW72)*GB72</f>
        <v>0</v>
      </c>
      <c r="GK72" s="145" cm="1">
        <f t="array" ref="GK72">SUMPRODUCT(--($CR$7:$FW$7&gt;=GK$5),--($CR$7:$FW$7&lt;=GK$6),$CR72:$FW72)*GC72</f>
        <v>0</v>
      </c>
      <c r="GL72" s="145" cm="1">
        <f t="array" ref="GL72">SUMPRODUCT(--($CR$7:$FW$7&gt;=GL$5),--($CR$7:$FW$7&lt;=GL$6),$CR72:$FW72)*GD72</f>
        <v>0</v>
      </c>
      <c r="GM72" s="145" cm="1">
        <f t="array" ref="GM72">SUMPRODUCT(--($CR$7:$FW$7&gt;=GM$5),--($CR$7:$FW$7&lt;=GM$6),$CR72:$FW72)*GE72</f>
        <v>0</v>
      </c>
      <c r="GN72" s="145" cm="1">
        <f t="array" ref="GN72">SUMPRODUCT(--($CR$7:$FW$7&gt;=GN$5),--($CR$7:$FW$7&lt;=GN$6),$CR72:$FW72)*GF72</f>
        <v>0</v>
      </c>
      <c r="GO72" s="145">
        <f t="shared" ref="GO72:GO135" si="1">SUM(GH72:GN72)</f>
        <v>0</v>
      </c>
      <c r="GP72" s="87"/>
      <c r="GR72" s="145" cm="1">
        <f t="array" ref="GR72">SUMPRODUCT(--($CR$7:$FW$7&gt;=GR$5),--($CR$7:$FW$7&lt;=GR$6),$CR72:$FW72)</f>
        <v>0</v>
      </c>
    </row>
    <row r="73" spans="2:200" x14ac:dyDescent="0.2">
      <c r="B73" s="141"/>
      <c r="C73" s="141"/>
      <c r="D73" s="141"/>
      <c r="E73" s="141"/>
      <c r="F73" s="141"/>
      <c r="G73" s="141"/>
      <c r="H73" s="142"/>
      <c r="I73" s="126"/>
      <c r="J73" s="143"/>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3"/>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145"/>
      <c r="EK73" s="145"/>
      <c r="EL73" s="145"/>
      <c r="EM73" s="145"/>
      <c r="EN73" s="145"/>
      <c r="EO73" s="145"/>
      <c r="EP73" s="145"/>
      <c r="EQ73" s="145"/>
      <c r="ER73" s="145"/>
      <c r="ES73" s="145"/>
      <c r="ET73" s="145"/>
      <c r="EU73" s="145"/>
      <c r="EV73" s="145"/>
      <c r="EW73" s="145"/>
      <c r="EX73" s="145"/>
      <c r="EY73" s="145"/>
      <c r="EZ73" s="145"/>
      <c r="FA73" s="145"/>
      <c r="FB73" s="145"/>
      <c r="FC73" s="145"/>
      <c r="FD73" s="145"/>
      <c r="FE73" s="145"/>
      <c r="FF73" s="145"/>
      <c r="FG73" s="145"/>
      <c r="FH73" s="145"/>
      <c r="FI73" s="145"/>
      <c r="FJ73" s="145"/>
      <c r="FK73" s="145"/>
      <c r="FL73" s="145"/>
      <c r="FM73" s="145"/>
      <c r="FN73" s="145"/>
      <c r="FO73" s="145"/>
      <c r="FP73" s="145"/>
      <c r="FQ73" s="145"/>
      <c r="FR73" s="145"/>
      <c r="FS73" s="145"/>
      <c r="FT73" s="145"/>
      <c r="FU73" s="145"/>
      <c r="FV73" s="145"/>
      <c r="FW73" s="145"/>
      <c r="FX73" s="143"/>
      <c r="FY73" s="146">
        <f>_xlfn.XLOOKUP($E73,'Key assumptions'!$B$112:$B$120,'Key assumptions'!$C$112:$C$120,0)</f>
        <v>0</v>
      </c>
      <c r="FZ73" s="146" cm="1">
        <f t="array" ref="FZ73">IF($FY73=0,0,_xlfn.IFS($FY73='Key assumptions'!$C$120,_xlfn.XLOOKUP(LEFT(FZ$7,6),Inflation_Year,Inflation_NominaltoReal),TRUE,_xlfn.XLOOKUP($FY73,Inflation_Year,NominaltoReal)))</f>
        <v>0</v>
      </c>
      <c r="GA73" s="146" cm="1">
        <f t="array" ref="GA73">IF($FY73=0,0,_xlfn.IFS($FY73='Key assumptions'!$C$120,_xlfn.XLOOKUP(LEFT(GA$7,6),Inflation_Year,Inflation_NominaltoReal),TRUE,_xlfn.XLOOKUP($FY73,Inflation_Year,NominaltoReal)))</f>
        <v>0</v>
      </c>
      <c r="GB73" s="146" cm="1">
        <f t="array" ref="GB73">IF($FY73=0,0,_xlfn.IFS($FY73='Key assumptions'!$C$120,_xlfn.XLOOKUP(LEFT(GB$7,6),Inflation_Year,Inflation_NominaltoReal),TRUE,_xlfn.XLOOKUP($FY73,Inflation_Year,NominaltoReal)))</f>
        <v>0</v>
      </c>
      <c r="GC73" s="146" cm="1">
        <f t="array" ref="GC73">IF($FY73=0,0,_xlfn.IFS($FY73='Key assumptions'!$C$120,_xlfn.XLOOKUP(LEFT(GC$7,6),Inflation_Year,Inflation_NominaltoReal),TRUE,_xlfn.XLOOKUP($FY73,Inflation_Year,NominaltoReal)))</f>
        <v>0</v>
      </c>
      <c r="GD73" s="146" cm="1">
        <f t="array" ref="GD73">IF($FY73=0,0,_xlfn.IFS($FY73='Key assumptions'!$C$120,_xlfn.XLOOKUP(LEFT(GD$7,6),Inflation_Year,Inflation_NominaltoReal),TRUE,_xlfn.XLOOKUP($FY73,Inflation_Year,NominaltoReal)))</f>
        <v>0</v>
      </c>
      <c r="GE73" s="146" cm="1">
        <f t="array" ref="GE73">IF($FY73=0,0,_xlfn.IFS($FY73='Key assumptions'!$C$120,_xlfn.XLOOKUP(LEFT(GE$7,6),Inflation_Year,Inflation_NominaltoReal),TRUE,_xlfn.XLOOKUP($FY73,Inflation_Year,NominaltoReal)))</f>
        <v>0</v>
      </c>
      <c r="GF73" s="146" cm="1">
        <f t="array" ref="GF73">IF($FY73=0,0,_xlfn.IFS($FY73='Key assumptions'!$C$120,_xlfn.XLOOKUP(LEFT(GF$7,6),Inflation_Year,Inflation_NominaltoReal),TRUE,_xlfn.XLOOKUP($FY73,Inflation_Year,NominaltoReal)))</f>
        <v>0</v>
      </c>
      <c r="GG73" s="143"/>
      <c r="GH73" s="145" cm="1">
        <f t="array" ref="GH73">SUMPRODUCT(--($CR$7:$FW$7&gt;=GH$5),--($CR$7:$FW$7&lt;=GH$6),$CR73:$FW73)*FZ73</f>
        <v>0</v>
      </c>
      <c r="GI73" s="145" cm="1">
        <f t="array" ref="GI73">SUMPRODUCT(--($CR$7:$FW$7&gt;=GI$5),--($CR$7:$FW$7&lt;=GI$6),$CR73:$FW73)*GA73</f>
        <v>0</v>
      </c>
      <c r="GJ73" s="145" cm="1">
        <f t="array" ref="GJ73">SUMPRODUCT(--($CR$7:$FW$7&gt;=GJ$5),--($CR$7:$FW$7&lt;=GJ$6),$CR73:$FW73)*GB73</f>
        <v>0</v>
      </c>
      <c r="GK73" s="145" cm="1">
        <f t="array" ref="GK73">SUMPRODUCT(--($CR$7:$FW$7&gt;=GK$5),--($CR$7:$FW$7&lt;=GK$6),$CR73:$FW73)*GC73</f>
        <v>0</v>
      </c>
      <c r="GL73" s="145" cm="1">
        <f t="array" ref="GL73">SUMPRODUCT(--($CR$7:$FW$7&gt;=GL$5),--($CR$7:$FW$7&lt;=GL$6),$CR73:$FW73)*GD73</f>
        <v>0</v>
      </c>
      <c r="GM73" s="145" cm="1">
        <f t="array" ref="GM73">SUMPRODUCT(--($CR$7:$FW$7&gt;=GM$5),--($CR$7:$FW$7&lt;=GM$6),$CR73:$FW73)*GE73</f>
        <v>0</v>
      </c>
      <c r="GN73" s="145" cm="1">
        <f t="array" ref="GN73">SUMPRODUCT(--($CR$7:$FW$7&gt;=GN$5),--($CR$7:$FW$7&lt;=GN$6),$CR73:$FW73)*GF73</f>
        <v>0</v>
      </c>
      <c r="GO73" s="145">
        <f t="shared" si="1"/>
        <v>0</v>
      </c>
      <c r="GP73" s="87"/>
      <c r="GR73" s="145" cm="1">
        <f t="array" ref="GR73">SUMPRODUCT(--($CR$7:$FW$7&gt;=GR$5),--($CR$7:$FW$7&lt;=GR$6),$CR73:$FW73)</f>
        <v>0</v>
      </c>
    </row>
    <row r="74" spans="2:200" x14ac:dyDescent="0.2">
      <c r="B74" s="141"/>
      <c r="C74" s="141"/>
      <c r="D74" s="141"/>
      <c r="E74" s="141"/>
      <c r="F74" s="141"/>
      <c r="G74" s="141"/>
      <c r="H74" s="142"/>
      <c r="I74" s="126"/>
      <c r="J74" s="143"/>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3"/>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3"/>
      <c r="FY74" s="146">
        <f>_xlfn.XLOOKUP($E74,'Key assumptions'!$B$112:$B$120,'Key assumptions'!$C$112:$C$120,0)</f>
        <v>0</v>
      </c>
      <c r="FZ74" s="146" cm="1">
        <f t="array" ref="FZ74">IF($FY74=0,0,_xlfn.IFS($FY74='Key assumptions'!$C$120,_xlfn.XLOOKUP(LEFT(FZ$7,6),Inflation_Year,Inflation_NominaltoReal),TRUE,_xlfn.XLOOKUP($FY74,Inflation_Year,NominaltoReal)))</f>
        <v>0</v>
      </c>
      <c r="GA74" s="146" cm="1">
        <f t="array" ref="GA74">IF($FY74=0,0,_xlfn.IFS($FY74='Key assumptions'!$C$120,_xlfn.XLOOKUP(LEFT(GA$7,6),Inflation_Year,Inflation_NominaltoReal),TRUE,_xlfn.XLOOKUP($FY74,Inflation_Year,NominaltoReal)))</f>
        <v>0</v>
      </c>
      <c r="GB74" s="146" cm="1">
        <f t="array" ref="GB74">IF($FY74=0,0,_xlfn.IFS($FY74='Key assumptions'!$C$120,_xlfn.XLOOKUP(LEFT(GB$7,6),Inflation_Year,Inflation_NominaltoReal),TRUE,_xlfn.XLOOKUP($FY74,Inflation_Year,NominaltoReal)))</f>
        <v>0</v>
      </c>
      <c r="GC74" s="146" cm="1">
        <f t="array" ref="GC74">IF($FY74=0,0,_xlfn.IFS($FY74='Key assumptions'!$C$120,_xlfn.XLOOKUP(LEFT(GC$7,6),Inflation_Year,Inflation_NominaltoReal),TRUE,_xlfn.XLOOKUP($FY74,Inflation_Year,NominaltoReal)))</f>
        <v>0</v>
      </c>
      <c r="GD74" s="146" cm="1">
        <f t="array" ref="GD74">IF($FY74=0,0,_xlfn.IFS($FY74='Key assumptions'!$C$120,_xlfn.XLOOKUP(LEFT(GD$7,6),Inflation_Year,Inflation_NominaltoReal),TRUE,_xlfn.XLOOKUP($FY74,Inflation_Year,NominaltoReal)))</f>
        <v>0</v>
      </c>
      <c r="GE74" s="146" cm="1">
        <f t="array" ref="GE74">IF($FY74=0,0,_xlfn.IFS($FY74='Key assumptions'!$C$120,_xlfn.XLOOKUP(LEFT(GE$7,6),Inflation_Year,Inflation_NominaltoReal),TRUE,_xlfn.XLOOKUP($FY74,Inflation_Year,NominaltoReal)))</f>
        <v>0</v>
      </c>
      <c r="GF74" s="146" cm="1">
        <f t="array" ref="GF74">IF($FY74=0,0,_xlfn.IFS($FY74='Key assumptions'!$C$120,_xlfn.XLOOKUP(LEFT(GF$7,6),Inflation_Year,Inflation_NominaltoReal),TRUE,_xlfn.XLOOKUP($FY74,Inflation_Year,NominaltoReal)))</f>
        <v>0</v>
      </c>
      <c r="GG74" s="143"/>
      <c r="GH74" s="145" cm="1">
        <f t="array" ref="GH74">SUMPRODUCT(--($CR$7:$FW$7&gt;=GH$5),--($CR$7:$FW$7&lt;=GH$6),$CR74:$FW74)*FZ74</f>
        <v>0</v>
      </c>
      <c r="GI74" s="145" cm="1">
        <f t="array" ref="GI74">SUMPRODUCT(--($CR$7:$FW$7&gt;=GI$5),--($CR$7:$FW$7&lt;=GI$6),$CR74:$FW74)*GA74</f>
        <v>0</v>
      </c>
      <c r="GJ74" s="145" cm="1">
        <f t="array" ref="GJ74">SUMPRODUCT(--($CR$7:$FW$7&gt;=GJ$5),--($CR$7:$FW$7&lt;=GJ$6),$CR74:$FW74)*GB74</f>
        <v>0</v>
      </c>
      <c r="GK74" s="145" cm="1">
        <f t="array" ref="GK74">SUMPRODUCT(--($CR$7:$FW$7&gt;=GK$5),--($CR$7:$FW$7&lt;=GK$6),$CR74:$FW74)*GC74</f>
        <v>0</v>
      </c>
      <c r="GL74" s="145" cm="1">
        <f t="array" ref="GL74">SUMPRODUCT(--($CR$7:$FW$7&gt;=GL$5),--($CR$7:$FW$7&lt;=GL$6),$CR74:$FW74)*GD74</f>
        <v>0</v>
      </c>
      <c r="GM74" s="145" cm="1">
        <f t="array" ref="GM74">SUMPRODUCT(--($CR$7:$FW$7&gt;=GM$5),--($CR$7:$FW$7&lt;=GM$6),$CR74:$FW74)*GE74</f>
        <v>0</v>
      </c>
      <c r="GN74" s="145" cm="1">
        <f t="array" ref="GN74">SUMPRODUCT(--($CR$7:$FW$7&gt;=GN$5),--($CR$7:$FW$7&lt;=GN$6),$CR74:$FW74)*GF74</f>
        <v>0</v>
      </c>
      <c r="GO74" s="145">
        <f t="shared" si="1"/>
        <v>0</v>
      </c>
      <c r="GP74" s="87"/>
      <c r="GR74" s="145" cm="1">
        <f t="array" ref="GR74">SUMPRODUCT(--($CR$7:$FW$7&gt;=GR$5),--($CR$7:$FW$7&lt;=GR$6),$CR74:$FW74)</f>
        <v>0</v>
      </c>
    </row>
    <row r="75" spans="2:200" x14ac:dyDescent="0.2">
      <c r="B75" s="141"/>
      <c r="C75" s="141"/>
      <c r="D75" s="141"/>
      <c r="E75" s="141"/>
      <c r="F75" s="141"/>
      <c r="G75" s="141"/>
      <c r="H75" s="142"/>
      <c r="I75" s="126"/>
      <c r="J75" s="143"/>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3"/>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145"/>
      <c r="EH75" s="145"/>
      <c r="EI75" s="145"/>
      <c r="EJ75" s="145"/>
      <c r="EK75" s="145"/>
      <c r="EL75" s="145"/>
      <c r="EM75" s="145"/>
      <c r="EN75" s="145"/>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3"/>
      <c r="FY75" s="146">
        <f>_xlfn.XLOOKUP($E75,'Key assumptions'!$B$112:$B$120,'Key assumptions'!$C$112:$C$120,0)</f>
        <v>0</v>
      </c>
      <c r="FZ75" s="146" cm="1">
        <f t="array" ref="FZ75">IF($FY75=0,0,_xlfn.IFS($FY75='Key assumptions'!$C$120,_xlfn.XLOOKUP(LEFT(FZ$7,6),Inflation_Year,Inflation_NominaltoReal),TRUE,_xlfn.XLOOKUP($FY75,Inflation_Year,NominaltoReal)))</f>
        <v>0</v>
      </c>
      <c r="GA75" s="146" cm="1">
        <f t="array" ref="GA75">IF($FY75=0,0,_xlfn.IFS($FY75='Key assumptions'!$C$120,_xlfn.XLOOKUP(LEFT(GA$7,6),Inflation_Year,Inflation_NominaltoReal),TRUE,_xlfn.XLOOKUP($FY75,Inflation_Year,NominaltoReal)))</f>
        <v>0</v>
      </c>
      <c r="GB75" s="146" cm="1">
        <f t="array" ref="GB75">IF($FY75=0,0,_xlfn.IFS($FY75='Key assumptions'!$C$120,_xlfn.XLOOKUP(LEFT(GB$7,6),Inflation_Year,Inflation_NominaltoReal),TRUE,_xlfn.XLOOKUP($FY75,Inflation_Year,NominaltoReal)))</f>
        <v>0</v>
      </c>
      <c r="GC75" s="146" cm="1">
        <f t="array" ref="GC75">IF($FY75=0,0,_xlfn.IFS($FY75='Key assumptions'!$C$120,_xlfn.XLOOKUP(LEFT(GC$7,6),Inflation_Year,Inflation_NominaltoReal),TRUE,_xlfn.XLOOKUP($FY75,Inflation_Year,NominaltoReal)))</f>
        <v>0</v>
      </c>
      <c r="GD75" s="146" cm="1">
        <f t="array" ref="GD75">IF($FY75=0,0,_xlfn.IFS($FY75='Key assumptions'!$C$120,_xlfn.XLOOKUP(LEFT(GD$7,6),Inflation_Year,Inflation_NominaltoReal),TRUE,_xlfn.XLOOKUP($FY75,Inflation_Year,NominaltoReal)))</f>
        <v>0</v>
      </c>
      <c r="GE75" s="146" cm="1">
        <f t="array" ref="GE75">IF($FY75=0,0,_xlfn.IFS($FY75='Key assumptions'!$C$120,_xlfn.XLOOKUP(LEFT(GE$7,6),Inflation_Year,Inflation_NominaltoReal),TRUE,_xlfn.XLOOKUP($FY75,Inflation_Year,NominaltoReal)))</f>
        <v>0</v>
      </c>
      <c r="GF75" s="146" cm="1">
        <f t="array" ref="GF75">IF($FY75=0,0,_xlfn.IFS($FY75='Key assumptions'!$C$120,_xlfn.XLOOKUP(LEFT(GF$7,6),Inflation_Year,Inflation_NominaltoReal),TRUE,_xlfn.XLOOKUP($FY75,Inflation_Year,NominaltoReal)))</f>
        <v>0</v>
      </c>
      <c r="GG75" s="143"/>
      <c r="GH75" s="145" cm="1">
        <f t="array" ref="GH75">SUMPRODUCT(--($CR$7:$FW$7&gt;=GH$5),--($CR$7:$FW$7&lt;=GH$6),$CR75:$FW75)*FZ75</f>
        <v>0</v>
      </c>
      <c r="GI75" s="145" cm="1">
        <f t="array" ref="GI75">SUMPRODUCT(--($CR$7:$FW$7&gt;=GI$5),--($CR$7:$FW$7&lt;=GI$6),$CR75:$FW75)*GA75</f>
        <v>0</v>
      </c>
      <c r="GJ75" s="145" cm="1">
        <f t="array" ref="GJ75">SUMPRODUCT(--($CR$7:$FW$7&gt;=GJ$5),--($CR$7:$FW$7&lt;=GJ$6),$CR75:$FW75)*GB75</f>
        <v>0</v>
      </c>
      <c r="GK75" s="145" cm="1">
        <f t="array" ref="GK75">SUMPRODUCT(--($CR$7:$FW$7&gt;=GK$5),--($CR$7:$FW$7&lt;=GK$6),$CR75:$FW75)*GC75</f>
        <v>0</v>
      </c>
      <c r="GL75" s="145" cm="1">
        <f t="array" ref="GL75">SUMPRODUCT(--($CR$7:$FW$7&gt;=GL$5),--($CR$7:$FW$7&lt;=GL$6),$CR75:$FW75)*GD75</f>
        <v>0</v>
      </c>
      <c r="GM75" s="145" cm="1">
        <f t="array" ref="GM75">SUMPRODUCT(--($CR$7:$FW$7&gt;=GM$5),--($CR$7:$FW$7&lt;=GM$6),$CR75:$FW75)*GE75</f>
        <v>0</v>
      </c>
      <c r="GN75" s="145" cm="1">
        <f t="array" ref="GN75">SUMPRODUCT(--($CR$7:$FW$7&gt;=GN$5),--($CR$7:$FW$7&lt;=GN$6),$CR75:$FW75)*GF75</f>
        <v>0</v>
      </c>
      <c r="GO75" s="145">
        <f t="shared" si="1"/>
        <v>0</v>
      </c>
      <c r="GP75" s="87"/>
      <c r="GR75" s="145" cm="1">
        <f t="array" ref="GR75">SUMPRODUCT(--($CR$7:$FW$7&gt;=GR$5),--($CR$7:$FW$7&lt;=GR$6),$CR75:$FW75)</f>
        <v>0</v>
      </c>
    </row>
    <row r="76" spans="2:200" x14ac:dyDescent="0.2">
      <c r="B76" s="141"/>
      <c r="C76" s="141"/>
      <c r="D76" s="141"/>
      <c r="E76" s="141"/>
      <c r="F76" s="141"/>
      <c r="G76" s="141"/>
      <c r="H76" s="142"/>
      <c r="I76" s="126"/>
      <c r="J76" s="143"/>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3"/>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c r="EE76" s="145"/>
      <c r="EF76" s="145"/>
      <c r="EG76" s="145"/>
      <c r="EH76" s="145"/>
      <c r="EI76" s="145"/>
      <c r="EJ76" s="145"/>
      <c r="EK76" s="145"/>
      <c r="EL76" s="145"/>
      <c r="EM76" s="145"/>
      <c r="EN76" s="145"/>
      <c r="EO76" s="145"/>
      <c r="EP76" s="145"/>
      <c r="EQ76" s="145"/>
      <c r="ER76" s="145"/>
      <c r="ES76" s="145"/>
      <c r="ET76" s="145"/>
      <c r="EU76" s="145"/>
      <c r="EV76" s="145"/>
      <c r="EW76" s="145"/>
      <c r="EX76" s="145"/>
      <c r="EY76" s="145"/>
      <c r="EZ76" s="145"/>
      <c r="FA76" s="145"/>
      <c r="FB76" s="145"/>
      <c r="FC76" s="145"/>
      <c r="FD76" s="145"/>
      <c r="FE76" s="145"/>
      <c r="FF76" s="145"/>
      <c r="FG76" s="145"/>
      <c r="FH76" s="145"/>
      <c r="FI76" s="145"/>
      <c r="FJ76" s="145"/>
      <c r="FK76" s="145"/>
      <c r="FL76" s="145"/>
      <c r="FM76" s="145"/>
      <c r="FN76" s="145"/>
      <c r="FO76" s="145"/>
      <c r="FP76" s="145"/>
      <c r="FQ76" s="145"/>
      <c r="FR76" s="145"/>
      <c r="FS76" s="145"/>
      <c r="FT76" s="145"/>
      <c r="FU76" s="145"/>
      <c r="FV76" s="145"/>
      <c r="FW76" s="145"/>
      <c r="FX76" s="143"/>
      <c r="FY76" s="146">
        <f>_xlfn.XLOOKUP($E76,'Key assumptions'!$B$112:$B$120,'Key assumptions'!$C$112:$C$120,0)</f>
        <v>0</v>
      </c>
      <c r="FZ76" s="146" cm="1">
        <f t="array" ref="FZ76">IF($FY76=0,0,_xlfn.IFS($FY76='Key assumptions'!$C$120,_xlfn.XLOOKUP(LEFT(FZ$7,6),Inflation_Year,Inflation_NominaltoReal),TRUE,_xlfn.XLOOKUP($FY76,Inflation_Year,NominaltoReal)))</f>
        <v>0</v>
      </c>
      <c r="GA76" s="146" cm="1">
        <f t="array" ref="GA76">IF($FY76=0,0,_xlfn.IFS($FY76='Key assumptions'!$C$120,_xlfn.XLOOKUP(LEFT(GA$7,6),Inflation_Year,Inflation_NominaltoReal),TRUE,_xlfn.XLOOKUP($FY76,Inflation_Year,NominaltoReal)))</f>
        <v>0</v>
      </c>
      <c r="GB76" s="146" cm="1">
        <f t="array" ref="GB76">IF($FY76=0,0,_xlfn.IFS($FY76='Key assumptions'!$C$120,_xlfn.XLOOKUP(LEFT(GB$7,6),Inflation_Year,Inflation_NominaltoReal),TRUE,_xlfn.XLOOKUP($FY76,Inflation_Year,NominaltoReal)))</f>
        <v>0</v>
      </c>
      <c r="GC76" s="146" cm="1">
        <f t="array" ref="GC76">IF($FY76=0,0,_xlfn.IFS($FY76='Key assumptions'!$C$120,_xlfn.XLOOKUP(LEFT(GC$7,6),Inflation_Year,Inflation_NominaltoReal),TRUE,_xlfn.XLOOKUP($FY76,Inflation_Year,NominaltoReal)))</f>
        <v>0</v>
      </c>
      <c r="GD76" s="146" cm="1">
        <f t="array" ref="GD76">IF($FY76=0,0,_xlfn.IFS($FY76='Key assumptions'!$C$120,_xlfn.XLOOKUP(LEFT(GD$7,6),Inflation_Year,Inflation_NominaltoReal),TRUE,_xlfn.XLOOKUP($FY76,Inflation_Year,NominaltoReal)))</f>
        <v>0</v>
      </c>
      <c r="GE76" s="146" cm="1">
        <f t="array" ref="GE76">IF($FY76=0,0,_xlfn.IFS($FY76='Key assumptions'!$C$120,_xlfn.XLOOKUP(LEFT(GE$7,6),Inflation_Year,Inflation_NominaltoReal),TRUE,_xlfn.XLOOKUP($FY76,Inflation_Year,NominaltoReal)))</f>
        <v>0</v>
      </c>
      <c r="GF76" s="146" cm="1">
        <f t="array" ref="GF76">IF($FY76=0,0,_xlfn.IFS($FY76='Key assumptions'!$C$120,_xlfn.XLOOKUP(LEFT(GF$7,6),Inflation_Year,Inflation_NominaltoReal),TRUE,_xlfn.XLOOKUP($FY76,Inflation_Year,NominaltoReal)))</f>
        <v>0</v>
      </c>
      <c r="GG76" s="143"/>
      <c r="GH76" s="145" cm="1">
        <f t="array" ref="GH76">SUMPRODUCT(--($CR$7:$FW$7&gt;=GH$5),--($CR$7:$FW$7&lt;=GH$6),$CR76:$FW76)*FZ76</f>
        <v>0</v>
      </c>
      <c r="GI76" s="145" cm="1">
        <f t="array" ref="GI76">SUMPRODUCT(--($CR$7:$FW$7&gt;=GI$5),--($CR$7:$FW$7&lt;=GI$6),$CR76:$FW76)*GA76</f>
        <v>0</v>
      </c>
      <c r="GJ76" s="145" cm="1">
        <f t="array" ref="GJ76">SUMPRODUCT(--($CR$7:$FW$7&gt;=GJ$5),--($CR$7:$FW$7&lt;=GJ$6),$CR76:$FW76)*GB76</f>
        <v>0</v>
      </c>
      <c r="GK76" s="145" cm="1">
        <f t="array" ref="GK76">SUMPRODUCT(--($CR$7:$FW$7&gt;=GK$5),--($CR$7:$FW$7&lt;=GK$6),$CR76:$FW76)*GC76</f>
        <v>0</v>
      </c>
      <c r="GL76" s="145" cm="1">
        <f t="array" ref="GL76">SUMPRODUCT(--($CR$7:$FW$7&gt;=GL$5),--($CR$7:$FW$7&lt;=GL$6),$CR76:$FW76)*GD76</f>
        <v>0</v>
      </c>
      <c r="GM76" s="145" cm="1">
        <f t="array" ref="GM76">SUMPRODUCT(--($CR$7:$FW$7&gt;=GM$5),--($CR$7:$FW$7&lt;=GM$6),$CR76:$FW76)*GE76</f>
        <v>0</v>
      </c>
      <c r="GN76" s="145" cm="1">
        <f t="array" ref="GN76">SUMPRODUCT(--($CR$7:$FW$7&gt;=GN$5),--($CR$7:$FW$7&lt;=GN$6),$CR76:$FW76)*GF76</f>
        <v>0</v>
      </c>
      <c r="GO76" s="145">
        <f t="shared" si="1"/>
        <v>0</v>
      </c>
      <c r="GP76" s="87"/>
      <c r="GR76" s="145" cm="1">
        <f t="array" ref="GR76">SUMPRODUCT(--($CR$7:$FW$7&gt;=GR$5),--($CR$7:$FW$7&lt;=GR$6),$CR76:$FW76)</f>
        <v>0</v>
      </c>
    </row>
    <row r="77" spans="2:200" x14ac:dyDescent="0.2">
      <c r="B77" s="141"/>
      <c r="C77" s="141"/>
      <c r="D77" s="141"/>
      <c r="E77" s="141"/>
      <c r="F77" s="141"/>
      <c r="G77" s="141"/>
      <c r="H77" s="142"/>
      <c r="I77" s="126"/>
      <c r="J77" s="143"/>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3"/>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c r="EE77" s="145"/>
      <c r="EF77" s="145"/>
      <c r="EG77" s="145"/>
      <c r="EH77" s="145"/>
      <c r="EI77" s="145"/>
      <c r="EJ77" s="145"/>
      <c r="EK77" s="145"/>
      <c r="EL77" s="145"/>
      <c r="EM77" s="145"/>
      <c r="EN77" s="145"/>
      <c r="EO77" s="145"/>
      <c r="EP77" s="145"/>
      <c r="EQ77" s="145"/>
      <c r="ER77" s="145"/>
      <c r="ES77" s="145"/>
      <c r="ET77" s="145"/>
      <c r="EU77" s="145"/>
      <c r="EV77" s="145"/>
      <c r="EW77" s="145"/>
      <c r="EX77" s="145"/>
      <c r="EY77" s="145"/>
      <c r="EZ77" s="145"/>
      <c r="FA77" s="145"/>
      <c r="FB77" s="145"/>
      <c r="FC77" s="145"/>
      <c r="FD77" s="145"/>
      <c r="FE77" s="145"/>
      <c r="FF77" s="145"/>
      <c r="FG77" s="145"/>
      <c r="FH77" s="145"/>
      <c r="FI77" s="145"/>
      <c r="FJ77" s="145"/>
      <c r="FK77" s="145"/>
      <c r="FL77" s="145"/>
      <c r="FM77" s="145"/>
      <c r="FN77" s="145"/>
      <c r="FO77" s="145"/>
      <c r="FP77" s="145"/>
      <c r="FQ77" s="145"/>
      <c r="FR77" s="145"/>
      <c r="FS77" s="145"/>
      <c r="FT77" s="145"/>
      <c r="FU77" s="145"/>
      <c r="FV77" s="145"/>
      <c r="FW77" s="145"/>
      <c r="FX77" s="143"/>
      <c r="FY77" s="146">
        <f>_xlfn.XLOOKUP($E77,'Key assumptions'!$B$112:$B$120,'Key assumptions'!$C$112:$C$120,0)</f>
        <v>0</v>
      </c>
      <c r="FZ77" s="146" cm="1">
        <f t="array" ref="FZ77">IF($FY77=0,0,_xlfn.IFS($FY77='Key assumptions'!$C$120,_xlfn.XLOOKUP(LEFT(FZ$7,6),Inflation_Year,Inflation_NominaltoReal),TRUE,_xlfn.XLOOKUP($FY77,Inflation_Year,NominaltoReal)))</f>
        <v>0</v>
      </c>
      <c r="GA77" s="146" cm="1">
        <f t="array" ref="GA77">IF($FY77=0,0,_xlfn.IFS($FY77='Key assumptions'!$C$120,_xlfn.XLOOKUP(LEFT(GA$7,6),Inflation_Year,Inflation_NominaltoReal),TRUE,_xlfn.XLOOKUP($FY77,Inflation_Year,NominaltoReal)))</f>
        <v>0</v>
      </c>
      <c r="GB77" s="146" cm="1">
        <f t="array" ref="GB77">IF($FY77=0,0,_xlfn.IFS($FY77='Key assumptions'!$C$120,_xlfn.XLOOKUP(LEFT(GB$7,6),Inflation_Year,Inflation_NominaltoReal),TRUE,_xlfn.XLOOKUP($FY77,Inflation_Year,NominaltoReal)))</f>
        <v>0</v>
      </c>
      <c r="GC77" s="146" cm="1">
        <f t="array" ref="GC77">IF($FY77=0,0,_xlfn.IFS($FY77='Key assumptions'!$C$120,_xlfn.XLOOKUP(LEFT(GC$7,6),Inflation_Year,Inflation_NominaltoReal),TRUE,_xlfn.XLOOKUP($FY77,Inflation_Year,NominaltoReal)))</f>
        <v>0</v>
      </c>
      <c r="GD77" s="146" cm="1">
        <f t="array" ref="GD77">IF($FY77=0,0,_xlfn.IFS($FY77='Key assumptions'!$C$120,_xlfn.XLOOKUP(LEFT(GD$7,6),Inflation_Year,Inflation_NominaltoReal),TRUE,_xlfn.XLOOKUP($FY77,Inflation_Year,NominaltoReal)))</f>
        <v>0</v>
      </c>
      <c r="GE77" s="146" cm="1">
        <f t="array" ref="GE77">IF($FY77=0,0,_xlfn.IFS($FY77='Key assumptions'!$C$120,_xlfn.XLOOKUP(LEFT(GE$7,6),Inflation_Year,Inflation_NominaltoReal),TRUE,_xlfn.XLOOKUP($FY77,Inflation_Year,NominaltoReal)))</f>
        <v>0</v>
      </c>
      <c r="GF77" s="146" cm="1">
        <f t="array" ref="GF77">IF($FY77=0,0,_xlfn.IFS($FY77='Key assumptions'!$C$120,_xlfn.XLOOKUP(LEFT(GF$7,6),Inflation_Year,Inflation_NominaltoReal),TRUE,_xlfn.XLOOKUP($FY77,Inflation_Year,NominaltoReal)))</f>
        <v>0</v>
      </c>
      <c r="GG77" s="143"/>
      <c r="GH77" s="145" cm="1">
        <f t="array" ref="GH77">SUMPRODUCT(--($CR$7:$FW$7&gt;=GH$5),--($CR$7:$FW$7&lt;=GH$6),$CR77:$FW77)*FZ77</f>
        <v>0</v>
      </c>
      <c r="GI77" s="145" cm="1">
        <f t="array" ref="GI77">SUMPRODUCT(--($CR$7:$FW$7&gt;=GI$5),--($CR$7:$FW$7&lt;=GI$6),$CR77:$FW77)*GA77</f>
        <v>0</v>
      </c>
      <c r="GJ77" s="145" cm="1">
        <f t="array" ref="GJ77">SUMPRODUCT(--($CR$7:$FW$7&gt;=GJ$5),--($CR$7:$FW$7&lt;=GJ$6),$CR77:$FW77)*GB77</f>
        <v>0</v>
      </c>
      <c r="GK77" s="145" cm="1">
        <f t="array" ref="GK77">SUMPRODUCT(--($CR$7:$FW$7&gt;=GK$5),--($CR$7:$FW$7&lt;=GK$6),$CR77:$FW77)*GC77</f>
        <v>0</v>
      </c>
      <c r="GL77" s="145" cm="1">
        <f t="array" ref="GL77">SUMPRODUCT(--($CR$7:$FW$7&gt;=GL$5),--($CR$7:$FW$7&lt;=GL$6),$CR77:$FW77)*GD77</f>
        <v>0</v>
      </c>
      <c r="GM77" s="145" cm="1">
        <f t="array" ref="GM77">SUMPRODUCT(--($CR$7:$FW$7&gt;=GM$5),--($CR$7:$FW$7&lt;=GM$6),$CR77:$FW77)*GE77</f>
        <v>0</v>
      </c>
      <c r="GN77" s="145" cm="1">
        <f t="array" ref="GN77">SUMPRODUCT(--($CR$7:$FW$7&gt;=GN$5),--($CR$7:$FW$7&lt;=GN$6),$CR77:$FW77)*GF77</f>
        <v>0</v>
      </c>
      <c r="GO77" s="145">
        <f t="shared" si="1"/>
        <v>0</v>
      </c>
      <c r="GP77" s="87"/>
      <c r="GR77" s="145" cm="1">
        <f t="array" ref="GR77">SUMPRODUCT(--($CR$7:$FW$7&gt;=GR$5),--($CR$7:$FW$7&lt;=GR$6),$CR77:$FW77)</f>
        <v>0</v>
      </c>
    </row>
    <row r="78" spans="2:200" x14ac:dyDescent="0.2">
      <c r="B78" s="141"/>
      <c r="C78" s="141"/>
      <c r="D78" s="141"/>
      <c r="E78" s="141"/>
      <c r="F78" s="141"/>
      <c r="G78" s="141"/>
      <c r="H78" s="142"/>
      <c r="I78" s="126"/>
      <c r="J78" s="143"/>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3"/>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c r="EE78" s="145"/>
      <c r="EF78" s="145"/>
      <c r="EG78" s="145"/>
      <c r="EH78" s="145"/>
      <c r="EI78" s="145"/>
      <c r="EJ78" s="145"/>
      <c r="EK78" s="145"/>
      <c r="EL78" s="145"/>
      <c r="EM78" s="145"/>
      <c r="EN78" s="145"/>
      <c r="EO78" s="145"/>
      <c r="EP78" s="145"/>
      <c r="EQ78" s="145"/>
      <c r="ER78" s="145"/>
      <c r="ES78" s="145"/>
      <c r="ET78" s="145"/>
      <c r="EU78" s="145"/>
      <c r="EV78" s="145"/>
      <c r="EW78" s="145"/>
      <c r="EX78" s="145"/>
      <c r="EY78" s="145"/>
      <c r="EZ78" s="145"/>
      <c r="FA78" s="145"/>
      <c r="FB78" s="145"/>
      <c r="FC78" s="145"/>
      <c r="FD78" s="145"/>
      <c r="FE78" s="145"/>
      <c r="FF78" s="145"/>
      <c r="FG78" s="145"/>
      <c r="FH78" s="145"/>
      <c r="FI78" s="145"/>
      <c r="FJ78" s="145"/>
      <c r="FK78" s="145"/>
      <c r="FL78" s="145"/>
      <c r="FM78" s="145"/>
      <c r="FN78" s="145"/>
      <c r="FO78" s="145"/>
      <c r="FP78" s="145"/>
      <c r="FQ78" s="145"/>
      <c r="FR78" s="145"/>
      <c r="FS78" s="145"/>
      <c r="FT78" s="145"/>
      <c r="FU78" s="145"/>
      <c r="FV78" s="145"/>
      <c r="FW78" s="145"/>
      <c r="FX78" s="143"/>
      <c r="FY78" s="146">
        <f>_xlfn.XLOOKUP($E78,'Key assumptions'!$B$112:$B$120,'Key assumptions'!$C$112:$C$120,0)</f>
        <v>0</v>
      </c>
      <c r="FZ78" s="146" cm="1">
        <f t="array" ref="FZ78">IF($FY78=0,0,_xlfn.IFS($FY78='Key assumptions'!$C$120,_xlfn.XLOOKUP(LEFT(FZ$7,6),Inflation_Year,Inflation_NominaltoReal),TRUE,_xlfn.XLOOKUP($FY78,Inflation_Year,NominaltoReal)))</f>
        <v>0</v>
      </c>
      <c r="GA78" s="146" cm="1">
        <f t="array" ref="GA78">IF($FY78=0,0,_xlfn.IFS($FY78='Key assumptions'!$C$120,_xlfn.XLOOKUP(LEFT(GA$7,6),Inflation_Year,Inflation_NominaltoReal),TRUE,_xlfn.XLOOKUP($FY78,Inflation_Year,NominaltoReal)))</f>
        <v>0</v>
      </c>
      <c r="GB78" s="146" cm="1">
        <f t="array" ref="GB78">IF($FY78=0,0,_xlfn.IFS($FY78='Key assumptions'!$C$120,_xlfn.XLOOKUP(LEFT(GB$7,6),Inflation_Year,Inflation_NominaltoReal),TRUE,_xlfn.XLOOKUP($FY78,Inflation_Year,NominaltoReal)))</f>
        <v>0</v>
      </c>
      <c r="GC78" s="146" cm="1">
        <f t="array" ref="GC78">IF($FY78=0,0,_xlfn.IFS($FY78='Key assumptions'!$C$120,_xlfn.XLOOKUP(LEFT(GC$7,6),Inflation_Year,Inflation_NominaltoReal),TRUE,_xlfn.XLOOKUP($FY78,Inflation_Year,NominaltoReal)))</f>
        <v>0</v>
      </c>
      <c r="GD78" s="146" cm="1">
        <f t="array" ref="GD78">IF($FY78=0,0,_xlfn.IFS($FY78='Key assumptions'!$C$120,_xlfn.XLOOKUP(LEFT(GD$7,6),Inflation_Year,Inflation_NominaltoReal),TRUE,_xlfn.XLOOKUP($FY78,Inflation_Year,NominaltoReal)))</f>
        <v>0</v>
      </c>
      <c r="GE78" s="146" cm="1">
        <f t="array" ref="GE78">IF($FY78=0,0,_xlfn.IFS($FY78='Key assumptions'!$C$120,_xlfn.XLOOKUP(LEFT(GE$7,6),Inflation_Year,Inflation_NominaltoReal),TRUE,_xlfn.XLOOKUP($FY78,Inflation_Year,NominaltoReal)))</f>
        <v>0</v>
      </c>
      <c r="GF78" s="146" cm="1">
        <f t="array" ref="GF78">IF($FY78=0,0,_xlfn.IFS($FY78='Key assumptions'!$C$120,_xlfn.XLOOKUP(LEFT(GF$7,6),Inflation_Year,Inflation_NominaltoReal),TRUE,_xlfn.XLOOKUP($FY78,Inflation_Year,NominaltoReal)))</f>
        <v>0</v>
      </c>
      <c r="GG78" s="143"/>
      <c r="GH78" s="145" cm="1">
        <f t="array" ref="GH78">SUMPRODUCT(--($CR$7:$FW$7&gt;=GH$5),--($CR$7:$FW$7&lt;=GH$6),$CR78:$FW78)*FZ78</f>
        <v>0</v>
      </c>
      <c r="GI78" s="145" cm="1">
        <f t="array" ref="GI78">SUMPRODUCT(--($CR$7:$FW$7&gt;=GI$5),--($CR$7:$FW$7&lt;=GI$6),$CR78:$FW78)*GA78</f>
        <v>0</v>
      </c>
      <c r="GJ78" s="145" cm="1">
        <f t="array" ref="GJ78">SUMPRODUCT(--($CR$7:$FW$7&gt;=GJ$5),--($CR$7:$FW$7&lt;=GJ$6),$CR78:$FW78)*GB78</f>
        <v>0</v>
      </c>
      <c r="GK78" s="145" cm="1">
        <f t="array" ref="GK78">SUMPRODUCT(--($CR$7:$FW$7&gt;=GK$5),--($CR$7:$FW$7&lt;=GK$6),$CR78:$FW78)*GC78</f>
        <v>0</v>
      </c>
      <c r="GL78" s="145" cm="1">
        <f t="array" ref="GL78">SUMPRODUCT(--($CR$7:$FW$7&gt;=GL$5),--($CR$7:$FW$7&lt;=GL$6),$CR78:$FW78)*GD78</f>
        <v>0</v>
      </c>
      <c r="GM78" s="145" cm="1">
        <f t="array" ref="GM78">SUMPRODUCT(--($CR$7:$FW$7&gt;=GM$5),--($CR$7:$FW$7&lt;=GM$6),$CR78:$FW78)*GE78</f>
        <v>0</v>
      </c>
      <c r="GN78" s="145" cm="1">
        <f t="array" ref="GN78">SUMPRODUCT(--($CR$7:$FW$7&gt;=GN$5),--($CR$7:$FW$7&lt;=GN$6),$CR78:$FW78)*GF78</f>
        <v>0</v>
      </c>
      <c r="GO78" s="145">
        <f t="shared" si="1"/>
        <v>0</v>
      </c>
      <c r="GP78" s="87"/>
      <c r="GR78" s="145" cm="1">
        <f t="array" ref="GR78">SUMPRODUCT(--($CR$7:$FW$7&gt;=GR$5),--($CR$7:$FW$7&lt;=GR$6),$CR78:$FW78)</f>
        <v>0</v>
      </c>
    </row>
    <row r="79" spans="2:200" x14ac:dyDescent="0.2">
      <c r="B79" s="141"/>
      <c r="C79" s="141"/>
      <c r="D79" s="141"/>
      <c r="E79" s="141"/>
      <c r="F79" s="141"/>
      <c r="G79" s="141"/>
      <c r="H79" s="142"/>
      <c r="I79" s="126"/>
      <c r="J79" s="143"/>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3"/>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c r="EE79" s="145"/>
      <c r="EF79" s="145"/>
      <c r="EG79" s="145"/>
      <c r="EH79" s="145"/>
      <c r="EI79" s="145"/>
      <c r="EJ79" s="145"/>
      <c r="EK79" s="145"/>
      <c r="EL79" s="145"/>
      <c r="EM79" s="145"/>
      <c r="EN79" s="145"/>
      <c r="EO79" s="145"/>
      <c r="EP79" s="145"/>
      <c r="EQ79" s="145"/>
      <c r="ER79" s="145"/>
      <c r="ES79" s="145"/>
      <c r="ET79" s="145"/>
      <c r="EU79" s="145"/>
      <c r="EV79" s="145"/>
      <c r="EW79" s="145"/>
      <c r="EX79" s="145"/>
      <c r="EY79" s="145"/>
      <c r="EZ79" s="145"/>
      <c r="FA79" s="145"/>
      <c r="FB79" s="145"/>
      <c r="FC79" s="145"/>
      <c r="FD79" s="145"/>
      <c r="FE79" s="145"/>
      <c r="FF79" s="145"/>
      <c r="FG79" s="145"/>
      <c r="FH79" s="145"/>
      <c r="FI79" s="145"/>
      <c r="FJ79" s="145"/>
      <c r="FK79" s="145"/>
      <c r="FL79" s="145"/>
      <c r="FM79" s="145"/>
      <c r="FN79" s="145"/>
      <c r="FO79" s="145"/>
      <c r="FP79" s="145"/>
      <c r="FQ79" s="145"/>
      <c r="FR79" s="145"/>
      <c r="FS79" s="145"/>
      <c r="FT79" s="145"/>
      <c r="FU79" s="145"/>
      <c r="FV79" s="145"/>
      <c r="FW79" s="145"/>
      <c r="FX79" s="143"/>
      <c r="FY79" s="146">
        <f>_xlfn.XLOOKUP($E79,'Key assumptions'!$B$112:$B$120,'Key assumptions'!$C$112:$C$120,0)</f>
        <v>0</v>
      </c>
      <c r="FZ79" s="146" cm="1">
        <f t="array" ref="FZ79">IF($FY79=0,0,_xlfn.IFS($FY79='Key assumptions'!$C$120,_xlfn.XLOOKUP(LEFT(FZ$7,6),Inflation_Year,Inflation_NominaltoReal),TRUE,_xlfn.XLOOKUP($FY79,Inflation_Year,NominaltoReal)))</f>
        <v>0</v>
      </c>
      <c r="GA79" s="146" cm="1">
        <f t="array" ref="GA79">IF($FY79=0,0,_xlfn.IFS($FY79='Key assumptions'!$C$120,_xlfn.XLOOKUP(LEFT(GA$7,6),Inflation_Year,Inflation_NominaltoReal),TRUE,_xlfn.XLOOKUP($FY79,Inflation_Year,NominaltoReal)))</f>
        <v>0</v>
      </c>
      <c r="GB79" s="146" cm="1">
        <f t="array" ref="GB79">IF($FY79=0,0,_xlfn.IFS($FY79='Key assumptions'!$C$120,_xlfn.XLOOKUP(LEFT(GB$7,6),Inflation_Year,Inflation_NominaltoReal),TRUE,_xlfn.XLOOKUP($FY79,Inflation_Year,NominaltoReal)))</f>
        <v>0</v>
      </c>
      <c r="GC79" s="146" cm="1">
        <f t="array" ref="GC79">IF($FY79=0,0,_xlfn.IFS($FY79='Key assumptions'!$C$120,_xlfn.XLOOKUP(LEFT(GC$7,6),Inflation_Year,Inflation_NominaltoReal),TRUE,_xlfn.XLOOKUP($FY79,Inflation_Year,NominaltoReal)))</f>
        <v>0</v>
      </c>
      <c r="GD79" s="146" cm="1">
        <f t="array" ref="GD79">IF($FY79=0,0,_xlfn.IFS($FY79='Key assumptions'!$C$120,_xlfn.XLOOKUP(LEFT(GD$7,6),Inflation_Year,Inflation_NominaltoReal),TRUE,_xlfn.XLOOKUP($FY79,Inflation_Year,NominaltoReal)))</f>
        <v>0</v>
      </c>
      <c r="GE79" s="146" cm="1">
        <f t="array" ref="GE79">IF($FY79=0,0,_xlfn.IFS($FY79='Key assumptions'!$C$120,_xlfn.XLOOKUP(LEFT(GE$7,6),Inflation_Year,Inflation_NominaltoReal),TRUE,_xlfn.XLOOKUP($FY79,Inflation_Year,NominaltoReal)))</f>
        <v>0</v>
      </c>
      <c r="GF79" s="146" cm="1">
        <f t="array" ref="GF79">IF($FY79=0,0,_xlfn.IFS($FY79='Key assumptions'!$C$120,_xlfn.XLOOKUP(LEFT(GF$7,6),Inflation_Year,Inflation_NominaltoReal),TRUE,_xlfn.XLOOKUP($FY79,Inflation_Year,NominaltoReal)))</f>
        <v>0</v>
      </c>
      <c r="GG79" s="143"/>
      <c r="GH79" s="145" cm="1">
        <f t="array" ref="GH79">SUMPRODUCT(--($CR$7:$FW$7&gt;=GH$5),--($CR$7:$FW$7&lt;=GH$6),$CR79:$FW79)*FZ79</f>
        <v>0</v>
      </c>
      <c r="GI79" s="145" cm="1">
        <f t="array" ref="GI79">SUMPRODUCT(--($CR$7:$FW$7&gt;=GI$5),--($CR$7:$FW$7&lt;=GI$6),$CR79:$FW79)*GA79</f>
        <v>0</v>
      </c>
      <c r="GJ79" s="145" cm="1">
        <f t="array" ref="GJ79">SUMPRODUCT(--($CR$7:$FW$7&gt;=GJ$5),--($CR$7:$FW$7&lt;=GJ$6),$CR79:$FW79)*GB79</f>
        <v>0</v>
      </c>
      <c r="GK79" s="145" cm="1">
        <f t="array" ref="GK79">SUMPRODUCT(--($CR$7:$FW$7&gt;=GK$5),--($CR$7:$FW$7&lt;=GK$6),$CR79:$FW79)*GC79</f>
        <v>0</v>
      </c>
      <c r="GL79" s="145" cm="1">
        <f t="array" ref="GL79">SUMPRODUCT(--($CR$7:$FW$7&gt;=GL$5),--($CR$7:$FW$7&lt;=GL$6),$CR79:$FW79)*GD79</f>
        <v>0</v>
      </c>
      <c r="GM79" s="145" cm="1">
        <f t="array" ref="GM79">SUMPRODUCT(--($CR$7:$FW$7&gt;=GM$5),--($CR$7:$FW$7&lt;=GM$6),$CR79:$FW79)*GE79</f>
        <v>0</v>
      </c>
      <c r="GN79" s="145" cm="1">
        <f t="array" ref="GN79">SUMPRODUCT(--($CR$7:$FW$7&gt;=GN$5),--($CR$7:$FW$7&lt;=GN$6),$CR79:$FW79)*GF79</f>
        <v>0</v>
      </c>
      <c r="GO79" s="145">
        <f t="shared" si="1"/>
        <v>0</v>
      </c>
      <c r="GP79" s="87"/>
      <c r="GR79" s="145" cm="1">
        <f t="array" ref="GR79">SUMPRODUCT(--($CR$7:$FW$7&gt;=GR$5),--($CR$7:$FW$7&lt;=GR$6),$CR79:$FW79)</f>
        <v>0</v>
      </c>
    </row>
    <row r="80" spans="2:200" x14ac:dyDescent="0.2">
      <c r="B80" s="141"/>
      <c r="C80" s="141"/>
      <c r="D80" s="141"/>
      <c r="E80" s="141"/>
      <c r="F80" s="141"/>
      <c r="G80" s="141"/>
      <c r="H80" s="142"/>
      <c r="I80" s="126"/>
      <c r="J80" s="143"/>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3"/>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c r="EE80" s="145"/>
      <c r="EF80" s="145"/>
      <c r="EG80" s="145"/>
      <c r="EH80" s="145"/>
      <c r="EI80" s="145"/>
      <c r="EJ80" s="145"/>
      <c r="EK80" s="145"/>
      <c r="EL80" s="145"/>
      <c r="EM80" s="145"/>
      <c r="EN80" s="145"/>
      <c r="EO80" s="145"/>
      <c r="EP80" s="145"/>
      <c r="EQ80" s="145"/>
      <c r="ER80" s="145"/>
      <c r="ES80" s="145"/>
      <c r="ET80" s="145"/>
      <c r="EU80" s="145"/>
      <c r="EV80" s="145"/>
      <c r="EW80" s="145"/>
      <c r="EX80" s="145"/>
      <c r="EY80" s="145"/>
      <c r="EZ80" s="145"/>
      <c r="FA80" s="145"/>
      <c r="FB80" s="145"/>
      <c r="FC80" s="145"/>
      <c r="FD80" s="145"/>
      <c r="FE80" s="145"/>
      <c r="FF80" s="145"/>
      <c r="FG80" s="145"/>
      <c r="FH80" s="145"/>
      <c r="FI80" s="145"/>
      <c r="FJ80" s="145"/>
      <c r="FK80" s="145"/>
      <c r="FL80" s="145"/>
      <c r="FM80" s="145"/>
      <c r="FN80" s="145"/>
      <c r="FO80" s="145"/>
      <c r="FP80" s="145"/>
      <c r="FQ80" s="145"/>
      <c r="FR80" s="145"/>
      <c r="FS80" s="145"/>
      <c r="FT80" s="145"/>
      <c r="FU80" s="145"/>
      <c r="FV80" s="145"/>
      <c r="FW80" s="145"/>
      <c r="FX80" s="143"/>
      <c r="FY80" s="146">
        <f>_xlfn.XLOOKUP($E80,'Key assumptions'!$B$112:$B$120,'Key assumptions'!$C$112:$C$120,0)</f>
        <v>0</v>
      </c>
      <c r="FZ80" s="146" cm="1">
        <f t="array" ref="FZ80">IF($FY80=0,0,_xlfn.IFS($FY80='Key assumptions'!$C$120,_xlfn.XLOOKUP(LEFT(FZ$7,6),Inflation_Year,Inflation_NominaltoReal),TRUE,_xlfn.XLOOKUP($FY80,Inflation_Year,NominaltoReal)))</f>
        <v>0</v>
      </c>
      <c r="GA80" s="146" cm="1">
        <f t="array" ref="GA80">IF($FY80=0,0,_xlfn.IFS($FY80='Key assumptions'!$C$120,_xlfn.XLOOKUP(LEFT(GA$7,6),Inflation_Year,Inflation_NominaltoReal),TRUE,_xlfn.XLOOKUP($FY80,Inflation_Year,NominaltoReal)))</f>
        <v>0</v>
      </c>
      <c r="GB80" s="146" cm="1">
        <f t="array" ref="GB80">IF($FY80=0,0,_xlfn.IFS($FY80='Key assumptions'!$C$120,_xlfn.XLOOKUP(LEFT(GB$7,6),Inflation_Year,Inflation_NominaltoReal),TRUE,_xlfn.XLOOKUP($FY80,Inflation_Year,NominaltoReal)))</f>
        <v>0</v>
      </c>
      <c r="GC80" s="146" cm="1">
        <f t="array" ref="GC80">IF($FY80=0,0,_xlfn.IFS($FY80='Key assumptions'!$C$120,_xlfn.XLOOKUP(LEFT(GC$7,6),Inflation_Year,Inflation_NominaltoReal),TRUE,_xlfn.XLOOKUP($FY80,Inflation_Year,NominaltoReal)))</f>
        <v>0</v>
      </c>
      <c r="GD80" s="146" cm="1">
        <f t="array" ref="GD80">IF($FY80=0,0,_xlfn.IFS($FY80='Key assumptions'!$C$120,_xlfn.XLOOKUP(LEFT(GD$7,6),Inflation_Year,Inflation_NominaltoReal),TRUE,_xlfn.XLOOKUP($FY80,Inflation_Year,NominaltoReal)))</f>
        <v>0</v>
      </c>
      <c r="GE80" s="146" cm="1">
        <f t="array" ref="GE80">IF($FY80=0,0,_xlfn.IFS($FY80='Key assumptions'!$C$120,_xlfn.XLOOKUP(LEFT(GE$7,6),Inflation_Year,Inflation_NominaltoReal),TRUE,_xlfn.XLOOKUP($FY80,Inflation_Year,NominaltoReal)))</f>
        <v>0</v>
      </c>
      <c r="GF80" s="146" cm="1">
        <f t="array" ref="GF80">IF($FY80=0,0,_xlfn.IFS($FY80='Key assumptions'!$C$120,_xlfn.XLOOKUP(LEFT(GF$7,6),Inflation_Year,Inflation_NominaltoReal),TRUE,_xlfn.XLOOKUP($FY80,Inflation_Year,NominaltoReal)))</f>
        <v>0</v>
      </c>
      <c r="GG80" s="143"/>
      <c r="GH80" s="145" cm="1">
        <f t="array" ref="GH80">SUMPRODUCT(--($CR$7:$FW$7&gt;=GH$5),--($CR$7:$FW$7&lt;=GH$6),$CR80:$FW80)*FZ80</f>
        <v>0</v>
      </c>
      <c r="GI80" s="145" cm="1">
        <f t="array" ref="GI80">SUMPRODUCT(--($CR$7:$FW$7&gt;=GI$5),--($CR$7:$FW$7&lt;=GI$6),$CR80:$FW80)*GA80</f>
        <v>0</v>
      </c>
      <c r="GJ80" s="145" cm="1">
        <f t="array" ref="GJ80">SUMPRODUCT(--($CR$7:$FW$7&gt;=GJ$5),--($CR$7:$FW$7&lt;=GJ$6),$CR80:$FW80)*GB80</f>
        <v>0</v>
      </c>
      <c r="GK80" s="145" cm="1">
        <f t="array" ref="GK80">SUMPRODUCT(--($CR$7:$FW$7&gt;=GK$5),--($CR$7:$FW$7&lt;=GK$6),$CR80:$FW80)*GC80</f>
        <v>0</v>
      </c>
      <c r="GL80" s="145" cm="1">
        <f t="array" ref="GL80">SUMPRODUCT(--($CR$7:$FW$7&gt;=GL$5),--($CR$7:$FW$7&lt;=GL$6),$CR80:$FW80)*GD80</f>
        <v>0</v>
      </c>
      <c r="GM80" s="145" cm="1">
        <f t="array" ref="GM80">SUMPRODUCT(--($CR$7:$FW$7&gt;=GM$5),--($CR$7:$FW$7&lt;=GM$6),$CR80:$FW80)*GE80</f>
        <v>0</v>
      </c>
      <c r="GN80" s="145" cm="1">
        <f t="array" ref="GN80">SUMPRODUCT(--($CR$7:$FW$7&gt;=GN$5),--($CR$7:$FW$7&lt;=GN$6),$CR80:$FW80)*GF80</f>
        <v>0</v>
      </c>
      <c r="GO80" s="145">
        <f t="shared" si="1"/>
        <v>0</v>
      </c>
      <c r="GP80" s="87"/>
      <c r="GR80" s="145" cm="1">
        <f t="array" ref="GR80">SUMPRODUCT(--($CR$7:$FW$7&gt;=GR$5),--($CR$7:$FW$7&lt;=GR$6),$CR80:$FW80)</f>
        <v>0</v>
      </c>
    </row>
    <row r="81" spans="2:200" x14ac:dyDescent="0.2">
      <c r="B81" s="141"/>
      <c r="C81" s="141"/>
      <c r="D81" s="141"/>
      <c r="E81" s="141"/>
      <c r="F81" s="141"/>
      <c r="G81" s="141"/>
      <c r="H81" s="142"/>
      <c r="I81" s="126"/>
      <c r="J81" s="143"/>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3"/>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145"/>
      <c r="EH81" s="145"/>
      <c r="EI81" s="145"/>
      <c r="EJ81" s="145"/>
      <c r="EK81" s="145"/>
      <c r="EL81" s="145"/>
      <c r="EM81" s="145"/>
      <c r="EN81" s="145"/>
      <c r="EO81" s="145"/>
      <c r="EP81" s="145"/>
      <c r="EQ81" s="145"/>
      <c r="ER81" s="145"/>
      <c r="ES81" s="145"/>
      <c r="ET81" s="145"/>
      <c r="EU81" s="145"/>
      <c r="EV81" s="145"/>
      <c r="EW81" s="145"/>
      <c r="EX81" s="145"/>
      <c r="EY81" s="145"/>
      <c r="EZ81" s="145"/>
      <c r="FA81" s="145"/>
      <c r="FB81" s="145"/>
      <c r="FC81" s="145"/>
      <c r="FD81" s="145"/>
      <c r="FE81" s="145"/>
      <c r="FF81" s="145"/>
      <c r="FG81" s="145"/>
      <c r="FH81" s="145"/>
      <c r="FI81" s="145"/>
      <c r="FJ81" s="145"/>
      <c r="FK81" s="145"/>
      <c r="FL81" s="145"/>
      <c r="FM81" s="145"/>
      <c r="FN81" s="145"/>
      <c r="FO81" s="145"/>
      <c r="FP81" s="145"/>
      <c r="FQ81" s="145"/>
      <c r="FR81" s="145"/>
      <c r="FS81" s="145"/>
      <c r="FT81" s="145"/>
      <c r="FU81" s="145"/>
      <c r="FV81" s="145"/>
      <c r="FW81" s="145"/>
      <c r="FX81" s="143"/>
      <c r="FY81" s="146">
        <f>_xlfn.XLOOKUP($E81,'Key assumptions'!$B$112:$B$120,'Key assumptions'!$C$112:$C$120,0)</f>
        <v>0</v>
      </c>
      <c r="FZ81" s="146" cm="1">
        <f t="array" ref="FZ81">IF($FY81=0,0,_xlfn.IFS($FY81='Key assumptions'!$C$120,_xlfn.XLOOKUP(LEFT(FZ$7,6),Inflation_Year,Inflation_NominaltoReal),TRUE,_xlfn.XLOOKUP($FY81,Inflation_Year,NominaltoReal)))</f>
        <v>0</v>
      </c>
      <c r="GA81" s="146" cm="1">
        <f t="array" ref="GA81">IF($FY81=0,0,_xlfn.IFS($FY81='Key assumptions'!$C$120,_xlfn.XLOOKUP(LEFT(GA$7,6),Inflation_Year,Inflation_NominaltoReal),TRUE,_xlfn.XLOOKUP($FY81,Inflation_Year,NominaltoReal)))</f>
        <v>0</v>
      </c>
      <c r="GB81" s="146" cm="1">
        <f t="array" ref="GB81">IF($FY81=0,0,_xlfn.IFS($FY81='Key assumptions'!$C$120,_xlfn.XLOOKUP(LEFT(GB$7,6),Inflation_Year,Inflation_NominaltoReal),TRUE,_xlfn.XLOOKUP($FY81,Inflation_Year,NominaltoReal)))</f>
        <v>0</v>
      </c>
      <c r="GC81" s="146" cm="1">
        <f t="array" ref="GC81">IF($FY81=0,0,_xlfn.IFS($FY81='Key assumptions'!$C$120,_xlfn.XLOOKUP(LEFT(GC$7,6),Inflation_Year,Inflation_NominaltoReal),TRUE,_xlfn.XLOOKUP($FY81,Inflation_Year,NominaltoReal)))</f>
        <v>0</v>
      </c>
      <c r="GD81" s="146" cm="1">
        <f t="array" ref="GD81">IF($FY81=0,0,_xlfn.IFS($FY81='Key assumptions'!$C$120,_xlfn.XLOOKUP(LEFT(GD$7,6),Inflation_Year,Inflation_NominaltoReal),TRUE,_xlfn.XLOOKUP($FY81,Inflation_Year,NominaltoReal)))</f>
        <v>0</v>
      </c>
      <c r="GE81" s="146" cm="1">
        <f t="array" ref="GE81">IF($FY81=0,0,_xlfn.IFS($FY81='Key assumptions'!$C$120,_xlfn.XLOOKUP(LEFT(GE$7,6),Inflation_Year,Inflation_NominaltoReal),TRUE,_xlfn.XLOOKUP($FY81,Inflation_Year,NominaltoReal)))</f>
        <v>0</v>
      </c>
      <c r="GF81" s="146" cm="1">
        <f t="array" ref="GF81">IF($FY81=0,0,_xlfn.IFS($FY81='Key assumptions'!$C$120,_xlfn.XLOOKUP(LEFT(GF$7,6),Inflation_Year,Inflation_NominaltoReal),TRUE,_xlfn.XLOOKUP($FY81,Inflation_Year,NominaltoReal)))</f>
        <v>0</v>
      </c>
      <c r="GG81" s="143"/>
      <c r="GH81" s="145" cm="1">
        <f t="array" ref="GH81">SUMPRODUCT(--($CR$7:$FW$7&gt;=GH$5),--($CR$7:$FW$7&lt;=GH$6),$CR81:$FW81)*FZ81</f>
        <v>0</v>
      </c>
      <c r="GI81" s="145" cm="1">
        <f t="array" ref="GI81">SUMPRODUCT(--($CR$7:$FW$7&gt;=GI$5),--($CR$7:$FW$7&lt;=GI$6),$CR81:$FW81)*GA81</f>
        <v>0</v>
      </c>
      <c r="GJ81" s="145" cm="1">
        <f t="array" ref="GJ81">SUMPRODUCT(--($CR$7:$FW$7&gt;=GJ$5),--($CR$7:$FW$7&lt;=GJ$6),$CR81:$FW81)*GB81</f>
        <v>0</v>
      </c>
      <c r="GK81" s="145" cm="1">
        <f t="array" ref="GK81">SUMPRODUCT(--($CR$7:$FW$7&gt;=GK$5),--($CR$7:$FW$7&lt;=GK$6),$CR81:$FW81)*GC81</f>
        <v>0</v>
      </c>
      <c r="GL81" s="145" cm="1">
        <f t="array" ref="GL81">SUMPRODUCT(--($CR$7:$FW$7&gt;=GL$5),--($CR$7:$FW$7&lt;=GL$6),$CR81:$FW81)*GD81</f>
        <v>0</v>
      </c>
      <c r="GM81" s="145" cm="1">
        <f t="array" ref="GM81">SUMPRODUCT(--($CR$7:$FW$7&gt;=GM$5),--($CR$7:$FW$7&lt;=GM$6),$CR81:$FW81)*GE81</f>
        <v>0</v>
      </c>
      <c r="GN81" s="145" cm="1">
        <f t="array" ref="GN81">SUMPRODUCT(--($CR$7:$FW$7&gt;=GN$5),--($CR$7:$FW$7&lt;=GN$6),$CR81:$FW81)*GF81</f>
        <v>0</v>
      </c>
      <c r="GO81" s="145">
        <f t="shared" si="1"/>
        <v>0</v>
      </c>
      <c r="GP81" s="87"/>
      <c r="GR81" s="145" cm="1">
        <f t="array" ref="GR81">SUMPRODUCT(--($CR$7:$FW$7&gt;=GR$5),--($CR$7:$FW$7&lt;=GR$6),$CR81:$FW81)</f>
        <v>0</v>
      </c>
    </row>
    <row r="82" spans="2:200" x14ac:dyDescent="0.2">
      <c r="B82" s="141"/>
      <c r="C82" s="141"/>
      <c r="D82" s="141"/>
      <c r="E82" s="141"/>
      <c r="F82" s="141"/>
      <c r="G82" s="141"/>
      <c r="H82" s="142"/>
      <c r="I82" s="126"/>
      <c r="J82" s="143"/>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3"/>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c r="EE82" s="145"/>
      <c r="EF82" s="145"/>
      <c r="EG82" s="145"/>
      <c r="EH82" s="145"/>
      <c r="EI82" s="145"/>
      <c r="EJ82" s="145"/>
      <c r="EK82" s="145"/>
      <c r="EL82" s="145"/>
      <c r="EM82" s="145"/>
      <c r="EN82" s="145"/>
      <c r="EO82" s="145"/>
      <c r="EP82" s="145"/>
      <c r="EQ82" s="145"/>
      <c r="ER82" s="145"/>
      <c r="ES82" s="145"/>
      <c r="ET82" s="145"/>
      <c r="EU82" s="145"/>
      <c r="EV82" s="145"/>
      <c r="EW82" s="145"/>
      <c r="EX82" s="145"/>
      <c r="EY82" s="145"/>
      <c r="EZ82" s="145"/>
      <c r="FA82" s="145"/>
      <c r="FB82" s="145"/>
      <c r="FC82" s="145"/>
      <c r="FD82" s="145"/>
      <c r="FE82" s="145"/>
      <c r="FF82" s="145"/>
      <c r="FG82" s="145"/>
      <c r="FH82" s="145"/>
      <c r="FI82" s="145"/>
      <c r="FJ82" s="145"/>
      <c r="FK82" s="145"/>
      <c r="FL82" s="145"/>
      <c r="FM82" s="145"/>
      <c r="FN82" s="145"/>
      <c r="FO82" s="145"/>
      <c r="FP82" s="145"/>
      <c r="FQ82" s="145"/>
      <c r="FR82" s="145"/>
      <c r="FS82" s="145"/>
      <c r="FT82" s="145"/>
      <c r="FU82" s="145"/>
      <c r="FV82" s="145"/>
      <c r="FW82" s="145"/>
      <c r="FX82" s="143"/>
      <c r="FY82" s="146">
        <f>_xlfn.XLOOKUP($E82,'Key assumptions'!$B$112:$B$120,'Key assumptions'!$C$112:$C$120,0)</f>
        <v>0</v>
      </c>
      <c r="FZ82" s="146" cm="1">
        <f t="array" ref="FZ82">IF($FY82=0,0,_xlfn.IFS($FY82='Key assumptions'!$C$120,_xlfn.XLOOKUP(LEFT(FZ$7,6),Inflation_Year,Inflation_NominaltoReal),TRUE,_xlfn.XLOOKUP($FY82,Inflation_Year,NominaltoReal)))</f>
        <v>0</v>
      </c>
      <c r="GA82" s="146" cm="1">
        <f t="array" ref="GA82">IF($FY82=0,0,_xlfn.IFS($FY82='Key assumptions'!$C$120,_xlfn.XLOOKUP(LEFT(GA$7,6),Inflation_Year,Inflation_NominaltoReal),TRUE,_xlfn.XLOOKUP($FY82,Inflation_Year,NominaltoReal)))</f>
        <v>0</v>
      </c>
      <c r="GB82" s="146" cm="1">
        <f t="array" ref="GB82">IF($FY82=0,0,_xlfn.IFS($FY82='Key assumptions'!$C$120,_xlfn.XLOOKUP(LEFT(GB$7,6),Inflation_Year,Inflation_NominaltoReal),TRUE,_xlfn.XLOOKUP($FY82,Inflation_Year,NominaltoReal)))</f>
        <v>0</v>
      </c>
      <c r="GC82" s="146" cm="1">
        <f t="array" ref="GC82">IF($FY82=0,0,_xlfn.IFS($FY82='Key assumptions'!$C$120,_xlfn.XLOOKUP(LEFT(GC$7,6),Inflation_Year,Inflation_NominaltoReal),TRUE,_xlfn.XLOOKUP($FY82,Inflation_Year,NominaltoReal)))</f>
        <v>0</v>
      </c>
      <c r="GD82" s="146" cm="1">
        <f t="array" ref="GD82">IF($FY82=0,0,_xlfn.IFS($FY82='Key assumptions'!$C$120,_xlfn.XLOOKUP(LEFT(GD$7,6),Inflation_Year,Inflation_NominaltoReal),TRUE,_xlfn.XLOOKUP($FY82,Inflation_Year,NominaltoReal)))</f>
        <v>0</v>
      </c>
      <c r="GE82" s="146" cm="1">
        <f t="array" ref="GE82">IF($FY82=0,0,_xlfn.IFS($FY82='Key assumptions'!$C$120,_xlfn.XLOOKUP(LEFT(GE$7,6),Inflation_Year,Inflation_NominaltoReal),TRUE,_xlfn.XLOOKUP($FY82,Inflation_Year,NominaltoReal)))</f>
        <v>0</v>
      </c>
      <c r="GF82" s="146" cm="1">
        <f t="array" ref="GF82">IF($FY82=0,0,_xlfn.IFS($FY82='Key assumptions'!$C$120,_xlfn.XLOOKUP(LEFT(GF$7,6),Inflation_Year,Inflation_NominaltoReal),TRUE,_xlfn.XLOOKUP($FY82,Inflation_Year,NominaltoReal)))</f>
        <v>0</v>
      </c>
      <c r="GG82" s="143"/>
      <c r="GH82" s="145" cm="1">
        <f t="array" ref="GH82">SUMPRODUCT(--($CR$7:$FW$7&gt;=GH$5),--($CR$7:$FW$7&lt;=GH$6),$CR82:$FW82)*FZ82</f>
        <v>0</v>
      </c>
      <c r="GI82" s="145" cm="1">
        <f t="array" ref="GI82">SUMPRODUCT(--($CR$7:$FW$7&gt;=GI$5),--($CR$7:$FW$7&lt;=GI$6),$CR82:$FW82)*GA82</f>
        <v>0</v>
      </c>
      <c r="GJ82" s="145" cm="1">
        <f t="array" ref="GJ82">SUMPRODUCT(--($CR$7:$FW$7&gt;=GJ$5),--($CR$7:$FW$7&lt;=GJ$6),$CR82:$FW82)*GB82</f>
        <v>0</v>
      </c>
      <c r="GK82" s="145" cm="1">
        <f t="array" ref="GK82">SUMPRODUCT(--($CR$7:$FW$7&gt;=GK$5),--($CR$7:$FW$7&lt;=GK$6),$CR82:$FW82)*GC82</f>
        <v>0</v>
      </c>
      <c r="GL82" s="145" cm="1">
        <f t="array" ref="GL82">SUMPRODUCT(--($CR$7:$FW$7&gt;=GL$5),--($CR$7:$FW$7&lt;=GL$6),$CR82:$FW82)*GD82</f>
        <v>0</v>
      </c>
      <c r="GM82" s="145" cm="1">
        <f t="array" ref="GM82">SUMPRODUCT(--($CR$7:$FW$7&gt;=GM$5),--($CR$7:$FW$7&lt;=GM$6),$CR82:$FW82)*GE82</f>
        <v>0</v>
      </c>
      <c r="GN82" s="145" cm="1">
        <f t="array" ref="GN82">SUMPRODUCT(--($CR$7:$FW$7&gt;=GN$5),--($CR$7:$FW$7&lt;=GN$6),$CR82:$FW82)*GF82</f>
        <v>0</v>
      </c>
      <c r="GO82" s="145">
        <f t="shared" si="1"/>
        <v>0</v>
      </c>
      <c r="GP82" s="87"/>
      <c r="GR82" s="145" cm="1">
        <f t="array" ref="GR82">SUMPRODUCT(--($CR$7:$FW$7&gt;=GR$5),--($CR$7:$FW$7&lt;=GR$6),$CR82:$FW82)</f>
        <v>0</v>
      </c>
    </row>
    <row r="83" spans="2:200" x14ac:dyDescent="0.2">
      <c r="B83" s="141"/>
      <c r="C83" s="141"/>
      <c r="D83" s="141"/>
      <c r="E83" s="141"/>
      <c r="F83" s="141"/>
      <c r="G83" s="141"/>
      <c r="H83" s="142"/>
      <c r="I83" s="126"/>
      <c r="J83" s="143"/>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3"/>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c r="EE83" s="145"/>
      <c r="EF83" s="145"/>
      <c r="EG83" s="145"/>
      <c r="EH83" s="145"/>
      <c r="EI83" s="145"/>
      <c r="EJ83" s="145"/>
      <c r="EK83" s="145"/>
      <c r="EL83" s="145"/>
      <c r="EM83" s="145"/>
      <c r="EN83" s="145"/>
      <c r="EO83" s="145"/>
      <c r="EP83" s="145"/>
      <c r="EQ83" s="145"/>
      <c r="ER83" s="145"/>
      <c r="ES83" s="145"/>
      <c r="ET83" s="145"/>
      <c r="EU83" s="145"/>
      <c r="EV83" s="145"/>
      <c r="EW83" s="145"/>
      <c r="EX83" s="145"/>
      <c r="EY83" s="145"/>
      <c r="EZ83" s="145"/>
      <c r="FA83" s="145"/>
      <c r="FB83" s="145"/>
      <c r="FC83" s="145"/>
      <c r="FD83" s="145"/>
      <c r="FE83" s="145"/>
      <c r="FF83" s="145"/>
      <c r="FG83" s="145"/>
      <c r="FH83" s="145"/>
      <c r="FI83" s="145"/>
      <c r="FJ83" s="145"/>
      <c r="FK83" s="145"/>
      <c r="FL83" s="145"/>
      <c r="FM83" s="145"/>
      <c r="FN83" s="145"/>
      <c r="FO83" s="145"/>
      <c r="FP83" s="145"/>
      <c r="FQ83" s="145"/>
      <c r="FR83" s="145"/>
      <c r="FS83" s="145"/>
      <c r="FT83" s="145"/>
      <c r="FU83" s="145"/>
      <c r="FV83" s="145"/>
      <c r="FW83" s="145"/>
      <c r="FX83" s="143"/>
      <c r="FY83" s="146">
        <f>_xlfn.XLOOKUP($E83,'Key assumptions'!$B$112:$B$120,'Key assumptions'!$C$112:$C$120,0)</f>
        <v>0</v>
      </c>
      <c r="FZ83" s="146" cm="1">
        <f t="array" ref="FZ83">IF($FY83=0,0,_xlfn.IFS($FY83='Key assumptions'!$C$120,_xlfn.XLOOKUP(LEFT(FZ$7,6),Inflation_Year,Inflation_NominaltoReal),TRUE,_xlfn.XLOOKUP($FY83,Inflation_Year,NominaltoReal)))</f>
        <v>0</v>
      </c>
      <c r="GA83" s="146" cm="1">
        <f t="array" ref="GA83">IF($FY83=0,0,_xlfn.IFS($FY83='Key assumptions'!$C$120,_xlfn.XLOOKUP(LEFT(GA$7,6),Inflation_Year,Inflation_NominaltoReal),TRUE,_xlfn.XLOOKUP($FY83,Inflation_Year,NominaltoReal)))</f>
        <v>0</v>
      </c>
      <c r="GB83" s="146" cm="1">
        <f t="array" ref="GB83">IF($FY83=0,0,_xlfn.IFS($FY83='Key assumptions'!$C$120,_xlfn.XLOOKUP(LEFT(GB$7,6),Inflation_Year,Inflation_NominaltoReal),TRUE,_xlfn.XLOOKUP($FY83,Inflation_Year,NominaltoReal)))</f>
        <v>0</v>
      </c>
      <c r="GC83" s="146" cm="1">
        <f t="array" ref="GC83">IF($FY83=0,0,_xlfn.IFS($FY83='Key assumptions'!$C$120,_xlfn.XLOOKUP(LEFT(GC$7,6),Inflation_Year,Inflation_NominaltoReal),TRUE,_xlfn.XLOOKUP($FY83,Inflation_Year,NominaltoReal)))</f>
        <v>0</v>
      </c>
      <c r="GD83" s="146" cm="1">
        <f t="array" ref="GD83">IF($FY83=0,0,_xlfn.IFS($FY83='Key assumptions'!$C$120,_xlfn.XLOOKUP(LEFT(GD$7,6),Inflation_Year,Inflation_NominaltoReal),TRUE,_xlfn.XLOOKUP($FY83,Inflation_Year,NominaltoReal)))</f>
        <v>0</v>
      </c>
      <c r="GE83" s="146" cm="1">
        <f t="array" ref="GE83">IF($FY83=0,0,_xlfn.IFS($FY83='Key assumptions'!$C$120,_xlfn.XLOOKUP(LEFT(GE$7,6),Inflation_Year,Inflation_NominaltoReal),TRUE,_xlfn.XLOOKUP($FY83,Inflation_Year,NominaltoReal)))</f>
        <v>0</v>
      </c>
      <c r="GF83" s="146" cm="1">
        <f t="array" ref="GF83">IF($FY83=0,0,_xlfn.IFS($FY83='Key assumptions'!$C$120,_xlfn.XLOOKUP(LEFT(GF$7,6),Inflation_Year,Inflation_NominaltoReal),TRUE,_xlfn.XLOOKUP($FY83,Inflation_Year,NominaltoReal)))</f>
        <v>0</v>
      </c>
      <c r="GG83" s="143"/>
      <c r="GH83" s="145" cm="1">
        <f t="array" ref="GH83">SUMPRODUCT(--($CR$7:$FW$7&gt;=GH$5),--($CR$7:$FW$7&lt;=GH$6),$CR83:$FW83)*FZ83</f>
        <v>0</v>
      </c>
      <c r="GI83" s="145" cm="1">
        <f t="array" ref="GI83">SUMPRODUCT(--($CR$7:$FW$7&gt;=GI$5),--($CR$7:$FW$7&lt;=GI$6),$CR83:$FW83)*GA83</f>
        <v>0</v>
      </c>
      <c r="GJ83" s="145" cm="1">
        <f t="array" ref="GJ83">SUMPRODUCT(--($CR$7:$FW$7&gt;=GJ$5),--($CR$7:$FW$7&lt;=GJ$6),$CR83:$FW83)*GB83</f>
        <v>0</v>
      </c>
      <c r="GK83" s="145" cm="1">
        <f t="array" ref="GK83">SUMPRODUCT(--($CR$7:$FW$7&gt;=GK$5),--($CR$7:$FW$7&lt;=GK$6),$CR83:$FW83)*GC83</f>
        <v>0</v>
      </c>
      <c r="GL83" s="145" cm="1">
        <f t="array" ref="GL83">SUMPRODUCT(--($CR$7:$FW$7&gt;=GL$5),--($CR$7:$FW$7&lt;=GL$6),$CR83:$FW83)*GD83</f>
        <v>0</v>
      </c>
      <c r="GM83" s="145" cm="1">
        <f t="array" ref="GM83">SUMPRODUCT(--($CR$7:$FW$7&gt;=GM$5),--($CR$7:$FW$7&lt;=GM$6),$CR83:$FW83)*GE83</f>
        <v>0</v>
      </c>
      <c r="GN83" s="145" cm="1">
        <f t="array" ref="GN83">SUMPRODUCT(--($CR$7:$FW$7&gt;=GN$5),--($CR$7:$FW$7&lt;=GN$6),$CR83:$FW83)*GF83</f>
        <v>0</v>
      </c>
      <c r="GO83" s="145">
        <f t="shared" si="1"/>
        <v>0</v>
      </c>
      <c r="GP83" s="87"/>
      <c r="GR83" s="145" cm="1">
        <f t="array" ref="GR83">SUMPRODUCT(--($CR$7:$FW$7&gt;=GR$5),--($CR$7:$FW$7&lt;=GR$6),$CR83:$FW83)</f>
        <v>0</v>
      </c>
    </row>
    <row r="84" spans="2:200" x14ac:dyDescent="0.2">
      <c r="B84" s="141"/>
      <c r="C84" s="141"/>
      <c r="D84" s="141"/>
      <c r="E84" s="141"/>
      <c r="F84" s="141"/>
      <c r="G84" s="141"/>
      <c r="H84" s="142"/>
      <c r="I84" s="126"/>
      <c r="J84" s="143"/>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3"/>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c r="EE84" s="145"/>
      <c r="EF84" s="145"/>
      <c r="EG84" s="145"/>
      <c r="EH84" s="145"/>
      <c r="EI84" s="145"/>
      <c r="EJ84" s="145"/>
      <c r="EK84" s="145"/>
      <c r="EL84" s="145"/>
      <c r="EM84" s="145"/>
      <c r="EN84" s="145"/>
      <c r="EO84" s="145"/>
      <c r="EP84" s="145"/>
      <c r="EQ84" s="145"/>
      <c r="ER84" s="145"/>
      <c r="ES84" s="145"/>
      <c r="ET84" s="145"/>
      <c r="EU84" s="145"/>
      <c r="EV84" s="145"/>
      <c r="EW84" s="145"/>
      <c r="EX84" s="145"/>
      <c r="EY84" s="145"/>
      <c r="EZ84" s="145"/>
      <c r="FA84" s="145"/>
      <c r="FB84" s="145"/>
      <c r="FC84" s="145"/>
      <c r="FD84" s="145"/>
      <c r="FE84" s="145"/>
      <c r="FF84" s="145"/>
      <c r="FG84" s="145"/>
      <c r="FH84" s="145"/>
      <c r="FI84" s="145"/>
      <c r="FJ84" s="145"/>
      <c r="FK84" s="145"/>
      <c r="FL84" s="145"/>
      <c r="FM84" s="145"/>
      <c r="FN84" s="145"/>
      <c r="FO84" s="145"/>
      <c r="FP84" s="145"/>
      <c r="FQ84" s="145"/>
      <c r="FR84" s="145"/>
      <c r="FS84" s="145"/>
      <c r="FT84" s="145"/>
      <c r="FU84" s="145"/>
      <c r="FV84" s="145"/>
      <c r="FW84" s="145"/>
      <c r="FX84" s="143"/>
      <c r="FY84" s="146">
        <f>_xlfn.XLOOKUP($E84,'Key assumptions'!$B$112:$B$120,'Key assumptions'!$C$112:$C$120,0)</f>
        <v>0</v>
      </c>
      <c r="FZ84" s="146" cm="1">
        <f t="array" ref="FZ84">IF($FY84=0,0,_xlfn.IFS($FY84='Key assumptions'!$C$120,_xlfn.XLOOKUP(LEFT(FZ$7,6),Inflation_Year,Inflation_NominaltoReal),TRUE,_xlfn.XLOOKUP($FY84,Inflation_Year,NominaltoReal)))</f>
        <v>0</v>
      </c>
      <c r="GA84" s="146" cm="1">
        <f t="array" ref="GA84">IF($FY84=0,0,_xlfn.IFS($FY84='Key assumptions'!$C$120,_xlfn.XLOOKUP(LEFT(GA$7,6),Inflation_Year,Inflation_NominaltoReal),TRUE,_xlfn.XLOOKUP($FY84,Inflation_Year,NominaltoReal)))</f>
        <v>0</v>
      </c>
      <c r="GB84" s="146" cm="1">
        <f t="array" ref="GB84">IF($FY84=0,0,_xlfn.IFS($FY84='Key assumptions'!$C$120,_xlfn.XLOOKUP(LEFT(GB$7,6),Inflation_Year,Inflation_NominaltoReal),TRUE,_xlfn.XLOOKUP($FY84,Inflation_Year,NominaltoReal)))</f>
        <v>0</v>
      </c>
      <c r="GC84" s="146" cm="1">
        <f t="array" ref="GC84">IF($FY84=0,0,_xlfn.IFS($FY84='Key assumptions'!$C$120,_xlfn.XLOOKUP(LEFT(GC$7,6),Inflation_Year,Inflation_NominaltoReal),TRUE,_xlfn.XLOOKUP($FY84,Inflation_Year,NominaltoReal)))</f>
        <v>0</v>
      </c>
      <c r="GD84" s="146" cm="1">
        <f t="array" ref="GD84">IF($FY84=0,0,_xlfn.IFS($FY84='Key assumptions'!$C$120,_xlfn.XLOOKUP(LEFT(GD$7,6),Inflation_Year,Inflation_NominaltoReal),TRUE,_xlfn.XLOOKUP($FY84,Inflation_Year,NominaltoReal)))</f>
        <v>0</v>
      </c>
      <c r="GE84" s="146" cm="1">
        <f t="array" ref="GE84">IF($FY84=0,0,_xlfn.IFS($FY84='Key assumptions'!$C$120,_xlfn.XLOOKUP(LEFT(GE$7,6),Inflation_Year,Inflation_NominaltoReal),TRUE,_xlfn.XLOOKUP($FY84,Inflation_Year,NominaltoReal)))</f>
        <v>0</v>
      </c>
      <c r="GF84" s="146" cm="1">
        <f t="array" ref="GF84">IF($FY84=0,0,_xlfn.IFS($FY84='Key assumptions'!$C$120,_xlfn.XLOOKUP(LEFT(GF$7,6),Inflation_Year,Inflation_NominaltoReal),TRUE,_xlfn.XLOOKUP($FY84,Inflation_Year,NominaltoReal)))</f>
        <v>0</v>
      </c>
      <c r="GG84" s="143"/>
      <c r="GH84" s="145" cm="1">
        <f t="array" ref="GH84">SUMPRODUCT(--($CR$7:$FW$7&gt;=GH$5),--($CR$7:$FW$7&lt;=GH$6),$CR84:$FW84)*FZ84</f>
        <v>0</v>
      </c>
      <c r="GI84" s="145" cm="1">
        <f t="array" ref="GI84">SUMPRODUCT(--($CR$7:$FW$7&gt;=GI$5),--($CR$7:$FW$7&lt;=GI$6),$CR84:$FW84)*GA84</f>
        <v>0</v>
      </c>
      <c r="GJ84" s="145" cm="1">
        <f t="array" ref="GJ84">SUMPRODUCT(--($CR$7:$FW$7&gt;=GJ$5),--($CR$7:$FW$7&lt;=GJ$6),$CR84:$FW84)*GB84</f>
        <v>0</v>
      </c>
      <c r="GK84" s="145" cm="1">
        <f t="array" ref="GK84">SUMPRODUCT(--($CR$7:$FW$7&gt;=GK$5),--($CR$7:$FW$7&lt;=GK$6),$CR84:$FW84)*GC84</f>
        <v>0</v>
      </c>
      <c r="GL84" s="145" cm="1">
        <f t="array" ref="GL84">SUMPRODUCT(--($CR$7:$FW$7&gt;=GL$5),--($CR$7:$FW$7&lt;=GL$6),$CR84:$FW84)*GD84</f>
        <v>0</v>
      </c>
      <c r="GM84" s="145" cm="1">
        <f t="array" ref="GM84">SUMPRODUCT(--($CR$7:$FW$7&gt;=GM$5),--($CR$7:$FW$7&lt;=GM$6),$CR84:$FW84)*GE84</f>
        <v>0</v>
      </c>
      <c r="GN84" s="145" cm="1">
        <f t="array" ref="GN84">SUMPRODUCT(--($CR$7:$FW$7&gt;=GN$5),--($CR$7:$FW$7&lt;=GN$6),$CR84:$FW84)*GF84</f>
        <v>0</v>
      </c>
      <c r="GO84" s="145">
        <f t="shared" si="1"/>
        <v>0</v>
      </c>
      <c r="GP84" s="87"/>
      <c r="GR84" s="145" cm="1">
        <f t="array" ref="GR84">SUMPRODUCT(--($CR$7:$FW$7&gt;=GR$5),--($CR$7:$FW$7&lt;=GR$6),$CR84:$FW84)</f>
        <v>0</v>
      </c>
    </row>
    <row r="85" spans="2:200" x14ac:dyDescent="0.2">
      <c r="B85" s="141"/>
      <c r="C85" s="141"/>
      <c r="D85" s="141"/>
      <c r="E85" s="141"/>
      <c r="F85" s="141"/>
      <c r="G85" s="141"/>
      <c r="H85" s="142"/>
      <c r="I85" s="126"/>
      <c r="J85" s="143"/>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3"/>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c r="EE85" s="145"/>
      <c r="EF85" s="145"/>
      <c r="EG85" s="145"/>
      <c r="EH85" s="145"/>
      <c r="EI85" s="145"/>
      <c r="EJ85" s="145"/>
      <c r="EK85" s="145"/>
      <c r="EL85" s="145"/>
      <c r="EM85" s="145"/>
      <c r="EN85" s="145"/>
      <c r="EO85" s="145"/>
      <c r="EP85" s="145"/>
      <c r="EQ85" s="145"/>
      <c r="ER85" s="145"/>
      <c r="ES85" s="145"/>
      <c r="ET85" s="145"/>
      <c r="EU85" s="145"/>
      <c r="EV85" s="145"/>
      <c r="EW85" s="145"/>
      <c r="EX85" s="145"/>
      <c r="EY85" s="145"/>
      <c r="EZ85" s="145"/>
      <c r="FA85" s="145"/>
      <c r="FB85" s="145"/>
      <c r="FC85" s="145"/>
      <c r="FD85" s="145"/>
      <c r="FE85" s="145"/>
      <c r="FF85" s="145"/>
      <c r="FG85" s="145"/>
      <c r="FH85" s="145"/>
      <c r="FI85" s="145"/>
      <c r="FJ85" s="145"/>
      <c r="FK85" s="145"/>
      <c r="FL85" s="145"/>
      <c r="FM85" s="145"/>
      <c r="FN85" s="145"/>
      <c r="FO85" s="145"/>
      <c r="FP85" s="145"/>
      <c r="FQ85" s="145"/>
      <c r="FR85" s="145"/>
      <c r="FS85" s="145"/>
      <c r="FT85" s="145"/>
      <c r="FU85" s="145"/>
      <c r="FV85" s="145"/>
      <c r="FW85" s="145"/>
      <c r="FX85" s="143"/>
      <c r="FY85" s="146">
        <f>_xlfn.XLOOKUP($E85,'Key assumptions'!$B$112:$B$120,'Key assumptions'!$C$112:$C$120,0)</f>
        <v>0</v>
      </c>
      <c r="FZ85" s="146" cm="1">
        <f t="array" ref="FZ85">IF($FY85=0,0,_xlfn.IFS($FY85='Key assumptions'!$C$120,_xlfn.XLOOKUP(LEFT(FZ$7,6),Inflation_Year,Inflation_NominaltoReal),TRUE,_xlfn.XLOOKUP($FY85,Inflation_Year,NominaltoReal)))</f>
        <v>0</v>
      </c>
      <c r="GA85" s="146" cm="1">
        <f t="array" ref="GA85">IF($FY85=0,0,_xlfn.IFS($FY85='Key assumptions'!$C$120,_xlfn.XLOOKUP(LEFT(GA$7,6),Inflation_Year,Inflation_NominaltoReal),TRUE,_xlfn.XLOOKUP($FY85,Inflation_Year,NominaltoReal)))</f>
        <v>0</v>
      </c>
      <c r="GB85" s="146" cm="1">
        <f t="array" ref="GB85">IF($FY85=0,0,_xlfn.IFS($FY85='Key assumptions'!$C$120,_xlfn.XLOOKUP(LEFT(GB$7,6),Inflation_Year,Inflation_NominaltoReal),TRUE,_xlfn.XLOOKUP($FY85,Inflation_Year,NominaltoReal)))</f>
        <v>0</v>
      </c>
      <c r="GC85" s="146" cm="1">
        <f t="array" ref="GC85">IF($FY85=0,0,_xlfn.IFS($FY85='Key assumptions'!$C$120,_xlfn.XLOOKUP(LEFT(GC$7,6),Inflation_Year,Inflation_NominaltoReal),TRUE,_xlfn.XLOOKUP($FY85,Inflation_Year,NominaltoReal)))</f>
        <v>0</v>
      </c>
      <c r="GD85" s="146" cm="1">
        <f t="array" ref="GD85">IF($FY85=0,0,_xlfn.IFS($FY85='Key assumptions'!$C$120,_xlfn.XLOOKUP(LEFT(GD$7,6),Inflation_Year,Inflation_NominaltoReal),TRUE,_xlfn.XLOOKUP($FY85,Inflation_Year,NominaltoReal)))</f>
        <v>0</v>
      </c>
      <c r="GE85" s="146" cm="1">
        <f t="array" ref="GE85">IF($FY85=0,0,_xlfn.IFS($FY85='Key assumptions'!$C$120,_xlfn.XLOOKUP(LEFT(GE$7,6),Inflation_Year,Inflation_NominaltoReal),TRUE,_xlfn.XLOOKUP($FY85,Inflation_Year,NominaltoReal)))</f>
        <v>0</v>
      </c>
      <c r="GF85" s="146" cm="1">
        <f t="array" ref="GF85">IF($FY85=0,0,_xlfn.IFS($FY85='Key assumptions'!$C$120,_xlfn.XLOOKUP(LEFT(GF$7,6),Inflation_Year,Inflation_NominaltoReal),TRUE,_xlfn.XLOOKUP($FY85,Inflation_Year,NominaltoReal)))</f>
        <v>0</v>
      </c>
      <c r="GG85" s="143"/>
      <c r="GH85" s="145" cm="1">
        <f t="array" ref="GH85">SUMPRODUCT(--($CR$7:$FW$7&gt;=GH$5),--($CR$7:$FW$7&lt;=GH$6),$CR85:$FW85)*FZ85</f>
        <v>0</v>
      </c>
      <c r="GI85" s="145" cm="1">
        <f t="array" ref="GI85">SUMPRODUCT(--($CR$7:$FW$7&gt;=GI$5),--($CR$7:$FW$7&lt;=GI$6),$CR85:$FW85)*GA85</f>
        <v>0</v>
      </c>
      <c r="GJ85" s="145" cm="1">
        <f t="array" ref="GJ85">SUMPRODUCT(--($CR$7:$FW$7&gt;=GJ$5),--($CR$7:$FW$7&lt;=GJ$6),$CR85:$FW85)*GB85</f>
        <v>0</v>
      </c>
      <c r="GK85" s="145" cm="1">
        <f t="array" ref="GK85">SUMPRODUCT(--($CR$7:$FW$7&gt;=GK$5),--($CR$7:$FW$7&lt;=GK$6),$CR85:$FW85)*GC85</f>
        <v>0</v>
      </c>
      <c r="GL85" s="145" cm="1">
        <f t="array" ref="GL85">SUMPRODUCT(--($CR$7:$FW$7&gt;=GL$5),--($CR$7:$FW$7&lt;=GL$6),$CR85:$FW85)*GD85</f>
        <v>0</v>
      </c>
      <c r="GM85" s="145" cm="1">
        <f t="array" ref="GM85">SUMPRODUCT(--($CR$7:$FW$7&gt;=GM$5),--($CR$7:$FW$7&lt;=GM$6),$CR85:$FW85)*GE85</f>
        <v>0</v>
      </c>
      <c r="GN85" s="145" cm="1">
        <f t="array" ref="GN85">SUMPRODUCT(--($CR$7:$FW$7&gt;=GN$5),--($CR$7:$FW$7&lt;=GN$6),$CR85:$FW85)*GF85</f>
        <v>0</v>
      </c>
      <c r="GO85" s="145">
        <f t="shared" si="1"/>
        <v>0</v>
      </c>
      <c r="GP85" s="87"/>
      <c r="GR85" s="145" cm="1">
        <f t="array" ref="GR85">SUMPRODUCT(--($CR$7:$FW$7&gt;=GR$5),--($CR$7:$FW$7&lt;=GR$6),$CR85:$FW85)</f>
        <v>0</v>
      </c>
    </row>
    <row r="86" spans="2:200" x14ac:dyDescent="0.2">
      <c r="B86" s="141"/>
      <c r="C86" s="141"/>
      <c r="D86" s="141"/>
      <c r="E86" s="141"/>
      <c r="F86" s="141"/>
      <c r="G86" s="141"/>
      <c r="H86" s="142"/>
      <c r="I86" s="126"/>
      <c r="J86" s="143"/>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3"/>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c r="EE86" s="145"/>
      <c r="EF86" s="145"/>
      <c r="EG86" s="145"/>
      <c r="EH86" s="145"/>
      <c r="EI86" s="145"/>
      <c r="EJ86" s="145"/>
      <c r="EK86" s="145"/>
      <c r="EL86" s="145"/>
      <c r="EM86" s="145"/>
      <c r="EN86" s="145"/>
      <c r="EO86" s="145"/>
      <c r="EP86" s="145"/>
      <c r="EQ86" s="145"/>
      <c r="ER86" s="145"/>
      <c r="ES86" s="145"/>
      <c r="ET86" s="145"/>
      <c r="EU86" s="145"/>
      <c r="EV86" s="145"/>
      <c r="EW86" s="145"/>
      <c r="EX86" s="145"/>
      <c r="EY86" s="145"/>
      <c r="EZ86" s="145"/>
      <c r="FA86" s="145"/>
      <c r="FB86" s="145"/>
      <c r="FC86" s="145"/>
      <c r="FD86" s="145"/>
      <c r="FE86" s="145"/>
      <c r="FF86" s="145"/>
      <c r="FG86" s="145"/>
      <c r="FH86" s="145"/>
      <c r="FI86" s="145"/>
      <c r="FJ86" s="145"/>
      <c r="FK86" s="145"/>
      <c r="FL86" s="145"/>
      <c r="FM86" s="145"/>
      <c r="FN86" s="145"/>
      <c r="FO86" s="145"/>
      <c r="FP86" s="145"/>
      <c r="FQ86" s="145"/>
      <c r="FR86" s="145"/>
      <c r="FS86" s="145"/>
      <c r="FT86" s="145"/>
      <c r="FU86" s="145"/>
      <c r="FV86" s="145"/>
      <c r="FW86" s="145"/>
      <c r="FX86" s="143"/>
      <c r="FY86" s="146">
        <f>_xlfn.XLOOKUP($E86,'Key assumptions'!$B$112:$B$120,'Key assumptions'!$C$112:$C$120,0)</f>
        <v>0</v>
      </c>
      <c r="FZ86" s="146" cm="1">
        <f t="array" ref="FZ86">IF($FY86=0,0,_xlfn.IFS($FY86='Key assumptions'!$C$120,_xlfn.XLOOKUP(LEFT(FZ$7,6),Inflation_Year,Inflation_NominaltoReal),TRUE,_xlfn.XLOOKUP($FY86,Inflation_Year,NominaltoReal)))</f>
        <v>0</v>
      </c>
      <c r="GA86" s="146" cm="1">
        <f t="array" ref="GA86">IF($FY86=0,0,_xlfn.IFS($FY86='Key assumptions'!$C$120,_xlfn.XLOOKUP(LEFT(GA$7,6),Inflation_Year,Inflation_NominaltoReal),TRUE,_xlfn.XLOOKUP($FY86,Inflation_Year,NominaltoReal)))</f>
        <v>0</v>
      </c>
      <c r="GB86" s="146" cm="1">
        <f t="array" ref="GB86">IF($FY86=0,0,_xlfn.IFS($FY86='Key assumptions'!$C$120,_xlfn.XLOOKUP(LEFT(GB$7,6),Inflation_Year,Inflation_NominaltoReal),TRUE,_xlfn.XLOOKUP($FY86,Inflation_Year,NominaltoReal)))</f>
        <v>0</v>
      </c>
      <c r="GC86" s="146" cm="1">
        <f t="array" ref="GC86">IF($FY86=0,0,_xlfn.IFS($FY86='Key assumptions'!$C$120,_xlfn.XLOOKUP(LEFT(GC$7,6),Inflation_Year,Inflation_NominaltoReal),TRUE,_xlfn.XLOOKUP($FY86,Inflation_Year,NominaltoReal)))</f>
        <v>0</v>
      </c>
      <c r="GD86" s="146" cm="1">
        <f t="array" ref="GD86">IF($FY86=0,0,_xlfn.IFS($FY86='Key assumptions'!$C$120,_xlfn.XLOOKUP(LEFT(GD$7,6),Inflation_Year,Inflation_NominaltoReal),TRUE,_xlfn.XLOOKUP($FY86,Inflation_Year,NominaltoReal)))</f>
        <v>0</v>
      </c>
      <c r="GE86" s="146" cm="1">
        <f t="array" ref="GE86">IF($FY86=0,0,_xlfn.IFS($FY86='Key assumptions'!$C$120,_xlfn.XLOOKUP(LEFT(GE$7,6),Inflation_Year,Inflation_NominaltoReal),TRUE,_xlfn.XLOOKUP($FY86,Inflation_Year,NominaltoReal)))</f>
        <v>0</v>
      </c>
      <c r="GF86" s="146" cm="1">
        <f t="array" ref="GF86">IF($FY86=0,0,_xlfn.IFS($FY86='Key assumptions'!$C$120,_xlfn.XLOOKUP(LEFT(GF$7,6),Inflation_Year,Inflation_NominaltoReal),TRUE,_xlfn.XLOOKUP($FY86,Inflation_Year,NominaltoReal)))</f>
        <v>0</v>
      </c>
      <c r="GG86" s="143"/>
      <c r="GH86" s="145" cm="1">
        <f t="array" ref="GH86">SUMPRODUCT(--($CR$7:$FW$7&gt;=GH$5),--($CR$7:$FW$7&lt;=GH$6),$CR86:$FW86)*FZ86</f>
        <v>0</v>
      </c>
      <c r="GI86" s="145" cm="1">
        <f t="array" ref="GI86">SUMPRODUCT(--($CR$7:$FW$7&gt;=GI$5),--($CR$7:$FW$7&lt;=GI$6),$CR86:$FW86)*GA86</f>
        <v>0</v>
      </c>
      <c r="GJ86" s="145" cm="1">
        <f t="array" ref="GJ86">SUMPRODUCT(--($CR$7:$FW$7&gt;=GJ$5),--($CR$7:$FW$7&lt;=GJ$6),$CR86:$FW86)*GB86</f>
        <v>0</v>
      </c>
      <c r="GK86" s="145" cm="1">
        <f t="array" ref="GK86">SUMPRODUCT(--($CR$7:$FW$7&gt;=GK$5),--($CR$7:$FW$7&lt;=GK$6),$CR86:$FW86)*GC86</f>
        <v>0</v>
      </c>
      <c r="GL86" s="145" cm="1">
        <f t="array" ref="GL86">SUMPRODUCT(--($CR$7:$FW$7&gt;=GL$5),--($CR$7:$FW$7&lt;=GL$6),$CR86:$FW86)*GD86</f>
        <v>0</v>
      </c>
      <c r="GM86" s="145" cm="1">
        <f t="array" ref="GM86">SUMPRODUCT(--($CR$7:$FW$7&gt;=GM$5),--($CR$7:$FW$7&lt;=GM$6),$CR86:$FW86)*GE86</f>
        <v>0</v>
      </c>
      <c r="GN86" s="145" cm="1">
        <f t="array" ref="GN86">SUMPRODUCT(--($CR$7:$FW$7&gt;=GN$5),--($CR$7:$FW$7&lt;=GN$6),$CR86:$FW86)*GF86</f>
        <v>0</v>
      </c>
      <c r="GO86" s="145">
        <f t="shared" si="1"/>
        <v>0</v>
      </c>
      <c r="GP86" s="87"/>
      <c r="GR86" s="145" cm="1">
        <f t="array" ref="GR86">SUMPRODUCT(--($CR$7:$FW$7&gt;=GR$5),--($CR$7:$FW$7&lt;=GR$6),$CR86:$FW86)</f>
        <v>0</v>
      </c>
    </row>
    <row r="87" spans="2:200" x14ac:dyDescent="0.2">
      <c r="B87" s="141"/>
      <c r="C87" s="141"/>
      <c r="D87" s="141"/>
      <c r="E87" s="141"/>
      <c r="F87" s="141"/>
      <c r="G87" s="141"/>
      <c r="H87" s="142"/>
      <c r="I87" s="126"/>
      <c r="J87" s="143"/>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3"/>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c r="EE87" s="145"/>
      <c r="EF87" s="145"/>
      <c r="EG87" s="145"/>
      <c r="EH87" s="145"/>
      <c r="EI87" s="145"/>
      <c r="EJ87" s="145"/>
      <c r="EK87" s="145"/>
      <c r="EL87" s="145"/>
      <c r="EM87" s="145"/>
      <c r="EN87" s="145"/>
      <c r="EO87" s="145"/>
      <c r="EP87" s="145"/>
      <c r="EQ87" s="145"/>
      <c r="ER87" s="145"/>
      <c r="ES87" s="145"/>
      <c r="ET87" s="145"/>
      <c r="EU87" s="145"/>
      <c r="EV87" s="145"/>
      <c r="EW87" s="145"/>
      <c r="EX87" s="145"/>
      <c r="EY87" s="145"/>
      <c r="EZ87" s="145"/>
      <c r="FA87" s="145"/>
      <c r="FB87" s="145"/>
      <c r="FC87" s="145"/>
      <c r="FD87" s="145"/>
      <c r="FE87" s="145"/>
      <c r="FF87" s="145"/>
      <c r="FG87" s="145"/>
      <c r="FH87" s="145"/>
      <c r="FI87" s="145"/>
      <c r="FJ87" s="145"/>
      <c r="FK87" s="145"/>
      <c r="FL87" s="145"/>
      <c r="FM87" s="145"/>
      <c r="FN87" s="145"/>
      <c r="FO87" s="145"/>
      <c r="FP87" s="145"/>
      <c r="FQ87" s="145"/>
      <c r="FR87" s="145"/>
      <c r="FS87" s="145"/>
      <c r="FT87" s="145"/>
      <c r="FU87" s="145"/>
      <c r="FV87" s="145"/>
      <c r="FW87" s="145"/>
      <c r="FX87" s="143"/>
      <c r="FY87" s="146">
        <f>_xlfn.XLOOKUP($E87,'Key assumptions'!$B$112:$B$120,'Key assumptions'!$C$112:$C$120,0)</f>
        <v>0</v>
      </c>
      <c r="FZ87" s="146" cm="1">
        <f t="array" ref="FZ87">IF($FY87=0,0,_xlfn.IFS($FY87='Key assumptions'!$C$120,_xlfn.XLOOKUP(LEFT(FZ$7,6),Inflation_Year,Inflation_NominaltoReal),TRUE,_xlfn.XLOOKUP($FY87,Inflation_Year,NominaltoReal)))</f>
        <v>0</v>
      </c>
      <c r="GA87" s="146" cm="1">
        <f t="array" ref="GA87">IF($FY87=0,0,_xlfn.IFS($FY87='Key assumptions'!$C$120,_xlfn.XLOOKUP(LEFT(GA$7,6),Inflation_Year,Inflation_NominaltoReal),TRUE,_xlfn.XLOOKUP($FY87,Inflation_Year,NominaltoReal)))</f>
        <v>0</v>
      </c>
      <c r="GB87" s="146" cm="1">
        <f t="array" ref="GB87">IF($FY87=0,0,_xlfn.IFS($FY87='Key assumptions'!$C$120,_xlfn.XLOOKUP(LEFT(GB$7,6),Inflation_Year,Inflation_NominaltoReal),TRUE,_xlfn.XLOOKUP($FY87,Inflation_Year,NominaltoReal)))</f>
        <v>0</v>
      </c>
      <c r="GC87" s="146" cm="1">
        <f t="array" ref="GC87">IF($FY87=0,0,_xlfn.IFS($FY87='Key assumptions'!$C$120,_xlfn.XLOOKUP(LEFT(GC$7,6),Inflation_Year,Inflation_NominaltoReal),TRUE,_xlfn.XLOOKUP($FY87,Inflation_Year,NominaltoReal)))</f>
        <v>0</v>
      </c>
      <c r="GD87" s="146" cm="1">
        <f t="array" ref="GD87">IF($FY87=0,0,_xlfn.IFS($FY87='Key assumptions'!$C$120,_xlfn.XLOOKUP(LEFT(GD$7,6),Inflation_Year,Inflation_NominaltoReal),TRUE,_xlfn.XLOOKUP($FY87,Inflation_Year,NominaltoReal)))</f>
        <v>0</v>
      </c>
      <c r="GE87" s="146" cm="1">
        <f t="array" ref="GE87">IF($FY87=0,0,_xlfn.IFS($FY87='Key assumptions'!$C$120,_xlfn.XLOOKUP(LEFT(GE$7,6),Inflation_Year,Inflation_NominaltoReal),TRUE,_xlfn.XLOOKUP($FY87,Inflation_Year,NominaltoReal)))</f>
        <v>0</v>
      </c>
      <c r="GF87" s="146" cm="1">
        <f t="array" ref="GF87">IF($FY87=0,0,_xlfn.IFS($FY87='Key assumptions'!$C$120,_xlfn.XLOOKUP(LEFT(GF$7,6),Inflation_Year,Inflation_NominaltoReal),TRUE,_xlfn.XLOOKUP($FY87,Inflation_Year,NominaltoReal)))</f>
        <v>0</v>
      </c>
      <c r="GG87" s="143"/>
      <c r="GH87" s="145" cm="1">
        <f t="array" ref="GH87">SUMPRODUCT(--($CR$7:$FW$7&gt;=GH$5),--($CR$7:$FW$7&lt;=GH$6),$CR87:$FW87)*FZ87</f>
        <v>0</v>
      </c>
      <c r="GI87" s="145" cm="1">
        <f t="array" ref="GI87">SUMPRODUCT(--($CR$7:$FW$7&gt;=GI$5),--($CR$7:$FW$7&lt;=GI$6),$CR87:$FW87)*GA87</f>
        <v>0</v>
      </c>
      <c r="GJ87" s="145" cm="1">
        <f t="array" ref="GJ87">SUMPRODUCT(--($CR$7:$FW$7&gt;=GJ$5),--($CR$7:$FW$7&lt;=GJ$6),$CR87:$FW87)*GB87</f>
        <v>0</v>
      </c>
      <c r="GK87" s="145" cm="1">
        <f t="array" ref="GK87">SUMPRODUCT(--($CR$7:$FW$7&gt;=GK$5),--($CR$7:$FW$7&lt;=GK$6),$CR87:$FW87)*GC87</f>
        <v>0</v>
      </c>
      <c r="GL87" s="145" cm="1">
        <f t="array" ref="GL87">SUMPRODUCT(--($CR$7:$FW$7&gt;=GL$5),--($CR$7:$FW$7&lt;=GL$6),$CR87:$FW87)*GD87</f>
        <v>0</v>
      </c>
      <c r="GM87" s="145" cm="1">
        <f t="array" ref="GM87">SUMPRODUCT(--($CR$7:$FW$7&gt;=GM$5),--($CR$7:$FW$7&lt;=GM$6),$CR87:$FW87)*GE87</f>
        <v>0</v>
      </c>
      <c r="GN87" s="145" cm="1">
        <f t="array" ref="GN87">SUMPRODUCT(--($CR$7:$FW$7&gt;=GN$5),--($CR$7:$FW$7&lt;=GN$6),$CR87:$FW87)*GF87</f>
        <v>0</v>
      </c>
      <c r="GO87" s="145">
        <f t="shared" si="1"/>
        <v>0</v>
      </c>
      <c r="GP87" s="87"/>
      <c r="GR87" s="145" cm="1">
        <f t="array" ref="GR87">SUMPRODUCT(--($CR$7:$FW$7&gt;=GR$5),--($CR$7:$FW$7&lt;=GR$6),$CR87:$FW87)</f>
        <v>0</v>
      </c>
    </row>
    <row r="88" spans="2:200" x14ac:dyDescent="0.2">
      <c r="B88" s="141"/>
      <c r="C88" s="141"/>
      <c r="D88" s="141"/>
      <c r="E88" s="141"/>
      <c r="F88" s="141"/>
      <c r="G88" s="141"/>
      <c r="H88" s="142"/>
      <c r="I88" s="126"/>
      <c r="J88" s="143"/>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3"/>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c r="EE88" s="145"/>
      <c r="EF88" s="145"/>
      <c r="EG88" s="145"/>
      <c r="EH88" s="145"/>
      <c r="EI88" s="145"/>
      <c r="EJ88" s="145"/>
      <c r="EK88" s="145"/>
      <c r="EL88" s="145"/>
      <c r="EM88" s="145"/>
      <c r="EN88" s="145"/>
      <c r="EO88" s="145"/>
      <c r="EP88" s="145"/>
      <c r="EQ88" s="145"/>
      <c r="ER88" s="145"/>
      <c r="ES88" s="145"/>
      <c r="ET88" s="145"/>
      <c r="EU88" s="145"/>
      <c r="EV88" s="145"/>
      <c r="EW88" s="145"/>
      <c r="EX88" s="145"/>
      <c r="EY88" s="145"/>
      <c r="EZ88" s="145"/>
      <c r="FA88" s="145"/>
      <c r="FB88" s="145"/>
      <c r="FC88" s="145"/>
      <c r="FD88" s="145"/>
      <c r="FE88" s="145"/>
      <c r="FF88" s="145"/>
      <c r="FG88" s="145"/>
      <c r="FH88" s="145"/>
      <c r="FI88" s="145"/>
      <c r="FJ88" s="145"/>
      <c r="FK88" s="145"/>
      <c r="FL88" s="145"/>
      <c r="FM88" s="145"/>
      <c r="FN88" s="145"/>
      <c r="FO88" s="145"/>
      <c r="FP88" s="145"/>
      <c r="FQ88" s="145"/>
      <c r="FR88" s="145"/>
      <c r="FS88" s="145"/>
      <c r="FT88" s="145"/>
      <c r="FU88" s="145"/>
      <c r="FV88" s="145"/>
      <c r="FW88" s="145"/>
      <c r="FX88" s="143"/>
      <c r="FY88" s="146">
        <f>_xlfn.XLOOKUP($E88,'Key assumptions'!$B$112:$B$120,'Key assumptions'!$C$112:$C$120,0)</f>
        <v>0</v>
      </c>
      <c r="FZ88" s="146" cm="1">
        <f t="array" ref="FZ88">IF($FY88=0,0,_xlfn.IFS($FY88='Key assumptions'!$C$120,_xlfn.XLOOKUP(LEFT(FZ$7,6),Inflation_Year,Inflation_NominaltoReal),TRUE,_xlfn.XLOOKUP($FY88,Inflation_Year,NominaltoReal)))</f>
        <v>0</v>
      </c>
      <c r="GA88" s="146" cm="1">
        <f t="array" ref="GA88">IF($FY88=0,0,_xlfn.IFS($FY88='Key assumptions'!$C$120,_xlfn.XLOOKUP(LEFT(GA$7,6),Inflation_Year,Inflation_NominaltoReal),TRUE,_xlfn.XLOOKUP($FY88,Inflation_Year,NominaltoReal)))</f>
        <v>0</v>
      </c>
      <c r="GB88" s="146" cm="1">
        <f t="array" ref="GB88">IF($FY88=0,0,_xlfn.IFS($FY88='Key assumptions'!$C$120,_xlfn.XLOOKUP(LEFT(GB$7,6),Inflation_Year,Inflation_NominaltoReal),TRUE,_xlfn.XLOOKUP($FY88,Inflation_Year,NominaltoReal)))</f>
        <v>0</v>
      </c>
      <c r="GC88" s="146" cm="1">
        <f t="array" ref="GC88">IF($FY88=0,0,_xlfn.IFS($FY88='Key assumptions'!$C$120,_xlfn.XLOOKUP(LEFT(GC$7,6),Inflation_Year,Inflation_NominaltoReal),TRUE,_xlfn.XLOOKUP($FY88,Inflation_Year,NominaltoReal)))</f>
        <v>0</v>
      </c>
      <c r="GD88" s="146" cm="1">
        <f t="array" ref="GD88">IF($FY88=0,0,_xlfn.IFS($FY88='Key assumptions'!$C$120,_xlfn.XLOOKUP(LEFT(GD$7,6),Inflation_Year,Inflation_NominaltoReal),TRUE,_xlfn.XLOOKUP($FY88,Inflation_Year,NominaltoReal)))</f>
        <v>0</v>
      </c>
      <c r="GE88" s="146" cm="1">
        <f t="array" ref="GE88">IF($FY88=0,0,_xlfn.IFS($FY88='Key assumptions'!$C$120,_xlfn.XLOOKUP(LEFT(GE$7,6),Inflation_Year,Inflation_NominaltoReal),TRUE,_xlfn.XLOOKUP($FY88,Inflation_Year,NominaltoReal)))</f>
        <v>0</v>
      </c>
      <c r="GF88" s="146" cm="1">
        <f t="array" ref="GF88">IF($FY88=0,0,_xlfn.IFS($FY88='Key assumptions'!$C$120,_xlfn.XLOOKUP(LEFT(GF$7,6),Inflation_Year,Inflation_NominaltoReal),TRUE,_xlfn.XLOOKUP($FY88,Inflation_Year,NominaltoReal)))</f>
        <v>0</v>
      </c>
      <c r="GG88" s="143"/>
      <c r="GH88" s="145" cm="1">
        <f t="array" ref="GH88">SUMPRODUCT(--($CR$7:$FW$7&gt;=GH$5),--($CR$7:$FW$7&lt;=GH$6),$CR88:$FW88)*FZ88</f>
        <v>0</v>
      </c>
      <c r="GI88" s="145" cm="1">
        <f t="array" ref="GI88">SUMPRODUCT(--($CR$7:$FW$7&gt;=GI$5),--($CR$7:$FW$7&lt;=GI$6),$CR88:$FW88)*GA88</f>
        <v>0</v>
      </c>
      <c r="GJ88" s="145" cm="1">
        <f t="array" ref="GJ88">SUMPRODUCT(--($CR$7:$FW$7&gt;=GJ$5),--($CR$7:$FW$7&lt;=GJ$6),$CR88:$FW88)*GB88</f>
        <v>0</v>
      </c>
      <c r="GK88" s="145" cm="1">
        <f t="array" ref="GK88">SUMPRODUCT(--($CR$7:$FW$7&gt;=GK$5),--($CR$7:$FW$7&lt;=GK$6),$CR88:$FW88)*GC88</f>
        <v>0</v>
      </c>
      <c r="GL88" s="145" cm="1">
        <f t="array" ref="GL88">SUMPRODUCT(--($CR$7:$FW$7&gt;=GL$5),--($CR$7:$FW$7&lt;=GL$6),$CR88:$FW88)*GD88</f>
        <v>0</v>
      </c>
      <c r="GM88" s="145" cm="1">
        <f t="array" ref="GM88">SUMPRODUCT(--($CR$7:$FW$7&gt;=GM$5),--($CR$7:$FW$7&lt;=GM$6),$CR88:$FW88)*GE88</f>
        <v>0</v>
      </c>
      <c r="GN88" s="145" cm="1">
        <f t="array" ref="GN88">SUMPRODUCT(--($CR$7:$FW$7&gt;=GN$5),--($CR$7:$FW$7&lt;=GN$6),$CR88:$FW88)*GF88</f>
        <v>0</v>
      </c>
      <c r="GO88" s="145">
        <f t="shared" si="1"/>
        <v>0</v>
      </c>
      <c r="GP88" s="87"/>
      <c r="GR88" s="145" cm="1">
        <f t="array" ref="GR88">SUMPRODUCT(--($CR$7:$FW$7&gt;=GR$5),--($CR$7:$FW$7&lt;=GR$6),$CR88:$FW88)</f>
        <v>0</v>
      </c>
    </row>
    <row r="89" spans="2:200" x14ac:dyDescent="0.2">
      <c r="B89" s="141"/>
      <c r="C89" s="141"/>
      <c r="D89" s="141"/>
      <c r="E89" s="141"/>
      <c r="F89" s="141"/>
      <c r="G89" s="141"/>
      <c r="H89" s="142"/>
      <c r="I89" s="126"/>
      <c r="J89" s="143"/>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3"/>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c r="EE89" s="145"/>
      <c r="EF89" s="145"/>
      <c r="EG89" s="145"/>
      <c r="EH89" s="145"/>
      <c r="EI89" s="145"/>
      <c r="EJ89" s="145"/>
      <c r="EK89" s="145"/>
      <c r="EL89" s="145"/>
      <c r="EM89" s="145"/>
      <c r="EN89" s="145"/>
      <c r="EO89" s="145"/>
      <c r="EP89" s="145"/>
      <c r="EQ89" s="145"/>
      <c r="ER89" s="145"/>
      <c r="ES89" s="145"/>
      <c r="ET89" s="145"/>
      <c r="EU89" s="145"/>
      <c r="EV89" s="145"/>
      <c r="EW89" s="145"/>
      <c r="EX89" s="145"/>
      <c r="EY89" s="145"/>
      <c r="EZ89" s="145"/>
      <c r="FA89" s="145"/>
      <c r="FB89" s="145"/>
      <c r="FC89" s="145"/>
      <c r="FD89" s="145"/>
      <c r="FE89" s="145"/>
      <c r="FF89" s="145"/>
      <c r="FG89" s="145"/>
      <c r="FH89" s="145"/>
      <c r="FI89" s="145"/>
      <c r="FJ89" s="145"/>
      <c r="FK89" s="145"/>
      <c r="FL89" s="145"/>
      <c r="FM89" s="145"/>
      <c r="FN89" s="145"/>
      <c r="FO89" s="145"/>
      <c r="FP89" s="145"/>
      <c r="FQ89" s="145"/>
      <c r="FR89" s="145"/>
      <c r="FS89" s="145"/>
      <c r="FT89" s="145"/>
      <c r="FU89" s="145"/>
      <c r="FV89" s="145"/>
      <c r="FW89" s="145"/>
      <c r="FX89" s="143"/>
      <c r="FY89" s="146">
        <f>_xlfn.XLOOKUP($E89,'Key assumptions'!$B$112:$B$120,'Key assumptions'!$C$112:$C$120,0)</f>
        <v>0</v>
      </c>
      <c r="FZ89" s="146" cm="1">
        <f t="array" ref="FZ89">IF($FY89=0,0,_xlfn.IFS($FY89='Key assumptions'!$C$120,_xlfn.XLOOKUP(LEFT(FZ$7,6),Inflation_Year,Inflation_NominaltoReal),TRUE,_xlfn.XLOOKUP($FY89,Inflation_Year,NominaltoReal)))</f>
        <v>0</v>
      </c>
      <c r="GA89" s="146" cm="1">
        <f t="array" ref="GA89">IF($FY89=0,0,_xlfn.IFS($FY89='Key assumptions'!$C$120,_xlfn.XLOOKUP(LEFT(GA$7,6),Inflation_Year,Inflation_NominaltoReal),TRUE,_xlfn.XLOOKUP($FY89,Inflation_Year,NominaltoReal)))</f>
        <v>0</v>
      </c>
      <c r="GB89" s="146" cm="1">
        <f t="array" ref="GB89">IF($FY89=0,0,_xlfn.IFS($FY89='Key assumptions'!$C$120,_xlfn.XLOOKUP(LEFT(GB$7,6),Inflation_Year,Inflation_NominaltoReal),TRUE,_xlfn.XLOOKUP($FY89,Inflation_Year,NominaltoReal)))</f>
        <v>0</v>
      </c>
      <c r="GC89" s="146" cm="1">
        <f t="array" ref="GC89">IF($FY89=0,0,_xlfn.IFS($FY89='Key assumptions'!$C$120,_xlfn.XLOOKUP(LEFT(GC$7,6),Inflation_Year,Inflation_NominaltoReal),TRUE,_xlfn.XLOOKUP($FY89,Inflation_Year,NominaltoReal)))</f>
        <v>0</v>
      </c>
      <c r="GD89" s="146" cm="1">
        <f t="array" ref="GD89">IF($FY89=0,0,_xlfn.IFS($FY89='Key assumptions'!$C$120,_xlfn.XLOOKUP(LEFT(GD$7,6),Inflation_Year,Inflation_NominaltoReal),TRUE,_xlfn.XLOOKUP($FY89,Inflation_Year,NominaltoReal)))</f>
        <v>0</v>
      </c>
      <c r="GE89" s="146" cm="1">
        <f t="array" ref="GE89">IF($FY89=0,0,_xlfn.IFS($FY89='Key assumptions'!$C$120,_xlfn.XLOOKUP(LEFT(GE$7,6),Inflation_Year,Inflation_NominaltoReal),TRUE,_xlfn.XLOOKUP($FY89,Inflation_Year,NominaltoReal)))</f>
        <v>0</v>
      </c>
      <c r="GF89" s="146" cm="1">
        <f t="array" ref="GF89">IF($FY89=0,0,_xlfn.IFS($FY89='Key assumptions'!$C$120,_xlfn.XLOOKUP(LEFT(GF$7,6),Inflation_Year,Inflation_NominaltoReal),TRUE,_xlfn.XLOOKUP($FY89,Inflation_Year,NominaltoReal)))</f>
        <v>0</v>
      </c>
      <c r="GG89" s="143"/>
      <c r="GH89" s="145" cm="1">
        <f t="array" ref="GH89">SUMPRODUCT(--($CR$7:$FW$7&gt;=GH$5),--($CR$7:$FW$7&lt;=GH$6),$CR89:$FW89)*FZ89</f>
        <v>0</v>
      </c>
      <c r="GI89" s="145" cm="1">
        <f t="array" ref="GI89">SUMPRODUCT(--($CR$7:$FW$7&gt;=GI$5),--($CR$7:$FW$7&lt;=GI$6),$CR89:$FW89)*GA89</f>
        <v>0</v>
      </c>
      <c r="GJ89" s="145" cm="1">
        <f t="array" ref="GJ89">SUMPRODUCT(--($CR$7:$FW$7&gt;=GJ$5),--($CR$7:$FW$7&lt;=GJ$6),$CR89:$FW89)*GB89</f>
        <v>0</v>
      </c>
      <c r="GK89" s="145" cm="1">
        <f t="array" ref="GK89">SUMPRODUCT(--($CR$7:$FW$7&gt;=GK$5),--($CR$7:$FW$7&lt;=GK$6),$CR89:$FW89)*GC89</f>
        <v>0</v>
      </c>
      <c r="GL89" s="145" cm="1">
        <f t="array" ref="GL89">SUMPRODUCT(--($CR$7:$FW$7&gt;=GL$5),--($CR$7:$FW$7&lt;=GL$6),$CR89:$FW89)*GD89</f>
        <v>0</v>
      </c>
      <c r="GM89" s="145" cm="1">
        <f t="array" ref="GM89">SUMPRODUCT(--($CR$7:$FW$7&gt;=GM$5),--($CR$7:$FW$7&lt;=GM$6),$CR89:$FW89)*GE89</f>
        <v>0</v>
      </c>
      <c r="GN89" s="145" cm="1">
        <f t="array" ref="GN89">SUMPRODUCT(--($CR$7:$FW$7&gt;=GN$5),--($CR$7:$FW$7&lt;=GN$6),$CR89:$FW89)*GF89</f>
        <v>0</v>
      </c>
      <c r="GO89" s="145">
        <f t="shared" si="1"/>
        <v>0</v>
      </c>
      <c r="GP89" s="87"/>
      <c r="GR89" s="145" cm="1">
        <f t="array" ref="GR89">SUMPRODUCT(--($CR$7:$FW$7&gt;=GR$5),--($CR$7:$FW$7&lt;=GR$6),$CR89:$FW89)</f>
        <v>0</v>
      </c>
    </row>
    <row r="90" spans="2:200" x14ac:dyDescent="0.2">
      <c r="B90" s="141"/>
      <c r="C90" s="141"/>
      <c r="D90" s="141"/>
      <c r="E90" s="141"/>
      <c r="F90" s="141"/>
      <c r="G90" s="141"/>
      <c r="H90" s="142"/>
      <c r="I90" s="126"/>
      <c r="J90" s="143"/>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3"/>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c r="EE90" s="145"/>
      <c r="EF90" s="145"/>
      <c r="EG90" s="145"/>
      <c r="EH90" s="145"/>
      <c r="EI90" s="145"/>
      <c r="EJ90" s="145"/>
      <c r="EK90" s="145"/>
      <c r="EL90" s="145"/>
      <c r="EM90" s="145"/>
      <c r="EN90" s="145"/>
      <c r="EO90" s="145"/>
      <c r="EP90" s="145"/>
      <c r="EQ90" s="145"/>
      <c r="ER90" s="145"/>
      <c r="ES90" s="145"/>
      <c r="ET90" s="145"/>
      <c r="EU90" s="145"/>
      <c r="EV90" s="145"/>
      <c r="EW90" s="145"/>
      <c r="EX90" s="145"/>
      <c r="EY90" s="145"/>
      <c r="EZ90" s="145"/>
      <c r="FA90" s="145"/>
      <c r="FB90" s="145"/>
      <c r="FC90" s="145"/>
      <c r="FD90" s="145"/>
      <c r="FE90" s="145"/>
      <c r="FF90" s="145"/>
      <c r="FG90" s="145"/>
      <c r="FH90" s="145"/>
      <c r="FI90" s="145"/>
      <c r="FJ90" s="145"/>
      <c r="FK90" s="145"/>
      <c r="FL90" s="145"/>
      <c r="FM90" s="145"/>
      <c r="FN90" s="145"/>
      <c r="FO90" s="145"/>
      <c r="FP90" s="145"/>
      <c r="FQ90" s="145"/>
      <c r="FR90" s="145"/>
      <c r="FS90" s="145"/>
      <c r="FT90" s="145"/>
      <c r="FU90" s="145"/>
      <c r="FV90" s="145"/>
      <c r="FW90" s="145"/>
      <c r="FX90" s="143"/>
      <c r="FY90" s="146">
        <f>_xlfn.XLOOKUP($E90,'Key assumptions'!$B$112:$B$120,'Key assumptions'!$C$112:$C$120,0)</f>
        <v>0</v>
      </c>
      <c r="FZ90" s="146" cm="1">
        <f t="array" ref="FZ90">IF($FY90=0,0,_xlfn.IFS($FY90='Key assumptions'!$C$120,_xlfn.XLOOKUP(LEFT(FZ$7,6),Inflation_Year,Inflation_NominaltoReal),TRUE,_xlfn.XLOOKUP($FY90,Inflation_Year,NominaltoReal)))</f>
        <v>0</v>
      </c>
      <c r="GA90" s="146" cm="1">
        <f t="array" ref="GA90">IF($FY90=0,0,_xlfn.IFS($FY90='Key assumptions'!$C$120,_xlfn.XLOOKUP(LEFT(GA$7,6),Inflation_Year,Inflation_NominaltoReal),TRUE,_xlfn.XLOOKUP($FY90,Inflation_Year,NominaltoReal)))</f>
        <v>0</v>
      </c>
      <c r="GB90" s="146" cm="1">
        <f t="array" ref="GB90">IF($FY90=0,0,_xlfn.IFS($FY90='Key assumptions'!$C$120,_xlfn.XLOOKUP(LEFT(GB$7,6),Inflation_Year,Inflation_NominaltoReal),TRUE,_xlfn.XLOOKUP($FY90,Inflation_Year,NominaltoReal)))</f>
        <v>0</v>
      </c>
      <c r="GC90" s="146" cm="1">
        <f t="array" ref="GC90">IF($FY90=0,0,_xlfn.IFS($FY90='Key assumptions'!$C$120,_xlfn.XLOOKUP(LEFT(GC$7,6),Inflation_Year,Inflation_NominaltoReal),TRUE,_xlfn.XLOOKUP($FY90,Inflation_Year,NominaltoReal)))</f>
        <v>0</v>
      </c>
      <c r="GD90" s="146" cm="1">
        <f t="array" ref="GD90">IF($FY90=0,0,_xlfn.IFS($FY90='Key assumptions'!$C$120,_xlfn.XLOOKUP(LEFT(GD$7,6),Inflation_Year,Inflation_NominaltoReal),TRUE,_xlfn.XLOOKUP($FY90,Inflation_Year,NominaltoReal)))</f>
        <v>0</v>
      </c>
      <c r="GE90" s="146" cm="1">
        <f t="array" ref="GE90">IF($FY90=0,0,_xlfn.IFS($FY90='Key assumptions'!$C$120,_xlfn.XLOOKUP(LEFT(GE$7,6),Inflation_Year,Inflation_NominaltoReal),TRUE,_xlfn.XLOOKUP($FY90,Inflation_Year,NominaltoReal)))</f>
        <v>0</v>
      </c>
      <c r="GF90" s="146" cm="1">
        <f t="array" ref="GF90">IF($FY90=0,0,_xlfn.IFS($FY90='Key assumptions'!$C$120,_xlfn.XLOOKUP(LEFT(GF$7,6),Inflation_Year,Inflation_NominaltoReal),TRUE,_xlfn.XLOOKUP($FY90,Inflation_Year,NominaltoReal)))</f>
        <v>0</v>
      </c>
      <c r="GG90" s="143"/>
      <c r="GH90" s="145" cm="1">
        <f t="array" ref="GH90">SUMPRODUCT(--($CR$7:$FW$7&gt;=GH$5),--($CR$7:$FW$7&lt;=GH$6),$CR90:$FW90)*FZ90</f>
        <v>0</v>
      </c>
      <c r="GI90" s="145" cm="1">
        <f t="array" ref="GI90">SUMPRODUCT(--($CR$7:$FW$7&gt;=GI$5),--($CR$7:$FW$7&lt;=GI$6),$CR90:$FW90)*GA90</f>
        <v>0</v>
      </c>
      <c r="GJ90" s="145" cm="1">
        <f t="array" ref="GJ90">SUMPRODUCT(--($CR$7:$FW$7&gt;=GJ$5),--($CR$7:$FW$7&lt;=GJ$6),$CR90:$FW90)*GB90</f>
        <v>0</v>
      </c>
      <c r="GK90" s="145" cm="1">
        <f t="array" ref="GK90">SUMPRODUCT(--($CR$7:$FW$7&gt;=GK$5),--($CR$7:$FW$7&lt;=GK$6),$CR90:$FW90)*GC90</f>
        <v>0</v>
      </c>
      <c r="GL90" s="145" cm="1">
        <f t="array" ref="GL90">SUMPRODUCT(--($CR$7:$FW$7&gt;=GL$5),--($CR$7:$FW$7&lt;=GL$6),$CR90:$FW90)*GD90</f>
        <v>0</v>
      </c>
      <c r="GM90" s="145" cm="1">
        <f t="array" ref="GM90">SUMPRODUCT(--($CR$7:$FW$7&gt;=GM$5),--($CR$7:$FW$7&lt;=GM$6),$CR90:$FW90)*GE90</f>
        <v>0</v>
      </c>
      <c r="GN90" s="145" cm="1">
        <f t="array" ref="GN90">SUMPRODUCT(--($CR$7:$FW$7&gt;=GN$5),--($CR$7:$FW$7&lt;=GN$6),$CR90:$FW90)*GF90</f>
        <v>0</v>
      </c>
      <c r="GO90" s="145">
        <f t="shared" si="1"/>
        <v>0</v>
      </c>
      <c r="GP90" s="87"/>
      <c r="GR90" s="145" cm="1">
        <f t="array" ref="GR90">SUMPRODUCT(--($CR$7:$FW$7&gt;=GR$5),--($CR$7:$FW$7&lt;=GR$6),$CR90:$FW90)</f>
        <v>0</v>
      </c>
    </row>
    <row r="91" spans="2:200" x14ac:dyDescent="0.2">
      <c r="B91" s="141"/>
      <c r="C91" s="141"/>
      <c r="D91" s="141"/>
      <c r="E91" s="141"/>
      <c r="F91" s="141"/>
      <c r="G91" s="141"/>
      <c r="H91" s="142"/>
      <c r="I91" s="126"/>
      <c r="J91" s="143"/>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3"/>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c r="EE91" s="145"/>
      <c r="EF91" s="145"/>
      <c r="EG91" s="145"/>
      <c r="EH91" s="145"/>
      <c r="EI91" s="145"/>
      <c r="EJ91" s="145"/>
      <c r="EK91" s="145"/>
      <c r="EL91" s="145"/>
      <c r="EM91" s="145"/>
      <c r="EN91" s="145"/>
      <c r="EO91" s="145"/>
      <c r="EP91" s="145"/>
      <c r="EQ91" s="145"/>
      <c r="ER91" s="145"/>
      <c r="ES91" s="145"/>
      <c r="ET91" s="145"/>
      <c r="EU91" s="145"/>
      <c r="EV91" s="145"/>
      <c r="EW91" s="145"/>
      <c r="EX91" s="145"/>
      <c r="EY91" s="145"/>
      <c r="EZ91" s="145"/>
      <c r="FA91" s="145"/>
      <c r="FB91" s="145"/>
      <c r="FC91" s="145"/>
      <c r="FD91" s="145"/>
      <c r="FE91" s="145"/>
      <c r="FF91" s="145"/>
      <c r="FG91" s="145"/>
      <c r="FH91" s="145"/>
      <c r="FI91" s="145"/>
      <c r="FJ91" s="145"/>
      <c r="FK91" s="145"/>
      <c r="FL91" s="145"/>
      <c r="FM91" s="145"/>
      <c r="FN91" s="145"/>
      <c r="FO91" s="145"/>
      <c r="FP91" s="145"/>
      <c r="FQ91" s="145"/>
      <c r="FR91" s="145"/>
      <c r="FS91" s="145"/>
      <c r="FT91" s="145"/>
      <c r="FU91" s="145"/>
      <c r="FV91" s="145"/>
      <c r="FW91" s="145"/>
      <c r="FX91" s="143"/>
      <c r="FY91" s="146">
        <f>_xlfn.XLOOKUP($E91,'Key assumptions'!$B$112:$B$120,'Key assumptions'!$C$112:$C$120,0)</f>
        <v>0</v>
      </c>
      <c r="FZ91" s="146" cm="1">
        <f t="array" ref="FZ91">IF($FY91=0,0,_xlfn.IFS($FY91='Key assumptions'!$C$120,_xlfn.XLOOKUP(LEFT(FZ$7,6),Inflation_Year,Inflation_NominaltoReal),TRUE,_xlfn.XLOOKUP($FY91,Inflation_Year,NominaltoReal)))</f>
        <v>0</v>
      </c>
      <c r="GA91" s="146" cm="1">
        <f t="array" ref="GA91">IF($FY91=0,0,_xlfn.IFS($FY91='Key assumptions'!$C$120,_xlfn.XLOOKUP(LEFT(GA$7,6),Inflation_Year,Inflation_NominaltoReal),TRUE,_xlfn.XLOOKUP($FY91,Inflation_Year,NominaltoReal)))</f>
        <v>0</v>
      </c>
      <c r="GB91" s="146" cm="1">
        <f t="array" ref="GB91">IF($FY91=0,0,_xlfn.IFS($FY91='Key assumptions'!$C$120,_xlfn.XLOOKUP(LEFT(GB$7,6),Inflation_Year,Inflation_NominaltoReal),TRUE,_xlfn.XLOOKUP($FY91,Inflation_Year,NominaltoReal)))</f>
        <v>0</v>
      </c>
      <c r="GC91" s="146" cm="1">
        <f t="array" ref="GC91">IF($FY91=0,0,_xlfn.IFS($FY91='Key assumptions'!$C$120,_xlfn.XLOOKUP(LEFT(GC$7,6),Inflation_Year,Inflation_NominaltoReal),TRUE,_xlfn.XLOOKUP($FY91,Inflation_Year,NominaltoReal)))</f>
        <v>0</v>
      </c>
      <c r="GD91" s="146" cm="1">
        <f t="array" ref="GD91">IF($FY91=0,0,_xlfn.IFS($FY91='Key assumptions'!$C$120,_xlfn.XLOOKUP(LEFT(GD$7,6),Inflation_Year,Inflation_NominaltoReal),TRUE,_xlfn.XLOOKUP($FY91,Inflation_Year,NominaltoReal)))</f>
        <v>0</v>
      </c>
      <c r="GE91" s="146" cm="1">
        <f t="array" ref="GE91">IF($FY91=0,0,_xlfn.IFS($FY91='Key assumptions'!$C$120,_xlfn.XLOOKUP(LEFT(GE$7,6),Inflation_Year,Inflation_NominaltoReal),TRUE,_xlfn.XLOOKUP($FY91,Inflation_Year,NominaltoReal)))</f>
        <v>0</v>
      </c>
      <c r="GF91" s="146" cm="1">
        <f t="array" ref="GF91">IF($FY91=0,0,_xlfn.IFS($FY91='Key assumptions'!$C$120,_xlfn.XLOOKUP(LEFT(GF$7,6),Inflation_Year,Inflation_NominaltoReal),TRUE,_xlfn.XLOOKUP($FY91,Inflation_Year,NominaltoReal)))</f>
        <v>0</v>
      </c>
      <c r="GG91" s="143"/>
      <c r="GH91" s="145" cm="1">
        <f t="array" ref="GH91">SUMPRODUCT(--($CR$7:$FW$7&gt;=GH$5),--($CR$7:$FW$7&lt;=GH$6),$CR91:$FW91)*FZ91</f>
        <v>0</v>
      </c>
      <c r="GI91" s="145" cm="1">
        <f t="array" ref="GI91">SUMPRODUCT(--($CR$7:$FW$7&gt;=GI$5),--($CR$7:$FW$7&lt;=GI$6),$CR91:$FW91)*GA91</f>
        <v>0</v>
      </c>
      <c r="GJ91" s="145" cm="1">
        <f t="array" ref="GJ91">SUMPRODUCT(--($CR$7:$FW$7&gt;=GJ$5),--($CR$7:$FW$7&lt;=GJ$6),$CR91:$FW91)*GB91</f>
        <v>0</v>
      </c>
      <c r="GK91" s="145" cm="1">
        <f t="array" ref="GK91">SUMPRODUCT(--($CR$7:$FW$7&gt;=GK$5),--($CR$7:$FW$7&lt;=GK$6),$CR91:$FW91)*GC91</f>
        <v>0</v>
      </c>
      <c r="GL91" s="145" cm="1">
        <f t="array" ref="GL91">SUMPRODUCT(--($CR$7:$FW$7&gt;=GL$5),--($CR$7:$FW$7&lt;=GL$6),$CR91:$FW91)*GD91</f>
        <v>0</v>
      </c>
      <c r="GM91" s="145" cm="1">
        <f t="array" ref="GM91">SUMPRODUCT(--($CR$7:$FW$7&gt;=GM$5),--($CR$7:$FW$7&lt;=GM$6),$CR91:$FW91)*GE91</f>
        <v>0</v>
      </c>
      <c r="GN91" s="145" cm="1">
        <f t="array" ref="GN91">SUMPRODUCT(--($CR$7:$FW$7&gt;=GN$5),--($CR$7:$FW$7&lt;=GN$6),$CR91:$FW91)*GF91</f>
        <v>0</v>
      </c>
      <c r="GO91" s="145">
        <f t="shared" si="1"/>
        <v>0</v>
      </c>
      <c r="GP91" s="87"/>
      <c r="GR91" s="145" cm="1">
        <f t="array" ref="GR91">SUMPRODUCT(--($CR$7:$FW$7&gt;=GR$5),--($CR$7:$FW$7&lt;=GR$6),$CR91:$FW91)</f>
        <v>0</v>
      </c>
    </row>
    <row r="92" spans="2:200" x14ac:dyDescent="0.2">
      <c r="B92" s="141"/>
      <c r="C92" s="141"/>
      <c r="D92" s="141"/>
      <c r="E92" s="141"/>
      <c r="F92" s="141"/>
      <c r="G92" s="141"/>
      <c r="H92" s="142"/>
      <c r="I92" s="126"/>
      <c r="J92" s="143"/>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3"/>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145"/>
      <c r="EH92" s="145"/>
      <c r="EI92" s="145"/>
      <c r="EJ92" s="145"/>
      <c r="EK92" s="145"/>
      <c r="EL92" s="145"/>
      <c r="EM92" s="145"/>
      <c r="EN92" s="145"/>
      <c r="EO92" s="145"/>
      <c r="EP92" s="145"/>
      <c r="EQ92" s="145"/>
      <c r="ER92" s="145"/>
      <c r="ES92" s="145"/>
      <c r="ET92" s="145"/>
      <c r="EU92" s="145"/>
      <c r="EV92" s="145"/>
      <c r="EW92" s="145"/>
      <c r="EX92" s="145"/>
      <c r="EY92" s="145"/>
      <c r="EZ92" s="145"/>
      <c r="FA92" s="145"/>
      <c r="FB92" s="145"/>
      <c r="FC92" s="145"/>
      <c r="FD92" s="145"/>
      <c r="FE92" s="145"/>
      <c r="FF92" s="145"/>
      <c r="FG92" s="145"/>
      <c r="FH92" s="145"/>
      <c r="FI92" s="145"/>
      <c r="FJ92" s="145"/>
      <c r="FK92" s="145"/>
      <c r="FL92" s="145"/>
      <c r="FM92" s="145"/>
      <c r="FN92" s="145"/>
      <c r="FO92" s="145"/>
      <c r="FP92" s="145"/>
      <c r="FQ92" s="145"/>
      <c r="FR92" s="145"/>
      <c r="FS92" s="145"/>
      <c r="FT92" s="145"/>
      <c r="FU92" s="145"/>
      <c r="FV92" s="145"/>
      <c r="FW92" s="145"/>
      <c r="FX92" s="143"/>
      <c r="FY92" s="146">
        <f>_xlfn.XLOOKUP($E92,'Key assumptions'!$B$112:$B$120,'Key assumptions'!$C$112:$C$120,0)</f>
        <v>0</v>
      </c>
      <c r="FZ92" s="146" cm="1">
        <f t="array" ref="FZ92">IF($FY92=0,0,_xlfn.IFS($FY92='Key assumptions'!$C$120,_xlfn.XLOOKUP(LEFT(FZ$7,6),Inflation_Year,Inflation_NominaltoReal),TRUE,_xlfn.XLOOKUP($FY92,Inflation_Year,NominaltoReal)))</f>
        <v>0</v>
      </c>
      <c r="GA92" s="146" cm="1">
        <f t="array" ref="GA92">IF($FY92=0,0,_xlfn.IFS($FY92='Key assumptions'!$C$120,_xlfn.XLOOKUP(LEFT(GA$7,6),Inflation_Year,Inflation_NominaltoReal),TRUE,_xlfn.XLOOKUP($FY92,Inflation_Year,NominaltoReal)))</f>
        <v>0</v>
      </c>
      <c r="GB92" s="146" cm="1">
        <f t="array" ref="GB92">IF($FY92=0,0,_xlfn.IFS($FY92='Key assumptions'!$C$120,_xlfn.XLOOKUP(LEFT(GB$7,6),Inflation_Year,Inflation_NominaltoReal),TRUE,_xlfn.XLOOKUP($FY92,Inflation_Year,NominaltoReal)))</f>
        <v>0</v>
      </c>
      <c r="GC92" s="146" cm="1">
        <f t="array" ref="GC92">IF($FY92=0,0,_xlfn.IFS($FY92='Key assumptions'!$C$120,_xlfn.XLOOKUP(LEFT(GC$7,6),Inflation_Year,Inflation_NominaltoReal),TRUE,_xlfn.XLOOKUP($FY92,Inflation_Year,NominaltoReal)))</f>
        <v>0</v>
      </c>
      <c r="GD92" s="146" cm="1">
        <f t="array" ref="GD92">IF($FY92=0,0,_xlfn.IFS($FY92='Key assumptions'!$C$120,_xlfn.XLOOKUP(LEFT(GD$7,6),Inflation_Year,Inflation_NominaltoReal),TRUE,_xlfn.XLOOKUP($FY92,Inflation_Year,NominaltoReal)))</f>
        <v>0</v>
      </c>
      <c r="GE92" s="146" cm="1">
        <f t="array" ref="GE92">IF($FY92=0,0,_xlfn.IFS($FY92='Key assumptions'!$C$120,_xlfn.XLOOKUP(LEFT(GE$7,6),Inflation_Year,Inflation_NominaltoReal),TRUE,_xlfn.XLOOKUP($FY92,Inflation_Year,NominaltoReal)))</f>
        <v>0</v>
      </c>
      <c r="GF92" s="146" cm="1">
        <f t="array" ref="GF92">IF($FY92=0,0,_xlfn.IFS($FY92='Key assumptions'!$C$120,_xlfn.XLOOKUP(LEFT(GF$7,6),Inflation_Year,Inflation_NominaltoReal),TRUE,_xlfn.XLOOKUP($FY92,Inflation_Year,NominaltoReal)))</f>
        <v>0</v>
      </c>
      <c r="GG92" s="143"/>
      <c r="GH92" s="145" cm="1">
        <f t="array" ref="GH92">SUMPRODUCT(--($CR$7:$FW$7&gt;=GH$5),--($CR$7:$FW$7&lt;=GH$6),$CR92:$FW92)*FZ92</f>
        <v>0</v>
      </c>
      <c r="GI92" s="145" cm="1">
        <f t="array" ref="GI92">SUMPRODUCT(--($CR$7:$FW$7&gt;=GI$5),--($CR$7:$FW$7&lt;=GI$6),$CR92:$FW92)*GA92</f>
        <v>0</v>
      </c>
      <c r="GJ92" s="145" cm="1">
        <f t="array" ref="GJ92">SUMPRODUCT(--($CR$7:$FW$7&gt;=GJ$5),--($CR$7:$FW$7&lt;=GJ$6),$CR92:$FW92)*GB92</f>
        <v>0</v>
      </c>
      <c r="GK92" s="145" cm="1">
        <f t="array" ref="GK92">SUMPRODUCT(--($CR$7:$FW$7&gt;=GK$5),--($CR$7:$FW$7&lt;=GK$6),$CR92:$FW92)*GC92</f>
        <v>0</v>
      </c>
      <c r="GL92" s="145" cm="1">
        <f t="array" ref="GL92">SUMPRODUCT(--($CR$7:$FW$7&gt;=GL$5),--($CR$7:$FW$7&lt;=GL$6),$CR92:$FW92)*GD92</f>
        <v>0</v>
      </c>
      <c r="GM92" s="145" cm="1">
        <f t="array" ref="GM92">SUMPRODUCT(--($CR$7:$FW$7&gt;=GM$5),--($CR$7:$FW$7&lt;=GM$6),$CR92:$FW92)*GE92</f>
        <v>0</v>
      </c>
      <c r="GN92" s="145" cm="1">
        <f t="array" ref="GN92">SUMPRODUCT(--($CR$7:$FW$7&gt;=GN$5),--($CR$7:$FW$7&lt;=GN$6),$CR92:$FW92)*GF92</f>
        <v>0</v>
      </c>
      <c r="GO92" s="145">
        <f t="shared" si="1"/>
        <v>0</v>
      </c>
      <c r="GP92" s="87"/>
      <c r="GR92" s="145" cm="1">
        <f t="array" ref="GR92">SUMPRODUCT(--($CR$7:$FW$7&gt;=GR$5),--($CR$7:$FW$7&lt;=GR$6),$CR92:$FW92)</f>
        <v>0</v>
      </c>
    </row>
    <row r="93" spans="2:200" x14ac:dyDescent="0.2">
      <c r="B93" s="141"/>
      <c r="C93" s="141"/>
      <c r="D93" s="141"/>
      <c r="E93" s="141"/>
      <c r="F93" s="141"/>
      <c r="G93" s="141"/>
      <c r="H93" s="142"/>
      <c r="I93" s="126"/>
      <c r="J93" s="143"/>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3"/>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145"/>
      <c r="EH93" s="145"/>
      <c r="EI93" s="145"/>
      <c r="EJ93" s="145"/>
      <c r="EK93" s="145"/>
      <c r="EL93" s="145"/>
      <c r="EM93" s="145"/>
      <c r="EN93" s="145"/>
      <c r="EO93" s="145"/>
      <c r="EP93" s="145"/>
      <c r="EQ93" s="145"/>
      <c r="ER93" s="145"/>
      <c r="ES93" s="145"/>
      <c r="ET93" s="145"/>
      <c r="EU93" s="145"/>
      <c r="EV93" s="145"/>
      <c r="EW93" s="145"/>
      <c r="EX93" s="145"/>
      <c r="EY93" s="145"/>
      <c r="EZ93" s="145"/>
      <c r="FA93" s="145"/>
      <c r="FB93" s="145"/>
      <c r="FC93" s="145"/>
      <c r="FD93" s="145"/>
      <c r="FE93" s="145"/>
      <c r="FF93" s="145"/>
      <c r="FG93" s="145"/>
      <c r="FH93" s="145"/>
      <c r="FI93" s="145"/>
      <c r="FJ93" s="145"/>
      <c r="FK93" s="145"/>
      <c r="FL93" s="145"/>
      <c r="FM93" s="145"/>
      <c r="FN93" s="145"/>
      <c r="FO93" s="145"/>
      <c r="FP93" s="145"/>
      <c r="FQ93" s="145"/>
      <c r="FR93" s="145"/>
      <c r="FS93" s="145"/>
      <c r="FT93" s="145"/>
      <c r="FU93" s="145"/>
      <c r="FV93" s="145"/>
      <c r="FW93" s="145"/>
      <c r="FX93" s="143"/>
      <c r="FY93" s="146">
        <f>_xlfn.XLOOKUP($E93,'Key assumptions'!$B$112:$B$120,'Key assumptions'!$C$112:$C$120,0)</f>
        <v>0</v>
      </c>
      <c r="FZ93" s="146" cm="1">
        <f t="array" ref="FZ93">IF($FY93=0,0,_xlfn.IFS($FY93='Key assumptions'!$C$120,_xlfn.XLOOKUP(LEFT(FZ$7,6),Inflation_Year,Inflation_NominaltoReal),TRUE,_xlfn.XLOOKUP($FY93,Inflation_Year,NominaltoReal)))</f>
        <v>0</v>
      </c>
      <c r="GA93" s="146" cm="1">
        <f t="array" ref="GA93">IF($FY93=0,0,_xlfn.IFS($FY93='Key assumptions'!$C$120,_xlfn.XLOOKUP(LEFT(GA$7,6),Inflation_Year,Inflation_NominaltoReal),TRUE,_xlfn.XLOOKUP($FY93,Inflation_Year,NominaltoReal)))</f>
        <v>0</v>
      </c>
      <c r="GB93" s="146" cm="1">
        <f t="array" ref="GB93">IF($FY93=0,0,_xlfn.IFS($FY93='Key assumptions'!$C$120,_xlfn.XLOOKUP(LEFT(GB$7,6),Inflation_Year,Inflation_NominaltoReal),TRUE,_xlfn.XLOOKUP($FY93,Inflation_Year,NominaltoReal)))</f>
        <v>0</v>
      </c>
      <c r="GC93" s="146" cm="1">
        <f t="array" ref="GC93">IF($FY93=0,0,_xlfn.IFS($FY93='Key assumptions'!$C$120,_xlfn.XLOOKUP(LEFT(GC$7,6),Inflation_Year,Inflation_NominaltoReal),TRUE,_xlfn.XLOOKUP($FY93,Inflation_Year,NominaltoReal)))</f>
        <v>0</v>
      </c>
      <c r="GD93" s="146" cm="1">
        <f t="array" ref="GD93">IF($FY93=0,0,_xlfn.IFS($FY93='Key assumptions'!$C$120,_xlfn.XLOOKUP(LEFT(GD$7,6),Inflation_Year,Inflation_NominaltoReal),TRUE,_xlfn.XLOOKUP($FY93,Inflation_Year,NominaltoReal)))</f>
        <v>0</v>
      </c>
      <c r="GE93" s="146" cm="1">
        <f t="array" ref="GE93">IF($FY93=0,0,_xlfn.IFS($FY93='Key assumptions'!$C$120,_xlfn.XLOOKUP(LEFT(GE$7,6),Inflation_Year,Inflation_NominaltoReal),TRUE,_xlfn.XLOOKUP($FY93,Inflation_Year,NominaltoReal)))</f>
        <v>0</v>
      </c>
      <c r="GF93" s="146" cm="1">
        <f t="array" ref="GF93">IF($FY93=0,0,_xlfn.IFS($FY93='Key assumptions'!$C$120,_xlfn.XLOOKUP(LEFT(GF$7,6),Inflation_Year,Inflation_NominaltoReal),TRUE,_xlfn.XLOOKUP($FY93,Inflation_Year,NominaltoReal)))</f>
        <v>0</v>
      </c>
      <c r="GG93" s="143"/>
      <c r="GH93" s="145" cm="1">
        <f t="array" ref="GH93">SUMPRODUCT(--($CR$7:$FW$7&gt;=GH$5),--($CR$7:$FW$7&lt;=GH$6),$CR93:$FW93)*FZ93</f>
        <v>0</v>
      </c>
      <c r="GI93" s="145" cm="1">
        <f t="array" ref="GI93">SUMPRODUCT(--($CR$7:$FW$7&gt;=GI$5),--($CR$7:$FW$7&lt;=GI$6),$CR93:$FW93)*GA93</f>
        <v>0</v>
      </c>
      <c r="GJ93" s="145" cm="1">
        <f t="array" ref="GJ93">SUMPRODUCT(--($CR$7:$FW$7&gt;=GJ$5),--($CR$7:$FW$7&lt;=GJ$6),$CR93:$FW93)*GB93</f>
        <v>0</v>
      </c>
      <c r="GK93" s="145" cm="1">
        <f t="array" ref="GK93">SUMPRODUCT(--($CR$7:$FW$7&gt;=GK$5),--($CR$7:$FW$7&lt;=GK$6),$CR93:$FW93)*GC93</f>
        <v>0</v>
      </c>
      <c r="GL93" s="145" cm="1">
        <f t="array" ref="GL93">SUMPRODUCT(--($CR$7:$FW$7&gt;=GL$5),--($CR$7:$FW$7&lt;=GL$6),$CR93:$FW93)*GD93</f>
        <v>0</v>
      </c>
      <c r="GM93" s="145" cm="1">
        <f t="array" ref="GM93">SUMPRODUCT(--($CR$7:$FW$7&gt;=GM$5),--($CR$7:$FW$7&lt;=GM$6),$CR93:$FW93)*GE93</f>
        <v>0</v>
      </c>
      <c r="GN93" s="145" cm="1">
        <f t="array" ref="GN93">SUMPRODUCT(--($CR$7:$FW$7&gt;=GN$5),--($CR$7:$FW$7&lt;=GN$6),$CR93:$FW93)*GF93</f>
        <v>0</v>
      </c>
      <c r="GO93" s="145">
        <f t="shared" si="1"/>
        <v>0</v>
      </c>
      <c r="GP93" s="87"/>
      <c r="GR93" s="145" cm="1">
        <f t="array" ref="GR93">SUMPRODUCT(--($CR$7:$FW$7&gt;=GR$5),--($CR$7:$FW$7&lt;=GR$6),$CR93:$FW93)</f>
        <v>0</v>
      </c>
    </row>
    <row r="94" spans="2:200" x14ac:dyDescent="0.2">
      <c r="B94" s="141"/>
      <c r="C94" s="141"/>
      <c r="D94" s="141"/>
      <c r="E94" s="141"/>
      <c r="F94" s="141"/>
      <c r="G94" s="141"/>
      <c r="H94" s="142"/>
      <c r="I94" s="126"/>
      <c r="J94" s="143"/>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3"/>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c r="EE94" s="145"/>
      <c r="EF94" s="145"/>
      <c r="EG94" s="145"/>
      <c r="EH94" s="145"/>
      <c r="EI94" s="145"/>
      <c r="EJ94" s="145"/>
      <c r="EK94" s="145"/>
      <c r="EL94" s="145"/>
      <c r="EM94" s="145"/>
      <c r="EN94" s="145"/>
      <c r="EO94" s="145"/>
      <c r="EP94" s="145"/>
      <c r="EQ94" s="145"/>
      <c r="ER94" s="145"/>
      <c r="ES94" s="145"/>
      <c r="ET94" s="145"/>
      <c r="EU94" s="145"/>
      <c r="EV94" s="145"/>
      <c r="EW94" s="145"/>
      <c r="EX94" s="145"/>
      <c r="EY94" s="145"/>
      <c r="EZ94" s="145"/>
      <c r="FA94" s="145"/>
      <c r="FB94" s="145"/>
      <c r="FC94" s="145"/>
      <c r="FD94" s="145"/>
      <c r="FE94" s="145"/>
      <c r="FF94" s="145"/>
      <c r="FG94" s="145"/>
      <c r="FH94" s="145"/>
      <c r="FI94" s="145"/>
      <c r="FJ94" s="145"/>
      <c r="FK94" s="145"/>
      <c r="FL94" s="145"/>
      <c r="FM94" s="145"/>
      <c r="FN94" s="145"/>
      <c r="FO94" s="145"/>
      <c r="FP94" s="145"/>
      <c r="FQ94" s="145"/>
      <c r="FR94" s="145"/>
      <c r="FS94" s="145"/>
      <c r="FT94" s="145"/>
      <c r="FU94" s="145"/>
      <c r="FV94" s="145"/>
      <c r="FW94" s="145"/>
      <c r="FX94" s="143"/>
      <c r="FY94" s="146">
        <f>_xlfn.XLOOKUP($E94,'Key assumptions'!$B$112:$B$120,'Key assumptions'!$C$112:$C$120,0)</f>
        <v>0</v>
      </c>
      <c r="FZ94" s="146" cm="1">
        <f t="array" ref="FZ94">IF($FY94=0,0,_xlfn.IFS($FY94='Key assumptions'!$C$120,_xlfn.XLOOKUP(LEFT(FZ$7,6),Inflation_Year,Inflation_NominaltoReal),TRUE,_xlfn.XLOOKUP($FY94,Inflation_Year,NominaltoReal)))</f>
        <v>0</v>
      </c>
      <c r="GA94" s="146" cm="1">
        <f t="array" ref="GA94">IF($FY94=0,0,_xlfn.IFS($FY94='Key assumptions'!$C$120,_xlfn.XLOOKUP(LEFT(GA$7,6),Inflation_Year,Inflation_NominaltoReal),TRUE,_xlfn.XLOOKUP($FY94,Inflation_Year,NominaltoReal)))</f>
        <v>0</v>
      </c>
      <c r="GB94" s="146" cm="1">
        <f t="array" ref="GB94">IF($FY94=0,0,_xlfn.IFS($FY94='Key assumptions'!$C$120,_xlfn.XLOOKUP(LEFT(GB$7,6),Inflation_Year,Inflation_NominaltoReal),TRUE,_xlfn.XLOOKUP($FY94,Inflation_Year,NominaltoReal)))</f>
        <v>0</v>
      </c>
      <c r="GC94" s="146" cm="1">
        <f t="array" ref="GC94">IF($FY94=0,0,_xlfn.IFS($FY94='Key assumptions'!$C$120,_xlfn.XLOOKUP(LEFT(GC$7,6),Inflation_Year,Inflation_NominaltoReal),TRUE,_xlfn.XLOOKUP($FY94,Inflation_Year,NominaltoReal)))</f>
        <v>0</v>
      </c>
      <c r="GD94" s="146" cm="1">
        <f t="array" ref="GD94">IF($FY94=0,0,_xlfn.IFS($FY94='Key assumptions'!$C$120,_xlfn.XLOOKUP(LEFT(GD$7,6),Inflation_Year,Inflation_NominaltoReal),TRUE,_xlfn.XLOOKUP($FY94,Inflation_Year,NominaltoReal)))</f>
        <v>0</v>
      </c>
      <c r="GE94" s="146" cm="1">
        <f t="array" ref="GE94">IF($FY94=0,0,_xlfn.IFS($FY94='Key assumptions'!$C$120,_xlfn.XLOOKUP(LEFT(GE$7,6),Inflation_Year,Inflation_NominaltoReal),TRUE,_xlfn.XLOOKUP($FY94,Inflation_Year,NominaltoReal)))</f>
        <v>0</v>
      </c>
      <c r="GF94" s="146" cm="1">
        <f t="array" ref="GF94">IF($FY94=0,0,_xlfn.IFS($FY94='Key assumptions'!$C$120,_xlfn.XLOOKUP(LEFT(GF$7,6),Inflation_Year,Inflation_NominaltoReal),TRUE,_xlfn.XLOOKUP($FY94,Inflation_Year,NominaltoReal)))</f>
        <v>0</v>
      </c>
      <c r="GG94" s="143"/>
      <c r="GH94" s="145" cm="1">
        <f t="array" ref="GH94">SUMPRODUCT(--($CR$7:$FW$7&gt;=GH$5),--($CR$7:$FW$7&lt;=GH$6),$CR94:$FW94)*FZ94</f>
        <v>0</v>
      </c>
      <c r="GI94" s="145" cm="1">
        <f t="array" ref="GI94">SUMPRODUCT(--($CR$7:$FW$7&gt;=GI$5),--($CR$7:$FW$7&lt;=GI$6),$CR94:$FW94)*GA94</f>
        <v>0</v>
      </c>
      <c r="GJ94" s="145" cm="1">
        <f t="array" ref="GJ94">SUMPRODUCT(--($CR$7:$FW$7&gt;=GJ$5),--($CR$7:$FW$7&lt;=GJ$6),$CR94:$FW94)*GB94</f>
        <v>0</v>
      </c>
      <c r="GK94" s="145" cm="1">
        <f t="array" ref="GK94">SUMPRODUCT(--($CR$7:$FW$7&gt;=GK$5),--($CR$7:$FW$7&lt;=GK$6),$CR94:$FW94)*GC94</f>
        <v>0</v>
      </c>
      <c r="GL94" s="145" cm="1">
        <f t="array" ref="GL94">SUMPRODUCT(--($CR$7:$FW$7&gt;=GL$5),--($CR$7:$FW$7&lt;=GL$6),$CR94:$FW94)*GD94</f>
        <v>0</v>
      </c>
      <c r="GM94" s="145" cm="1">
        <f t="array" ref="GM94">SUMPRODUCT(--($CR$7:$FW$7&gt;=GM$5),--($CR$7:$FW$7&lt;=GM$6),$CR94:$FW94)*GE94</f>
        <v>0</v>
      </c>
      <c r="GN94" s="145" cm="1">
        <f t="array" ref="GN94">SUMPRODUCT(--($CR$7:$FW$7&gt;=GN$5),--($CR$7:$FW$7&lt;=GN$6),$CR94:$FW94)*GF94</f>
        <v>0</v>
      </c>
      <c r="GO94" s="145">
        <f t="shared" si="1"/>
        <v>0</v>
      </c>
      <c r="GP94" s="87"/>
      <c r="GR94" s="145" cm="1">
        <f t="array" ref="GR94">SUMPRODUCT(--($CR$7:$FW$7&gt;=GR$5),--($CR$7:$FW$7&lt;=GR$6),$CR94:$FW94)</f>
        <v>0</v>
      </c>
    </row>
    <row r="95" spans="2:200" x14ac:dyDescent="0.2">
      <c r="B95" s="141"/>
      <c r="C95" s="141"/>
      <c r="D95" s="141"/>
      <c r="E95" s="141"/>
      <c r="F95" s="141"/>
      <c r="G95" s="141"/>
      <c r="H95" s="142"/>
      <c r="I95" s="126"/>
      <c r="J95" s="143"/>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3"/>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c r="EE95" s="145"/>
      <c r="EF95" s="145"/>
      <c r="EG95" s="145"/>
      <c r="EH95" s="145"/>
      <c r="EI95" s="145"/>
      <c r="EJ95" s="145"/>
      <c r="EK95" s="145"/>
      <c r="EL95" s="145"/>
      <c r="EM95" s="145"/>
      <c r="EN95" s="145"/>
      <c r="EO95" s="145"/>
      <c r="EP95" s="145"/>
      <c r="EQ95" s="145"/>
      <c r="ER95" s="145"/>
      <c r="ES95" s="145"/>
      <c r="ET95" s="145"/>
      <c r="EU95" s="145"/>
      <c r="EV95" s="145"/>
      <c r="EW95" s="145"/>
      <c r="EX95" s="145"/>
      <c r="EY95" s="145"/>
      <c r="EZ95" s="145"/>
      <c r="FA95" s="145"/>
      <c r="FB95" s="145"/>
      <c r="FC95" s="145"/>
      <c r="FD95" s="145"/>
      <c r="FE95" s="145"/>
      <c r="FF95" s="145"/>
      <c r="FG95" s="145"/>
      <c r="FH95" s="145"/>
      <c r="FI95" s="145"/>
      <c r="FJ95" s="145"/>
      <c r="FK95" s="145"/>
      <c r="FL95" s="145"/>
      <c r="FM95" s="145"/>
      <c r="FN95" s="145"/>
      <c r="FO95" s="145"/>
      <c r="FP95" s="145"/>
      <c r="FQ95" s="145"/>
      <c r="FR95" s="145"/>
      <c r="FS95" s="145"/>
      <c r="FT95" s="145"/>
      <c r="FU95" s="145"/>
      <c r="FV95" s="145"/>
      <c r="FW95" s="145"/>
      <c r="FX95" s="143"/>
      <c r="FY95" s="146">
        <f>_xlfn.XLOOKUP($E95,'Key assumptions'!$B$112:$B$120,'Key assumptions'!$C$112:$C$120,0)</f>
        <v>0</v>
      </c>
      <c r="FZ95" s="146" cm="1">
        <f t="array" ref="FZ95">IF($FY95=0,0,_xlfn.IFS($FY95='Key assumptions'!$C$120,_xlfn.XLOOKUP(LEFT(FZ$7,6),Inflation_Year,Inflation_NominaltoReal),TRUE,_xlfn.XLOOKUP($FY95,Inflation_Year,NominaltoReal)))</f>
        <v>0</v>
      </c>
      <c r="GA95" s="146" cm="1">
        <f t="array" ref="GA95">IF($FY95=0,0,_xlfn.IFS($FY95='Key assumptions'!$C$120,_xlfn.XLOOKUP(LEFT(GA$7,6),Inflation_Year,Inflation_NominaltoReal),TRUE,_xlfn.XLOOKUP($FY95,Inflation_Year,NominaltoReal)))</f>
        <v>0</v>
      </c>
      <c r="GB95" s="146" cm="1">
        <f t="array" ref="GB95">IF($FY95=0,0,_xlfn.IFS($FY95='Key assumptions'!$C$120,_xlfn.XLOOKUP(LEFT(GB$7,6),Inflation_Year,Inflation_NominaltoReal),TRUE,_xlfn.XLOOKUP($FY95,Inflation_Year,NominaltoReal)))</f>
        <v>0</v>
      </c>
      <c r="GC95" s="146" cm="1">
        <f t="array" ref="GC95">IF($FY95=0,0,_xlfn.IFS($FY95='Key assumptions'!$C$120,_xlfn.XLOOKUP(LEFT(GC$7,6),Inflation_Year,Inflation_NominaltoReal),TRUE,_xlfn.XLOOKUP($FY95,Inflation_Year,NominaltoReal)))</f>
        <v>0</v>
      </c>
      <c r="GD95" s="146" cm="1">
        <f t="array" ref="GD95">IF($FY95=0,0,_xlfn.IFS($FY95='Key assumptions'!$C$120,_xlfn.XLOOKUP(LEFT(GD$7,6),Inflation_Year,Inflation_NominaltoReal),TRUE,_xlfn.XLOOKUP($FY95,Inflation_Year,NominaltoReal)))</f>
        <v>0</v>
      </c>
      <c r="GE95" s="146" cm="1">
        <f t="array" ref="GE95">IF($FY95=0,0,_xlfn.IFS($FY95='Key assumptions'!$C$120,_xlfn.XLOOKUP(LEFT(GE$7,6),Inflation_Year,Inflation_NominaltoReal),TRUE,_xlfn.XLOOKUP($FY95,Inflation_Year,NominaltoReal)))</f>
        <v>0</v>
      </c>
      <c r="GF95" s="146" cm="1">
        <f t="array" ref="GF95">IF($FY95=0,0,_xlfn.IFS($FY95='Key assumptions'!$C$120,_xlfn.XLOOKUP(LEFT(GF$7,6),Inflation_Year,Inflation_NominaltoReal),TRUE,_xlfn.XLOOKUP($FY95,Inflation_Year,NominaltoReal)))</f>
        <v>0</v>
      </c>
      <c r="GG95" s="143"/>
      <c r="GH95" s="145" cm="1">
        <f t="array" ref="GH95">SUMPRODUCT(--($CR$7:$FW$7&gt;=GH$5),--($CR$7:$FW$7&lt;=GH$6),$CR95:$FW95)*FZ95</f>
        <v>0</v>
      </c>
      <c r="GI95" s="145" cm="1">
        <f t="array" ref="GI95">SUMPRODUCT(--($CR$7:$FW$7&gt;=GI$5),--($CR$7:$FW$7&lt;=GI$6),$CR95:$FW95)*GA95</f>
        <v>0</v>
      </c>
      <c r="GJ95" s="145" cm="1">
        <f t="array" ref="GJ95">SUMPRODUCT(--($CR$7:$FW$7&gt;=GJ$5),--($CR$7:$FW$7&lt;=GJ$6),$CR95:$FW95)*GB95</f>
        <v>0</v>
      </c>
      <c r="GK95" s="145" cm="1">
        <f t="array" ref="GK95">SUMPRODUCT(--($CR$7:$FW$7&gt;=GK$5),--($CR$7:$FW$7&lt;=GK$6),$CR95:$FW95)*GC95</f>
        <v>0</v>
      </c>
      <c r="GL95" s="145" cm="1">
        <f t="array" ref="GL95">SUMPRODUCT(--($CR$7:$FW$7&gt;=GL$5),--($CR$7:$FW$7&lt;=GL$6),$CR95:$FW95)*GD95</f>
        <v>0</v>
      </c>
      <c r="GM95" s="145" cm="1">
        <f t="array" ref="GM95">SUMPRODUCT(--($CR$7:$FW$7&gt;=GM$5),--($CR$7:$FW$7&lt;=GM$6),$CR95:$FW95)*GE95</f>
        <v>0</v>
      </c>
      <c r="GN95" s="145" cm="1">
        <f t="array" ref="GN95">SUMPRODUCT(--($CR$7:$FW$7&gt;=GN$5),--($CR$7:$FW$7&lt;=GN$6),$CR95:$FW95)*GF95</f>
        <v>0</v>
      </c>
      <c r="GO95" s="145">
        <f t="shared" si="1"/>
        <v>0</v>
      </c>
      <c r="GP95" s="87"/>
      <c r="GR95" s="145" cm="1">
        <f t="array" ref="GR95">SUMPRODUCT(--($CR$7:$FW$7&gt;=GR$5),--($CR$7:$FW$7&lt;=GR$6),$CR95:$FW95)</f>
        <v>0</v>
      </c>
    </row>
    <row r="96" spans="2:200" x14ac:dyDescent="0.2">
      <c r="B96" s="141"/>
      <c r="C96" s="141"/>
      <c r="D96" s="141"/>
      <c r="E96" s="141"/>
      <c r="F96" s="141"/>
      <c r="G96" s="141"/>
      <c r="H96" s="142"/>
      <c r="I96" s="126"/>
      <c r="J96" s="143"/>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3"/>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3"/>
      <c r="FY96" s="146">
        <f>_xlfn.XLOOKUP($E96,'Key assumptions'!$B$112:$B$120,'Key assumptions'!$C$112:$C$120,0)</f>
        <v>0</v>
      </c>
      <c r="FZ96" s="146" cm="1">
        <f t="array" ref="FZ96">IF($FY96=0,0,_xlfn.IFS($FY96='Key assumptions'!$C$120,_xlfn.XLOOKUP(LEFT(FZ$7,6),Inflation_Year,Inflation_NominaltoReal),TRUE,_xlfn.XLOOKUP($FY96,Inflation_Year,NominaltoReal)))</f>
        <v>0</v>
      </c>
      <c r="GA96" s="146" cm="1">
        <f t="array" ref="GA96">IF($FY96=0,0,_xlfn.IFS($FY96='Key assumptions'!$C$120,_xlfn.XLOOKUP(LEFT(GA$7,6),Inflation_Year,Inflation_NominaltoReal),TRUE,_xlfn.XLOOKUP($FY96,Inflation_Year,NominaltoReal)))</f>
        <v>0</v>
      </c>
      <c r="GB96" s="146" cm="1">
        <f t="array" ref="GB96">IF($FY96=0,0,_xlfn.IFS($FY96='Key assumptions'!$C$120,_xlfn.XLOOKUP(LEFT(GB$7,6),Inflation_Year,Inflation_NominaltoReal),TRUE,_xlfn.XLOOKUP($FY96,Inflation_Year,NominaltoReal)))</f>
        <v>0</v>
      </c>
      <c r="GC96" s="146" cm="1">
        <f t="array" ref="GC96">IF($FY96=0,0,_xlfn.IFS($FY96='Key assumptions'!$C$120,_xlfn.XLOOKUP(LEFT(GC$7,6),Inflation_Year,Inflation_NominaltoReal),TRUE,_xlfn.XLOOKUP($FY96,Inflation_Year,NominaltoReal)))</f>
        <v>0</v>
      </c>
      <c r="GD96" s="146" cm="1">
        <f t="array" ref="GD96">IF($FY96=0,0,_xlfn.IFS($FY96='Key assumptions'!$C$120,_xlfn.XLOOKUP(LEFT(GD$7,6),Inflation_Year,Inflation_NominaltoReal),TRUE,_xlfn.XLOOKUP($FY96,Inflation_Year,NominaltoReal)))</f>
        <v>0</v>
      </c>
      <c r="GE96" s="146" cm="1">
        <f t="array" ref="GE96">IF($FY96=0,0,_xlfn.IFS($FY96='Key assumptions'!$C$120,_xlfn.XLOOKUP(LEFT(GE$7,6),Inflation_Year,Inflation_NominaltoReal),TRUE,_xlfn.XLOOKUP($FY96,Inflation_Year,NominaltoReal)))</f>
        <v>0</v>
      </c>
      <c r="GF96" s="146" cm="1">
        <f t="array" ref="GF96">IF($FY96=0,0,_xlfn.IFS($FY96='Key assumptions'!$C$120,_xlfn.XLOOKUP(LEFT(GF$7,6),Inflation_Year,Inflation_NominaltoReal),TRUE,_xlfn.XLOOKUP($FY96,Inflation_Year,NominaltoReal)))</f>
        <v>0</v>
      </c>
      <c r="GG96" s="143"/>
      <c r="GH96" s="145" cm="1">
        <f t="array" ref="GH96">SUMPRODUCT(--($CR$7:$FW$7&gt;=GH$5),--($CR$7:$FW$7&lt;=GH$6),$CR96:$FW96)*FZ96</f>
        <v>0</v>
      </c>
      <c r="GI96" s="145" cm="1">
        <f t="array" ref="GI96">SUMPRODUCT(--($CR$7:$FW$7&gt;=GI$5),--($CR$7:$FW$7&lt;=GI$6),$CR96:$FW96)*GA96</f>
        <v>0</v>
      </c>
      <c r="GJ96" s="145" cm="1">
        <f t="array" ref="GJ96">SUMPRODUCT(--($CR$7:$FW$7&gt;=GJ$5),--($CR$7:$FW$7&lt;=GJ$6),$CR96:$FW96)*GB96</f>
        <v>0</v>
      </c>
      <c r="GK96" s="145" cm="1">
        <f t="array" ref="GK96">SUMPRODUCT(--($CR$7:$FW$7&gt;=GK$5),--($CR$7:$FW$7&lt;=GK$6),$CR96:$FW96)*GC96</f>
        <v>0</v>
      </c>
      <c r="GL96" s="145" cm="1">
        <f t="array" ref="GL96">SUMPRODUCT(--($CR$7:$FW$7&gt;=GL$5),--($CR$7:$FW$7&lt;=GL$6),$CR96:$FW96)*GD96</f>
        <v>0</v>
      </c>
      <c r="GM96" s="145" cm="1">
        <f t="array" ref="GM96">SUMPRODUCT(--($CR$7:$FW$7&gt;=GM$5),--($CR$7:$FW$7&lt;=GM$6),$CR96:$FW96)*GE96</f>
        <v>0</v>
      </c>
      <c r="GN96" s="145" cm="1">
        <f t="array" ref="GN96">SUMPRODUCT(--($CR$7:$FW$7&gt;=GN$5),--($CR$7:$FW$7&lt;=GN$6),$CR96:$FW96)*GF96</f>
        <v>0</v>
      </c>
      <c r="GO96" s="145">
        <f t="shared" si="1"/>
        <v>0</v>
      </c>
      <c r="GP96" s="87"/>
      <c r="GR96" s="145" cm="1">
        <f t="array" ref="GR96">SUMPRODUCT(--($CR$7:$FW$7&gt;=GR$5),--($CR$7:$FW$7&lt;=GR$6),$CR96:$FW96)</f>
        <v>0</v>
      </c>
    </row>
    <row r="97" spans="2:200" x14ac:dyDescent="0.2">
      <c r="B97" s="141"/>
      <c r="C97" s="141"/>
      <c r="D97" s="141"/>
      <c r="E97" s="141"/>
      <c r="F97" s="141"/>
      <c r="G97" s="141"/>
      <c r="H97" s="142"/>
      <c r="I97" s="126"/>
      <c r="J97" s="143"/>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3"/>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c r="EE97" s="145"/>
      <c r="EF97" s="145"/>
      <c r="EG97" s="145"/>
      <c r="EH97" s="145"/>
      <c r="EI97" s="145"/>
      <c r="EJ97" s="145"/>
      <c r="EK97" s="145"/>
      <c r="EL97" s="145"/>
      <c r="EM97" s="145"/>
      <c r="EN97" s="145"/>
      <c r="EO97" s="145"/>
      <c r="EP97" s="145"/>
      <c r="EQ97" s="145"/>
      <c r="ER97" s="145"/>
      <c r="ES97" s="145"/>
      <c r="ET97" s="145"/>
      <c r="EU97" s="145"/>
      <c r="EV97" s="145"/>
      <c r="EW97" s="145"/>
      <c r="EX97" s="145"/>
      <c r="EY97" s="145"/>
      <c r="EZ97" s="145"/>
      <c r="FA97" s="145"/>
      <c r="FB97" s="145"/>
      <c r="FC97" s="145"/>
      <c r="FD97" s="145"/>
      <c r="FE97" s="145"/>
      <c r="FF97" s="145"/>
      <c r="FG97" s="145"/>
      <c r="FH97" s="145"/>
      <c r="FI97" s="145"/>
      <c r="FJ97" s="145"/>
      <c r="FK97" s="145"/>
      <c r="FL97" s="145"/>
      <c r="FM97" s="145"/>
      <c r="FN97" s="145"/>
      <c r="FO97" s="145"/>
      <c r="FP97" s="145"/>
      <c r="FQ97" s="145"/>
      <c r="FR97" s="145"/>
      <c r="FS97" s="145"/>
      <c r="FT97" s="145"/>
      <c r="FU97" s="145"/>
      <c r="FV97" s="145"/>
      <c r="FW97" s="145"/>
      <c r="FX97" s="143"/>
      <c r="FY97" s="146">
        <f>_xlfn.XLOOKUP($E97,'Key assumptions'!$B$112:$B$120,'Key assumptions'!$C$112:$C$120,0)</f>
        <v>0</v>
      </c>
      <c r="FZ97" s="146" cm="1">
        <f t="array" ref="FZ97">IF($FY97=0,0,_xlfn.IFS($FY97='Key assumptions'!$C$120,_xlfn.XLOOKUP(LEFT(FZ$7,6),Inflation_Year,Inflation_NominaltoReal),TRUE,_xlfn.XLOOKUP($FY97,Inflation_Year,NominaltoReal)))</f>
        <v>0</v>
      </c>
      <c r="GA97" s="146" cm="1">
        <f t="array" ref="GA97">IF($FY97=0,0,_xlfn.IFS($FY97='Key assumptions'!$C$120,_xlfn.XLOOKUP(LEFT(GA$7,6),Inflation_Year,Inflation_NominaltoReal),TRUE,_xlfn.XLOOKUP($FY97,Inflation_Year,NominaltoReal)))</f>
        <v>0</v>
      </c>
      <c r="GB97" s="146" cm="1">
        <f t="array" ref="GB97">IF($FY97=0,0,_xlfn.IFS($FY97='Key assumptions'!$C$120,_xlfn.XLOOKUP(LEFT(GB$7,6),Inflation_Year,Inflation_NominaltoReal),TRUE,_xlfn.XLOOKUP($FY97,Inflation_Year,NominaltoReal)))</f>
        <v>0</v>
      </c>
      <c r="GC97" s="146" cm="1">
        <f t="array" ref="GC97">IF($FY97=0,0,_xlfn.IFS($FY97='Key assumptions'!$C$120,_xlfn.XLOOKUP(LEFT(GC$7,6),Inflation_Year,Inflation_NominaltoReal),TRUE,_xlfn.XLOOKUP($FY97,Inflation_Year,NominaltoReal)))</f>
        <v>0</v>
      </c>
      <c r="GD97" s="146" cm="1">
        <f t="array" ref="GD97">IF($FY97=0,0,_xlfn.IFS($FY97='Key assumptions'!$C$120,_xlfn.XLOOKUP(LEFT(GD$7,6),Inflation_Year,Inflation_NominaltoReal),TRUE,_xlfn.XLOOKUP($FY97,Inflation_Year,NominaltoReal)))</f>
        <v>0</v>
      </c>
      <c r="GE97" s="146" cm="1">
        <f t="array" ref="GE97">IF($FY97=0,0,_xlfn.IFS($FY97='Key assumptions'!$C$120,_xlfn.XLOOKUP(LEFT(GE$7,6),Inflation_Year,Inflation_NominaltoReal),TRUE,_xlfn.XLOOKUP($FY97,Inflation_Year,NominaltoReal)))</f>
        <v>0</v>
      </c>
      <c r="GF97" s="146" cm="1">
        <f t="array" ref="GF97">IF($FY97=0,0,_xlfn.IFS($FY97='Key assumptions'!$C$120,_xlfn.XLOOKUP(LEFT(GF$7,6),Inflation_Year,Inflation_NominaltoReal),TRUE,_xlfn.XLOOKUP($FY97,Inflation_Year,NominaltoReal)))</f>
        <v>0</v>
      </c>
      <c r="GG97" s="143"/>
      <c r="GH97" s="145" cm="1">
        <f t="array" ref="GH97">SUMPRODUCT(--($CR$7:$FW$7&gt;=GH$5),--($CR$7:$FW$7&lt;=GH$6),$CR97:$FW97)*FZ97</f>
        <v>0</v>
      </c>
      <c r="GI97" s="145" cm="1">
        <f t="array" ref="GI97">SUMPRODUCT(--($CR$7:$FW$7&gt;=GI$5),--($CR$7:$FW$7&lt;=GI$6),$CR97:$FW97)*GA97</f>
        <v>0</v>
      </c>
      <c r="GJ97" s="145" cm="1">
        <f t="array" ref="GJ97">SUMPRODUCT(--($CR$7:$FW$7&gt;=GJ$5),--($CR$7:$FW$7&lt;=GJ$6),$CR97:$FW97)*GB97</f>
        <v>0</v>
      </c>
      <c r="GK97" s="145" cm="1">
        <f t="array" ref="GK97">SUMPRODUCT(--($CR$7:$FW$7&gt;=GK$5),--($CR$7:$FW$7&lt;=GK$6),$CR97:$FW97)*GC97</f>
        <v>0</v>
      </c>
      <c r="GL97" s="145" cm="1">
        <f t="array" ref="GL97">SUMPRODUCT(--($CR$7:$FW$7&gt;=GL$5),--($CR$7:$FW$7&lt;=GL$6),$CR97:$FW97)*GD97</f>
        <v>0</v>
      </c>
      <c r="GM97" s="145" cm="1">
        <f t="array" ref="GM97">SUMPRODUCT(--($CR$7:$FW$7&gt;=GM$5),--($CR$7:$FW$7&lt;=GM$6),$CR97:$FW97)*GE97</f>
        <v>0</v>
      </c>
      <c r="GN97" s="145" cm="1">
        <f t="array" ref="GN97">SUMPRODUCT(--($CR$7:$FW$7&gt;=GN$5),--($CR$7:$FW$7&lt;=GN$6),$CR97:$FW97)*GF97</f>
        <v>0</v>
      </c>
      <c r="GO97" s="145">
        <f t="shared" si="1"/>
        <v>0</v>
      </c>
      <c r="GP97" s="87"/>
      <c r="GR97" s="145" cm="1">
        <f t="array" ref="GR97">SUMPRODUCT(--($CR$7:$FW$7&gt;=GR$5),--($CR$7:$FW$7&lt;=GR$6),$CR97:$FW97)</f>
        <v>0</v>
      </c>
    </row>
    <row r="98" spans="2:200" x14ac:dyDescent="0.2">
      <c r="B98" s="141"/>
      <c r="C98" s="141"/>
      <c r="D98" s="141"/>
      <c r="E98" s="141"/>
      <c r="F98" s="141"/>
      <c r="G98" s="141"/>
      <c r="H98" s="142"/>
      <c r="I98" s="126"/>
      <c r="J98" s="143"/>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3"/>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c r="EE98" s="145"/>
      <c r="EF98" s="145"/>
      <c r="EG98" s="145"/>
      <c r="EH98" s="145"/>
      <c r="EI98" s="145"/>
      <c r="EJ98" s="145"/>
      <c r="EK98" s="145"/>
      <c r="EL98" s="145"/>
      <c r="EM98" s="145"/>
      <c r="EN98" s="145"/>
      <c r="EO98" s="145"/>
      <c r="EP98" s="145"/>
      <c r="EQ98" s="145"/>
      <c r="ER98" s="145"/>
      <c r="ES98" s="145"/>
      <c r="ET98" s="145"/>
      <c r="EU98" s="145"/>
      <c r="EV98" s="145"/>
      <c r="EW98" s="145"/>
      <c r="EX98" s="145"/>
      <c r="EY98" s="145"/>
      <c r="EZ98" s="145"/>
      <c r="FA98" s="145"/>
      <c r="FB98" s="145"/>
      <c r="FC98" s="145"/>
      <c r="FD98" s="145"/>
      <c r="FE98" s="145"/>
      <c r="FF98" s="145"/>
      <c r="FG98" s="145"/>
      <c r="FH98" s="145"/>
      <c r="FI98" s="145"/>
      <c r="FJ98" s="145"/>
      <c r="FK98" s="145"/>
      <c r="FL98" s="145"/>
      <c r="FM98" s="145"/>
      <c r="FN98" s="145"/>
      <c r="FO98" s="145"/>
      <c r="FP98" s="145"/>
      <c r="FQ98" s="145"/>
      <c r="FR98" s="145"/>
      <c r="FS98" s="145"/>
      <c r="FT98" s="145"/>
      <c r="FU98" s="145"/>
      <c r="FV98" s="145"/>
      <c r="FW98" s="145"/>
      <c r="FX98" s="143"/>
      <c r="FY98" s="146">
        <f>_xlfn.XLOOKUP($E98,'Key assumptions'!$B$112:$B$120,'Key assumptions'!$C$112:$C$120,0)</f>
        <v>0</v>
      </c>
      <c r="FZ98" s="146" cm="1">
        <f t="array" ref="FZ98">IF($FY98=0,0,_xlfn.IFS($FY98='Key assumptions'!$C$120,_xlfn.XLOOKUP(LEFT(FZ$7,6),Inflation_Year,Inflation_NominaltoReal),TRUE,_xlfn.XLOOKUP($FY98,Inflation_Year,NominaltoReal)))</f>
        <v>0</v>
      </c>
      <c r="GA98" s="146" cm="1">
        <f t="array" ref="GA98">IF($FY98=0,0,_xlfn.IFS($FY98='Key assumptions'!$C$120,_xlfn.XLOOKUP(LEFT(GA$7,6),Inflation_Year,Inflation_NominaltoReal),TRUE,_xlfn.XLOOKUP($FY98,Inflation_Year,NominaltoReal)))</f>
        <v>0</v>
      </c>
      <c r="GB98" s="146" cm="1">
        <f t="array" ref="GB98">IF($FY98=0,0,_xlfn.IFS($FY98='Key assumptions'!$C$120,_xlfn.XLOOKUP(LEFT(GB$7,6),Inflation_Year,Inflation_NominaltoReal),TRUE,_xlfn.XLOOKUP($FY98,Inflation_Year,NominaltoReal)))</f>
        <v>0</v>
      </c>
      <c r="GC98" s="146" cm="1">
        <f t="array" ref="GC98">IF($FY98=0,0,_xlfn.IFS($FY98='Key assumptions'!$C$120,_xlfn.XLOOKUP(LEFT(GC$7,6),Inflation_Year,Inflation_NominaltoReal),TRUE,_xlfn.XLOOKUP($FY98,Inflation_Year,NominaltoReal)))</f>
        <v>0</v>
      </c>
      <c r="GD98" s="146" cm="1">
        <f t="array" ref="GD98">IF($FY98=0,0,_xlfn.IFS($FY98='Key assumptions'!$C$120,_xlfn.XLOOKUP(LEFT(GD$7,6),Inflation_Year,Inflation_NominaltoReal),TRUE,_xlfn.XLOOKUP($FY98,Inflation_Year,NominaltoReal)))</f>
        <v>0</v>
      </c>
      <c r="GE98" s="146" cm="1">
        <f t="array" ref="GE98">IF($FY98=0,0,_xlfn.IFS($FY98='Key assumptions'!$C$120,_xlfn.XLOOKUP(LEFT(GE$7,6),Inflation_Year,Inflation_NominaltoReal),TRUE,_xlfn.XLOOKUP($FY98,Inflation_Year,NominaltoReal)))</f>
        <v>0</v>
      </c>
      <c r="GF98" s="146" cm="1">
        <f t="array" ref="GF98">IF($FY98=0,0,_xlfn.IFS($FY98='Key assumptions'!$C$120,_xlfn.XLOOKUP(LEFT(GF$7,6),Inflation_Year,Inflation_NominaltoReal),TRUE,_xlfn.XLOOKUP($FY98,Inflation_Year,NominaltoReal)))</f>
        <v>0</v>
      </c>
      <c r="GG98" s="143"/>
      <c r="GH98" s="145" cm="1">
        <f t="array" ref="GH98">SUMPRODUCT(--($CR$7:$FW$7&gt;=GH$5),--($CR$7:$FW$7&lt;=GH$6),$CR98:$FW98)*FZ98</f>
        <v>0</v>
      </c>
      <c r="GI98" s="145" cm="1">
        <f t="array" ref="GI98">SUMPRODUCT(--($CR$7:$FW$7&gt;=GI$5),--($CR$7:$FW$7&lt;=GI$6),$CR98:$FW98)*GA98</f>
        <v>0</v>
      </c>
      <c r="GJ98" s="145" cm="1">
        <f t="array" ref="GJ98">SUMPRODUCT(--($CR$7:$FW$7&gt;=GJ$5),--($CR$7:$FW$7&lt;=GJ$6),$CR98:$FW98)*GB98</f>
        <v>0</v>
      </c>
      <c r="GK98" s="145" cm="1">
        <f t="array" ref="GK98">SUMPRODUCT(--($CR$7:$FW$7&gt;=GK$5),--($CR$7:$FW$7&lt;=GK$6),$CR98:$FW98)*GC98</f>
        <v>0</v>
      </c>
      <c r="GL98" s="145" cm="1">
        <f t="array" ref="GL98">SUMPRODUCT(--($CR$7:$FW$7&gt;=GL$5),--($CR$7:$FW$7&lt;=GL$6),$CR98:$FW98)*GD98</f>
        <v>0</v>
      </c>
      <c r="GM98" s="145" cm="1">
        <f t="array" ref="GM98">SUMPRODUCT(--($CR$7:$FW$7&gt;=GM$5),--($CR$7:$FW$7&lt;=GM$6),$CR98:$FW98)*GE98</f>
        <v>0</v>
      </c>
      <c r="GN98" s="145" cm="1">
        <f t="array" ref="GN98">SUMPRODUCT(--($CR$7:$FW$7&gt;=GN$5),--($CR$7:$FW$7&lt;=GN$6),$CR98:$FW98)*GF98</f>
        <v>0</v>
      </c>
      <c r="GO98" s="145">
        <f t="shared" si="1"/>
        <v>0</v>
      </c>
      <c r="GP98" s="87"/>
      <c r="GR98" s="145" cm="1">
        <f t="array" ref="GR98">SUMPRODUCT(--($CR$7:$FW$7&gt;=GR$5),--($CR$7:$FW$7&lt;=GR$6),$CR98:$FW98)</f>
        <v>0</v>
      </c>
    </row>
    <row r="99" spans="2:200" x14ac:dyDescent="0.2">
      <c r="B99" s="141"/>
      <c r="C99" s="141"/>
      <c r="D99" s="141"/>
      <c r="E99" s="141"/>
      <c r="F99" s="141"/>
      <c r="G99" s="141"/>
      <c r="H99" s="142"/>
      <c r="I99" s="126"/>
      <c r="J99" s="143"/>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3"/>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c r="EE99" s="145"/>
      <c r="EF99" s="145"/>
      <c r="EG99" s="145"/>
      <c r="EH99" s="145"/>
      <c r="EI99" s="145"/>
      <c r="EJ99" s="145"/>
      <c r="EK99" s="145"/>
      <c r="EL99" s="145"/>
      <c r="EM99" s="145"/>
      <c r="EN99" s="145"/>
      <c r="EO99" s="145"/>
      <c r="EP99" s="145"/>
      <c r="EQ99" s="145"/>
      <c r="ER99" s="145"/>
      <c r="ES99" s="145"/>
      <c r="ET99" s="145"/>
      <c r="EU99" s="145"/>
      <c r="EV99" s="145"/>
      <c r="EW99" s="145"/>
      <c r="EX99" s="145"/>
      <c r="EY99" s="145"/>
      <c r="EZ99" s="145"/>
      <c r="FA99" s="145"/>
      <c r="FB99" s="145"/>
      <c r="FC99" s="145"/>
      <c r="FD99" s="145"/>
      <c r="FE99" s="145"/>
      <c r="FF99" s="145"/>
      <c r="FG99" s="145"/>
      <c r="FH99" s="145"/>
      <c r="FI99" s="145"/>
      <c r="FJ99" s="145"/>
      <c r="FK99" s="145"/>
      <c r="FL99" s="145"/>
      <c r="FM99" s="145"/>
      <c r="FN99" s="145"/>
      <c r="FO99" s="145"/>
      <c r="FP99" s="145"/>
      <c r="FQ99" s="145"/>
      <c r="FR99" s="145"/>
      <c r="FS99" s="145"/>
      <c r="FT99" s="145"/>
      <c r="FU99" s="145"/>
      <c r="FV99" s="145"/>
      <c r="FW99" s="145"/>
      <c r="FX99" s="143"/>
      <c r="FY99" s="146">
        <f>_xlfn.XLOOKUP($E99,'Key assumptions'!$B$112:$B$120,'Key assumptions'!$C$112:$C$120,0)</f>
        <v>0</v>
      </c>
      <c r="FZ99" s="146" cm="1">
        <f t="array" ref="FZ99">IF($FY99=0,0,_xlfn.IFS($FY99='Key assumptions'!$C$120,_xlfn.XLOOKUP(LEFT(FZ$7,6),Inflation_Year,Inflation_NominaltoReal),TRUE,_xlfn.XLOOKUP($FY99,Inflation_Year,NominaltoReal)))</f>
        <v>0</v>
      </c>
      <c r="GA99" s="146" cm="1">
        <f t="array" ref="GA99">IF($FY99=0,0,_xlfn.IFS($FY99='Key assumptions'!$C$120,_xlfn.XLOOKUP(LEFT(GA$7,6),Inflation_Year,Inflation_NominaltoReal),TRUE,_xlfn.XLOOKUP($FY99,Inflation_Year,NominaltoReal)))</f>
        <v>0</v>
      </c>
      <c r="GB99" s="146" cm="1">
        <f t="array" ref="GB99">IF($FY99=0,0,_xlfn.IFS($FY99='Key assumptions'!$C$120,_xlfn.XLOOKUP(LEFT(GB$7,6),Inflation_Year,Inflation_NominaltoReal),TRUE,_xlfn.XLOOKUP($FY99,Inflation_Year,NominaltoReal)))</f>
        <v>0</v>
      </c>
      <c r="GC99" s="146" cm="1">
        <f t="array" ref="GC99">IF($FY99=0,0,_xlfn.IFS($FY99='Key assumptions'!$C$120,_xlfn.XLOOKUP(LEFT(GC$7,6),Inflation_Year,Inflation_NominaltoReal),TRUE,_xlfn.XLOOKUP($FY99,Inflation_Year,NominaltoReal)))</f>
        <v>0</v>
      </c>
      <c r="GD99" s="146" cm="1">
        <f t="array" ref="GD99">IF($FY99=0,0,_xlfn.IFS($FY99='Key assumptions'!$C$120,_xlfn.XLOOKUP(LEFT(GD$7,6),Inflation_Year,Inflation_NominaltoReal),TRUE,_xlfn.XLOOKUP($FY99,Inflation_Year,NominaltoReal)))</f>
        <v>0</v>
      </c>
      <c r="GE99" s="146" cm="1">
        <f t="array" ref="GE99">IF($FY99=0,0,_xlfn.IFS($FY99='Key assumptions'!$C$120,_xlfn.XLOOKUP(LEFT(GE$7,6),Inflation_Year,Inflation_NominaltoReal),TRUE,_xlfn.XLOOKUP($FY99,Inflation_Year,NominaltoReal)))</f>
        <v>0</v>
      </c>
      <c r="GF99" s="146" cm="1">
        <f t="array" ref="GF99">IF($FY99=0,0,_xlfn.IFS($FY99='Key assumptions'!$C$120,_xlfn.XLOOKUP(LEFT(GF$7,6),Inflation_Year,Inflation_NominaltoReal),TRUE,_xlfn.XLOOKUP($FY99,Inflation_Year,NominaltoReal)))</f>
        <v>0</v>
      </c>
      <c r="GG99" s="143"/>
      <c r="GH99" s="145" cm="1">
        <f t="array" ref="GH99">SUMPRODUCT(--($CR$7:$FW$7&gt;=GH$5),--($CR$7:$FW$7&lt;=GH$6),$CR99:$FW99)*FZ99</f>
        <v>0</v>
      </c>
      <c r="GI99" s="145" cm="1">
        <f t="array" ref="GI99">SUMPRODUCT(--($CR$7:$FW$7&gt;=GI$5),--($CR$7:$FW$7&lt;=GI$6),$CR99:$FW99)*GA99</f>
        <v>0</v>
      </c>
      <c r="GJ99" s="145" cm="1">
        <f t="array" ref="GJ99">SUMPRODUCT(--($CR$7:$FW$7&gt;=GJ$5),--($CR$7:$FW$7&lt;=GJ$6),$CR99:$FW99)*GB99</f>
        <v>0</v>
      </c>
      <c r="GK99" s="145" cm="1">
        <f t="array" ref="GK99">SUMPRODUCT(--($CR$7:$FW$7&gt;=GK$5),--($CR$7:$FW$7&lt;=GK$6),$CR99:$FW99)*GC99</f>
        <v>0</v>
      </c>
      <c r="GL99" s="145" cm="1">
        <f t="array" ref="GL99">SUMPRODUCT(--($CR$7:$FW$7&gt;=GL$5),--($CR$7:$FW$7&lt;=GL$6),$CR99:$FW99)*GD99</f>
        <v>0</v>
      </c>
      <c r="GM99" s="145" cm="1">
        <f t="array" ref="GM99">SUMPRODUCT(--($CR$7:$FW$7&gt;=GM$5),--($CR$7:$FW$7&lt;=GM$6),$CR99:$FW99)*GE99</f>
        <v>0</v>
      </c>
      <c r="GN99" s="145" cm="1">
        <f t="array" ref="GN99">SUMPRODUCT(--($CR$7:$FW$7&gt;=GN$5),--($CR$7:$FW$7&lt;=GN$6),$CR99:$FW99)*GF99</f>
        <v>0</v>
      </c>
      <c r="GO99" s="145">
        <f t="shared" si="1"/>
        <v>0</v>
      </c>
      <c r="GP99" s="87"/>
      <c r="GR99" s="145" cm="1">
        <f t="array" ref="GR99">SUMPRODUCT(--($CR$7:$FW$7&gt;=GR$5),--($CR$7:$FW$7&lt;=GR$6),$CR99:$FW99)</f>
        <v>0</v>
      </c>
    </row>
    <row r="100" spans="2:200" x14ac:dyDescent="0.2">
      <c r="B100" s="141"/>
      <c r="C100" s="141"/>
      <c r="D100" s="141"/>
      <c r="E100" s="141"/>
      <c r="F100" s="141"/>
      <c r="G100" s="141"/>
      <c r="H100" s="142"/>
      <c r="I100" s="126"/>
      <c r="J100" s="143"/>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3"/>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c r="EE100" s="145"/>
      <c r="EF100" s="145"/>
      <c r="EG100" s="145"/>
      <c r="EH100" s="145"/>
      <c r="EI100" s="145"/>
      <c r="EJ100" s="145"/>
      <c r="EK100" s="145"/>
      <c r="EL100" s="145"/>
      <c r="EM100" s="145"/>
      <c r="EN100" s="145"/>
      <c r="EO100" s="145"/>
      <c r="EP100" s="145"/>
      <c r="EQ100" s="145"/>
      <c r="ER100" s="145"/>
      <c r="ES100" s="145"/>
      <c r="ET100" s="145"/>
      <c r="EU100" s="145"/>
      <c r="EV100" s="145"/>
      <c r="EW100" s="145"/>
      <c r="EX100" s="145"/>
      <c r="EY100" s="145"/>
      <c r="EZ100" s="145"/>
      <c r="FA100" s="145"/>
      <c r="FB100" s="145"/>
      <c r="FC100" s="145"/>
      <c r="FD100" s="145"/>
      <c r="FE100" s="145"/>
      <c r="FF100" s="145"/>
      <c r="FG100" s="145"/>
      <c r="FH100" s="145"/>
      <c r="FI100" s="145"/>
      <c r="FJ100" s="145"/>
      <c r="FK100" s="145"/>
      <c r="FL100" s="145"/>
      <c r="FM100" s="145"/>
      <c r="FN100" s="145"/>
      <c r="FO100" s="145"/>
      <c r="FP100" s="145"/>
      <c r="FQ100" s="145"/>
      <c r="FR100" s="145"/>
      <c r="FS100" s="145"/>
      <c r="FT100" s="145"/>
      <c r="FU100" s="145"/>
      <c r="FV100" s="145"/>
      <c r="FW100" s="145"/>
      <c r="FX100" s="143"/>
      <c r="FY100" s="146">
        <f>_xlfn.XLOOKUP($E100,'Key assumptions'!$B$112:$B$120,'Key assumptions'!$C$112:$C$120,0)</f>
        <v>0</v>
      </c>
      <c r="FZ100" s="146" cm="1">
        <f t="array" ref="FZ100">IF($FY100=0,0,_xlfn.IFS($FY100='Key assumptions'!$C$120,_xlfn.XLOOKUP(LEFT(FZ$7,6),Inflation_Year,Inflation_NominaltoReal),TRUE,_xlfn.XLOOKUP($FY100,Inflation_Year,NominaltoReal)))</f>
        <v>0</v>
      </c>
      <c r="GA100" s="146" cm="1">
        <f t="array" ref="GA100">IF($FY100=0,0,_xlfn.IFS($FY100='Key assumptions'!$C$120,_xlfn.XLOOKUP(LEFT(GA$7,6),Inflation_Year,Inflation_NominaltoReal),TRUE,_xlfn.XLOOKUP($FY100,Inflation_Year,NominaltoReal)))</f>
        <v>0</v>
      </c>
      <c r="GB100" s="146" cm="1">
        <f t="array" ref="GB100">IF($FY100=0,0,_xlfn.IFS($FY100='Key assumptions'!$C$120,_xlfn.XLOOKUP(LEFT(GB$7,6),Inflation_Year,Inflation_NominaltoReal),TRUE,_xlfn.XLOOKUP($FY100,Inflation_Year,NominaltoReal)))</f>
        <v>0</v>
      </c>
      <c r="GC100" s="146" cm="1">
        <f t="array" ref="GC100">IF($FY100=0,0,_xlfn.IFS($FY100='Key assumptions'!$C$120,_xlfn.XLOOKUP(LEFT(GC$7,6),Inflation_Year,Inflation_NominaltoReal),TRUE,_xlfn.XLOOKUP($FY100,Inflation_Year,NominaltoReal)))</f>
        <v>0</v>
      </c>
      <c r="GD100" s="146" cm="1">
        <f t="array" ref="GD100">IF($FY100=0,0,_xlfn.IFS($FY100='Key assumptions'!$C$120,_xlfn.XLOOKUP(LEFT(GD$7,6),Inflation_Year,Inflation_NominaltoReal),TRUE,_xlfn.XLOOKUP($FY100,Inflation_Year,NominaltoReal)))</f>
        <v>0</v>
      </c>
      <c r="GE100" s="146" cm="1">
        <f t="array" ref="GE100">IF($FY100=0,0,_xlfn.IFS($FY100='Key assumptions'!$C$120,_xlfn.XLOOKUP(LEFT(GE$7,6),Inflation_Year,Inflation_NominaltoReal),TRUE,_xlfn.XLOOKUP($FY100,Inflation_Year,NominaltoReal)))</f>
        <v>0</v>
      </c>
      <c r="GF100" s="146" cm="1">
        <f t="array" ref="GF100">IF($FY100=0,0,_xlfn.IFS($FY100='Key assumptions'!$C$120,_xlfn.XLOOKUP(LEFT(GF$7,6),Inflation_Year,Inflation_NominaltoReal),TRUE,_xlfn.XLOOKUP($FY100,Inflation_Year,NominaltoReal)))</f>
        <v>0</v>
      </c>
      <c r="GG100" s="143"/>
      <c r="GH100" s="145" cm="1">
        <f t="array" ref="GH100">SUMPRODUCT(--($CR$7:$FW$7&gt;=GH$5),--($CR$7:$FW$7&lt;=GH$6),$CR100:$FW100)*FZ100</f>
        <v>0</v>
      </c>
      <c r="GI100" s="145" cm="1">
        <f t="array" ref="GI100">SUMPRODUCT(--($CR$7:$FW$7&gt;=GI$5),--($CR$7:$FW$7&lt;=GI$6),$CR100:$FW100)*GA100</f>
        <v>0</v>
      </c>
      <c r="GJ100" s="145" cm="1">
        <f t="array" ref="GJ100">SUMPRODUCT(--($CR$7:$FW$7&gt;=GJ$5),--($CR$7:$FW$7&lt;=GJ$6),$CR100:$FW100)*GB100</f>
        <v>0</v>
      </c>
      <c r="GK100" s="145" cm="1">
        <f t="array" ref="GK100">SUMPRODUCT(--($CR$7:$FW$7&gt;=GK$5),--($CR$7:$FW$7&lt;=GK$6),$CR100:$FW100)*GC100</f>
        <v>0</v>
      </c>
      <c r="GL100" s="145" cm="1">
        <f t="array" ref="GL100">SUMPRODUCT(--($CR$7:$FW$7&gt;=GL$5),--($CR$7:$FW$7&lt;=GL$6),$CR100:$FW100)*GD100</f>
        <v>0</v>
      </c>
      <c r="GM100" s="145" cm="1">
        <f t="array" ref="GM100">SUMPRODUCT(--($CR$7:$FW$7&gt;=GM$5),--($CR$7:$FW$7&lt;=GM$6),$CR100:$FW100)*GE100</f>
        <v>0</v>
      </c>
      <c r="GN100" s="145" cm="1">
        <f t="array" ref="GN100">SUMPRODUCT(--($CR$7:$FW$7&gt;=GN$5),--($CR$7:$FW$7&lt;=GN$6),$CR100:$FW100)*GF100</f>
        <v>0</v>
      </c>
      <c r="GO100" s="145">
        <f t="shared" si="1"/>
        <v>0</v>
      </c>
      <c r="GP100" s="87"/>
      <c r="GR100" s="145" cm="1">
        <f t="array" ref="GR100">SUMPRODUCT(--($CR$7:$FW$7&gt;=GR$5),--($CR$7:$FW$7&lt;=GR$6),$CR100:$FW100)</f>
        <v>0</v>
      </c>
    </row>
    <row r="101" spans="2:200" x14ac:dyDescent="0.2">
      <c r="B101" s="141"/>
      <c r="C101" s="141"/>
      <c r="D101" s="141"/>
      <c r="E101" s="141"/>
      <c r="F101" s="141"/>
      <c r="G101" s="141"/>
      <c r="H101" s="142"/>
      <c r="I101" s="126"/>
      <c r="J101" s="143"/>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3"/>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c r="EE101" s="145"/>
      <c r="EF101" s="145"/>
      <c r="EG101" s="145"/>
      <c r="EH101" s="145"/>
      <c r="EI101" s="145"/>
      <c r="EJ101" s="145"/>
      <c r="EK101" s="145"/>
      <c r="EL101" s="145"/>
      <c r="EM101" s="145"/>
      <c r="EN101" s="145"/>
      <c r="EO101" s="145"/>
      <c r="EP101" s="145"/>
      <c r="EQ101" s="145"/>
      <c r="ER101" s="145"/>
      <c r="ES101" s="145"/>
      <c r="ET101" s="145"/>
      <c r="EU101" s="145"/>
      <c r="EV101" s="145"/>
      <c r="EW101" s="145"/>
      <c r="EX101" s="145"/>
      <c r="EY101" s="145"/>
      <c r="EZ101" s="145"/>
      <c r="FA101" s="145"/>
      <c r="FB101" s="145"/>
      <c r="FC101" s="145"/>
      <c r="FD101" s="145"/>
      <c r="FE101" s="145"/>
      <c r="FF101" s="145"/>
      <c r="FG101" s="145"/>
      <c r="FH101" s="145"/>
      <c r="FI101" s="145"/>
      <c r="FJ101" s="145"/>
      <c r="FK101" s="145"/>
      <c r="FL101" s="145"/>
      <c r="FM101" s="145"/>
      <c r="FN101" s="145"/>
      <c r="FO101" s="145"/>
      <c r="FP101" s="145"/>
      <c r="FQ101" s="145"/>
      <c r="FR101" s="145"/>
      <c r="FS101" s="145"/>
      <c r="FT101" s="145"/>
      <c r="FU101" s="145"/>
      <c r="FV101" s="145"/>
      <c r="FW101" s="145"/>
      <c r="FX101" s="143"/>
      <c r="FY101" s="146">
        <f>_xlfn.XLOOKUP($E101,'Key assumptions'!$B$112:$B$120,'Key assumptions'!$C$112:$C$120,0)</f>
        <v>0</v>
      </c>
      <c r="FZ101" s="146" cm="1">
        <f t="array" ref="FZ101">IF($FY101=0,0,_xlfn.IFS($FY101='Key assumptions'!$C$120,_xlfn.XLOOKUP(LEFT(FZ$7,6),Inflation_Year,Inflation_NominaltoReal),TRUE,_xlfn.XLOOKUP($FY101,Inflation_Year,NominaltoReal)))</f>
        <v>0</v>
      </c>
      <c r="GA101" s="146" cm="1">
        <f t="array" ref="GA101">IF($FY101=0,0,_xlfn.IFS($FY101='Key assumptions'!$C$120,_xlfn.XLOOKUP(LEFT(GA$7,6),Inflation_Year,Inflation_NominaltoReal),TRUE,_xlfn.XLOOKUP($FY101,Inflation_Year,NominaltoReal)))</f>
        <v>0</v>
      </c>
      <c r="GB101" s="146" cm="1">
        <f t="array" ref="GB101">IF($FY101=0,0,_xlfn.IFS($FY101='Key assumptions'!$C$120,_xlfn.XLOOKUP(LEFT(GB$7,6),Inflation_Year,Inflation_NominaltoReal),TRUE,_xlfn.XLOOKUP($FY101,Inflation_Year,NominaltoReal)))</f>
        <v>0</v>
      </c>
      <c r="GC101" s="146" cm="1">
        <f t="array" ref="GC101">IF($FY101=0,0,_xlfn.IFS($FY101='Key assumptions'!$C$120,_xlfn.XLOOKUP(LEFT(GC$7,6),Inflation_Year,Inflation_NominaltoReal),TRUE,_xlfn.XLOOKUP($FY101,Inflation_Year,NominaltoReal)))</f>
        <v>0</v>
      </c>
      <c r="GD101" s="146" cm="1">
        <f t="array" ref="GD101">IF($FY101=0,0,_xlfn.IFS($FY101='Key assumptions'!$C$120,_xlfn.XLOOKUP(LEFT(GD$7,6),Inflation_Year,Inflation_NominaltoReal),TRUE,_xlfn.XLOOKUP($FY101,Inflation_Year,NominaltoReal)))</f>
        <v>0</v>
      </c>
      <c r="GE101" s="146" cm="1">
        <f t="array" ref="GE101">IF($FY101=0,0,_xlfn.IFS($FY101='Key assumptions'!$C$120,_xlfn.XLOOKUP(LEFT(GE$7,6),Inflation_Year,Inflation_NominaltoReal),TRUE,_xlfn.XLOOKUP($FY101,Inflation_Year,NominaltoReal)))</f>
        <v>0</v>
      </c>
      <c r="GF101" s="146" cm="1">
        <f t="array" ref="GF101">IF($FY101=0,0,_xlfn.IFS($FY101='Key assumptions'!$C$120,_xlfn.XLOOKUP(LEFT(GF$7,6),Inflation_Year,Inflation_NominaltoReal),TRUE,_xlfn.XLOOKUP($FY101,Inflation_Year,NominaltoReal)))</f>
        <v>0</v>
      </c>
      <c r="GG101" s="143"/>
      <c r="GH101" s="145" cm="1">
        <f t="array" ref="GH101">SUMPRODUCT(--($CR$7:$FW$7&gt;=GH$5),--($CR$7:$FW$7&lt;=GH$6),$CR101:$FW101)*FZ101</f>
        <v>0</v>
      </c>
      <c r="GI101" s="145" cm="1">
        <f t="array" ref="GI101">SUMPRODUCT(--($CR$7:$FW$7&gt;=GI$5),--($CR$7:$FW$7&lt;=GI$6),$CR101:$FW101)*GA101</f>
        <v>0</v>
      </c>
      <c r="GJ101" s="145" cm="1">
        <f t="array" ref="GJ101">SUMPRODUCT(--($CR$7:$FW$7&gt;=GJ$5),--($CR$7:$FW$7&lt;=GJ$6),$CR101:$FW101)*GB101</f>
        <v>0</v>
      </c>
      <c r="GK101" s="145" cm="1">
        <f t="array" ref="GK101">SUMPRODUCT(--($CR$7:$FW$7&gt;=GK$5),--($CR$7:$FW$7&lt;=GK$6),$CR101:$FW101)*GC101</f>
        <v>0</v>
      </c>
      <c r="GL101" s="145" cm="1">
        <f t="array" ref="GL101">SUMPRODUCT(--($CR$7:$FW$7&gt;=GL$5),--($CR$7:$FW$7&lt;=GL$6),$CR101:$FW101)*GD101</f>
        <v>0</v>
      </c>
      <c r="GM101" s="145" cm="1">
        <f t="array" ref="GM101">SUMPRODUCT(--($CR$7:$FW$7&gt;=GM$5),--($CR$7:$FW$7&lt;=GM$6),$CR101:$FW101)*GE101</f>
        <v>0</v>
      </c>
      <c r="GN101" s="145" cm="1">
        <f t="array" ref="GN101">SUMPRODUCT(--($CR$7:$FW$7&gt;=GN$5),--($CR$7:$FW$7&lt;=GN$6),$CR101:$FW101)*GF101</f>
        <v>0</v>
      </c>
      <c r="GO101" s="145">
        <f t="shared" si="1"/>
        <v>0</v>
      </c>
      <c r="GP101" s="87"/>
      <c r="GR101" s="145" cm="1">
        <f t="array" ref="GR101">SUMPRODUCT(--($CR$7:$FW$7&gt;=GR$5),--($CR$7:$FW$7&lt;=GR$6),$CR101:$FW101)</f>
        <v>0</v>
      </c>
    </row>
    <row r="102" spans="2:200" x14ac:dyDescent="0.2">
      <c r="B102" s="141"/>
      <c r="C102" s="141"/>
      <c r="D102" s="141"/>
      <c r="E102" s="141"/>
      <c r="F102" s="141"/>
      <c r="G102" s="141"/>
      <c r="H102" s="142"/>
      <c r="I102" s="126"/>
      <c r="J102" s="143"/>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3"/>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c r="EE102" s="145"/>
      <c r="EF102" s="145"/>
      <c r="EG102" s="145"/>
      <c r="EH102" s="145"/>
      <c r="EI102" s="145"/>
      <c r="EJ102" s="145"/>
      <c r="EK102" s="145"/>
      <c r="EL102" s="145"/>
      <c r="EM102" s="145"/>
      <c r="EN102" s="145"/>
      <c r="EO102" s="145"/>
      <c r="EP102" s="145"/>
      <c r="EQ102" s="145"/>
      <c r="ER102" s="145"/>
      <c r="ES102" s="145"/>
      <c r="ET102" s="145"/>
      <c r="EU102" s="145"/>
      <c r="EV102" s="145"/>
      <c r="EW102" s="145"/>
      <c r="EX102" s="145"/>
      <c r="EY102" s="145"/>
      <c r="EZ102" s="145"/>
      <c r="FA102" s="145"/>
      <c r="FB102" s="145"/>
      <c r="FC102" s="145"/>
      <c r="FD102" s="145"/>
      <c r="FE102" s="145"/>
      <c r="FF102" s="145"/>
      <c r="FG102" s="145"/>
      <c r="FH102" s="145"/>
      <c r="FI102" s="145"/>
      <c r="FJ102" s="145"/>
      <c r="FK102" s="145"/>
      <c r="FL102" s="145"/>
      <c r="FM102" s="145"/>
      <c r="FN102" s="145"/>
      <c r="FO102" s="145"/>
      <c r="FP102" s="145"/>
      <c r="FQ102" s="145"/>
      <c r="FR102" s="145"/>
      <c r="FS102" s="145"/>
      <c r="FT102" s="145"/>
      <c r="FU102" s="145"/>
      <c r="FV102" s="145"/>
      <c r="FW102" s="145"/>
      <c r="FX102" s="143"/>
      <c r="FY102" s="146">
        <f>_xlfn.XLOOKUP($E102,'Key assumptions'!$B$112:$B$120,'Key assumptions'!$C$112:$C$120,0)</f>
        <v>0</v>
      </c>
      <c r="FZ102" s="146" cm="1">
        <f t="array" ref="FZ102">IF($FY102=0,0,_xlfn.IFS($FY102='Key assumptions'!$C$120,_xlfn.XLOOKUP(LEFT(FZ$7,6),Inflation_Year,Inflation_NominaltoReal),TRUE,_xlfn.XLOOKUP($FY102,Inflation_Year,NominaltoReal)))</f>
        <v>0</v>
      </c>
      <c r="GA102" s="146" cm="1">
        <f t="array" ref="GA102">IF($FY102=0,0,_xlfn.IFS($FY102='Key assumptions'!$C$120,_xlfn.XLOOKUP(LEFT(GA$7,6),Inflation_Year,Inflation_NominaltoReal),TRUE,_xlfn.XLOOKUP($FY102,Inflation_Year,NominaltoReal)))</f>
        <v>0</v>
      </c>
      <c r="GB102" s="146" cm="1">
        <f t="array" ref="GB102">IF($FY102=0,0,_xlfn.IFS($FY102='Key assumptions'!$C$120,_xlfn.XLOOKUP(LEFT(GB$7,6),Inflation_Year,Inflation_NominaltoReal),TRUE,_xlfn.XLOOKUP($FY102,Inflation_Year,NominaltoReal)))</f>
        <v>0</v>
      </c>
      <c r="GC102" s="146" cm="1">
        <f t="array" ref="GC102">IF($FY102=0,0,_xlfn.IFS($FY102='Key assumptions'!$C$120,_xlfn.XLOOKUP(LEFT(GC$7,6),Inflation_Year,Inflation_NominaltoReal),TRUE,_xlfn.XLOOKUP($FY102,Inflation_Year,NominaltoReal)))</f>
        <v>0</v>
      </c>
      <c r="GD102" s="146" cm="1">
        <f t="array" ref="GD102">IF($FY102=0,0,_xlfn.IFS($FY102='Key assumptions'!$C$120,_xlfn.XLOOKUP(LEFT(GD$7,6),Inflation_Year,Inflation_NominaltoReal),TRUE,_xlfn.XLOOKUP($FY102,Inflation_Year,NominaltoReal)))</f>
        <v>0</v>
      </c>
      <c r="GE102" s="146" cm="1">
        <f t="array" ref="GE102">IF($FY102=0,0,_xlfn.IFS($FY102='Key assumptions'!$C$120,_xlfn.XLOOKUP(LEFT(GE$7,6),Inflation_Year,Inflation_NominaltoReal),TRUE,_xlfn.XLOOKUP($FY102,Inflation_Year,NominaltoReal)))</f>
        <v>0</v>
      </c>
      <c r="GF102" s="146" cm="1">
        <f t="array" ref="GF102">IF($FY102=0,0,_xlfn.IFS($FY102='Key assumptions'!$C$120,_xlfn.XLOOKUP(LEFT(GF$7,6),Inflation_Year,Inflation_NominaltoReal),TRUE,_xlfn.XLOOKUP($FY102,Inflation_Year,NominaltoReal)))</f>
        <v>0</v>
      </c>
      <c r="GG102" s="143"/>
      <c r="GH102" s="145" cm="1">
        <f t="array" ref="GH102">SUMPRODUCT(--($CR$7:$FW$7&gt;=GH$5),--($CR$7:$FW$7&lt;=GH$6),$CR102:$FW102)*FZ102</f>
        <v>0</v>
      </c>
      <c r="GI102" s="145" cm="1">
        <f t="array" ref="GI102">SUMPRODUCT(--($CR$7:$FW$7&gt;=GI$5),--($CR$7:$FW$7&lt;=GI$6),$CR102:$FW102)*GA102</f>
        <v>0</v>
      </c>
      <c r="GJ102" s="145" cm="1">
        <f t="array" ref="GJ102">SUMPRODUCT(--($CR$7:$FW$7&gt;=GJ$5),--($CR$7:$FW$7&lt;=GJ$6),$CR102:$FW102)*GB102</f>
        <v>0</v>
      </c>
      <c r="GK102" s="145" cm="1">
        <f t="array" ref="GK102">SUMPRODUCT(--($CR$7:$FW$7&gt;=GK$5),--($CR$7:$FW$7&lt;=GK$6),$CR102:$FW102)*GC102</f>
        <v>0</v>
      </c>
      <c r="GL102" s="145" cm="1">
        <f t="array" ref="GL102">SUMPRODUCT(--($CR$7:$FW$7&gt;=GL$5),--($CR$7:$FW$7&lt;=GL$6),$CR102:$FW102)*GD102</f>
        <v>0</v>
      </c>
      <c r="GM102" s="145" cm="1">
        <f t="array" ref="GM102">SUMPRODUCT(--($CR$7:$FW$7&gt;=GM$5),--($CR$7:$FW$7&lt;=GM$6),$CR102:$FW102)*GE102</f>
        <v>0</v>
      </c>
      <c r="GN102" s="145" cm="1">
        <f t="array" ref="GN102">SUMPRODUCT(--($CR$7:$FW$7&gt;=GN$5),--($CR$7:$FW$7&lt;=GN$6),$CR102:$FW102)*GF102</f>
        <v>0</v>
      </c>
      <c r="GO102" s="145">
        <f t="shared" si="1"/>
        <v>0</v>
      </c>
      <c r="GP102" s="87"/>
      <c r="GR102" s="145" cm="1">
        <f t="array" ref="GR102">SUMPRODUCT(--($CR$7:$FW$7&gt;=GR$5),--($CR$7:$FW$7&lt;=GR$6),$CR102:$FW102)</f>
        <v>0</v>
      </c>
    </row>
    <row r="103" spans="2:200" x14ac:dyDescent="0.2">
      <c r="B103" s="141"/>
      <c r="C103" s="141"/>
      <c r="D103" s="141"/>
      <c r="E103" s="141"/>
      <c r="F103" s="141"/>
      <c r="G103" s="141"/>
      <c r="H103" s="142"/>
      <c r="I103" s="126"/>
      <c r="J103" s="143"/>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3"/>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c r="EE103" s="145"/>
      <c r="EF103" s="145"/>
      <c r="EG103" s="145"/>
      <c r="EH103" s="145"/>
      <c r="EI103" s="145"/>
      <c r="EJ103" s="145"/>
      <c r="EK103" s="145"/>
      <c r="EL103" s="145"/>
      <c r="EM103" s="145"/>
      <c r="EN103" s="145"/>
      <c r="EO103" s="145"/>
      <c r="EP103" s="145"/>
      <c r="EQ103" s="145"/>
      <c r="ER103" s="145"/>
      <c r="ES103" s="145"/>
      <c r="ET103" s="145"/>
      <c r="EU103" s="145"/>
      <c r="EV103" s="145"/>
      <c r="EW103" s="145"/>
      <c r="EX103" s="145"/>
      <c r="EY103" s="145"/>
      <c r="EZ103" s="145"/>
      <c r="FA103" s="145"/>
      <c r="FB103" s="145"/>
      <c r="FC103" s="145"/>
      <c r="FD103" s="145"/>
      <c r="FE103" s="145"/>
      <c r="FF103" s="145"/>
      <c r="FG103" s="145"/>
      <c r="FH103" s="145"/>
      <c r="FI103" s="145"/>
      <c r="FJ103" s="145"/>
      <c r="FK103" s="145"/>
      <c r="FL103" s="145"/>
      <c r="FM103" s="145"/>
      <c r="FN103" s="145"/>
      <c r="FO103" s="145"/>
      <c r="FP103" s="145"/>
      <c r="FQ103" s="145"/>
      <c r="FR103" s="145"/>
      <c r="FS103" s="145"/>
      <c r="FT103" s="145"/>
      <c r="FU103" s="145"/>
      <c r="FV103" s="145"/>
      <c r="FW103" s="145"/>
      <c r="FX103" s="143"/>
      <c r="FY103" s="146">
        <f>_xlfn.XLOOKUP($E103,'Key assumptions'!$B$112:$B$120,'Key assumptions'!$C$112:$C$120,0)</f>
        <v>0</v>
      </c>
      <c r="FZ103" s="146" cm="1">
        <f t="array" ref="FZ103">IF($FY103=0,0,_xlfn.IFS($FY103='Key assumptions'!$C$120,_xlfn.XLOOKUP(LEFT(FZ$7,6),Inflation_Year,Inflation_NominaltoReal),TRUE,_xlfn.XLOOKUP($FY103,Inflation_Year,NominaltoReal)))</f>
        <v>0</v>
      </c>
      <c r="GA103" s="146" cm="1">
        <f t="array" ref="GA103">IF($FY103=0,0,_xlfn.IFS($FY103='Key assumptions'!$C$120,_xlfn.XLOOKUP(LEFT(GA$7,6),Inflation_Year,Inflation_NominaltoReal),TRUE,_xlfn.XLOOKUP($FY103,Inflation_Year,NominaltoReal)))</f>
        <v>0</v>
      </c>
      <c r="GB103" s="146" cm="1">
        <f t="array" ref="GB103">IF($FY103=0,0,_xlfn.IFS($FY103='Key assumptions'!$C$120,_xlfn.XLOOKUP(LEFT(GB$7,6),Inflation_Year,Inflation_NominaltoReal),TRUE,_xlfn.XLOOKUP($FY103,Inflation_Year,NominaltoReal)))</f>
        <v>0</v>
      </c>
      <c r="GC103" s="146" cm="1">
        <f t="array" ref="GC103">IF($FY103=0,0,_xlfn.IFS($FY103='Key assumptions'!$C$120,_xlfn.XLOOKUP(LEFT(GC$7,6),Inflation_Year,Inflation_NominaltoReal),TRUE,_xlfn.XLOOKUP($FY103,Inflation_Year,NominaltoReal)))</f>
        <v>0</v>
      </c>
      <c r="GD103" s="146" cm="1">
        <f t="array" ref="GD103">IF($FY103=0,0,_xlfn.IFS($FY103='Key assumptions'!$C$120,_xlfn.XLOOKUP(LEFT(GD$7,6),Inflation_Year,Inflation_NominaltoReal),TRUE,_xlfn.XLOOKUP($FY103,Inflation_Year,NominaltoReal)))</f>
        <v>0</v>
      </c>
      <c r="GE103" s="146" cm="1">
        <f t="array" ref="GE103">IF($FY103=0,0,_xlfn.IFS($FY103='Key assumptions'!$C$120,_xlfn.XLOOKUP(LEFT(GE$7,6),Inflation_Year,Inflation_NominaltoReal),TRUE,_xlfn.XLOOKUP($FY103,Inflation_Year,NominaltoReal)))</f>
        <v>0</v>
      </c>
      <c r="GF103" s="146" cm="1">
        <f t="array" ref="GF103">IF($FY103=0,0,_xlfn.IFS($FY103='Key assumptions'!$C$120,_xlfn.XLOOKUP(LEFT(GF$7,6),Inflation_Year,Inflation_NominaltoReal),TRUE,_xlfn.XLOOKUP($FY103,Inflation_Year,NominaltoReal)))</f>
        <v>0</v>
      </c>
      <c r="GG103" s="143"/>
      <c r="GH103" s="145" cm="1">
        <f t="array" ref="GH103">SUMPRODUCT(--($CR$7:$FW$7&gt;=GH$5),--($CR$7:$FW$7&lt;=GH$6),$CR103:$FW103)*FZ103</f>
        <v>0</v>
      </c>
      <c r="GI103" s="145" cm="1">
        <f t="array" ref="GI103">SUMPRODUCT(--($CR$7:$FW$7&gt;=GI$5),--($CR$7:$FW$7&lt;=GI$6),$CR103:$FW103)*GA103</f>
        <v>0</v>
      </c>
      <c r="GJ103" s="145" cm="1">
        <f t="array" ref="GJ103">SUMPRODUCT(--($CR$7:$FW$7&gt;=GJ$5),--($CR$7:$FW$7&lt;=GJ$6),$CR103:$FW103)*GB103</f>
        <v>0</v>
      </c>
      <c r="GK103" s="145" cm="1">
        <f t="array" ref="GK103">SUMPRODUCT(--($CR$7:$FW$7&gt;=GK$5),--($CR$7:$FW$7&lt;=GK$6),$CR103:$FW103)*GC103</f>
        <v>0</v>
      </c>
      <c r="GL103" s="145" cm="1">
        <f t="array" ref="GL103">SUMPRODUCT(--($CR$7:$FW$7&gt;=GL$5),--($CR$7:$FW$7&lt;=GL$6),$CR103:$FW103)*GD103</f>
        <v>0</v>
      </c>
      <c r="GM103" s="145" cm="1">
        <f t="array" ref="GM103">SUMPRODUCT(--($CR$7:$FW$7&gt;=GM$5),--($CR$7:$FW$7&lt;=GM$6),$CR103:$FW103)*GE103</f>
        <v>0</v>
      </c>
      <c r="GN103" s="145" cm="1">
        <f t="array" ref="GN103">SUMPRODUCT(--($CR$7:$FW$7&gt;=GN$5),--($CR$7:$FW$7&lt;=GN$6),$CR103:$FW103)*GF103</f>
        <v>0</v>
      </c>
      <c r="GO103" s="145">
        <f t="shared" si="1"/>
        <v>0</v>
      </c>
      <c r="GP103" s="87"/>
      <c r="GR103" s="145" cm="1">
        <f t="array" ref="GR103">SUMPRODUCT(--($CR$7:$FW$7&gt;=GR$5),--($CR$7:$FW$7&lt;=GR$6),$CR103:$FW103)</f>
        <v>0</v>
      </c>
    </row>
    <row r="104" spans="2:200" x14ac:dyDescent="0.2">
      <c r="B104" s="141"/>
      <c r="C104" s="141"/>
      <c r="D104" s="141"/>
      <c r="E104" s="141"/>
      <c r="F104" s="141"/>
      <c r="G104" s="141"/>
      <c r="H104" s="142"/>
      <c r="I104" s="126"/>
      <c r="J104" s="143"/>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3"/>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c r="EE104" s="145"/>
      <c r="EF104" s="145"/>
      <c r="EG104" s="145"/>
      <c r="EH104" s="145"/>
      <c r="EI104" s="145"/>
      <c r="EJ104" s="145"/>
      <c r="EK104" s="145"/>
      <c r="EL104" s="145"/>
      <c r="EM104" s="145"/>
      <c r="EN104" s="145"/>
      <c r="EO104" s="145"/>
      <c r="EP104" s="145"/>
      <c r="EQ104" s="145"/>
      <c r="ER104" s="145"/>
      <c r="ES104" s="145"/>
      <c r="ET104" s="145"/>
      <c r="EU104" s="145"/>
      <c r="EV104" s="145"/>
      <c r="EW104" s="145"/>
      <c r="EX104" s="145"/>
      <c r="EY104" s="145"/>
      <c r="EZ104" s="145"/>
      <c r="FA104" s="145"/>
      <c r="FB104" s="145"/>
      <c r="FC104" s="145"/>
      <c r="FD104" s="145"/>
      <c r="FE104" s="145"/>
      <c r="FF104" s="145"/>
      <c r="FG104" s="145"/>
      <c r="FH104" s="145"/>
      <c r="FI104" s="145"/>
      <c r="FJ104" s="145"/>
      <c r="FK104" s="145"/>
      <c r="FL104" s="145"/>
      <c r="FM104" s="145"/>
      <c r="FN104" s="145"/>
      <c r="FO104" s="145"/>
      <c r="FP104" s="145"/>
      <c r="FQ104" s="145"/>
      <c r="FR104" s="145"/>
      <c r="FS104" s="145"/>
      <c r="FT104" s="145"/>
      <c r="FU104" s="145"/>
      <c r="FV104" s="145"/>
      <c r="FW104" s="145"/>
      <c r="FX104" s="143"/>
      <c r="FY104" s="146">
        <f>_xlfn.XLOOKUP($E104,'Key assumptions'!$B$112:$B$120,'Key assumptions'!$C$112:$C$120,0)</f>
        <v>0</v>
      </c>
      <c r="FZ104" s="146" cm="1">
        <f t="array" ref="FZ104">IF($FY104=0,0,_xlfn.IFS($FY104='Key assumptions'!$C$120,_xlfn.XLOOKUP(LEFT(FZ$7,6),Inflation_Year,Inflation_NominaltoReal),TRUE,_xlfn.XLOOKUP($FY104,Inflation_Year,NominaltoReal)))</f>
        <v>0</v>
      </c>
      <c r="GA104" s="146" cm="1">
        <f t="array" ref="GA104">IF($FY104=0,0,_xlfn.IFS($FY104='Key assumptions'!$C$120,_xlfn.XLOOKUP(LEFT(GA$7,6),Inflation_Year,Inflation_NominaltoReal),TRUE,_xlfn.XLOOKUP($FY104,Inflation_Year,NominaltoReal)))</f>
        <v>0</v>
      </c>
      <c r="GB104" s="146" cm="1">
        <f t="array" ref="GB104">IF($FY104=0,0,_xlfn.IFS($FY104='Key assumptions'!$C$120,_xlfn.XLOOKUP(LEFT(GB$7,6),Inflation_Year,Inflation_NominaltoReal),TRUE,_xlfn.XLOOKUP($FY104,Inflation_Year,NominaltoReal)))</f>
        <v>0</v>
      </c>
      <c r="GC104" s="146" cm="1">
        <f t="array" ref="GC104">IF($FY104=0,0,_xlfn.IFS($FY104='Key assumptions'!$C$120,_xlfn.XLOOKUP(LEFT(GC$7,6),Inflation_Year,Inflation_NominaltoReal),TRUE,_xlfn.XLOOKUP($FY104,Inflation_Year,NominaltoReal)))</f>
        <v>0</v>
      </c>
      <c r="GD104" s="146" cm="1">
        <f t="array" ref="GD104">IF($FY104=0,0,_xlfn.IFS($FY104='Key assumptions'!$C$120,_xlfn.XLOOKUP(LEFT(GD$7,6),Inflation_Year,Inflation_NominaltoReal),TRUE,_xlfn.XLOOKUP($FY104,Inflation_Year,NominaltoReal)))</f>
        <v>0</v>
      </c>
      <c r="GE104" s="146" cm="1">
        <f t="array" ref="GE104">IF($FY104=0,0,_xlfn.IFS($FY104='Key assumptions'!$C$120,_xlfn.XLOOKUP(LEFT(GE$7,6),Inflation_Year,Inflation_NominaltoReal),TRUE,_xlfn.XLOOKUP($FY104,Inflation_Year,NominaltoReal)))</f>
        <v>0</v>
      </c>
      <c r="GF104" s="146" cm="1">
        <f t="array" ref="GF104">IF($FY104=0,0,_xlfn.IFS($FY104='Key assumptions'!$C$120,_xlfn.XLOOKUP(LEFT(GF$7,6),Inflation_Year,Inflation_NominaltoReal),TRUE,_xlfn.XLOOKUP($FY104,Inflation_Year,NominaltoReal)))</f>
        <v>0</v>
      </c>
      <c r="GG104" s="143"/>
      <c r="GH104" s="145" cm="1">
        <f t="array" ref="GH104">SUMPRODUCT(--($CR$7:$FW$7&gt;=GH$5),--($CR$7:$FW$7&lt;=GH$6),$CR104:$FW104)*FZ104</f>
        <v>0</v>
      </c>
      <c r="GI104" s="145" cm="1">
        <f t="array" ref="GI104">SUMPRODUCT(--($CR$7:$FW$7&gt;=GI$5),--($CR$7:$FW$7&lt;=GI$6),$CR104:$FW104)*GA104</f>
        <v>0</v>
      </c>
      <c r="GJ104" s="145" cm="1">
        <f t="array" ref="GJ104">SUMPRODUCT(--($CR$7:$FW$7&gt;=GJ$5),--($CR$7:$FW$7&lt;=GJ$6),$CR104:$FW104)*GB104</f>
        <v>0</v>
      </c>
      <c r="GK104" s="145" cm="1">
        <f t="array" ref="GK104">SUMPRODUCT(--($CR$7:$FW$7&gt;=GK$5),--($CR$7:$FW$7&lt;=GK$6),$CR104:$FW104)*GC104</f>
        <v>0</v>
      </c>
      <c r="GL104" s="145" cm="1">
        <f t="array" ref="GL104">SUMPRODUCT(--($CR$7:$FW$7&gt;=GL$5),--($CR$7:$FW$7&lt;=GL$6),$CR104:$FW104)*GD104</f>
        <v>0</v>
      </c>
      <c r="GM104" s="145" cm="1">
        <f t="array" ref="GM104">SUMPRODUCT(--($CR$7:$FW$7&gt;=GM$5),--($CR$7:$FW$7&lt;=GM$6),$CR104:$FW104)*GE104</f>
        <v>0</v>
      </c>
      <c r="GN104" s="145" cm="1">
        <f t="array" ref="GN104">SUMPRODUCT(--($CR$7:$FW$7&gt;=GN$5),--($CR$7:$FW$7&lt;=GN$6),$CR104:$FW104)*GF104</f>
        <v>0</v>
      </c>
      <c r="GO104" s="145">
        <f t="shared" si="1"/>
        <v>0</v>
      </c>
      <c r="GP104" s="87"/>
      <c r="GR104" s="145" cm="1">
        <f t="array" ref="GR104">SUMPRODUCT(--($CR$7:$FW$7&gt;=GR$5),--($CR$7:$FW$7&lt;=GR$6),$CR104:$FW104)</f>
        <v>0</v>
      </c>
    </row>
    <row r="105" spans="2:200" x14ac:dyDescent="0.2">
      <c r="B105" s="141"/>
      <c r="C105" s="141"/>
      <c r="D105" s="141"/>
      <c r="E105" s="141"/>
      <c r="F105" s="141"/>
      <c r="G105" s="141"/>
      <c r="H105" s="142"/>
      <c r="I105" s="126"/>
      <c r="J105" s="143"/>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3"/>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45"/>
      <c r="EH105" s="145"/>
      <c r="EI105" s="145"/>
      <c r="EJ105" s="145"/>
      <c r="EK105" s="145"/>
      <c r="EL105" s="145"/>
      <c r="EM105" s="145"/>
      <c r="EN105" s="145"/>
      <c r="EO105" s="145"/>
      <c r="EP105" s="145"/>
      <c r="EQ105" s="145"/>
      <c r="ER105" s="145"/>
      <c r="ES105" s="145"/>
      <c r="ET105" s="145"/>
      <c r="EU105" s="145"/>
      <c r="EV105" s="145"/>
      <c r="EW105" s="145"/>
      <c r="EX105" s="145"/>
      <c r="EY105" s="145"/>
      <c r="EZ105" s="145"/>
      <c r="FA105" s="145"/>
      <c r="FB105" s="145"/>
      <c r="FC105" s="145"/>
      <c r="FD105" s="145"/>
      <c r="FE105" s="145"/>
      <c r="FF105" s="145"/>
      <c r="FG105" s="145"/>
      <c r="FH105" s="145"/>
      <c r="FI105" s="145"/>
      <c r="FJ105" s="145"/>
      <c r="FK105" s="145"/>
      <c r="FL105" s="145"/>
      <c r="FM105" s="145"/>
      <c r="FN105" s="145"/>
      <c r="FO105" s="145"/>
      <c r="FP105" s="145"/>
      <c r="FQ105" s="145"/>
      <c r="FR105" s="145"/>
      <c r="FS105" s="145"/>
      <c r="FT105" s="145"/>
      <c r="FU105" s="145"/>
      <c r="FV105" s="145"/>
      <c r="FW105" s="145"/>
      <c r="FX105" s="143"/>
      <c r="FY105" s="146">
        <f>_xlfn.XLOOKUP($E105,'Key assumptions'!$B$112:$B$120,'Key assumptions'!$C$112:$C$120,0)</f>
        <v>0</v>
      </c>
      <c r="FZ105" s="146" cm="1">
        <f t="array" ref="FZ105">IF($FY105=0,0,_xlfn.IFS($FY105='Key assumptions'!$C$120,_xlfn.XLOOKUP(LEFT(FZ$7,6),Inflation_Year,Inflation_NominaltoReal),TRUE,_xlfn.XLOOKUP($FY105,Inflation_Year,NominaltoReal)))</f>
        <v>0</v>
      </c>
      <c r="GA105" s="146" cm="1">
        <f t="array" ref="GA105">IF($FY105=0,0,_xlfn.IFS($FY105='Key assumptions'!$C$120,_xlfn.XLOOKUP(LEFT(GA$7,6),Inflation_Year,Inflation_NominaltoReal),TRUE,_xlfn.XLOOKUP($FY105,Inflation_Year,NominaltoReal)))</f>
        <v>0</v>
      </c>
      <c r="GB105" s="146" cm="1">
        <f t="array" ref="GB105">IF($FY105=0,0,_xlfn.IFS($FY105='Key assumptions'!$C$120,_xlfn.XLOOKUP(LEFT(GB$7,6),Inflation_Year,Inflation_NominaltoReal),TRUE,_xlfn.XLOOKUP($FY105,Inflation_Year,NominaltoReal)))</f>
        <v>0</v>
      </c>
      <c r="GC105" s="146" cm="1">
        <f t="array" ref="GC105">IF($FY105=0,0,_xlfn.IFS($FY105='Key assumptions'!$C$120,_xlfn.XLOOKUP(LEFT(GC$7,6),Inflation_Year,Inflation_NominaltoReal),TRUE,_xlfn.XLOOKUP($FY105,Inflation_Year,NominaltoReal)))</f>
        <v>0</v>
      </c>
      <c r="GD105" s="146" cm="1">
        <f t="array" ref="GD105">IF($FY105=0,0,_xlfn.IFS($FY105='Key assumptions'!$C$120,_xlfn.XLOOKUP(LEFT(GD$7,6),Inflation_Year,Inflation_NominaltoReal),TRUE,_xlfn.XLOOKUP($FY105,Inflation_Year,NominaltoReal)))</f>
        <v>0</v>
      </c>
      <c r="GE105" s="146" cm="1">
        <f t="array" ref="GE105">IF($FY105=0,0,_xlfn.IFS($FY105='Key assumptions'!$C$120,_xlfn.XLOOKUP(LEFT(GE$7,6),Inflation_Year,Inflation_NominaltoReal),TRUE,_xlfn.XLOOKUP($FY105,Inflation_Year,NominaltoReal)))</f>
        <v>0</v>
      </c>
      <c r="GF105" s="146" cm="1">
        <f t="array" ref="GF105">IF($FY105=0,0,_xlfn.IFS($FY105='Key assumptions'!$C$120,_xlfn.XLOOKUP(LEFT(GF$7,6),Inflation_Year,Inflation_NominaltoReal),TRUE,_xlfn.XLOOKUP($FY105,Inflation_Year,NominaltoReal)))</f>
        <v>0</v>
      </c>
      <c r="GG105" s="143"/>
      <c r="GH105" s="145" cm="1">
        <f t="array" ref="GH105">SUMPRODUCT(--($CR$7:$FW$7&gt;=GH$5),--($CR$7:$FW$7&lt;=GH$6),$CR105:$FW105)*FZ105</f>
        <v>0</v>
      </c>
      <c r="GI105" s="145" cm="1">
        <f t="array" ref="GI105">SUMPRODUCT(--($CR$7:$FW$7&gt;=GI$5),--($CR$7:$FW$7&lt;=GI$6),$CR105:$FW105)*GA105</f>
        <v>0</v>
      </c>
      <c r="GJ105" s="145" cm="1">
        <f t="array" ref="GJ105">SUMPRODUCT(--($CR$7:$FW$7&gt;=GJ$5),--($CR$7:$FW$7&lt;=GJ$6),$CR105:$FW105)*GB105</f>
        <v>0</v>
      </c>
      <c r="GK105" s="145" cm="1">
        <f t="array" ref="GK105">SUMPRODUCT(--($CR$7:$FW$7&gt;=GK$5),--($CR$7:$FW$7&lt;=GK$6),$CR105:$FW105)*GC105</f>
        <v>0</v>
      </c>
      <c r="GL105" s="145" cm="1">
        <f t="array" ref="GL105">SUMPRODUCT(--($CR$7:$FW$7&gt;=GL$5),--($CR$7:$FW$7&lt;=GL$6),$CR105:$FW105)*GD105</f>
        <v>0</v>
      </c>
      <c r="GM105" s="145" cm="1">
        <f t="array" ref="GM105">SUMPRODUCT(--($CR$7:$FW$7&gt;=GM$5),--($CR$7:$FW$7&lt;=GM$6),$CR105:$FW105)*GE105</f>
        <v>0</v>
      </c>
      <c r="GN105" s="145" cm="1">
        <f t="array" ref="GN105">SUMPRODUCT(--($CR$7:$FW$7&gt;=GN$5),--($CR$7:$FW$7&lt;=GN$6),$CR105:$FW105)*GF105</f>
        <v>0</v>
      </c>
      <c r="GO105" s="145">
        <f t="shared" si="1"/>
        <v>0</v>
      </c>
      <c r="GP105" s="87"/>
      <c r="GR105" s="145" cm="1">
        <f t="array" ref="GR105">SUMPRODUCT(--($CR$7:$FW$7&gt;=GR$5),--($CR$7:$FW$7&lt;=GR$6),$CR105:$FW105)</f>
        <v>0</v>
      </c>
    </row>
    <row r="106" spans="2:200" x14ac:dyDescent="0.2">
      <c r="B106" s="141"/>
      <c r="C106" s="141"/>
      <c r="D106" s="141"/>
      <c r="E106" s="141"/>
      <c r="F106" s="141"/>
      <c r="G106" s="141"/>
      <c r="H106" s="142"/>
      <c r="I106" s="126"/>
      <c r="J106" s="143"/>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3"/>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c r="EE106" s="145"/>
      <c r="EF106" s="145"/>
      <c r="EG106" s="145"/>
      <c r="EH106" s="145"/>
      <c r="EI106" s="145"/>
      <c r="EJ106" s="145"/>
      <c r="EK106" s="145"/>
      <c r="EL106" s="145"/>
      <c r="EM106" s="145"/>
      <c r="EN106" s="145"/>
      <c r="EO106" s="145"/>
      <c r="EP106" s="145"/>
      <c r="EQ106" s="145"/>
      <c r="ER106" s="145"/>
      <c r="ES106" s="145"/>
      <c r="ET106" s="145"/>
      <c r="EU106" s="145"/>
      <c r="EV106" s="145"/>
      <c r="EW106" s="145"/>
      <c r="EX106" s="145"/>
      <c r="EY106" s="145"/>
      <c r="EZ106" s="145"/>
      <c r="FA106" s="145"/>
      <c r="FB106" s="145"/>
      <c r="FC106" s="145"/>
      <c r="FD106" s="145"/>
      <c r="FE106" s="145"/>
      <c r="FF106" s="145"/>
      <c r="FG106" s="145"/>
      <c r="FH106" s="145"/>
      <c r="FI106" s="145"/>
      <c r="FJ106" s="145"/>
      <c r="FK106" s="145"/>
      <c r="FL106" s="145"/>
      <c r="FM106" s="145"/>
      <c r="FN106" s="145"/>
      <c r="FO106" s="145"/>
      <c r="FP106" s="145"/>
      <c r="FQ106" s="145"/>
      <c r="FR106" s="145"/>
      <c r="FS106" s="145"/>
      <c r="FT106" s="145"/>
      <c r="FU106" s="145"/>
      <c r="FV106" s="145"/>
      <c r="FW106" s="145"/>
      <c r="FX106" s="143"/>
      <c r="FY106" s="146">
        <f>_xlfn.XLOOKUP($E106,'Key assumptions'!$B$112:$B$120,'Key assumptions'!$C$112:$C$120,0)</f>
        <v>0</v>
      </c>
      <c r="FZ106" s="146" cm="1">
        <f t="array" ref="FZ106">IF($FY106=0,0,_xlfn.IFS($FY106='Key assumptions'!$C$120,_xlfn.XLOOKUP(LEFT(FZ$7,6),Inflation_Year,Inflation_NominaltoReal),TRUE,_xlfn.XLOOKUP($FY106,Inflation_Year,NominaltoReal)))</f>
        <v>0</v>
      </c>
      <c r="GA106" s="146" cm="1">
        <f t="array" ref="GA106">IF($FY106=0,0,_xlfn.IFS($FY106='Key assumptions'!$C$120,_xlfn.XLOOKUP(LEFT(GA$7,6),Inflation_Year,Inflation_NominaltoReal),TRUE,_xlfn.XLOOKUP($FY106,Inflation_Year,NominaltoReal)))</f>
        <v>0</v>
      </c>
      <c r="GB106" s="146" cm="1">
        <f t="array" ref="GB106">IF($FY106=0,0,_xlfn.IFS($FY106='Key assumptions'!$C$120,_xlfn.XLOOKUP(LEFT(GB$7,6),Inflation_Year,Inflation_NominaltoReal),TRUE,_xlfn.XLOOKUP($FY106,Inflation_Year,NominaltoReal)))</f>
        <v>0</v>
      </c>
      <c r="GC106" s="146" cm="1">
        <f t="array" ref="GC106">IF($FY106=0,0,_xlfn.IFS($FY106='Key assumptions'!$C$120,_xlfn.XLOOKUP(LEFT(GC$7,6),Inflation_Year,Inflation_NominaltoReal),TRUE,_xlfn.XLOOKUP($FY106,Inflation_Year,NominaltoReal)))</f>
        <v>0</v>
      </c>
      <c r="GD106" s="146" cm="1">
        <f t="array" ref="GD106">IF($FY106=0,0,_xlfn.IFS($FY106='Key assumptions'!$C$120,_xlfn.XLOOKUP(LEFT(GD$7,6),Inflation_Year,Inflation_NominaltoReal),TRUE,_xlfn.XLOOKUP($FY106,Inflation_Year,NominaltoReal)))</f>
        <v>0</v>
      </c>
      <c r="GE106" s="146" cm="1">
        <f t="array" ref="GE106">IF($FY106=0,0,_xlfn.IFS($FY106='Key assumptions'!$C$120,_xlfn.XLOOKUP(LEFT(GE$7,6),Inflation_Year,Inflation_NominaltoReal),TRUE,_xlfn.XLOOKUP($FY106,Inflation_Year,NominaltoReal)))</f>
        <v>0</v>
      </c>
      <c r="GF106" s="146" cm="1">
        <f t="array" ref="GF106">IF($FY106=0,0,_xlfn.IFS($FY106='Key assumptions'!$C$120,_xlfn.XLOOKUP(LEFT(GF$7,6),Inflation_Year,Inflation_NominaltoReal),TRUE,_xlfn.XLOOKUP($FY106,Inflation_Year,NominaltoReal)))</f>
        <v>0</v>
      </c>
      <c r="GG106" s="143"/>
      <c r="GH106" s="145" cm="1">
        <f t="array" ref="GH106">SUMPRODUCT(--($CR$7:$FW$7&gt;=GH$5),--($CR$7:$FW$7&lt;=GH$6),$CR106:$FW106)*FZ106</f>
        <v>0</v>
      </c>
      <c r="GI106" s="145" cm="1">
        <f t="array" ref="GI106">SUMPRODUCT(--($CR$7:$FW$7&gt;=GI$5),--($CR$7:$FW$7&lt;=GI$6),$CR106:$FW106)*GA106</f>
        <v>0</v>
      </c>
      <c r="GJ106" s="145" cm="1">
        <f t="array" ref="GJ106">SUMPRODUCT(--($CR$7:$FW$7&gt;=GJ$5),--($CR$7:$FW$7&lt;=GJ$6),$CR106:$FW106)*GB106</f>
        <v>0</v>
      </c>
      <c r="GK106" s="145" cm="1">
        <f t="array" ref="GK106">SUMPRODUCT(--($CR$7:$FW$7&gt;=GK$5),--($CR$7:$FW$7&lt;=GK$6),$CR106:$FW106)*GC106</f>
        <v>0</v>
      </c>
      <c r="GL106" s="145" cm="1">
        <f t="array" ref="GL106">SUMPRODUCT(--($CR$7:$FW$7&gt;=GL$5),--($CR$7:$FW$7&lt;=GL$6),$CR106:$FW106)*GD106</f>
        <v>0</v>
      </c>
      <c r="GM106" s="145" cm="1">
        <f t="array" ref="GM106">SUMPRODUCT(--($CR$7:$FW$7&gt;=GM$5),--($CR$7:$FW$7&lt;=GM$6),$CR106:$FW106)*GE106</f>
        <v>0</v>
      </c>
      <c r="GN106" s="145" cm="1">
        <f t="array" ref="GN106">SUMPRODUCT(--($CR$7:$FW$7&gt;=GN$5),--($CR$7:$FW$7&lt;=GN$6),$CR106:$FW106)*GF106</f>
        <v>0</v>
      </c>
      <c r="GO106" s="145">
        <f t="shared" si="1"/>
        <v>0</v>
      </c>
      <c r="GP106" s="87"/>
      <c r="GR106" s="145" cm="1">
        <f t="array" ref="GR106">SUMPRODUCT(--($CR$7:$FW$7&gt;=GR$5),--($CR$7:$FW$7&lt;=GR$6),$CR106:$FW106)</f>
        <v>0</v>
      </c>
    </row>
    <row r="107" spans="2:200" x14ac:dyDescent="0.2">
      <c r="B107" s="141"/>
      <c r="C107" s="141"/>
      <c r="D107" s="141"/>
      <c r="E107" s="141"/>
      <c r="F107" s="141"/>
      <c r="G107" s="141"/>
      <c r="H107" s="142"/>
      <c r="I107" s="126"/>
      <c r="J107" s="143"/>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3"/>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c r="EE107" s="145"/>
      <c r="EF107" s="145"/>
      <c r="EG107" s="145"/>
      <c r="EH107" s="145"/>
      <c r="EI107" s="145"/>
      <c r="EJ107" s="145"/>
      <c r="EK107" s="145"/>
      <c r="EL107" s="145"/>
      <c r="EM107" s="145"/>
      <c r="EN107" s="145"/>
      <c r="EO107" s="145"/>
      <c r="EP107" s="145"/>
      <c r="EQ107" s="145"/>
      <c r="ER107" s="145"/>
      <c r="ES107" s="145"/>
      <c r="ET107" s="145"/>
      <c r="EU107" s="145"/>
      <c r="EV107" s="145"/>
      <c r="EW107" s="145"/>
      <c r="EX107" s="145"/>
      <c r="EY107" s="145"/>
      <c r="EZ107" s="145"/>
      <c r="FA107" s="145"/>
      <c r="FB107" s="145"/>
      <c r="FC107" s="145"/>
      <c r="FD107" s="145"/>
      <c r="FE107" s="145"/>
      <c r="FF107" s="145"/>
      <c r="FG107" s="145"/>
      <c r="FH107" s="145"/>
      <c r="FI107" s="145"/>
      <c r="FJ107" s="145"/>
      <c r="FK107" s="145"/>
      <c r="FL107" s="145"/>
      <c r="FM107" s="145"/>
      <c r="FN107" s="145"/>
      <c r="FO107" s="145"/>
      <c r="FP107" s="145"/>
      <c r="FQ107" s="145"/>
      <c r="FR107" s="145"/>
      <c r="FS107" s="145"/>
      <c r="FT107" s="145"/>
      <c r="FU107" s="145"/>
      <c r="FV107" s="145"/>
      <c r="FW107" s="145"/>
      <c r="FX107" s="143"/>
      <c r="FY107" s="146">
        <f>_xlfn.XLOOKUP($E107,'Key assumptions'!$B$112:$B$120,'Key assumptions'!$C$112:$C$120,0)</f>
        <v>0</v>
      </c>
      <c r="FZ107" s="146" cm="1">
        <f t="array" ref="FZ107">IF($FY107=0,0,_xlfn.IFS($FY107='Key assumptions'!$C$120,_xlfn.XLOOKUP(LEFT(FZ$7,6),Inflation_Year,Inflation_NominaltoReal),TRUE,_xlfn.XLOOKUP($FY107,Inflation_Year,NominaltoReal)))</f>
        <v>0</v>
      </c>
      <c r="GA107" s="146" cm="1">
        <f t="array" ref="GA107">IF($FY107=0,0,_xlfn.IFS($FY107='Key assumptions'!$C$120,_xlfn.XLOOKUP(LEFT(GA$7,6),Inflation_Year,Inflation_NominaltoReal),TRUE,_xlfn.XLOOKUP($FY107,Inflation_Year,NominaltoReal)))</f>
        <v>0</v>
      </c>
      <c r="GB107" s="146" cm="1">
        <f t="array" ref="GB107">IF($FY107=0,0,_xlfn.IFS($FY107='Key assumptions'!$C$120,_xlfn.XLOOKUP(LEFT(GB$7,6),Inflation_Year,Inflation_NominaltoReal),TRUE,_xlfn.XLOOKUP($FY107,Inflation_Year,NominaltoReal)))</f>
        <v>0</v>
      </c>
      <c r="GC107" s="146" cm="1">
        <f t="array" ref="GC107">IF($FY107=0,0,_xlfn.IFS($FY107='Key assumptions'!$C$120,_xlfn.XLOOKUP(LEFT(GC$7,6),Inflation_Year,Inflation_NominaltoReal),TRUE,_xlfn.XLOOKUP($FY107,Inflation_Year,NominaltoReal)))</f>
        <v>0</v>
      </c>
      <c r="GD107" s="146" cm="1">
        <f t="array" ref="GD107">IF($FY107=0,0,_xlfn.IFS($FY107='Key assumptions'!$C$120,_xlfn.XLOOKUP(LEFT(GD$7,6),Inflation_Year,Inflation_NominaltoReal),TRUE,_xlfn.XLOOKUP($FY107,Inflation_Year,NominaltoReal)))</f>
        <v>0</v>
      </c>
      <c r="GE107" s="146" cm="1">
        <f t="array" ref="GE107">IF($FY107=0,0,_xlfn.IFS($FY107='Key assumptions'!$C$120,_xlfn.XLOOKUP(LEFT(GE$7,6),Inflation_Year,Inflation_NominaltoReal),TRUE,_xlfn.XLOOKUP($FY107,Inflation_Year,NominaltoReal)))</f>
        <v>0</v>
      </c>
      <c r="GF107" s="146" cm="1">
        <f t="array" ref="GF107">IF($FY107=0,0,_xlfn.IFS($FY107='Key assumptions'!$C$120,_xlfn.XLOOKUP(LEFT(GF$7,6),Inflation_Year,Inflation_NominaltoReal),TRUE,_xlfn.XLOOKUP($FY107,Inflation_Year,NominaltoReal)))</f>
        <v>0</v>
      </c>
      <c r="GG107" s="143"/>
      <c r="GH107" s="145" cm="1">
        <f t="array" ref="GH107">SUMPRODUCT(--($CR$7:$FW$7&gt;=GH$5),--($CR$7:$FW$7&lt;=GH$6),$CR107:$FW107)*FZ107</f>
        <v>0</v>
      </c>
      <c r="GI107" s="145" cm="1">
        <f t="array" ref="GI107">SUMPRODUCT(--($CR$7:$FW$7&gt;=GI$5),--($CR$7:$FW$7&lt;=GI$6),$CR107:$FW107)*GA107</f>
        <v>0</v>
      </c>
      <c r="GJ107" s="145" cm="1">
        <f t="array" ref="GJ107">SUMPRODUCT(--($CR$7:$FW$7&gt;=GJ$5),--($CR$7:$FW$7&lt;=GJ$6),$CR107:$FW107)*GB107</f>
        <v>0</v>
      </c>
      <c r="GK107" s="145" cm="1">
        <f t="array" ref="GK107">SUMPRODUCT(--($CR$7:$FW$7&gt;=GK$5),--($CR$7:$FW$7&lt;=GK$6),$CR107:$FW107)*GC107</f>
        <v>0</v>
      </c>
      <c r="GL107" s="145" cm="1">
        <f t="array" ref="GL107">SUMPRODUCT(--($CR$7:$FW$7&gt;=GL$5),--($CR$7:$FW$7&lt;=GL$6),$CR107:$FW107)*GD107</f>
        <v>0</v>
      </c>
      <c r="GM107" s="145" cm="1">
        <f t="array" ref="GM107">SUMPRODUCT(--($CR$7:$FW$7&gt;=GM$5),--($CR$7:$FW$7&lt;=GM$6),$CR107:$FW107)*GE107</f>
        <v>0</v>
      </c>
      <c r="GN107" s="145" cm="1">
        <f t="array" ref="GN107">SUMPRODUCT(--($CR$7:$FW$7&gt;=GN$5),--($CR$7:$FW$7&lt;=GN$6),$CR107:$FW107)*GF107</f>
        <v>0</v>
      </c>
      <c r="GO107" s="145">
        <f t="shared" si="1"/>
        <v>0</v>
      </c>
      <c r="GP107" s="87"/>
      <c r="GR107" s="145" cm="1">
        <f t="array" ref="GR107">SUMPRODUCT(--($CR$7:$FW$7&gt;=GR$5),--($CR$7:$FW$7&lt;=GR$6),$CR107:$FW107)</f>
        <v>0</v>
      </c>
    </row>
    <row r="108" spans="2:200" x14ac:dyDescent="0.2">
      <c r="B108" s="141"/>
      <c r="C108" s="141"/>
      <c r="D108" s="141"/>
      <c r="E108" s="141"/>
      <c r="F108" s="141"/>
      <c r="G108" s="141"/>
      <c r="H108" s="142"/>
      <c r="I108" s="126"/>
      <c r="J108" s="143"/>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3"/>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c r="EE108" s="145"/>
      <c r="EF108" s="145"/>
      <c r="EG108" s="145"/>
      <c r="EH108" s="145"/>
      <c r="EI108" s="145"/>
      <c r="EJ108" s="145"/>
      <c r="EK108" s="145"/>
      <c r="EL108" s="145"/>
      <c r="EM108" s="145"/>
      <c r="EN108" s="145"/>
      <c r="EO108" s="145"/>
      <c r="EP108" s="145"/>
      <c r="EQ108" s="145"/>
      <c r="ER108" s="145"/>
      <c r="ES108" s="145"/>
      <c r="ET108" s="145"/>
      <c r="EU108" s="145"/>
      <c r="EV108" s="145"/>
      <c r="EW108" s="145"/>
      <c r="EX108" s="145"/>
      <c r="EY108" s="145"/>
      <c r="EZ108" s="145"/>
      <c r="FA108" s="145"/>
      <c r="FB108" s="145"/>
      <c r="FC108" s="145"/>
      <c r="FD108" s="145"/>
      <c r="FE108" s="145"/>
      <c r="FF108" s="145"/>
      <c r="FG108" s="145"/>
      <c r="FH108" s="145"/>
      <c r="FI108" s="145"/>
      <c r="FJ108" s="145"/>
      <c r="FK108" s="145"/>
      <c r="FL108" s="145"/>
      <c r="FM108" s="145"/>
      <c r="FN108" s="145"/>
      <c r="FO108" s="145"/>
      <c r="FP108" s="145"/>
      <c r="FQ108" s="145"/>
      <c r="FR108" s="145"/>
      <c r="FS108" s="145"/>
      <c r="FT108" s="145"/>
      <c r="FU108" s="145"/>
      <c r="FV108" s="145"/>
      <c r="FW108" s="145"/>
      <c r="FX108" s="143"/>
      <c r="FY108" s="146">
        <f>_xlfn.XLOOKUP($E108,'Key assumptions'!$B$112:$B$120,'Key assumptions'!$C$112:$C$120,0)</f>
        <v>0</v>
      </c>
      <c r="FZ108" s="146" cm="1">
        <f t="array" ref="FZ108">IF($FY108=0,0,_xlfn.IFS($FY108='Key assumptions'!$C$120,_xlfn.XLOOKUP(LEFT(FZ$7,6),Inflation_Year,Inflation_NominaltoReal),TRUE,_xlfn.XLOOKUP($FY108,Inflation_Year,NominaltoReal)))</f>
        <v>0</v>
      </c>
      <c r="GA108" s="146" cm="1">
        <f t="array" ref="GA108">IF($FY108=0,0,_xlfn.IFS($FY108='Key assumptions'!$C$120,_xlfn.XLOOKUP(LEFT(GA$7,6),Inflation_Year,Inflation_NominaltoReal),TRUE,_xlfn.XLOOKUP($FY108,Inflation_Year,NominaltoReal)))</f>
        <v>0</v>
      </c>
      <c r="GB108" s="146" cm="1">
        <f t="array" ref="GB108">IF($FY108=0,0,_xlfn.IFS($FY108='Key assumptions'!$C$120,_xlfn.XLOOKUP(LEFT(GB$7,6),Inflation_Year,Inflation_NominaltoReal),TRUE,_xlfn.XLOOKUP($FY108,Inflation_Year,NominaltoReal)))</f>
        <v>0</v>
      </c>
      <c r="GC108" s="146" cm="1">
        <f t="array" ref="GC108">IF($FY108=0,0,_xlfn.IFS($FY108='Key assumptions'!$C$120,_xlfn.XLOOKUP(LEFT(GC$7,6),Inflation_Year,Inflation_NominaltoReal),TRUE,_xlfn.XLOOKUP($FY108,Inflation_Year,NominaltoReal)))</f>
        <v>0</v>
      </c>
      <c r="GD108" s="146" cm="1">
        <f t="array" ref="GD108">IF($FY108=0,0,_xlfn.IFS($FY108='Key assumptions'!$C$120,_xlfn.XLOOKUP(LEFT(GD$7,6),Inflation_Year,Inflation_NominaltoReal),TRUE,_xlfn.XLOOKUP($FY108,Inflation_Year,NominaltoReal)))</f>
        <v>0</v>
      </c>
      <c r="GE108" s="146" cm="1">
        <f t="array" ref="GE108">IF($FY108=0,0,_xlfn.IFS($FY108='Key assumptions'!$C$120,_xlfn.XLOOKUP(LEFT(GE$7,6),Inflation_Year,Inflation_NominaltoReal),TRUE,_xlfn.XLOOKUP($FY108,Inflation_Year,NominaltoReal)))</f>
        <v>0</v>
      </c>
      <c r="GF108" s="146" cm="1">
        <f t="array" ref="GF108">IF($FY108=0,0,_xlfn.IFS($FY108='Key assumptions'!$C$120,_xlfn.XLOOKUP(LEFT(GF$7,6),Inflation_Year,Inflation_NominaltoReal),TRUE,_xlfn.XLOOKUP($FY108,Inflation_Year,NominaltoReal)))</f>
        <v>0</v>
      </c>
      <c r="GG108" s="143"/>
      <c r="GH108" s="145" cm="1">
        <f t="array" ref="GH108">SUMPRODUCT(--($CR$7:$FW$7&gt;=GH$5),--($CR$7:$FW$7&lt;=GH$6),$CR108:$FW108)*FZ108</f>
        <v>0</v>
      </c>
      <c r="GI108" s="145" cm="1">
        <f t="array" ref="GI108">SUMPRODUCT(--($CR$7:$FW$7&gt;=GI$5),--($CR$7:$FW$7&lt;=GI$6),$CR108:$FW108)*GA108</f>
        <v>0</v>
      </c>
      <c r="GJ108" s="145" cm="1">
        <f t="array" ref="GJ108">SUMPRODUCT(--($CR$7:$FW$7&gt;=GJ$5),--($CR$7:$FW$7&lt;=GJ$6),$CR108:$FW108)*GB108</f>
        <v>0</v>
      </c>
      <c r="GK108" s="145" cm="1">
        <f t="array" ref="GK108">SUMPRODUCT(--($CR$7:$FW$7&gt;=GK$5),--($CR$7:$FW$7&lt;=GK$6),$CR108:$FW108)*GC108</f>
        <v>0</v>
      </c>
      <c r="GL108" s="145" cm="1">
        <f t="array" ref="GL108">SUMPRODUCT(--($CR$7:$FW$7&gt;=GL$5),--($CR$7:$FW$7&lt;=GL$6),$CR108:$FW108)*GD108</f>
        <v>0</v>
      </c>
      <c r="GM108" s="145" cm="1">
        <f t="array" ref="GM108">SUMPRODUCT(--($CR$7:$FW$7&gt;=GM$5),--($CR$7:$FW$7&lt;=GM$6),$CR108:$FW108)*GE108</f>
        <v>0</v>
      </c>
      <c r="GN108" s="145" cm="1">
        <f t="array" ref="GN108">SUMPRODUCT(--($CR$7:$FW$7&gt;=GN$5),--($CR$7:$FW$7&lt;=GN$6),$CR108:$FW108)*GF108</f>
        <v>0</v>
      </c>
      <c r="GO108" s="145">
        <f t="shared" si="1"/>
        <v>0</v>
      </c>
      <c r="GP108" s="87"/>
      <c r="GR108" s="145" cm="1">
        <f t="array" ref="GR108">SUMPRODUCT(--($CR$7:$FW$7&gt;=GR$5),--($CR$7:$FW$7&lt;=GR$6),$CR108:$FW108)</f>
        <v>0</v>
      </c>
    </row>
    <row r="109" spans="2:200" x14ac:dyDescent="0.2">
      <c r="B109" s="141"/>
      <c r="C109" s="141"/>
      <c r="D109" s="141"/>
      <c r="E109" s="141"/>
      <c r="F109" s="141"/>
      <c r="G109" s="141"/>
      <c r="H109" s="142"/>
      <c r="I109" s="126"/>
      <c r="J109" s="143"/>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3"/>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5"/>
      <c r="EU109" s="145"/>
      <c r="EV109" s="145"/>
      <c r="EW109" s="145"/>
      <c r="EX109" s="145"/>
      <c r="EY109" s="145"/>
      <c r="EZ109" s="145"/>
      <c r="FA109" s="145"/>
      <c r="FB109" s="145"/>
      <c r="FC109" s="145"/>
      <c r="FD109" s="145"/>
      <c r="FE109" s="145"/>
      <c r="FF109" s="145"/>
      <c r="FG109" s="145"/>
      <c r="FH109" s="145"/>
      <c r="FI109" s="145"/>
      <c r="FJ109" s="145"/>
      <c r="FK109" s="145"/>
      <c r="FL109" s="145"/>
      <c r="FM109" s="145"/>
      <c r="FN109" s="145"/>
      <c r="FO109" s="145"/>
      <c r="FP109" s="145"/>
      <c r="FQ109" s="145"/>
      <c r="FR109" s="145"/>
      <c r="FS109" s="145"/>
      <c r="FT109" s="145"/>
      <c r="FU109" s="145"/>
      <c r="FV109" s="145"/>
      <c r="FW109" s="145"/>
      <c r="FX109" s="143"/>
      <c r="FY109" s="146">
        <f>_xlfn.XLOOKUP($E109,'Key assumptions'!$B$112:$B$120,'Key assumptions'!$C$112:$C$120,0)</f>
        <v>0</v>
      </c>
      <c r="FZ109" s="146" cm="1">
        <f t="array" ref="FZ109">IF($FY109=0,0,_xlfn.IFS($FY109='Key assumptions'!$C$120,_xlfn.XLOOKUP(LEFT(FZ$7,6),Inflation_Year,Inflation_NominaltoReal),TRUE,_xlfn.XLOOKUP($FY109,Inflation_Year,NominaltoReal)))</f>
        <v>0</v>
      </c>
      <c r="GA109" s="146" cm="1">
        <f t="array" ref="GA109">IF($FY109=0,0,_xlfn.IFS($FY109='Key assumptions'!$C$120,_xlfn.XLOOKUP(LEFT(GA$7,6),Inflation_Year,Inflation_NominaltoReal),TRUE,_xlfn.XLOOKUP($FY109,Inflation_Year,NominaltoReal)))</f>
        <v>0</v>
      </c>
      <c r="GB109" s="146" cm="1">
        <f t="array" ref="GB109">IF($FY109=0,0,_xlfn.IFS($FY109='Key assumptions'!$C$120,_xlfn.XLOOKUP(LEFT(GB$7,6),Inflation_Year,Inflation_NominaltoReal),TRUE,_xlfn.XLOOKUP($FY109,Inflation_Year,NominaltoReal)))</f>
        <v>0</v>
      </c>
      <c r="GC109" s="146" cm="1">
        <f t="array" ref="GC109">IF($FY109=0,0,_xlfn.IFS($FY109='Key assumptions'!$C$120,_xlfn.XLOOKUP(LEFT(GC$7,6),Inflation_Year,Inflation_NominaltoReal),TRUE,_xlfn.XLOOKUP($FY109,Inflation_Year,NominaltoReal)))</f>
        <v>0</v>
      </c>
      <c r="GD109" s="146" cm="1">
        <f t="array" ref="GD109">IF($FY109=0,0,_xlfn.IFS($FY109='Key assumptions'!$C$120,_xlfn.XLOOKUP(LEFT(GD$7,6),Inflation_Year,Inflation_NominaltoReal),TRUE,_xlfn.XLOOKUP($FY109,Inflation_Year,NominaltoReal)))</f>
        <v>0</v>
      </c>
      <c r="GE109" s="146" cm="1">
        <f t="array" ref="GE109">IF($FY109=0,0,_xlfn.IFS($FY109='Key assumptions'!$C$120,_xlfn.XLOOKUP(LEFT(GE$7,6),Inflation_Year,Inflation_NominaltoReal),TRUE,_xlfn.XLOOKUP($FY109,Inflation_Year,NominaltoReal)))</f>
        <v>0</v>
      </c>
      <c r="GF109" s="146" cm="1">
        <f t="array" ref="GF109">IF($FY109=0,0,_xlfn.IFS($FY109='Key assumptions'!$C$120,_xlfn.XLOOKUP(LEFT(GF$7,6),Inflation_Year,Inflation_NominaltoReal),TRUE,_xlfn.XLOOKUP($FY109,Inflation_Year,NominaltoReal)))</f>
        <v>0</v>
      </c>
      <c r="GG109" s="143"/>
      <c r="GH109" s="145" cm="1">
        <f t="array" ref="GH109">SUMPRODUCT(--($CR$7:$FW$7&gt;=GH$5),--($CR$7:$FW$7&lt;=GH$6),$CR109:$FW109)*FZ109</f>
        <v>0</v>
      </c>
      <c r="GI109" s="145" cm="1">
        <f t="array" ref="GI109">SUMPRODUCT(--($CR$7:$FW$7&gt;=GI$5),--($CR$7:$FW$7&lt;=GI$6),$CR109:$FW109)*GA109</f>
        <v>0</v>
      </c>
      <c r="GJ109" s="145" cm="1">
        <f t="array" ref="GJ109">SUMPRODUCT(--($CR$7:$FW$7&gt;=GJ$5),--($CR$7:$FW$7&lt;=GJ$6),$CR109:$FW109)*GB109</f>
        <v>0</v>
      </c>
      <c r="GK109" s="145" cm="1">
        <f t="array" ref="GK109">SUMPRODUCT(--($CR$7:$FW$7&gt;=GK$5),--($CR$7:$FW$7&lt;=GK$6),$CR109:$FW109)*GC109</f>
        <v>0</v>
      </c>
      <c r="GL109" s="145" cm="1">
        <f t="array" ref="GL109">SUMPRODUCT(--($CR$7:$FW$7&gt;=GL$5),--($CR$7:$FW$7&lt;=GL$6),$CR109:$FW109)*GD109</f>
        <v>0</v>
      </c>
      <c r="GM109" s="145" cm="1">
        <f t="array" ref="GM109">SUMPRODUCT(--($CR$7:$FW$7&gt;=GM$5),--($CR$7:$FW$7&lt;=GM$6),$CR109:$FW109)*GE109</f>
        <v>0</v>
      </c>
      <c r="GN109" s="145" cm="1">
        <f t="array" ref="GN109">SUMPRODUCT(--($CR$7:$FW$7&gt;=GN$5),--($CR$7:$FW$7&lt;=GN$6),$CR109:$FW109)*GF109</f>
        <v>0</v>
      </c>
      <c r="GO109" s="145">
        <f t="shared" si="1"/>
        <v>0</v>
      </c>
      <c r="GP109" s="87"/>
      <c r="GR109" s="145" cm="1">
        <f t="array" ref="GR109">SUMPRODUCT(--($CR$7:$FW$7&gt;=GR$5),--($CR$7:$FW$7&lt;=GR$6),$CR109:$FW109)</f>
        <v>0</v>
      </c>
    </row>
    <row r="110" spans="2:200" x14ac:dyDescent="0.2">
      <c r="B110" s="141"/>
      <c r="C110" s="141"/>
      <c r="D110" s="141"/>
      <c r="E110" s="141"/>
      <c r="F110" s="141"/>
      <c r="G110" s="141"/>
      <c r="H110" s="142"/>
      <c r="I110" s="126"/>
      <c r="J110" s="143"/>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3"/>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c r="EE110" s="145"/>
      <c r="EF110" s="145"/>
      <c r="EG110" s="145"/>
      <c r="EH110" s="145"/>
      <c r="EI110" s="145"/>
      <c r="EJ110" s="145"/>
      <c r="EK110" s="145"/>
      <c r="EL110" s="145"/>
      <c r="EM110" s="145"/>
      <c r="EN110" s="145"/>
      <c r="EO110" s="145"/>
      <c r="EP110" s="145"/>
      <c r="EQ110" s="145"/>
      <c r="ER110" s="145"/>
      <c r="ES110" s="145"/>
      <c r="ET110" s="145"/>
      <c r="EU110" s="145"/>
      <c r="EV110" s="145"/>
      <c r="EW110" s="145"/>
      <c r="EX110" s="145"/>
      <c r="EY110" s="145"/>
      <c r="EZ110" s="145"/>
      <c r="FA110" s="145"/>
      <c r="FB110" s="145"/>
      <c r="FC110" s="145"/>
      <c r="FD110" s="145"/>
      <c r="FE110" s="145"/>
      <c r="FF110" s="145"/>
      <c r="FG110" s="145"/>
      <c r="FH110" s="145"/>
      <c r="FI110" s="145"/>
      <c r="FJ110" s="145"/>
      <c r="FK110" s="145"/>
      <c r="FL110" s="145"/>
      <c r="FM110" s="145"/>
      <c r="FN110" s="145"/>
      <c r="FO110" s="145"/>
      <c r="FP110" s="145"/>
      <c r="FQ110" s="145"/>
      <c r="FR110" s="145"/>
      <c r="FS110" s="145"/>
      <c r="FT110" s="145"/>
      <c r="FU110" s="145"/>
      <c r="FV110" s="145"/>
      <c r="FW110" s="145"/>
      <c r="FX110" s="143"/>
      <c r="FY110" s="146">
        <f>_xlfn.XLOOKUP($E110,'Key assumptions'!$B$112:$B$120,'Key assumptions'!$C$112:$C$120,0)</f>
        <v>0</v>
      </c>
      <c r="FZ110" s="146" cm="1">
        <f t="array" ref="FZ110">IF($FY110=0,0,_xlfn.IFS($FY110='Key assumptions'!$C$120,_xlfn.XLOOKUP(LEFT(FZ$7,6),Inflation_Year,Inflation_NominaltoReal),TRUE,_xlfn.XLOOKUP($FY110,Inflation_Year,NominaltoReal)))</f>
        <v>0</v>
      </c>
      <c r="GA110" s="146" cm="1">
        <f t="array" ref="GA110">IF($FY110=0,0,_xlfn.IFS($FY110='Key assumptions'!$C$120,_xlfn.XLOOKUP(LEFT(GA$7,6),Inflation_Year,Inflation_NominaltoReal),TRUE,_xlfn.XLOOKUP($FY110,Inflation_Year,NominaltoReal)))</f>
        <v>0</v>
      </c>
      <c r="GB110" s="146" cm="1">
        <f t="array" ref="GB110">IF($FY110=0,0,_xlfn.IFS($FY110='Key assumptions'!$C$120,_xlfn.XLOOKUP(LEFT(GB$7,6),Inflation_Year,Inflation_NominaltoReal),TRUE,_xlfn.XLOOKUP($FY110,Inflation_Year,NominaltoReal)))</f>
        <v>0</v>
      </c>
      <c r="GC110" s="146" cm="1">
        <f t="array" ref="GC110">IF($FY110=0,0,_xlfn.IFS($FY110='Key assumptions'!$C$120,_xlfn.XLOOKUP(LEFT(GC$7,6),Inflation_Year,Inflation_NominaltoReal),TRUE,_xlfn.XLOOKUP($FY110,Inflation_Year,NominaltoReal)))</f>
        <v>0</v>
      </c>
      <c r="GD110" s="146" cm="1">
        <f t="array" ref="GD110">IF($FY110=0,0,_xlfn.IFS($FY110='Key assumptions'!$C$120,_xlfn.XLOOKUP(LEFT(GD$7,6),Inflation_Year,Inflation_NominaltoReal),TRUE,_xlfn.XLOOKUP($FY110,Inflation_Year,NominaltoReal)))</f>
        <v>0</v>
      </c>
      <c r="GE110" s="146" cm="1">
        <f t="array" ref="GE110">IF($FY110=0,0,_xlfn.IFS($FY110='Key assumptions'!$C$120,_xlfn.XLOOKUP(LEFT(GE$7,6),Inflation_Year,Inflation_NominaltoReal),TRUE,_xlfn.XLOOKUP($FY110,Inflation_Year,NominaltoReal)))</f>
        <v>0</v>
      </c>
      <c r="GF110" s="146" cm="1">
        <f t="array" ref="GF110">IF($FY110=0,0,_xlfn.IFS($FY110='Key assumptions'!$C$120,_xlfn.XLOOKUP(LEFT(GF$7,6),Inflation_Year,Inflation_NominaltoReal),TRUE,_xlfn.XLOOKUP($FY110,Inflation_Year,NominaltoReal)))</f>
        <v>0</v>
      </c>
      <c r="GG110" s="143"/>
      <c r="GH110" s="145" cm="1">
        <f t="array" ref="GH110">SUMPRODUCT(--($CR$7:$FW$7&gt;=GH$5),--($CR$7:$FW$7&lt;=GH$6),$CR110:$FW110)*FZ110</f>
        <v>0</v>
      </c>
      <c r="GI110" s="145" cm="1">
        <f t="array" ref="GI110">SUMPRODUCT(--($CR$7:$FW$7&gt;=GI$5),--($CR$7:$FW$7&lt;=GI$6),$CR110:$FW110)*GA110</f>
        <v>0</v>
      </c>
      <c r="GJ110" s="145" cm="1">
        <f t="array" ref="GJ110">SUMPRODUCT(--($CR$7:$FW$7&gt;=GJ$5),--($CR$7:$FW$7&lt;=GJ$6),$CR110:$FW110)*GB110</f>
        <v>0</v>
      </c>
      <c r="GK110" s="145" cm="1">
        <f t="array" ref="GK110">SUMPRODUCT(--($CR$7:$FW$7&gt;=GK$5),--($CR$7:$FW$7&lt;=GK$6),$CR110:$FW110)*GC110</f>
        <v>0</v>
      </c>
      <c r="GL110" s="145" cm="1">
        <f t="array" ref="GL110">SUMPRODUCT(--($CR$7:$FW$7&gt;=GL$5),--($CR$7:$FW$7&lt;=GL$6),$CR110:$FW110)*GD110</f>
        <v>0</v>
      </c>
      <c r="GM110" s="145" cm="1">
        <f t="array" ref="GM110">SUMPRODUCT(--($CR$7:$FW$7&gt;=GM$5),--($CR$7:$FW$7&lt;=GM$6),$CR110:$FW110)*GE110</f>
        <v>0</v>
      </c>
      <c r="GN110" s="145" cm="1">
        <f t="array" ref="GN110">SUMPRODUCT(--($CR$7:$FW$7&gt;=GN$5),--($CR$7:$FW$7&lt;=GN$6),$CR110:$FW110)*GF110</f>
        <v>0</v>
      </c>
      <c r="GO110" s="145">
        <f t="shared" si="1"/>
        <v>0</v>
      </c>
      <c r="GP110" s="87"/>
      <c r="GR110" s="145" cm="1">
        <f t="array" ref="GR110">SUMPRODUCT(--($CR$7:$FW$7&gt;=GR$5),--($CR$7:$FW$7&lt;=GR$6),$CR110:$FW110)</f>
        <v>0</v>
      </c>
    </row>
    <row r="111" spans="2:200" x14ac:dyDescent="0.2">
      <c r="B111" s="141"/>
      <c r="C111" s="141"/>
      <c r="D111" s="141"/>
      <c r="E111" s="141"/>
      <c r="F111" s="141"/>
      <c r="G111" s="141"/>
      <c r="H111" s="142"/>
      <c r="I111" s="126"/>
      <c r="J111" s="143"/>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3"/>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c r="EE111" s="145"/>
      <c r="EF111" s="145"/>
      <c r="EG111" s="145"/>
      <c r="EH111" s="145"/>
      <c r="EI111" s="145"/>
      <c r="EJ111" s="145"/>
      <c r="EK111" s="145"/>
      <c r="EL111" s="145"/>
      <c r="EM111" s="145"/>
      <c r="EN111" s="145"/>
      <c r="EO111" s="145"/>
      <c r="EP111" s="145"/>
      <c r="EQ111" s="145"/>
      <c r="ER111" s="145"/>
      <c r="ES111" s="145"/>
      <c r="ET111" s="145"/>
      <c r="EU111" s="145"/>
      <c r="EV111" s="145"/>
      <c r="EW111" s="145"/>
      <c r="EX111" s="145"/>
      <c r="EY111" s="145"/>
      <c r="EZ111" s="145"/>
      <c r="FA111" s="145"/>
      <c r="FB111" s="145"/>
      <c r="FC111" s="145"/>
      <c r="FD111" s="145"/>
      <c r="FE111" s="145"/>
      <c r="FF111" s="145"/>
      <c r="FG111" s="145"/>
      <c r="FH111" s="145"/>
      <c r="FI111" s="145"/>
      <c r="FJ111" s="145"/>
      <c r="FK111" s="145"/>
      <c r="FL111" s="145"/>
      <c r="FM111" s="145"/>
      <c r="FN111" s="145"/>
      <c r="FO111" s="145"/>
      <c r="FP111" s="145"/>
      <c r="FQ111" s="145"/>
      <c r="FR111" s="145"/>
      <c r="FS111" s="145"/>
      <c r="FT111" s="145"/>
      <c r="FU111" s="145"/>
      <c r="FV111" s="145"/>
      <c r="FW111" s="145"/>
      <c r="FX111" s="143"/>
      <c r="FY111" s="146">
        <f>_xlfn.XLOOKUP($E111,'Key assumptions'!$B$112:$B$120,'Key assumptions'!$C$112:$C$120,0)</f>
        <v>0</v>
      </c>
      <c r="FZ111" s="146" cm="1">
        <f t="array" ref="FZ111">IF($FY111=0,0,_xlfn.IFS($FY111='Key assumptions'!$C$120,_xlfn.XLOOKUP(LEFT(FZ$7,6),Inflation_Year,Inflation_NominaltoReal),TRUE,_xlfn.XLOOKUP($FY111,Inflation_Year,NominaltoReal)))</f>
        <v>0</v>
      </c>
      <c r="GA111" s="146" cm="1">
        <f t="array" ref="GA111">IF($FY111=0,0,_xlfn.IFS($FY111='Key assumptions'!$C$120,_xlfn.XLOOKUP(LEFT(GA$7,6),Inflation_Year,Inflation_NominaltoReal),TRUE,_xlfn.XLOOKUP($FY111,Inflation_Year,NominaltoReal)))</f>
        <v>0</v>
      </c>
      <c r="GB111" s="146" cm="1">
        <f t="array" ref="GB111">IF($FY111=0,0,_xlfn.IFS($FY111='Key assumptions'!$C$120,_xlfn.XLOOKUP(LEFT(GB$7,6),Inflation_Year,Inflation_NominaltoReal),TRUE,_xlfn.XLOOKUP($FY111,Inflation_Year,NominaltoReal)))</f>
        <v>0</v>
      </c>
      <c r="GC111" s="146" cm="1">
        <f t="array" ref="GC111">IF($FY111=0,0,_xlfn.IFS($FY111='Key assumptions'!$C$120,_xlfn.XLOOKUP(LEFT(GC$7,6),Inflation_Year,Inflation_NominaltoReal),TRUE,_xlfn.XLOOKUP($FY111,Inflation_Year,NominaltoReal)))</f>
        <v>0</v>
      </c>
      <c r="GD111" s="146" cm="1">
        <f t="array" ref="GD111">IF($FY111=0,0,_xlfn.IFS($FY111='Key assumptions'!$C$120,_xlfn.XLOOKUP(LEFT(GD$7,6),Inflation_Year,Inflation_NominaltoReal),TRUE,_xlfn.XLOOKUP($FY111,Inflation_Year,NominaltoReal)))</f>
        <v>0</v>
      </c>
      <c r="GE111" s="146" cm="1">
        <f t="array" ref="GE111">IF($FY111=0,0,_xlfn.IFS($FY111='Key assumptions'!$C$120,_xlfn.XLOOKUP(LEFT(GE$7,6),Inflation_Year,Inflation_NominaltoReal),TRUE,_xlfn.XLOOKUP($FY111,Inflation_Year,NominaltoReal)))</f>
        <v>0</v>
      </c>
      <c r="GF111" s="146" cm="1">
        <f t="array" ref="GF111">IF($FY111=0,0,_xlfn.IFS($FY111='Key assumptions'!$C$120,_xlfn.XLOOKUP(LEFT(GF$7,6),Inflation_Year,Inflation_NominaltoReal),TRUE,_xlfn.XLOOKUP($FY111,Inflation_Year,NominaltoReal)))</f>
        <v>0</v>
      </c>
      <c r="GG111" s="143"/>
      <c r="GH111" s="145" cm="1">
        <f t="array" ref="GH111">SUMPRODUCT(--($CR$7:$FW$7&gt;=GH$5),--($CR$7:$FW$7&lt;=GH$6),$CR111:$FW111)*FZ111</f>
        <v>0</v>
      </c>
      <c r="GI111" s="145" cm="1">
        <f t="array" ref="GI111">SUMPRODUCT(--($CR$7:$FW$7&gt;=GI$5),--($CR$7:$FW$7&lt;=GI$6),$CR111:$FW111)*GA111</f>
        <v>0</v>
      </c>
      <c r="GJ111" s="145" cm="1">
        <f t="array" ref="GJ111">SUMPRODUCT(--($CR$7:$FW$7&gt;=GJ$5),--($CR$7:$FW$7&lt;=GJ$6),$CR111:$FW111)*GB111</f>
        <v>0</v>
      </c>
      <c r="GK111" s="145" cm="1">
        <f t="array" ref="GK111">SUMPRODUCT(--($CR$7:$FW$7&gt;=GK$5),--($CR$7:$FW$7&lt;=GK$6),$CR111:$FW111)*GC111</f>
        <v>0</v>
      </c>
      <c r="GL111" s="145" cm="1">
        <f t="array" ref="GL111">SUMPRODUCT(--($CR$7:$FW$7&gt;=GL$5),--($CR$7:$FW$7&lt;=GL$6),$CR111:$FW111)*GD111</f>
        <v>0</v>
      </c>
      <c r="GM111" s="145" cm="1">
        <f t="array" ref="GM111">SUMPRODUCT(--($CR$7:$FW$7&gt;=GM$5),--($CR$7:$FW$7&lt;=GM$6),$CR111:$FW111)*GE111</f>
        <v>0</v>
      </c>
      <c r="GN111" s="145" cm="1">
        <f t="array" ref="GN111">SUMPRODUCT(--($CR$7:$FW$7&gt;=GN$5),--($CR$7:$FW$7&lt;=GN$6),$CR111:$FW111)*GF111</f>
        <v>0</v>
      </c>
      <c r="GO111" s="145">
        <f t="shared" si="1"/>
        <v>0</v>
      </c>
      <c r="GP111" s="87"/>
      <c r="GR111" s="145" cm="1">
        <f t="array" ref="GR111">SUMPRODUCT(--($CR$7:$FW$7&gt;=GR$5),--($CR$7:$FW$7&lt;=GR$6),$CR111:$FW111)</f>
        <v>0</v>
      </c>
    </row>
    <row r="112" spans="2:200" x14ac:dyDescent="0.2">
      <c r="B112" s="141"/>
      <c r="C112" s="141"/>
      <c r="D112" s="141"/>
      <c r="E112" s="141"/>
      <c r="F112" s="141"/>
      <c r="G112" s="141"/>
      <c r="H112" s="142"/>
      <c r="I112" s="126"/>
      <c r="J112" s="143"/>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3"/>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c r="EE112" s="145"/>
      <c r="EF112" s="145"/>
      <c r="EG112" s="145"/>
      <c r="EH112" s="145"/>
      <c r="EI112" s="145"/>
      <c r="EJ112" s="145"/>
      <c r="EK112" s="145"/>
      <c r="EL112" s="145"/>
      <c r="EM112" s="145"/>
      <c r="EN112" s="145"/>
      <c r="EO112" s="145"/>
      <c r="EP112" s="145"/>
      <c r="EQ112" s="145"/>
      <c r="ER112" s="145"/>
      <c r="ES112" s="145"/>
      <c r="ET112" s="145"/>
      <c r="EU112" s="145"/>
      <c r="EV112" s="145"/>
      <c r="EW112" s="145"/>
      <c r="EX112" s="145"/>
      <c r="EY112" s="145"/>
      <c r="EZ112" s="145"/>
      <c r="FA112" s="145"/>
      <c r="FB112" s="145"/>
      <c r="FC112" s="145"/>
      <c r="FD112" s="145"/>
      <c r="FE112" s="145"/>
      <c r="FF112" s="145"/>
      <c r="FG112" s="145"/>
      <c r="FH112" s="145"/>
      <c r="FI112" s="145"/>
      <c r="FJ112" s="145"/>
      <c r="FK112" s="145"/>
      <c r="FL112" s="145"/>
      <c r="FM112" s="145"/>
      <c r="FN112" s="145"/>
      <c r="FO112" s="145"/>
      <c r="FP112" s="145"/>
      <c r="FQ112" s="145"/>
      <c r="FR112" s="145"/>
      <c r="FS112" s="145"/>
      <c r="FT112" s="145"/>
      <c r="FU112" s="145"/>
      <c r="FV112" s="145"/>
      <c r="FW112" s="145"/>
      <c r="FX112" s="143"/>
      <c r="FY112" s="146">
        <f>_xlfn.XLOOKUP($E112,'Key assumptions'!$B$112:$B$120,'Key assumptions'!$C$112:$C$120,0)</f>
        <v>0</v>
      </c>
      <c r="FZ112" s="146" cm="1">
        <f t="array" ref="FZ112">IF($FY112=0,0,_xlfn.IFS($FY112='Key assumptions'!$C$120,_xlfn.XLOOKUP(LEFT(FZ$7,6),Inflation_Year,Inflation_NominaltoReal),TRUE,_xlfn.XLOOKUP($FY112,Inflation_Year,NominaltoReal)))</f>
        <v>0</v>
      </c>
      <c r="GA112" s="146" cm="1">
        <f t="array" ref="GA112">IF($FY112=0,0,_xlfn.IFS($FY112='Key assumptions'!$C$120,_xlfn.XLOOKUP(LEFT(GA$7,6),Inflation_Year,Inflation_NominaltoReal),TRUE,_xlfn.XLOOKUP($FY112,Inflation_Year,NominaltoReal)))</f>
        <v>0</v>
      </c>
      <c r="GB112" s="146" cm="1">
        <f t="array" ref="GB112">IF($FY112=0,0,_xlfn.IFS($FY112='Key assumptions'!$C$120,_xlfn.XLOOKUP(LEFT(GB$7,6),Inflation_Year,Inflation_NominaltoReal),TRUE,_xlfn.XLOOKUP($FY112,Inflation_Year,NominaltoReal)))</f>
        <v>0</v>
      </c>
      <c r="GC112" s="146" cm="1">
        <f t="array" ref="GC112">IF($FY112=0,0,_xlfn.IFS($FY112='Key assumptions'!$C$120,_xlfn.XLOOKUP(LEFT(GC$7,6),Inflation_Year,Inflation_NominaltoReal),TRUE,_xlfn.XLOOKUP($FY112,Inflation_Year,NominaltoReal)))</f>
        <v>0</v>
      </c>
      <c r="GD112" s="146" cm="1">
        <f t="array" ref="GD112">IF($FY112=0,0,_xlfn.IFS($FY112='Key assumptions'!$C$120,_xlfn.XLOOKUP(LEFT(GD$7,6),Inflation_Year,Inflation_NominaltoReal),TRUE,_xlfn.XLOOKUP($FY112,Inflation_Year,NominaltoReal)))</f>
        <v>0</v>
      </c>
      <c r="GE112" s="146" cm="1">
        <f t="array" ref="GE112">IF($FY112=0,0,_xlfn.IFS($FY112='Key assumptions'!$C$120,_xlfn.XLOOKUP(LEFT(GE$7,6),Inflation_Year,Inflation_NominaltoReal),TRUE,_xlfn.XLOOKUP($FY112,Inflation_Year,NominaltoReal)))</f>
        <v>0</v>
      </c>
      <c r="GF112" s="146" cm="1">
        <f t="array" ref="GF112">IF($FY112=0,0,_xlfn.IFS($FY112='Key assumptions'!$C$120,_xlfn.XLOOKUP(LEFT(GF$7,6),Inflation_Year,Inflation_NominaltoReal),TRUE,_xlfn.XLOOKUP($FY112,Inflation_Year,NominaltoReal)))</f>
        <v>0</v>
      </c>
      <c r="GG112" s="143"/>
      <c r="GH112" s="145" cm="1">
        <f t="array" ref="GH112">SUMPRODUCT(--($CR$7:$FW$7&gt;=GH$5),--($CR$7:$FW$7&lt;=GH$6),$CR112:$FW112)*FZ112</f>
        <v>0</v>
      </c>
      <c r="GI112" s="145" cm="1">
        <f t="array" ref="GI112">SUMPRODUCT(--($CR$7:$FW$7&gt;=GI$5),--($CR$7:$FW$7&lt;=GI$6),$CR112:$FW112)*GA112</f>
        <v>0</v>
      </c>
      <c r="GJ112" s="145" cm="1">
        <f t="array" ref="GJ112">SUMPRODUCT(--($CR$7:$FW$7&gt;=GJ$5),--($CR$7:$FW$7&lt;=GJ$6),$CR112:$FW112)*GB112</f>
        <v>0</v>
      </c>
      <c r="GK112" s="145" cm="1">
        <f t="array" ref="GK112">SUMPRODUCT(--($CR$7:$FW$7&gt;=GK$5),--($CR$7:$FW$7&lt;=GK$6),$CR112:$FW112)*GC112</f>
        <v>0</v>
      </c>
      <c r="GL112" s="145" cm="1">
        <f t="array" ref="GL112">SUMPRODUCT(--($CR$7:$FW$7&gt;=GL$5),--($CR$7:$FW$7&lt;=GL$6),$CR112:$FW112)*GD112</f>
        <v>0</v>
      </c>
      <c r="GM112" s="145" cm="1">
        <f t="array" ref="GM112">SUMPRODUCT(--($CR$7:$FW$7&gt;=GM$5),--($CR$7:$FW$7&lt;=GM$6),$CR112:$FW112)*GE112</f>
        <v>0</v>
      </c>
      <c r="GN112" s="145" cm="1">
        <f t="array" ref="GN112">SUMPRODUCT(--($CR$7:$FW$7&gt;=GN$5),--($CR$7:$FW$7&lt;=GN$6),$CR112:$FW112)*GF112</f>
        <v>0</v>
      </c>
      <c r="GO112" s="145">
        <f t="shared" si="1"/>
        <v>0</v>
      </c>
      <c r="GP112" s="87"/>
      <c r="GR112" s="145" cm="1">
        <f t="array" ref="GR112">SUMPRODUCT(--($CR$7:$FW$7&gt;=GR$5),--($CR$7:$FW$7&lt;=GR$6),$CR112:$FW112)</f>
        <v>0</v>
      </c>
    </row>
    <row r="113" spans="2:200" x14ac:dyDescent="0.2">
      <c r="B113" s="141"/>
      <c r="C113" s="141"/>
      <c r="D113" s="141"/>
      <c r="E113" s="141"/>
      <c r="F113" s="141"/>
      <c r="G113" s="141"/>
      <c r="H113" s="142"/>
      <c r="I113" s="126"/>
      <c r="J113" s="143"/>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3"/>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c r="EE113" s="145"/>
      <c r="EF113" s="145"/>
      <c r="EG113" s="145"/>
      <c r="EH113" s="145"/>
      <c r="EI113" s="145"/>
      <c r="EJ113" s="145"/>
      <c r="EK113" s="145"/>
      <c r="EL113" s="145"/>
      <c r="EM113" s="145"/>
      <c r="EN113" s="145"/>
      <c r="EO113" s="145"/>
      <c r="EP113" s="145"/>
      <c r="EQ113" s="145"/>
      <c r="ER113" s="145"/>
      <c r="ES113" s="145"/>
      <c r="ET113" s="145"/>
      <c r="EU113" s="145"/>
      <c r="EV113" s="145"/>
      <c r="EW113" s="145"/>
      <c r="EX113" s="145"/>
      <c r="EY113" s="145"/>
      <c r="EZ113" s="145"/>
      <c r="FA113" s="145"/>
      <c r="FB113" s="145"/>
      <c r="FC113" s="145"/>
      <c r="FD113" s="145"/>
      <c r="FE113" s="145"/>
      <c r="FF113" s="145"/>
      <c r="FG113" s="145"/>
      <c r="FH113" s="145"/>
      <c r="FI113" s="145"/>
      <c r="FJ113" s="145"/>
      <c r="FK113" s="145"/>
      <c r="FL113" s="145"/>
      <c r="FM113" s="145"/>
      <c r="FN113" s="145"/>
      <c r="FO113" s="145"/>
      <c r="FP113" s="145"/>
      <c r="FQ113" s="145"/>
      <c r="FR113" s="145"/>
      <c r="FS113" s="145"/>
      <c r="FT113" s="145"/>
      <c r="FU113" s="145"/>
      <c r="FV113" s="145"/>
      <c r="FW113" s="145"/>
      <c r="FX113" s="143"/>
      <c r="FY113" s="146">
        <f>_xlfn.XLOOKUP($E113,'Key assumptions'!$B$112:$B$120,'Key assumptions'!$C$112:$C$120,0)</f>
        <v>0</v>
      </c>
      <c r="FZ113" s="146" cm="1">
        <f t="array" ref="FZ113">IF($FY113=0,0,_xlfn.IFS($FY113='Key assumptions'!$C$120,_xlfn.XLOOKUP(LEFT(FZ$7,6),Inflation_Year,Inflation_NominaltoReal),TRUE,_xlfn.XLOOKUP($FY113,Inflation_Year,NominaltoReal)))</f>
        <v>0</v>
      </c>
      <c r="GA113" s="146" cm="1">
        <f t="array" ref="GA113">IF($FY113=0,0,_xlfn.IFS($FY113='Key assumptions'!$C$120,_xlfn.XLOOKUP(LEFT(GA$7,6),Inflation_Year,Inflation_NominaltoReal),TRUE,_xlfn.XLOOKUP($FY113,Inflation_Year,NominaltoReal)))</f>
        <v>0</v>
      </c>
      <c r="GB113" s="146" cm="1">
        <f t="array" ref="GB113">IF($FY113=0,0,_xlfn.IFS($FY113='Key assumptions'!$C$120,_xlfn.XLOOKUP(LEFT(GB$7,6),Inflation_Year,Inflation_NominaltoReal),TRUE,_xlfn.XLOOKUP($FY113,Inflation_Year,NominaltoReal)))</f>
        <v>0</v>
      </c>
      <c r="GC113" s="146" cm="1">
        <f t="array" ref="GC113">IF($FY113=0,0,_xlfn.IFS($FY113='Key assumptions'!$C$120,_xlfn.XLOOKUP(LEFT(GC$7,6),Inflation_Year,Inflation_NominaltoReal),TRUE,_xlfn.XLOOKUP($FY113,Inflation_Year,NominaltoReal)))</f>
        <v>0</v>
      </c>
      <c r="GD113" s="146" cm="1">
        <f t="array" ref="GD113">IF($FY113=0,0,_xlfn.IFS($FY113='Key assumptions'!$C$120,_xlfn.XLOOKUP(LEFT(GD$7,6),Inflation_Year,Inflation_NominaltoReal),TRUE,_xlfn.XLOOKUP($FY113,Inflation_Year,NominaltoReal)))</f>
        <v>0</v>
      </c>
      <c r="GE113" s="146" cm="1">
        <f t="array" ref="GE113">IF($FY113=0,0,_xlfn.IFS($FY113='Key assumptions'!$C$120,_xlfn.XLOOKUP(LEFT(GE$7,6),Inflation_Year,Inflation_NominaltoReal),TRUE,_xlfn.XLOOKUP($FY113,Inflation_Year,NominaltoReal)))</f>
        <v>0</v>
      </c>
      <c r="GF113" s="146" cm="1">
        <f t="array" ref="GF113">IF($FY113=0,0,_xlfn.IFS($FY113='Key assumptions'!$C$120,_xlfn.XLOOKUP(LEFT(GF$7,6),Inflation_Year,Inflation_NominaltoReal),TRUE,_xlfn.XLOOKUP($FY113,Inflation_Year,NominaltoReal)))</f>
        <v>0</v>
      </c>
      <c r="GG113" s="143"/>
      <c r="GH113" s="145" cm="1">
        <f t="array" ref="GH113">SUMPRODUCT(--($CR$7:$FW$7&gt;=GH$5),--($CR$7:$FW$7&lt;=GH$6),$CR113:$FW113)*FZ113</f>
        <v>0</v>
      </c>
      <c r="GI113" s="145" cm="1">
        <f t="array" ref="GI113">SUMPRODUCT(--($CR$7:$FW$7&gt;=GI$5),--($CR$7:$FW$7&lt;=GI$6),$CR113:$FW113)*GA113</f>
        <v>0</v>
      </c>
      <c r="GJ113" s="145" cm="1">
        <f t="array" ref="GJ113">SUMPRODUCT(--($CR$7:$FW$7&gt;=GJ$5),--($CR$7:$FW$7&lt;=GJ$6),$CR113:$FW113)*GB113</f>
        <v>0</v>
      </c>
      <c r="GK113" s="145" cm="1">
        <f t="array" ref="GK113">SUMPRODUCT(--($CR$7:$FW$7&gt;=GK$5),--($CR$7:$FW$7&lt;=GK$6),$CR113:$FW113)*GC113</f>
        <v>0</v>
      </c>
      <c r="GL113" s="145" cm="1">
        <f t="array" ref="GL113">SUMPRODUCT(--($CR$7:$FW$7&gt;=GL$5),--($CR$7:$FW$7&lt;=GL$6),$CR113:$FW113)*GD113</f>
        <v>0</v>
      </c>
      <c r="GM113" s="145" cm="1">
        <f t="array" ref="GM113">SUMPRODUCT(--($CR$7:$FW$7&gt;=GM$5),--($CR$7:$FW$7&lt;=GM$6),$CR113:$FW113)*GE113</f>
        <v>0</v>
      </c>
      <c r="GN113" s="145" cm="1">
        <f t="array" ref="GN113">SUMPRODUCT(--($CR$7:$FW$7&gt;=GN$5),--($CR$7:$FW$7&lt;=GN$6),$CR113:$FW113)*GF113</f>
        <v>0</v>
      </c>
      <c r="GO113" s="145">
        <f t="shared" si="1"/>
        <v>0</v>
      </c>
      <c r="GP113" s="87"/>
      <c r="GR113" s="145" cm="1">
        <f t="array" ref="GR113">SUMPRODUCT(--($CR$7:$FW$7&gt;=GR$5),--($CR$7:$FW$7&lt;=GR$6),$CR113:$FW113)</f>
        <v>0</v>
      </c>
    </row>
    <row r="114" spans="2:200" x14ac:dyDescent="0.2">
      <c r="B114" s="141"/>
      <c r="C114" s="141"/>
      <c r="D114" s="141"/>
      <c r="E114" s="141"/>
      <c r="F114" s="141"/>
      <c r="G114" s="141"/>
      <c r="H114" s="142"/>
      <c r="I114" s="126"/>
      <c r="J114" s="143"/>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3"/>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c r="EE114" s="145"/>
      <c r="EF114" s="145"/>
      <c r="EG114" s="145"/>
      <c r="EH114" s="145"/>
      <c r="EI114" s="145"/>
      <c r="EJ114" s="145"/>
      <c r="EK114" s="145"/>
      <c r="EL114" s="145"/>
      <c r="EM114" s="145"/>
      <c r="EN114" s="145"/>
      <c r="EO114" s="145"/>
      <c r="EP114" s="145"/>
      <c r="EQ114" s="145"/>
      <c r="ER114" s="145"/>
      <c r="ES114" s="145"/>
      <c r="ET114" s="145"/>
      <c r="EU114" s="145"/>
      <c r="EV114" s="145"/>
      <c r="EW114" s="145"/>
      <c r="EX114" s="145"/>
      <c r="EY114" s="145"/>
      <c r="EZ114" s="145"/>
      <c r="FA114" s="145"/>
      <c r="FB114" s="145"/>
      <c r="FC114" s="145"/>
      <c r="FD114" s="145"/>
      <c r="FE114" s="145"/>
      <c r="FF114" s="145"/>
      <c r="FG114" s="145"/>
      <c r="FH114" s="145"/>
      <c r="FI114" s="145"/>
      <c r="FJ114" s="145"/>
      <c r="FK114" s="145"/>
      <c r="FL114" s="145"/>
      <c r="FM114" s="145"/>
      <c r="FN114" s="145"/>
      <c r="FO114" s="145"/>
      <c r="FP114" s="145"/>
      <c r="FQ114" s="145"/>
      <c r="FR114" s="145"/>
      <c r="FS114" s="145"/>
      <c r="FT114" s="145"/>
      <c r="FU114" s="145"/>
      <c r="FV114" s="145"/>
      <c r="FW114" s="145"/>
      <c r="FX114" s="143"/>
      <c r="FY114" s="146">
        <f>_xlfn.XLOOKUP($E114,'Key assumptions'!$B$112:$B$120,'Key assumptions'!$C$112:$C$120,0)</f>
        <v>0</v>
      </c>
      <c r="FZ114" s="146" cm="1">
        <f t="array" ref="FZ114">IF($FY114=0,0,_xlfn.IFS($FY114='Key assumptions'!$C$120,_xlfn.XLOOKUP(LEFT(FZ$7,6),Inflation_Year,Inflation_NominaltoReal),TRUE,_xlfn.XLOOKUP($FY114,Inflation_Year,NominaltoReal)))</f>
        <v>0</v>
      </c>
      <c r="GA114" s="146" cm="1">
        <f t="array" ref="GA114">IF($FY114=0,0,_xlfn.IFS($FY114='Key assumptions'!$C$120,_xlfn.XLOOKUP(LEFT(GA$7,6),Inflation_Year,Inflation_NominaltoReal),TRUE,_xlfn.XLOOKUP($FY114,Inflation_Year,NominaltoReal)))</f>
        <v>0</v>
      </c>
      <c r="GB114" s="146" cm="1">
        <f t="array" ref="GB114">IF($FY114=0,0,_xlfn.IFS($FY114='Key assumptions'!$C$120,_xlfn.XLOOKUP(LEFT(GB$7,6),Inflation_Year,Inflation_NominaltoReal),TRUE,_xlfn.XLOOKUP($FY114,Inflation_Year,NominaltoReal)))</f>
        <v>0</v>
      </c>
      <c r="GC114" s="146" cm="1">
        <f t="array" ref="GC114">IF($FY114=0,0,_xlfn.IFS($FY114='Key assumptions'!$C$120,_xlfn.XLOOKUP(LEFT(GC$7,6),Inflation_Year,Inflation_NominaltoReal),TRUE,_xlfn.XLOOKUP($FY114,Inflation_Year,NominaltoReal)))</f>
        <v>0</v>
      </c>
      <c r="GD114" s="146" cm="1">
        <f t="array" ref="GD114">IF($FY114=0,0,_xlfn.IFS($FY114='Key assumptions'!$C$120,_xlfn.XLOOKUP(LEFT(GD$7,6),Inflation_Year,Inflation_NominaltoReal),TRUE,_xlfn.XLOOKUP($FY114,Inflation_Year,NominaltoReal)))</f>
        <v>0</v>
      </c>
      <c r="GE114" s="146" cm="1">
        <f t="array" ref="GE114">IF($FY114=0,0,_xlfn.IFS($FY114='Key assumptions'!$C$120,_xlfn.XLOOKUP(LEFT(GE$7,6),Inflation_Year,Inflation_NominaltoReal),TRUE,_xlfn.XLOOKUP($FY114,Inflation_Year,NominaltoReal)))</f>
        <v>0</v>
      </c>
      <c r="GF114" s="146" cm="1">
        <f t="array" ref="GF114">IF($FY114=0,0,_xlfn.IFS($FY114='Key assumptions'!$C$120,_xlfn.XLOOKUP(LEFT(GF$7,6),Inflation_Year,Inflation_NominaltoReal),TRUE,_xlfn.XLOOKUP($FY114,Inflation_Year,NominaltoReal)))</f>
        <v>0</v>
      </c>
      <c r="GG114" s="143"/>
      <c r="GH114" s="145" cm="1">
        <f t="array" ref="GH114">SUMPRODUCT(--($CR$7:$FW$7&gt;=GH$5),--($CR$7:$FW$7&lt;=GH$6),$CR114:$FW114)*FZ114</f>
        <v>0</v>
      </c>
      <c r="GI114" s="145" cm="1">
        <f t="array" ref="GI114">SUMPRODUCT(--($CR$7:$FW$7&gt;=GI$5),--($CR$7:$FW$7&lt;=GI$6),$CR114:$FW114)*GA114</f>
        <v>0</v>
      </c>
      <c r="GJ114" s="145" cm="1">
        <f t="array" ref="GJ114">SUMPRODUCT(--($CR$7:$FW$7&gt;=GJ$5),--($CR$7:$FW$7&lt;=GJ$6),$CR114:$FW114)*GB114</f>
        <v>0</v>
      </c>
      <c r="GK114" s="145" cm="1">
        <f t="array" ref="GK114">SUMPRODUCT(--($CR$7:$FW$7&gt;=GK$5),--($CR$7:$FW$7&lt;=GK$6),$CR114:$FW114)*GC114</f>
        <v>0</v>
      </c>
      <c r="GL114" s="145" cm="1">
        <f t="array" ref="GL114">SUMPRODUCT(--($CR$7:$FW$7&gt;=GL$5),--($CR$7:$FW$7&lt;=GL$6),$CR114:$FW114)*GD114</f>
        <v>0</v>
      </c>
      <c r="GM114" s="145" cm="1">
        <f t="array" ref="GM114">SUMPRODUCT(--($CR$7:$FW$7&gt;=GM$5),--($CR$7:$FW$7&lt;=GM$6),$CR114:$FW114)*GE114</f>
        <v>0</v>
      </c>
      <c r="GN114" s="145" cm="1">
        <f t="array" ref="GN114">SUMPRODUCT(--($CR$7:$FW$7&gt;=GN$5),--($CR$7:$FW$7&lt;=GN$6),$CR114:$FW114)*GF114</f>
        <v>0</v>
      </c>
      <c r="GO114" s="145">
        <f t="shared" si="1"/>
        <v>0</v>
      </c>
      <c r="GP114" s="87"/>
      <c r="GR114" s="145" cm="1">
        <f t="array" ref="GR114">SUMPRODUCT(--($CR$7:$FW$7&gt;=GR$5),--($CR$7:$FW$7&lt;=GR$6),$CR114:$FW114)</f>
        <v>0</v>
      </c>
    </row>
    <row r="115" spans="2:200" x14ac:dyDescent="0.2">
      <c r="B115" s="141"/>
      <c r="C115" s="141"/>
      <c r="D115" s="141"/>
      <c r="E115" s="141"/>
      <c r="F115" s="141"/>
      <c r="G115" s="141"/>
      <c r="H115" s="142"/>
      <c r="I115" s="126"/>
      <c r="J115" s="143"/>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3"/>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c r="EE115" s="145"/>
      <c r="EF115" s="145"/>
      <c r="EG115" s="145"/>
      <c r="EH115" s="145"/>
      <c r="EI115" s="145"/>
      <c r="EJ115" s="145"/>
      <c r="EK115" s="145"/>
      <c r="EL115" s="145"/>
      <c r="EM115" s="145"/>
      <c r="EN115" s="145"/>
      <c r="EO115" s="145"/>
      <c r="EP115" s="145"/>
      <c r="EQ115" s="145"/>
      <c r="ER115" s="145"/>
      <c r="ES115" s="145"/>
      <c r="ET115" s="145"/>
      <c r="EU115" s="145"/>
      <c r="EV115" s="145"/>
      <c r="EW115" s="145"/>
      <c r="EX115" s="145"/>
      <c r="EY115" s="145"/>
      <c r="EZ115" s="145"/>
      <c r="FA115" s="145"/>
      <c r="FB115" s="145"/>
      <c r="FC115" s="145"/>
      <c r="FD115" s="145"/>
      <c r="FE115" s="145"/>
      <c r="FF115" s="145"/>
      <c r="FG115" s="145"/>
      <c r="FH115" s="145"/>
      <c r="FI115" s="145"/>
      <c r="FJ115" s="145"/>
      <c r="FK115" s="145"/>
      <c r="FL115" s="145"/>
      <c r="FM115" s="145"/>
      <c r="FN115" s="145"/>
      <c r="FO115" s="145"/>
      <c r="FP115" s="145"/>
      <c r="FQ115" s="145"/>
      <c r="FR115" s="145"/>
      <c r="FS115" s="145"/>
      <c r="FT115" s="145"/>
      <c r="FU115" s="145"/>
      <c r="FV115" s="145"/>
      <c r="FW115" s="145"/>
      <c r="FX115" s="143"/>
      <c r="FY115" s="146">
        <f>_xlfn.XLOOKUP($E115,'Key assumptions'!$B$112:$B$120,'Key assumptions'!$C$112:$C$120,0)</f>
        <v>0</v>
      </c>
      <c r="FZ115" s="146" cm="1">
        <f t="array" ref="FZ115">IF($FY115=0,0,_xlfn.IFS($FY115='Key assumptions'!$C$120,_xlfn.XLOOKUP(LEFT(FZ$7,6),Inflation_Year,Inflation_NominaltoReal),TRUE,_xlfn.XLOOKUP($FY115,Inflation_Year,NominaltoReal)))</f>
        <v>0</v>
      </c>
      <c r="GA115" s="146" cm="1">
        <f t="array" ref="GA115">IF($FY115=0,0,_xlfn.IFS($FY115='Key assumptions'!$C$120,_xlfn.XLOOKUP(LEFT(GA$7,6),Inflation_Year,Inflation_NominaltoReal),TRUE,_xlfn.XLOOKUP($FY115,Inflation_Year,NominaltoReal)))</f>
        <v>0</v>
      </c>
      <c r="GB115" s="146" cm="1">
        <f t="array" ref="GB115">IF($FY115=0,0,_xlfn.IFS($FY115='Key assumptions'!$C$120,_xlfn.XLOOKUP(LEFT(GB$7,6),Inflation_Year,Inflation_NominaltoReal),TRUE,_xlfn.XLOOKUP($FY115,Inflation_Year,NominaltoReal)))</f>
        <v>0</v>
      </c>
      <c r="GC115" s="146" cm="1">
        <f t="array" ref="GC115">IF($FY115=0,0,_xlfn.IFS($FY115='Key assumptions'!$C$120,_xlfn.XLOOKUP(LEFT(GC$7,6),Inflation_Year,Inflation_NominaltoReal),TRUE,_xlfn.XLOOKUP($FY115,Inflation_Year,NominaltoReal)))</f>
        <v>0</v>
      </c>
      <c r="GD115" s="146" cm="1">
        <f t="array" ref="GD115">IF($FY115=0,0,_xlfn.IFS($FY115='Key assumptions'!$C$120,_xlfn.XLOOKUP(LEFT(GD$7,6),Inflation_Year,Inflation_NominaltoReal),TRUE,_xlfn.XLOOKUP($FY115,Inflation_Year,NominaltoReal)))</f>
        <v>0</v>
      </c>
      <c r="GE115" s="146" cm="1">
        <f t="array" ref="GE115">IF($FY115=0,0,_xlfn.IFS($FY115='Key assumptions'!$C$120,_xlfn.XLOOKUP(LEFT(GE$7,6),Inflation_Year,Inflation_NominaltoReal),TRUE,_xlfn.XLOOKUP($FY115,Inflation_Year,NominaltoReal)))</f>
        <v>0</v>
      </c>
      <c r="GF115" s="146" cm="1">
        <f t="array" ref="GF115">IF($FY115=0,0,_xlfn.IFS($FY115='Key assumptions'!$C$120,_xlfn.XLOOKUP(LEFT(GF$7,6),Inflation_Year,Inflation_NominaltoReal),TRUE,_xlfn.XLOOKUP($FY115,Inflation_Year,NominaltoReal)))</f>
        <v>0</v>
      </c>
      <c r="GG115" s="143"/>
      <c r="GH115" s="145" cm="1">
        <f t="array" ref="GH115">SUMPRODUCT(--($CR$7:$FW$7&gt;=GH$5),--($CR$7:$FW$7&lt;=GH$6),$CR115:$FW115)*FZ115</f>
        <v>0</v>
      </c>
      <c r="GI115" s="145" cm="1">
        <f t="array" ref="GI115">SUMPRODUCT(--($CR$7:$FW$7&gt;=GI$5),--($CR$7:$FW$7&lt;=GI$6),$CR115:$FW115)*GA115</f>
        <v>0</v>
      </c>
      <c r="GJ115" s="145" cm="1">
        <f t="array" ref="GJ115">SUMPRODUCT(--($CR$7:$FW$7&gt;=GJ$5),--($CR$7:$FW$7&lt;=GJ$6),$CR115:$FW115)*GB115</f>
        <v>0</v>
      </c>
      <c r="GK115" s="145" cm="1">
        <f t="array" ref="GK115">SUMPRODUCT(--($CR$7:$FW$7&gt;=GK$5),--($CR$7:$FW$7&lt;=GK$6),$CR115:$FW115)*GC115</f>
        <v>0</v>
      </c>
      <c r="GL115" s="145" cm="1">
        <f t="array" ref="GL115">SUMPRODUCT(--($CR$7:$FW$7&gt;=GL$5),--($CR$7:$FW$7&lt;=GL$6),$CR115:$FW115)*GD115</f>
        <v>0</v>
      </c>
      <c r="GM115" s="145" cm="1">
        <f t="array" ref="GM115">SUMPRODUCT(--($CR$7:$FW$7&gt;=GM$5),--($CR$7:$FW$7&lt;=GM$6),$CR115:$FW115)*GE115</f>
        <v>0</v>
      </c>
      <c r="GN115" s="145" cm="1">
        <f t="array" ref="GN115">SUMPRODUCT(--($CR$7:$FW$7&gt;=GN$5),--($CR$7:$FW$7&lt;=GN$6),$CR115:$FW115)*GF115</f>
        <v>0</v>
      </c>
      <c r="GO115" s="145">
        <f t="shared" si="1"/>
        <v>0</v>
      </c>
      <c r="GP115" s="87"/>
      <c r="GR115" s="145" cm="1">
        <f t="array" ref="GR115">SUMPRODUCT(--($CR$7:$FW$7&gt;=GR$5),--($CR$7:$FW$7&lt;=GR$6),$CR115:$FW115)</f>
        <v>0</v>
      </c>
    </row>
    <row r="116" spans="2:200" x14ac:dyDescent="0.2">
      <c r="B116" s="141"/>
      <c r="C116" s="141"/>
      <c r="D116" s="141"/>
      <c r="E116" s="141"/>
      <c r="F116" s="141"/>
      <c r="G116" s="141"/>
      <c r="H116" s="142"/>
      <c r="I116" s="126"/>
      <c r="J116" s="143"/>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3"/>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c r="EE116" s="145"/>
      <c r="EF116" s="145"/>
      <c r="EG116" s="145"/>
      <c r="EH116" s="145"/>
      <c r="EI116" s="145"/>
      <c r="EJ116" s="145"/>
      <c r="EK116" s="145"/>
      <c r="EL116" s="145"/>
      <c r="EM116" s="145"/>
      <c r="EN116" s="145"/>
      <c r="EO116" s="145"/>
      <c r="EP116" s="145"/>
      <c r="EQ116" s="145"/>
      <c r="ER116" s="145"/>
      <c r="ES116" s="145"/>
      <c r="ET116" s="145"/>
      <c r="EU116" s="145"/>
      <c r="EV116" s="145"/>
      <c r="EW116" s="145"/>
      <c r="EX116" s="145"/>
      <c r="EY116" s="145"/>
      <c r="EZ116" s="145"/>
      <c r="FA116" s="145"/>
      <c r="FB116" s="145"/>
      <c r="FC116" s="145"/>
      <c r="FD116" s="145"/>
      <c r="FE116" s="145"/>
      <c r="FF116" s="145"/>
      <c r="FG116" s="145"/>
      <c r="FH116" s="145"/>
      <c r="FI116" s="145"/>
      <c r="FJ116" s="145"/>
      <c r="FK116" s="145"/>
      <c r="FL116" s="145"/>
      <c r="FM116" s="145"/>
      <c r="FN116" s="145"/>
      <c r="FO116" s="145"/>
      <c r="FP116" s="145"/>
      <c r="FQ116" s="145"/>
      <c r="FR116" s="145"/>
      <c r="FS116" s="145"/>
      <c r="FT116" s="145"/>
      <c r="FU116" s="145"/>
      <c r="FV116" s="145"/>
      <c r="FW116" s="145"/>
      <c r="FX116" s="143"/>
      <c r="FY116" s="146">
        <f>_xlfn.XLOOKUP($E116,'Key assumptions'!$B$112:$B$120,'Key assumptions'!$C$112:$C$120,0)</f>
        <v>0</v>
      </c>
      <c r="FZ116" s="146" cm="1">
        <f t="array" ref="FZ116">IF($FY116=0,0,_xlfn.IFS($FY116='Key assumptions'!$C$120,_xlfn.XLOOKUP(LEFT(FZ$7,6),Inflation_Year,Inflation_NominaltoReal),TRUE,_xlfn.XLOOKUP($FY116,Inflation_Year,NominaltoReal)))</f>
        <v>0</v>
      </c>
      <c r="GA116" s="146" cm="1">
        <f t="array" ref="GA116">IF($FY116=0,0,_xlfn.IFS($FY116='Key assumptions'!$C$120,_xlfn.XLOOKUP(LEFT(GA$7,6),Inflation_Year,Inflation_NominaltoReal),TRUE,_xlfn.XLOOKUP($FY116,Inflation_Year,NominaltoReal)))</f>
        <v>0</v>
      </c>
      <c r="GB116" s="146" cm="1">
        <f t="array" ref="GB116">IF($FY116=0,0,_xlfn.IFS($FY116='Key assumptions'!$C$120,_xlfn.XLOOKUP(LEFT(GB$7,6),Inflation_Year,Inflation_NominaltoReal),TRUE,_xlfn.XLOOKUP($FY116,Inflation_Year,NominaltoReal)))</f>
        <v>0</v>
      </c>
      <c r="GC116" s="146" cm="1">
        <f t="array" ref="GC116">IF($FY116=0,0,_xlfn.IFS($FY116='Key assumptions'!$C$120,_xlfn.XLOOKUP(LEFT(GC$7,6),Inflation_Year,Inflation_NominaltoReal),TRUE,_xlfn.XLOOKUP($FY116,Inflation_Year,NominaltoReal)))</f>
        <v>0</v>
      </c>
      <c r="GD116" s="146" cm="1">
        <f t="array" ref="GD116">IF($FY116=0,0,_xlfn.IFS($FY116='Key assumptions'!$C$120,_xlfn.XLOOKUP(LEFT(GD$7,6),Inflation_Year,Inflation_NominaltoReal),TRUE,_xlfn.XLOOKUP($FY116,Inflation_Year,NominaltoReal)))</f>
        <v>0</v>
      </c>
      <c r="GE116" s="146" cm="1">
        <f t="array" ref="GE116">IF($FY116=0,0,_xlfn.IFS($FY116='Key assumptions'!$C$120,_xlfn.XLOOKUP(LEFT(GE$7,6),Inflation_Year,Inflation_NominaltoReal),TRUE,_xlfn.XLOOKUP($FY116,Inflation_Year,NominaltoReal)))</f>
        <v>0</v>
      </c>
      <c r="GF116" s="146" cm="1">
        <f t="array" ref="GF116">IF($FY116=0,0,_xlfn.IFS($FY116='Key assumptions'!$C$120,_xlfn.XLOOKUP(LEFT(GF$7,6),Inflation_Year,Inflation_NominaltoReal),TRUE,_xlfn.XLOOKUP($FY116,Inflation_Year,NominaltoReal)))</f>
        <v>0</v>
      </c>
      <c r="GG116" s="143"/>
      <c r="GH116" s="145" cm="1">
        <f t="array" ref="GH116">SUMPRODUCT(--($CR$7:$FW$7&gt;=GH$5),--($CR$7:$FW$7&lt;=GH$6),$CR116:$FW116)*FZ116</f>
        <v>0</v>
      </c>
      <c r="GI116" s="145" cm="1">
        <f t="array" ref="GI116">SUMPRODUCT(--($CR$7:$FW$7&gt;=GI$5),--($CR$7:$FW$7&lt;=GI$6),$CR116:$FW116)*GA116</f>
        <v>0</v>
      </c>
      <c r="GJ116" s="145" cm="1">
        <f t="array" ref="GJ116">SUMPRODUCT(--($CR$7:$FW$7&gt;=GJ$5),--($CR$7:$FW$7&lt;=GJ$6),$CR116:$FW116)*GB116</f>
        <v>0</v>
      </c>
      <c r="GK116" s="145" cm="1">
        <f t="array" ref="GK116">SUMPRODUCT(--($CR$7:$FW$7&gt;=GK$5),--($CR$7:$FW$7&lt;=GK$6),$CR116:$FW116)*GC116</f>
        <v>0</v>
      </c>
      <c r="GL116" s="145" cm="1">
        <f t="array" ref="GL116">SUMPRODUCT(--($CR$7:$FW$7&gt;=GL$5),--($CR$7:$FW$7&lt;=GL$6),$CR116:$FW116)*GD116</f>
        <v>0</v>
      </c>
      <c r="GM116" s="145" cm="1">
        <f t="array" ref="GM116">SUMPRODUCT(--($CR$7:$FW$7&gt;=GM$5),--($CR$7:$FW$7&lt;=GM$6),$CR116:$FW116)*GE116</f>
        <v>0</v>
      </c>
      <c r="GN116" s="145" cm="1">
        <f t="array" ref="GN116">SUMPRODUCT(--($CR$7:$FW$7&gt;=GN$5),--($CR$7:$FW$7&lt;=GN$6),$CR116:$FW116)*GF116</f>
        <v>0</v>
      </c>
      <c r="GO116" s="145">
        <f t="shared" si="1"/>
        <v>0</v>
      </c>
      <c r="GP116" s="87"/>
      <c r="GR116" s="145" cm="1">
        <f t="array" ref="GR116">SUMPRODUCT(--($CR$7:$FW$7&gt;=GR$5),--($CR$7:$FW$7&lt;=GR$6),$CR116:$FW116)</f>
        <v>0</v>
      </c>
    </row>
    <row r="117" spans="2:200" x14ac:dyDescent="0.2">
      <c r="B117" s="141"/>
      <c r="C117" s="141"/>
      <c r="D117" s="141"/>
      <c r="E117" s="141"/>
      <c r="F117" s="141"/>
      <c r="G117" s="141"/>
      <c r="H117" s="142"/>
      <c r="I117" s="126"/>
      <c r="J117" s="143"/>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3"/>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c r="EE117" s="145"/>
      <c r="EF117" s="145"/>
      <c r="EG117" s="145"/>
      <c r="EH117" s="145"/>
      <c r="EI117" s="145"/>
      <c r="EJ117" s="145"/>
      <c r="EK117" s="145"/>
      <c r="EL117" s="145"/>
      <c r="EM117" s="145"/>
      <c r="EN117" s="145"/>
      <c r="EO117" s="145"/>
      <c r="EP117" s="145"/>
      <c r="EQ117" s="145"/>
      <c r="ER117" s="145"/>
      <c r="ES117" s="145"/>
      <c r="ET117" s="145"/>
      <c r="EU117" s="145"/>
      <c r="EV117" s="145"/>
      <c r="EW117" s="145"/>
      <c r="EX117" s="145"/>
      <c r="EY117" s="145"/>
      <c r="EZ117" s="145"/>
      <c r="FA117" s="145"/>
      <c r="FB117" s="145"/>
      <c r="FC117" s="145"/>
      <c r="FD117" s="145"/>
      <c r="FE117" s="145"/>
      <c r="FF117" s="145"/>
      <c r="FG117" s="145"/>
      <c r="FH117" s="145"/>
      <c r="FI117" s="145"/>
      <c r="FJ117" s="145"/>
      <c r="FK117" s="145"/>
      <c r="FL117" s="145"/>
      <c r="FM117" s="145"/>
      <c r="FN117" s="145"/>
      <c r="FO117" s="145"/>
      <c r="FP117" s="145"/>
      <c r="FQ117" s="145"/>
      <c r="FR117" s="145"/>
      <c r="FS117" s="145"/>
      <c r="FT117" s="145"/>
      <c r="FU117" s="145"/>
      <c r="FV117" s="145"/>
      <c r="FW117" s="145"/>
      <c r="FX117" s="143"/>
      <c r="FY117" s="146">
        <f>_xlfn.XLOOKUP($E117,'Key assumptions'!$B$112:$B$120,'Key assumptions'!$C$112:$C$120,0)</f>
        <v>0</v>
      </c>
      <c r="FZ117" s="146" cm="1">
        <f t="array" ref="FZ117">IF($FY117=0,0,_xlfn.IFS($FY117='Key assumptions'!$C$120,_xlfn.XLOOKUP(LEFT(FZ$7,6),Inflation_Year,Inflation_NominaltoReal),TRUE,_xlfn.XLOOKUP($FY117,Inflation_Year,NominaltoReal)))</f>
        <v>0</v>
      </c>
      <c r="GA117" s="146" cm="1">
        <f t="array" ref="GA117">IF($FY117=0,0,_xlfn.IFS($FY117='Key assumptions'!$C$120,_xlfn.XLOOKUP(LEFT(GA$7,6),Inflation_Year,Inflation_NominaltoReal),TRUE,_xlfn.XLOOKUP($FY117,Inflation_Year,NominaltoReal)))</f>
        <v>0</v>
      </c>
      <c r="GB117" s="146" cm="1">
        <f t="array" ref="GB117">IF($FY117=0,0,_xlfn.IFS($FY117='Key assumptions'!$C$120,_xlfn.XLOOKUP(LEFT(GB$7,6),Inflation_Year,Inflation_NominaltoReal),TRUE,_xlfn.XLOOKUP($FY117,Inflation_Year,NominaltoReal)))</f>
        <v>0</v>
      </c>
      <c r="GC117" s="146" cm="1">
        <f t="array" ref="GC117">IF($FY117=0,0,_xlfn.IFS($FY117='Key assumptions'!$C$120,_xlfn.XLOOKUP(LEFT(GC$7,6),Inflation_Year,Inflation_NominaltoReal),TRUE,_xlfn.XLOOKUP($FY117,Inflation_Year,NominaltoReal)))</f>
        <v>0</v>
      </c>
      <c r="GD117" s="146" cm="1">
        <f t="array" ref="GD117">IF($FY117=0,0,_xlfn.IFS($FY117='Key assumptions'!$C$120,_xlfn.XLOOKUP(LEFT(GD$7,6),Inflation_Year,Inflation_NominaltoReal),TRUE,_xlfn.XLOOKUP($FY117,Inflation_Year,NominaltoReal)))</f>
        <v>0</v>
      </c>
      <c r="GE117" s="146" cm="1">
        <f t="array" ref="GE117">IF($FY117=0,0,_xlfn.IFS($FY117='Key assumptions'!$C$120,_xlfn.XLOOKUP(LEFT(GE$7,6),Inflation_Year,Inflation_NominaltoReal),TRUE,_xlfn.XLOOKUP($FY117,Inflation_Year,NominaltoReal)))</f>
        <v>0</v>
      </c>
      <c r="GF117" s="146" cm="1">
        <f t="array" ref="GF117">IF($FY117=0,0,_xlfn.IFS($FY117='Key assumptions'!$C$120,_xlfn.XLOOKUP(LEFT(GF$7,6),Inflation_Year,Inflation_NominaltoReal),TRUE,_xlfn.XLOOKUP($FY117,Inflation_Year,NominaltoReal)))</f>
        <v>0</v>
      </c>
      <c r="GG117" s="143"/>
      <c r="GH117" s="145" cm="1">
        <f t="array" ref="GH117">SUMPRODUCT(--($CR$7:$FW$7&gt;=GH$5),--($CR$7:$FW$7&lt;=GH$6),$CR117:$FW117)*FZ117</f>
        <v>0</v>
      </c>
      <c r="GI117" s="145" cm="1">
        <f t="array" ref="GI117">SUMPRODUCT(--($CR$7:$FW$7&gt;=GI$5),--($CR$7:$FW$7&lt;=GI$6),$CR117:$FW117)*GA117</f>
        <v>0</v>
      </c>
      <c r="GJ117" s="145" cm="1">
        <f t="array" ref="GJ117">SUMPRODUCT(--($CR$7:$FW$7&gt;=GJ$5),--($CR$7:$FW$7&lt;=GJ$6),$CR117:$FW117)*GB117</f>
        <v>0</v>
      </c>
      <c r="GK117" s="145" cm="1">
        <f t="array" ref="GK117">SUMPRODUCT(--($CR$7:$FW$7&gt;=GK$5),--($CR$7:$FW$7&lt;=GK$6),$CR117:$FW117)*GC117</f>
        <v>0</v>
      </c>
      <c r="GL117" s="145" cm="1">
        <f t="array" ref="GL117">SUMPRODUCT(--($CR$7:$FW$7&gt;=GL$5),--($CR$7:$FW$7&lt;=GL$6),$CR117:$FW117)*GD117</f>
        <v>0</v>
      </c>
      <c r="GM117" s="145" cm="1">
        <f t="array" ref="GM117">SUMPRODUCT(--($CR$7:$FW$7&gt;=GM$5),--($CR$7:$FW$7&lt;=GM$6),$CR117:$FW117)*GE117</f>
        <v>0</v>
      </c>
      <c r="GN117" s="145" cm="1">
        <f t="array" ref="GN117">SUMPRODUCT(--($CR$7:$FW$7&gt;=GN$5),--($CR$7:$FW$7&lt;=GN$6),$CR117:$FW117)*GF117</f>
        <v>0</v>
      </c>
      <c r="GO117" s="145">
        <f t="shared" si="1"/>
        <v>0</v>
      </c>
      <c r="GP117" s="87"/>
      <c r="GR117" s="145" cm="1">
        <f t="array" ref="GR117">SUMPRODUCT(--($CR$7:$FW$7&gt;=GR$5),--($CR$7:$FW$7&lt;=GR$6),$CR117:$FW117)</f>
        <v>0</v>
      </c>
    </row>
    <row r="118" spans="2:200" x14ac:dyDescent="0.2">
      <c r="B118" s="141"/>
      <c r="C118" s="141"/>
      <c r="D118" s="141"/>
      <c r="E118" s="141"/>
      <c r="F118" s="141"/>
      <c r="G118" s="141"/>
      <c r="H118" s="142"/>
      <c r="I118" s="126"/>
      <c r="J118" s="143"/>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3"/>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c r="EE118" s="145"/>
      <c r="EF118" s="145"/>
      <c r="EG118" s="145"/>
      <c r="EH118" s="145"/>
      <c r="EI118" s="145"/>
      <c r="EJ118" s="145"/>
      <c r="EK118" s="145"/>
      <c r="EL118" s="145"/>
      <c r="EM118" s="145"/>
      <c r="EN118" s="145"/>
      <c r="EO118" s="145"/>
      <c r="EP118" s="145"/>
      <c r="EQ118" s="145"/>
      <c r="ER118" s="145"/>
      <c r="ES118" s="145"/>
      <c r="ET118" s="145"/>
      <c r="EU118" s="145"/>
      <c r="EV118" s="145"/>
      <c r="EW118" s="145"/>
      <c r="EX118" s="145"/>
      <c r="EY118" s="145"/>
      <c r="EZ118" s="145"/>
      <c r="FA118" s="145"/>
      <c r="FB118" s="145"/>
      <c r="FC118" s="145"/>
      <c r="FD118" s="145"/>
      <c r="FE118" s="145"/>
      <c r="FF118" s="145"/>
      <c r="FG118" s="145"/>
      <c r="FH118" s="145"/>
      <c r="FI118" s="145"/>
      <c r="FJ118" s="145"/>
      <c r="FK118" s="145"/>
      <c r="FL118" s="145"/>
      <c r="FM118" s="145"/>
      <c r="FN118" s="145"/>
      <c r="FO118" s="145"/>
      <c r="FP118" s="145"/>
      <c r="FQ118" s="145"/>
      <c r="FR118" s="145"/>
      <c r="FS118" s="145"/>
      <c r="FT118" s="145"/>
      <c r="FU118" s="145"/>
      <c r="FV118" s="145"/>
      <c r="FW118" s="145"/>
      <c r="FX118" s="143"/>
      <c r="FY118" s="146">
        <f>_xlfn.XLOOKUP($E118,'Key assumptions'!$B$112:$B$120,'Key assumptions'!$C$112:$C$120,0)</f>
        <v>0</v>
      </c>
      <c r="FZ118" s="146" cm="1">
        <f t="array" ref="FZ118">IF($FY118=0,0,_xlfn.IFS($FY118='Key assumptions'!$C$120,_xlfn.XLOOKUP(LEFT(FZ$7,6),Inflation_Year,Inflation_NominaltoReal),TRUE,_xlfn.XLOOKUP($FY118,Inflation_Year,NominaltoReal)))</f>
        <v>0</v>
      </c>
      <c r="GA118" s="146" cm="1">
        <f t="array" ref="GA118">IF($FY118=0,0,_xlfn.IFS($FY118='Key assumptions'!$C$120,_xlfn.XLOOKUP(LEFT(GA$7,6),Inflation_Year,Inflation_NominaltoReal),TRUE,_xlfn.XLOOKUP($FY118,Inflation_Year,NominaltoReal)))</f>
        <v>0</v>
      </c>
      <c r="GB118" s="146" cm="1">
        <f t="array" ref="GB118">IF($FY118=0,0,_xlfn.IFS($FY118='Key assumptions'!$C$120,_xlfn.XLOOKUP(LEFT(GB$7,6),Inflation_Year,Inflation_NominaltoReal),TRUE,_xlfn.XLOOKUP($FY118,Inflation_Year,NominaltoReal)))</f>
        <v>0</v>
      </c>
      <c r="GC118" s="146" cm="1">
        <f t="array" ref="GC118">IF($FY118=0,0,_xlfn.IFS($FY118='Key assumptions'!$C$120,_xlfn.XLOOKUP(LEFT(GC$7,6),Inflation_Year,Inflation_NominaltoReal),TRUE,_xlfn.XLOOKUP($FY118,Inflation_Year,NominaltoReal)))</f>
        <v>0</v>
      </c>
      <c r="GD118" s="146" cm="1">
        <f t="array" ref="GD118">IF($FY118=0,0,_xlfn.IFS($FY118='Key assumptions'!$C$120,_xlfn.XLOOKUP(LEFT(GD$7,6),Inflation_Year,Inflation_NominaltoReal),TRUE,_xlfn.XLOOKUP($FY118,Inflation_Year,NominaltoReal)))</f>
        <v>0</v>
      </c>
      <c r="GE118" s="146" cm="1">
        <f t="array" ref="GE118">IF($FY118=0,0,_xlfn.IFS($FY118='Key assumptions'!$C$120,_xlfn.XLOOKUP(LEFT(GE$7,6),Inflation_Year,Inflation_NominaltoReal),TRUE,_xlfn.XLOOKUP($FY118,Inflation_Year,NominaltoReal)))</f>
        <v>0</v>
      </c>
      <c r="GF118" s="146" cm="1">
        <f t="array" ref="GF118">IF($FY118=0,0,_xlfn.IFS($FY118='Key assumptions'!$C$120,_xlfn.XLOOKUP(LEFT(GF$7,6),Inflation_Year,Inflation_NominaltoReal),TRUE,_xlfn.XLOOKUP($FY118,Inflation_Year,NominaltoReal)))</f>
        <v>0</v>
      </c>
      <c r="GG118" s="143"/>
      <c r="GH118" s="145" cm="1">
        <f t="array" ref="GH118">SUMPRODUCT(--($CR$7:$FW$7&gt;=GH$5),--($CR$7:$FW$7&lt;=GH$6),$CR118:$FW118)*FZ118</f>
        <v>0</v>
      </c>
      <c r="GI118" s="145" cm="1">
        <f t="array" ref="GI118">SUMPRODUCT(--($CR$7:$FW$7&gt;=GI$5),--($CR$7:$FW$7&lt;=GI$6),$CR118:$FW118)*GA118</f>
        <v>0</v>
      </c>
      <c r="GJ118" s="145" cm="1">
        <f t="array" ref="GJ118">SUMPRODUCT(--($CR$7:$FW$7&gt;=GJ$5),--($CR$7:$FW$7&lt;=GJ$6),$CR118:$FW118)*GB118</f>
        <v>0</v>
      </c>
      <c r="GK118" s="145" cm="1">
        <f t="array" ref="GK118">SUMPRODUCT(--($CR$7:$FW$7&gt;=GK$5),--($CR$7:$FW$7&lt;=GK$6),$CR118:$FW118)*GC118</f>
        <v>0</v>
      </c>
      <c r="GL118" s="145" cm="1">
        <f t="array" ref="GL118">SUMPRODUCT(--($CR$7:$FW$7&gt;=GL$5),--($CR$7:$FW$7&lt;=GL$6),$CR118:$FW118)*GD118</f>
        <v>0</v>
      </c>
      <c r="GM118" s="145" cm="1">
        <f t="array" ref="GM118">SUMPRODUCT(--($CR$7:$FW$7&gt;=GM$5),--($CR$7:$FW$7&lt;=GM$6),$CR118:$FW118)*GE118</f>
        <v>0</v>
      </c>
      <c r="GN118" s="145" cm="1">
        <f t="array" ref="GN118">SUMPRODUCT(--($CR$7:$FW$7&gt;=GN$5),--($CR$7:$FW$7&lt;=GN$6),$CR118:$FW118)*GF118</f>
        <v>0</v>
      </c>
      <c r="GO118" s="145">
        <f t="shared" si="1"/>
        <v>0</v>
      </c>
      <c r="GP118" s="87"/>
      <c r="GR118" s="145" cm="1">
        <f t="array" ref="GR118">SUMPRODUCT(--($CR$7:$FW$7&gt;=GR$5),--($CR$7:$FW$7&lt;=GR$6),$CR118:$FW118)</f>
        <v>0</v>
      </c>
    </row>
    <row r="119" spans="2:200" x14ac:dyDescent="0.2">
      <c r="B119" s="141"/>
      <c r="C119" s="141"/>
      <c r="D119" s="141"/>
      <c r="E119" s="141"/>
      <c r="F119" s="141"/>
      <c r="G119" s="141"/>
      <c r="H119" s="142"/>
      <c r="I119" s="126"/>
      <c r="J119" s="143"/>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3"/>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c r="EE119" s="145"/>
      <c r="EF119" s="145"/>
      <c r="EG119" s="145"/>
      <c r="EH119" s="145"/>
      <c r="EI119" s="145"/>
      <c r="EJ119" s="145"/>
      <c r="EK119" s="145"/>
      <c r="EL119" s="145"/>
      <c r="EM119" s="145"/>
      <c r="EN119" s="145"/>
      <c r="EO119" s="145"/>
      <c r="EP119" s="145"/>
      <c r="EQ119" s="145"/>
      <c r="ER119" s="145"/>
      <c r="ES119" s="145"/>
      <c r="ET119" s="145"/>
      <c r="EU119" s="145"/>
      <c r="EV119" s="145"/>
      <c r="EW119" s="145"/>
      <c r="EX119" s="145"/>
      <c r="EY119" s="145"/>
      <c r="EZ119" s="145"/>
      <c r="FA119" s="145"/>
      <c r="FB119" s="145"/>
      <c r="FC119" s="145"/>
      <c r="FD119" s="145"/>
      <c r="FE119" s="145"/>
      <c r="FF119" s="145"/>
      <c r="FG119" s="145"/>
      <c r="FH119" s="145"/>
      <c r="FI119" s="145"/>
      <c r="FJ119" s="145"/>
      <c r="FK119" s="145"/>
      <c r="FL119" s="145"/>
      <c r="FM119" s="145"/>
      <c r="FN119" s="145"/>
      <c r="FO119" s="145"/>
      <c r="FP119" s="145"/>
      <c r="FQ119" s="145"/>
      <c r="FR119" s="145"/>
      <c r="FS119" s="145"/>
      <c r="FT119" s="145"/>
      <c r="FU119" s="145"/>
      <c r="FV119" s="145"/>
      <c r="FW119" s="145"/>
      <c r="FX119" s="143"/>
      <c r="FY119" s="146">
        <f>_xlfn.XLOOKUP($E119,'Key assumptions'!$B$112:$B$120,'Key assumptions'!$C$112:$C$120,0)</f>
        <v>0</v>
      </c>
      <c r="FZ119" s="146" cm="1">
        <f t="array" ref="FZ119">IF($FY119=0,0,_xlfn.IFS($FY119='Key assumptions'!$C$120,_xlfn.XLOOKUP(LEFT(FZ$7,6),Inflation_Year,Inflation_NominaltoReal),TRUE,_xlfn.XLOOKUP($FY119,Inflation_Year,NominaltoReal)))</f>
        <v>0</v>
      </c>
      <c r="GA119" s="146" cm="1">
        <f t="array" ref="GA119">IF($FY119=0,0,_xlfn.IFS($FY119='Key assumptions'!$C$120,_xlfn.XLOOKUP(LEFT(GA$7,6),Inflation_Year,Inflation_NominaltoReal),TRUE,_xlfn.XLOOKUP($FY119,Inflation_Year,NominaltoReal)))</f>
        <v>0</v>
      </c>
      <c r="GB119" s="146" cm="1">
        <f t="array" ref="GB119">IF($FY119=0,0,_xlfn.IFS($FY119='Key assumptions'!$C$120,_xlfn.XLOOKUP(LEFT(GB$7,6),Inflation_Year,Inflation_NominaltoReal),TRUE,_xlfn.XLOOKUP($FY119,Inflation_Year,NominaltoReal)))</f>
        <v>0</v>
      </c>
      <c r="GC119" s="146" cm="1">
        <f t="array" ref="GC119">IF($FY119=0,0,_xlfn.IFS($FY119='Key assumptions'!$C$120,_xlfn.XLOOKUP(LEFT(GC$7,6),Inflation_Year,Inflation_NominaltoReal),TRUE,_xlfn.XLOOKUP($FY119,Inflation_Year,NominaltoReal)))</f>
        <v>0</v>
      </c>
      <c r="GD119" s="146" cm="1">
        <f t="array" ref="GD119">IF($FY119=0,0,_xlfn.IFS($FY119='Key assumptions'!$C$120,_xlfn.XLOOKUP(LEFT(GD$7,6),Inflation_Year,Inflation_NominaltoReal),TRUE,_xlfn.XLOOKUP($FY119,Inflation_Year,NominaltoReal)))</f>
        <v>0</v>
      </c>
      <c r="GE119" s="146" cm="1">
        <f t="array" ref="GE119">IF($FY119=0,0,_xlfn.IFS($FY119='Key assumptions'!$C$120,_xlfn.XLOOKUP(LEFT(GE$7,6),Inflation_Year,Inflation_NominaltoReal),TRUE,_xlfn.XLOOKUP($FY119,Inflation_Year,NominaltoReal)))</f>
        <v>0</v>
      </c>
      <c r="GF119" s="146" cm="1">
        <f t="array" ref="GF119">IF($FY119=0,0,_xlfn.IFS($FY119='Key assumptions'!$C$120,_xlfn.XLOOKUP(LEFT(GF$7,6),Inflation_Year,Inflation_NominaltoReal),TRUE,_xlfn.XLOOKUP($FY119,Inflation_Year,NominaltoReal)))</f>
        <v>0</v>
      </c>
      <c r="GG119" s="143"/>
      <c r="GH119" s="145" cm="1">
        <f t="array" ref="GH119">SUMPRODUCT(--($CR$7:$FW$7&gt;=GH$5),--($CR$7:$FW$7&lt;=GH$6),$CR119:$FW119)*FZ119</f>
        <v>0</v>
      </c>
      <c r="GI119" s="145" cm="1">
        <f t="array" ref="GI119">SUMPRODUCT(--($CR$7:$FW$7&gt;=GI$5),--($CR$7:$FW$7&lt;=GI$6),$CR119:$FW119)*GA119</f>
        <v>0</v>
      </c>
      <c r="GJ119" s="145" cm="1">
        <f t="array" ref="GJ119">SUMPRODUCT(--($CR$7:$FW$7&gt;=GJ$5),--($CR$7:$FW$7&lt;=GJ$6),$CR119:$FW119)*GB119</f>
        <v>0</v>
      </c>
      <c r="GK119" s="145" cm="1">
        <f t="array" ref="GK119">SUMPRODUCT(--($CR$7:$FW$7&gt;=GK$5),--($CR$7:$FW$7&lt;=GK$6),$CR119:$FW119)*GC119</f>
        <v>0</v>
      </c>
      <c r="GL119" s="145" cm="1">
        <f t="array" ref="GL119">SUMPRODUCT(--($CR$7:$FW$7&gt;=GL$5),--($CR$7:$FW$7&lt;=GL$6),$CR119:$FW119)*GD119</f>
        <v>0</v>
      </c>
      <c r="GM119" s="145" cm="1">
        <f t="array" ref="GM119">SUMPRODUCT(--($CR$7:$FW$7&gt;=GM$5),--($CR$7:$FW$7&lt;=GM$6),$CR119:$FW119)*GE119</f>
        <v>0</v>
      </c>
      <c r="GN119" s="145" cm="1">
        <f t="array" ref="GN119">SUMPRODUCT(--($CR$7:$FW$7&gt;=GN$5),--($CR$7:$FW$7&lt;=GN$6),$CR119:$FW119)*GF119</f>
        <v>0</v>
      </c>
      <c r="GO119" s="145">
        <f t="shared" si="1"/>
        <v>0</v>
      </c>
      <c r="GP119" s="87"/>
      <c r="GR119" s="145" cm="1">
        <f t="array" ref="GR119">SUMPRODUCT(--($CR$7:$FW$7&gt;=GR$5),--($CR$7:$FW$7&lt;=GR$6),$CR119:$FW119)</f>
        <v>0</v>
      </c>
    </row>
    <row r="120" spans="2:200" x14ac:dyDescent="0.2">
      <c r="B120" s="141"/>
      <c r="C120" s="141"/>
      <c r="D120" s="141"/>
      <c r="E120" s="141"/>
      <c r="F120" s="141"/>
      <c r="G120" s="141"/>
      <c r="H120" s="142"/>
      <c r="I120" s="126"/>
      <c r="J120" s="143"/>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3"/>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c r="EE120" s="145"/>
      <c r="EF120" s="145"/>
      <c r="EG120" s="145"/>
      <c r="EH120" s="145"/>
      <c r="EI120" s="145"/>
      <c r="EJ120" s="145"/>
      <c r="EK120" s="145"/>
      <c r="EL120" s="145"/>
      <c r="EM120" s="145"/>
      <c r="EN120" s="145"/>
      <c r="EO120" s="145"/>
      <c r="EP120" s="145"/>
      <c r="EQ120" s="145"/>
      <c r="ER120" s="145"/>
      <c r="ES120" s="145"/>
      <c r="ET120" s="145"/>
      <c r="EU120" s="145"/>
      <c r="EV120" s="145"/>
      <c r="EW120" s="145"/>
      <c r="EX120" s="145"/>
      <c r="EY120" s="145"/>
      <c r="EZ120" s="145"/>
      <c r="FA120" s="145"/>
      <c r="FB120" s="145"/>
      <c r="FC120" s="145"/>
      <c r="FD120" s="145"/>
      <c r="FE120" s="145"/>
      <c r="FF120" s="145"/>
      <c r="FG120" s="145"/>
      <c r="FH120" s="145"/>
      <c r="FI120" s="145"/>
      <c r="FJ120" s="145"/>
      <c r="FK120" s="145"/>
      <c r="FL120" s="145"/>
      <c r="FM120" s="145"/>
      <c r="FN120" s="145"/>
      <c r="FO120" s="145"/>
      <c r="FP120" s="145"/>
      <c r="FQ120" s="145"/>
      <c r="FR120" s="145"/>
      <c r="FS120" s="145"/>
      <c r="FT120" s="145"/>
      <c r="FU120" s="145"/>
      <c r="FV120" s="145"/>
      <c r="FW120" s="145"/>
      <c r="FX120" s="143"/>
      <c r="FY120" s="146">
        <f>_xlfn.XLOOKUP($E120,'Key assumptions'!$B$112:$B$120,'Key assumptions'!$C$112:$C$120,0)</f>
        <v>0</v>
      </c>
      <c r="FZ120" s="146" cm="1">
        <f t="array" ref="FZ120">IF($FY120=0,0,_xlfn.IFS($FY120='Key assumptions'!$C$120,_xlfn.XLOOKUP(LEFT(FZ$7,6),Inflation_Year,Inflation_NominaltoReal),TRUE,_xlfn.XLOOKUP($FY120,Inflation_Year,NominaltoReal)))</f>
        <v>0</v>
      </c>
      <c r="GA120" s="146" cm="1">
        <f t="array" ref="GA120">IF($FY120=0,0,_xlfn.IFS($FY120='Key assumptions'!$C$120,_xlfn.XLOOKUP(LEFT(GA$7,6),Inflation_Year,Inflation_NominaltoReal),TRUE,_xlfn.XLOOKUP($FY120,Inflation_Year,NominaltoReal)))</f>
        <v>0</v>
      </c>
      <c r="GB120" s="146" cm="1">
        <f t="array" ref="GB120">IF($FY120=0,0,_xlfn.IFS($FY120='Key assumptions'!$C$120,_xlfn.XLOOKUP(LEFT(GB$7,6),Inflation_Year,Inflation_NominaltoReal),TRUE,_xlfn.XLOOKUP($FY120,Inflation_Year,NominaltoReal)))</f>
        <v>0</v>
      </c>
      <c r="GC120" s="146" cm="1">
        <f t="array" ref="GC120">IF($FY120=0,0,_xlfn.IFS($FY120='Key assumptions'!$C$120,_xlfn.XLOOKUP(LEFT(GC$7,6),Inflation_Year,Inflation_NominaltoReal),TRUE,_xlfn.XLOOKUP($FY120,Inflation_Year,NominaltoReal)))</f>
        <v>0</v>
      </c>
      <c r="GD120" s="146" cm="1">
        <f t="array" ref="GD120">IF($FY120=0,0,_xlfn.IFS($FY120='Key assumptions'!$C$120,_xlfn.XLOOKUP(LEFT(GD$7,6),Inflation_Year,Inflation_NominaltoReal),TRUE,_xlfn.XLOOKUP($FY120,Inflation_Year,NominaltoReal)))</f>
        <v>0</v>
      </c>
      <c r="GE120" s="146" cm="1">
        <f t="array" ref="GE120">IF($FY120=0,0,_xlfn.IFS($FY120='Key assumptions'!$C$120,_xlfn.XLOOKUP(LEFT(GE$7,6),Inflation_Year,Inflation_NominaltoReal),TRUE,_xlfn.XLOOKUP($FY120,Inflation_Year,NominaltoReal)))</f>
        <v>0</v>
      </c>
      <c r="GF120" s="146" cm="1">
        <f t="array" ref="GF120">IF($FY120=0,0,_xlfn.IFS($FY120='Key assumptions'!$C$120,_xlfn.XLOOKUP(LEFT(GF$7,6),Inflation_Year,Inflation_NominaltoReal),TRUE,_xlfn.XLOOKUP($FY120,Inflation_Year,NominaltoReal)))</f>
        <v>0</v>
      </c>
      <c r="GG120" s="143"/>
      <c r="GH120" s="145" cm="1">
        <f t="array" ref="GH120">SUMPRODUCT(--($CR$7:$FW$7&gt;=GH$5),--($CR$7:$FW$7&lt;=GH$6),$CR120:$FW120)*FZ120</f>
        <v>0</v>
      </c>
      <c r="GI120" s="145" cm="1">
        <f t="array" ref="GI120">SUMPRODUCT(--($CR$7:$FW$7&gt;=GI$5),--($CR$7:$FW$7&lt;=GI$6),$CR120:$FW120)*GA120</f>
        <v>0</v>
      </c>
      <c r="GJ120" s="145" cm="1">
        <f t="array" ref="GJ120">SUMPRODUCT(--($CR$7:$FW$7&gt;=GJ$5),--($CR$7:$FW$7&lt;=GJ$6),$CR120:$FW120)*GB120</f>
        <v>0</v>
      </c>
      <c r="GK120" s="145" cm="1">
        <f t="array" ref="GK120">SUMPRODUCT(--($CR$7:$FW$7&gt;=GK$5),--($CR$7:$FW$7&lt;=GK$6),$CR120:$FW120)*GC120</f>
        <v>0</v>
      </c>
      <c r="GL120" s="145" cm="1">
        <f t="array" ref="GL120">SUMPRODUCT(--($CR$7:$FW$7&gt;=GL$5),--($CR$7:$FW$7&lt;=GL$6),$CR120:$FW120)*GD120</f>
        <v>0</v>
      </c>
      <c r="GM120" s="145" cm="1">
        <f t="array" ref="GM120">SUMPRODUCT(--($CR$7:$FW$7&gt;=GM$5),--($CR$7:$FW$7&lt;=GM$6),$CR120:$FW120)*GE120</f>
        <v>0</v>
      </c>
      <c r="GN120" s="145" cm="1">
        <f t="array" ref="GN120">SUMPRODUCT(--($CR$7:$FW$7&gt;=GN$5),--($CR$7:$FW$7&lt;=GN$6),$CR120:$FW120)*GF120</f>
        <v>0</v>
      </c>
      <c r="GO120" s="145">
        <f t="shared" si="1"/>
        <v>0</v>
      </c>
      <c r="GP120" s="87"/>
      <c r="GR120" s="145" cm="1">
        <f t="array" ref="GR120">SUMPRODUCT(--($CR$7:$FW$7&gt;=GR$5),--($CR$7:$FW$7&lt;=GR$6),$CR120:$FW120)</f>
        <v>0</v>
      </c>
    </row>
    <row r="121" spans="2:200" x14ac:dyDescent="0.2">
      <c r="B121" s="141"/>
      <c r="C121" s="141"/>
      <c r="D121" s="141"/>
      <c r="E121" s="141"/>
      <c r="F121" s="141"/>
      <c r="G121" s="141"/>
      <c r="H121" s="142"/>
      <c r="I121" s="126"/>
      <c r="J121" s="143"/>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3"/>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c r="EE121" s="145"/>
      <c r="EF121" s="145"/>
      <c r="EG121" s="145"/>
      <c r="EH121" s="145"/>
      <c r="EI121" s="145"/>
      <c r="EJ121" s="145"/>
      <c r="EK121" s="145"/>
      <c r="EL121" s="145"/>
      <c r="EM121" s="145"/>
      <c r="EN121" s="145"/>
      <c r="EO121" s="145"/>
      <c r="EP121" s="145"/>
      <c r="EQ121" s="145"/>
      <c r="ER121" s="145"/>
      <c r="ES121" s="145"/>
      <c r="ET121" s="145"/>
      <c r="EU121" s="145"/>
      <c r="EV121" s="145"/>
      <c r="EW121" s="145"/>
      <c r="EX121" s="145"/>
      <c r="EY121" s="145"/>
      <c r="EZ121" s="145"/>
      <c r="FA121" s="145"/>
      <c r="FB121" s="145"/>
      <c r="FC121" s="145"/>
      <c r="FD121" s="145"/>
      <c r="FE121" s="145"/>
      <c r="FF121" s="145"/>
      <c r="FG121" s="145"/>
      <c r="FH121" s="145"/>
      <c r="FI121" s="145"/>
      <c r="FJ121" s="145"/>
      <c r="FK121" s="145"/>
      <c r="FL121" s="145"/>
      <c r="FM121" s="145"/>
      <c r="FN121" s="145"/>
      <c r="FO121" s="145"/>
      <c r="FP121" s="145"/>
      <c r="FQ121" s="145"/>
      <c r="FR121" s="145"/>
      <c r="FS121" s="145"/>
      <c r="FT121" s="145"/>
      <c r="FU121" s="145"/>
      <c r="FV121" s="145"/>
      <c r="FW121" s="145"/>
      <c r="FX121" s="143"/>
      <c r="FY121" s="146">
        <f>_xlfn.XLOOKUP($E121,'Key assumptions'!$B$112:$B$120,'Key assumptions'!$C$112:$C$120,0)</f>
        <v>0</v>
      </c>
      <c r="FZ121" s="146" cm="1">
        <f t="array" ref="FZ121">IF($FY121=0,0,_xlfn.IFS($FY121='Key assumptions'!$C$120,_xlfn.XLOOKUP(LEFT(FZ$7,6),Inflation_Year,Inflation_NominaltoReal),TRUE,_xlfn.XLOOKUP($FY121,Inflation_Year,NominaltoReal)))</f>
        <v>0</v>
      </c>
      <c r="GA121" s="146" cm="1">
        <f t="array" ref="GA121">IF($FY121=0,0,_xlfn.IFS($FY121='Key assumptions'!$C$120,_xlfn.XLOOKUP(LEFT(GA$7,6),Inflation_Year,Inflation_NominaltoReal),TRUE,_xlfn.XLOOKUP($FY121,Inflation_Year,NominaltoReal)))</f>
        <v>0</v>
      </c>
      <c r="GB121" s="146" cm="1">
        <f t="array" ref="GB121">IF($FY121=0,0,_xlfn.IFS($FY121='Key assumptions'!$C$120,_xlfn.XLOOKUP(LEFT(GB$7,6),Inflation_Year,Inflation_NominaltoReal),TRUE,_xlfn.XLOOKUP($FY121,Inflation_Year,NominaltoReal)))</f>
        <v>0</v>
      </c>
      <c r="GC121" s="146" cm="1">
        <f t="array" ref="GC121">IF($FY121=0,0,_xlfn.IFS($FY121='Key assumptions'!$C$120,_xlfn.XLOOKUP(LEFT(GC$7,6),Inflation_Year,Inflation_NominaltoReal),TRUE,_xlfn.XLOOKUP($FY121,Inflation_Year,NominaltoReal)))</f>
        <v>0</v>
      </c>
      <c r="GD121" s="146" cm="1">
        <f t="array" ref="GD121">IF($FY121=0,0,_xlfn.IFS($FY121='Key assumptions'!$C$120,_xlfn.XLOOKUP(LEFT(GD$7,6),Inflation_Year,Inflation_NominaltoReal),TRUE,_xlfn.XLOOKUP($FY121,Inflation_Year,NominaltoReal)))</f>
        <v>0</v>
      </c>
      <c r="GE121" s="146" cm="1">
        <f t="array" ref="GE121">IF($FY121=0,0,_xlfn.IFS($FY121='Key assumptions'!$C$120,_xlfn.XLOOKUP(LEFT(GE$7,6),Inflation_Year,Inflation_NominaltoReal),TRUE,_xlfn.XLOOKUP($FY121,Inflation_Year,NominaltoReal)))</f>
        <v>0</v>
      </c>
      <c r="GF121" s="146" cm="1">
        <f t="array" ref="GF121">IF($FY121=0,0,_xlfn.IFS($FY121='Key assumptions'!$C$120,_xlfn.XLOOKUP(LEFT(GF$7,6),Inflation_Year,Inflation_NominaltoReal),TRUE,_xlfn.XLOOKUP($FY121,Inflation_Year,NominaltoReal)))</f>
        <v>0</v>
      </c>
      <c r="GG121" s="143"/>
      <c r="GH121" s="145" cm="1">
        <f t="array" ref="GH121">SUMPRODUCT(--($CR$7:$FW$7&gt;=GH$5),--($CR$7:$FW$7&lt;=GH$6),$CR121:$FW121)*FZ121</f>
        <v>0</v>
      </c>
      <c r="GI121" s="145" cm="1">
        <f t="array" ref="GI121">SUMPRODUCT(--($CR$7:$FW$7&gt;=GI$5),--($CR$7:$FW$7&lt;=GI$6),$CR121:$FW121)*GA121</f>
        <v>0</v>
      </c>
      <c r="GJ121" s="145" cm="1">
        <f t="array" ref="GJ121">SUMPRODUCT(--($CR$7:$FW$7&gt;=GJ$5),--($CR$7:$FW$7&lt;=GJ$6),$CR121:$FW121)*GB121</f>
        <v>0</v>
      </c>
      <c r="GK121" s="145" cm="1">
        <f t="array" ref="GK121">SUMPRODUCT(--($CR$7:$FW$7&gt;=GK$5),--($CR$7:$FW$7&lt;=GK$6),$CR121:$FW121)*GC121</f>
        <v>0</v>
      </c>
      <c r="GL121" s="145" cm="1">
        <f t="array" ref="GL121">SUMPRODUCT(--($CR$7:$FW$7&gt;=GL$5),--($CR$7:$FW$7&lt;=GL$6),$CR121:$FW121)*GD121</f>
        <v>0</v>
      </c>
      <c r="GM121" s="145" cm="1">
        <f t="array" ref="GM121">SUMPRODUCT(--($CR$7:$FW$7&gt;=GM$5),--($CR$7:$FW$7&lt;=GM$6),$CR121:$FW121)*GE121</f>
        <v>0</v>
      </c>
      <c r="GN121" s="145" cm="1">
        <f t="array" ref="GN121">SUMPRODUCT(--($CR$7:$FW$7&gt;=GN$5),--($CR$7:$FW$7&lt;=GN$6),$CR121:$FW121)*GF121</f>
        <v>0</v>
      </c>
      <c r="GO121" s="145">
        <f t="shared" si="1"/>
        <v>0</v>
      </c>
      <c r="GP121" s="87"/>
      <c r="GR121" s="145" cm="1">
        <f t="array" ref="GR121">SUMPRODUCT(--($CR$7:$FW$7&gt;=GR$5),--($CR$7:$FW$7&lt;=GR$6),$CR121:$FW121)</f>
        <v>0</v>
      </c>
    </row>
    <row r="122" spans="2:200" x14ac:dyDescent="0.2">
      <c r="B122" s="141"/>
      <c r="C122" s="141"/>
      <c r="D122" s="141"/>
      <c r="E122" s="141"/>
      <c r="F122" s="141"/>
      <c r="G122" s="141"/>
      <c r="H122" s="142"/>
      <c r="I122" s="126"/>
      <c r="J122" s="143"/>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3"/>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c r="EE122" s="145"/>
      <c r="EF122" s="145"/>
      <c r="EG122" s="145"/>
      <c r="EH122" s="145"/>
      <c r="EI122" s="145"/>
      <c r="EJ122" s="145"/>
      <c r="EK122" s="145"/>
      <c r="EL122" s="145"/>
      <c r="EM122" s="145"/>
      <c r="EN122" s="145"/>
      <c r="EO122" s="145"/>
      <c r="EP122" s="145"/>
      <c r="EQ122" s="145"/>
      <c r="ER122" s="145"/>
      <c r="ES122" s="145"/>
      <c r="ET122" s="145"/>
      <c r="EU122" s="145"/>
      <c r="EV122" s="145"/>
      <c r="EW122" s="145"/>
      <c r="EX122" s="145"/>
      <c r="EY122" s="145"/>
      <c r="EZ122" s="145"/>
      <c r="FA122" s="145"/>
      <c r="FB122" s="145"/>
      <c r="FC122" s="145"/>
      <c r="FD122" s="145"/>
      <c r="FE122" s="145"/>
      <c r="FF122" s="145"/>
      <c r="FG122" s="145"/>
      <c r="FH122" s="145"/>
      <c r="FI122" s="145"/>
      <c r="FJ122" s="145"/>
      <c r="FK122" s="145"/>
      <c r="FL122" s="145"/>
      <c r="FM122" s="145"/>
      <c r="FN122" s="145"/>
      <c r="FO122" s="145"/>
      <c r="FP122" s="145"/>
      <c r="FQ122" s="145"/>
      <c r="FR122" s="145"/>
      <c r="FS122" s="145"/>
      <c r="FT122" s="145"/>
      <c r="FU122" s="145"/>
      <c r="FV122" s="145"/>
      <c r="FW122" s="145"/>
      <c r="FX122" s="143"/>
      <c r="FY122" s="146">
        <f>_xlfn.XLOOKUP($E122,'Key assumptions'!$B$112:$B$120,'Key assumptions'!$C$112:$C$120,0)</f>
        <v>0</v>
      </c>
      <c r="FZ122" s="146" cm="1">
        <f t="array" ref="FZ122">IF($FY122=0,0,_xlfn.IFS($FY122='Key assumptions'!$C$120,_xlfn.XLOOKUP(LEFT(FZ$7,6),Inflation_Year,Inflation_NominaltoReal),TRUE,_xlfn.XLOOKUP($FY122,Inflation_Year,NominaltoReal)))</f>
        <v>0</v>
      </c>
      <c r="GA122" s="146" cm="1">
        <f t="array" ref="GA122">IF($FY122=0,0,_xlfn.IFS($FY122='Key assumptions'!$C$120,_xlfn.XLOOKUP(LEFT(GA$7,6),Inflation_Year,Inflation_NominaltoReal),TRUE,_xlfn.XLOOKUP($FY122,Inflation_Year,NominaltoReal)))</f>
        <v>0</v>
      </c>
      <c r="GB122" s="146" cm="1">
        <f t="array" ref="GB122">IF($FY122=0,0,_xlfn.IFS($FY122='Key assumptions'!$C$120,_xlfn.XLOOKUP(LEFT(GB$7,6),Inflation_Year,Inflation_NominaltoReal),TRUE,_xlfn.XLOOKUP($FY122,Inflation_Year,NominaltoReal)))</f>
        <v>0</v>
      </c>
      <c r="GC122" s="146" cm="1">
        <f t="array" ref="GC122">IF($FY122=0,0,_xlfn.IFS($FY122='Key assumptions'!$C$120,_xlfn.XLOOKUP(LEFT(GC$7,6),Inflation_Year,Inflation_NominaltoReal),TRUE,_xlfn.XLOOKUP($FY122,Inflation_Year,NominaltoReal)))</f>
        <v>0</v>
      </c>
      <c r="GD122" s="146" cm="1">
        <f t="array" ref="GD122">IF($FY122=0,0,_xlfn.IFS($FY122='Key assumptions'!$C$120,_xlfn.XLOOKUP(LEFT(GD$7,6),Inflation_Year,Inflation_NominaltoReal),TRUE,_xlfn.XLOOKUP($FY122,Inflation_Year,NominaltoReal)))</f>
        <v>0</v>
      </c>
      <c r="GE122" s="146" cm="1">
        <f t="array" ref="GE122">IF($FY122=0,0,_xlfn.IFS($FY122='Key assumptions'!$C$120,_xlfn.XLOOKUP(LEFT(GE$7,6),Inflation_Year,Inflation_NominaltoReal),TRUE,_xlfn.XLOOKUP($FY122,Inflation_Year,NominaltoReal)))</f>
        <v>0</v>
      </c>
      <c r="GF122" s="146" cm="1">
        <f t="array" ref="GF122">IF($FY122=0,0,_xlfn.IFS($FY122='Key assumptions'!$C$120,_xlfn.XLOOKUP(LEFT(GF$7,6),Inflation_Year,Inflation_NominaltoReal),TRUE,_xlfn.XLOOKUP($FY122,Inflation_Year,NominaltoReal)))</f>
        <v>0</v>
      </c>
      <c r="GG122" s="143"/>
      <c r="GH122" s="145" cm="1">
        <f t="array" ref="GH122">SUMPRODUCT(--($CR$7:$FW$7&gt;=GH$5),--($CR$7:$FW$7&lt;=GH$6),$CR122:$FW122)*FZ122</f>
        <v>0</v>
      </c>
      <c r="GI122" s="145" cm="1">
        <f t="array" ref="GI122">SUMPRODUCT(--($CR$7:$FW$7&gt;=GI$5),--($CR$7:$FW$7&lt;=GI$6),$CR122:$FW122)*GA122</f>
        <v>0</v>
      </c>
      <c r="GJ122" s="145" cm="1">
        <f t="array" ref="GJ122">SUMPRODUCT(--($CR$7:$FW$7&gt;=GJ$5),--($CR$7:$FW$7&lt;=GJ$6),$CR122:$FW122)*GB122</f>
        <v>0</v>
      </c>
      <c r="GK122" s="145" cm="1">
        <f t="array" ref="GK122">SUMPRODUCT(--($CR$7:$FW$7&gt;=GK$5),--($CR$7:$FW$7&lt;=GK$6),$CR122:$FW122)*GC122</f>
        <v>0</v>
      </c>
      <c r="GL122" s="145" cm="1">
        <f t="array" ref="GL122">SUMPRODUCT(--($CR$7:$FW$7&gt;=GL$5),--($CR$7:$FW$7&lt;=GL$6),$CR122:$FW122)*GD122</f>
        <v>0</v>
      </c>
      <c r="GM122" s="145" cm="1">
        <f t="array" ref="GM122">SUMPRODUCT(--($CR$7:$FW$7&gt;=GM$5),--($CR$7:$FW$7&lt;=GM$6),$CR122:$FW122)*GE122</f>
        <v>0</v>
      </c>
      <c r="GN122" s="145" cm="1">
        <f t="array" ref="GN122">SUMPRODUCT(--($CR$7:$FW$7&gt;=GN$5),--($CR$7:$FW$7&lt;=GN$6),$CR122:$FW122)*GF122</f>
        <v>0</v>
      </c>
      <c r="GO122" s="145">
        <f t="shared" si="1"/>
        <v>0</v>
      </c>
      <c r="GP122" s="87"/>
      <c r="GR122" s="145" cm="1">
        <f t="array" ref="GR122">SUMPRODUCT(--($CR$7:$FW$7&gt;=GR$5),--($CR$7:$FW$7&lt;=GR$6),$CR122:$FW122)</f>
        <v>0</v>
      </c>
    </row>
    <row r="123" spans="2:200" x14ac:dyDescent="0.2">
      <c r="B123" s="141"/>
      <c r="C123" s="141"/>
      <c r="D123" s="141"/>
      <c r="E123" s="141"/>
      <c r="F123" s="141"/>
      <c r="G123" s="141"/>
      <c r="H123" s="142"/>
      <c r="I123" s="126"/>
      <c r="J123" s="143"/>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3"/>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c r="EE123" s="145"/>
      <c r="EF123" s="145"/>
      <c r="EG123" s="145"/>
      <c r="EH123" s="145"/>
      <c r="EI123" s="145"/>
      <c r="EJ123" s="145"/>
      <c r="EK123" s="145"/>
      <c r="EL123" s="145"/>
      <c r="EM123" s="145"/>
      <c r="EN123" s="145"/>
      <c r="EO123" s="145"/>
      <c r="EP123" s="145"/>
      <c r="EQ123" s="145"/>
      <c r="ER123" s="145"/>
      <c r="ES123" s="145"/>
      <c r="ET123" s="145"/>
      <c r="EU123" s="145"/>
      <c r="EV123" s="145"/>
      <c r="EW123" s="145"/>
      <c r="EX123" s="145"/>
      <c r="EY123" s="145"/>
      <c r="EZ123" s="145"/>
      <c r="FA123" s="145"/>
      <c r="FB123" s="145"/>
      <c r="FC123" s="145"/>
      <c r="FD123" s="145"/>
      <c r="FE123" s="145"/>
      <c r="FF123" s="145"/>
      <c r="FG123" s="145"/>
      <c r="FH123" s="145"/>
      <c r="FI123" s="145"/>
      <c r="FJ123" s="145"/>
      <c r="FK123" s="145"/>
      <c r="FL123" s="145"/>
      <c r="FM123" s="145"/>
      <c r="FN123" s="145"/>
      <c r="FO123" s="145"/>
      <c r="FP123" s="145"/>
      <c r="FQ123" s="145"/>
      <c r="FR123" s="145"/>
      <c r="FS123" s="145"/>
      <c r="FT123" s="145"/>
      <c r="FU123" s="145"/>
      <c r="FV123" s="145"/>
      <c r="FW123" s="145"/>
      <c r="FX123" s="143"/>
      <c r="FY123" s="146">
        <f>_xlfn.XLOOKUP($E123,'Key assumptions'!$B$112:$B$120,'Key assumptions'!$C$112:$C$120,0)</f>
        <v>0</v>
      </c>
      <c r="FZ123" s="146" cm="1">
        <f t="array" ref="FZ123">IF($FY123=0,0,_xlfn.IFS($FY123='Key assumptions'!$C$120,_xlfn.XLOOKUP(LEFT(FZ$7,6),Inflation_Year,Inflation_NominaltoReal),TRUE,_xlfn.XLOOKUP($FY123,Inflation_Year,NominaltoReal)))</f>
        <v>0</v>
      </c>
      <c r="GA123" s="146" cm="1">
        <f t="array" ref="GA123">IF($FY123=0,0,_xlfn.IFS($FY123='Key assumptions'!$C$120,_xlfn.XLOOKUP(LEFT(GA$7,6),Inflation_Year,Inflation_NominaltoReal),TRUE,_xlfn.XLOOKUP($FY123,Inflation_Year,NominaltoReal)))</f>
        <v>0</v>
      </c>
      <c r="GB123" s="146" cm="1">
        <f t="array" ref="GB123">IF($FY123=0,0,_xlfn.IFS($FY123='Key assumptions'!$C$120,_xlfn.XLOOKUP(LEFT(GB$7,6),Inflation_Year,Inflation_NominaltoReal),TRUE,_xlfn.XLOOKUP($FY123,Inflation_Year,NominaltoReal)))</f>
        <v>0</v>
      </c>
      <c r="GC123" s="146" cm="1">
        <f t="array" ref="GC123">IF($FY123=0,0,_xlfn.IFS($FY123='Key assumptions'!$C$120,_xlfn.XLOOKUP(LEFT(GC$7,6),Inflation_Year,Inflation_NominaltoReal),TRUE,_xlfn.XLOOKUP($FY123,Inflation_Year,NominaltoReal)))</f>
        <v>0</v>
      </c>
      <c r="GD123" s="146" cm="1">
        <f t="array" ref="GD123">IF($FY123=0,0,_xlfn.IFS($FY123='Key assumptions'!$C$120,_xlfn.XLOOKUP(LEFT(GD$7,6),Inflation_Year,Inflation_NominaltoReal),TRUE,_xlfn.XLOOKUP($FY123,Inflation_Year,NominaltoReal)))</f>
        <v>0</v>
      </c>
      <c r="GE123" s="146" cm="1">
        <f t="array" ref="GE123">IF($FY123=0,0,_xlfn.IFS($FY123='Key assumptions'!$C$120,_xlfn.XLOOKUP(LEFT(GE$7,6),Inflation_Year,Inflation_NominaltoReal),TRUE,_xlfn.XLOOKUP($FY123,Inflation_Year,NominaltoReal)))</f>
        <v>0</v>
      </c>
      <c r="GF123" s="146" cm="1">
        <f t="array" ref="GF123">IF($FY123=0,0,_xlfn.IFS($FY123='Key assumptions'!$C$120,_xlfn.XLOOKUP(LEFT(GF$7,6),Inflation_Year,Inflation_NominaltoReal),TRUE,_xlfn.XLOOKUP($FY123,Inflation_Year,NominaltoReal)))</f>
        <v>0</v>
      </c>
      <c r="GG123" s="143"/>
      <c r="GH123" s="145" cm="1">
        <f t="array" ref="GH123">SUMPRODUCT(--($CR$7:$FW$7&gt;=GH$5),--($CR$7:$FW$7&lt;=GH$6),$CR123:$FW123)*FZ123</f>
        <v>0</v>
      </c>
      <c r="GI123" s="145" cm="1">
        <f t="array" ref="GI123">SUMPRODUCT(--($CR$7:$FW$7&gt;=GI$5),--($CR$7:$FW$7&lt;=GI$6),$CR123:$FW123)*GA123</f>
        <v>0</v>
      </c>
      <c r="GJ123" s="145" cm="1">
        <f t="array" ref="GJ123">SUMPRODUCT(--($CR$7:$FW$7&gt;=GJ$5),--($CR$7:$FW$7&lt;=GJ$6),$CR123:$FW123)*GB123</f>
        <v>0</v>
      </c>
      <c r="GK123" s="145" cm="1">
        <f t="array" ref="GK123">SUMPRODUCT(--($CR$7:$FW$7&gt;=GK$5),--($CR$7:$FW$7&lt;=GK$6),$CR123:$FW123)*GC123</f>
        <v>0</v>
      </c>
      <c r="GL123" s="145" cm="1">
        <f t="array" ref="GL123">SUMPRODUCT(--($CR$7:$FW$7&gt;=GL$5),--($CR$7:$FW$7&lt;=GL$6),$CR123:$FW123)*GD123</f>
        <v>0</v>
      </c>
      <c r="GM123" s="145" cm="1">
        <f t="array" ref="GM123">SUMPRODUCT(--($CR$7:$FW$7&gt;=GM$5),--($CR$7:$FW$7&lt;=GM$6),$CR123:$FW123)*GE123</f>
        <v>0</v>
      </c>
      <c r="GN123" s="145" cm="1">
        <f t="array" ref="GN123">SUMPRODUCT(--($CR$7:$FW$7&gt;=GN$5),--($CR$7:$FW$7&lt;=GN$6),$CR123:$FW123)*GF123</f>
        <v>0</v>
      </c>
      <c r="GO123" s="145">
        <f t="shared" si="1"/>
        <v>0</v>
      </c>
      <c r="GP123" s="87"/>
      <c r="GR123" s="145" cm="1">
        <f t="array" ref="GR123">SUMPRODUCT(--($CR$7:$FW$7&gt;=GR$5),--($CR$7:$FW$7&lt;=GR$6),$CR123:$FW123)</f>
        <v>0</v>
      </c>
    </row>
    <row r="124" spans="2:200" x14ac:dyDescent="0.2">
      <c r="B124" s="141"/>
      <c r="C124" s="141"/>
      <c r="D124" s="141"/>
      <c r="E124" s="141"/>
      <c r="F124" s="141"/>
      <c r="G124" s="141"/>
      <c r="H124" s="142"/>
      <c r="I124" s="126"/>
      <c r="J124" s="143"/>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3"/>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c r="EE124" s="145"/>
      <c r="EF124" s="145"/>
      <c r="EG124" s="145"/>
      <c r="EH124" s="145"/>
      <c r="EI124" s="145"/>
      <c r="EJ124" s="145"/>
      <c r="EK124" s="145"/>
      <c r="EL124" s="145"/>
      <c r="EM124" s="145"/>
      <c r="EN124" s="145"/>
      <c r="EO124" s="145"/>
      <c r="EP124" s="145"/>
      <c r="EQ124" s="145"/>
      <c r="ER124" s="145"/>
      <c r="ES124" s="145"/>
      <c r="ET124" s="145"/>
      <c r="EU124" s="145"/>
      <c r="EV124" s="145"/>
      <c r="EW124" s="145"/>
      <c r="EX124" s="145"/>
      <c r="EY124" s="145"/>
      <c r="EZ124" s="145"/>
      <c r="FA124" s="145"/>
      <c r="FB124" s="145"/>
      <c r="FC124" s="145"/>
      <c r="FD124" s="145"/>
      <c r="FE124" s="145"/>
      <c r="FF124" s="145"/>
      <c r="FG124" s="145"/>
      <c r="FH124" s="145"/>
      <c r="FI124" s="145"/>
      <c r="FJ124" s="145"/>
      <c r="FK124" s="145"/>
      <c r="FL124" s="145"/>
      <c r="FM124" s="145"/>
      <c r="FN124" s="145"/>
      <c r="FO124" s="145"/>
      <c r="FP124" s="145"/>
      <c r="FQ124" s="145"/>
      <c r="FR124" s="145"/>
      <c r="FS124" s="145"/>
      <c r="FT124" s="145"/>
      <c r="FU124" s="145"/>
      <c r="FV124" s="145"/>
      <c r="FW124" s="145"/>
      <c r="FX124" s="143"/>
      <c r="FY124" s="146">
        <f>_xlfn.XLOOKUP($E124,'Key assumptions'!$B$112:$B$120,'Key assumptions'!$C$112:$C$120,0)</f>
        <v>0</v>
      </c>
      <c r="FZ124" s="146" cm="1">
        <f t="array" ref="FZ124">IF($FY124=0,0,_xlfn.IFS($FY124='Key assumptions'!$C$120,_xlfn.XLOOKUP(LEFT(FZ$7,6),Inflation_Year,Inflation_NominaltoReal),TRUE,_xlfn.XLOOKUP($FY124,Inflation_Year,NominaltoReal)))</f>
        <v>0</v>
      </c>
      <c r="GA124" s="146" cm="1">
        <f t="array" ref="GA124">IF($FY124=0,0,_xlfn.IFS($FY124='Key assumptions'!$C$120,_xlfn.XLOOKUP(LEFT(GA$7,6),Inflation_Year,Inflation_NominaltoReal),TRUE,_xlfn.XLOOKUP($FY124,Inflation_Year,NominaltoReal)))</f>
        <v>0</v>
      </c>
      <c r="GB124" s="146" cm="1">
        <f t="array" ref="GB124">IF($FY124=0,0,_xlfn.IFS($FY124='Key assumptions'!$C$120,_xlfn.XLOOKUP(LEFT(GB$7,6),Inflation_Year,Inflation_NominaltoReal),TRUE,_xlfn.XLOOKUP($FY124,Inflation_Year,NominaltoReal)))</f>
        <v>0</v>
      </c>
      <c r="GC124" s="146" cm="1">
        <f t="array" ref="GC124">IF($FY124=0,0,_xlfn.IFS($FY124='Key assumptions'!$C$120,_xlfn.XLOOKUP(LEFT(GC$7,6),Inflation_Year,Inflation_NominaltoReal),TRUE,_xlfn.XLOOKUP($FY124,Inflation_Year,NominaltoReal)))</f>
        <v>0</v>
      </c>
      <c r="GD124" s="146" cm="1">
        <f t="array" ref="GD124">IF($FY124=0,0,_xlfn.IFS($FY124='Key assumptions'!$C$120,_xlfn.XLOOKUP(LEFT(GD$7,6),Inflation_Year,Inflation_NominaltoReal),TRUE,_xlfn.XLOOKUP($FY124,Inflation_Year,NominaltoReal)))</f>
        <v>0</v>
      </c>
      <c r="GE124" s="146" cm="1">
        <f t="array" ref="GE124">IF($FY124=0,0,_xlfn.IFS($FY124='Key assumptions'!$C$120,_xlfn.XLOOKUP(LEFT(GE$7,6),Inflation_Year,Inflation_NominaltoReal),TRUE,_xlfn.XLOOKUP($FY124,Inflation_Year,NominaltoReal)))</f>
        <v>0</v>
      </c>
      <c r="GF124" s="146" cm="1">
        <f t="array" ref="GF124">IF($FY124=0,0,_xlfn.IFS($FY124='Key assumptions'!$C$120,_xlfn.XLOOKUP(LEFT(GF$7,6),Inflation_Year,Inflation_NominaltoReal),TRUE,_xlfn.XLOOKUP($FY124,Inflation_Year,NominaltoReal)))</f>
        <v>0</v>
      </c>
      <c r="GG124" s="143"/>
      <c r="GH124" s="145" cm="1">
        <f t="array" ref="GH124">SUMPRODUCT(--($CR$7:$FW$7&gt;=GH$5),--($CR$7:$FW$7&lt;=GH$6),$CR124:$FW124)*FZ124</f>
        <v>0</v>
      </c>
      <c r="GI124" s="145" cm="1">
        <f t="array" ref="GI124">SUMPRODUCT(--($CR$7:$FW$7&gt;=GI$5),--($CR$7:$FW$7&lt;=GI$6),$CR124:$FW124)*GA124</f>
        <v>0</v>
      </c>
      <c r="GJ124" s="145" cm="1">
        <f t="array" ref="GJ124">SUMPRODUCT(--($CR$7:$FW$7&gt;=GJ$5),--($CR$7:$FW$7&lt;=GJ$6),$CR124:$FW124)*GB124</f>
        <v>0</v>
      </c>
      <c r="GK124" s="145" cm="1">
        <f t="array" ref="GK124">SUMPRODUCT(--($CR$7:$FW$7&gt;=GK$5),--($CR$7:$FW$7&lt;=GK$6),$CR124:$FW124)*GC124</f>
        <v>0</v>
      </c>
      <c r="GL124" s="145" cm="1">
        <f t="array" ref="GL124">SUMPRODUCT(--($CR$7:$FW$7&gt;=GL$5),--($CR$7:$FW$7&lt;=GL$6),$CR124:$FW124)*GD124</f>
        <v>0</v>
      </c>
      <c r="GM124" s="145" cm="1">
        <f t="array" ref="GM124">SUMPRODUCT(--($CR$7:$FW$7&gt;=GM$5),--($CR$7:$FW$7&lt;=GM$6),$CR124:$FW124)*GE124</f>
        <v>0</v>
      </c>
      <c r="GN124" s="145" cm="1">
        <f t="array" ref="GN124">SUMPRODUCT(--($CR$7:$FW$7&gt;=GN$5),--($CR$7:$FW$7&lt;=GN$6),$CR124:$FW124)*GF124</f>
        <v>0</v>
      </c>
      <c r="GO124" s="145">
        <f t="shared" si="1"/>
        <v>0</v>
      </c>
      <c r="GP124" s="87"/>
      <c r="GR124" s="145" cm="1">
        <f t="array" ref="GR124">SUMPRODUCT(--($CR$7:$FW$7&gt;=GR$5),--($CR$7:$FW$7&lt;=GR$6),$CR124:$FW124)</f>
        <v>0</v>
      </c>
    </row>
    <row r="125" spans="2:200" x14ac:dyDescent="0.2">
      <c r="B125" s="141"/>
      <c r="C125" s="141"/>
      <c r="D125" s="141"/>
      <c r="E125" s="141"/>
      <c r="F125" s="141"/>
      <c r="G125" s="141"/>
      <c r="H125" s="142"/>
      <c r="I125" s="126"/>
      <c r="J125" s="143"/>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3"/>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c r="EE125" s="145"/>
      <c r="EF125" s="145"/>
      <c r="EG125" s="145"/>
      <c r="EH125" s="145"/>
      <c r="EI125" s="145"/>
      <c r="EJ125" s="145"/>
      <c r="EK125" s="145"/>
      <c r="EL125" s="145"/>
      <c r="EM125" s="145"/>
      <c r="EN125" s="145"/>
      <c r="EO125" s="145"/>
      <c r="EP125" s="145"/>
      <c r="EQ125" s="145"/>
      <c r="ER125" s="145"/>
      <c r="ES125" s="145"/>
      <c r="ET125" s="145"/>
      <c r="EU125" s="145"/>
      <c r="EV125" s="145"/>
      <c r="EW125" s="145"/>
      <c r="EX125" s="145"/>
      <c r="EY125" s="145"/>
      <c r="EZ125" s="145"/>
      <c r="FA125" s="145"/>
      <c r="FB125" s="145"/>
      <c r="FC125" s="145"/>
      <c r="FD125" s="145"/>
      <c r="FE125" s="145"/>
      <c r="FF125" s="145"/>
      <c r="FG125" s="145"/>
      <c r="FH125" s="145"/>
      <c r="FI125" s="145"/>
      <c r="FJ125" s="145"/>
      <c r="FK125" s="145"/>
      <c r="FL125" s="145"/>
      <c r="FM125" s="145"/>
      <c r="FN125" s="145"/>
      <c r="FO125" s="145"/>
      <c r="FP125" s="145"/>
      <c r="FQ125" s="145"/>
      <c r="FR125" s="145"/>
      <c r="FS125" s="145"/>
      <c r="FT125" s="145"/>
      <c r="FU125" s="145"/>
      <c r="FV125" s="145"/>
      <c r="FW125" s="145"/>
      <c r="FX125" s="143"/>
      <c r="FY125" s="146">
        <f>_xlfn.XLOOKUP($E125,'Key assumptions'!$B$112:$B$120,'Key assumptions'!$C$112:$C$120,0)</f>
        <v>0</v>
      </c>
      <c r="FZ125" s="146" cm="1">
        <f t="array" ref="FZ125">IF($FY125=0,0,_xlfn.IFS($FY125='Key assumptions'!$C$120,_xlfn.XLOOKUP(LEFT(FZ$7,6),Inflation_Year,Inflation_NominaltoReal),TRUE,_xlfn.XLOOKUP($FY125,Inflation_Year,NominaltoReal)))</f>
        <v>0</v>
      </c>
      <c r="GA125" s="146" cm="1">
        <f t="array" ref="GA125">IF($FY125=0,0,_xlfn.IFS($FY125='Key assumptions'!$C$120,_xlfn.XLOOKUP(LEFT(GA$7,6),Inflation_Year,Inflation_NominaltoReal),TRUE,_xlfn.XLOOKUP($FY125,Inflation_Year,NominaltoReal)))</f>
        <v>0</v>
      </c>
      <c r="GB125" s="146" cm="1">
        <f t="array" ref="GB125">IF($FY125=0,0,_xlfn.IFS($FY125='Key assumptions'!$C$120,_xlfn.XLOOKUP(LEFT(GB$7,6),Inflation_Year,Inflation_NominaltoReal),TRUE,_xlfn.XLOOKUP($FY125,Inflation_Year,NominaltoReal)))</f>
        <v>0</v>
      </c>
      <c r="GC125" s="146" cm="1">
        <f t="array" ref="GC125">IF($FY125=0,0,_xlfn.IFS($FY125='Key assumptions'!$C$120,_xlfn.XLOOKUP(LEFT(GC$7,6),Inflation_Year,Inflation_NominaltoReal),TRUE,_xlfn.XLOOKUP($FY125,Inflation_Year,NominaltoReal)))</f>
        <v>0</v>
      </c>
      <c r="GD125" s="146" cm="1">
        <f t="array" ref="GD125">IF($FY125=0,0,_xlfn.IFS($FY125='Key assumptions'!$C$120,_xlfn.XLOOKUP(LEFT(GD$7,6),Inflation_Year,Inflation_NominaltoReal),TRUE,_xlfn.XLOOKUP($FY125,Inflation_Year,NominaltoReal)))</f>
        <v>0</v>
      </c>
      <c r="GE125" s="146" cm="1">
        <f t="array" ref="GE125">IF($FY125=0,0,_xlfn.IFS($FY125='Key assumptions'!$C$120,_xlfn.XLOOKUP(LEFT(GE$7,6),Inflation_Year,Inflation_NominaltoReal),TRUE,_xlfn.XLOOKUP($FY125,Inflation_Year,NominaltoReal)))</f>
        <v>0</v>
      </c>
      <c r="GF125" s="146" cm="1">
        <f t="array" ref="GF125">IF($FY125=0,0,_xlfn.IFS($FY125='Key assumptions'!$C$120,_xlfn.XLOOKUP(LEFT(GF$7,6),Inflation_Year,Inflation_NominaltoReal),TRUE,_xlfn.XLOOKUP($FY125,Inflation_Year,NominaltoReal)))</f>
        <v>0</v>
      </c>
      <c r="GG125" s="143"/>
      <c r="GH125" s="145" cm="1">
        <f t="array" ref="GH125">SUMPRODUCT(--($CR$7:$FW$7&gt;=GH$5),--($CR$7:$FW$7&lt;=GH$6),$CR125:$FW125)*FZ125</f>
        <v>0</v>
      </c>
      <c r="GI125" s="145" cm="1">
        <f t="array" ref="GI125">SUMPRODUCT(--($CR$7:$FW$7&gt;=GI$5),--($CR$7:$FW$7&lt;=GI$6),$CR125:$FW125)*GA125</f>
        <v>0</v>
      </c>
      <c r="GJ125" s="145" cm="1">
        <f t="array" ref="GJ125">SUMPRODUCT(--($CR$7:$FW$7&gt;=GJ$5),--($CR$7:$FW$7&lt;=GJ$6),$CR125:$FW125)*GB125</f>
        <v>0</v>
      </c>
      <c r="GK125" s="145" cm="1">
        <f t="array" ref="GK125">SUMPRODUCT(--($CR$7:$FW$7&gt;=GK$5),--($CR$7:$FW$7&lt;=GK$6),$CR125:$FW125)*GC125</f>
        <v>0</v>
      </c>
      <c r="GL125" s="145" cm="1">
        <f t="array" ref="GL125">SUMPRODUCT(--($CR$7:$FW$7&gt;=GL$5),--($CR$7:$FW$7&lt;=GL$6),$CR125:$FW125)*GD125</f>
        <v>0</v>
      </c>
      <c r="GM125" s="145" cm="1">
        <f t="array" ref="GM125">SUMPRODUCT(--($CR$7:$FW$7&gt;=GM$5),--($CR$7:$FW$7&lt;=GM$6),$CR125:$FW125)*GE125</f>
        <v>0</v>
      </c>
      <c r="GN125" s="145" cm="1">
        <f t="array" ref="GN125">SUMPRODUCT(--($CR$7:$FW$7&gt;=GN$5),--($CR$7:$FW$7&lt;=GN$6),$CR125:$FW125)*GF125</f>
        <v>0</v>
      </c>
      <c r="GO125" s="145">
        <f t="shared" si="1"/>
        <v>0</v>
      </c>
      <c r="GP125" s="87"/>
      <c r="GR125" s="145" cm="1">
        <f t="array" ref="GR125">SUMPRODUCT(--($CR$7:$FW$7&gt;=GR$5),--($CR$7:$FW$7&lt;=GR$6),$CR125:$FW125)</f>
        <v>0</v>
      </c>
    </row>
    <row r="126" spans="2:200" x14ac:dyDescent="0.2">
      <c r="B126" s="141"/>
      <c r="C126" s="141"/>
      <c r="D126" s="141"/>
      <c r="E126" s="141"/>
      <c r="F126" s="141"/>
      <c r="G126" s="141"/>
      <c r="H126" s="142"/>
      <c r="I126" s="126"/>
      <c r="J126" s="143"/>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3"/>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c r="EE126" s="145"/>
      <c r="EF126" s="145"/>
      <c r="EG126" s="145"/>
      <c r="EH126" s="145"/>
      <c r="EI126" s="145"/>
      <c r="EJ126" s="145"/>
      <c r="EK126" s="145"/>
      <c r="EL126" s="145"/>
      <c r="EM126" s="145"/>
      <c r="EN126" s="145"/>
      <c r="EO126" s="145"/>
      <c r="EP126" s="145"/>
      <c r="EQ126" s="145"/>
      <c r="ER126" s="145"/>
      <c r="ES126" s="145"/>
      <c r="ET126" s="145"/>
      <c r="EU126" s="145"/>
      <c r="EV126" s="145"/>
      <c r="EW126" s="145"/>
      <c r="EX126" s="145"/>
      <c r="EY126" s="145"/>
      <c r="EZ126" s="145"/>
      <c r="FA126" s="145"/>
      <c r="FB126" s="145"/>
      <c r="FC126" s="145"/>
      <c r="FD126" s="145"/>
      <c r="FE126" s="145"/>
      <c r="FF126" s="145"/>
      <c r="FG126" s="145"/>
      <c r="FH126" s="145"/>
      <c r="FI126" s="145"/>
      <c r="FJ126" s="145"/>
      <c r="FK126" s="145"/>
      <c r="FL126" s="145"/>
      <c r="FM126" s="145"/>
      <c r="FN126" s="145"/>
      <c r="FO126" s="145"/>
      <c r="FP126" s="145"/>
      <c r="FQ126" s="145"/>
      <c r="FR126" s="145"/>
      <c r="FS126" s="145"/>
      <c r="FT126" s="145"/>
      <c r="FU126" s="145"/>
      <c r="FV126" s="145"/>
      <c r="FW126" s="145"/>
      <c r="FX126" s="143"/>
      <c r="FY126" s="146">
        <f>_xlfn.XLOOKUP($E126,'Key assumptions'!$B$112:$B$120,'Key assumptions'!$C$112:$C$120,0)</f>
        <v>0</v>
      </c>
      <c r="FZ126" s="146" cm="1">
        <f t="array" ref="FZ126">IF($FY126=0,0,_xlfn.IFS($FY126='Key assumptions'!$C$120,_xlfn.XLOOKUP(LEFT(FZ$7,6),Inflation_Year,Inflation_NominaltoReal),TRUE,_xlfn.XLOOKUP($FY126,Inflation_Year,NominaltoReal)))</f>
        <v>0</v>
      </c>
      <c r="GA126" s="146" cm="1">
        <f t="array" ref="GA126">IF($FY126=0,0,_xlfn.IFS($FY126='Key assumptions'!$C$120,_xlfn.XLOOKUP(LEFT(GA$7,6),Inflation_Year,Inflation_NominaltoReal),TRUE,_xlfn.XLOOKUP($FY126,Inflation_Year,NominaltoReal)))</f>
        <v>0</v>
      </c>
      <c r="GB126" s="146" cm="1">
        <f t="array" ref="GB126">IF($FY126=0,0,_xlfn.IFS($FY126='Key assumptions'!$C$120,_xlfn.XLOOKUP(LEFT(GB$7,6),Inflation_Year,Inflation_NominaltoReal),TRUE,_xlfn.XLOOKUP($FY126,Inflation_Year,NominaltoReal)))</f>
        <v>0</v>
      </c>
      <c r="GC126" s="146" cm="1">
        <f t="array" ref="GC126">IF($FY126=0,0,_xlfn.IFS($FY126='Key assumptions'!$C$120,_xlfn.XLOOKUP(LEFT(GC$7,6),Inflation_Year,Inflation_NominaltoReal),TRUE,_xlfn.XLOOKUP($FY126,Inflation_Year,NominaltoReal)))</f>
        <v>0</v>
      </c>
      <c r="GD126" s="146" cm="1">
        <f t="array" ref="GD126">IF($FY126=0,0,_xlfn.IFS($FY126='Key assumptions'!$C$120,_xlfn.XLOOKUP(LEFT(GD$7,6),Inflation_Year,Inflation_NominaltoReal),TRUE,_xlfn.XLOOKUP($FY126,Inflation_Year,NominaltoReal)))</f>
        <v>0</v>
      </c>
      <c r="GE126" s="146" cm="1">
        <f t="array" ref="GE126">IF($FY126=0,0,_xlfn.IFS($FY126='Key assumptions'!$C$120,_xlfn.XLOOKUP(LEFT(GE$7,6),Inflation_Year,Inflation_NominaltoReal),TRUE,_xlfn.XLOOKUP($FY126,Inflation_Year,NominaltoReal)))</f>
        <v>0</v>
      </c>
      <c r="GF126" s="146" cm="1">
        <f t="array" ref="GF126">IF($FY126=0,0,_xlfn.IFS($FY126='Key assumptions'!$C$120,_xlfn.XLOOKUP(LEFT(GF$7,6),Inflation_Year,Inflation_NominaltoReal),TRUE,_xlfn.XLOOKUP($FY126,Inflation_Year,NominaltoReal)))</f>
        <v>0</v>
      </c>
      <c r="GG126" s="143"/>
      <c r="GH126" s="145" cm="1">
        <f t="array" ref="GH126">SUMPRODUCT(--($CR$7:$FW$7&gt;=GH$5),--($CR$7:$FW$7&lt;=GH$6),$CR126:$FW126)*FZ126</f>
        <v>0</v>
      </c>
      <c r="GI126" s="145" cm="1">
        <f t="array" ref="GI126">SUMPRODUCT(--($CR$7:$FW$7&gt;=GI$5),--($CR$7:$FW$7&lt;=GI$6),$CR126:$FW126)*GA126</f>
        <v>0</v>
      </c>
      <c r="GJ126" s="145" cm="1">
        <f t="array" ref="GJ126">SUMPRODUCT(--($CR$7:$FW$7&gt;=GJ$5),--($CR$7:$FW$7&lt;=GJ$6),$CR126:$FW126)*GB126</f>
        <v>0</v>
      </c>
      <c r="GK126" s="145" cm="1">
        <f t="array" ref="GK126">SUMPRODUCT(--($CR$7:$FW$7&gt;=GK$5),--($CR$7:$FW$7&lt;=GK$6),$CR126:$FW126)*GC126</f>
        <v>0</v>
      </c>
      <c r="GL126" s="145" cm="1">
        <f t="array" ref="GL126">SUMPRODUCT(--($CR$7:$FW$7&gt;=GL$5),--($CR$7:$FW$7&lt;=GL$6),$CR126:$FW126)*GD126</f>
        <v>0</v>
      </c>
      <c r="GM126" s="145" cm="1">
        <f t="array" ref="GM126">SUMPRODUCT(--($CR$7:$FW$7&gt;=GM$5),--($CR$7:$FW$7&lt;=GM$6),$CR126:$FW126)*GE126</f>
        <v>0</v>
      </c>
      <c r="GN126" s="145" cm="1">
        <f t="array" ref="GN126">SUMPRODUCT(--($CR$7:$FW$7&gt;=GN$5),--($CR$7:$FW$7&lt;=GN$6),$CR126:$FW126)*GF126</f>
        <v>0</v>
      </c>
      <c r="GO126" s="145">
        <f t="shared" si="1"/>
        <v>0</v>
      </c>
      <c r="GP126" s="87"/>
      <c r="GR126" s="145" cm="1">
        <f t="array" ref="GR126">SUMPRODUCT(--($CR$7:$FW$7&gt;=GR$5),--($CR$7:$FW$7&lt;=GR$6),$CR126:$FW126)</f>
        <v>0</v>
      </c>
    </row>
    <row r="127" spans="2:200" x14ac:dyDescent="0.2">
      <c r="B127" s="141"/>
      <c r="C127" s="141"/>
      <c r="D127" s="141"/>
      <c r="E127" s="141"/>
      <c r="F127" s="141"/>
      <c r="G127" s="141"/>
      <c r="H127" s="142"/>
      <c r="I127" s="126"/>
      <c r="J127" s="143"/>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3"/>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c r="EE127" s="145"/>
      <c r="EF127" s="145"/>
      <c r="EG127" s="145"/>
      <c r="EH127" s="145"/>
      <c r="EI127" s="145"/>
      <c r="EJ127" s="145"/>
      <c r="EK127" s="145"/>
      <c r="EL127" s="145"/>
      <c r="EM127" s="145"/>
      <c r="EN127" s="145"/>
      <c r="EO127" s="145"/>
      <c r="EP127" s="145"/>
      <c r="EQ127" s="145"/>
      <c r="ER127" s="145"/>
      <c r="ES127" s="145"/>
      <c r="ET127" s="145"/>
      <c r="EU127" s="145"/>
      <c r="EV127" s="145"/>
      <c r="EW127" s="145"/>
      <c r="EX127" s="145"/>
      <c r="EY127" s="145"/>
      <c r="EZ127" s="145"/>
      <c r="FA127" s="145"/>
      <c r="FB127" s="145"/>
      <c r="FC127" s="145"/>
      <c r="FD127" s="145"/>
      <c r="FE127" s="145"/>
      <c r="FF127" s="145"/>
      <c r="FG127" s="145"/>
      <c r="FH127" s="145"/>
      <c r="FI127" s="145"/>
      <c r="FJ127" s="145"/>
      <c r="FK127" s="145"/>
      <c r="FL127" s="145"/>
      <c r="FM127" s="145"/>
      <c r="FN127" s="145"/>
      <c r="FO127" s="145"/>
      <c r="FP127" s="145"/>
      <c r="FQ127" s="145"/>
      <c r="FR127" s="145"/>
      <c r="FS127" s="145"/>
      <c r="FT127" s="145"/>
      <c r="FU127" s="145"/>
      <c r="FV127" s="145"/>
      <c r="FW127" s="145"/>
      <c r="FX127" s="143"/>
      <c r="FY127" s="146">
        <f>_xlfn.XLOOKUP($E127,'Key assumptions'!$B$112:$B$120,'Key assumptions'!$C$112:$C$120,0)</f>
        <v>0</v>
      </c>
      <c r="FZ127" s="146" cm="1">
        <f t="array" ref="FZ127">IF($FY127=0,0,_xlfn.IFS($FY127='Key assumptions'!$C$120,_xlfn.XLOOKUP(LEFT(FZ$7,6),Inflation_Year,Inflation_NominaltoReal),TRUE,_xlfn.XLOOKUP($FY127,Inflation_Year,NominaltoReal)))</f>
        <v>0</v>
      </c>
      <c r="GA127" s="146" cm="1">
        <f t="array" ref="GA127">IF($FY127=0,0,_xlfn.IFS($FY127='Key assumptions'!$C$120,_xlfn.XLOOKUP(LEFT(GA$7,6),Inflation_Year,Inflation_NominaltoReal),TRUE,_xlfn.XLOOKUP($FY127,Inflation_Year,NominaltoReal)))</f>
        <v>0</v>
      </c>
      <c r="GB127" s="146" cm="1">
        <f t="array" ref="GB127">IF($FY127=0,0,_xlfn.IFS($FY127='Key assumptions'!$C$120,_xlfn.XLOOKUP(LEFT(GB$7,6),Inflation_Year,Inflation_NominaltoReal),TRUE,_xlfn.XLOOKUP($FY127,Inflation_Year,NominaltoReal)))</f>
        <v>0</v>
      </c>
      <c r="GC127" s="146" cm="1">
        <f t="array" ref="GC127">IF($FY127=0,0,_xlfn.IFS($FY127='Key assumptions'!$C$120,_xlfn.XLOOKUP(LEFT(GC$7,6),Inflation_Year,Inflation_NominaltoReal),TRUE,_xlfn.XLOOKUP($FY127,Inflation_Year,NominaltoReal)))</f>
        <v>0</v>
      </c>
      <c r="GD127" s="146" cm="1">
        <f t="array" ref="GD127">IF($FY127=0,0,_xlfn.IFS($FY127='Key assumptions'!$C$120,_xlfn.XLOOKUP(LEFT(GD$7,6),Inflation_Year,Inflation_NominaltoReal),TRUE,_xlfn.XLOOKUP($FY127,Inflation_Year,NominaltoReal)))</f>
        <v>0</v>
      </c>
      <c r="GE127" s="146" cm="1">
        <f t="array" ref="GE127">IF($FY127=0,0,_xlfn.IFS($FY127='Key assumptions'!$C$120,_xlfn.XLOOKUP(LEFT(GE$7,6),Inflation_Year,Inflation_NominaltoReal),TRUE,_xlfn.XLOOKUP($FY127,Inflation_Year,NominaltoReal)))</f>
        <v>0</v>
      </c>
      <c r="GF127" s="146" cm="1">
        <f t="array" ref="GF127">IF($FY127=0,0,_xlfn.IFS($FY127='Key assumptions'!$C$120,_xlfn.XLOOKUP(LEFT(GF$7,6),Inflation_Year,Inflation_NominaltoReal),TRUE,_xlfn.XLOOKUP($FY127,Inflation_Year,NominaltoReal)))</f>
        <v>0</v>
      </c>
      <c r="GG127" s="143"/>
      <c r="GH127" s="145" cm="1">
        <f t="array" ref="GH127">SUMPRODUCT(--($CR$7:$FW$7&gt;=GH$5),--($CR$7:$FW$7&lt;=GH$6),$CR127:$FW127)*FZ127</f>
        <v>0</v>
      </c>
      <c r="GI127" s="145" cm="1">
        <f t="array" ref="GI127">SUMPRODUCT(--($CR$7:$FW$7&gt;=GI$5),--($CR$7:$FW$7&lt;=GI$6),$CR127:$FW127)*GA127</f>
        <v>0</v>
      </c>
      <c r="GJ127" s="145" cm="1">
        <f t="array" ref="GJ127">SUMPRODUCT(--($CR$7:$FW$7&gt;=GJ$5),--($CR$7:$FW$7&lt;=GJ$6),$CR127:$FW127)*GB127</f>
        <v>0</v>
      </c>
      <c r="GK127" s="145" cm="1">
        <f t="array" ref="GK127">SUMPRODUCT(--($CR$7:$FW$7&gt;=GK$5),--($CR$7:$FW$7&lt;=GK$6),$CR127:$FW127)*GC127</f>
        <v>0</v>
      </c>
      <c r="GL127" s="145" cm="1">
        <f t="array" ref="GL127">SUMPRODUCT(--($CR$7:$FW$7&gt;=GL$5),--($CR$7:$FW$7&lt;=GL$6),$CR127:$FW127)*GD127</f>
        <v>0</v>
      </c>
      <c r="GM127" s="145" cm="1">
        <f t="array" ref="GM127">SUMPRODUCT(--($CR$7:$FW$7&gt;=GM$5),--($CR$7:$FW$7&lt;=GM$6),$CR127:$FW127)*GE127</f>
        <v>0</v>
      </c>
      <c r="GN127" s="145" cm="1">
        <f t="array" ref="GN127">SUMPRODUCT(--($CR$7:$FW$7&gt;=GN$5),--($CR$7:$FW$7&lt;=GN$6),$CR127:$FW127)*GF127</f>
        <v>0</v>
      </c>
      <c r="GO127" s="145">
        <f t="shared" si="1"/>
        <v>0</v>
      </c>
      <c r="GP127" s="87"/>
      <c r="GR127" s="145" cm="1">
        <f t="array" ref="GR127">SUMPRODUCT(--($CR$7:$FW$7&gt;=GR$5),--($CR$7:$FW$7&lt;=GR$6),$CR127:$FW127)</f>
        <v>0</v>
      </c>
    </row>
    <row r="128" spans="2:200" x14ac:dyDescent="0.2">
      <c r="B128" s="141"/>
      <c r="C128" s="141"/>
      <c r="D128" s="141"/>
      <c r="E128" s="141"/>
      <c r="F128" s="141"/>
      <c r="G128" s="141"/>
      <c r="H128" s="142"/>
      <c r="I128" s="126"/>
      <c r="J128" s="143"/>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3"/>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c r="EE128" s="145"/>
      <c r="EF128" s="145"/>
      <c r="EG128" s="145"/>
      <c r="EH128" s="145"/>
      <c r="EI128" s="145"/>
      <c r="EJ128" s="145"/>
      <c r="EK128" s="145"/>
      <c r="EL128" s="145"/>
      <c r="EM128" s="145"/>
      <c r="EN128" s="145"/>
      <c r="EO128" s="145"/>
      <c r="EP128" s="145"/>
      <c r="EQ128" s="145"/>
      <c r="ER128" s="145"/>
      <c r="ES128" s="145"/>
      <c r="ET128" s="145"/>
      <c r="EU128" s="145"/>
      <c r="EV128" s="145"/>
      <c r="EW128" s="145"/>
      <c r="EX128" s="145"/>
      <c r="EY128" s="145"/>
      <c r="EZ128" s="145"/>
      <c r="FA128" s="145"/>
      <c r="FB128" s="145"/>
      <c r="FC128" s="145"/>
      <c r="FD128" s="145"/>
      <c r="FE128" s="145"/>
      <c r="FF128" s="145"/>
      <c r="FG128" s="145"/>
      <c r="FH128" s="145"/>
      <c r="FI128" s="145"/>
      <c r="FJ128" s="145"/>
      <c r="FK128" s="145"/>
      <c r="FL128" s="145"/>
      <c r="FM128" s="145"/>
      <c r="FN128" s="145"/>
      <c r="FO128" s="145"/>
      <c r="FP128" s="145"/>
      <c r="FQ128" s="145"/>
      <c r="FR128" s="145"/>
      <c r="FS128" s="145"/>
      <c r="FT128" s="145"/>
      <c r="FU128" s="145"/>
      <c r="FV128" s="145"/>
      <c r="FW128" s="145"/>
      <c r="FX128" s="143"/>
      <c r="FY128" s="146">
        <f>_xlfn.XLOOKUP($E128,'Key assumptions'!$B$112:$B$120,'Key assumptions'!$C$112:$C$120,0)</f>
        <v>0</v>
      </c>
      <c r="FZ128" s="146" cm="1">
        <f t="array" ref="FZ128">IF($FY128=0,0,_xlfn.IFS($FY128='Key assumptions'!$C$120,_xlfn.XLOOKUP(LEFT(FZ$7,6),Inflation_Year,Inflation_NominaltoReal),TRUE,_xlfn.XLOOKUP($FY128,Inflation_Year,NominaltoReal)))</f>
        <v>0</v>
      </c>
      <c r="GA128" s="146" cm="1">
        <f t="array" ref="GA128">IF($FY128=0,0,_xlfn.IFS($FY128='Key assumptions'!$C$120,_xlfn.XLOOKUP(LEFT(GA$7,6),Inflation_Year,Inflation_NominaltoReal),TRUE,_xlfn.XLOOKUP($FY128,Inflation_Year,NominaltoReal)))</f>
        <v>0</v>
      </c>
      <c r="GB128" s="146" cm="1">
        <f t="array" ref="GB128">IF($FY128=0,0,_xlfn.IFS($FY128='Key assumptions'!$C$120,_xlfn.XLOOKUP(LEFT(GB$7,6),Inflation_Year,Inflation_NominaltoReal),TRUE,_xlfn.XLOOKUP($FY128,Inflation_Year,NominaltoReal)))</f>
        <v>0</v>
      </c>
      <c r="GC128" s="146" cm="1">
        <f t="array" ref="GC128">IF($FY128=0,0,_xlfn.IFS($FY128='Key assumptions'!$C$120,_xlfn.XLOOKUP(LEFT(GC$7,6),Inflation_Year,Inflation_NominaltoReal),TRUE,_xlfn.XLOOKUP($FY128,Inflation_Year,NominaltoReal)))</f>
        <v>0</v>
      </c>
      <c r="GD128" s="146" cm="1">
        <f t="array" ref="GD128">IF($FY128=0,0,_xlfn.IFS($FY128='Key assumptions'!$C$120,_xlfn.XLOOKUP(LEFT(GD$7,6),Inflation_Year,Inflation_NominaltoReal),TRUE,_xlfn.XLOOKUP($FY128,Inflation_Year,NominaltoReal)))</f>
        <v>0</v>
      </c>
      <c r="GE128" s="146" cm="1">
        <f t="array" ref="GE128">IF($FY128=0,0,_xlfn.IFS($FY128='Key assumptions'!$C$120,_xlfn.XLOOKUP(LEFT(GE$7,6),Inflation_Year,Inflation_NominaltoReal),TRUE,_xlfn.XLOOKUP($FY128,Inflation_Year,NominaltoReal)))</f>
        <v>0</v>
      </c>
      <c r="GF128" s="146" cm="1">
        <f t="array" ref="GF128">IF($FY128=0,0,_xlfn.IFS($FY128='Key assumptions'!$C$120,_xlfn.XLOOKUP(LEFT(GF$7,6),Inflation_Year,Inflation_NominaltoReal),TRUE,_xlfn.XLOOKUP($FY128,Inflation_Year,NominaltoReal)))</f>
        <v>0</v>
      </c>
      <c r="GG128" s="143"/>
      <c r="GH128" s="145" cm="1">
        <f t="array" ref="GH128">SUMPRODUCT(--($CR$7:$FW$7&gt;=GH$5),--($CR$7:$FW$7&lt;=GH$6),$CR128:$FW128)*FZ128</f>
        <v>0</v>
      </c>
      <c r="GI128" s="145" cm="1">
        <f t="array" ref="GI128">SUMPRODUCT(--($CR$7:$FW$7&gt;=GI$5),--($CR$7:$FW$7&lt;=GI$6),$CR128:$FW128)*GA128</f>
        <v>0</v>
      </c>
      <c r="GJ128" s="145" cm="1">
        <f t="array" ref="GJ128">SUMPRODUCT(--($CR$7:$FW$7&gt;=GJ$5),--($CR$7:$FW$7&lt;=GJ$6),$CR128:$FW128)*GB128</f>
        <v>0</v>
      </c>
      <c r="GK128" s="145" cm="1">
        <f t="array" ref="GK128">SUMPRODUCT(--($CR$7:$FW$7&gt;=GK$5),--($CR$7:$FW$7&lt;=GK$6),$CR128:$FW128)*GC128</f>
        <v>0</v>
      </c>
      <c r="GL128" s="145" cm="1">
        <f t="array" ref="GL128">SUMPRODUCT(--($CR$7:$FW$7&gt;=GL$5),--($CR$7:$FW$7&lt;=GL$6),$CR128:$FW128)*GD128</f>
        <v>0</v>
      </c>
      <c r="GM128" s="145" cm="1">
        <f t="array" ref="GM128">SUMPRODUCT(--($CR$7:$FW$7&gt;=GM$5),--($CR$7:$FW$7&lt;=GM$6),$CR128:$FW128)*GE128</f>
        <v>0</v>
      </c>
      <c r="GN128" s="145" cm="1">
        <f t="array" ref="GN128">SUMPRODUCT(--($CR$7:$FW$7&gt;=GN$5),--($CR$7:$FW$7&lt;=GN$6),$CR128:$FW128)*GF128</f>
        <v>0</v>
      </c>
      <c r="GO128" s="145">
        <f t="shared" si="1"/>
        <v>0</v>
      </c>
      <c r="GP128" s="87"/>
      <c r="GR128" s="145" cm="1">
        <f t="array" ref="GR128">SUMPRODUCT(--($CR$7:$FW$7&gt;=GR$5),--($CR$7:$FW$7&lt;=GR$6),$CR128:$FW128)</f>
        <v>0</v>
      </c>
    </row>
    <row r="129" spans="2:200" x14ac:dyDescent="0.2">
      <c r="B129" s="141"/>
      <c r="C129" s="141"/>
      <c r="D129" s="141"/>
      <c r="E129" s="141"/>
      <c r="F129" s="141"/>
      <c r="G129" s="141"/>
      <c r="H129" s="142"/>
      <c r="I129" s="126"/>
      <c r="J129" s="143"/>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3"/>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5"/>
      <c r="EU129" s="145"/>
      <c r="EV129" s="145"/>
      <c r="EW129" s="145"/>
      <c r="EX129" s="145"/>
      <c r="EY129" s="145"/>
      <c r="EZ129" s="145"/>
      <c r="FA129" s="145"/>
      <c r="FB129" s="145"/>
      <c r="FC129" s="145"/>
      <c r="FD129" s="145"/>
      <c r="FE129" s="145"/>
      <c r="FF129" s="145"/>
      <c r="FG129" s="145"/>
      <c r="FH129" s="145"/>
      <c r="FI129" s="145"/>
      <c r="FJ129" s="145"/>
      <c r="FK129" s="145"/>
      <c r="FL129" s="145"/>
      <c r="FM129" s="145"/>
      <c r="FN129" s="145"/>
      <c r="FO129" s="145"/>
      <c r="FP129" s="145"/>
      <c r="FQ129" s="145"/>
      <c r="FR129" s="145"/>
      <c r="FS129" s="145"/>
      <c r="FT129" s="145"/>
      <c r="FU129" s="145"/>
      <c r="FV129" s="145"/>
      <c r="FW129" s="145"/>
      <c r="FX129" s="143"/>
      <c r="FY129" s="146">
        <f>_xlfn.XLOOKUP($E129,'Key assumptions'!$B$112:$B$120,'Key assumptions'!$C$112:$C$120,0)</f>
        <v>0</v>
      </c>
      <c r="FZ129" s="146" cm="1">
        <f t="array" ref="FZ129">IF($FY129=0,0,_xlfn.IFS($FY129='Key assumptions'!$C$120,_xlfn.XLOOKUP(LEFT(FZ$7,6),Inflation_Year,Inflation_NominaltoReal),TRUE,_xlfn.XLOOKUP($FY129,Inflation_Year,NominaltoReal)))</f>
        <v>0</v>
      </c>
      <c r="GA129" s="146" cm="1">
        <f t="array" ref="GA129">IF($FY129=0,0,_xlfn.IFS($FY129='Key assumptions'!$C$120,_xlfn.XLOOKUP(LEFT(GA$7,6),Inflation_Year,Inflation_NominaltoReal),TRUE,_xlfn.XLOOKUP($FY129,Inflation_Year,NominaltoReal)))</f>
        <v>0</v>
      </c>
      <c r="GB129" s="146" cm="1">
        <f t="array" ref="GB129">IF($FY129=0,0,_xlfn.IFS($FY129='Key assumptions'!$C$120,_xlfn.XLOOKUP(LEFT(GB$7,6),Inflation_Year,Inflation_NominaltoReal),TRUE,_xlfn.XLOOKUP($FY129,Inflation_Year,NominaltoReal)))</f>
        <v>0</v>
      </c>
      <c r="GC129" s="146" cm="1">
        <f t="array" ref="GC129">IF($FY129=0,0,_xlfn.IFS($FY129='Key assumptions'!$C$120,_xlfn.XLOOKUP(LEFT(GC$7,6),Inflation_Year,Inflation_NominaltoReal),TRUE,_xlfn.XLOOKUP($FY129,Inflation_Year,NominaltoReal)))</f>
        <v>0</v>
      </c>
      <c r="GD129" s="146" cm="1">
        <f t="array" ref="GD129">IF($FY129=0,0,_xlfn.IFS($FY129='Key assumptions'!$C$120,_xlfn.XLOOKUP(LEFT(GD$7,6),Inflation_Year,Inflation_NominaltoReal),TRUE,_xlfn.XLOOKUP($FY129,Inflation_Year,NominaltoReal)))</f>
        <v>0</v>
      </c>
      <c r="GE129" s="146" cm="1">
        <f t="array" ref="GE129">IF($FY129=0,0,_xlfn.IFS($FY129='Key assumptions'!$C$120,_xlfn.XLOOKUP(LEFT(GE$7,6),Inflation_Year,Inflation_NominaltoReal),TRUE,_xlfn.XLOOKUP($FY129,Inflation_Year,NominaltoReal)))</f>
        <v>0</v>
      </c>
      <c r="GF129" s="146" cm="1">
        <f t="array" ref="GF129">IF($FY129=0,0,_xlfn.IFS($FY129='Key assumptions'!$C$120,_xlfn.XLOOKUP(LEFT(GF$7,6),Inflation_Year,Inflation_NominaltoReal),TRUE,_xlfn.XLOOKUP($FY129,Inflation_Year,NominaltoReal)))</f>
        <v>0</v>
      </c>
      <c r="GG129" s="143"/>
      <c r="GH129" s="145" cm="1">
        <f t="array" ref="GH129">SUMPRODUCT(--($CR$7:$FW$7&gt;=GH$5),--($CR$7:$FW$7&lt;=GH$6),$CR129:$FW129)*FZ129</f>
        <v>0</v>
      </c>
      <c r="GI129" s="145" cm="1">
        <f t="array" ref="GI129">SUMPRODUCT(--($CR$7:$FW$7&gt;=GI$5),--($CR$7:$FW$7&lt;=GI$6),$CR129:$FW129)*GA129</f>
        <v>0</v>
      </c>
      <c r="GJ129" s="145" cm="1">
        <f t="array" ref="GJ129">SUMPRODUCT(--($CR$7:$FW$7&gt;=GJ$5),--($CR$7:$FW$7&lt;=GJ$6),$CR129:$FW129)*GB129</f>
        <v>0</v>
      </c>
      <c r="GK129" s="145" cm="1">
        <f t="array" ref="GK129">SUMPRODUCT(--($CR$7:$FW$7&gt;=GK$5),--($CR$7:$FW$7&lt;=GK$6),$CR129:$FW129)*GC129</f>
        <v>0</v>
      </c>
      <c r="GL129" s="145" cm="1">
        <f t="array" ref="GL129">SUMPRODUCT(--($CR$7:$FW$7&gt;=GL$5),--($CR$7:$FW$7&lt;=GL$6),$CR129:$FW129)*GD129</f>
        <v>0</v>
      </c>
      <c r="GM129" s="145" cm="1">
        <f t="array" ref="GM129">SUMPRODUCT(--($CR$7:$FW$7&gt;=GM$5),--($CR$7:$FW$7&lt;=GM$6),$CR129:$FW129)*GE129</f>
        <v>0</v>
      </c>
      <c r="GN129" s="145" cm="1">
        <f t="array" ref="GN129">SUMPRODUCT(--($CR$7:$FW$7&gt;=GN$5),--($CR$7:$FW$7&lt;=GN$6),$CR129:$FW129)*GF129</f>
        <v>0</v>
      </c>
      <c r="GO129" s="145">
        <f t="shared" si="1"/>
        <v>0</v>
      </c>
      <c r="GP129" s="87"/>
      <c r="GR129" s="145" cm="1">
        <f t="array" ref="GR129">SUMPRODUCT(--($CR$7:$FW$7&gt;=GR$5),--($CR$7:$FW$7&lt;=GR$6),$CR129:$FW129)</f>
        <v>0</v>
      </c>
    </row>
    <row r="130" spans="2:200" x14ac:dyDescent="0.2">
      <c r="B130" s="141"/>
      <c r="C130" s="141"/>
      <c r="D130" s="141"/>
      <c r="E130" s="141"/>
      <c r="F130" s="141"/>
      <c r="G130" s="141"/>
      <c r="H130" s="142"/>
      <c r="I130" s="126"/>
      <c r="J130" s="143"/>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3"/>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c r="EE130" s="145"/>
      <c r="EF130" s="145"/>
      <c r="EG130" s="145"/>
      <c r="EH130" s="145"/>
      <c r="EI130" s="145"/>
      <c r="EJ130" s="145"/>
      <c r="EK130" s="145"/>
      <c r="EL130" s="145"/>
      <c r="EM130" s="145"/>
      <c r="EN130" s="145"/>
      <c r="EO130" s="145"/>
      <c r="EP130" s="145"/>
      <c r="EQ130" s="145"/>
      <c r="ER130" s="145"/>
      <c r="ES130" s="145"/>
      <c r="ET130" s="145"/>
      <c r="EU130" s="145"/>
      <c r="EV130" s="145"/>
      <c r="EW130" s="145"/>
      <c r="EX130" s="145"/>
      <c r="EY130" s="145"/>
      <c r="EZ130" s="145"/>
      <c r="FA130" s="145"/>
      <c r="FB130" s="145"/>
      <c r="FC130" s="145"/>
      <c r="FD130" s="145"/>
      <c r="FE130" s="145"/>
      <c r="FF130" s="145"/>
      <c r="FG130" s="145"/>
      <c r="FH130" s="145"/>
      <c r="FI130" s="145"/>
      <c r="FJ130" s="145"/>
      <c r="FK130" s="145"/>
      <c r="FL130" s="145"/>
      <c r="FM130" s="145"/>
      <c r="FN130" s="145"/>
      <c r="FO130" s="145"/>
      <c r="FP130" s="145"/>
      <c r="FQ130" s="145"/>
      <c r="FR130" s="145"/>
      <c r="FS130" s="145"/>
      <c r="FT130" s="145"/>
      <c r="FU130" s="145"/>
      <c r="FV130" s="145"/>
      <c r="FW130" s="145"/>
      <c r="FX130" s="143"/>
      <c r="FY130" s="146">
        <f>_xlfn.XLOOKUP($E130,'Key assumptions'!$B$112:$B$120,'Key assumptions'!$C$112:$C$120,0)</f>
        <v>0</v>
      </c>
      <c r="FZ130" s="146" cm="1">
        <f t="array" ref="FZ130">IF($FY130=0,0,_xlfn.IFS($FY130='Key assumptions'!$C$120,_xlfn.XLOOKUP(LEFT(FZ$7,6),Inflation_Year,Inflation_NominaltoReal),TRUE,_xlfn.XLOOKUP($FY130,Inflation_Year,NominaltoReal)))</f>
        <v>0</v>
      </c>
      <c r="GA130" s="146" cm="1">
        <f t="array" ref="GA130">IF($FY130=0,0,_xlfn.IFS($FY130='Key assumptions'!$C$120,_xlfn.XLOOKUP(LEFT(GA$7,6),Inflation_Year,Inflation_NominaltoReal),TRUE,_xlfn.XLOOKUP($FY130,Inflation_Year,NominaltoReal)))</f>
        <v>0</v>
      </c>
      <c r="GB130" s="146" cm="1">
        <f t="array" ref="GB130">IF($FY130=0,0,_xlfn.IFS($FY130='Key assumptions'!$C$120,_xlfn.XLOOKUP(LEFT(GB$7,6),Inflation_Year,Inflation_NominaltoReal),TRUE,_xlfn.XLOOKUP($FY130,Inflation_Year,NominaltoReal)))</f>
        <v>0</v>
      </c>
      <c r="GC130" s="146" cm="1">
        <f t="array" ref="GC130">IF($FY130=0,0,_xlfn.IFS($FY130='Key assumptions'!$C$120,_xlfn.XLOOKUP(LEFT(GC$7,6),Inflation_Year,Inflation_NominaltoReal),TRUE,_xlfn.XLOOKUP($FY130,Inflation_Year,NominaltoReal)))</f>
        <v>0</v>
      </c>
      <c r="GD130" s="146" cm="1">
        <f t="array" ref="GD130">IF($FY130=0,0,_xlfn.IFS($FY130='Key assumptions'!$C$120,_xlfn.XLOOKUP(LEFT(GD$7,6),Inflation_Year,Inflation_NominaltoReal),TRUE,_xlfn.XLOOKUP($FY130,Inflation_Year,NominaltoReal)))</f>
        <v>0</v>
      </c>
      <c r="GE130" s="146" cm="1">
        <f t="array" ref="GE130">IF($FY130=0,0,_xlfn.IFS($FY130='Key assumptions'!$C$120,_xlfn.XLOOKUP(LEFT(GE$7,6),Inflation_Year,Inflation_NominaltoReal),TRUE,_xlfn.XLOOKUP($FY130,Inflation_Year,NominaltoReal)))</f>
        <v>0</v>
      </c>
      <c r="GF130" s="146" cm="1">
        <f t="array" ref="GF130">IF($FY130=0,0,_xlfn.IFS($FY130='Key assumptions'!$C$120,_xlfn.XLOOKUP(LEFT(GF$7,6),Inflation_Year,Inflation_NominaltoReal),TRUE,_xlfn.XLOOKUP($FY130,Inflation_Year,NominaltoReal)))</f>
        <v>0</v>
      </c>
      <c r="GG130" s="143"/>
      <c r="GH130" s="145" cm="1">
        <f t="array" ref="GH130">SUMPRODUCT(--($CR$7:$FW$7&gt;=GH$5),--($CR$7:$FW$7&lt;=GH$6),$CR130:$FW130)*FZ130</f>
        <v>0</v>
      </c>
      <c r="GI130" s="145" cm="1">
        <f t="array" ref="GI130">SUMPRODUCT(--($CR$7:$FW$7&gt;=GI$5),--($CR$7:$FW$7&lt;=GI$6),$CR130:$FW130)*GA130</f>
        <v>0</v>
      </c>
      <c r="GJ130" s="145" cm="1">
        <f t="array" ref="GJ130">SUMPRODUCT(--($CR$7:$FW$7&gt;=GJ$5),--($CR$7:$FW$7&lt;=GJ$6),$CR130:$FW130)*GB130</f>
        <v>0</v>
      </c>
      <c r="GK130" s="145" cm="1">
        <f t="array" ref="GK130">SUMPRODUCT(--($CR$7:$FW$7&gt;=GK$5),--($CR$7:$FW$7&lt;=GK$6),$CR130:$FW130)*GC130</f>
        <v>0</v>
      </c>
      <c r="GL130" s="145" cm="1">
        <f t="array" ref="GL130">SUMPRODUCT(--($CR$7:$FW$7&gt;=GL$5),--($CR$7:$FW$7&lt;=GL$6),$CR130:$FW130)*GD130</f>
        <v>0</v>
      </c>
      <c r="GM130" s="145" cm="1">
        <f t="array" ref="GM130">SUMPRODUCT(--($CR$7:$FW$7&gt;=GM$5),--($CR$7:$FW$7&lt;=GM$6),$CR130:$FW130)*GE130</f>
        <v>0</v>
      </c>
      <c r="GN130" s="145" cm="1">
        <f t="array" ref="GN130">SUMPRODUCT(--($CR$7:$FW$7&gt;=GN$5),--($CR$7:$FW$7&lt;=GN$6),$CR130:$FW130)*GF130</f>
        <v>0</v>
      </c>
      <c r="GO130" s="145">
        <f t="shared" si="1"/>
        <v>0</v>
      </c>
      <c r="GP130" s="87"/>
      <c r="GR130" s="145" cm="1">
        <f t="array" ref="GR130">SUMPRODUCT(--($CR$7:$FW$7&gt;=GR$5),--($CR$7:$FW$7&lt;=GR$6),$CR130:$FW130)</f>
        <v>0</v>
      </c>
    </row>
    <row r="131" spans="2:200" x14ac:dyDescent="0.2">
      <c r="B131" s="141"/>
      <c r="C131" s="141"/>
      <c r="D131" s="141"/>
      <c r="E131" s="141"/>
      <c r="F131" s="141"/>
      <c r="G131" s="141"/>
      <c r="H131" s="142"/>
      <c r="I131" s="126"/>
      <c r="J131" s="143"/>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3"/>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c r="EE131" s="145"/>
      <c r="EF131" s="145"/>
      <c r="EG131" s="145"/>
      <c r="EH131" s="145"/>
      <c r="EI131" s="145"/>
      <c r="EJ131" s="145"/>
      <c r="EK131" s="145"/>
      <c r="EL131" s="145"/>
      <c r="EM131" s="145"/>
      <c r="EN131" s="145"/>
      <c r="EO131" s="145"/>
      <c r="EP131" s="145"/>
      <c r="EQ131" s="145"/>
      <c r="ER131" s="145"/>
      <c r="ES131" s="145"/>
      <c r="ET131" s="145"/>
      <c r="EU131" s="145"/>
      <c r="EV131" s="145"/>
      <c r="EW131" s="145"/>
      <c r="EX131" s="145"/>
      <c r="EY131" s="145"/>
      <c r="EZ131" s="145"/>
      <c r="FA131" s="145"/>
      <c r="FB131" s="145"/>
      <c r="FC131" s="145"/>
      <c r="FD131" s="145"/>
      <c r="FE131" s="145"/>
      <c r="FF131" s="145"/>
      <c r="FG131" s="145"/>
      <c r="FH131" s="145"/>
      <c r="FI131" s="145"/>
      <c r="FJ131" s="145"/>
      <c r="FK131" s="145"/>
      <c r="FL131" s="145"/>
      <c r="FM131" s="145"/>
      <c r="FN131" s="145"/>
      <c r="FO131" s="145"/>
      <c r="FP131" s="145"/>
      <c r="FQ131" s="145"/>
      <c r="FR131" s="145"/>
      <c r="FS131" s="145"/>
      <c r="FT131" s="145"/>
      <c r="FU131" s="145"/>
      <c r="FV131" s="145"/>
      <c r="FW131" s="145"/>
      <c r="FX131" s="143"/>
      <c r="FY131" s="146">
        <f>_xlfn.XLOOKUP($E131,'Key assumptions'!$B$112:$B$120,'Key assumptions'!$C$112:$C$120,0)</f>
        <v>0</v>
      </c>
      <c r="FZ131" s="146" cm="1">
        <f t="array" ref="FZ131">IF($FY131=0,0,_xlfn.IFS($FY131='Key assumptions'!$C$120,_xlfn.XLOOKUP(LEFT(FZ$7,6),Inflation_Year,Inflation_NominaltoReal),TRUE,_xlfn.XLOOKUP($FY131,Inflation_Year,NominaltoReal)))</f>
        <v>0</v>
      </c>
      <c r="GA131" s="146" cm="1">
        <f t="array" ref="GA131">IF($FY131=0,0,_xlfn.IFS($FY131='Key assumptions'!$C$120,_xlfn.XLOOKUP(LEFT(GA$7,6),Inflation_Year,Inflation_NominaltoReal),TRUE,_xlfn.XLOOKUP($FY131,Inflation_Year,NominaltoReal)))</f>
        <v>0</v>
      </c>
      <c r="GB131" s="146" cm="1">
        <f t="array" ref="GB131">IF($FY131=0,0,_xlfn.IFS($FY131='Key assumptions'!$C$120,_xlfn.XLOOKUP(LEFT(GB$7,6),Inflation_Year,Inflation_NominaltoReal),TRUE,_xlfn.XLOOKUP($FY131,Inflation_Year,NominaltoReal)))</f>
        <v>0</v>
      </c>
      <c r="GC131" s="146" cm="1">
        <f t="array" ref="GC131">IF($FY131=0,0,_xlfn.IFS($FY131='Key assumptions'!$C$120,_xlfn.XLOOKUP(LEFT(GC$7,6),Inflation_Year,Inflation_NominaltoReal),TRUE,_xlfn.XLOOKUP($FY131,Inflation_Year,NominaltoReal)))</f>
        <v>0</v>
      </c>
      <c r="GD131" s="146" cm="1">
        <f t="array" ref="GD131">IF($FY131=0,0,_xlfn.IFS($FY131='Key assumptions'!$C$120,_xlfn.XLOOKUP(LEFT(GD$7,6),Inflation_Year,Inflation_NominaltoReal),TRUE,_xlfn.XLOOKUP($FY131,Inflation_Year,NominaltoReal)))</f>
        <v>0</v>
      </c>
      <c r="GE131" s="146" cm="1">
        <f t="array" ref="GE131">IF($FY131=0,0,_xlfn.IFS($FY131='Key assumptions'!$C$120,_xlfn.XLOOKUP(LEFT(GE$7,6),Inflation_Year,Inflation_NominaltoReal),TRUE,_xlfn.XLOOKUP($FY131,Inflation_Year,NominaltoReal)))</f>
        <v>0</v>
      </c>
      <c r="GF131" s="146" cm="1">
        <f t="array" ref="GF131">IF($FY131=0,0,_xlfn.IFS($FY131='Key assumptions'!$C$120,_xlfn.XLOOKUP(LEFT(GF$7,6),Inflation_Year,Inflation_NominaltoReal),TRUE,_xlfn.XLOOKUP($FY131,Inflation_Year,NominaltoReal)))</f>
        <v>0</v>
      </c>
      <c r="GG131" s="143"/>
      <c r="GH131" s="145" cm="1">
        <f t="array" ref="GH131">SUMPRODUCT(--($CR$7:$FW$7&gt;=GH$5),--($CR$7:$FW$7&lt;=GH$6),$CR131:$FW131)*FZ131</f>
        <v>0</v>
      </c>
      <c r="GI131" s="145" cm="1">
        <f t="array" ref="GI131">SUMPRODUCT(--($CR$7:$FW$7&gt;=GI$5),--($CR$7:$FW$7&lt;=GI$6),$CR131:$FW131)*GA131</f>
        <v>0</v>
      </c>
      <c r="GJ131" s="145" cm="1">
        <f t="array" ref="GJ131">SUMPRODUCT(--($CR$7:$FW$7&gt;=GJ$5),--($CR$7:$FW$7&lt;=GJ$6),$CR131:$FW131)*GB131</f>
        <v>0</v>
      </c>
      <c r="GK131" s="145" cm="1">
        <f t="array" ref="GK131">SUMPRODUCT(--($CR$7:$FW$7&gt;=GK$5),--($CR$7:$FW$7&lt;=GK$6),$CR131:$FW131)*GC131</f>
        <v>0</v>
      </c>
      <c r="GL131" s="145" cm="1">
        <f t="array" ref="GL131">SUMPRODUCT(--($CR$7:$FW$7&gt;=GL$5),--($CR$7:$FW$7&lt;=GL$6),$CR131:$FW131)*GD131</f>
        <v>0</v>
      </c>
      <c r="GM131" s="145" cm="1">
        <f t="array" ref="GM131">SUMPRODUCT(--($CR$7:$FW$7&gt;=GM$5),--($CR$7:$FW$7&lt;=GM$6),$CR131:$FW131)*GE131</f>
        <v>0</v>
      </c>
      <c r="GN131" s="145" cm="1">
        <f t="array" ref="GN131">SUMPRODUCT(--($CR$7:$FW$7&gt;=GN$5),--($CR$7:$FW$7&lt;=GN$6),$CR131:$FW131)*GF131</f>
        <v>0</v>
      </c>
      <c r="GO131" s="145">
        <f t="shared" si="1"/>
        <v>0</v>
      </c>
      <c r="GP131" s="87"/>
      <c r="GR131" s="145" cm="1">
        <f t="array" ref="GR131">SUMPRODUCT(--($CR$7:$FW$7&gt;=GR$5),--($CR$7:$FW$7&lt;=GR$6),$CR131:$FW131)</f>
        <v>0</v>
      </c>
    </row>
    <row r="132" spans="2:200" x14ac:dyDescent="0.2">
      <c r="B132" s="141"/>
      <c r="C132" s="141"/>
      <c r="D132" s="141"/>
      <c r="E132" s="141"/>
      <c r="F132" s="141"/>
      <c r="G132" s="141"/>
      <c r="H132" s="142"/>
      <c r="I132" s="126"/>
      <c r="J132" s="143"/>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3"/>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c r="EE132" s="145"/>
      <c r="EF132" s="145"/>
      <c r="EG132" s="145"/>
      <c r="EH132" s="145"/>
      <c r="EI132" s="145"/>
      <c r="EJ132" s="145"/>
      <c r="EK132" s="145"/>
      <c r="EL132" s="145"/>
      <c r="EM132" s="145"/>
      <c r="EN132" s="145"/>
      <c r="EO132" s="145"/>
      <c r="EP132" s="145"/>
      <c r="EQ132" s="145"/>
      <c r="ER132" s="145"/>
      <c r="ES132" s="145"/>
      <c r="ET132" s="145"/>
      <c r="EU132" s="145"/>
      <c r="EV132" s="145"/>
      <c r="EW132" s="145"/>
      <c r="EX132" s="145"/>
      <c r="EY132" s="145"/>
      <c r="EZ132" s="145"/>
      <c r="FA132" s="145"/>
      <c r="FB132" s="145"/>
      <c r="FC132" s="145"/>
      <c r="FD132" s="145"/>
      <c r="FE132" s="145"/>
      <c r="FF132" s="145"/>
      <c r="FG132" s="145"/>
      <c r="FH132" s="145"/>
      <c r="FI132" s="145"/>
      <c r="FJ132" s="145"/>
      <c r="FK132" s="145"/>
      <c r="FL132" s="145"/>
      <c r="FM132" s="145"/>
      <c r="FN132" s="145"/>
      <c r="FO132" s="145"/>
      <c r="FP132" s="145"/>
      <c r="FQ132" s="145"/>
      <c r="FR132" s="145"/>
      <c r="FS132" s="145"/>
      <c r="FT132" s="145"/>
      <c r="FU132" s="145"/>
      <c r="FV132" s="145"/>
      <c r="FW132" s="145"/>
      <c r="FX132" s="143"/>
      <c r="FY132" s="146">
        <f>_xlfn.XLOOKUP($E132,'Key assumptions'!$B$112:$B$120,'Key assumptions'!$C$112:$C$120,0)</f>
        <v>0</v>
      </c>
      <c r="FZ132" s="146" cm="1">
        <f t="array" ref="FZ132">IF($FY132=0,0,_xlfn.IFS($FY132='Key assumptions'!$C$120,_xlfn.XLOOKUP(LEFT(FZ$7,6),Inflation_Year,Inflation_NominaltoReal),TRUE,_xlfn.XLOOKUP($FY132,Inflation_Year,NominaltoReal)))</f>
        <v>0</v>
      </c>
      <c r="GA132" s="146" cm="1">
        <f t="array" ref="GA132">IF($FY132=0,0,_xlfn.IFS($FY132='Key assumptions'!$C$120,_xlfn.XLOOKUP(LEFT(GA$7,6),Inflation_Year,Inflation_NominaltoReal),TRUE,_xlfn.XLOOKUP($FY132,Inflation_Year,NominaltoReal)))</f>
        <v>0</v>
      </c>
      <c r="GB132" s="146" cm="1">
        <f t="array" ref="GB132">IF($FY132=0,0,_xlfn.IFS($FY132='Key assumptions'!$C$120,_xlfn.XLOOKUP(LEFT(GB$7,6),Inflation_Year,Inflation_NominaltoReal),TRUE,_xlfn.XLOOKUP($FY132,Inflation_Year,NominaltoReal)))</f>
        <v>0</v>
      </c>
      <c r="GC132" s="146" cm="1">
        <f t="array" ref="GC132">IF($FY132=0,0,_xlfn.IFS($FY132='Key assumptions'!$C$120,_xlfn.XLOOKUP(LEFT(GC$7,6),Inflation_Year,Inflation_NominaltoReal),TRUE,_xlfn.XLOOKUP($FY132,Inflation_Year,NominaltoReal)))</f>
        <v>0</v>
      </c>
      <c r="GD132" s="146" cm="1">
        <f t="array" ref="GD132">IF($FY132=0,0,_xlfn.IFS($FY132='Key assumptions'!$C$120,_xlfn.XLOOKUP(LEFT(GD$7,6),Inflation_Year,Inflation_NominaltoReal),TRUE,_xlfn.XLOOKUP($FY132,Inflation_Year,NominaltoReal)))</f>
        <v>0</v>
      </c>
      <c r="GE132" s="146" cm="1">
        <f t="array" ref="GE132">IF($FY132=0,0,_xlfn.IFS($FY132='Key assumptions'!$C$120,_xlfn.XLOOKUP(LEFT(GE$7,6),Inflation_Year,Inflation_NominaltoReal),TRUE,_xlfn.XLOOKUP($FY132,Inflation_Year,NominaltoReal)))</f>
        <v>0</v>
      </c>
      <c r="GF132" s="146" cm="1">
        <f t="array" ref="GF132">IF($FY132=0,0,_xlfn.IFS($FY132='Key assumptions'!$C$120,_xlfn.XLOOKUP(LEFT(GF$7,6),Inflation_Year,Inflation_NominaltoReal),TRUE,_xlfn.XLOOKUP($FY132,Inflation_Year,NominaltoReal)))</f>
        <v>0</v>
      </c>
      <c r="GG132" s="143"/>
      <c r="GH132" s="145" cm="1">
        <f t="array" ref="GH132">SUMPRODUCT(--($CR$7:$FW$7&gt;=GH$5),--($CR$7:$FW$7&lt;=GH$6),$CR132:$FW132)*FZ132</f>
        <v>0</v>
      </c>
      <c r="GI132" s="145" cm="1">
        <f t="array" ref="GI132">SUMPRODUCT(--($CR$7:$FW$7&gt;=GI$5),--($CR$7:$FW$7&lt;=GI$6),$CR132:$FW132)*GA132</f>
        <v>0</v>
      </c>
      <c r="GJ132" s="145" cm="1">
        <f t="array" ref="GJ132">SUMPRODUCT(--($CR$7:$FW$7&gt;=GJ$5),--($CR$7:$FW$7&lt;=GJ$6),$CR132:$FW132)*GB132</f>
        <v>0</v>
      </c>
      <c r="GK132" s="145" cm="1">
        <f t="array" ref="GK132">SUMPRODUCT(--($CR$7:$FW$7&gt;=GK$5),--($CR$7:$FW$7&lt;=GK$6),$CR132:$FW132)*GC132</f>
        <v>0</v>
      </c>
      <c r="GL132" s="145" cm="1">
        <f t="array" ref="GL132">SUMPRODUCT(--($CR$7:$FW$7&gt;=GL$5),--($CR$7:$FW$7&lt;=GL$6),$CR132:$FW132)*GD132</f>
        <v>0</v>
      </c>
      <c r="GM132" s="145" cm="1">
        <f t="array" ref="GM132">SUMPRODUCT(--($CR$7:$FW$7&gt;=GM$5),--($CR$7:$FW$7&lt;=GM$6),$CR132:$FW132)*GE132</f>
        <v>0</v>
      </c>
      <c r="GN132" s="145" cm="1">
        <f t="array" ref="GN132">SUMPRODUCT(--($CR$7:$FW$7&gt;=GN$5),--($CR$7:$FW$7&lt;=GN$6),$CR132:$FW132)*GF132</f>
        <v>0</v>
      </c>
      <c r="GO132" s="145">
        <f t="shared" si="1"/>
        <v>0</v>
      </c>
      <c r="GP132" s="87"/>
      <c r="GR132" s="145" cm="1">
        <f t="array" ref="GR132">SUMPRODUCT(--($CR$7:$FW$7&gt;=GR$5),--($CR$7:$FW$7&lt;=GR$6),$CR132:$FW132)</f>
        <v>0</v>
      </c>
    </row>
    <row r="133" spans="2:200" x14ac:dyDescent="0.2">
      <c r="B133" s="141"/>
      <c r="C133" s="141"/>
      <c r="D133" s="141"/>
      <c r="E133" s="141"/>
      <c r="F133" s="141"/>
      <c r="G133" s="141"/>
      <c r="H133" s="142"/>
      <c r="I133" s="126"/>
      <c r="J133" s="143"/>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3"/>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45"/>
      <c r="EF133" s="145"/>
      <c r="EG133" s="145"/>
      <c r="EH133" s="145"/>
      <c r="EI133" s="145"/>
      <c r="EJ133" s="145"/>
      <c r="EK133" s="145"/>
      <c r="EL133" s="145"/>
      <c r="EM133" s="145"/>
      <c r="EN133" s="145"/>
      <c r="EO133" s="145"/>
      <c r="EP133" s="145"/>
      <c r="EQ133" s="145"/>
      <c r="ER133" s="145"/>
      <c r="ES133" s="145"/>
      <c r="ET133" s="145"/>
      <c r="EU133" s="145"/>
      <c r="EV133" s="145"/>
      <c r="EW133" s="145"/>
      <c r="EX133" s="145"/>
      <c r="EY133" s="145"/>
      <c r="EZ133" s="145"/>
      <c r="FA133" s="145"/>
      <c r="FB133" s="145"/>
      <c r="FC133" s="145"/>
      <c r="FD133" s="145"/>
      <c r="FE133" s="145"/>
      <c r="FF133" s="145"/>
      <c r="FG133" s="145"/>
      <c r="FH133" s="145"/>
      <c r="FI133" s="145"/>
      <c r="FJ133" s="145"/>
      <c r="FK133" s="145"/>
      <c r="FL133" s="145"/>
      <c r="FM133" s="145"/>
      <c r="FN133" s="145"/>
      <c r="FO133" s="145"/>
      <c r="FP133" s="145"/>
      <c r="FQ133" s="145"/>
      <c r="FR133" s="145"/>
      <c r="FS133" s="145"/>
      <c r="FT133" s="145"/>
      <c r="FU133" s="145"/>
      <c r="FV133" s="145"/>
      <c r="FW133" s="145"/>
      <c r="FX133" s="143"/>
      <c r="FY133" s="146">
        <f>_xlfn.XLOOKUP($E133,'Key assumptions'!$B$112:$B$120,'Key assumptions'!$C$112:$C$120,0)</f>
        <v>0</v>
      </c>
      <c r="FZ133" s="146" cm="1">
        <f t="array" ref="FZ133">IF($FY133=0,0,_xlfn.IFS($FY133='Key assumptions'!$C$120,_xlfn.XLOOKUP(LEFT(FZ$7,6),Inflation_Year,Inflation_NominaltoReal),TRUE,_xlfn.XLOOKUP($FY133,Inflation_Year,NominaltoReal)))</f>
        <v>0</v>
      </c>
      <c r="GA133" s="146" cm="1">
        <f t="array" ref="GA133">IF($FY133=0,0,_xlfn.IFS($FY133='Key assumptions'!$C$120,_xlfn.XLOOKUP(LEFT(GA$7,6),Inflation_Year,Inflation_NominaltoReal),TRUE,_xlfn.XLOOKUP($FY133,Inflation_Year,NominaltoReal)))</f>
        <v>0</v>
      </c>
      <c r="GB133" s="146" cm="1">
        <f t="array" ref="GB133">IF($FY133=0,0,_xlfn.IFS($FY133='Key assumptions'!$C$120,_xlfn.XLOOKUP(LEFT(GB$7,6),Inflation_Year,Inflation_NominaltoReal),TRUE,_xlfn.XLOOKUP($FY133,Inflation_Year,NominaltoReal)))</f>
        <v>0</v>
      </c>
      <c r="GC133" s="146" cm="1">
        <f t="array" ref="GC133">IF($FY133=0,0,_xlfn.IFS($FY133='Key assumptions'!$C$120,_xlfn.XLOOKUP(LEFT(GC$7,6),Inflation_Year,Inflation_NominaltoReal),TRUE,_xlfn.XLOOKUP($FY133,Inflation_Year,NominaltoReal)))</f>
        <v>0</v>
      </c>
      <c r="GD133" s="146" cm="1">
        <f t="array" ref="GD133">IF($FY133=0,0,_xlfn.IFS($FY133='Key assumptions'!$C$120,_xlfn.XLOOKUP(LEFT(GD$7,6),Inflation_Year,Inflation_NominaltoReal),TRUE,_xlfn.XLOOKUP($FY133,Inflation_Year,NominaltoReal)))</f>
        <v>0</v>
      </c>
      <c r="GE133" s="146" cm="1">
        <f t="array" ref="GE133">IF($FY133=0,0,_xlfn.IFS($FY133='Key assumptions'!$C$120,_xlfn.XLOOKUP(LEFT(GE$7,6),Inflation_Year,Inflation_NominaltoReal),TRUE,_xlfn.XLOOKUP($FY133,Inflation_Year,NominaltoReal)))</f>
        <v>0</v>
      </c>
      <c r="GF133" s="146" cm="1">
        <f t="array" ref="GF133">IF($FY133=0,0,_xlfn.IFS($FY133='Key assumptions'!$C$120,_xlfn.XLOOKUP(LEFT(GF$7,6),Inflation_Year,Inflation_NominaltoReal),TRUE,_xlfn.XLOOKUP($FY133,Inflation_Year,NominaltoReal)))</f>
        <v>0</v>
      </c>
      <c r="GG133" s="143"/>
      <c r="GH133" s="145" cm="1">
        <f t="array" ref="GH133">SUMPRODUCT(--($CR$7:$FW$7&gt;=GH$5),--($CR$7:$FW$7&lt;=GH$6),$CR133:$FW133)*FZ133</f>
        <v>0</v>
      </c>
      <c r="GI133" s="145" cm="1">
        <f t="array" ref="GI133">SUMPRODUCT(--($CR$7:$FW$7&gt;=GI$5),--($CR$7:$FW$7&lt;=GI$6),$CR133:$FW133)*GA133</f>
        <v>0</v>
      </c>
      <c r="GJ133" s="145" cm="1">
        <f t="array" ref="GJ133">SUMPRODUCT(--($CR$7:$FW$7&gt;=GJ$5),--($CR$7:$FW$7&lt;=GJ$6),$CR133:$FW133)*GB133</f>
        <v>0</v>
      </c>
      <c r="GK133" s="145" cm="1">
        <f t="array" ref="GK133">SUMPRODUCT(--($CR$7:$FW$7&gt;=GK$5),--($CR$7:$FW$7&lt;=GK$6),$CR133:$FW133)*GC133</f>
        <v>0</v>
      </c>
      <c r="GL133" s="145" cm="1">
        <f t="array" ref="GL133">SUMPRODUCT(--($CR$7:$FW$7&gt;=GL$5),--($CR$7:$FW$7&lt;=GL$6),$CR133:$FW133)*GD133</f>
        <v>0</v>
      </c>
      <c r="GM133" s="145" cm="1">
        <f t="array" ref="GM133">SUMPRODUCT(--($CR$7:$FW$7&gt;=GM$5),--($CR$7:$FW$7&lt;=GM$6),$CR133:$FW133)*GE133</f>
        <v>0</v>
      </c>
      <c r="GN133" s="145" cm="1">
        <f t="array" ref="GN133">SUMPRODUCT(--($CR$7:$FW$7&gt;=GN$5),--($CR$7:$FW$7&lt;=GN$6),$CR133:$FW133)*GF133</f>
        <v>0</v>
      </c>
      <c r="GO133" s="145">
        <f t="shared" si="1"/>
        <v>0</v>
      </c>
      <c r="GP133" s="87"/>
      <c r="GR133" s="145" cm="1">
        <f t="array" ref="GR133">SUMPRODUCT(--($CR$7:$FW$7&gt;=GR$5),--($CR$7:$FW$7&lt;=GR$6),$CR133:$FW133)</f>
        <v>0</v>
      </c>
    </row>
    <row r="134" spans="2:200" x14ac:dyDescent="0.2">
      <c r="B134" s="141"/>
      <c r="C134" s="141"/>
      <c r="D134" s="141"/>
      <c r="E134" s="141"/>
      <c r="F134" s="141"/>
      <c r="G134" s="141"/>
      <c r="H134" s="142"/>
      <c r="I134" s="126"/>
      <c r="J134" s="143"/>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3"/>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c r="EE134" s="145"/>
      <c r="EF134" s="145"/>
      <c r="EG134" s="145"/>
      <c r="EH134" s="145"/>
      <c r="EI134" s="145"/>
      <c r="EJ134" s="145"/>
      <c r="EK134" s="145"/>
      <c r="EL134" s="145"/>
      <c r="EM134" s="145"/>
      <c r="EN134" s="145"/>
      <c r="EO134" s="145"/>
      <c r="EP134" s="145"/>
      <c r="EQ134" s="145"/>
      <c r="ER134" s="145"/>
      <c r="ES134" s="145"/>
      <c r="ET134" s="145"/>
      <c r="EU134" s="145"/>
      <c r="EV134" s="145"/>
      <c r="EW134" s="145"/>
      <c r="EX134" s="145"/>
      <c r="EY134" s="145"/>
      <c r="EZ134" s="145"/>
      <c r="FA134" s="145"/>
      <c r="FB134" s="145"/>
      <c r="FC134" s="145"/>
      <c r="FD134" s="145"/>
      <c r="FE134" s="145"/>
      <c r="FF134" s="145"/>
      <c r="FG134" s="145"/>
      <c r="FH134" s="145"/>
      <c r="FI134" s="145"/>
      <c r="FJ134" s="145"/>
      <c r="FK134" s="145"/>
      <c r="FL134" s="145"/>
      <c r="FM134" s="145"/>
      <c r="FN134" s="145"/>
      <c r="FO134" s="145"/>
      <c r="FP134" s="145"/>
      <c r="FQ134" s="145"/>
      <c r="FR134" s="145"/>
      <c r="FS134" s="145"/>
      <c r="FT134" s="145"/>
      <c r="FU134" s="145"/>
      <c r="FV134" s="145"/>
      <c r="FW134" s="145"/>
      <c r="FX134" s="143"/>
      <c r="FY134" s="146">
        <f>_xlfn.XLOOKUP($E134,'Key assumptions'!$B$112:$B$120,'Key assumptions'!$C$112:$C$120,0)</f>
        <v>0</v>
      </c>
      <c r="FZ134" s="146" cm="1">
        <f t="array" ref="FZ134">IF($FY134=0,0,_xlfn.IFS($FY134='Key assumptions'!$C$120,_xlfn.XLOOKUP(LEFT(FZ$7,6),Inflation_Year,Inflation_NominaltoReal),TRUE,_xlfn.XLOOKUP($FY134,Inflation_Year,NominaltoReal)))</f>
        <v>0</v>
      </c>
      <c r="GA134" s="146" cm="1">
        <f t="array" ref="GA134">IF($FY134=0,0,_xlfn.IFS($FY134='Key assumptions'!$C$120,_xlfn.XLOOKUP(LEFT(GA$7,6),Inflation_Year,Inflation_NominaltoReal),TRUE,_xlfn.XLOOKUP($FY134,Inflation_Year,NominaltoReal)))</f>
        <v>0</v>
      </c>
      <c r="GB134" s="146" cm="1">
        <f t="array" ref="GB134">IF($FY134=0,0,_xlfn.IFS($FY134='Key assumptions'!$C$120,_xlfn.XLOOKUP(LEFT(GB$7,6),Inflation_Year,Inflation_NominaltoReal),TRUE,_xlfn.XLOOKUP($FY134,Inflation_Year,NominaltoReal)))</f>
        <v>0</v>
      </c>
      <c r="GC134" s="146" cm="1">
        <f t="array" ref="GC134">IF($FY134=0,0,_xlfn.IFS($FY134='Key assumptions'!$C$120,_xlfn.XLOOKUP(LEFT(GC$7,6),Inflation_Year,Inflation_NominaltoReal),TRUE,_xlfn.XLOOKUP($FY134,Inflation_Year,NominaltoReal)))</f>
        <v>0</v>
      </c>
      <c r="GD134" s="146" cm="1">
        <f t="array" ref="GD134">IF($FY134=0,0,_xlfn.IFS($FY134='Key assumptions'!$C$120,_xlfn.XLOOKUP(LEFT(GD$7,6),Inflation_Year,Inflation_NominaltoReal),TRUE,_xlfn.XLOOKUP($FY134,Inflation_Year,NominaltoReal)))</f>
        <v>0</v>
      </c>
      <c r="GE134" s="146" cm="1">
        <f t="array" ref="GE134">IF($FY134=0,0,_xlfn.IFS($FY134='Key assumptions'!$C$120,_xlfn.XLOOKUP(LEFT(GE$7,6),Inflation_Year,Inflation_NominaltoReal),TRUE,_xlfn.XLOOKUP($FY134,Inflation_Year,NominaltoReal)))</f>
        <v>0</v>
      </c>
      <c r="GF134" s="146" cm="1">
        <f t="array" ref="GF134">IF($FY134=0,0,_xlfn.IFS($FY134='Key assumptions'!$C$120,_xlfn.XLOOKUP(LEFT(GF$7,6),Inflation_Year,Inflation_NominaltoReal),TRUE,_xlfn.XLOOKUP($FY134,Inflation_Year,NominaltoReal)))</f>
        <v>0</v>
      </c>
      <c r="GG134" s="143"/>
      <c r="GH134" s="145" cm="1">
        <f t="array" ref="GH134">SUMPRODUCT(--($CR$7:$FW$7&gt;=GH$5),--($CR$7:$FW$7&lt;=GH$6),$CR134:$FW134)*FZ134</f>
        <v>0</v>
      </c>
      <c r="GI134" s="145" cm="1">
        <f t="array" ref="GI134">SUMPRODUCT(--($CR$7:$FW$7&gt;=GI$5),--($CR$7:$FW$7&lt;=GI$6),$CR134:$FW134)*GA134</f>
        <v>0</v>
      </c>
      <c r="GJ134" s="145" cm="1">
        <f t="array" ref="GJ134">SUMPRODUCT(--($CR$7:$FW$7&gt;=GJ$5),--($CR$7:$FW$7&lt;=GJ$6),$CR134:$FW134)*GB134</f>
        <v>0</v>
      </c>
      <c r="GK134" s="145" cm="1">
        <f t="array" ref="GK134">SUMPRODUCT(--($CR$7:$FW$7&gt;=GK$5),--($CR$7:$FW$7&lt;=GK$6),$CR134:$FW134)*GC134</f>
        <v>0</v>
      </c>
      <c r="GL134" s="145" cm="1">
        <f t="array" ref="GL134">SUMPRODUCT(--($CR$7:$FW$7&gt;=GL$5),--($CR$7:$FW$7&lt;=GL$6),$CR134:$FW134)*GD134</f>
        <v>0</v>
      </c>
      <c r="GM134" s="145" cm="1">
        <f t="array" ref="GM134">SUMPRODUCT(--($CR$7:$FW$7&gt;=GM$5),--($CR$7:$FW$7&lt;=GM$6),$CR134:$FW134)*GE134</f>
        <v>0</v>
      </c>
      <c r="GN134" s="145" cm="1">
        <f t="array" ref="GN134">SUMPRODUCT(--($CR$7:$FW$7&gt;=GN$5),--($CR$7:$FW$7&lt;=GN$6),$CR134:$FW134)*GF134</f>
        <v>0</v>
      </c>
      <c r="GO134" s="145">
        <f t="shared" si="1"/>
        <v>0</v>
      </c>
      <c r="GP134" s="87"/>
      <c r="GR134" s="145" cm="1">
        <f t="array" ref="GR134">SUMPRODUCT(--($CR$7:$FW$7&gt;=GR$5),--($CR$7:$FW$7&lt;=GR$6),$CR134:$FW134)</f>
        <v>0</v>
      </c>
    </row>
    <row r="135" spans="2:200" x14ac:dyDescent="0.2">
      <c r="B135" s="141"/>
      <c r="C135" s="141"/>
      <c r="D135" s="141"/>
      <c r="E135" s="141"/>
      <c r="F135" s="141"/>
      <c r="G135" s="141"/>
      <c r="H135" s="142"/>
      <c r="I135" s="126"/>
      <c r="J135" s="143"/>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3"/>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c r="EE135" s="145"/>
      <c r="EF135" s="145"/>
      <c r="EG135" s="145"/>
      <c r="EH135" s="145"/>
      <c r="EI135" s="145"/>
      <c r="EJ135" s="145"/>
      <c r="EK135" s="145"/>
      <c r="EL135" s="145"/>
      <c r="EM135" s="145"/>
      <c r="EN135" s="145"/>
      <c r="EO135" s="145"/>
      <c r="EP135" s="145"/>
      <c r="EQ135" s="145"/>
      <c r="ER135" s="145"/>
      <c r="ES135" s="145"/>
      <c r="ET135" s="145"/>
      <c r="EU135" s="145"/>
      <c r="EV135" s="145"/>
      <c r="EW135" s="145"/>
      <c r="EX135" s="145"/>
      <c r="EY135" s="145"/>
      <c r="EZ135" s="145"/>
      <c r="FA135" s="145"/>
      <c r="FB135" s="145"/>
      <c r="FC135" s="145"/>
      <c r="FD135" s="145"/>
      <c r="FE135" s="145"/>
      <c r="FF135" s="145"/>
      <c r="FG135" s="145"/>
      <c r="FH135" s="145"/>
      <c r="FI135" s="145"/>
      <c r="FJ135" s="145"/>
      <c r="FK135" s="145"/>
      <c r="FL135" s="145"/>
      <c r="FM135" s="145"/>
      <c r="FN135" s="145"/>
      <c r="FO135" s="145"/>
      <c r="FP135" s="145"/>
      <c r="FQ135" s="145"/>
      <c r="FR135" s="145"/>
      <c r="FS135" s="145"/>
      <c r="FT135" s="145"/>
      <c r="FU135" s="145"/>
      <c r="FV135" s="145"/>
      <c r="FW135" s="145"/>
      <c r="FX135" s="143"/>
      <c r="FY135" s="146">
        <f>_xlfn.XLOOKUP($E135,'Key assumptions'!$B$112:$B$120,'Key assumptions'!$C$112:$C$120,0)</f>
        <v>0</v>
      </c>
      <c r="FZ135" s="146" cm="1">
        <f t="array" ref="FZ135">IF($FY135=0,0,_xlfn.IFS($FY135='Key assumptions'!$C$120,_xlfn.XLOOKUP(LEFT(FZ$7,6),Inflation_Year,Inflation_NominaltoReal),TRUE,_xlfn.XLOOKUP($FY135,Inflation_Year,NominaltoReal)))</f>
        <v>0</v>
      </c>
      <c r="GA135" s="146" cm="1">
        <f t="array" ref="GA135">IF($FY135=0,0,_xlfn.IFS($FY135='Key assumptions'!$C$120,_xlfn.XLOOKUP(LEFT(GA$7,6),Inflation_Year,Inflation_NominaltoReal),TRUE,_xlfn.XLOOKUP($FY135,Inflation_Year,NominaltoReal)))</f>
        <v>0</v>
      </c>
      <c r="GB135" s="146" cm="1">
        <f t="array" ref="GB135">IF($FY135=0,0,_xlfn.IFS($FY135='Key assumptions'!$C$120,_xlfn.XLOOKUP(LEFT(GB$7,6),Inflation_Year,Inflation_NominaltoReal),TRUE,_xlfn.XLOOKUP($FY135,Inflation_Year,NominaltoReal)))</f>
        <v>0</v>
      </c>
      <c r="GC135" s="146" cm="1">
        <f t="array" ref="GC135">IF($FY135=0,0,_xlfn.IFS($FY135='Key assumptions'!$C$120,_xlfn.XLOOKUP(LEFT(GC$7,6),Inflation_Year,Inflation_NominaltoReal),TRUE,_xlfn.XLOOKUP($FY135,Inflation_Year,NominaltoReal)))</f>
        <v>0</v>
      </c>
      <c r="GD135" s="146" cm="1">
        <f t="array" ref="GD135">IF($FY135=0,0,_xlfn.IFS($FY135='Key assumptions'!$C$120,_xlfn.XLOOKUP(LEFT(GD$7,6),Inflation_Year,Inflation_NominaltoReal),TRUE,_xlfn.XLOOKUP($FY135,Inflation_Year,NominaltoReal)))</f>
        <v>0</v>
      </c>
      <c r="GE135" s="146" cm="1">
        <f t="array" ref="GE135">IF($FY135=0,0,_xlfn.IFS($FY135='Key assumptions'!$C$120,_xlfn.XLOOKUP(LEFT(GE$7,6),Inflation_Year,Inflation_NominaltoReal),TRUE,_xlfn.XLOOKUP($FY135,Inflation_Year,NominaltoReal)))</f>
        <v>0</v>
      </c>
      <c r="GF135" s="146" cm="1">
        <f t="array" ref="GF135">IF($FY135=0,0,_xlfn.IFS($FY135='Key assumptions'!$C$120,_xlfn.XLOOKUP(LEFT(GF$7,6),Inflation_Year,Inflation_NominaltoReal),TRUE,_xlfn.XLOOKUP($FY135,Inflation_Year,NominaltoReal)))</f>
        <v>0</v>
      </c>
      <c r="GG135" s="143"/>
      <c r="GH135" s="145" cm="1">
        <f t="array" ref="GH135">SUMPRODUCT(--($CR$7:$FW$7&gt;=GH$5),--($CR$7:$FW$7&lt;=GH$6),$CR135:$FW135)*FZ135</f>
        <v>0</v>
      </c>
      <c r="GI135" s="145" cm="1">
        <f t="array" ref="GI135">SUMPRODUCT(--($CR$7:$FW$7&gt;=GI$5),--($CR$7:$FW$7&lt;=GI$6),$CR135:$FW135)*GA135</f>
        <v>0</v>
      </c>
      <c r="GJ135" s="145" cm="1">
        <f t="array" ref="GJ135">SUMPRODUCT(--($CR$7:$FW$7&gt;=GJ$5),--($CR$7:$FW$7&lt;=GJ$6),$CR135:$FW135)*GB135</f>
        <v>0</v>
      </c>
      <c r="GK135" s="145" cm="1">
        <f t="array" ref="GK135">SUMPRODUCT(--($CR$7:$FW$7&gt;=GK$5),--($CR$7:$FW$7&lt;=GK$6),$CR135:$FW135)*GC135</f>
        <v>0</v>
      </c>
      <c r="GL135" s="145" cm="1">
        <f t="array" ref="GL135">SUMPRODUCT(--($CR$7:$FW$7&gt;=GL$5),--($CR$7:$FW$7&lt;=GL$6),$CR135:$FW135)*GD135</f>
        <v>0</v>
      </c>
      <c r="GM135" s="145" cm="1">
        <f t="array" ref="GM135">SUMPRODUCT(--($CR$7:$FW$7&gt;=GM$5),--($CR$7:$FW$7&lt;=GM$6),$CR135:$FW135)*GE135</f>
        <v>0</v>
      </c>
      <c r="GN135" s="145" cm="1">
        <f t="array" ref="GN135">SUMPRODUCT(--($CR$7:$FW$7&gt;=GN$5),--($CR$7:$FW$7&lt;=GN$6),$CR135:$FW135)*GF135</f>
        <v>0</v>
      </c>
      <c r="GO135" s="145">
        <f t="shared" si="1"/>
        <v>0</v>
      </c>
      <c r="GP135" s="87"/>
      <c r="GR135" s="145" cm="1">
        <f t="array" ref="GR135">SUMPRODUCT(--($CR$7:$FW$7&gt;=GR$5),--($CR$7:$FW$7&lt;=GR$6),$CR135:$FW135)</f>
        <v>0</v>
      </c>
    </row>
    <row r="136" spans="2:200" x14ac:dyDescent="0.2">
      <c r="B136" s="141"/>
      <c r="C136" s="141"/>
      <c r="D136" s="141"/>
      <c r="E136" s="141"/>
      <c r="F136" s="141"/>
      <c r="G136" s="141"/>
      <c r="H136" s="142"/>
      <c r="I136" s="126"/>
      <c r="J136" s="143"/>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3"/>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c r="EE136" s="145"/>
      <c r="EF136" s="145"/>
      <c r="EG136" s="145"/>
      <c r="EH136" s="145"/>
      <c r="EI136" s="145"/>
      <c r="EJ136" s="145"/>
      <c r="EK136" s="145"/>
      <c r="EL136" s="145"/>
      <c r="EM136" s="145"/>
      <c r="EN136" s="145"/>
      <c r="EO136" s="145"/>
      <c r="EP136" s="145"/>
      <c r="EQ136" s="145"/>
      <c r="ER136" s="145"/>
      <c r="ES136" s="145"/>
      <c r="ET136" s="145"/>
      <c r="EU136" s="145"/>
      <c r="EV136" s="145"/>
      <c r="EW136" s="145"/>
      <c r="EX136" s="145"/>
      <c r="EY136" s="145"/>
      <c r="EZ136" s="145"/>
      <c r="FA136" s="145"/>
      <c r="FB136" s="145"/>
      <c r="FC136" s="145"/>
      <c r="FD136" s="145"/>
      <c r="FE136" s="145"/>
      <c r="FF136" s="145"/>
      <c r="FG136" s="145"/>
      <c r="FH136" s="145"/>
      <c r="FI136" s="145"/>
      <c r="FJ136" s="145"/>
      <c r="FK136" s="145"/>
      <c r="FL136" s="145"/>
      <c r="FM136" s="145"/>
      <c r="FN136" s="145"/>
      <c r="FO136" s="145"/>
      <c r="FP136" s="145"/>
      <c r="FQ136" s="145"/>
      <c r="FR136" s="145"/>
      <c r="FS136" s="145"/>
      <c r="FT136" s="145"/>
      <c r="FU136" s="145"/>
      <c r="FV136" s="145"/>
      <c r="FW136" s="145"/>
      <c r="FX136" s="143"/>
      <c r="FY136" s="146">
        <f>_xlfn.XLOOKUP($E136,'Key assumptions'!$B$112:$B$120,'Key assumptions'!$C$112:$C$120,0)</f>
        <v>0</v>
      </c>
      <c r="FZ136" s="146" cm="1">
        <f t="array" ref="FZ136">IF($FY136=0,0,_xlfn.IFS($FY136='Key assumptions'!$C$120,_xlfn.XLOOKUP(LEFT(FZ$7,6),Inflation_Year,Inflation_NominaltoReal),TRUE,_xlfn.XLOOKUP($FY136,Inflation_Year,NominaltoReal)))</f>
        <v>0</v>
      </c>
      <c r="GA136" s="146" cm="1">
        <f t="array" ref="GA136">IF($FY136=0,0,_xlfn.IFS($FY136='Key assumptions'!$C$120,_xlfn.XLOOKUP(LEFT(GA$7,6),Inflation_Year,Inflation_NominaltoReal),TRUE,_xlfn.XLOOKUP($FY136,Inflation_Year,NominaltoReal)))</f>
        <v>0</v>
      </c>
      <c r="GB136" s="146" cm="1">
        <f t="array" ref="GB136">IF($FY136=0,0,_xlfn.IFS($FY136='Key assumptions'!$C$120,_xlfn.XLOOKUP(LEFT(GB$7,6),Inflation_Year,Inflation_NominaltoReal),TRUE,_xlfn.XLOOKUP($FY136,Inflation_Year,NominaltoReal)))</f>
        <v>0</v>
      </c>
      <c r="GC136" s="146" cm="1">
        <f t="array" ref="GC136">IF($FY136=0,0,_xlfn.IFS($FY136='Key assumptions'!$C$120,_xlfn.XLOOKUP(LEFT(GC$7,6),Inflation_Year,Inflation_NominaltoReal),TRUE,_xlfn.XLOOKUP($FY136,Inflation_Year,NominaltoReal)))</f>
        <v>0</v>
      </c>
      <c r="GD136" s="146" cm="1">
        <f t="array" ref="GD136">IF($FY136=0,0,_xlfn.IFS($FY136='Key assumptions'!$C$120,_xlfn.XLOOKUP(LEFT(GD$7,6),Inflation_Year,Inflation_NominaltoReal),TRUE,_xlfn.XLOOKUP($FY136,Inflation_Year,NominaltoReal)))</f>
        <v>0</v>
      </c>
      <c r="GE136" s="146" cm="1">
        <f t="array" ref="GE136">IF($FY136=0,0,_xlfn.IFS($FY136='Key assumptions'!$C$120,_xlfn.XLOOKUP(LEFT(GE$7,6),Inflation_Year,Inflation_NominaltoReal),TRUE,_xlfn.XLOOKUP($FY136,Inflation_Year,NominaltoReal)))</f>
        <v>0</v>
      </c>
      <c r="GF136" s="146" cm="1">
        <f t="array" ref="GF136">IF($FY136=0,0,_xlfn.IFS($FY136='Key assumptions'!$C$120,_xlfn.XLOOKUP(LEFT(GF$7,6),Inflation_Year,Inflation_NominaltoReal),TRUE,_xlfn.XLOOKUP($FY136,Inflation_Year,NominaltoReal)))</f>
        <v>0</v>
      </c>
      <c r="GG136" s="143"/>
      <c r="GH136" s="145" cm="1">
        <f t="array" ref="GH136">SUMPRODUCT(--($CR$7:$FW$7&gt;=GH$5),--($CR$7:$FW$7&lt;=GH$6),$CR136:$FW136)*FZ136</f>
        <v>0</v>
      </c>
      <c r="GI136" s="145" cm="1">
        <f t="array" ref="GI136">SUMPRODUCT(--($CR$7:$FW$7&gt;=GI$5),--($CR$7:$FW$7&lt;=GI$6),$CR136:$FW136)*GA136</f>
        <v>0</v>
      </c>
      <c r="GJ136" s="145" cm="1">
        <f t="array" ref="GJ136">SUMPRODUCT(--($CR$7:$FW$7&gt;=GJ$5),--($CR$7:$FW$7&lt;=GJ$6),$CR136:$FW136)*GB136</f>
        <v>0</v>
      </c>
      <c r="GK136" s="145" cm="1">
        <f t="array" ref="GK136">SUMPRODUCT(--($CR$7:$FW$7&gt;=GK$5),--($CR$7:$FW$7&lt;=GK$6),$CR136:$FW136)*GC136</f>
        <v>0</v>
      </c>
      <c r="GL136" s="145" cm="1">
        <f t="array" ref="GL136">SUMPRODUCT(--($CR$7:$FW$7&gt;=GL$5),--($CR$7:$FW$7&lt;=GL$6),$CR136:$FW136)*GD136</f>
        <v>0</v>
      </c>
      <c r="GM136" s="145" cm="1">
        <f t="array" ref="GM136">SUMPRODUCT(--($CR$7:$FW$7&gt;=GM$5),--($CR$7:$FW$7&lt;=GM$6),$CR136:$FW136)*GE136</f>
        <v>0</v>
      </c>
      <c r="GN136" s="145" cm="1">
        <f t="array" ref="GN136">SUMPRODUCT(--($CR$7:$FW$7&gt;=GN$5),--($CR$7:$FW$7&lt;=GN$6),$CR136:$FW136)*GF136</f>
        <v>0</v>
      </c>
      <c r="GO136" s="145">
        <f t="shared" ref="GO136:GO199" si="2">SUM(GH136:GN136)</f>
        <v>0</v>
      </c>
      <c r="GP136" s="87"/>
      <c r="GR136" s="145" cm="1">
        <f t="array" ref="GR136">SUMPRODUCT(--($CR$7:$FW$7&gt;=GR$5),--($CR$7:$FW$7&lt;=GR$6),$CR136:$FW136)</f>
        <v>0</v>
      </c>
    </row>
    <row r="137" spans="2:200" x14ac:dyDescent="0.2">
      <c r="B137" s="141"/>
      <c r="C137" s="141"/>
      <c r="D137" s="141"/>
      <c r="E137" s="141"/>
      <c r="F137" s="141"/>
      <c r="G137" s="141"/>
      <c r="H137" s="142"/>
      <c r="I137" s="126"/>
      <c r="J137" s="143"/>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3"/>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c r="EE137" s="145"/>
      <c r="EF137" s="145"/>
      <c r="EG137" s="145"/>
      <c r="EH137" s="145"/>
      <c r="EI137" s="145"/>
      <c r="EJ137" s="145"/>
      <c r="EK137" s="145"/>
      <c r="EL137" s="145"/>
      <c r="EM137" s="145"/>
      <c r="EN137" s="145"/>
      <c r="EO137" s="145"/>
      <c r="EP137" s="145"/>
      <c r="EQ137" s="145"/>
      <c r="ER137" s="145"/>
      <c r="ES137" s="145"/>
      <c r="ET137" s="145"/>
      <c r="EU137" s="145"/>
      <c r="EV137" s="145"/>
      <c r="EW137" s="145"/>
      <c r="EX137" s="145"/>
      <c r="EY137" s="145"/>
      <c r="EZ137" s="145"/>
      <c r="FA137" s="145"/>
      <c r="FB137" s="145"/>
      <c r="FC137" s="145"/>
      <c r="FD137" s="145"/>
      <c r="FE137" s="145"/>
      <c r="FF137" s="145"/>
      <c r="FG137" s="145"/>
      <c r="FH137" s="145"/>
      <c r="FI137" s="145"/>
      <c r="FJ137" s="145"/>
      <c r="FK137" s="145"/>
      <c r="FL137" s="145"/>
      <c r="FM137" s="145"/>
      <c r="FN137" s="145"/>
      <c r="FO137" s="145"/>
      <c r="FP137" s="145"/>
      <c r="FQ137" s="145"/>
      <c r="FR137" s="145"/>
      <c r="FS137" s="145"/>
      <c r="FT137" s="145"/>
      <c r="FU137" s="145"/>
      <c r="FV137" s="145"/>
      <c r="FW137" s="145"/>
      <c r="FX137" s="143"/>
      <c r="FY137" s="146">
        <f>_xlfn.XLOOKUP($E137,'Key assumptions'!$B$112:$B$120,'Key assumptions'!$C$112:$C$120,0)</f>
        <v>0</v>
      </c>
      <c r="FZ137" s="146" cm="1">
        <f t="array" ref="FZ137">IF($FY137=0,0,_xlfn.IFS($FY137='Key assumptions'!$C$120,_xlfn.XLOOKUP(LEFT(FZ$7,6),Inflation_Year,Inflation_NominaltoReal),TRUE,_xlfn.XLOOKUP($FY137,Inflation_Year,NominaltoReal)))</f>
        <v>0</v>
      </c>
      <c r="GA137" s="146" cm="1">
        <f t="array" ref="GA137">IF($FY137=0,0,_xlfn.IFS($FY137='Key assumptions'!$C$120,_xlfn.XLOOKUP(LEFT(GA$7,6),Inflation_Year,Inflation_NominaltoReal),TRUE,_xlfn.XLOOKUP($FY137,Inflation_Year,NominaltoReal)))</f>
        <v>0</v>
      </c>
      <c r="GB137" s="146" cm="1">
        <f t="array" ref="GB137">IF($FY137=0,0,_xlfn.IFS($FY137='Key assumptions'!$C$120,_xlfn.XLOOKUP(LEFT(GB$7,6),Inflation_Year,Inflation_NominaltoReal),TRUE,_xlfn.XLOOKUP($FY137,Inflation_Year,NominaltoReal)))</f>
        <v>0</v>
      </c>
      <c r="GC137" s="146" cm="1">
        <f t="array" ref="GC137">IF($FY137=0,0,_xlfn.IFS($FY137='Key assumptions'!$C$120,_xlfn.XLOOKUP(LEFT(GC$7,6),Inflation_Year,Inflation_NominaltoReal),TRUE,_xlfn.XLOOKUP($FY137,Inflation_Year,NominaltoReal)))</f>
        <v>0</v>
      </c>
      <c r="GD137" s="146" cm="1">
        <f t="array" ref="GD137">IF($FY137=0,0,_xlfn.IFS($FY137='Key assumptions'!$C$120,_xlfn.XLOOKUP(LEFT(GD$7,6),Inflation_Year,Inflation_NominaltoReal),TRUE,_xlfn.XLOOKUP($FY137,Inflation_Year,NominaltoReal)))</f>
        <v>0</v>
      </c>
      <c r="GE137" s="146" cm="1">
        <f t="array" ref="GE137">IF($FY137=0,0,_xlfn.IFS($FY137='Key assumptions'!$C$120,_xlfn.XLOOKUP(LEFT(GE$7,6),Inflation_Year,Inflation_NominaltoReal),TRUE,_xlfn.XLOOKUP($FY137,Inflation_Year,NominaltoReal)))</f>
        <v>0</v>
      </c>
      <c r="GF137" s="146" cm="1">
        <f t="array" ref="GF137">IF($FY137=0,0,_xlfn.IFS($FY137='Key assumptions'!$C$120,_xlfn.XLOOKUP(LEFT(GF$7,6),Inflation_Year,Inflation_NominaltoReal),TRUE,_xlfn.XLOOKUP($FY137,Inflation_Year,NominaltoReal)))</f>
        <v>0</v>
      </c>
      <c r="GG137" s="143"/>
      <c r="GH137" s="145" cm="1">
        <f t="array" ref="GH137">SUMPRODUCT(--($CR$7:$FW$7&gt;=GH$5),--($CR$7:$FW$7&lt;=GH$6),$CR137:$FW137)*FZ137</f>
        <v>0</v>
      </c>
      <c r="GI137" s="145" cm="1">
        <f t="array" ref="GI137">SUMPRODUCT(--($CR$7:$FW$7&gt;=GI$5),--($CR$7:$FW$7&lt;=GI$6),$CR137:$FW137)*GA137</f>
        <v>0</v>
      </c>
      <c r="GJ137" s="145" cm="1">
        <f t="array" ref="GJ137">SUMPRODUCT(--($CR$7:$FW$7&gt;=GJ$5),--($CR$7:$FW$7&lt;=GJ$6),$CR137:$FW137)*GB137</f>
        <v>0</v>
      </c>
      <c r="GK137" s="145" cm="1">
        <f t="array" ref="GK137">SUMPRODUCT(--($CR$7:$FW$7&gt;=GK$5),--($CR$7:$FW$7&lt;=GK$6),$CR137:$FW137)*GC137</f>
        <v>0</v>
      </c>
      <c r="GL137" s="145" cm="1">
        <f t="array" ref="GL137">SUMPRODUCT(--($CR$7:$FW$7&gt;=GL$5),--($CR$7:$FW$7&lt;=GL$6),$CR137:$FW137)*GD137</f>
        <v>0</v>
      </c>
      <c r="GM137" s="145" cm="1">
        <f t="array" ref="GM137">SUMPRODUCT(--($CR$7:$FW$7&gt;=GM$5),--($CR$7:$FW$7&lt;=GM$6),$CR137:$FW137)*GE137</f>
        <v>0</v>
      </c>
      <c r="GN137" s="145" cm="1">
        <f t="array" ref="GN137">SUMPRODUCT(--($CR$7:$FW$7&gt;=GN$5),--($CR$7:$FW$7&lt;=GN$6),$CR137:$FW137)*GF137</f>
        <v>0</v>
      </c>
      <c r="GO137" s="145">
        <f t="shared" si="2"/>
        <v>0</v>
      </c>
      <c r="GP137" s="87"/>
      <c r="GR137" s="145" cm="1">
        <f t="array" ref="GR137">SUMPRODUCT(--($CR$7:$FW$7&gt;=GR$5),--($CR$7:$FW$7&lt;=GR$6),$CR137:$FW137)</f>
        <v>0</v>
      </c>
    </row>
    <row r="138" spans="2:200" x14ac:dyDescent="0.2">
      <c r="B138" s="141"/>
      <c r="C138" s="141"/>
      <c r="D138" s="141"/>
      <c r="E138" s="141"/>
      <c r="F138" s="141"/>
      <c r="G138" s="141"/>
      <c r="H138" s="142"/>
      <c r="I138" s="126"/>
      <c r="J138" s="143"/>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3"/>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c r="EE138" s="145"/>
      <c r="EF138" s="145"/>
      <c r="EG138" s="145"/>
      <c r="EH138" s="145"/>
      <c r="EI138" s="145"/>
      <c r="EJ138" s="145"/>
      <c r="EK138" s="145"/>
      <c r="EL138" s="145"/>
      <c r="EM138" s="145"/>
      <c r="EN138" s="145"/>
      <c r="EO138" s="145"/>
      <c r="EP138" s="145"/>
      <c r="EQ138" s="145"/>
      <c r="ER138" s="145"/>
      <c r="ES138" s="145"/>
      <c r="ET138" s="145"/>
      <c r="EU138" s="145"/>
      <c r="EV138" s="145"/>
      <c r="EW138" s="145"/>
      <c r="EX138" s="145"/>
      <c r="EY138" s="145"/>
      <c r="EZ138" s="145"/>
      <c r="FA138" s="145"/>
      <c r="FB138" s="145"/>
      <c r="FC138" s="145"/>
      <c r="FD138" s="145"/>
      <c r="FE138" s="145"/>
      <c r="FF138" s="145"/>
      <c r="FG138" s="145"/>
      <c r="FH138" s="145"/>
      <c r="FI138" s="145"/>
      <c r="FJ138" s="145"/>
      <c r="FK138" s="145"/>
      <c r="FL138" s="145"/>
      <c r="FM138" s="145"/>
      <c r="FN138" s="145"/>
      <c r="FO138" s="145"/>
      <c r="FP138" s="145"/>
      <c r="FQ138" s="145"/>
      <c r="FR138" s="145"/>
      <c r="FS138" s="145"/>
      <c r="FT138" s="145"/>
      <c r="FU138" s="145"/>
      <c r="FV138" s="145"/>
      <c r="FW138" s="145"/>
      <c r="FX138" s="143"/>
      <c r="FY138" s="146">
        <f>_xlfn.XLOOKUP($E138,'Key assumptions'!$B$112:$B$120,'Key assumptions'!$C$112:$C$120,0)</f>
        <v>0</v>
      </c>
      <c r="FZ138" s="146" cm="1">
        <f t="array" ref="FZ138">IF($FY138=0,0,_xlfn.IFS($FY138='Key assumptions'!$C$120,_xlfn.XLOOKUP(LEFT(FZ$7,6),Inflation_Year,Inflation_NominaltoReal),TRUE,_xlfn.XLOOKUP($FY138,Inflation_Year,NominaltoReal)))</f>
        <v>0</v>
      </c>
      <c r="GA138" s="146" cm="1">
        <f t="array" ref="GA138">IF($FY138=0,0,_xlfn.IFS($FY138='Key assumptions'!$C$120,_xlfn.XLOOKUP(LEFT(GA$7,6),Inflation_Year,Inflation_NominaltoReal),TRUE,_xlfn.XLOOKUP($FY138,Inflation_Year,NominaltoReal)))</f>
        <v>0</v>
      </c>
      <c r="GB138" s="146" cm="1">
        <f t="array" ref="GB138">IF($FY138=0,0,_xlfn.IFS($FY138='Key assumptions'!$C$120,_xlfn.XLOOKUP(LEFT(GB$7,6),Inflation_Year,Inflation_NominaltoReal),TRUE,_xlfn.XLOOKUP($FY138,Inflation_Year,NominaltoReal)))</f>
        <v>0</v>
      </c>
      <c r="GC138" s="146" cm="1">
        <f t="array" ref="GC138">IF($FY138=0,0,_xlfn.IFS($FY138='Key assumptions'!$C$120,_xlfn.XLOOKUP(LEFT(GC$7,6),Inflation_Year,Inflation_NominaltoReal),TRUE,_xlfn.XLOOKUP($FY138,Inflation_Year,NominaltoReal)))</f>
        <v>0</v>
      </c>
      <c r="GD138" s="146" cm="1">
        <f t="array" ref="GD138">IF($FY138=0,0,_xlfn.IFS($FY138='Key assumptions'!$C$120,_xlfn.XLOOKUP(LEFT(GD$7,6),Inflation_Year,Inflation_NominaltoReal),TRUE,_xlfn.XLOOKUP($FY138,Inflation_Year,NominaltoReal)))</f>
        <v>0</v>
      </c>
      <c r="GE138" s="146" cm="1">
        <f t="array" ref="GE138">IF($FY138=0,0,_xlfn.IFS($FY138='Key assumptions'!$C$120,_xlfn.XLOOKUP(LEFT(GE$7,6),Inflation_Year,Inflation_NominaltoReal),TRUE,_xlfn.XLOOKUP($FY138,Inflation_Year,NominaltoReal)))</f>
        <v>0</v>
      </c>
      <c r="GF138" s="146" cm="1">
        <f t="array" ref="GF138">IF($FY138=0,0,_xlfn.IFS($FY138='Key assumptions'!$C$120,_xlfn.XLOOKUP(LEFT(GF$7,6),Inflation_Year,Inflation_NominaltoReal),TRUE,_xlfn.XLOOKUP($FY138,Inflation_Year,NominaltoReal)))</f>
        <v>0</v>
      </c>
      <c r="GG138" s="143"/>
      <c r="GH138" s="145" cm="1">
        <f t="array" ref="GH138">SUMPRODUCT(--($CR$7:$FW$7&gt;=GH$5),--($CR$7:$FW$7&lt;=GH$6),$CR138:$FW138)*FZ138</f>
        <v>0</v>
      </c>
      <c r="GI138" s="145" cm="1">
        <f t="array" ref="GI138">SUMPRODUCT(--($CR$7:$FW$7&gt;=GI$5),--($CR$7:$FW$7&lt;=GI$6),$CR138:$FW138)*GA138</f>
        <v>0</v>
      </c>
      <c r="GJ138" s="145" cm="1">
        <f t="array" ref="GJ138">SUMPRODUCT(--($CR$7:$FW$7&gt;=GJ$5),--($CR$7:$FW$7&lt;=GJ$6),$CR138:$FW138)*GB138</f>
        <v>0</v>
      </c>
      <c r="GK138" s="145" cm="1">
        <f t="array" ref="GK138">SUMPRODUCT(--($CR$7:$FW$7&gt;=GK$5),--($CR$7:$FW$7&lt;=GK$6),$CR138:$FW138)*GC138</f>
        <v>0</v>
      </c>
      <c r="GL138" s="145" cm="1">
        <f t="array" ref="GL138">SUMPRODUCT(--($CR$7:$FW$7&gt;=GL$5),--($CR$7:$FW$7&lt;=GL$6),$CR138:$FW138)*GD138</f>
        <v>0</v>
      </c>
      <c r="GM138" s="145" cm="1">
        <f t="array" ref="GM138">SUMPRODUCT(--($CR$7:$FW$7&gt;=GM$5),--($CR$7:$FW$7&lt;=GM$6),$CR138:$FW138)*GE138</f>
        <v>0</v>
      </c>
      <c r="GN138" s="145" cm="1">
        <f t="array" ref="GN138">SUMPRODUCT(--($CR$7:$FW$7&gt;=GN$5),--($CR$7:$FW$7&lt;=GN$6),$CR138:$FW138)*GF138</f>
        <v>0</v>
      </c>
      <c r="GO138" s="145">
        <f t="shared" si="2"/>
        <v>0</v>
      </c>
      <c r="GP138" s="87"/>
      <c r="GR138" s="145" cm="1">
        <f t="array" ref="GR138">SUMPRODUCT(--($CR$7:$FW$7&gt;=GR$5),--($CR$7:$FW$7&lt;=GR$6),$CR138:$FW138)</f>
        <v>0</v>
      </c>
    </row>
    <row r="139" spans="2:200" x14ac:dyDescent="0.2">
      <c r="B139" s="141"/>
      <c r="C139" s="141"/>
      <c r="D139" s="141"/>
      <c r="E139" s="141"/>
      <c r="F139" s="141"/>
      <c r="G139" s="141"/>
      <c r="H139" s="142"/>
      <c r="I139" s="126"/>
      <c r="J139" s="143"/>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3"/>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c r="EE139" s="145"/>
      <c r="EF139" s="145"/>
      <c r="EG139" s="145"/>
      <c r="EH139" s="145"/>
      <c r="EI139" s="145"/>
      <c r="EJ139" s="145"/>
      <c r="EK139" s="145"/>
      <c r="EL139" s="145"/>
      <c r="EM139" s="145"/>
      <c r="EN139" s="145"/>
      <c r="EO139" s="145"/>
      <c r="EP139" s="145"/>
      <c r="EQ139" s="145"/>
      <c r="ER139" s="145"/>
      <c r="ES139" s="145"/>
      <c r="ET139" s="145"/>
      <c r="EU139" s="145"/>
      <c r="EV139" s="145"/>
      <c r="EW139" s="145"/>
      <c r="EX139" s="145"/>
      <c r="EY139" s="145"/>
      <c r="EZ139" s="145"/>
      <c r="FA139" s="145"/>
      <c r="FB139" s="145"/>
      <c r="FC139" s="145"/>
      <c r="FD139" s="145"/>
      <c r="FE139" s="145"/>
      <c r="FF139" s="145"/>
      <c r="FG139" s="145"/>
      <c r="FH139" s="145"/>
      <c r="FI139" s="145"/>
      <c r="FJ139" s="145"/>
      <c r="FK139" s="145"/>
      <c r="FL139" s="145"/>
      <c r="FM139" s="145"/>
      <c r="FN139" s="145"/>
      <c r="FO139" s="145"/>
      <c r="FP139" s="145"/>
      <c r="FQ139" s="145"/>
      <c r="FR139" s="145"/>
      <c r="FS139" s="145"/>
      <c r="FT139" s="145"/>
      <c r="FU139" s="145"/>
      <c r="FV139" s="145"/>
      <c r="FW139" s="145"/>
      <c r="FX139" s="143"/>
      <c r="FY139" s="146">
        <f>_xlfn.XLOOKUP($E139,'Key assumptions'!$B$112:$B$120,'Key assumptions'!$C$112:$C$120,0)</f>
        <v>0</v>
      </c>
      <c r="FZ139" s="146" cm="1">
        <f t="array" ref="FZ139">IF($FY139=0,0,_xlfn.IFS($FY139='Key assumptions'!$C$120,_xlfn.XLOOKUP(LEFT(FZ$7,6),Inflation_Year,Inflation_NominaltoReal),TRUE,_xlfn.XLOOKUP($FY139,Inflation_Year,NominaltoReal)))</f>
        <v>0</v>
      </c>
      <c r="GA139" s="146" cm="1">
        <f t="array" ref="GA139">IF($FY139=0,0,_xlfn.IFS($FY139='Key assumptions'!$C$120,_xlfn.XLOOKUP(LEFT(GA$7,6),Inflation_Year,Inflation_NominaltoReal),TRUE,_xlfn.XLOOKUP($FY139,Inflation_Year,NominaltoReal)))</f>
        <v>0</v>
      </c>
      <c r="GB139" s="146" cm="1">
        <f t="array" ref="GB139">IF($FY139=0,0,_xlfn.IFS($FY139='Key assumptions'!$C$120,_xlfn.XLOOKUP(LEFT(GB$7,6),Inflation_Year,Inflation_NominaltoReal),TRUE,_xlfn.XLOOKUP($FY139,Inflation_Year,NominaltoReal)))</f>
        <v>0</v>
      </c>
      <c r="GC139" s="146" cm="1">
        <f t="array" ref="GC139">IF($FY139=0,0,_xlfn.IFS($FY139='Key assumptions'!$C$120,_xlfn.XLOOKUP(LEFT(GC$7,6),Inflation_Year,Inflation_NominaltoReal),TRUE,_xlfn.XLOOKUP($FY139,Inflation_Year,NominaltoReal)))</f>
        <v>0</v>
      </c>
      <c r="GD139" s="146" cm="1">
        <f t="array" ref="GD139">IF($FY139=0,0,_xlfn.IFS($FY139='Key assumptions'!$C$120,_xlfn.XLOOKUP(LEFT(GD$7,6),Inflation_Year,Inflation_NominaltoReal),TRUE,_xlfn.XLOOKUP($FY139,Inflation_Year,NominaltoReal)))</f>
        <v>0</v>
      </c>
      <c r="GE139" s="146" cm="1">
        <f t="array" ref="GE139">IF($FY139=0,0,_xlfn.IFS($FY139='Key assumptions'!$C$120,_xlfn.XLOOKUP(LEFT(GE$7,6),Inflation_Year,Inflation_NominaltoReal),TRUE,_xlfn.XLOOKUP($FY139,Inflation_Year,NominaltoReal)))</f>
        <v>0</v>
      </c>
      <c r="GF139" s="146" cm="1">
        <f t="array" ref="GF139">IF($FY139=0,0,_xlfn.IFS($FY139='Key assumptions'!$C$120,_xlfn.XLOOKUP(LEFT(GF$7,6),Inflation_Year,Inflation_NominaltoReal),TRUE,_xlfn.XLOOKUP($FY139,Inflation_Year,NominaltoReal)))</f>
        <v>0</v>
      </c>
      <c r="GG139" s="143"/>
      <c r="GH139" s="145" cm="1">
        <f t="array" ref="GH139">SUMPRODUCT(--($CR$7:$FW$7&gt;=GH$5),--($CR$7:$FW$7&lt;=GH$6),$CR139:$FW139)*FZ139</f>
        <v>0</v>
      </c>
      <c r="GI139" s="145" cm="1">
        <f t="array" ref="GI139">SUMPRODUCT(--($CR$7:$FW$7&gt;=GI$5),--($CR$7:$FW$7&lt;=GI$6),$CR139:$FW139)*GA139</f>
        <v>0</v>
      </c>
      <c r="GJ139" s="145" cm="1">
        <f t="array" ref="GJ139">SUMPRODUCT(--($CR$7:$FW$7&gt;=GJ$5),--($CR$7:$FW$7&lt;=GJ$6),$CR139:$FW139)*GB139</f>
        <v>0</v>
      </c>
      <c r="GK139" s="145" cm="1">
        <f t="array" ref="GK139">SUMPRODUCT(--($CR$7:$FW$7&gt;=GK$5),--($CR$7:$FW$7&lt;=GK$6),$CR139:$FW139)*GC139</f>
        <v>0</v>
      </c>
      <c r="GL139" s="145" cm="1">
        <f t="array" ref="GL139">SUMPRODUCT(--($CR$7:$FW$7&gt;=GL$5),--($CR$7:$FW$7&lt;=GL$6),$CR139:$FW139)*GD139</f>
        <v>0</v>
      </c>
      <c r="GM139" s="145" cm="1">
        <f t="array" ref="GM139">SUMPRODUCT(--($CR$7:$FW$7&gt;=GM$5),--($CR$7:$FW$7&lt;=GM$6),$CR139:$FW139)*GE139</f>
        <v>0</v>
      </c>
      <c r="GN139" s="145" cm="1">
        <f t="array" ref="GN139">SUMPRODUCT(--($CR$7:$FW$7&gt;=GN$5),--($CR$7:$FW$7&lt;=GN$6),$CR139:$FW139)*GF139</f>
        <v>0</v>
      </c>
      <c r="GO139" s="145">
        <f t="shared" si="2"/>
        <v>0</v>
      </c>
      <c r="GP139" s="87"/>
      <c r="GR139" s="145" cm="1">
        <f t="array" ref="GR139">SUMPRODUCT(--($CR$7:$FW$7&gt;=GR$5),--($CR$7:$FW$7&lt;=GR$6),$CR139:$FW139)</f>
        <v>0</v>
      </c>
    </row>
    <row r="140" spans="2:200" x14ac:dyDescent="0.2">
      <c r="B140" s="141"/>
      <c r="C140" s="141"/>
      <c r="D140" s="141"/>
      <c r="E140" s="141"/>
      <c r="F140" s="141"/>
      <c r="G140" s="141"/>
      <c r="H140" s="142"/>
      <c r="I140" s="126"/>
      <c r="J140" s="143"/>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3"/>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c r="EE140" s="145"/>
      <c r="EF140" s="145"/>
      <c r="EG140" s="145"/>
      <c r="EH140" s="145"/>
      <c r="EI140" s="145"/>
      <c r="EJ140" s="145"/>
      <c r="EK140" s="145"/>
      <c r="EL140" s="145"/>
      <c r="EM140" s="145"/>
      <c r="EN140" s="145"/>
      <c r="EO140" s="145"/>
      <c r="EP140" s="145"/>
      <c r="EQ140" s="145"/>
      <c r="ER140" s="145"/>
      <c r="ES140" s="145"/>
      <c r="ET140" s="145"/>
      <c r="EU140" s="145"/>
      <c r="EV140" s="145"/>
      <c r="EW140" s="145"/>
      <c r="EX140" s="145"/>
      <c r="EY140" s="145"/>
      <c r="EZ140" s="145"/>
      <c r="FA140" s="145"/>
      <c r="FB140" s="145"/>
      <c r="FC140" s="145"/>
      <c r="FD140" s="145"/>
      <c r="FE140" s="145"/>
      <c r="FF140" s="145"/>
      <c r="FG140" s="145"/>
      <c r="FH140" s="145"/>
      <c r="FI140" s="145"/>
      <c r="FJ140" s="145"/>
      <c r="FK140" s="145"/>
      <c r="FL140" s="145"/>
      <c r="FM140" s="145"/>
      <c r="FN140" s="145"/>
      <c r="FO140" s="145"/>
      <c r="FP140" s="145"/>
      <c r="FQ140" s="145"/>
      <c r="FR140" s="145"/>
      <c r="FS140" s="145"/>
      <c r="FT140" s="145"/>
      <c r="FU140" s="145"/>
      <c r="FV140" s="145"/>
      <c r="FW140" s="145"/>
      <c r="FX140" s="143"/>
      <c r="FY140" s="146">
        <f>_xlfn.XLOOKUP($E140,'Key assumptions'!$B$112:$B$120,'Key assumptions'!$C$112:$C$120,0)</f>
        <v>0</v>
      </c>
      <c r="FZ140" s="146" cm="1">
        <f t="array" ref="FZ140">IF($FY140=0,0,_xlfn.IFS($FY140='Key assumptions'!$C$120,_xlfn.XLOOKUP(LEFT(FZ$7,6),Inflation_Year,Inflation_NominaltoReal),TRUE,_xlfn.XLOOKUP($FY140,Inflation_Year,NominaltoReal)))</f>
        <v>0</v>
      </c>
      <c r="GA140" s="146" cm="1">
        <f t="array" ref="GA140">IF($FY140=0,0,_xlfn.IFS($FY140='Key assumptions'!$C$120,_xlfn.XLOOKUP(LEFT(GA$7,6),Inflation_Year,Inflation_NominaltoReal),TRUE,_xlfn.XLOOKUP($FY140,Inflation_Year,NominaltoReal)))</f>
        <v>0</v>
      </c>
      <c r="GB140" s="146" cm="1">
        <f t="array" ref="GB140">IF($FY140=0,0,_xlfn.IFS($FY140='Key assumptions'!$C$120,_xlfn.XLOOKUP(LEFT(GB$7,6),Inflation_Year,Inflation_NominaltoReal),TRUE,_xlfn.XLOOKUP($FY140,Inflation_Year,NominaltoReal)))</f>
        <v>0</v>
      </c>
      <c r="GC140" s="146" cm="1">
        <f t="array" ref="GC140">IF($FY140=0,0,_xlfn.IFS($FY140='Key assumptions'!$C$120,_xlfn.XLOOKUP(LEFT(GC$7,6),Inflation_Year,Inflation_NominaltoReal),TRUE,_xlfn.XLOOKUP($FY140,Inflation_Year,NominaltoReal)))</f>
        <v>0</v>
      </c>
      <c r="GD140" s="146" cm="1">
        <f t="array" ref="GD140">IF($FY140=0,0,_xlfn.IFS($FY140='Key assumptions'!$C$120,_xlfn.XLOOKUP(LEFT(GD$7,6),Inflation_Year,Inflation_NominaltoReal),TRUE,_xlfn.XLOOKUP($FY140,Inflation_Year,NominaltoReal)))</f>
        <v>0</v>
      </c>
      <c r="GE140" s="146" cm="1">
        <f t="array" ref="GE140">IF($FY140=0,0,_xlfn.IFS($FY140='Key assumptions'!$C$120,_xlfn.XLOOKUP(LEFT(GE$7,6),Inflation_Year,Inflation_NominaltoReal),TRUE,_xlfn.XLOOKUP($FY140,Inflation_Year,NominaltoReal)))</f>
        <v>0</v>
      </c>
      <c r="GF140" s="146" cm="1">
        <f t="array" ref="GF140">IF($FY140=0,0,_xlfn.IFS($FY140='Key assumptions'!$C$120,_xlfn.XLOOKUP(LEFT(GF$7,6),Inflation_Year,Inflation_NominaltoReal),TRUE,_xlfn.XLOOKUP($FY140,Inflation_Year,NominaltoReal)))</f>
        <v>0</v>
      </c>
      <c r="GG140" s="143"/>
      <c r="GH140" s="145" cm="1">
        <f t="array" ref="GH140">SUMPRODUCT(--($CR$7:$FW$7&gt;=GH$5),--($CR$7:$FW$7&lt;=GH$6),$CR140:$FW140)*FZ140</f>
        <v>0</v>
      </c>
      <c r="GI140" s="145" cm="1">
        <f t="array" ref="GI140">SUMPRODUCT(--($CR$7:$FW$7&gt;=GI$5),--($CR$7:$FW$7&lt;=GI$6),$CR140:$FW140)*GA140</f>
        <v>0</v>
      </c>
      <c r="GJ140" s="145" cm="1">
        <f t="array" ref="GJ140">SUMPRODUCT(--($CR$7:$FW$7&gt;=GJ$5),--($CR$7:$FW$7&lt;=GJ$6),$CR140:$FW140)*GB140</f>
        <v>0</v>
      </c>
      <c r="GK140" s="145" cm="1">
        <f t="array" ref="GK140">SUMPRODUCT(--($CR$7:$FW$7&gt;=GK$5),--($CR$7:$FW$7&lt;=GK$6),$CR140:$FW140)*GC140</f>
        <v>0</v>
      </c>
      <c r="GL140" s="145" cm="1">
        <f t="array" ref="GL140">SUMPRODUCT(--($CR$7:$FW$7&gt;=GL$5),--($CR$7:$FW$7&lt;=GL$6),$CR140:$FW140)*GD140</f>
        <v>0</v>
      </c>
      <c r="GM140" s="145" cm="1">
        <f t="array" ref="GM140">SUMPRODUCT(--($CR$7:$FW$7&gt;=GM$5),--($CR$7:$FW$7&lt;=GM$6),$CR140:$FW140)*GE140</f>
        <v>0</v>
      </c>
      <c r="GN140" s="145" cm="1">
        <f t="array" ref="GN140">SUMPRODUCT(--($CR$7:$FW$7&gt;=GN$5),--($CR$7:$FW$7&lt;=GN$6),$CR140:$FW140)*GF140</f>
        <v>0</v>
      </c>
      <c r="GO140" s="145">
        <f t="shared" si="2"/>
        <v>0</v>
      </c>
      <c r="GP140" s="87"/>
      <c r="GR140" s="145" cm="1">
        <f t="array" ref="GR140">SUMPRODUCT(--($CR$7:$FW$7&gt;=GR$5),--($CR$7:$FW$7&lt;=GR$6),$CR140:$FW140)</f>
        <v>0</v>
      </c>
    </row>
    <row r="141" spans="2:200" x14ac:dyDescent="0.2">
      <c r="B141" s="141"/>
      <c r="C141" s="141"/>
      <c r="D141" s="141"/>
      <c r="E141" s="141"/>
      <c r="F141" s="141"/>
      <c r="G141" s="141"/>
      <c r="H141" s="142"/>
      <c r="I141" s="126"/>
      <c r="J141" s="143"/>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3"/>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c r="EE141" s="145"/>
      <c r="EF141" s="145"/>
      <c r="EG141" s="145"/>
      <c r="EH141" s="145"/>
      <c r="EI141" s="145"/>
      <c r="EJ141" s="145"/>
      <c r="EK141" s="145"/>
      <c r="EL141" s="145"/>
      <c r="EM141" s="145"/>
      <c r="EN141" s="145"/>
      <c r="EO141" s="145"/>
      <c r="EP141" s="145"/>
      <c r="EQ141" s="145"/>
      <c r="ER141" s="145"/>
      <c r="ES141" s="145"/>
      <c r="ET141" s="145"/>
      <c r="EU141" s="145"/>
      <c r="EV141" s="145"/>
      <c r="EW141" s="145"/>
      <c r="EX141" s="145"/>
      <c r="EY141" s="145"/>
      <c r="EZ141" s="145"/>
      <c r="FA141" s="145"/>
      <c r="FB141" s="145"/>
      <c r="FC141" s="145"/>
      <c r="FD141" s="145"/>
      <c r="FE141" s="145"/>
      <c r="FF141" s="145"/>
      <c r="FG141" s="145"/>
      <c r="FH141" s="145"/>
      <c r="FI141" s="145"/>
      <c r="FJ141" s="145"/>
      <c r="FK141" s="145"/>
      <c r="FL141" s="145"/>
      <c r="FM141" s="145"/>
      <c r="FN141" s="145"/>
      <c r="FO141" s="145"/>
      <c r="FP141" s="145"/>
      <c r="FQ141" s="145"/>
      <c r="FR141" s="145"/>
      <c r="FS141" s="145"/>
      <c r="FT141" s="145"/>
      <c r="FU141" s="145"/>
      <c r="FV141" s="145"/>
      <c r="FW141" s="145"/>
      <c r="FX141" s="143"/>
      <c r="FY141" s="146">
        <f>_xlfn.XLOOKUP($E141,'Key assumptions'!$B$112:$B$120,'Key assumptions'!$C$112:$C$120,0)</f>
        <v>0</v>
      </c>
      <c r="FZ141" s="146" cm="1">
        <f t="array" ref="FZ141">IF($FY141=0,0,_xlfn.IFS($FY141='Key assumptions'!$C$120,_xlfn.XLOOKUP(LEFT(FZ$7,6),Inflation_Year,Inflation_NominaltoReal),TRUE,_xlfn.XLOOKUP($FY141,Inflation_Year,NominaltoReal)))</f>
        <v>0</v>
      </c>
      <c r="GA141" s="146" cm="1">
        <f t="array" ref="GA141">IF($FY141=0,0,_xlfn.IFS($FY141='Key assumptions'!$C$120,_xlfn.XLOOKUP(LEFT(GA$7,6),Inflation_Year,Inflation_NominaltoReal),TRUE,_xlfn.XLOOKUP($FY141,Inflation_Year,NominaltoReal)))</f>
        <v>0</v>
      </c>
      <c r="GB141" s="146" cm="1">
        <f t="array" ref="GB141">IF($FY141=0,0,_xlfn.IFS($FY141='Key assumptions'!$C$120,_xlfn.XLOOKUP(LEFT(GB$7,6),Inflation_Year,Inflation_NominaltoReal),TRUE,_xlfn.XLOOKUP($FY141,Inflation_Year,NominaltoReal)))</f>
        <v>0</v>
      </c>
      <c r="GC141" s="146" cm="1">
        <f t="array" ref="GC141">IF($FY141=0,0,_xlfn.IFS($FY141='Key assumptions'!$C$120,_xlfn.XLOOKUP(LEFT(GC$7,6),Inflation_Year,Inflation_NominaltoReal),TRUE,_xlfn.XLOOKUP($FY141,Inflation_Year,NominaltoReal)))</f>
        <v>0</v>
      </c>
      <c r="GD141" s="146" cm="1">
        <f t="array" ref="GD141">IF($FY141=0,0,_xlfn.IFS($FY141='Key assumptions'!$C$120,_xlfn.XLOOKUP(LEFT(GD$7,6),Inflation_Year,Inflation_NominaltoReal),TRUE,_xlfn.XLOOKUP($FY141,Inflation_Year,NominaltoReal)))</f>
        <v>0</v>
      </c>
      <c r="GE141" s="146" cm="1">
        <f t="array" ref="GE141">IF($FY141=0,0,_xlfn.IFS($FY141='Key assumptions'!$C$120,_xlfn.XLOOKUP(LEFT(GE$7,6),Inflation_Year,Inflation_NominaltoReal),TRUE,_xlfn.XLOOKUP($FY141,Inflation_Year,NominaltoReal)))</f>
        <v>0</v>
      </c>
      <c r="GF141" s="146" cm="1">
        <f t="array" ref="GF141">IF($FY141=0,0,_xlfn.IFS($FY141='Key assumptions'!$C$120,_xlfn.XLOOKUP(LEFT(GF$7,6),Inflation_Year,Inflation_NominaltoReal),TRUE,_xlfn.XLOOKUP($FY141,Inflation_Year,NominaltoReal)))</f>
        <v>0</v>
      </c>
      <c r="GG141" s="143"/>
      <c r="GH141" s="145" cm="1">
        <f t="array" ref="GH141">SUMPRODUCT(--($CR$7:$FW$7&gt;=GH$5),--($CR$7:$FW$7&lt;=GH$6),$CR141:$FW141)*FZ141</f>
        <v>0</v>
      </c>
      <c r="GI141" s="145" cm="1">
        <f t="array" ref="GI141">SUMPRODUCT(--($CR$7:$FW$7&gt;=GI$5),--($CR$7:$FW$7&lt;=GI$6),$CR141:$FW141)*GA141</f>
        <v>0</v>
      </c>
      <c r="GJ141" s="145" cm="1">
        <f t="array" ref="GJ141">SUMPRODUCT(--($CR$7:$FW$7&gt;=GJ$5),--($CR$7:$FW$7&lt;=GJ$6),$CR141:$FW141)*GB141</f>
        <v>0</v>
      </c>
      <c r="GK141" s="145" cm="1">
        <f t="array" ref="GK141">SUMPRODUCT(--($CR$7:$FW$7&gt;=GK$5),--($CR$7:$FW$7&lt;=GK$6),$CR141:$FW141)*GC141</f>
        <v>0</v>
      </c>
      <c r="GL141" s="145" cm="1">
        <f t="array" ref="GL141">SUMPRODUCT(--($CR$7:$FW$7&gt;=GL$5),--($CR$7:$FW$7&lt;=GL$6),$CR141:$FW141)*GD141</f>
        <v>0</v>
      </c>
      <c r="GM141" s="145" cm="1">
        <f t="array" ref="GM141">SUMPRODUCT(--($CR$7:$FW$7&gt;=GM$5),--($CR$7:$FW$7&lt;=GM$6),$CR141:$FW141)*GE141</f>
        <v>0</v>
      </c>
      <c r="GN141" s="145" cm="1">
        <f t="array" ref="GN141">SUMPRODUCT(--($CR$7:$FW$7&gt;=GN$5),--($CR$7:$FW$7&lt;=GN$6),$CR141:$FW141)*GF141</f>
        <v>0</v>
      </c>
      <c r="GO141" s="145">
        <f t="shared" si="2"/>
        <v>0</v>
      </c>
      <c r="GP141" s="87"/>
      <c r="GR141" s="145" cm="1">
        <f t="array" ref="GR141">SUMPRODUCT(--($CR$7:$FW$7&gt;=GR$5),--($CR$7:$FW$7&lt;=GR$6),$CR141:$FW141)</f>
        <v>0</v>
      </c>
    </row>
    <row r="142" spans="2:200" x14ac:dyDescent="0.2">
      <c r="B142" s="141"/>
      <c r="C142" s="141"/>
      <c r="D142" s="141"/>
      <c r="E142" s="141"/>
      <c r="F142" s="141"/>
      <c r="G142" s="141"/>
      <c r="H142" s="142"/>
      <c r="I142" s="126"/>
      <c r="J142" s="143"/>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3"/>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c r="EE142" s="145"/>
      <c r="EF142" s="145"/>
      <c r="EG142" s="145"/>
      <c r="EH142" s="145"/>
      <c r="EI142" s="145"/>
      <c r="EJ142" s="145"/>
      <c r="EK142" s="145"/>
      <c r="EL142" s="145"/>
      <c r="EM142" s="145"/>
      <c r="EN142" s="145"/>
      <c r="EO142" s="145"/>
      <c r="EP142" s="145"/>
      <c r="EQ142" s="145"/>
      <c r="ER142" s="145"/>
      <c r="ES142" s="145"/>
      <c r="ET142" s="145"/>
      <c r="EU142" s="145"/>
      <c r="EV142" s="145"/>
      <c r="EW142" s="145"/>
      <c r="EX142" s="145"/>
      <c r="EY142" s="145"/>
      <c r="EZ142" s="145"/>
      <c r="FA142" s="145"/>
      <c r="FB142" s="145"/>
      <c r="FC142" s="145"/>
      <c r="FD142" s="145"/>
      <c r="FE142" s="145"/>
      <c r="FF142" s="145"/>
      <c r="FG142" s="145"/>
      <c r="FH142" s="145"/>
      <c r="FI142" s="145"/>
      <c r="FJ142" s="145"/>
      <c r="FK142" s="145"/>
      <c r="FL142" s="145"/>
      <c r="FM142" s="145"/>
      <c r="FN142" s="145"/>
      <c r="FO142" s="145"/>
      <c r="FP142" s="145"/>
      <c r="FQ142" s="145"/>
      <c r="FR142" s="145"/>
      <c r="FS142" s="145"/>
      <c r="FT142" s="145"/>
      <c r="FU142" s="145"/>
      <c r="FV142" s="145"/>
      <c r="FW142" s="145"/>
      <c r="FX142" s="143"/>
      <c r="FY142" s="146">
        <f>_xlfn.XLOOKUP($E142,'Key assumptions'!$B$112:$B$120,'Key assumptions'!$C$112:$C$120,0)</f>
        <v>0</v>
      </c>
      <c r="FZ142" s="146" cm="1">
        <f t="array" ref="FZ142">IF($FY142=0,0,_xlfn.IFS($FY142='Key assumptions'!$C$120,_xlfn.XLOOKUP(LEFT(FZ$7,6),Inflation_Year,Inflation_NominaltoReal),TRUE,_xlfn.XLOOKUP($FY142,Inflation_Year,NominaltoReal)))</f>
        <v>0</v>
      </c>
      <c r="GA142" s="146" cm="1">
        <f t="array" ref="GA142">IF($FY142=0,0,_xlfn.IFS($FY142='Key assumptions'!$C$120,_xlfn.XLOOKUP(LEFT(GA$7,6),Inflation_Year,Inflation_NominaltoReal),TRUE,_xlfn.XLOOKUP($FY142,Inflation_Year,NominaltoReal)))</f>
        <v>0</v>
      </c>
      <c r="GB142" s="146" cm="1">
        <f t="array" ref="GB142">IF($FY142=0,0,_xlfn.IFS($FY142='Key assumptions'!$C$120,_xlfn.XLOOKUP(LEFT(GB$7,6),Inflation_Year,Inflation_NominaltoReal),TRUE,_xlfn.XLOOKUP($FY142,Inflation_Year,NominaltoReal)))</f>
        <v>0</v>
      </c>
      <c r="GC142" s="146" cm="1">
        <f t="array" ref="GC142">IF($FY142=0,0,_xlfn.IFS($FY142='Key assumptions'!$C$120,_xlfn.XLOOKUP(LEFT(GC$7,6),Inflation_Year,Inflation_NominaltoReal),TRUE,_xlfn.XLOOKUP($FY142,Inflation_Year,NominaltoReal)))</f>
        <v>0</v>
      </c>
      <c r="GD142" s="146" cm="1">
        <f t="array" ref="GD142">IF($FY142=0,0,_xlfn.IFS($FY142='Key assumptions'!$C$120,_xlfn.XLOOKUP(LEFT(GD$7,6),Inflation_Year,Inflation_NominaltoReal),TRUE,_xlfn.XLOOKUP($FY142,Inflation_Year,NominaltoReal)))</f>
        <v>0</v>
      </c>
      <c r="GE142" s="146" cm="1">
        <f t="array" ref="GE142">IF($FY142=0,0,_xlfn.IFS($FY142='Key assumptions'!$C$120,_xlfn.XLOOKUP(LEFT(GE$7,6),Inflation_Year,Inflation_NominaltoReal),TRUE,_xlfn.XLOOKUP($FY142,Inflation_Year,NominaltoReal)))</f>
        <v>0</v>
      </c>
      <c r="GF142" s="146" cm="1">
        <f t="array" ref="GF142">IF($FY142=0,0,_xlfn.IFS($FY142='Key assumptions'!$C$120,_xlfn.XLOOKUP(LEFT(GF$7,6),Inflation_Year,Inflation_NominaltoReal),TRUE,_xlfn.XLOOKUP($FY142,Inflation_Year,NominaltoReal)))</f>
        <v>0</v>
      </c>
      <c r="GG142" s="143"/>
      <c r="GH142" s="145" cm="1">
        <f t="array" ref="GH142">SUMPRODUCT(--($CR$7:$FW$7&gt;=GH$5),--($CR$7:$FW$7&lt;=GH$6),$CR142:$FW142)*FZ142</f>
        <v>0</v>
      </c>
      <c r="GI142" s="145" cm="1">
        <f t="array" ref="GI142">SUMPRODUCT(--($CR$7:$FW$7&gt;=GI$5),--($CR$7:$FW$7&lt;=GI$6),$CR142:$FW142)*GA142</f>
        <v>0</v>
      </c>
      <c r="GJ142" s="145" cm="1">
        <f t="array" ref="GJ142">SUMPRODUCT(--($CR$7:$FW$7&gt;=GJ$5),--($CR$7:$FW$7&lt;=GJ$6),$CR142:$FW142)*GB142</f>
        <v>0</v>
      </c>
      <c r="GK142" s="145" cm="1">
        <f t="array" ref="GK142">SUMPRODUCT(--($CR$7:$FW$7&gt;=GK$5),--($CR$7:$FW$7&lt;=GK$6),$CR142:$FW142)*GC142</f>
        <v>0</v>
      </c>
      <c r="GL142" s="145" cm="1">
        <f t="array" ref="GL142">SUMPRODUCT(--($CR$7:$FW$7&gt;=GL$5),--($CR$7:$FW$7&lt;=GL$6),$CR142:$FW142)*GD142</f>
        <v>0</v>
      </c>
      <c r="GM142" s="145" cm="1">
        <f t="array" ref="GM142">SUMPRODUCT(--($CR$7:$FW$7&gt;=GM$5),--($CR$7:$FW$7&lt;=GM$6),$CR142:$FW142)*GE142</f>
        <v>0</v>
      </c>
      <c r="GN142" s="145" cm="1">
        <f t="array" ref="GN142">SUMPRODUCT(--($CR$7:$FW$7&gt;=GN$5),--($CR$7:$FW$7&lt;=GN$6),$CR142:$FW142)*GF142</f>
        <v>0</v>
      </c>
      <c r="GO142" s="145">
        <f t="shared" si="2"/>
        <v>0</v>
      </c>
      <c r="GP142" s="87"/>
      <c r="GR142" s="145" cm="1">
        <f t="array" ref="GR142">SUMPRODUCT(--($CR$7:$FW$7&gt;=GR$5),--($CR$7:$FW$7&lt;=GR$6),$CR142:$FW142)</f>
        <v>0</v>
      </c>
    </row>
    <row r="143" spans="2:200" x14ac:dyDescent="0.2">
      <c r="B143" s="141"/>
      <c r="C143" s="141"/>
      <c r="D143" s="141"/>
      <c r="E143" s="141"/>
      <c r="F143" s="141"/>
      <c r="G143" s="141"/>
      <c r="H143" s="142"/>
      <c r="I143" s="126"/>
      <c r="J143" s="143"/>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3"/>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c r="EE143" s="145"/>
      <c r="EF143" s="145"/>
      <c r="EG143" s="145"/>
      <c r="EH143" s="145"/>
      <c r="EI143" s="145"/>
      <c r="EJ143" s="145"/>
      <c r="EK143" s="145"/>
      <c r="EL143" s="145"/>
      <c r="EM143" s="145"/>
      <c r="EN143" s="145"/>
      <c r="EO143" s="145"/>
      <c r="EP143" s="145"/>
      <c r="EQ143" s="145"/>
      <c r="ER143" s="145"/>
      <c r="ES143" s="145"/>
      <c r="ET143" s="145"/>
      <c r="EU143" s="145"/>
      <c r="EV143" s="145"/>
      <c r="EW143" s="145"/>
      <c r="EX143" s="145"/>
      <c r="EY143" s="145"/>
      <c r="EZ143" s="145"/>
      <c r="FA143" s="145"/>
      <c r="FB143" s="145"/>
      <c r="FC143" s="145"/>
      <c r="FD143" s="145"/>
      <c r="FE143" s="145"/>
      <c r="FF143" s="145"/>
      <c r="FG143" s="145"/>
      <c r="FH143" s="145"/>
      <c r="FI143" s="145"/>
      <c r="FJ143" s="145"/>
      <c r="FK143" s="145"/>
      <c r="FL143" s="145"/>
      <c r="FM143" s="145"/>
      <c r="FN143" s="145"/>
      <c r="FO143" s="145"/>
      <c r="FP143" s="145"/>
      <c r="FQ143" s="145"/>
      <c r="FR143" s="145"/>
      <c r="FS143" s="145"/>
      <c r="FT143" s="145"/>
      <c r="FU143" s="145"/>
      <c r="FV143" s="145"/>
      <c r="FW143" s="145"/>
      <c r="FX143" s="143"/>
      <c r="FY143" s="146">
        <f>_xlfn.XLOOKUP($E143,'Key assumptions'!$B$112:$B$120,'Key assumptions'!$C$112:$C$120,0)</f>
        <v>0</v>
      </c>
      <c r="FZ143" s="146" cm="1">
        <f t="array" ref="FZ143">IF($FY143=0,0,_xlfn.IFS($FY143='Key assumptions'!$C$120,_xlfn.XLOOKUP(LEFT(FZ$7,6),Inflation_Year,Inflation_NominaltoReal),TRUE,_xlfn.XLOOKUP($FY143,Inflation_Year,NominaltoReal)))</f>
        <v>0</v>
      </c>
      <c r="GA143" s="146" cm="1">
        <f t="array" ref="GA143">IF($FY143=0,0,_xlfn.IFS($FY143='Key assumptions'!$C$120,_xlfn.XLOOKUP(LEFT(GA$7,6),Inflation_Year,Inflation_NominaltoReal),TRUE,_xlfn.XLOOKUP($FY143,Inflation_Year,NominaltoReal)))</f>
        <v>0</v>
      </c>
      <c r="GB143" s="146" cm="1">
        <f t="array" ref="GB143">IF($FY143=0,0,_xlfn.IFS($FY143='Key assumptions'!$C$120,_xlfn.XLOOKUP(LEFT(GB$7,6),Inflation_Year,Inflation_NominaltoReal),TRUE,_xlfn.XLOOKUP($FY143,Inflation_Year,NominaltoReal)))</f>
        <v>0</v>
      </c>
      <c r="GC143" s="146" cm="1">
        <f t="array" ref="GC143">IF($FY143=0,0,_xlfn.IFS($FY143='Key assumptions'!$C$120,_xlfn.XLOOKUP(LEFT(GC$7,6),Inflation_Year,Inflation_NominaltoReal),TRUE,_xlfn.XLOOKUP($FY143,Inflation_Year,NominaltoReal)))</f>
        <v>0</v>
      </c>
      <c r="GD143" s="146" cm="1">
        <f t="array" ref="GD143">IF($FY143=0,0,_xlfn.IFS($FY143='Key assumptions'!$C$120,_xlfn.XLOOKUP(LEFT(GD$7,6),Inflation_Year,Inflation_NominaltoReal),TRUE,_xlfn.XLOOKUP($FY143,Inflation_Year,NominaltoReal)))</f>
        <v>0</v>
      </c>
      <c r="GE143" s="146" cm="1">
        <f t="array" ref="GE143">IF($FY143=0,0,_xlfn.IFS($FY143='Key assumptions'!$C$120,_xlfn.XLOOKUP(LEFT(GE$7,6),Inflation_Year,Inflation_NominaltoReal),TRUE,_xlfn.XLOOKUP($FY143,Inflation_Year,NominaltoReal)))</f>
        <v>0</v>
      </c>
      <c r="GF143" s="146" cm="1">
        <f t="array" ref="GF143">IF($FY143=0,0,_xlfn.IFS($FY143='Key assumptions'!$C$120,_xlfn.XLOOKUP(LEFT(GF$7,6),Inflation_Year,Inflation_NominaltoReal),TRUE,_xlfn.XLOOKUP($FY143,Inflation_Year,NominaltoReal)))</f>
        <v>0</v>
      </c>
      <c r="GG143" s="143"/>
      <c r="GH143" s="145" cm="1">
        <f t="array" ref="GH143">SUMPRODUCT(--($CR$7:$FW$7&gt;=GH$5),--($CR$7:$FW$7&lt;=GH$6),$CR143:$FW143)*FZ143</f>
        <v>0</v>
      </c>
      <c r="GI143" s="145" cm="1">
        <f t="array" ref="GI143">SUMPRODUCT(--($CR$7:$FW$7&gt;=GI$5),--($CR$7:$FW$7&lt;=GI$6),$CR143:$FW143)*GA143</f>
        <v>0</v>
      </c>
      <c r="GJ143" s="145" cm="1">
        <f t="array" ref="GJ143">SUMPRODUCT(--($CR$7:$FW$7&gt;=GJ$5),--($CR$7:$FW$7&lt;=GJ$6),$CR143:$FW143)*GB143</f>
        <v>0</v>
      </c>
      <c r="GK143" s="145" cm="1">
        <f t="array" ref="GK143">SUMPRODUCT(--($CR$7:$FW$7&gt;=GK$5),--($CR$7:$FW$7&lt;=GK$6),$CR143:$FW143)*GC143</f>
        <v>0</v>
      </c>
      <c r="GL143" s="145" cm="1">
        <f t="array" ref="GL143">SUMPRODUCT(--($CR$7:$FW$7&gt;=GL$5),--($CR$7:$FW$7&lt;=GL$6),$CR143:$FW143)*GD143</f>
        <v>0</v>
      </c>
      <c r="GM143" s="145" cm="1">
        <f t="array" ref="GM143">SUMPRODUCT(--($CR$7:$FW$7&gt;=GM$5),--($CR$7:$FW$7&lt;=GM$6),$CR143:$FW143)*GE143</f>
        <v>0</v>
      </c>
      <c r="GN143" s="145" cm="1">
        <f t="array" ref="GN143">SUMPRODUCT(--($CR$7:$FW$7&gt;=GN$5),--($CR$7:$FW$7&lt;=GN$6),$CR143:$FW143)*GF143</f>
        <v>0</v>
      </c>
      <c r="GO143" s="145">
        <f t="shared" si="2"/>
        <v>0</v>
      </c>
      <c r="GP143" s="87"/>
      <c r="GR143" s="145" cm="1">
        <f t="array" ref="GR143">SUMPRODUCT(--($CR$7:$FW$7&gt;=GR$5),--($CR$7:$FW$7&lt;=GR$6),$CR143:$FW143)</f>
        <v>0</v>
      </c>
    </row>
    <row r="144" spans="2:200" x14ac:dyDescent="0.2">
      <c r="B144" s="141"/>
      <c r="C144" s="141"/>
      <c r="D144" s="141"/>
      <c r="E144" s="141"/>
      <c r="F144" s="141"/>
      <c r="G144" s="141"/>
      <c r="H144" s="142"/>
      <c r="I144" s="126"/>
      <c r="J144" s="143"/>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3"/>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c r="EE144" s="145"/>
      <c r="EF144" s="145"/>
      <c r="EG144" s="145"/>
      <c r="EH144" s="145"/>
      <c r="EI144" s="145"/>
      <c r="EJ144" s="145"/>
      <c r="EK144" s="145"/>
      <c r="EL144" s="145"/>
      <c r="EM144" s="145"/>
      <c r="EN144" s="145"/>
      <c r="EO144" s="145"/>
      <c r="EP144" s="145"/>
      <c r="EQ144" s="145"/>
      <c r="ER144" s="145"/>
      <c r="ES144" s="145"/>
      <c r="ET144" s="145"/>
      <c r="EU144" s="145"/>
      <c r="EV144" s="145"/>
      <c r="EW144" s="145"/>
      <c r="EX144" s="145"/>
      <c r="EY144" s="145"/>
      <c r="EZ144" s="145"/>
      <c r="FA144" s="145"/>
      <c r="FB144" s="145"/>
      <c r="FC144" s="145"/>
      <c r="FD144" s="145"/>
      <c r="FE144" s="145"/>
      <c r="FF144" s="145"/>
      <c r="FG144" s="145"/>
      <c r="FH144" s="145"/>
      <c r="FI144" s="145"/>
      <c r="FJ144" s="145"/>
      <c r="FK144" s="145"/>
      <c r="FL144" s="145"/>
      <c r="FM144" s="145"/>
      <c r="FN144" s="145"/>
      <c r="FO144" s="145"/>
      <c r="FP144" s="145"/>
      <c r="FQ144" s="145"/>
      <c r="FR144" s="145"/>
      <c r="FS144" s="145"/>
      <c r="FT144" s="145"/>
      <c r="FU144" s="145"/>
      <c r="FV144" s="145"/>
      <c r="FW144" s="145"/>
      <c r="FX144" s="143"/>
      <c r="FY144" s="146">
        <f>_xlfn.XLOOKUP($E144,'Key assumptions'!$B$112:$B$120,'Key assumptions'!$C$112:$C$120,0)</f>
        <v>0</v>
      </c>
      <c r="FZ144" s="146" cm="1">
        <f t="array" ref="FZ144">IF($FY144=0,0,_xlfn.IFS($FY144='Key assumptions'!$C$120,_xlfn.XLOOKUP(LEFT(FZ$7,6),Inflation_Year,Inflation_NominaltoReal),TRUE,_xlfn.XLOOKUP($FY144,Inflation_Year,NominaltoReal)))</f>
        <v>0</v>
      </c>
      <c r="GA144" s="146" cm="1">
        <f t="array" ref="GA144">IF($FY144=0,0,_xlfn.IFS($FY144='Key assumptions'!$C$120,_xlfn.XLOOKUP(LEFT(GA$7,6),Inflation_Year,Inflation_NominaltoReal),TRUE,_xlfn.XLOOKUP($FY144,Inflation_Year,NominaltoReal)))</f>
        <v>0</v>
      </c>
      <c r="GB144" s="146" cm="1">
        <f t="array" ref="GB144">IF($FY144=0,0,_xlfn.IFS($FY144='Key assumptions'!$C$120,_xlfn.XLOOKUP(LEFT(GB$7,6),Inflation_Year,Inflation_NominaltoReal),TRUE,_xlfn.XLOOKUP($FY144,Inflation_Year,NominaltoReal)))</f>
        <v>0</v>
      </c>
      <c r="GC144" s="146" cm="1">
        <f t="array" ref="GC144">IF($FY144=0,0,_xlfn.IFS($FY144='Key assumptions'!$C$120,_xlfn.XLOOKUP(LEFT(GC$7,6),Inflation_Year,Inflation_NominaltoReal),TRUE,_xlfn.XLOOKUP($FY144,Inflation_Year,NominaltoReal)))</f>
        <v>0</v>
      </c>
      <c r="GD144" s="146" cm="1">
        <f t="array" ref="GD144">IF($FY144=0,0,_xlfn.IFS($FY144='Key assumptions'!$C$120,_xlfn.XLOOKUP(LEFT(GD$7,6),Inflation_Year,Inflation_NominaltoReal),TRUE,_xlfn.XLOOKUP($FY144,Inflation_Year,NominaltoReal)))</f>
        <v>0</v>
      </c>
      <c r="GE144" s="146" cm="1">
        <f t="array" ref="GE144">IF($FY144=0,0,_xlfn.IFS($FY144='Key assumptions'!$C$120,_xlfn.XLOOKUP(LEFT(GE$7,6),Inflation_Year,Inflation_NominaltoReal),TRUE,_xlfn.XLOOKUP($FY144,Inflation_Year,NominaltoReal)))</f>
        <v>0</v>
      </c>
      <c r="GF144" s="146" cm="1">
        <f t="array" ref="GF144">IF($FY144=0,0,_xlfn.IFS($FY144='Key assumptions'!$C$120,_xlfn.XLOOKUP(LEFT(GF$7,6),Inflation_Year,Inflation_NominaltoReal),TRUE,_xlfn.XLOOKUP($FY144,Inflation_Year,NominaltoReal)))</f>
        <v>0</v>
      </c>
      <c r="GG144" s="143"/>
      <c r="GH144" s="145" cm="1">
        <f t="array" ref="GH144">SUMPRODUCT(--($CR$7:$FW$7&gt;=GH$5),--($CR$7:$FW$7&lt;=GH$6),$CR144:$FW144)*FZ144</f>
        <v>0</v>
      </c>
      <c r="GI144" s="145" cm="1">
        <f t="array" ref="GI144">SUMPRODUCT(--($CR$7:$FW$7&gt;=GI$5),--($CR$7:$FW$7&lt;=GI$6),$CR144:$FW144)*GA144</f>
        <v>0</v>
      </c>
      <c r="GJ144" s="145" cm="1">
        <f t="array" ref="GJ144">SUMPRODUCT(--($CR$7:$FW$7&gt;=GJ$5),--($CR$7:$FW$7&lt;=GJ$6),$CR144:$FW144)*GB144</f>
        <v>0</v>
      </c>
      <c r="GK144" s="145" cm="1">
        <f t="array" ref="GK144">SUMPRODUCT(--($CR$7:$FW$7&gt;=GK$5),--($CR$7:$FW$7&lt;=GK$6),$CR144:$FW144)*GC144</f>
        <v>0</v>
      </c>
      <c r="GL144" s="145" cm="1">
        <f t="array" ref="GL144">SUMPRODUCT(--($CR$7:$FW$7&gt;=GL$5),--($CR$7:$FW$7&lt;=GL$6),$CR144:$FW144)*GD144</f>
        <v>0</v>
      </c>
      <c r="GM144" s="145" cm="1">
        <f t="array" ref="GM144">SUMPRODUCT(--($CR$7:$FW$7&gt;=GM$5),--($CR$7:$FW$7&lt;=GM$6),$CR144:$FW144)*GE144</f>
        <v>0</v>
      </c>
      <c r="GN144" s="145" cm="1">
        <f t="array" ref="GN144">SUMPRODUCT(--($CR$7:$FW$7&gt;=GN$5),--($CR$7:$FW$7&lt;=GN$6),$CR144:$FW144)*GF144</f>
        <v>0</v>
      </c>
      <c r="GO144" s="145">
        <f t="shared" si="2"/>
        <v>0</v>
      </c>
      <c r="GP144" s="87"/>
      <c r="GR144" s="145" cm="1">
        <f t="array" ref="GR144">SUMPRODUCT(--($CR$7:$FW$7&gt;=GR$5),--($CR$7:$FW$7&lt;=GR$6),$CR144:$FW144)</f>
        <v>0</v>
      </c>
    </row>
    <row r="145" spans="2:200" x14ac:dyDescent="0.2">
      <c r="B145" s="141"/>
      <c r="C145" s="141"/>
      <c r="D145" s="141"/>
      <c r="E145" s="141"/>
      <c r="F145" s="141"/>
      <c r="G145" s="141"/>
      <c r="H145" s="142"/>
      <c r="I145" s="126"/>
      <c r="J145" s="143"/>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3"/>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c r="EE145" s="145"/>
      <c r="EF145" s="145"/>
      <c r="EG145" s="145"/>
      <c r="EH145" s="145"/>
      <c r="EI145" s="145"/>
      <c r="EJ145" s="145"/>
      <c r="EK145" s="145"/>
      <c r="EL145" s="145"/>
      <c r="EM145" s="145"/>
      <c r="EN145" s="145"/>
      <c r="EO145" s="145"/>
      <c r="EP145" s="145"/>
      <c r="EQ145" s="145"/>
      <c r="ER145" s="145"/>
      <c r="ES145" s="145"/>
      <c r="ET145" s="145"/>
      <c r="EU145" s="145"/>
      <c r="EV145" s="145"/>
      <c r="EW145" s="145"/>
      <c r="EX145" s="145"/>
      <c r="EY145" s="145"/>
      <c r="EZ145" s="145"/>
      <c r="FA145" s="145"/>
      <c r="FB145" s="145"/>
      <c r="FC145" s="145"/>
      <c r="FD145" s="145"/>
      <c r="FE145" s="145"/>
      <c r="FF145" s="145"/>
      <c r="FG145" s="145"/>
      <c r="FH145" s="145"/>
      <c r="FI145" s="145"/>
      <c r="FJ145" s="145"/>
      <c r="FK145" s="145"/>
      <c r="FL145" s="145"/>
      <c r="FM145" s="145"/>
      <c r="FN145" s="145"/>
      <c r="FO145" s="145"/>
      <c r="FP145" s="145"/>
      <c r="FQ145" s="145"/>
      <c r="FR145" s="145"/>
      <c r="FS145" s="145"/>
      <c r="FT145" s="145"/>
      <c r="FU145" s="145"/>
      <c r="FV145" s="145"/>
      <c r="FW145" s="145"/>
      <c r="FX145" s="143"/>
      <c r="FY145" s="146">
        <f>_xlfn.XLOOKUP($E145,'Key assumptions'!$B$112:$B$120,'Key assumptions'!$C$112:$C$120,0)</f>
        <v>0</v>
      </c>
      <c r="FZ145" s="146" cm="1">
        <f t="array" ref="FZ145">IF($FY145=0,0,_xlfn.IFS($FY145='Key assumptions'!$C$120,_xlfn.XLOOKUP(LEFT(FZ$7,6),Inflation_Year,Inflation_NominaltoReal),TRUE,_xlfn.XLOOKUP($FY145,Inflation_Year,NominaltoReal)))</f>
        <v>0</v>
      </c>
      <c r="GA145" s="146" cm="1">
        <f t="array" ref="GA145">IF($FY145=0,0,_xlfn.IFS($FY145='Key assumptions'!$C$120,_xlfn.XLOOKUP(LEFT(GA$7,6),Inflation_Year,Inflation_NominaltoReal),TRUE,_xlfn.XLOOKUP($FY145,Inflation_Year,NominaltoReal)))</f>
        <v>0</v>
      </c>
      <c r="GB145" s="146" cm="1">
        <f t="array" ref="GB145">IF($FY145=0,0,_xlfn.IFS($FY145='Key assumptions'!$C$120,_xlfn.XLOOKUP(LEFT(GB$7,6),Inflation_Year,Inflation_NominaltoReal),TRUE,_xlfn.XLOOKUP($FY145,Inflation_Year,NominaltoReal)))</f>
        <v>0</v>
      </c>
      <c r="GC145" s="146" cm="1">
        <f t="array" ref="GC145">IF($FY145=0,0,_xlfn.IFS($FY145='Key assumptions'!$C$120,_xlfn.XLOOKUP(LEFT(GC$7,6),Inflation_Year,Inflation_NominaltoReal),TRUE,_xlfn.XLOOKUP($FY145,Inflation_Year,NominaltoReal)))</f>
        <v>0</v>
      </c>
      <c r="GD145" s="146" cm="1">
        <f t="array" ref="GD145">IF($FY145=0,0,_xlfn.IFS($FY145='Key assumptions'!$C$120,_xlfn.XLOOKUP(LEFT(GD$7,6),Inflation_Year,Inflation_NominaltoReal),TRUE,_xlfn.XLOOKUP($FY145,Inflation_Year,NominaltoReal)))</f>
        <v>0</v>
      </c>
      <c r="GE145" s="146" cm="1">
        <f t="array" ref="GE145">IF($FY145=0,0,_xlfn.IFS($FY145='Key assumptions'!$C$120,_xlfn.XLOOKUP(LEFT(GE$7,6),Inflation_Year,Inflation_NominaltoReal),TRUE,_xlfn.XLOOKUP($FY145,Inflation_Year,NominaltoReal)))</f>
        <v>0</v>
      </c>
      <c r="GF145" s="146" cm="1">
        <f t="array" ref="GF145">IF($FY145=0,0,_xlfn.IFS($FY145='Key assumptions'!$C$120,_xlfn.XLOOKUP(LEFT(GF$7,6),Inflation_Year,Inflation_NominaltoReal),TRUE,_xlfn.XLOOKUP($FY145,Inflation_Year,NominaltoReal)))</f>
        <v>0</v>
      </c>
      <c r="GG145" s="143"/>
      <c r="GH145" s="145" cm="1">
        <f t="array" ref="GH145">SUMPRODUCT(--($CR$7:$FW$7&gt;=GH$5),--($CR$7:$FW$7&lt;=GH$6),$CR145:$FW145)*FZ145</f>
        <v>0</v>
      </c>
      <c r="GI145" s="145" cm="1">
        <f t="array" ref="GI145">SUMPRODUCT(--($CR$7:$FW$7&gt;=GI$5),--($CR$7:$FW$7&lt;=GI$6),$CR145:$FW145)*GA145</f>
        <v>0</v>
      </c>
      <c r="GJ145" s="145" cm="1">
        <f t="array" ref="GJ145">SUMPRODUCT(--($CR$7:$FW$7&gt;=GJ$5),--($CR$7:$FW$7&lt;=GJ$6),$CR145:$FW145)*GB145</f>
        <v>0</v>
      </c>
      <c r="GK145" s="145" cm="1">
        <f t="array" ref="GK145">SUMPRODUCT(--($CR$7:$FW$7&gt;=GK$5),--($CR$7:$FW$7&lt;=GK$6),$CR145:$FW145)*GC145</f>
        <v>0</v>
      </c>
      <c r="GL145" s="145" cm="1">
        <f t="array" ref="GL145">SUMPRODUCT(--($CR$7:$FW$7&gt;=GL$5),--($CR$7:$FW$7&lt;=GL$6),$CR145:$FW145)*GD145</f>
        <v>0</v>
      </c>
      <c r="GM145" s="145" cm="1">
        <f t="array" ref="GM145">SUMPRODUCT(--($CR$7:$FW$7&gt;=GM$5),--($CR$7:$FW$7&lt;=GM$6),$CR145:$FW145)*GE145</f>
        <v>0</v>
      </c>
      <c r="GN145" s="145" cm="1">
        <f t="array" ref="GN145">SUMPRODUCT(--($CR$7:$FW$7&gt;=GN$5),--($CR$7:$FW$7&lt;=GN$6),$CR145:$FW145)*GF145</f>
        <v>0</v>
      </c>
      <c r="GO145" s="145">
        <f t="shared" si="2"/>
        <v>0</v>
      </c>
      <c r="GP145" s="87"/>
      <c r="GR145" s="145" cm="1">
        <f t="array" ref="GR145">SUMPRODUCT(--($CR$7:$FW$7&gt;=GR$5),--($CR$7:$FW$7&lt;=GR$6),$CR145:$FW145)</f>
        <v>0</v>
      </c>
    </row>
    <row r="146" spans="2:200" x14ac:dyDescent="0.2">
      <c r="B146" s="141"/>
      <c r="C146" s="141"/>
      <c r="D146" s="141"/>
      <c r="E146" s="141"/>
      <c r="F146" s="141"/>
      <c r="G146" s="141"/>
      <c r="H146" s="142"/>
      <c r="I146" s="126"/>
      <c r="J146" s="143"/>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3"/>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c r="EE146" s="145"/>
      <c r="EF146" s="145"/>
      <c r="EG146" s="145"/>
      <c r="EH146" s="145"/>
      <c r="EI146" s="145"/>
      <c r="EJ146" s="145"/>
      <c r="EK146" s="145"/>
      <c r="EL146" s="145"/>
      <c r="EM146" s="145"/>
      <c r="EN146" s="145"/>
      <c r="EO146" s="145"/>
      <c r="EP146" s="145"/>
      <c r="EQ146" s="145"/>
      <c r="ER146" s="145"/>
      <c r="ES146" s="145"/>
      <c r="ET146" s="145"/>
      <c r="EU146" s="145"/>
      <c r="EV146" s="145"/>
      <c r="EW146" s="145"/>
      <c r="EX146" s="145"/>
      <c r="EY146" s="145"/>
      <c r="EZ146" s="145"/>
      <c r="FA146" s="145"/>
      <c r="FB146" s="145"/>
      <c r="FC146" s="145"/>
      <c r="FD146" s="145"/>
      <c r="FE146" s="145"/>
      <c r="FF146" s="145"/>
      <c r="FG146" s="145"/>
      <c r="FH146" s="145"/>
      <c r="FI146" s="145"/>
      <c r="FJ146" s="145"/>
      <c r="FK146" s="145"/>
      <c r="FL146" s="145"/>
      <c r="FM146" s="145"/>
      <c r="FN146" s="145"/>
      <c r="FO146" s="145"/>
      <c r="FP146" s="145"/>
      <c r="FQ146" s="145"/>
      <c r="FR146" s="145"/>
      <c r="FS146" s="145"/>
      <c r="FT146" s="145"/>
      <c r="FU146" s="145"/>
      <c r="FV146" s="145"/>
      <c r="FW146" s="145"/>
      <c r="FX146" s="143"/>
      <c r="FY146" s="146">
        <f>_xlfn.XLOOKUP($E146,'Key assumptions'!$B$112:$B$120,'Key assumptions'!$C$112:$C$120,0)</f>
        <v>0</v>
      </c>
      <c r="FZ146" s="146" cm="1">
        <f t="array" ref="FZ146">IF($FY146=0,0,_xlfn.IFS($FY146='Key assumptions'!$C$120,_xlfn.XLOOKUP(LEFT(FZ$7,6),Inflation_Year,Inflation_NominaltoReal),TRUE,_xlfn.XLOOKUP($FY146,Inflation_Year,NominaltoReal)))</f>
        <v>0</v>
      </c>
      <c r="GA146" s="146" cm="1">
        <f t="array" ref="GA146">IF($FY146=0,0,_xlfn.IFS($FY146='Key assumptions'!$C$120,_xlfn.XLOOKUP(LEFT(GA$7,6),Inflation_Year,Inflation_NominaltoReal),TRUE,_xlfn.XLOOKUP($FY146,Inflation_Year,NominaltoReal)))</f>
        <v>0</v>
      </c>
      <c r="GB146" s="146" cm="1">
        <f t="array" ref="GB146">IF($FY146=0,0,_xlfn.IFS($FY146='Key assumptions'!$C$120,_xlfn.XLOOKUP(LEFT(GB$7,6),Inflation_Year,Inflation_NominaltoReal),TRUE,_xlfn.XLOOKUP($FY146,Inflation_Year,NominaltoReal)))</f>
        <v>0</v>
      </c>
      <c r="GC146" s="146" cm="1">
        <f t="array" ref="GC146">IF($FY146=0,0,_xlfn.IFS($FY146='Key assumptions'!$C$120,_xlfn.XLOOKUP(LEFT(GC$7,6),Inflation_Year,Inflation_NominaltoReal),TRUE,_xlfn.XLOOKUP($FY146,Inflation_Year,NominaltoReal)))</f>
        <v>0</v>
      </c>
      <c r="GD146" s="146" cm="1">
        <f t="array" ref="GD146">IF($FY146=0,0,_xlfn.IFS($FY146='Key assumptions'!$C$120,_xlfn.XLOOKUP(LEFT(GD$7,6),Inflation_Year,Inflation_NominaltoReal),TRUE,_xlfn.XLOOKUP($FY146,Inflation_Year,NominaltoReal)))</f>
        <v>0</v>
      </c>
      <c r="GE146" s="146" cm="1">
        <f t="array" ref="GE146">IF($FY146=0,0,_xlfn.IFS($FY146='Key assumptions'!$C$120,_xlfn.XLOOKUP(LEFT(GE$7,6),Inflation_Year,Inflation_NominaltoReal),TRUE,_xlfn.XLOOKUP($FY146,Inflation_Year,NominaltoReal)))</f>
        <v>0</v>
      </c>
      <c r="GF146" s="146" cm="1">
        <f t="array" ref="GF146">IF($FY146=0,0,_xlfn.IFS($FY146='Key assumptions'!$C$120,_xlfn.XLOOKUP(LEFT(GF$7,6),Inflation_Year,Inflation_NominaltoReal),TRUE,_xlfn.XLOOKUP($FY146,Inflation_Year,NominaltoReal)))</f>
        <v>0</v>
      </c>
      <c r="GG146" s="143"/>
      <c r="GH146" s="145" cm="1">
        <f t="array" ref="GH146">SUMPRODUCT(--($CR$7:$FW$7&gt;=GH$5),--($CR$7:$FW$7&lt;=GH$6),$CR146:$FW146)*FZ146</f>
        <v>0</v>
      </c>
      <c r="GI146" s="145" cm="1">
        <f t="array" ref="GI146">SUMPRODUCT(--($CR$7:$FW$7&gt;=GI$5),--($CR$7:$FW$7&lt;=GI$6),$CR146:$FW146)*GA146</f>
        <v>0</v>
      </c>
      <c r="GJ146" s="145" cm="1">
        <f t="array" ref="GJ146">SUMPRODUCT(--($CR$7:$FW$7&gt;=GJ$5),--($CR$7:$FW$7&lt;=GJ$6),$CR146:$FW146)*GB146</f>
        <v>0</v>
      </c>
      <c r="GK146" s="145" cm="1">
        <f t="array" ref="GK146">SUMPRODUCT(--($CR$7:$FW$7&gt;=GK$5),--($CR$7:$FW$7&lt;=GK$6),$CR146:$FW146)*GC146</f>
        <v>0</v>
      </c>
      <c r="GL146" s="145" cm="1">
        <f t="array" ref="GL146">SUMPRODUCT(--($CR$7:$FW$7&gt;=GL$5),--($CR$7:$FW$7&lt;=GL$6),$CR146:$FW146)*GD146</f>
        <v>0</v>
      </c>
      <c r="GM146" s="145" cm="1">
        <f t="array" ref="GM146">SUMPRODUCT(--($CR$7:$FW$7&gt;=GM$5),--($CR$7:$FW$7&lt;=GM$6),$CR146:$FW146)*GE146</f>
        <v>0</v>
      </c>
      <c r="GN146" s="145" cm="1">
        <f t="array" ref="GN146">SUMPRODUCT(--($CR$7:$FW$7&gt;=GN$5),--($CR$7:$FW$7&lt;=GN$6),$CR146:$FW146)*GF146</f>
        <v>0</v>
      </c>
      <c r="GO146" s="145">
        <f t="shared" si="2"/>
        <v>0</v>
      </c>
      <c r="GP146" s="87"/>
      <c r="GR146" s="145" cm="1">
        <f t="array" ref="GR146">SUMPRODUCT(--($CR$7:$FW$7&gt;=GR$5),--($CR$7:$FW$7&lt;=GR$6),$CR146:$FW146)</f>
        <v>0</v>
      </c>
    </row>
    <row r="147" spans="2:200" x14ac:dyDescent="0.2">
      <c r="B147" s="141"/>
      <c r="C147" s="141"/>
      <c r="D147" s="141"/>
      <c r="E147" s="141"/>
      <c r="F147" s="141"/>
      <c r="G147" s="141"/>
      <c r="H147" s="142"/>
      <c r="I147" s="126"/>
      <c r="J147" s="143"/>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3"/>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c r="EE147" s="145"/>
      <c r="EF147" s="145"/>
      <c r="EG147" s="145"/>
      <c r="EH147" s="145"/>
      <c r="EI147" s="145"/>
      <c r="EJ147" s="145"/>
      <c r="EK147" s="145"/>
      <c r="EL147" s="145"/>
      <c r="EM147" s="145"/>
      <c r="EN147" s="145"/>
      <c r="EO147" s="145"/>
      <c r="EP147" s="145"/>
      <c r="EQ147" s="145"/>
      <c r="ER147" s="145"/>
      <c r="ES147" s="145"/>
      <c r="ET147" s="145"/>
      <c r="EU147" s="145"/>
      <c r="EV147" s="145"/>
      <c r="EW147" s="145"/>
      <c r="EX147" s="145"/>
      <c r="EY147" s="145"/>
      <c r="EZ147" s="145"/>
      <c r="FA147" s="145"/>
      <c r="FB147" s="145"/>
      <c r="FC147" s="145"/>
      <c r="FD147" s="145"/>
      <c r="FE147" s="145"/>
      <c r="FF147" s="145"/>
      <c r="FG147" s="145"/>
      <c r="FH147" s="145"/>
      <c r="FI147" s="145"/>
      <c r="FJ147" s="145"/>
      <c r="FK147" s="145"/>
      <c r="FL147" s="145"/>
      <c r="FM147" s="145"/>
      <c r="FN147" s="145"/>
      <c r="FO147" s="145"/>
      <c r="FP147" s="145"/>
      <c r="FQ147" s="145"/>
      <c r="FR147" s="145"/>
      <c r="FS147" s="145"/>
      <c r="FT147" s="145"/>
      <c r="FU147" s="145"/>
      <c r="FV147" s="145"/>
      <c r="FW147" s="145"/>
      <c r="FX147" s="143"/>
      <c r="FY147" s="146">
        <f>_xlfn.XLOOKUP($E147,'Key assumptions'!$B$112:$B$120,'Key assumptions'!$C$112:$C$120,0)</f>
        <v>0</v>
      </c>
      <c r="FZ147" s="146" cm="1">
        <f t="array" ref="FZ147">IF($FY147=0,0,_xlfn.IFS($FY147='Key assumptions'!$C$120,_xlfn.XLOOKUP(LEFT(FZ$7,6),Inflation_Year,Inflation_NominaltoReal),TRUE,_xlfn.XLOOKUP($FY147,Inflation_Year,NominaltoReal)))</f>
        <v>0</v>
      </c>
      <c r="GA147" s="146" cm="1">
        <f t="array" ref="GA147">IF($FY147=0,0,_xlfn.IFS($FY147='Key assumptions'!$C$120,_xlfn.XLOOKUP(LEFT(GA$7,6),Inflation_Year,Inflation_NominaltoReal),TRUE,_xlfn.XLOOKUP($FY147,Inflation_Year,NominaltoReal)))</f>
        <v>0</v>
      </c>
      <c r="GB147" s="146" cm="1">
        <f t="array" ref="GB147">IF($FY147=0,0,_xlfn.IFS($FY147='Key assumptions'!$C$120,_xlfn.XLOOKUP(LEFT(GB$7,6),Inflation_Year,Inflation_NominaltoReal),TRUE,_xlfn.XLOOKUP($FY147,Inflation_Year,NominaltoReal)))</f>
        <v>0</v>
      </c>
      <c r="GC147" s="146" cm="1">
        <f t="array" ref="GC147">IF($FY147=0,0,_xlfn.IFS($FY147='Key assumptions'!$C$120,_xlfn.XLOOKUP(LEFT(GC$7,6),Inflation_Year,Inflation_NominaltoReal),TRUE,_xlfn.XLOOKUP($FY147,Inflation_Year,NominaltoReal)))</f>
        <v>0</v>
      </c>
      <c r="GD147" s="146" cm="1">
        <f t="array" ref="GD147">IF($FY147=0,0,_xlfn.IFS($FY147='Key assumptions'!$C$120,_xlfn.XLOOKUP(LEFT(GD$7,6),Inflation_Year,Inflation_NominaltoReal),TRUE,_xlfn.XLOOKUP($FY147,Inflation_Year,NominaltoReal)))</f>
        <v>0</v>
      </c>
      <c r="GE147" s="146" cm="1">
        <f t="array" ref="GE147">IF($FY147=0,0,_xlfn.IFS($FY147='Key assumptions'!$C$120,_xlfn.XLOOKUP(LEFT(GE$7,6),Inflation_Year,Inflation_NominaltoReal),TRUE,_xlfn.XLOOKUP($FY147,Inflation_Year,NominaltoReal)))</f>
        <v>0</v>
      </c>
      <c r="GF147" s="146" cm="1">
        <f t="array" ref="GF147">IF($FY147=0,0,_xlfn.IFS($FY147='Key assumptions'!$C$120,_xlfn.XLOOKUP(LEFT(GF$7,6),Inflation_Year,Inflation_NominaltoReal),TRUE,_xlfn.XLOOKUP($FY147,Inflation_Year,NominaltoReal)))</f>
        <v>0</v>
      </c>
      <c r="GG147" s="143"/>
      <c r="GH147" s="145" cm="1">
        <f t="array" ref="GH147">SUMPRODUCT(--($CR$7:$FW$7&gt;=GH$5),--($CR$7:$FW$7&lt;=GH$6),$CR147:$FW147)*FZ147</f>
        <v>0</v>
      </c>
      <c r="GI147" s="145" cm="1">
        <f t="array" ref="GI147">SUMPRODUCT(--($CR$7:$FW$7&gt;=GI$5),--($CR$7:$FW$7&lt;=GI$6),$CR147:$FW147)*GA147</f>
        <v>0</v>
      </c>
      <c r="GJ147" s="145" cm="1">
        <f t="array" ref="GJ147">SUMPRODUCT(--($CR$7:$FW$7&gt;=GJ$5),--($CR$7:$FW$7&lt;=GJ$6),$CR147:$FW147)*GB147</f>
        <v>0</v>
      </c>
      <c r="GK147" s="145" cm="1">
        <f t="array" ref="GK147">SUMPRODUCT(--($CR$7:$FW$7&gt;=GK$5),--($CR$7:$FW$7&lt;=GK$6),$CR147:$FW147)*GC147</f>
        <v>0</v>
      </c>
      <c r="GL147" s="145" cm="1">
        <f t="array" ref="GL147">SUMPRODUCT(--($CR$7:$FW$7&gt;=GL$5),--($CR$7:$FW$7&lt;=GL$6),$CR147:$FW147)*GD147</f>
        <v>0</v>
      </c>
      <c r="GM147" s="145" cm="1">
        <f t="array" ref="GM147">SUMPRODUCT(--($CR$7:$FW$7&gt;=GM$5),--($CR$7:$FW$7&lt;=GM$6),$CR147:$FW147)*GE147</f>
        <v>0</v>
      </c>
      <c r="GN147" s="145" cm="1">
        <f t="array" ref="GN147">SUMPRODUCT(--($CR$7:$FW$7&gt;=GN$5),--($CR$7:$FW$7&lt;=GN$6),$CR147:$FW147)*GF147</f>
        <v>0</v>
      </c>
      <c r="GO147" s="145">
        <f t="shared" si="2"/>
        <v>0</v>
      </c>
      <c r="GP147" s="87"/>
      <c r="GR147" s="145" cm="1">
        <f t="array" ref="GR147">SUMPRODUCT(--($CR$7:$FW$7&gt;=GR$5),--($CR$7:$FW$7&lt;=GR$6),$CR147:$FW147)</f>
        <v>0</v>
      </c>
    </row>
    <row r="148" spans="2:200" x14ac:dyDescent="0.2">
      <c r="B148" s="141"/>
      <c r="C148" s="141"/>
      <c r="D148" s="141"/>
      <c r="E148" s="141"/>
      <c r="F148" s="141"/>
      <c r="G148" s="141"/>
      <c r="H148" s="142"/>
      <c r="I148" s="126"/>
      <c r="J148" s="143"/>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3"/>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c r="EE148" s="145"/>
      <c r="EF148" s="145"/>
      <c r="EG148" s="145"/>
      <c r="EH148" s="145"/>
      <c r="EI148" s="145"/>
      <c r="EJ148" s="145"/>
      <c r="EK148" s="145"/>
      <c r="EL148" s="145"/>
      <c r="EM148" s="145"/>
      <c r="EN148" s="145"/>
      <c r="EO148" s="145"/>
      <c r="EP148" s="145"/>
      <c r="EQ148" s="145"/>
      <c r="ER148" s="145"/>
      <c r="ES148" s="145"/>
      <c r="ET148" s="145"/>
      <c r="EU148" s="145"/>
      <c r="EV148" s="145"/>
      <c r="EW148" s="145"/>
      <c r="EX148" s="145"/>
      <c r="EY148" s="145"/>
      <c r="EZ148" s="145"/>
      <c r="FA148" s="145"/>
      <c r="FB148" s="145"/>
      <c r="FC148" s="145"/>
      <c r="FD148" s="145"/>
      <c r="FE148" s="145"/>
      <c r="FF148" s="145"/>
      <c r="FG148" s="145"/>
      <c r="FH148" s="145"/>
      <c r="FI148" s="145"/>
      <c r="FJ148" s="145"/>
      <c r="FK148" s="145"/>
      <c r="FL148" s="145"/>
      <c r="FM148" s="145"/>
      <c r="FN148" s="145"/>
      <c r="FO148" s="145"/>
      <c r="FP148" s="145"/>
      <c r="FQ148" s="145"/>
      <c r="FR148" s="145"/>
      <c r="FS148" s="145"/>
      <c r="FT148" s="145"/>
      <c r="FU148" s="145"/>
      <c r="FV148" s="145"/>
      <c r="FW148" s="145"/>
      <c r="FX148" s="143"/>
      <c r="FY148" s="146">
        <f>_xlfn.XLOOKUP($E148,'Key assumptions'!$B$112:$B$120,'Key assumptions'!$C$112:$C$120,0)</f>
        <v>0</v>
      </c>
      <c r="FZ148" s="146" cm="1">
        <f t="array" ref="FZ148">IF($FY148=0,0,_xlfn.IFS($FY148='Key assumptions'!$C$120,_xlfn.XLOOKUP(LEFT(FZ$7,6),Inflation_Year,Inflation_NominaltoReal),TRUE,_xlfn.XLOOKUP($FY148,Inflation_Year,NominaltoReal)))</f>
        <v>0</v>
      </c>
      <c r="GA148" s="146" cm="1">
        <f t="array" ref="GA148">IF($FY148=0,0,_xlfn.IFS($FY148='Key assumptions'!$C$120,_xlfn.XLOOKUP(LEFT(GA$7,6),Inflation_Year,Inflation_NominaltoReal),TRUE,_xlfn.XLOOKUP($FY148,Inflation_Year,NominaltoReal)))</f>
        <v>0</v>
      </c>
      <c r="GB148" s="146" cm="1">
        <f t="array" ref="GB148">IF($FY148=0,0,_xlfn.IFS($FY148='Key assumptions'!$C$120,_xlfn.XLOOKUP(LEFT(GB$7,6),Inflation_Year,Inflation_NominaltoReal),TRUE,_xlfn.XLOOKUP($FY148,Inflation_Year,NominaltoReal)))</f>
        <v>0</v>
      </c>
      <c r="GC148" s="146" cm="1">
        <f t="array" ref="GC148">IF($FY148=0,0,_xlfn.IFS($FY148='Key assumptions'!$C$120,_xlfn.XLOOKUP(LEFT(GC$7,6),Inflation_Year,Inflation_NominaltoReal),TRUE,_xlfn.XLOOKUP($FY148,Inflation_Year,NominaltoReal)))</f>
        <v>0</v>
      </c>
      <c r="GD148" s="146" cm="1">
        <f t="array" ref="GD148">IF($FY148=0,0,_xlfn.IFS($FY148='Key assumptions'!$C$120,_xlfn.XLOOKUP(LEFT(GD$7,6),Inflation_Year,Inflation_NominaltoReal),TRUE,_xlfn.XLOOKUP($FY148,Inflation_Year,NominaltoReal)))</f>
        <v>0</v>
      </c>
      <c r="GE148" s="146" cm="1">
        <f t="array" ref="GE148">IF($FY148=0,0,_xlfn.IFS($FY148='Key assumptions'!$C$120,_xlfn.XLOOKUP(LEFT(GE$7,6),Inflation_Year,Inflation_NominaltoReal),TRUE,_xlfn.XLOOKUP($FY148,Inflation_Year,NominaltoReal)))</f>
        <v>0</v>
      </c>
      <c r="GF148" s="146" cm="1">
        <f t="array" ref="GF148">IF($FY148=0,0,_xlfn.IFS($FY148='Key assumptions'!$C$120,_xlfn.XLOOKUP(LEFT(GF$7,6),Inflation_Year,Inflation_NominaltoReal),TRUE,_xlfn.XLOOKUP($FY148,Inflation_Year,NominaltoReal)))</f>
        <v>0</v>
      </c>
      <c r="GG148" s="143"/>
      <c r="GH148" s="145" cm="1">
        <f t="array" ref="GH148">SUMPRODUCT(--($CR$7:$FW$7&gt;=GH$5),--($CR$7:$FW$7&lt;=GH$6),$CR148:$FW148)*FZ148</f>
        <v>0</v>
      </c>
      <c r="GI148" s="145" cm="1">
        <f t="array" ref="GI148">SUMPRODUCT(--($CR$7:$FW$7&gt;=GI$5),--($CR$7:$FW$7&lt;=GI$6),$CR148:$FW148)*GA148</f>
        <v>0</v>
      </c>
      <c r="GJ148" s="145" cm="1">
        <f t="array" ref="GJ148">SUMPRODUCT(--($CR$7:$FW$7&gt;=GJ$5),--($CR$7:$FW$7&lt;=GJ$6),$CR148:$FW148)*GB148</f>
        <v>0</v>
      </c>
      <c r="GK148" s="145" cm="1">
        <f t="array" ref="GK148">SUMPRODUCT(--($CR$7:$FW$7&gt;=GK$5),--($CR$7:$FW$7&lt;=GK$6),$CR148:$FW148)*GC148</f>
        <v>0</v>
      </c>
      <c r="GL148" s="145" cm="1">
        <f t="array" ref="GL148">SUMPRODUCT(--($CR$7:$FW$7&gt;=GL$5),--($CR$7:$FW$7&lt;=GL$6),$CR148:$FW148)*GD148</f>
        <v>0</v>
      </c>
      <c r="GM148" s="145" cm="1">
        <f t="array" ref="GM148">SUMPRODUCT(--($CR$7:$FW$7&gt;=GM$5),--($CR$7:$FW$7&lt;=GM$6),$CR148:$FW148)*GE148</f>
        <v>0</v>
      </c>
      <c r="GN148" s="145" cm="1">
        <f t="array" ref="GN148">SUMPRODUCT(--($CR$7:$FW$7&gt;=GN$5),--($CR$7:$FW$7&lt;=GN$6),$CR148:$FW148)*GF148</f>
        <v>0</v>
      </c>
      <c r="GO148" s="145">
        <f t="shared" si="2"/>
        <v>0</v>
      </c>
      <c r="GP148" s="87"/>
      <c r="GR148" s="145" cm="1">
        <f t="array" ref="GR148">SUMPRODUCT(--($CR$7:$FW$7&gt;=GR$5),--($CR$7:$FW$7&lt;=GR$6),$CR148:$FW148)</f>
        <v>0</v>
      </c>
    </row>
    <row r="149" spans="2:200" x14ac:dyDescent="0.2">
      <c r="B149" s="141"/>
      <c r="C149" s="141"/>
      <c r="D149" s="141"/>
      <c r="E149" s="141"/>
      <c r="F149" s="141"/>
      <c r="G149" s="141"/>
      <c r="H149" s="142"/>
      <c r="I149" s="126"/>
      <c r="J149" s="143"/>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3"/>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c r="EE149" s="145"/>
      <c r="EF149" s="145"/>
      <c r="EG149" s="145"/>
      <c r="EH149" s="145"/>
      <c r="EI149" s="145"/>
      <c r="EJ149" s="145"/>
      <c r="EK149" s="145"/>
      <c r="EL149" s="145"/>
      <c r="EM149" s="145"/>
      <c r="EN149" s="145"/>
      <c r="EO149" s="145"/>
      <c r="EP149" s="145"/>
      <c r="EQ149" s="145"/>
      <c r="ER149" s="145"/>
      <c r="ES149" s="145"/>
      <c r="ET149" s="145"/>
      <c r="EU149" s="145"/>
      <c r="EV149" s="145"/>
      <c r="EW149" s="145"/>
      <c r="EX149" s="145"/>
      <c r="EY149" s="145"/>
      <c r="EZ149" s="145"/>
      <c r="FA149" s="145"/>
      <c r="FB149" s="145"/>
      <c r="FC149" s="145"/>
      <c r="FD149" s="145"/>
      <c r="FE149" s="145"/>
      <c r="FF149" s="145"/>
      <c r="FG149" s="145"/>
      <c r="FH149" s="145"/>
      <c r="FI149" s="145"/>
      <c r="FJ149" s="145"/>
      <c r="FK149" s="145"/>
      <c r="FL149" s="145"/>
      <c r="FM149" s="145"/>
      <c r="FN149" s="145"/>
      <c r="FO149" s="145"/>
      <c r="FP149" s="145"/>
      <c r="FQ149" s="145"/>
      <c r="FR149" s="145"/>
      <c r="FS149" s="145"/>
      <c r="FT149" s="145"/>
      <c r="FU149" s="145"/>
      <c r="FV149" s="145"/>
      <c r="FW149" s="145"/>
      <c r="FX149" s="143"/>
      <c r="FY149" s="146">
        <f>_xlfn.XLOOKUP($E149,'Key assumptions'!$B$112:$B$120,'Key assumptions'!$C$112:$C$120,0)</f>
        <v>0</v>
      </c>
      <c r="FZ149" s="146" cm="1">
        <f t="array" ref="FZ149">IF($FY149=0,0,_xlfn.IFS($FY149='Key assumptions'!$C$120,_xlfn.XLOOKUP(LEFT(FZ$7,6),Inflation_Year,Inflation_NominaltoReal),TRUE,_xlfn.XLOOKUP($FY149,Inflation_Year,NominaltoReal)))</f>
        <v>0</v>
      </c>
      <c r="GA149" s="146" cm="1">
        <f t="array" ref="GA149">IF($FY149=0,0,_xlfn.IFS($FY149='Key assumptions'!$C$120,_xlfn.XLOOKUP(LEFT(GA$7,6),Inflation_Year,Inflation_NominaltoReal),TRUE,_xlfn.XLOOKUP($FY149,Inflation_Year,NominaltoReal)))</f>
        <v>0</v>
      </c>
      <c r="GB149" s="146" cm="1">
        <f t="array" ref="GB149">IF($FY149=0,0,_xlfn.IFS($FY149='Key assumptions'!$C$120,_xlfn.XLOOKUP(LEFT(GB$7,6),Inflation_Year,Inflation_NominaltoReal),TRUE,_xlfn.XLOOKUP($FY149,Inflation_Year,NominaltoReal)))</f>
        <v>0</v>
      </c>
      <c r="GC149" s="146" cm="1">
        <f t="array" ref="GC149">IF($FY149=0,0,_xlfn.IFS($FY149='Key assumptions'!$C$120,_xlfn.XLOOKUP(LEFT(GC$7,6),Inflation_Year,Inflation_NominaltoReal),TRUE,_xlfn.XLOOKUP($FY149,Inflation_Year,NominaltoReal)))</f>
        <v>0</v>
      </c>
      <c r="GD149" s="146" cm="1">
        <f t="array" ref="GD149">IF($FY149=0,0,_xlfn.IFS($FY149='Key assumptions'!$C$120,_xlfn.XLOOKUP(LEFT(GD$7,6),Inflation_Year,Inflation_NominaltoReal),TRUE,_xlfn.XLOOKUP($FY149,Inflation_Year,NominaltoReal)))</f>
        <v>0</v>
      </c>
      <c r="GE149" s="146" cm="1">
        <f t="array" ref="GE149">IF($FY149=0,0,_xlfn.IFS($FY149='Key assumptions'!$C$120,_xlfn.XLOOKUP(LEFT(GE$7,6),Inflation_Year,Inflation_NominaltoReal),TRUE,_xlfn.XLOOKUP($FY149,Inflation_Year,NominaltoReal)))</f>
        <v>0</v>
      </c>
      <c r="GF149" s="146" cm="1">
        <f t="array" ref="GF149">IF($FY149=0,0,_xlfn.IFS($FY149='Key assumptions'!$C$120,_xlfn.XLOOKUP(LEFT(GF$7,6),Inflation_Year,Inflation_NominaltoReal),TRUE,_xlfn.XLOOKUP($FY149,Inflation_Year,NominaltoReal)))</f>
        <v>0</v>
      </c>
      <c r="GG149" s="143"/>
      <c r="GH149" s="145" cm="1">
        <f t="array" ref="GH149">SUMPRODUCT(--($CR$7:$FW$7&gt;=GH$5),--($CR$7:$FW$7&lt;=GH$6),$CR149:$FW149)*FZ149</f>
        <v>0</v>
      </c>
      <c r="GI149" s="145" cm="1">
        <f t="array" ref="GI149">SUMPRODUCT(--($CR$7:$FW$7&gt;=GI$5),--($CR$7:$FW$7&lt;=GI$6),$CR149:$FW149)*GA149</f>
        <v>0</v>
      </c>
      <c r="GJ149" s="145" cm="1">
        <f t="array" ref="GJ149">SUMPRODUCT(--($CR$7:$FW$7&gt;=GJ$5),--($CR$7:$FW$7&lt;=GJ$6),$CR149:$FW149)*GB149</f>
        <v>0</v>
      </c>
      <c r="GK149" s="145" cm="1">
        <f t="array" ref="GK149">SUMPRODUCT(--($CR$7:$FW$7&gt;=GK$5),--($CR$7:$FW$7&lt;=GK$6),$CR149:$FW149)*GC149</f>
        <v>0</v>
      </c>
      <c r="GL149" s="145" cm="1">
        <f t="array" ref="GL149">SUMPRODUCT(--($CR$7:$FW$7&gt;=GL$5),--($CR$7:$FW$7&lt;=GL$6),$CR149:$FW149)*GD149</f>
        <v>0</v>
      </c>
      <c r="GM149" s="145" cm="1">
        <f t="array" ref="GM149">SUMPRODUCT(--($CR$7:$FW$7&gt;=GM$5),--($CR$7:$FW$7&lt;=GM$6),$CR149:$FW149)*GE149</f>
        <v>0</v>
      </c>
      <c r="GN149" s="145" cm="1">
        <f t="array" ref="GN149">SUMPRODUCT(--($CR$7:$FW$7&gt;=GN$5),--($CR$7:$FW$7&lt;=GN$6),$CR149:$FW149)*GF149</f>
        <v>0</v>
      </c>
      <c r="GO149" s="145">
        <f t="shared" si="2"/>
        <v>0</v>
      </c>
      <c r="GP149" s="87"/>
      <c r="GR149" s="145" cm="1">
        <f t="array" ref="GR149">SUMPRODUCT(--($CR$7:$FW$7&gt;=GR$5),--($CR$7:$FW$7&lt;=GR$6),$CR149:$FW149)</f>
        <v>0</v>
      </c>
    </row>
    <row r="150" spans="2:200" x14ac:dyDescent="0.2">
      <c r="B150" s="141"/>
      <c r="C150" s="141"/>
      <c r="D150" s="141"/>
      <c r="E150" s="141"/>
      <c r="F150" s="141"/>
      <c r="G150" s="141"/>
      <c r="H150" s="142"/>
      <c r="I150" s="126"/>
      <c r="J150" s="143"/>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3"/>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c r="EE150" s="145"/>
      <c r="EF150" s="145"/>
      <c r="EG150" s="145"/>
      <c r="EH150" s="145"/>
      <c r="EI150" s="145"/>
      <c r="EJ150" s="145"/>
      <c r="EK150" s="145"/>
      <c r="EL150" s="145"/>
      <c r="EM150" s="145"/>
      <c r="EN150" s="145"/>
      <c r="EO150" s="145"/>
      <c r="EP150" s="145"/>
      <c r="EQ150" s="145"/>
      <c r="ER150" s="145"/>
      <c r="ES150" s="145"/>
      <c r="ET150" s="145"/>
      <c r="EU150" s="145"/>
      <c r="EV150" s="145"/>
      <c r="EW150" s="145"/>
      <c r="EX150" s="145"/>
      <c r="EY150" s="145"/>
      <c r="EZ150" s="145"/>
      <c r="FA150" s="145"/>
      <c r="FB150" s="145"/>
      <c r="FC150" s="145"/>
      <c r="FD150" s="145"/>
      <c r="FE150" s="145"/>
      <c r="FF150" s="145"/>
      <c r="FG150" s="145"/>
      <c r="FH150" s="145"/>
      <c r="FI150" s="145"/>
      <c r="FJ150" s="145"/>
      <c r="FK150" s="145"/>
      <c r="FL150" s="145"/>
      <c r="FM150" s="145"/>
      <c r="FN150" s="145"/>
      <c r="FO150" s="145"/>
      <c r="FP150" s="145"/>
      <c r="FQ150" s="145"/>
      <c r="FR150" s="145"/>
      <c r="FS150" s="145"/>
      <c r="FT150" s="145"/>
      <c r="FU150" s="145"/>
      <c r="FV150" s="145"/>
      <c r="FW150" s="145"/>
      <c r="FX150" s="143"/>
      <c r="FY150" s="146">
        <f>_xlfn.XLOOKUP($E150,'Key assumptions'!$B$112:$B$120,'Key assumptions'!$C$112:$C$120,0)</f>
        <v>0</v>
      </c>
      <c r="FZ150" s="146" cm="1">
        <f t="array" ref="FZ150">IF($FY150=0,0,_xlfn.IFS($FY150='Key assumptions'!$C$120,_xlfn.XLOOKUP(LEFT(FZ$7,6),Inflation_Year,Inflation_NominaltoReal),TRUE,_xlfn.XLOOKUP($FY150,Inflation_Year,NominaltoReal)))</f>
        <v>0</v>
      </c>
      <c r="GA150" s="146" cm="1">
        <f t="array" ref="GA150">IF($FY150=0,0,_xlfn.IFS($FY150='Key assumptions'!$C$120,_xlfn.XLOOKUP(LEFT(GA$7,6),Inflation_Year,Inflation_NominaltoReal),TRUE,_xlfn.XLOOKUP($FY150,Inflation_Year,NominaltoReal)))</f>
        <v>0</v>
      </c>
      <c r="GB150" s="146" cm="1">
        <f t="array" ref="GB150">IF($FY150=0,0,_xlfn.IFS($FY150='Key assumptions'!$C$120,_xlfn.XLOOKUP(LEFT(GB$7,6),Inflation_Year,Inflation_NominaltoReal),TRUE,_xlfn.XLOOKUP($FY150,Inflation_Year,NominaltoReal)))</f>
        <v>0</v>
      </c>
      <c r="GC150" s="146" cm="1">
        <f t="array" ref="GC150">IF($FY150=0,0,_xlfn.IFS($FY150='Key assumptions'!$C$120,_xlfn.XLOOKUP(LEFT(GC$7,6),Inflation_Year,Inflation_NominaltoReal),TRUE,_xlfn.XLOOKUP($FY150,Inflation_Year,NominaltoReal)))</f>
        <v>0</v>
      </c>
      <c r="GD150" s="146" cm="1">
        <f t="array" ref="GD150">IF($FY150=0,0,_xlfn.IFS($FY150='Key assumptions'!$C$120,_xlfn.XLOOKUP(LEFT(GD$7,6),Inflation_Year,Inflation_NominaltoReal),TRUE,_xlfn.XLOOKUP($FY150,Inflation_Year,NominaltoReal)))</f>
        <v>0</v>
      </c>
      <c r="GE150" s="146" cm="1">
        <f t="array" ref="GE150">IF($FY150=0,0,_xlfn.IFS($FY150='Key assumptions'!$C$120,_xlfn.XLOOKUP(LEFT(GE$7,6),Inflation_Year,Inflation_NominaltoReal),TRUE,_xlfn.XLOOKUP($FY150,Inflation_Year,NominaltoReal)))</f>
        <v>0</v>
      </c>
      <c r="GF150" s="146" cm="1">
        <f t="array" ref="GF150">IF($FY150=0,0,_xlfn.IFS($FY150='Key assumptions'!$C$120,_xlfn.XLOOKUP(LEFT(GF$7,6),Inflation_Year,Inflation_NominaltoReal),TRUE,_xlfn.XLOOKUP($FY150,Inflation_Year,NominaltoReal)))</f>
        <v>0</v>
      </c>
      <c r="GG150" s="143"/>
      <c r="GH150" s="145" cm="1">
        <f t="array" ref="GH150">SUMPRODUCT(--($CR$7:$FW$7&gt;=GH$5),--($CR$7:$FW$7&lt;=GH$6),$CR150:$FW150)*FZ150</f>
        <v>0</v>
      </c>
      <c r="GI150" s="145" cm="1">
        <f t="array" ref="GI150">SUMPRODUCT(--($CR$7:$FW$7&gt;=GI$5),--($CR$7:$FW$7&lt;=GI$6),$CR150:$FW150)*GA150</f>
        <v>0</v>
      </c>
      <c r="GJ150" s="145" cm="1">
        <f t="array" ref="GJ150">SUMPRODUCT(--($CR$7:$FW$7&gt;=GJ$5),--($CR$7:$FW$7&lt;=GJ$6),$CR150:$FW150)*GB150</f>
        <v>0</v>
      </c>
      <c r="GK150" s="145" cm="1">
        <f t="array" ref="GK150">SUMPRODUCT(--($CR$7:$FW$7&gt;=GK$5),--($CR$7:$FW$7&lt;=GK$6),$CR150:$FW150)*GC150</f>
        <v>0</v>
      </c>
      <c r="GL150" s="145" cm="1">
        <f t="array" ref="GL150">SUMPRODUCT(--($CR$7:$FW$7&gt;=GL$5),--($CR$7:$FW$7&lt;=GL$6),$CR150:$FW150)*GD150</f>
        <v>0</v>
      </c>
      <c r="GM150" s="145" cm="1">
        <f t="array" ref="GM150">SUMPRODUCT(--($CR$7:$FW$7&gt;=GM$5),--($CR$7:$FW$7&lt;=GM$6),$CR150:$FW150)*GE150</f>
        <v>0</v>
      </c>
      <c r="GN150" s="145" cm="1">
        <f t="array" ref="GN150">SUMPRODUCT(--($CR$7:$FW$7&gt;=GN$5),--($CR$7:$FW$7&lt;=GN$6),$CR150:$FW150)*GF150</f>
        <v>0</v>
      </c>
      <c r="GO150" s="145">
        <f t="shared" si="2"/>
        <v>0</v>
      </c>
      <c r="GP150" s="87"/>
      <c r="GR150" s="145" cm="1">
        <f t="array" ref="GR150">SUMPRODUCT(--($CR$7:$FW$7&gt;=GR$5),--($CR$7:$FW$7&lt;=GR$6),$CR150:$FW150)</f>
        <v>0</v>
      </c>
    </row>
    <row r="151" spans="2:200" x14ac:dyDescent="0.2">
      <c r="B151" s="141"/>
      <c r="C151" s="141"/>
      <c r="D151" s="141"/>
      <c r="E151" s="141"/>
      <c r="F151" s="141"/>
      <c r="G151" s="141"/>
      <c r="H151" s="142"/>
      <c r="I151" s="126"/>
      <c r="J151" s="143"/>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3"/>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c r="EE151" s="145"/>
      <c r="EF151" s="145"/>
      <c r="EG151" s="145"/>
      <c r="EH151" s="145"/>
      <c r="EI151" s="145"/>
      <c r="EJ151" s="145"/>
      <c r="EK151" s="145"/>
      <c r="EL151" s="145"/>
      <c r="EM151" s="145"/>
      <c r="EN151" s="145"/>
      <c r="EO151" s="145"/>
      <c r="EP151" s="145"/>
      <c r="EQ151" s="145"/>
      <c r="ER151" s="145"/>
      <c r="ES151" s="145"/>
      <c r="ET151" s="145"/>
      <c r="EU151" s="145"/>
      <c r="EV151" s="145"/>
      <c r="EW151" s="145"/>
      <c r="EX151" s="145"/>
      <c r="EY151" s="145"/>
      <c r="EZ151" s="145"/>
      <c r="FA151" s="145"/>
      <c r="FB151" s="145"/>
      <c r="FC151" s="145"/>
      <c r="FD151" s="145"/>
      <c r="FE151" s="145"/>
      <c r="FF151" s="145"/>
      <c r="FG151" s="145"/>
      <c r="FH151" s="145"/>
      <c r="FI151" s="145"/>
      <c r="FJ151" s="145"/>
      <c r="FK151" s="145"/>
      <c r="FL151" s="145"/>
      <c r="FM151" s="145"/>
      <c r="FN151" s="145"/>
      <c r="FO151" s="145"/>
      <c r="FP151" s="145"/>
      <c r="FQ151" s="145"/>
      <c r="FR151" s="145"/>
      <c r="FS151" s="145"/>
      <c r="FT151" s="145"/>
      <c r="FU151" s="145"/>
      <c r="FV151" s="145"/>
      <c r="FW151" s="145"/>
      <c r="FX151" s="143"/>
      <c r="FY151" s="146">
        <f>_xlfn.XLOOKUP($E151,'Key assumptions'!$B$112:$B$120,'Key assumptions'!$C$112:$C$120,0)</f>
        <v>0</v>
      </c>
      <c r="FZ151" s="146" cm="1">
        <f t="array" ref="FZ151">IF($FY151=0,0,_xlfn.IFS($FY151='Key assumptions'!$C$120,_xlfn.XLOOKUP(LEFT(FZ$7,6),Inflation_Year,Inflation_NominaltoReal),TRUE,_xlfn.XLOOKUP($FY151,Inflation_Year,NominaltoReal)))</f>
        <v>0</v>
      </c>
      <c r="GA151" s="146" cm="1">
        <f t="array" ref="GA151">IF($FY151=0,0,_xlfn.IFS($FY151='Key assumptions'!$C$120,_xlfn.XLOOKUP(LEFT(GA$7,6),Inflation_Year,Inflation_NominaltoReal),TRUE,_xlfn.XLOOKUP($FY151,Inflation_Year,NominaltoReal)))</f>
        <v>0</v>
      </c>
      <c r="GB151" s="146" cm="1">
        <f t="array" ref="GB151">IF($FY151=0,0,_xlfn.IFS($FY151='Key assumptions'!$C$120,_xlfn.XLOOKUP(LEFT(GB$7,6),Inflation_Year,Inflation_NominaltoReal),TRUE,_xlfn.XLOOKUP($FY151,Inflation_Year,NominaltoReal)))</f>
        <v>0</v>
      </c>
      <c r="GC151" s="146" cm="1">
        <f t="array" ref="GC151">IF($FY151=0,0,_xlfn.IFS($FY151='Key assumptions'!$C$120,_xlfn.XLOOKUP(LEFT(GC$7,6),Inflation_Year,Inflation_NominaltoReal),TRUE,_xlfn.XLOOKUP($FY151,Inflation_Year,NominaltoReal)))</f>
        <v>0</v>
      </c>
      <c r="GD151" s="146" cm="1">
        <f t="array" ref="GD151">IF($FY151=0,0,_xlfn.IFS($FY151='Key assumptions'!$C$120,_xlfn.XLOOKUP(LEFT(GD$7,6),Inflation_Year,Inflation_NominaltoReal),TRUE,_xlfn.XLOOKUP($FY151,Inflation_Year,NominaltoReal)))</f>
        <v>0</v>
      </c>
      <c r="GE151" s="146" cm="1">
        <f t="array" ref="GE151">IF($FY151=0,0,_xlfn.IFS($FY151='Key assumptions'!$C$120,_xlfn.XLOOKUP(LEFT(GE$7,6),Inflation_Year,Inflation_NominaltoReal),TRUE,_xlfn.XLOOKUP($FY151,Inflation_Year,NominaltoReal)))</f>
        <v>0</v>
      </c>
      <c r="GF151" s="146" cm="1">
        <f t="array" ref="GF151">IF($FY151=0,0,_xlfn.IFS($FY151='Key assumptions'!$C$120,_xlfn.XLOOKUP(LEFT(GF$7,6),Inflation_Year,Inflation_NominaltoReal),TRUE,_xlfn.XLOOKUP($FY151,Inflation_Year,NominaltoReal)))</f>
        <v>0</v>
      </c>
      <c r="GG151" s="143"/>
      <c r="GH151" s="145" cm="1">
        <f t="array" ref="GH151">SUMPRODUCT(--($CR$7:$FW$7&gt;=GH$5),--($CR$7:$FW$7&lt;=GH$6),$CR151:$FW151)*FZ151</f>
        <v>0</v>
      </c>
      <c r="GI151" s="145" cm="1">
        <f t="array" ref="GI151">SUMPRODUCT(--($CR$7:$FW$7&gt;=GI$5),--($CR$7:$FW$7&lt;=GI$6),$CR151:$FW151)*GA151</f>
        <v>0</v>
      </c>
      <c r="GJ151" s="145" cm="1">
        <f t="array" ref="GJ151">SUMPRODUCT(--($CR$7:$FW$7&gt;=GJ$5),--($CR$7:$FW$7&lt;=GJ$6),$CR151:$FW151)*GB151</f>
        <v>0</v>
      </c>
      <c r="GK151" s="145" cm="1">
        <f t="array" ref="GK151">SUMPRODUCT(--($CR$7:$FW$7&gt;=GK$5),--($CR$7:$FW$7&lt;=GK$6),$CR151:$FW151)*GC151</f>
        <v>0</v>
      </c>
      <c r="GL151" s="145" cm="1">
        <f t="array" ref="GL151">SUMPRODUCT(--($CR$7:$FW$7&gt;=GL$5),--($CR$7:$FW$7&lt;=GL$6),$CR151:$FW151)*GD151</f>
        <v>0</v>
      </c>
      <c r="GM151" s="145" cm="1">
        <f t="array" ref="GM151">SUMPRODUCT(--($CR$7:$FW$7&gt;=GM$5),--($CR$7:$FW$7&lt;=GM$6),$CR151:$FW151)*GE151</f>
        <v>0</v>
      </c>
      <c r="GN151" s="145" cm="1">
        <f t="array" ref="GN151">SUMPRODUCT(--($CR$7:$FW$7&gt;=GN$5),--($CR$7:$FW$7&lt;=GN$6),$CR151:$FW151)*GF151</f>
        <v>0</v>
      </c>
      <c r="GO151" s="145">
        <f t="shared" si="2"/>
        <v>0</v>
      </c>
      <c r="GP151" s="87"/>
      <c r="GR151" s="145" cm="1">
        <f t="array" ref="GR151">SUMPRODUCT(--($CR$7:$FW$7&gt;=GR$5),--($CR$7:$FW$7&lt;=GR$6),$CR151:$FW151)</f>
        <v>0</v>
      </c>
    </row>
    <row r="152" spans="2:200" x14ac:dyDescent="0.2">
      <c r="B152" s="141"/>
      <c r="C152" s="141"/>
      <c r="D152" s="141"/>
      <c r="E152" s="141"/>
      <c r="F152" s="141"/>
      <c r="G152" s="141"/>
      <c r="H152" s="142"/>
      <c r="I152" s="126"/>
      <c r="J152" s="143"/>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3"/>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c r="EE152" s="145"/>
      <c r="EF152" s="145"/>
      <c r="EG152" s="145"/>
      <c r="EH152" s="145"/>
      <c r="EI152" s="145"/>
      <c r="EJ152" s="145"/>
      <c r="EK152" s="145"/>
      <c r="EL152" s="145"/>
      <c r="EM152" s="145"/>
      <c r="EN152" s="145"/>
      <c r="EO152" s="145"/>
      <c r="EP152" s="145"/>
      <c r="EQ152" s="145"/>
      <c r="ER152" s="145"/>
      <c r="ES152" s="145"/>
      <c r="ET152" s="145"/>
      <c r="EU152" s="145"/>
      <c r="EV152" s="145"/>
      <c r="EW152" s="145"/>
      <c r="EX152" s="145"/>
      <c r="EY152" s="145"/>
      <c r="EZ152" s="145"/>
      <c r="FA152" s="145"/>
      <c r="FB152" s="145"/>
      <c r="FC152" s="145"/>
      <c r="FD152" s="145"/>
      <c r="FE152" s="145"/>
      <c r="FF152" s="145"/>
      <c r="FG152" s="145"/>
      <c r="FH152" s="145"/>
      <c r="FI152" s="145"/>
      <c r="FJ152" s="145"/>
      <c r="FK152" s="145"/>
      <c r="FL152" s="145"/>
      <c r="FM152" s="145"/>
      <c r="FN152" s="145"/>
      <c r="FO152" s="145"/>
      <c r="FP152" s="145"/>
      <c r="FQ152" s="145"/>
      <c r="FR152" s="145"/>
      <c r="FS152" s="145"/>
      <c r="FT152" s="145"/>
      <c r="FU152" s="145"/>
      <c r="FV152" s="145"/>
      <c r="FW152" s="145"/>
      <c r="FX152" s="143"/>
      <c r="FY152" s="146">
        <f>_xlfn.XLOOKUP($E152,'Key assumptions'!$B$112:$B$120,'Key assumptions'!$C$112:$C$120,0)</f>
        <v>0</v>
      </c>
      <c r="FZ152" s="146" cm="1">
        <f t="array" ref="FZ152">IF($FY152=0,0,_xlfn.IFS($FY152='Key assumptions'!$C$120,_xlfn.XLOOKUP(LEFT(FZ$7,6),Inflation_Year,Inflation_NominaltoReal),TRUE,_xlfn.XLOOKUP($FY152,Inflation_Year,NominaltoReal)))</f>
        <v>0</v>
      </c>
      <c r="GA152" s="146" cm="1">
        <f t="array" ref="GA152">IF($FY152=0,0,_xlfn.IFS($FY152='Key assumptions'!$C$120,_xlfn.XLOOKUP(LEFT(GA$7,6),Inflation_Year,Inflation_NominaltoReal),TRUE,_xlfn.XLOOKUP($FY152,Inflation_Year,NominaltoReal)))</f>
        <v>0</v>
      </c>
      <c r="GB152" s="146" cm="1">
        <f t="array" ref="GB152">IF($FY152=0,0,_xlfn.IFS($FY152='Key assumptions'!$C$120,_xlfn.XLOOKUP(LEFT(GB$7,6),Inflation_Year,Inflation_NominaltoReal),TRUE,_xlfn.XLOOKUP($FY152,Inflation_Year,NominaltoReal)))</f>
        <v>0</v>
      </c>
      <c r="GC152" s="146" cm="1">
        <f t="array" ref="GC152">IF($FY152=0,0,_xlfn.IFS($FY152='Key assumptions'!$C$120,_xlfn.XLOOKUP(LEFT(GC$7,6),Inflation_Year,Inflation_NominaltoReal),TRUE,_xlfn.XLOOKUP($FY152,Inflation_Year,NominaltoReal)))</f>
        <v>0</v>
      </c>
      <c r="GD152" s="146" cm="1">
        <f t="array" ref="GD152">IF($FY152=0,0,_xlfn.IFS($FY152='Key assumptions'!$C$120,_xlfn.XLOOKUP(LEFT(GD$7,6),Inflation_Year,Inflation_NominaltoReal),TRUE,_xlfn.XLOOKUP($FY152,Inflation_Year,NominaltoReal)))</f>
        <v>0</v>
      </c>
      <c r="GE152" s="146" cm="1">
        <f t="array" ref="GE152">IF($FY152=0,0,_xlfn.IFS($FY152='Key assumptions'!$C$120,_xlfn.XLOOKUP(LEFT(GE$7,6),Inflation_Year,Inflation_NominaltoReal),TRUE,_xlfn.XLOOKUP($FY152,Inflation_Year,NominaltoReal)))</f>
        <v>0</v>
      </c>
      <c r="GF152" s="146" cm="1">
        <f t="array" ref="GF152">IF($FY152=0,0,_xlfn.IFS($FY152='Key assumptions'!$C$120,_xlfn.XLOOKUP(LEFT(GF$7,6),Inflation_Year,Inflation_NominaltoReal),TRUE,_xlfn.XLOOKUP($FY152,Inflation_Year,NominaltoReal)))</f>
        <v>0</v>
      </c>
      <c r="GG152" s="143"/>
      <c r="GH152" s="145" cm="1">
        <f t="array" ref="GH152">SUMPRODUCT(--($CR$7:$FW$7&gt;=GH$5),--($CR$7:$FW$7&lt;=GH$6),$CR152:$FW152)*FZ152</f>
        <v>0</v>
      </c>
      <c r="GI152" s="145" cm="1">
        <f t="array" ref="GI152">SUMPRODUCT(--($CR$7:$FW$7&gt;=GI$5),--($CR$7:$FW$7&lt;=GI$6),$CR152:$FW152)*GA152</f>
        <v>0</v>
      </c>
      <c r="GJ152" s="145" cm="1">
        <f t="array" ref="GJ152">SUMPRODUCT(--($CR$7:$FW$7&gt;=GJ$5),--($CR$7:$FW$7&lt;=GJ$6),$CR152:$FW152)*GB152</f>
        <v>0</v>
      </c>
      <c r="GK152" s="145" cm="1">
        <f t="array" ref="GK152">SUMPRODUCT(--($CR$7:$FW$7&gt;=GK$5),--($CR$7:$FW$7&lt;=GK$6),$CR152:$FW152)*GC152</f>
        <v>0</v>
      </c>
      <c r="GL152" s="145" cm="1">
        <f t="array" ref="GL152">SUMPRODUCT(--($CR$7:$FW$7&gt;=GL$5),--($CR$7:$FW$7&lt;=GL$6),$CR152:$FW152)*GD152</f>
        <v>0</v>
      </c>
      <c r="GM152" s="145" cm="1">
        <f t="array" ref="GM152">SUMPRODUCT(--($CR$7:$FW$7&gt;=GM$5),--($CR$7:$FW$7&lt;=GM$6),$CR152:$FW152)*GE152</f>
        <v>0</v>
      </c>
      <c r="GN152" s="145" cm="1">
        <f t="array" ref="GN152">SUMPRODUCT(--($CR$7:$FW$7&gt;=GN$5),--($CR$7:$FW$7&lt;=GN$6),$CR152:$FW152)*GF152</f>
        <v>0</v>
      </c>
      <c r="GO152" s="145">
        <f t="shared" si="2"/>
        <v>0</v>
      </c>
      <c r="GP152" s="87"/>
      <c r="GR152" s="145" cm="1">
        <f t="array" ref="GR152">SUMPRODUCT(--($CR$7:$FW$7&gt;=GR$5),--($CR$7:$FW$7&lt;=GR$6),$CR152:$FW152)</f>
        <v>0</v>
      </c>
    </row>
    <row r="153" spans="2:200" x14ac:dyDescent="0.2">
      <c r="B153" s="141"/>
      <c r="C153" s="141"/>
      <c r="D153" s="141"/>
      <c r="E153" s="141"/>
      <c r="F153" s="141"/>
      <c r="G153" s="141"/>
      <c r="H153" s="142"/>
      <c r="I153" s="126"/>
      <c r="J153" s="143"/>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3"/>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c r="FA153" s="145"/>
      <c r="FB153" s="145"/>
      <c r="FC153" s="145"/>
      <c r="FD153" s="145"/>
      <c r="FE153" s="145"/>
      <c r="FF153" s="145"/>
      <c r="FG153" s="145"/>
      <c r="FH153" s="145"/>
      <c r="FI153" s="145"/>
      <c r="FJ153" s="145"/>
      <c r="FK153" s="145"/>
      <c r="FL153" s="145"/>
      <c r="FM153" s="145"/>
      <c r="FN153" s="145"/>
      <c r="FO153" s="145"/>
      <c r="FP153" s="145"/>
      <c r="FQ153" s="145"/>
      <c r="FR153" s="145"/>
      <c r="FS153" s="145"/>
      <c r="FT153" s="145"/>
      <c r="FU153" s="145"/>
      <c r="FV153" s="145"/>
      <c r="FW153" s="145"/>
      <c r="FX153" s="143"/>
      <c r="FY153" s="146">
        <f>_xlfn.XLOOKUP($E153,'Key assumptions'!$B$112:$B$120,'Key assumptions'!$C$112:$C$120,0)</f>
        <v>0</v>
      </c>
      <c r="FZ153" s="146" cm="1">
        <f t="array" ref="FZ153">IF($FY153=0,0,_xlfn.IFS($FY153='Key assumptions'!$C$120,_xlfn.XLOOKUP(LEFT(FZ$7,6),Inflation_Year,Inflation_NominaltoReal),TRUE,_xlfn.XLOOKUP($FY153,Inflation_Year,NominaltoReal)))</f>
        <v>0</v>
      </c>
      <c r="GA153" s="146" cm="1">
        <f t="array" ref="GA153">IF($FY153=0,0,_xlfn.IFS($FY153='Key assumptions'!$C$120,_xlfn.XLOOKUP(LEFT(GA$7,6),Inflation_Year,Inflation_NominaltoReal),TRUE,_xlfn.XLOOKUP($FY153,Inflation_Year,NominaltoReal)))</f>
        <v>0</v>
      </c>
      <c r="GB153" s="146" cm="1">
        <f t="array" ref="GB153">IF($FY153=0,0,_xlfn.IFS($FY153='Key assumptions'!$C$120,_xlfn.XLOOKUP(LEFT(GB$7,6),Inflation_Year,Inflation_NominaltoReal),TRUE,_xlfn.XLOOKUP($FY153,Inflation_Year,NominaltoReal)))</f>
        <v>0</v>
      </c>
      <c r="GC153" s="146" cm="1">
        <f t="array" ref="GC153">IF($FY153=0,0,_xlfn.IFS($FY153='Key assumptions'!$C$120,_xlfn.XLOOKUP(LEFT(GC$7,6),Inflation_Year,Inflation_NominaltoReal),TRUE,_xlfn.XLOOKUP($FY153,Inflation_Year,NominaltoReal)))</f>
        <v>0</v>
      </c>
      <c r="GD153" s="146" cm="1">
        <f t="array" ref="GD153">IF($FY153=0,0,_xlfn.IFS($FY153='Key assumptions'!$C$120,_xlfn.XLOOKUP(LEFT(GD$7,6),Inflation_Year,Inflation_NominaltoReal),TRUE,_xlfn.XLOOKUP($FY153,Inflation_Year,NominaltoReal)))</f>
        <v>0</v>
      </c>
      <c r="GE153" s="146" cm="1">
        <f t="array" ref="GE153">IF($FY153=0,0,_xlfn.IFS($FY153='Key assumptions'!$C$120,_xlfn.XLOOKUP(LEFT(GE$7,6),Inflation_Year,Inflation_NominaltoReal),TRUE,_xlfn.XLOOKUP($FY153,Inflation_Year,NominaltoReal)))</f>
        <v>0</v>
      </c>
      <c r="GF153" s="146" cm="1">
        <f t="array" ref="GF153">IF($FY153=0,0,_xlfn.IFS($FY153='Key assumptions'!$C$120,_xlfn.XLOOKUP(LEFT(GF$7,6),Inflation_Year,Inflation_NominaltoReal),TRUE,_xlfn.XLOOKUP($FY153,Inflation_Year,NominaltoReal)))</f>
        <v>0</v>
      </c>
      <c r="GG153" s="143"/>
      <c r="GH153" s="145" cm="1">
        <f t="array" ref="GH153">SUMPRODUCT(--($CR$7:$FW$7&gt;=GH$5),--($CR$7:$FW$7&lt;=GH$6),$CR153:$FW153)*FZ153</f>
        <v>0</v>
      </c>
      <c r="GI153" s="145" cm="1">
        <f t="array" ref="GI153">SUMPRODUCT(--($CR$7:$FW$7&gt;=GI$5),--($CR$7:$FW$7&lt;=GI$6),$CR153:$FW153)*GA153</f>
        <v>0</v>
      </c>
      <c r="GJ153" s="145" cm="1">
        <f t="array" ref="GJ153">SUMPRODUCT(--($CR$7:$FW$7&gt;=GJ$5),--($CR$7:$FW$7&lt;=GJ$6),$CR153:$FW153)*GB153</f>
        <v>0</v>
      </c>
      <c r="GK153" s="145" cm="1">
        <f t="array" ref="GK153">SUMPRODUCT(--($CR$7:$FW$7&gt;=GK$5),--($CR$7:$FW$7&lt;=GK$6),$CR153:$FW153)*GC153</f>
        <v>0</v>
      </c>
      <c r="GL153" s="145" cm="1">
        <f t="array" ref="GL153">SUMPRODUCT(--($CR$7:$FW$7&gt;=GL$5),--($CR$7:$FW$7&lt;=GL$6),$CR153:$FW153)*GD153</f>
        <v>0</v>
      </c>
      <c r="GM153" s="145" cm="1">
        <f t="array" ref="GM153">SUMPRODUCT(--($CR$7:$FW$7&gt;=GM$5),--($CR$7:$FW$7&lt;=GM$6),$CR153:$FW153)*GE153</f>
        <v>0</v>
      </c>
      <c r="GN153" s="145" cm="1">
        <f t="array" ref="GN153">SUMPRODUCT(--($CR$7:$FW$7&gt;=GN$5),--($CR$7:$FW$7&lt;=GN$6),$CR153:$FW153)*GF153</f>
        <v>0</v>
      </c>
      <c r="GO153" s="145">
        <f t="shared" si="2"/>
        <v>0</v>
      </c>
      <c r="GP153" s="87"/>
      <c r="GR153" s="145" cm="1">
        <f t="array" ref="GR153">SUMPRODUCT(--($CR$7:$FW$7&gt;=GR$5),--($CR$7:$FW$7&lt;=GR$6),$CR153:$FW153)</f>
        <v>0</v>
      </c>
    </row>
    <row r="154" spans="2:200" x14ac:dyDescent="0.2">
      <c r="B154" s="141"/>
      <c r="C154" s="141"/>
      <c r="D154" s="141"/>
      <c r="E154" s="141"/>
      <c r="F154" s="141"/>
      <c r="G154" s="141"/>
      <c r="H154" s="142"/>
      <c r="I154" s="126"/>
      <c r="J154" s="143"/>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3"/>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c r="EE154" s="145"/>
      <c r="EF154" s="145"/>
      <c r="EG154" s="145"/>
      <c r="EH154" s="145"/>
      <c r="EI154" s="145"/>
      <c r="EJ154" s="145"/>
      <c r="EK154" s="145"/>
      <c r="EL154" s="145"/>
      <c r="EM154" s="145"/>
      <c r="EN154" s="145"/>
      <c r="EO154" s="145"/>
      <c r="EP154" s="145"/>
      <c r="EQ154" s="145"/>
      <c r="ER154" s="145"/>
      <c r="ES154" s="145"/>
      <c r="ET154" s="145"/>
      <c r="EU154" s="145"/>
      <c r="EV154" s="145"/>
      <c r="EW154" s="145"/>
      <c r="EX154" s="145"/>
      <c r="EY154" s="145"/>
      <c r="EZ154" s="145"/>
      <c r="FA154" s="145"/>
      <c r="FB154" s="145"/>
      <c r="FC154" s="145"/>
      <c r="FD154" s="145"/>
      <c r="FE154" s="145"/>
      <c r="FF154" s="145"/>
      <c r="FG154" s="145"/>
      <c r="FH154" s="145"/>
      <c r="FI154" s="145"/>
      <c r="FJ154" s="145"/>
      <c r="FK154" s="145"/>
      <c r="FL154" s="145"/>
      <c r="FM154" s="145"/>
      <c r="FN154" s="145"/>
      <c r="FO154" s="145"/>
      <c r="FP154" s="145"/>
      <c r="FQ154" s="145"/>
      <c r="FR154" s="145"/>
      <c r="FS154" s="145"/>
      <c r="FT154" s="145"/>
      <c r="FU154" s="145"/>
      <c r="FV154" s="145"/>
      <c r="FW154" s="145"/>
      <c r="FX154" s="143"/>
      <c r="FY154" s="146">
        <f>_xlfn.XLOOKUP($E154,'Key assumptions'!$B$112:$B$120,'Key assumptions'!$C$112:$C$120,0)</f>
        <v>0</v>
      </c>
      <c r="FZ154" s="146" cm="1">
        <f t="array" ref="FZ154">IF($FY154=0,0,_xlfn.IFS($FY154='Key assumptions'!$C$120,_xlfn.XLOOKUP(LEFT(FZ$7,6),Inflation_Year,Inflation_NominaltoReal),TRUE,_xlfn.XLOOKUP($FY154,Inflation_Year,NominaltoReal)))</f>
        <v>0</v>
      </c>
      <c r="GA154" s="146" cm="1">
        <f t="array" ref="GA154">IF($FY154=0,0,_xlfn.IFS($FY154='Key assumptions'!$C$120,_xlfn.XLOOKUP(LEFT(GA$7,6),Inflation_Year,Inflation_NominaltoReal),TRUE,_xlfn.XLOOKUP($FY154,Inflation_Year,NominaltoReal)))</f>
        <v>0</v>
      </c>
      <c r="GB154" s="146" cm="1">
        <f t="array" ref="GB154">IF($FY154=0,0,_xlfn.IFS($FY154='Key assumptions'!$C$120,_xlfn.XLOOKUP(LEFT(GB$7,6),Inflation_Year,Inflation_NominaltoReal),TRUE,_xlfn.XLOOKUP($FY154,Inflation_Year,NominaltoReal)))</f>
        <v>0</v>
      </c>
      <c r="GC154" s="146" cm="1">
        <f t="array" ref="GC154">IF($FY154=0,0,_xlfn.IFS($FY154='Key assumptions'!$C$120,_xlfn.XLOOKUP(LEFT(GC$7,6),Inflation_Year,Inflation_NominaltoReal),TRUE,_xlfn.XLOOKUP($FY154,Inflation_Year,NominaltoReal)))</f>
        <v>0</v>
      </c>
      <c r="GD154" s="146" cm="1">
        <f t="array" ref="GD154">IF($FY154=0,0,_xlfn.IFS($FY154='Key assumptions'!$C$120,_xlfn.XLOOKUP(LEFT(GD$7,6),Inflation_Year,Inflation_NominaltoReal),TRUE,_xlfn.XLOOKUP($FY154,Inflation_Year,NominaltoReal)))</f>
        <v>0</v>
      </c>
      <c r="GE154" s="146" cm="1">
        <f t="array" ref="GE154">IF($FY154=0,0,_xlfn.IFS($FY154='Key assumptions'!$C$120,_xlfn.XLOOKUP(LEFT(GE$7,6),Inflation_Year,Inflation_NominaltoReal),TRUE,_xlfn.XLOOKUP($FY154,Inflation_Year,NominaltoReal)))</f>
        <v>0</v>
      </c>
      <c r="GF154" s="146" cm="1">
        <f t="array" ref="GF154">IF($FY154=0,0,_xlfn.IFS($FY154='Key assumptions'!$C$120,_xlfn.XLOOKUP(LEFT(GF$7,6),Inflation_Year,Inflation_NominaltoReal),TRUE,_xlfn.XLOOKUP($FY154,Inflation_Year,NominaltoReal)))</f>
        <v>0</v>
      </c>
      <c r="GG154" s="143"/>
      <c r="GH154" s="145" cm="1">
        <f t="array" ref="GH154">SUMPRODUCT(--($CR$7:$FW$7&gt;=GH$5),--($CR$7:$FW$7&lt;=GH$6),$CR154:$FW154)*FZ154</f>
        <v>0</v>
      </c>
      <c r="GI154" s="145" cm="1">
        <f t="array" ref="GI154">SUMPRODUCT(--($CR$7:$FW$7&gt;=GI$5),--($CR$7:$FW$7&lt;=GI$6),$CR154:$FW154)*GA154</f>
        <v>0</v>
      </c>
      <c r="GJ154" s="145" cm="1">
        <f t="array" ref="GJ154">SUMPRODUCT(--($CR$7:$FW$7&gt;=GJ$5),--($CR$7:$FW$7&lt;=GJ$6),$CR154:$FW154)*GB154</f>
        <v>0</v>
      </c>
      <c r="GK154" s="145" cm="1">
        <f t="array" ref="GK154">SUMPRODUCT(--($CR$7:$FW$7&gt;=GK$5),--($CR$7:$FW$7&lt;=GK$6),$CR154:$FW154)*GC154</f>
        <v>0</v>
      </c>
      <c r="GL154" s="145" cm="1">
        <f t="array" ref="GL154">SUMPRODUCT(--($CR$7:$FW$7&gt;=GL$5),--($CR$7:$FW$7&lt;=GL$6),$CR154:$FW154)*GD154</f>
        <v>0</v>
      </c>
      <c r="GM154" s="145" cm="1">
        <f t="array" ref="GM154">SUMPRODUCT(--($CR$7:$FW$7&gt;=GM$5),--($CR$7:$FW$7&lt;=GM$6),$CR154:$FW154)*GE154</f>
        <v>0</v>
      </c>
      <c r="GN154" s="145" cm="1">
        <f t="array" ref="GN154">SUMPRODUCT(--($CR$7:$FW$7&gt;=GN$5),--($CR$7:$FW$7&lt;=GN$6),$CR154:$FW154)*GF154</f>
        <v>0</v>
      </c>
      <c r="GO154" s="145">
        <f t="shared" si="2"/>
        <v>0</v>
      </c>
      <c r="GP154" s="87"/>
      <c r="GR154" s="145" cm="1">
        <f t="array" ref="GR154">SUMPRODUCT(--($CR$7:$FW$7&gt;=GR$5),--($CR$7:$FW$7&lt;=GR$6),$CR154:$FW154)</f>
        <v>0</v>
      </c>
    </row>
    <row r="155" spans="2:200" x14ac:dyDescent="0.2">
      <c r="B155" s="141"/>
      <c r="C155" s="141"/>
      <c r="D155" s="141"/>
      <c r="E155" s="141"/>
      <c r="F155" s="141"/>
      <c r="G155" s="141"/>
      <c r="H155" s="142"/>
      <c r="I155" s="126"/>
      <c r="J155" s="143"/>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3"/>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c r="EE155" s="145"/>
      <c r="EF155" s="145"/>
      <c r="EG155" s="145"/>
      <c r="EH155" s="145"/>
      <c r="EI155" s="145"/>
      <c r="EJ155" s="145"/>
      <c r="EK155" s="145"/>
      <c r="EL155" s="145"/>
      <c r="EM155" s="145"/>
      <c r="EN155" s="145"/>
      <c r="EO155" s="145"/>
      <c r="EP155" s="145"/>
      <c r="EQ155" s="145"/>
      <c r="ER155" s="145"/>
      <c r="ES155" s="145"/>
      <c r="ET155" s="145"/>
      <c r="EU155" s="145"/>
      <c r="EV155" s="145"/>
      <c r="EW155" s="145"/>
      <c r="EX155" s="145"/>
      <c r="EY155" s="145"/>
      <c r="EZ155" s="145"/>
      <c r="FA155" s="145"/>
      <c r="FB155" s="145"/>
      <c r="FC155" s="145"/>
      <c r="FD155" s="145"/>
      <c r="FE155" s="145"/>
      <c r="FF155" s="145"/>
      <c r="FG155" s="145"/>
      <c r="FH155" s="145"/>
      <c r="FI155" s="145"/>
      <c r="FJ155" s="145"/>
      <c r="FK155" s="145"/>
      <c r="FL155" s="145"/>
      <c r="FM155" s="145"/>
      <c r="FN155" s="145"/>
      <c r="FO155" s="145"/>
      <c r="FP155" s="145"/>
      <c r="FQ155" s="145"/>
      <c r="FR155" s="145"/>
      <c r="FS155" s="145"/>
      <c r="FT155" s="145"/>
      <c r="FU155" s="145"/>
      <c r="FV155" s="145"/>
      <c r="FW155" s="145"/>
      <c r="FX155" s="143"/>
      <c r="FY155" s="146">
        <f>_xlfn.XLOOKUP($E155,'Key assumptions'!$B$112:$B$120,'Key assumptions'!$C$112:$C$120,0)</f>
        <v>0</v>
      </c>
      <c r="FZ155" s="146" cm="1">
        <f t="array" ref="FZ155">IF($FY155=0,0,_xlfn.IFS($FY155='Key assumptions'!$C$120,_xlfn.XLOOKUP(LEFT(FZ$7,6),Inflation_Year,Inflation_NominaltoReal),TRUE,_xlfn.XLOOKUP($FY155,Inflation_Year,NominaltoReal)))</f>
        <v>0</v>
      </c>
      <c r="GA155" s="146" cm="1">
        <f t="array" ref="GA155">IF($FY155=0,0,_xlfn.IFS($FY155='Key assumptions'!$C$120,_xlfn.XLOOKUP(LEFT(GA$7,6),Inflation_Year,Inflation_NominaltoReal),TRUE,_xlfn.XLOOKUP($FY155,Inflation_Year,NominaltoReal)))</f>
        <v>0</v>
      </c>
      <c r="GB155" s="146" cm="1">
        <f t="array" ref="GB155">IF($FY155=0,0,_xlfn.IFS($FY155='Key assumptions'!$C$120,_xlfn.XLOOKUP(LEFT(GB$7,6),Inflation_Year,Inflation_NominaltoReal),TRUE,_xlfn.XLOOKUP($FY155,Inflation_Year,NominaltoReal)))</f>
        <v>0</v>
      </c>
      <c r="GC155" s="146" cm="1">
        <f t="array" ref="GC155">IF($FY155=0,0,_xlfn.IFS($FY155='Key assumptions'!$C$120,_xlfn.XLOOKUP(LEFT(GC$7,6),Inflation_Year,Inflation_NominaltoReal),TRUE,_xlfn.XLOOKUP($FY155,Inflation_Year,NominaltoReal)))</f>
        <v>0</v>
      </c>
      <c r="GD155" s="146" cm="1">
        <f t="array" ref="GD155">IF($FY155=0,0,_xlfn.IFS($FY155='Key assumptions'!$C$120,_xlfn.XLOOKUP(LEFT(GD$7,6),Inflation_Year,Inflation_NominaltoReal),TRUE,_xlfn.XLOOKUP($FY155,Inflation_Year,NominaltoReal)))</f>
        <v>0</v>
      </c>
      <c r="GE155" s="146" cm="1">
        <f t="array" ref="GE155">IF($FY155=0,0,_xlfn.IFS($FY155='Key assumptions'!$C$120,_xlfn.XLOOKUP(LEFT(GE$7,6),Inflation_Year,Inflation_NominaltoReal),TRUE,_xlfn.XLOOKUP($FY155,Inflation_Year,NominaltoReal)))</f>
        <v>0</v>
      </c>
      <c r="GF155" s="146" cm="1">
        <f t="array" ref="GF155">IF($FY155=0,0,_xlfn.IFS($FY155='Key assumptions'!$C$120,_xlfn.XLOOKUP(LEFT(GF$7,6),Inflation_Year,Inflation_NominaltoReal),TRUE,_xlfn.XLOOKUP($FY155,Inflation_Year,NominaltoReal)))</f>
        <v>0</v>
      </c>
      <c r="GG155" s="143"/>
      <c r="GH155" s="145" cm="1">
        <f t="array" ref="GH155">SUMPRODUCT(--($CR$7:$FW$7&gt;=GH$5),--($CR$7:$FW$7&lt;=GH$6),$CR155:$FW155)*FZ155</f>
        <v>0</v>
      </c>
      <c r="GI155" s="145" cm="1">
        <f t="array" ref="GI155">SUMPRODUCT(--($CR$7:$FW$7&gt;=GI$5),--($CR$7:$FW$7&lt;=GI$6),$CR155:$FW155)*GA155</f>
        <v>0</v>
      </c>
      <c r="GJ155" s="145" cm="1">
        <f t="array" ref="GJ155">SUMPRODUCT(--($CR$7:$FW$7&gt;=GJ$5),--($CR$7:$FW$7&lt;=GJ$6),$CR155:$FW155)*GB155</f>
        <v>0</v>
      </c>
      <c r="GK155" s="145" cm="1">
        <f t="array" ref="GK155">SUMPRODUCT(--($CR$7:$FW$7&gt;=GK$5),--($CR$7:$FW$7&lt;=GK$6),$CR155:$FW155)*GC155</f>
        <v>0</v>
      </c>
      <c r="GL155" s="145" cm="1">
        <f t="array" ref="GL155">SUMPRODUCT(--($CR$7:$FW$7&gt;=GL$5),--($CR$7:$FW$7&lt;=GL$6),$CR155:$FW155)*GD155</f>
        <v>0</v>
      </c>
      <c r="GM155" s="145" cm="1">
        <f t="array" ref="GM155">SUMPRODUCT(--($CR$7:$FW$7&gt;=GM$5),--($CR$7:$FW$7&lt;=GM$6),$CR155:$FW155)*GE155</f>
        <v>0</v>
      </c>
      <c r="GN155" s="145" cm="1">
        <f t="array" ref="GN155">SUMPRODUCT(--($CR$7:$FW$7&gt;=GN$5),--($CR$7:$FW$7&lt;=GN$6),$CR155:$FW155)*GF155</f>
        <v>0</v>
      </c>
      <c r="GO155" s="145">
        <f t="shared" si="2"/>
        <v>0</v>
      </c>
      <c r="GP155" s="87"/>
      <c r="GR155" s="145" cm="1">
        <f t="array" ref="GR155">SUMPRODUCT(--($CR$7:$FW$7&gt;=GR$5),--($CR$7:$FW$7&lt;=GR$6),$CR155:$FW155)</f>
        <v>0</v>
      </c>
    </row>
    <row r="156" spans="2:200" x14ac:dyDescent="0.2">
      <c r="B156" s="141"/>
      <c r="C156" s="141"/>
      <c r="D156" s="141"/>
      <c r="E156" s="141"/>
      <c r="F156" s="141"/>
      <c r="G156" s="141"/>
      <c r="H156" s="142"/>
      <c r="I156" s="126"/>
      <c r="J156" s="143"/>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3"/>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c r="EE156" s="145"/>
      <c r="EF156" s="145"/>
      <c r="EG156" s="145"/>
      <c r="EH156" s="145"/>
      <c r="EI156" s="145"/>
      <c r="EJ156" s="145"/>
      <c r="EK156" s="145"/>
      <c r="EL156" s="145"/>
      <c r="EM156" s="145"/>
      <c r="EN156" s="145"/>
      <c r="EO156" s="145"/>
      <c r="EP156" s="145"/>
      <c r="EQ156" s="145"/>
      <c r="ER156" s="145"/>
      <c r="ES156" s="145"/>
      <c r="ET156" s="145"/>
      <c r="EU156" s="145"/>
      <c r="EV156" s="145"/>
      <c r="EW156" s="145"/>
      <c r="EX156" s="145"/>
      <c r="EY156" s="145"/>
      <c r="EZ156" s="145"/>
      <c r="FA156" s="145"/>
      <c r="FB156" s="145"/>
      <c r="FC156" s="145"/>
      <c r="FD156" s="145"/>
      <c r="FE156" s="145"/>
      <c r="FF156" s="145"/>
      <c r="FG156" s="145"/>
      <c r="FH156" s="145"/>
      <c r="FI156" s="145"/>
      <c r="FJ156" s="145"/>
      <c r="FK156" s="145"/>
      <c r="FL156" s="145"/>
      <c r="FM156" s="145"/>
      <c r="FN156" s="145"/>
      <c r="FO156" s="145"/>
      <c r="FP156" s="145"/>
      <c r="FQ156" s="145"/>
      <c r="FR156" s="145"/>
      <c r="FS156" s="145"/>
      <c r="FT156" s="145"/>
      <c r="FU156" s="145"/>
      <c r="FV156" s="145"/>
      <c r="FW156" s="145"/>
      <c r="FX156" s="143"/>
      <c r="FY156" s="146">
        <f>_xlfn.XLOOKUP($E156,'Key assumptions'!$B$112:$B$120,'Key assumptions'!$C$112:$C$120,0)</f>
        <v>0</v>
      </c>
      <c r="FZ156" s="146" cm="1">
        <f t="array" ref="FZ156">IF($FY156=0,0,_xlfn.IFS($FY156='Key assumptions'!$C$120,_xlfn.XLOOKUP(LEFT(FZ$7,6),Inflation_Year,Inflation_NominaltoReal),TRUE,_xlfn.XLOOKUP($FY156,Inflation_Year,NominaltoReal)))</f>
        <v>0</v>
      </c>
      <c r="GA156" s="146" cm="1">
        <f t="array" ref="GA156">IF($FY156=0,0,_xlfn.IFS($FY156='Key assumptions'!$C$120,_xlfn.XLOOKUP(LEFT(GA$7,6),Inflation_Year,Inflation_NominaltoReal),TRUE,_xlfn.XLOOKUP($FY156,Inflation_Year,NominaltoReal)))</f>
        <v>0</v>
      </c>
      <c r="GB156" s="146" cm="1">
        <f t="array" ref="GB156">IF($FY156=0,0,_xlfn.IFS($FY156='Key assumptions'!$C$120,_xlfn.XLOOKUP(LEFT(GB$7,6),Inflation_Year,Inflation_NominaltoReal),TRUE,_xlfn.XLOOKUP($FY156,Inflation_Year,NominaltoReal)))</f>
        <v>0</v>
      </c>
      <c r="GC156" s="146" cm="1">
        <f t="array" ref="GC156">IF($FY156=0,0,_xlfn.IFS($FY156='Key assumptions'!$C$120,_xlfn.XLOOKUP(LEFT(GC$7,6),Inflation_Year,Inflation_NominaltoReal),TRUE,_xlfn.XLOOKUP($FY156,Inflation_Year,NominaltoReal)))</f>
        <v>0</v>
      </c>
      <c r="GD156" s="146" cm="1">
        <f t="array" ref="GD156">IF($FY156=0,0,_xlfn.IFS($FY156='Key assumptions'!$C$120,_xlfn.XLOOKUP(LEFT(GD$7,6),Inflation_Year,Inflation_NominaltoReal),TRUE,_xlfn.XLOOKUP($FY156,Inflation_Year,NominaltoReal)))</f>
        <v>0</v>
      </c>
      <c r="GE156" s="146" cm="1">
        <f t="array" ref="GE156">IF($FY156=0,0,_xlfn.IFS($FY156='Key assumptions'!$C$120,_xlfn.XLOOKUP(LEFT(GE$7,6),Inflation_Year,Inflation_NominaltoReal),TRUE,_xlfn.XLOOKUP($FY156,Inflation_Year,NominaltoReal)))</f>
        <v>0</v>
      </c>
      <c r="GF156" s="146" cm="1">
        <f t="array" ref="GF156">IF($FY156=0,0,_xlfn.IFS($FY156='Key assumptions'!$C$120,_xlfn.XLOOKUP(LEFT(GF$7,6),Inflation_Year,Inflation_NominaltoReal),TRUE,_xlfn.XLOOKUP($FY156,Inflation_Year,NominaltoReal)))</f>
        <v>0</v>
      </c>
      <c r="GG156" s="143"/>
      <c r="GH156" s="145" cm="1">
        <f t="array" ref="GH156">SUMPRODUCT(--($CR$7:$FW$7&gt;=GH$5),--($CR$7:$FW$7&lt;=GH$6),$CR156:$FW156)*FZ156</f>
        <v>0</v>
      </c>
      <c r="GI156" s="145" cm="1">
        <f t="array" ref="GI156">SUMPRODUCT(--($CR$7:$FW$7&gt;=GI$5),--($CR$7:$FW$7&lt;=GI$6),$CR156:$FW156)*GA156</f>
        <v>0</v>
      </c>
      <c r="GJ156" s="145" cm="1">
        <f t="array" ref="GJ156">SUMPRODUCT(--($CR$7:$FW$7&gt;=GJ$5),--($CR$7:$FW$7&lt;=GJ$6),$CR156:$FW156)*GB156</f>
        <v>0</v>
      </c>
      <c r="GK156" s="145" cm="1">
        <f t="array" ref="GK156">SUMPRODUCT(--($CR$7:$FW$7&gt;=GK$5),--($CR$7:$FW$7&lt;=GK$6),$CR156:$FW156)*GC156</f>
        <v>0</v>
      </c>
      <c r="GL156" s="145" cm="1">
        <f t="array" ref="GL156">SUMPRODUCT(--($CR$7:$FW$7&gt;=GL$5),--($CR$7:$FW$7&lt;=GL$6),$CR156:$FW156)*GD156</f>
        <v>0</v>
      </c>
      <c r="GM156" s="145" cm="1">
        <f t="array" ref="GM156">SUMPRODUCT(--($CR$7:$FW$7&gt;=GM$5),--($CR$7:$FW$7&lt;=GM$6),$CR156:$FW156)*GE156</f>
        <v>0</v>
      </c>
      <c r="GN156" s="145" cm="1">
        <f t="array" ref="GN156">SUMPRODUCT(--($CR$7:$FW$7&gt;=GN$5),--($CR$7:$FW$7&lt;=GN$6),$CR156:$FW156)*GF156</f>
        <v>0</v>
      </c>
      <c r="GO156" s="145">
        <f t="shared" si="2"/>
        <v>0</v>
      </c>
      <c r="GP156" s="87"/>
      <c r="GR156" s="145" cm="1">
        <f t="array" ref="GR156">SUMPRODUCT(--($CR$7:$FW$7&gt;=GR$5),--($CR$7:$FW$7&lt;=GR$6),$CR156:$FW156)</f>
        <v>0</v>
      </c>
    </row>
    <row r="157" spans="2:200" x14ac:dyDescent="0.2">
      <c r="B157" s="141"/>
      <c r="C157" s="141"/>
      <c r="D157" s="141"/>
      <c r="E157" s="141"/>
      <c r="F157" s="141"/>
      <c r="G157" s="141"/>
      <c r="H157" s="142"/>
      <c r="I157" s="126"/>
      <c r="J157" s="143"/>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3"/>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c r="EE157" s="145"/>
      <c r="EF157" s="145"/>
      <c r="EG157" s="145"/>
      <c r="EH157" s="145"/>
      <c r="EI157" s="145"/>
      <c r="EJ157" s="145"/>
      <c r="EK157" s="145"/>
      <c r="EL157" s="145"/>
      <c r="EM157" s="145"/>
      <c r="EN157" s="145"/>
      <c r="EO157" s="145"/>
      <c r="EP157" s="145"/>
      <c r="EQ157" s="145"/>
      <c r="ER157" s="145"/>
      <c r="ES157" s="145"/>
      <c r="ET157" s="145"/>
      <c r="EU157" s="145"/>
      <c r="EV157" s="145"/>
      <c r="EW157" s="145"/>
      <c r="EX157" s="145"/>
      <c r="EY157" s="145"/>
      <c r="EZ157" s="145"/>
      <c r="FA157" s="145"/>
      <c r="FB157" s="145"/>
      <c r="FC157" s="145"/>
      <c r="FD157" s="145"/>
      <c r="FE157" s="145"/>
      <c r="FF157" s="145"/>
      <c r="FG157" s="145"/>
      <c r="FH157" s="145"/>
      <c r="FI157" s="145"/>
      <c r="FJ157" s="145"/>
      <c r="FK157" s="145"/>
      <c r="FL157" s="145"/>
      <c r="FM157" s="145"/>
      <c r="FN157" s="145"/>
      <c r="FO157" s="145"/>
      <c r="FP157" s="145"/>
      <c r="FQ157" s="145"/>
      <c r="FR157" s="145"/>
      <c r="FS157" s="145"/>
      <c r="FT157" s="145"/>
      <c r="FU157" s="145"/>
      <c r="FV157" s="145"/>
      <c r="FW157" s="145"/>
      <c r="FX157" s="143"/>
      <c r="FY157" s="146">
        <f>_xlfn.XLOOKUP($E157,'Key assumptions'!$B$112:$B$120,'Key assumptions'!$C$112:$C$120,0)</f>
        <v>0</v>
      </c>
      <c r="FZ157" s="146" cm="1">
        <f t="array" ref="FZ157">IF($FY157=0,0,_xlfn.IFS($FY157='Key assumptions'!$C$120,_xlfn.XLOOKUP(LEFT(FZ$7,6),Inflation_Year,Inflation_NominaltoReal),TRUE,_xlfn.XLOOKUP($FY157,Inflation_Year,NominaltoReal)))</f>
        <v>0</v>
      </c>
      <c r="GA157" s="146" cm="1">
        <f t="array" ref="GA157">IF($FY157=0,0,_xlfn.IFS($FY157='Key assumptions'!$C$120,_xlfn.XLOOKUP(LEFT(GA$7,6),Inflation_Year,Inflation_NominaltoReal),TRUE,_xlfn.XLOOKUP($FY157,Inflation_Year,NominaltoReal)))</f>
        <v>0</v>
      </c>
      <c r="GB157" s="146" cm="1">
        <f t="array" ref="GB157">IF($FY157=0,0,_xlfn.IFS($FY157='Key assumptions'!$C$120,_xlfn.XLOOKUP(LEFT(GB$7,6),Inflation_Year,Inflation_NominaltoReal),TRUE,_xlfn.XLOOKUP($FY157,Inflation_Year,NominaltoReal)))</f>
        <v>0</v>
      </c>
      <c r="GC157" s="146" cm="1">
        <f t="array" ref="GC157">IF($FY157=0,0,_xlfn.IFS($FY157='Key assumptions'!$C$120,_xlfn.XLOOKUP(LEFT(GC$7,6),Inflation_Year,Inflation_NominaltoReal),TRUE,_xlfn.XLOOKUP($FY157,Inflation_Year,NominaltoReal)))</f>
        <v>0</v>
      </c>
      <c r="GD157" s="146" cm="1">
        <f t="array" ref="GD157">IF($FY157=0,0,_xlfn.IFS($FY157='Key assumptions'!$C$120,_xlfn.XLOOKUP(LEFT(GD$7,6),Inflation_Year,Inflation_NominaltoReal),TRUE,_xlfn.XLOOKUP($FY157,Inflation_Year,NominaltoReal)))</f>
        <v>0</v>
      </c>
      <c r="GE157" s="146" cm="1">
        <f t="array" ref="GE157">IF($FY157=0,0,_xlfn.IFS($FY157='Key assumptions'!$C$120,_xlfn.XLOOKUP(LEFT(GE$7,6),Inflation_Year,Inflation_NominaltoReal),TRUE,_xlfn.XLOOKUP($FY157,Inflation_Year,NominaltoReal)))</f>
        <v>0</v>
      </c>
      <c r="GF157" s="146" cm="1">
        <f t="array" ref="GF157">IF($FY157=0,0,_xlfn.IFS($FY157='Key assumptions'!$C$120,_xlfn.XLOOKUP(LEFT(GF$7,6),Inflation_Year,Inflation_NominaltoReal),TRUE,_xlfn.XLOOKUP($FY157,Inflation_Year,NominaltoReal)))</f>
        <v>0</v>
      </c>
      <c r="GG157" s="143"/>
      <c r="GH157" s="145" cm="1">
        <f t="array" ref="GH157">SUMPRODUCT(--($CR$7:$FW$7&gt;=GH$5),--($CR$7:$FW$7&lt;=GH$6),$CR157:$FW157)*FZ157</f>
        <v>0</v>
      </c>
      <c r="GI157" s="145" cm="1">
        <f t="array" ref="GI157">SUMPRODUCT(--($CR$7:$FW$7&gt;=GI$5),--($CR$7:$FW$7&lt;=GI$6),$CR157:$FW157)*GA157</f>
        <v>0</v>
      </c>
      <c r="GJ157" s="145" cm="1">
        <f t="array" ref="GJ157">SUMPRODUCT(--($CR$7:$FW$7&gt;=GJ$5),--($CR$7:$FW$7&lt;=GJ$6),$CR157:$FW157)*GB157</f>
        <v>0</v>
      </c>
      <c r="GK157" s="145" cm="1">
        <f t="array" ref="GK157">SUMPRODUCT(--($CR$7:$FW$7&gt;=GK$5),--($CR$7:$FW$7&lt;=GK$6),$CR157:$FW157)*GC157</f>
        <v>0</v>
      </c>
      <c r="GL157" s="145" cm="1">
        <f t="array" ref="GL157">SUMPRODUCT(--($CR$7:$FW$7&gt;=GL$5),--($CR$7:$FW$7&lt;=GL$6),$CR157:$FW157)*GD157</f>
        <v>0</v>
      </c>
      <c r="GM157" s="145" cm="1">
        <f t="array" ref="GM157">SUMPRODUCT(--($CR$7:$FW$7&gt;=GM$5),--($CR$7:$FW$7&lt;=GM$6),$CR157:$FW157)*GE157</f>
        <v>0</v>
      </c>
      <c r="GN157" s="145" cm="1">
        <f t="array" ref="GN157">SUMPRODUCT(--($CR$7:$FW$7&gt;=GN$5),--($CR$7:$FW$7&lt;=GN$6),$CR157:$FW157)*GF157</f>
        <v>0</v>
      </c>
      <c r="GO157" s="145">
        <f t="shared" si="2"/>
        <v>0</v>
      </c>
      <c r="GP157" s="87"/>
      <c r="GR157" s="145" cm="1">
        <f t="array" ref="GR157">SUMPRODUCT(--($CR$7:$FW$7&gt;=GR$5),--($CR$7:$FW$7&lt;=GR$6),$CR157:$FW157)</f>
        <v>0</v>
      </c>
    </row>
    <row r="158" spans="2:200" x14ac:dyDescent="0.2">
      <c r="B158" s="141"/>
      <c r="C158" s="141"/>
      <c r="D158" s="141"/>
      <c r="E158" s="141"/>
      <c r="F158" s="141"/>
      <c r="G158" s="141"/>
      <c r="H158" s="142"/>
      <c r="I158" s="126"/>
      <c r="J158" s="143"/>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3"/>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c r="EE158" s="145"/>
      <c r="EF158" s="145"/>
      <c r="EG158" s="145"/>
      <c r="EH158" s="145"/>
      <c r="EI158" s="145"/>
      <c r="EJ158" s="145"/>
      <c r="EK158" s="145"/>
      <c r="EL158" s="145"/>
      <c r="EM158" s="145"/>
      <c r="EN158" s="145"/>
      <c r="EO158" s="145"/>
      <c r="EP158" s="145"/>
      <c r="EQ158" s="145"/>
      <c r="ER158" s="145"/>
      <c r="ES158" s="145"/>
      <c r="ET158" s="145"/>
      <c r="EU158" s="145"/>
      <c r="EV158" s="145"/>
      <c r="EW158" s="145"/>
      <c r="EX158" s="145"/>
      <c r="EY158" s="145"/>
      <c r="EZ158" s="145"/>
      <c r="FA158" s="145"/>
      <c r="FB158" s="145"/>
      <c r="FC158" s="145"/>
      <c r="FD158" s="145"/>
      <c r="FE158" s="145"/>
      <c r="FF158" s="145"/>
      <c r="FG158" s="145"/>
      <c r="FH158" s="145"/>
      <c r="FI158" s="145"/>
      <c r="FJ158" s="145"/>
      <c r="FK158" s="145"/>
      <c r="FL158" s="145"/>
      <c r="FM158" s="145"/>
      <c r="FN158" s="145"/>
      <c r="FO158" s="145"/>
      <c r="FP158" s="145"/>
      <c r="FQ158" s="145"/>
      <c r="FR158" s="145"/>
      <c r="FS158" s="145"/>
      <c r="FT158" s="145"/>
      <c r="FU158" s="145"/>
      <c r="FV158" s="145"/>
      <c r="FW158" s="145"/>
      <c r="FX158" s="143"/>
      <c r="FY158" s="146">
        <f>_xlfn.XLOOKUP($E158,'Key assumptions'!$B$112:$B$120,'Key assumptions'!$C$112:$C$120,0)</f>
        <v>0</v>
      </c>
      <c r="FZ158" s="146" cm="1">
        <f t="array" ref="FZ158">IF($FY158=0,0,_xlfn.IFS($FY158='Key assumptions'!$C$120,_xlfn.XLOOKUP(LEFT(FZ$7,6),Inflation_Year,Inflation_NominaltoReal),TRUE,_xlfn.XLOOKUP($FY158,Inflation_Year,NominaltoReal)))</f>
        <v>0</v>
      </c>
      <c r="GA158" s="146" cm="1">
        <f t="array" ref="GA158">IF($FY158=0,0,_xlfn.IFS($FY158='Key assumptions'!$C$120,_xlfn.XLOOKUP(LEFT(GA$7,6),Inflation_Year,Inflation_NominaltoReal),TRUE,_xlfn.XLOOKUP($FY158,Inflation_Year,NominaltoReal)))</f>
        <v>0</v>
      </c>
      <c r="GB158" s="146" cm="1">
        <f t="array" ref="GB158">IF($FY158=0,0,_xlfn.IFS($FY158='Key assumptions'!$C$120,_xlfn.XLOOKUP(LEFT(GB$7,6),Inflation_Year,Inflation_NominaltoReal),TRUE,_xlfn.XLOOKUP($FY158,Inflation_Year,NominaltoReal)))</f>
        <v>0</v>
      </c>
      <c r="GC158" s="146" cm="1">
        <f t="array" ref="GC158">IF($FY158=0,0,_xlfn.IFS($FY158='Key assumptions'!$C$120,_xlfn.XLOOKUP(LEFT(GC$7,6),Inflation_Year,Inflation_NominaltoReal),TRUE,_xlfn.XLOOKUP($FY158,Inflation_Year,NominaltoReal)))</f>
        <v>0</v>
      </c>
      <c r="GD158" s="146" cm="1">
        <f t="array" ref="GD158">IF($FY158=0,0,_xlfn.IFS($FY158='Key assumptions'!$C$120,_xlfn.XLOOKUP(LEFT(GD$7,6),Inflation_Year,Inflation_NominaltoReal),TRUE,_xlfn.XLOOKUP($FY158,Inflation_Year,NominaltoReal)))</f>
        <v>0</v>
      </c>
      <c r="GE158" s="146" cm="1">
        <f t="array" ref="GE158">IF($FY158=0,0,_xlfn.IFS($FY158='Key assumptions'!$C$120,_xlfn.XLOOKUP(LEFT(GE$7,6),Inflation_Year,Inflation_NominaltoReal),TRUE,_xlfn.XLOOKUP($FY158,Inflation_Year,NominaltoReal)))</f>
        <v>0</v>
      </c>
      <c r="GF158" s="146" cm="1">
        <f t="array" ref="GF158">IF($FY158=0,0,_xlfn.IFS($FY158='Key assumptions'!$C$120,_xlfn.XLOOKUP(LEFT(GF$7,6),Inflation_Year,Inflation_NominaltoReal),TRUE,_xlfn.XLOOKUP($FY158,Inflation_Year,NominaltoReal)))</f>
        <v>0</v>
      </c>
      <c r="GG158" s="143"/>
      <c r="GH158" s="145" cm="1">
        <f t="array" ref="GH158">SUMPRODUCT(--($CR$7:$FW$7&gt;=GH$5),--($CR$7:$FW$7&lt;=GH$6),$CR158:$FW158)*FZ158</f>
        <v>0</v>
      </c>
      <c r="GI158" s="145" cm="1">
        <f t="array" ref="GI158">SUMPRODUCT(--($CR$7:$FW$7&gt;=GI$5),--($CR$7:$FW$7&lt;=GI$6),$CR158:$FW158)*GA158</f>
        <v>0</v>
      </c>
      <c r="GJ158" s="145" cm="1">
        <f t="array" ref="GJ158">SUMPRODUCT(--($CR$7:$FW$7&gt;=GJ$5),--($CR$7:$FW$7&lt;=GJ$6),$CR158:$FW158)*GB158</f>
        <v>0</v>
      </c>
      <c r="GK158" s="145" cm="1">
        <f t="array" ref="GK158">SUMPRODUCT(--($CR$7:$FW$7&gt;=GK$5),--($CR$7:$FW$7&lt;=GK$6),$CR158:$FW158)*GC158</f>
        <v>0</v>
      </c>
      <c r="GL158" s="145" cm="1">
        <f t="array" ref="GL158">SUMPRODUCT(--($CR$7:$FW$7&gt;=GL$5),--($CR$7:$FW$7&lt;=GL$6),$CR158:$FW158)*GD158</f>
        <v>0</v>
      </c>
      <c r="GM158" s="145" cm="1">
        <f t="array" ref="GM158">SUMPRODUCT(--($CR$7:$FW$7&gt;=GM$5),--($CR$7:$FW$7&lt;=GM$6),$CR158:$FW158)*GE158</f>
        <v>0</v>
      </c>
      <c r="GN158" s="145" cm="1">
        <f t="array" ref="GN158">SUMPRODUCT(--($CR$7:$FW$7&gt;=GN$5),--($CR$7:$FW$7&lt;=GN$6),$CR158:$FW158)*GF158</f>
        <v>0</v>
      </c>
      <c r="GO158" s="145">
        <f t="shared" si="2"/>
        <v>0</v>
      </c>
      <c r="GP158" s="87"/>
      <c r="GR158" s="145" cm="1">
        <f t="array" ref="GR158">SUMPRODUCT(--($CR$7:$FW$7&gt;=GR$5),--($CR$7:$FW$7&lt;=GR$6),$CR158:$FW158)</f>
        <v>0</v>
      </c>
    </row>
    <row r="159" spans="2:200" x14ac:dyDescent="0.2">
      <c r="B159" s="141"/>
      <c r="C159" s="141"/>
      <c r="D159" s="141"/>
      <c r="E159" s="141"/>
      <c r="F159" s="141"/>
      <c r="G159" s="141"/>
      <c r="H159" s="142"/>
      <c r="I159" s="126"/>
      <c r="J159" s="143"/>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3"/>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c r="EE159" s="145"/>
      <c r="EF159" s="145"/>
      <c r="EG159" s="145"/>
      <c r="EH159" s="145"/>
      <c r="EI159" s="145"/>
      <c r="EJ159" s="145"/>
      <c r="EK159" s="145"/>
      <c r="EL159" s="145"/>
      <c r="EM159" s="145"/>
      <c r="EN159" s="145"/>
      <c r="EO159" s="145"/>
      <c r="EP159" s="145"/>
      <c r="EQ159" s="145"/>
      <c r="ER159" s="145"/>
      <c r="ES159" s="145"/>
      <c r="ET159" s="145"/>
      <c r="EU159" s="145"/>
      <c r="EV159" s="145"/>
      <c r="EW159" s="145"/>
      <c r="EX159" s="145"/>
      <c r="EY159" s="145"/>
      <c r="EZ159" s="145"/>
      <c r="FA159" s="145"/>
      <c r="FB159" s="145"/>
      <c r="FC159" s="145"/>
      <c r="FD159" s="145"/>
      <c r="FE159" s="145"/>
      <c r="FF159" s="145"/>
      <c r="FG159" s="145"/>
      <c r="FH159" s="145"/>
      <c r="FI159" s="145"/>
      <c r="FJ159" s="145"/>
      <c r="FK159" s="145"/>
      <c r="FL159" s="145"/>
      <c r="FM159" s="145"/>
      <c r="FN159" s="145"/>
      <c r="FO159" s="145"/>
      <c r="FP159" s="145"/>
      <c r="FQ159" s="145"/>
      <c r="FR159" s="145"/>
      <c r="FS159" s="145"/>
      <c r="FT159" s="145"/>
      <c r="FU159" s="145"/>
      <c r="FV159" s="145"/>
      <c r="FW159" s="145"/>
      <c r="FX159" s="143"/>
      <c r="FY159" s="146">
        <f>_xlfn.XLOOKUP($E159,'Key assumptions'!$B$112:$B$120,'Key assumptions'!$C$112:$C$120,0)</f>
        <v>0</v>
      </c>
      <c r="FZ159" s="146" cm="1">
        <f t="array" ref="FZ159">IF($FY159=0,0,_xlfn.IFS($FY159='Key assumptions'!$C$120,_xlfn.XLOOKUP(LEFT(FZ$7,6),Inflation_Year,Inflation_NominaltoReal),TRUE,_xlfn.XLOOKUP($FY159,Inflation_Year,NominaltoReal)))</f>
        <v>0</v>
      </c>
      <c r="GA159" s="146" cm="1">
        <f t="array" ref="GA159">IF($FY159=0,0,_xlfn.IFS($FY159='Key assumptions'!$C$120,_xlfn.XLOOKUP(LEFT(GA$7,6),Inflation_Year,Inflation_NominaltoReal),TRUE,_xlfn.XLOOKUP($FY159,Inflation_Year,NominaltoReal)))</f>
        <v>0</v>
      </c>
      <c r="GB159" s="146" cm="1">
        <f t="array" ref="GB159">IF($FY159=0,0,_xlfn.IFS($FY159='Key assumptions'!$C$120,_xlfn.XLOOKUP(LEFT(GB$7,6),Inflation_Year,Inflation_NominaltoReal),TRUE,_xlfn.XLOOKUP($FY159,Inflation_Year,NominaltoReal)))</f>
        <v>0</v>
      </c>
      <c r="GC159" s="146" cm="1">
        <f t="array" ref="GC159">IF($FY159=0,0,_xlfn.IFS($FY159='Key assumptions'!$C$120,_xlfn.XLOOKUP(LEFT(GC$7,6),Inflation_Year,Inflation_NominaltoReal),TRUE,_xlfn.XLOOKUP($FY159,Inflation_Year,NominaltoReal)))</f>
        <v>0</v>
      </c>
      <c r="GD159" s="146" cm="1">
        <f t="array" ref="GD159">IF($FY159=0,0,_xlfn.IFS($FY159='Key assumptions'!$C$120,_xlfn.XLOOKUP(LEFT(GD$7,6),Inflation_Year,Inflation_NominaltoReal),TRUE,_xlfn.XLOOKUP($FY159,Inflation_Year,NominaltoReal)))</f>
        <v>0</v>
      </c>
      <c r="GE159" s="146" cm="1">
        <f t="array" ref="GE159">IF($FY159=0,0,_xlfn.IFS($FY159='Key assumptions'!$C$120,_xlfn.XLOOKUP(LEFT(GE$7,6),Inflation_Year,Inflation_NominaltoReal),TRUE,_xlfn.XLOOKUP($FY159,Inflation_Year,NominaltoReal)))</f>
        <v>0</v>
      </c>
      <c r="GF159" s="146" cm="1">
        <f t="array" ref="GF159">IF($FY159=0,0,_xlfn.IFS($FY159='Key assumptions'!$C$120,_xlfn.XLOOKUP(LEFT(GF$7,6),Inflation_Year,Inflation_NominaltoReal),TRUE,_xlfn.XLOOKUP($FY159,Inflation_Year,NominaltoReal)))</f>
        <v>0</v>
      </c>
      <c r="GG159" s="143"/>
      <c r="GH159" s="145" cm="1">
        <f t="array" ref="GH159">SUMPRODUCT(--($CR$7:$FW$7&gt;=GH$5),--($CR$7:$FW$7&lt;=GH$6),$CR159:$FW159)*FZ159</f>
        <v>0</v>
      </c>
      <c r="GI159" s="145" cm="1">
        <f t="array" ref="GI159">SUMPRODUCT(--($CR$7:$FW$7&gt;=GI$5),--($CR$7:$FW$7&lt;=GI$6),$CR159:$FW159)*GA159</f>
        <v>0</v>
      </c>
      <c r="GJ159" s="145" cm="1">
        <f t="array" ref="GJ159">SUMPRODUCT(--($CR$7:$FW$7&gt;=GJ$5),--($CR$7:$FW$7&lt;=GJ$6),$CR159:$FW159)*GB159</f>
        <v>0</v>
      </c>
      <c r="GK159" s="145" cm="1">
        <f t="array" ref="GK159">SUMPRODUCT(--($CR$7:$FW$7&gt;=GK$5),--($CR$7:$FW$7&lt;=GK$6),$CR159:$FW159)*GC159</f>
        <v>0</v>
      </c>
      <c r="GL159" s="145" cm="1">
        <f t="array" ref="GL159">SUMPRODUCT(--($CR$7:$FW$7&gt;=GL$5),--($CR$7:$FW$7&lt;=GL$6),$CR159:$FW159)*GD159</f>
        <v>0</v>
      </c>
      <c r="GM159" s="145" cm="1">
        <f t="array" ref="GM159">SUMPRODUCT(--($CR$7:$FW$7&gt;=GM$5),--($CR$7:$FW$7&lt;=GM$6),$CR159:$FW159)*GE159</f>
        <v>0</v>
      </c>
      <c r="GN159" s="145" cm="1">
        <f t="array" ref="GN159">SUMPRODUCT(--($CR$7:$FW$7&gt;=GN$5),--($CR$7:$FW$7&lt;=GN$6),$CR159:$FW159)*GF159</f>
        <v>0</v>
      </c>
      <c r="GO159" s="145">
        <f t="shared" si="2"/>
        <v>0</v>
      </c>
      <c r="GP159" s="87"/>
      <c r="GR159" s="145" cm="1">
        <f t="array" ref="GR159">SUMPRODUCT(--($CR$7:$FW$7&gt;=GR$5),--($CR$7:$FW$7&lt;=GR$6),$CR159:$FW159)</f>
        <v>0</v>
      </c>
    </row>
    <row r="160" spans="2:200" x14ac:dyDescent="0.2">
      <c r="B160" s="141"/>
      <c r="C160" s="141"/>
      <c r="D160" s="141"/>
      <c r="E160" s="141"/>
      <c r="F160" s="141"/>
      <c r="G160" s="141"/>
      <c r="H160" s="142"/>
      <c r="I160" s="126"/>
      <c r="J160" s="143"/>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3"/>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c r="EE160" s="145"/>
      <c r="EF160" s="145"/>
      <c r="EG160" s="145"/>
      <c r="EH160" s="145"/>
      <c r="EI160" s="145"/>
      <c r="EJ160" s="145"/>
      <c r="EK160" s="145"/>
      <c r="EL160" s="145"/>
      <c r="EM160" s="145"/>
      <c r="EN160" s="145"/>
      <c r="EO160" s="145"/>
      <c r="EP160" s="145"/>
      <c r="EQ160" s="145"/>
      <c r="ER160" s="145"/>
      <c r="ES160" s="145"/>
      <c r="ET160" s="145"/>
      <c r="EU160" s="145"/>
      <c r="EV160" s="145"/>
      <c r="EW160" s="145"/>
      <c r="EX160" s="145"/>
      <c r="EY160" s="145"/>
      <c r="EZ160" s="145"/>
      <c r="FA160" s="145"/>
      <c r="FB160" s="145"/>
      <c r="FC160" s="145"/>
      <c r="FD160" s="145"/>
      <c r="FE160" s="145"/>
      <c r="FF160" s="145"/>
      <c r="FG160" s="145"/>
      <c r="FH160" s="145"/>
      <c r="FI160" s="145"/>
      <c r="FJ160" s="145"/>
      <c r="FK160" s="145"/>
      <c r="FL160" s="145"/>
      <c r="FM160" s="145"/>
      <c r="FN160" s="145"/>
      <c r="FO160" s="145"/>
      <c r="FP160" s="145"/>
      <c r="FQ160" s="145"/>
      <c r="FR160" s="145"/>
      <c r="FS160" s="145"/>
      <c r="FT160" s="145"/>
      <c r="FU160" s="145"/>
      <c r="FV160" s="145"/>
      <c r="FW160" s="145"/>
      <c r="FX160" s="143"/>
      <c r="FY160" s="146">
        <f>_xlfn.XLOOKUP($E160,'Key assumptions'!$B$112:$B$120,'Key assumptions'!$C$112:$C$120,0)</f>
        <v>0</v>
      </c>
      <c r="FZ160" s="146" cm="1">
        <f t="array" ref="FZ160">IF($FY160=0,0,_xlfn.IFS($FY160='Key assumptions'!$C$120,_xlfn.XLOOKUP(LEFT(FZ$7,6),Inflation_Year,Inflation_NominaltoReal),TRUE,_xlfn.XLOOKUP($FY160,Inflation_Year,NominaltoReal)))</f>
        <v>0</v>
      </c>
      <c r="GA160" s="146" cm="1">
        <f t="array" ref="GA160">IF($FY160=0,0,_xlfn.IFS($FY160='Key assumptions'!$C$120,_xlfn.XLOOKUP(LEFT(GA$7,6),Inflation_Year,Inflation_NominaltoReal),TRUE,_xlfn.XLOOKUP($FY160,Inflation_Year,NominaltoReal)))</f>
        <v>0</v>
      </c>
      <c r="GB160" s="146" cm="1">
        <f t="array" ref="GB160">IF($FY160=0,0,_xlfn.IFS($FY160='Key assumptions'!$C$120,_xlfn.XLOOKUP(LEFT(GB$7,6),Inflation_Year,Inflation_NominaltoReal),TRUE,_xlfn.XLOOKUP($FY160,Inflation_Year,NominaltoReal)))</f>
        <v>0</v>
      </c>
      <c r="GC160" s="146" cm="1">
        <f t="array" ref="GC160">IF($FY160=0,0,_xlfn.IFS($FY160='Key assumptions'!$C$120,_xlfn.XLOOKUP(LEFT(GC$7,6),Inflation_Year,Inflation_NominaltoReal),TRUE,_xlfn.XLOOKUP($FY160,Inflation_Year,NominaltoReal)))</f>
        <v>0</v>
      </c>
      <c r="GD160" s="146" cm="1">
        <f t="array" ref="GD160">IF($FY160=0,0,_xlfn.IFS($FY160='Key assumptions'!$C$120,_xlfn.XLOOKUP(LEFT(GD$7,6),Inflation_Year,Inflation_NominaltoReal),TRUE,_xlfn.XLOOKUP($FY160,Inflation_Year,NominaltoReal)))</f>
        <v>0</v>
      </c>
      <c r="GE160" s="146" cm="1">
        <f t="array" ref="GE160">IF($FY160=0,0,_xlfn.IFS($FY160='Key assumptions'!$C$120,_xlfn.XLOOKUP(LEFT(GE$7,6),Inflation_Year,Inflation_NominaltoReal),TRUE,_xlfn.XLOOKUP($FY160,Inflation_Year,NominaltoReal)))</f>
        <v>0</v>
      </c>
      <c r="GF160" s="146" cm="1">
        <f t="array" ref="GF160">IF($FY160=0,0,_xlfn.IFS($FY160='Key assumptions'!$C$120,_xlfn.XLOOKUP(LEFT(GF$7,6),Inflation_Year,Inflation_NominaltoReal),TRUE,_xlfn.XLOOKUP($FY160,Inflation_Year,NominaltoReal)))</f>
        <v>0</v>
      </c>
      <c r="GG160" s="143"/>
      <c r="GH160" s="145" cm="1">
        <f t="array" ref="GH160">SUMPRODUCT(--($CR$7:$FW$7&gt;=GH$5),--($CR$7:$FW$7&lt;=GH$6),$CR160:$FW160)*FZ160</f>
        <v>0</v>
      </c>
      <c r="GI160" s="145" cm="1">
        <f t="array" ref="GI160">SUMPRODUCT(--($CR$7:$FW$7&gt;=GI$5),--($CR$7:$FW$7&lt;=GI$6),$CR160:$FW160)*GA160</f>
        <v>0</v>
      </c>
      <c r="GJ160" s="145" cm="1">
        <f t="array" ref="GJ160">SUMPRODUCT(--($CR$7:$FW$7&gt;=GJ$5),--($CR$7:$FW$7&lt;=GJ$6),$CR160:$FW160)*GB160</f>
        <v>0</v>
      </c>
      <c r="GK160" s="145" cm="1">
        <f t="array" ref="GK160">SUMPRODUCT(--($CR$7:$FW$7&gt;=GK$5),--($CR$7:$FW$7&lt;=GK$6),$CR160:$FW160)*GC160</f>
        <v>0</v>
      </c>
      <c r="GL160" s="145" cm="1">
        <f t="array" ref="GL160">SUMPRODUCT(--($CR$7:$FW$7&gt;=GL$5),--($CR$7:$FW$7&lt;=GL$6),$CR160:$FW160)*GD160</f>
        <v>0</v>
      </c>
      <c r="GM160" s="145" cm="1">
        <f t="array" ref="GM160">SUMPRODUCT(--($CR$7:$FW$7&gt;=GM$5),--($CR$7:$FW$7&lt;=GM$6),$CR160:$FW160)*GE160</f>
        <v>0</v>
      </c>
      <c r="GN160" s="145" cm="1">
        <f t="array" ref="GN160">SUMPRODUCT(--($CR$7:$FW$7&gt;=GN$5),--($CR$7:$FW$7&lt;=GN$6),$CR160:$FW160)*GF160</f>
        <v>0</v>
      </c>
      <c r="GO160" s="145">
        <f t="shared" si="2"/>
        <v>0</v>
      </c>
      <c r="GP160" s="87"/>
      <c r="GR160" s="145" cm="1">
        <f t="array" ref="GR160">SUMPRODUCT(--($CR$7:$FW$7&gt;=GR$5),--($CR$7:$FW$7&lt;=GR$6),$CR160:$FW160)</f>
        <v>0</v>
      </c>
    </row>
    <row r="161" spans="2:200" x14ac:dyDescent="0.2">
      <c r="B161" s="141"/>
      <c r="C161" s="141"/>
      <c r="D161" s="141"/>
      <c r="E161" s="141"/>
      <c r="F161" s="141"/>
      <c r="G161" s="141"/>
      <c r="H161" s="142"/>
      <c r="I161" s="126"/>
      <c r="J161" s="143"/>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3"/>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c r="EE161" s="145"/>
      <c r="EF161" s="145"/>
      <c r="EG161" s="145"/>
      <c r="EH161" s="145"/>
      <c r="EI161" s="145"/>
      <c r="EJ161" s="145"/>
      <c r="EK161" s="145"/>
      <c r="EL161" s="145"/>
      <c r="EM161" s="145"/>
      <c r="EN161" s="145"/>
      <c r="EO161" s="145"/>
      <c r="EP161" s="145"/>
      <c r="EQ161" s="145"/>
      <c r="ER161" s="145"/>
      <c r="ES161" s="145"/>
      <c r="ET161" s="145"/>
      <c r="EU161" s="145"/>
      <c r="EV161" s="145"/>
      <c r="EW161" s="145"/>
      <c r="EX161" s="145"/>
      <c r="EY161" s="145"/>
      <c r="EZ161" s="145"/>
      <c r="FA161" s="145"/>
      <c r="FB161" s="145"/>
      <c r="FC161" s="145"/>
      <c r="FD161" s="145"/>
      <c r="FE161" s="145"/>
      <c r="FF161" s="145"/>
      <c r="FG161" s="145"/>
      <c r="FH161" s="145"/>
      <c r="FI161" s="145"/>
      <c r="FJ161" s="145"/>
      <c r="FK161" s="145"/>
      <c r="FL161" s="145"/>
      <c r="FM161" s="145"/>
      <c r="FN161" s="145"/>
      <c r="FO161" s="145"/>
      <c r="FP161" s="145"/>
      <c r="FQ161" s="145"/>
      <c r="FR161" s="145"/>
      <c r="FS161" s="145"/>
      <c r="FT161" s="145"/>
      <c r="FU161" s="145"/>
      <c r="FV161" s="145"/>
      <c r="FW161" s="145"/>
      <c r="FX161" s="143"/>
      <c r="FY161" s="146">
        <f>_xlfn.XLOOKUP($E161,'Key assumptions'!$B$112:$B$120,'Key assumptions'!$C$112:$C$120,0)</f>
        <v>0</v>
      </c>
      <c r="FZ161" s="146" cm="1">
        <f t="array" ref="FZ161">IF($FY161=0,0,_xlfn.IFS($FY161='Key assumptions'!$C$120,_xlfn.XLOOKUP(LEFT(FZ$7,6),Inflation_Year,Inflation_NominaltoReal),TRUE,_xlfn.XLOOKUP($FY161,Inflation_Year,NominaltoReal)))</f>
        <v>0</v>
      </c>
      <c r="GA161" s="146" cm="1">
        <f t="array" ref="GA161">IF($FY161=0,0,_xlfn.IFS($FY161='Key assumptions'!$C$120,_xlfn.XLOOKUP(LEFT(GA$7,6),Inflation_Year,Inflation_NominaltoReal),TRUE,_xlfn.XLOOKUP($FY161,Inflation_Year,NominaltoReal)))</f>
        <v>0</v>
      </c>
      <c r="GB161" s="146" cm="1">
        <f t="array" ref="GB161">IF($FY161=0,0,_xlfn.IFS($FY161='Key assumptions'!$C$120,_xlfn.XLOOKUP(LEFT(GB$7,6),Inflation_Year,Inflation_NominaltoReal),TRUE,_xlfn.XLOOKUP($FY161,Inflation_Year,NominaltoReal)))</f>
        <v>0</v>
      </c>
      <c r="GC161" s="146" cm="1">
        <f t="array" ref="GC161">IF($FY161=0,0,_xlfn.IFS($FY161='Key assumptions'!$C$120,_xlfn.XLOOKUP(LEFT(GC$7,6),Inflation_Year,Inflation_NominaltoReal),TRUE,_xlfn.XLOOKUP($FY161,Inflation_Year,NominaltoReal)))</f>
        <v>0</v>
      </c>
      <c r="GD161" s="146" cm="1">
        <f t="array" ref="GD161">IF($FY161=0,0,_xlfn.IFS($FY161='Key assumptions'!$C$120,_xlfn.XLOOKUP(LEFT(GD$7,6),Inflation_Year,Inflation_NominaltoReal),TRUE,_xlfn.XLOOKUP($FY161,Inflation_Year,NominaltoReal)))</f>
        <v>0</v>
      </c>
      <c r="GE161" s="146" cm="1">
        <f t="array" ref="GE161">IF($FY161=0,0,_xlfn.IFS($FY161='Key assumptions'!$C$120,_xlfn.XLOOKUP(LEFT(GE$7,6),Inflation_Year,Inflation_NominaltoReal),TRUE,_xlfn.XLOOKUP($FY161,Inflation_Year,NominaltoReal)))</f>
        <v>0</v>
      </c>
      <c r="GF161" s="146" cm="1">
        <f t="array" ref="GF161">IF($FY161=0,0,_xlfn.IFS($FY161='Key assumptions'!$C$120,_xlfn.XLOOKUP(LEFT(GF$7,6),Inflation_Year,Inflation_NominaltoReal),TRUE,_xlfn.XLOOKUP($FY161,Inflation_Year,NominaltoReal)))</f>
        <v>0</v>
      </c>
      <c r="GG161" s="143"/>
      <c r="GH161" s="145" cm="1">
        <f t="array" ref="GH161">SUMPRODUCT(--($CR$7:$FW$7&gt;=GH$5),--($CR$7:$FW$7&lt;=GH$6),$CR161:$FW161)*FZ161</f>
        <v>0</v>
      </c>
      <c r="GI161" s="145" cm="1">
        <f t="array" ref="GI161">SUMPRODUCT(--($CR$7:$FW$7&gt;=GI$5),--($CR$7:$FW$7&lt;=GI$6),$CR161:$FW161)*GA161</f>
        <v>0</v>
      </c>
      <c r="GJ161" s="145" cm="1">
        <f t="array" ref="GJ161">SUMPRODUCT(--($CR$7:$FW$7&gt;=GJ$5),--($CR$7:$FW$7&lt;=GJ$6),$CR161:$FW161)*GB161</f>
        <v>0</v>
      </c>
      <c r="GK161" s="145" cm="1">
        <f t="array" ref="GK161">SUMPRODUCT(--($CR$7:$FW$7&gt;=GK$5),--($CR$7:$FW$7&lt;=GK$6),$CR161:$FW161)*GC161</f>
        <v>0</v>
      </c>
      <c r="GL161" s="145" cm="1">
        <f t="array" ref="GL161">SUMPRODUCT(--($CR$7:$FW$7&gt;=GL$5),--($CR$7:$FW$7&lt;=GL$6),$CR161:$FW161)*GD161</f>
        <v>0</v>
      </c>
      <c r="GM161" s="145" cm="1">
        <f t="array" ref="GM161">SUMPRODUCT(--($CR$7:$FW$7&gt;=GM$5),--($CR$7:$FW$7&lt;=GM$6),$CR161:$FW161)*GE161</f>
        <v>0</v>
      </c>
      <c r="GN161" s="145" cm="1">
        <f t="array" ref="GN161">SUMPRODUCT(--($CR$7:$FW$7&gt;=GN$5),--($CR$7:$FW$7&lt;=GN$6),$CR161:$FW161)*GF161</f>
        <v>0</v>
      </c>
      <c r="GO161" s="145">
        <f t="shared" si="2"/>
        <v>0</v>
      </c>
      <c r="GP161" s="87"/>
      <c r="GR161" s="145" cm="1">
        <f t="array" ref="GR161">SUMPRODUCT(--($CR$7:$FW$7&gt;=GR$5),--($CR$7:$FW$7&lt;=GR$6),$CR161:$FW161)</f>
        <v>0</v>
      </c>
    </row>
    <row r="162" spans="2:200" x14ac:dyDescent="0.2">
      <c r="B162" s="141"/>
      <c r="C162" s="141"/>
      <c r="D162" s="141"/>
      <c r="E162" s="141"/>
      <c r="F162" s="141"/>
      <c r="G162" s="141"/>
      <c r="H162" s="142"/>
      <c r="I162" s="126"/>
      <c r="J162" s="143"/>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3"/>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c r="EE162" s="145"/>
      <c r="EF162" s="145"/>
      <c r="EG162" s="145"/>
      <c r="EH162" s="145"/>
      <c r="EI162" s="145"/>
      <c r="EJ162" s="145"/>
      <c r="EK162" s="145"/>
      <c r="EL162" s="145"/>
      <c r="EM162" s="145"/>
      <c r="EN162" s="145"/>
      <c r="EO162" s="145"/>
      <c r="EP162" s="145"/>
      <c r="EQ162" s="145"/>
      <c r="ER162" s="145"/>
      <c r="ES162" s="145"/>
      <c r="ET162" s="145"/>
      <c r="EU162" s="145"/>
      <c r="EV162" s="145"/>
      <c r="EW162" s="145"/>
      <c r="EX162" s="145"/>
      <c r="EY162" s="145"/>
      <c r="EZ162" s="145"/>
      <c r="FA162" s="145"/>
      <c r="FB162" s="145"/>
      <c r="FC162" s="145"/>
      <c r="FD162" s="145"/>
      <c r="FE162" s="145"/>
      <c r="FF162" s="145"/>
      <c r="FG162" s="145"/>
      <c r="FH162" s="145"/>
      <c r="FI162" s="145"/>
      <c r="FJ162" s="145"/>
      <c r="FK162" s="145"/>
      <c r="FL162" s="145"/>
      <c r="FM162" s="145"/>
      <c r="FN162" s="145"/>
      <c r="FO162" s="145"/>
      <c r="FP162" s="145"/>
      <c r="FQ162" s="145"/>
      <c r="FR162" s="145"/>
      <c r="FS162" s="145"/>
      <c r="FT162" s="145"/>
      <c r="FU162" s="145"/>
      <c r="FV162" s="145"/>
      <c r="FW162" s="145"/>
      <c r="FX162" s="143"/>
      <c r="FY162" s="146">
        <f>_xlfn.XLOOKUP($E162,'Key assumptions'!$B$112:$B$120,'Key assumptions'!$C$112:$C$120,0)</f>
        <v>0</v>
      </c>
      <c r="FZ162" s="146" cm="1">
        <f t="array" ref="FZ162">IF($FY162=0,0,_xlfn.IFS($FY162='Key assumptions'!$C$120,_xlfn.XLOOKUP(LEFT(FZ$7,6),Inflation_Year,Inflation_NominaltoReal),TRUE,_xlfn.XLOOKUP($FY162,Inflation_Year,NominaltoReal)))</f>
        <v>0</v>
      </c>
      <c r="GA162" s="146" cm="1">
        <f t="array" ref="GA162">IF($FY162=0,0,_xlfn.IFS($FY162='Key assumptions'!$C$120,_xlfn.XLOOKUP(LEFT(GA$7,6),Inflation_Year,Inflation_NominaltoReal),TRUE,_xlfn.XLOOKUP($FY162,Inflation_Year,NominaltoReal)))</f>
        <v>0</v>
      </c>
      <c r="GB162" s="146" cm="1">
        <f t="array" ref="GB162">IF($FY162=0,0,_xlfn.IFS($FY162='Key assumptions'!$C$120,_xlfn.XLOOKUP(LEFT(GB$7,6),Inflation_Year,Inflation_NominaltoReal),TRUE,_xlfn.XLOOKUP($FY162,Inflation_Year,NominaltoReal)))</f>
        <v>0</v>
      </c>
      <c r="GC162" s="146" cm="1">
        <f t="array" ref="GC162">IF($FY162=0,0,_xlfn.IFS($FY162='Key assumptions'!$C$120,_xlfn.XLOOKUP(LEFT(GC$7,6),Inflation_Year,Inflation_NominaltoReal),TRUE,_xlfn.XLOOKUP($FY162,Inflation_Year,NominaltoReal)))</f>
        <v>0</v>
      </c>
      <c r="GD162" s="146" cm="1">
        <f t="array" ref="GD162">IF($FY162=0,0,_xlfn.IFS($FY162='Key assumptions'!$C$120,_xlfn.XLOOKUP(LEFT(GD$7,6),Inflation_Year,Inflation_NominaltoReal),TRUE,_xlfn.XLOOKUP($FY162,Inflation_Year,NominaltoReal)))</f>
        <v>0</v>
      </c>
      <c r="GE162" s="146" cm="1">
        <f t="array" ref="GE162">IF($FY162=0,0,_xlfn.IFS($FY162='Key assumptions'!$C$120,_xlfn.XLOOKUP(LEFT(GE$7,6),Inflation_Year,Inflation_NominaltoReal),TRUE,_xlfn.XLOOKUP($FY162,Inflation_Year,NominaltoReal)))</f>
        <v>0</v>
      </c>
      <c r="GF162" s="146" cm="1">
        <f t="array" ref="GF162">IF($FY162=0,0,_xlfn.IFS($FY162='Key assumptions'!$C$120,_xlfn.XLOOKUP(LEFT(GF$7,6),Inflation_Year,Inflation_NominaltoReal),TRUE,_xlfn.XLOOKUP($FY162,Inflation_Year,NominaltoReal)))</f>
        <v>0</v>
      </c>
      <c r="GG162" s="143"/>
      <c r="GH162" s="145" cm="1">
        <f t="array" ref="GH162">SUMPRODUCT(--($CR$7:$FW$7&gt;=GH$5),--($CR$7:$FW$7&lt;=GH$6),$CR162:$FW162)*FZ162</f>
        <v>0</v>
      </c>
      <c r="GI162" s="145" cm="1">
        <f t="array" ref="GI162">SUMPRODUCT(--($CR$7:$FW$7&gt;=GI$5),--($CR$7:$FW$7&lt;=GI$6),$CR162:$FW162)*GA162</f>
        <v>0</v>
      </c>
      <c r="GJ162" s="145" cm="1">
        <f t="array" ref="GJ162">SUMPRODUCT(--($CR$7:$FW$7&gt;=GJ$5),--($CR$7:$FW$7&lt;=GJ$6),$CR162:$FW162)*GB162</f>
        <v>0</v>
      </c>
      <c r="GK162" s="145" cm="1">
        <f t="array" ref="GK162">SUMPRODUCT(--($CR$7:$FW$7&gt;=GK$5),--($CR$7:$FW$7&lt;=GK$6),$CR162:$FW162)*GC162</f>
        <v>0</v>
      </c>
      <c r="GL162" s="145" cm="1">
        <f t="array" ref="GL162">SUMPRODUCT(--($CR$7:$FW$7&gt;=GL$5),--($CR$7:$FW$7&lt;=GL$6),$CR162:$FW162)*GD162</f>
        <v>0</v>
      </c>
      <c r="GM162" s="145" cm="1">
        <f t="array" ref="GM162">SUMPRODUCT(--($CR$7:$FW$7&gt;=GM$5),--($CR$7:$FW$7&lt;=GM$6),$CR162:$FW162)*GE162</f>
        <v>0</v>
      </c>
      <c r="GN162" s="145" cm="1">
        <f t="array" ref="GN162">SUMPRODUCT(--($CR$7:$FW$7&gt;=GN$5),--($CR$7:$FW$7&lt;=GN$6),$CR162:$FW162)*GF162</f>
        <v>0</v>
      </c>
      <c r="GO162" s="145">
        <f t="shared" si="2"/>
        <v>0</v>
      </c>
      <c r="GP162" s="87"/>
      <c r="GR162" s="145" cm="1">
        <f t="array" ref="GR162">SUMPRODUCT(--($CR$7:$FW$7&gt;=GR$5),--($CR$7:$FW$7&lt;=GR$6),$CR162:$FW162)</f>
        <v>0</v>
      </c>
    </row>
    <row r="163" spans="2:200" x14ac:dyDescent="0.2">
      <c r="B163" s="141"/>
      <c r="C163" s="141"/>
      <c r="D163" s="141"/>
      <c r="E163" s="141"/>
      <c r="F163" s="141"/>
      <c r="G163" s="141"/>
      <c r="H163" s="142"/>
      <c r="I163" s="126"/>
      <c r="J163" s="143"/>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3"/>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c r="EE163" s="145"/>
      <c r="EF163" s="145"/>
      <c r="EG163" s="145"/>
      <c r="EH163" s="145"/>
      <c r="EI163" s="145"/>
      <c r="EJ163" s="145"/>
      <c r="EK163" s="145"/>
      <c r="EL163" s="145"/>
      <c r="EM163" s="145"/>
      <c r="EN163" s="145"/>
      <c r="EO163" s="145"/>
      <c r="EP163" s="145"/>
      <c r="EQ163" s="145"/>
      <c r="ER163" s="145"/>
      <c r="ES163" s="145"/>
      <c r="ET163" s="145"/>
      <c r="EU163" s="145"/>
      <c r="EV163" s="145"/>
      <c r="EW163" s="145"/>
      <c r="EX163" s="145"/>
      <c r="EY163" s="145"/>
      <c r="EZ163" s="145"/>
      <c r="FA163" s="145"/>
      <c r="FB163" s="145"/>
      <c r="FC163" s="145"/>
      <c r="FD163" s="145"/>
      <c r="FE163" s="145"/>
      <c r="FF163" s="145"/>
      <c r="FG163" s="145"/>
      <c r="FH163" s="145"/>
      <c r="FI163" s="145"/>
      <c r="FJ163" s="145"/>
      <c r="FK163" s="145"/>
      <c r="FL163" s="145"/>
      <c r="FM163" s="145"/>
      <c r="FN163" s="145"/>
      <c r="FO163" s="145"/>
      <c r="FP163" s="145"/>
      <c r="FQ163" s="145"/>
      <c r="FR163" s="145"/>
      <c r="FS163" s="145"/>
      <c r="FT163" s="145"/>
      <c r="FU163" s="145"/>
      <c r="FV163" s="145"/>
      <c r="FW163" s="145"/>
      <c r="FX163" s="143"/>
      <c r="FY163" s="146">
        <f>_xlfn.XLOOKUP($E163,'Key assumptions'!$B$112:$B$120,'Key assumptions'!$C$112:$C$120,0)</f>
        <v>0</v>
      </c>
      <c r="FZ163" s="146" cm="1">
        <f t="array" ref="FZ163">IF($FY163=0,0,_xlfn.IFS($FY163='Key assumptions'!$C$120,_xlfn.XLOOKUP(LEFT(FZ$7,6),Inflation_Year,Inflation_NominaltoReal),TRUE,_xlfn.XLOOKUP($FY163,Inflation_Year,NominaltoReal)))</f>
        <v>0</v>
      </c>
      <c r="GA163" s="146" cm="1">
        <f t="array" ref="GA163">IF($FY163=0,0,_xlfn.IFS($FY163='Key assumptions'!$C$120,_xlfn.XLOOKUP(LEFT(GA$7,6),Inflation_Year,Inflation_NominaltoReal),TRUE,_xlfn.XLOOKUP($FY163,Inflation_Year,NominaltoReal)))</f>
        <v>0</v>
      </c>
      <c r="GB163" s="146" cm="1">
        <f t="array" ref="GB163">IF($FY163=0,0,_xlfn.IFS($FY163='Key assumptions'!$C$120,_xlfn.XLOOKUP(LEFT(GB$7,6),Inflation_Year,Inflation_NominaltoReal),TRUE,_xlfn.XLOOKUP($FY163,Inflation_Year,NominaltoReal)))</f>
        <v>0</v>
      </c>
      <c r="GC163" s="146" cm="1">
        <f t="array" ref="GC163">IF($FY163=0,0,_xlfn.IFS($FY163='Key assumptions'!$C$120,_xlfn.XLOOKUP(LEFT(GC$7,6),Inflation_Year,Inflation_NominaltoReal),TRUE,_xlfn.XLOOKUP($FY163,Inflation_Year,NominaltoReal)))</f>
        <v>0</v>
      </c>
      <c r="GD163" s="146" cm="1">
        <f t="array" ref="GD163">IF($FY163=0,0,_xlfn.IFS($FY163='Key assumptions'!$C$120,_xlfn.XLOOKUP(LEFT(GD$7,6),Inflation_Year,Inflation_NominaltoReal),TRUE,_xlfn.XLOOKUP($FY163,Inflation_Year,NominaltoReal)))</f>
        <v>0</v>
      </c>
      <c r="GE163" s="146" cm="1">
        <f t="array" ref="GE163">IF($FY163=0,0,_xlfn.IFS($FY163='Key assumptions'!$C$120,_xlfn.XLOOKUP(LEFT(GE$7,6),Inflation_Year,Inflation_NominaltoReal),TRUE,_xlfn.XLOOKUP($FY163,Inflation_Year,NominaltoReal)))</f>
        <v>0</v>
      </c>
      <c r="GF163" s="146" cm="1">
        <f t="array" ref="GF163">IF($FY163=0,0,_xlfn.IFS($FY163='Key assumptions'!$C$120,_xlfn.XLOOKUP(LEFT(GF$7,6),Inflation_Year,Inflation_NominaltoReal),TRUE,_xlfn.XLOOKUP($FY163,Inflation_Year,NominaltoReal)))</f>
        <v>0</v>
      </c>
      <c r="GG163" s="143"/>
      <c r="GH163" s="145" cm="1">
        <f t="array" ref="GH163">SUMPRODUCT(--($CR$7:$FW$7&gt;=GH$5),--($CR$7:$FW$7&lt;=GH$6),$CR163:$FW163)*FZ163</f>
        <v>0</v>
      </c>
      <c r="GI163" s="145" cm="1">
        <f t="array" ref="GI163">SUMPRODUCT(--($CR$7:$FW$7&gt;=GI$5),--($CR$7:$FW$7&lt;=GI$6),$CR163:$FW163)*GA163</f>
        <v>0</v>
      </c>
      <c r="GJ163" s="145" cm="1">
        <f t="array" ref="GJ163">SUMPRODUCT(--($CR$7:$FW$7&gt;=GJ$5),--($CR$7:$FW$7&lt;=GJ$6),$CR163:$FW163)*GB163</f>
        <v>0</v>
      </c>
      <c r="GK163" s="145" cm="1">
        <f t="array" ref="GK163">SUMPRODUCT(--($CR$7:$FW$7&gt;=GK$5),--($CR$7:$FW$7&lt;=GK$6),$CR163:$FW163)*GC163</f>
        <v>0</v>
      </c>
      <c r="GL163" s="145" cm="1">
        <f t="array" ref="GL163">SUMPRODUCT(--($CR$7:$FW$7&gt;=GL$5),--($CR$7:$FW$7&lt;=GL$6),$CR163:$FW163)*GD163</f>
        <v>0</v>
      </c>
      <c r="GM163" s="145" cm="1">
        <f t="array" ref="GM163">SUMPRODUCT(--($CR$7:$FW$7&gt;=GM$5),--($CR$7:$FW$7&lt;=GM$6),$CR163:$FW163)*GE163</f>
        <v>0</v>
      </c>
      <c r="GN163" s="145" cm="1">
        <f t="array" ref="GN163">SUMPRODUCT(--($CR$7:$FW$7&gt;=GN$5),--($CR$7:$FW$7&lt;=GN$6),$CR163:$FW163)*GF163</f>
        <v>0</v>
      </c>
      <c r="GO163" s="145">
        <f t="shared" si="2"/>
        <v>0</v>
      </c>
      <c r="GP163" s="87"/>
      <c r="GR163" s="145" cm="1">
        <f t="array" ref="GR163">SUMPRODUCT(--($CR$7:$FW$7&gt;=GR$5),--($CR$7:$FW$7&lt;=GR$6),$CR163:$FW163)</f>
        <v>0</v>
      </c>
    </row>
    <row r="164" spans="2:200" x14ac:dyDescent="0.2">
      <c r="B164" s="141"/>
      <c r="C164" s="141"/>
      <c r="D164" s="141"/>
      <c r="E164" s="141"/>
      <c r="F164" s="141"/>
      <c r="G164" s="141"/>
      <c r="H164" s="142"/>
      <c r="I164" s="126"/>
      <c r="J164" s="143"/>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3"/>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c r="EE164" s="145"/>
      <c r="EF164" s="145"/>
      <c r="EG164" s="145"/>
      <c r="EH164" s="145"/>
      <c r="EI164" s="145"/>
      <c r="EJ164" s="145"/>
      <c r="EK164" s="145"/>
      <c r="EL164" s="145"/>
      <c r="EM164" s="145"/>
      <c r="EN164" s="145"/>
      <c r="EO164" s="145"/>
      <c r="EP164" s="145"/>
      <c r="EQ164" s="145"/>
      <c r="ER164" s="145"/>
      <c r="ES164" s="145"/>
      <c r="ET164" s="145"/>
      <c r="EU164" s="145"/>
      <c r="EV164" s="145"/>
      <c r="EW164" s="145"/>
      <c r="EX164" s="145"/>
      <c r="EY164" s="145"/>
      <c r="EZ164" s="145"/>
      <c r="FA164" s="145"/>
      <c r="FB164" s="145"/>
      <c r="FC164" s="145"/>
      <c r="FD164" s="145"/>
      <c r="FE164" s="145"/>
      <c r="FF164" s="145"/>
      <c r="FG164" s="145"/>
      <c r="FH164" s="145"/>
      <c r="FI164" s="145"/>
      <c r="FJ164" s="145"/>
      <c r="FK164" s="145"/>
      <c r="FL164" s="145"/>
      <c r="FM164" s="145"/>
      <c r="FN164" s="145"/>
      <c r="FO164" s="145"/>
      <c r="FP164" s="145"/>
      <c r="FQ164" s="145"/>
      <c r="FR164" s="145"/>
      <c r="FS164" s="145"/>
      <c r="FT164" s="145"/>
      <c r="FU164" s="145"/>
      <c r="FV164" s="145"/>
      <c r="FW164" s="145"/>
      <c r="FX164" s="143"/>
      <c r="FY164" s="146">
        <f>_xlfn.XLOOKUP($E164,'Key assumptions'!$B$112:$B$120,'Key assumptions'!$C$112:$C$120,0)</f>
        <v>0</v>
      </c>
      <c r="FZ164" s="146" cm="1">
        <f t="array" ref="FZ164">IF($FY164=0,0,_xlfn.IFS($FY164='Key assumptions'!$C$120,_xlfn.XLOOKUP(LEFT(FZ$7,6),Inflation_Year,Inflation_NominaltoReal),TRUE,_xlfn.XLOOKUP($FY164,Inflation_Year,NominaltoReal)))</f>
        <v>0</v>
      </c>
      <c r="GA164" s="146" cm="1">
        <f t="array" ref="GA164">IF($FY164=0,0,_xlfn.IFS($FY164='Key assumptions'!$C$120,_xlfn.XLOOKUP(LEFT(GA$7,6),Inflation_Year,Inflation_NominaltoReal),TRUE,_xlfn.XLOOKUP($FY164,Inflation_Year,NominaltoReal)))</f>
        <v>0</v>
      </c>
      <c r="GB164" s="146" cm="1">
        <f t="array" ref="GB164">IF($FY164=0,0,_xlfn.IFS($FY164='Key assumptions'!$C$120,_xlfn.XLOOKUP(LEFT(GB$7,6),Inflation_Year,Inflation_NominaltoReal),TRUE,_xlfn.XLOOKUP($FY164,Inflation_Year,NominaltoReal)))</f>
        <v>0</v>
      </c>
      <c r="GC164" s="146" cm="1">
        <f t="array" ref="GC164">IF($FY164=0,0,_xlfn.IFS($FY164='Key assumptions'!$C$120,_xlfn.XLOOKUP(LEFT(GC$7,6),Inflation_Year,Inflation_NominaltoReal),TRUE,_xlfn.XLOOKUP($FY164,Inflation_Year,NominaltoReal)))</f>
        <v>0</v>
      </c>
      <c r="GD164" s="146" cm="1">
        <f t="array" ref="GD164">IF($FY164=0,0,_xlfn.IFS($FY164='Key assumptions'!$C$120,_xlfn.XLOOKUP(LEFT(GD$7,6),Inflation_Year,Inflation_NominaltoReal),TRUE,_xlfn.XLOOKUP($FY164,Inflation_Year,NominaltoReal)))</f>
        <v>0</v>
      </c>
      <c r="GE164" s="146" cm="1">
        <f t="array" ref="GE164">IF($FY164=0,0,_xlfn.IFS($FY164='Key assumptions'!$C$120,_xlfn.XLOOKUP(LEFT(GE$7,6),Inflation_Year,Inflation_NominaltoReal),TRUE,_xlfn.XLOOKUP($FY164,Inflation_Year,NominaltoReal)))</f>
        <v>0</v>
      </c>
      <c r="GF164" s="146" cm="1">
        <f t="array" ref="GF164">IF($FY164=0,0,_xlfn.IFS($FY164='Key assumptions'!$C$120,_xlfn.XLOOKUP(LEFT(GF$7,6),Inflation_Year,Inflation_NominaltoReal),TRUE,_xlfn.XLOOKUP($FY164,Inflation_Year,NominaltoReal)))</f>
        <v>0</v>
      </c>
      <c r="GG164" s="143"/>
      <c r="GH164" s="145" cm="1">
        <f t="array" ref="GH164">SUMPRODUCT(--($CR$7:$FW$7&gt;=GH$5),--($CR$7:$FW$7&lt;=GH$6),$CR164:$FW164)*FZ164</f>
        <v>0</v>
      </c>
      <c r="GI164" s="145" cm="1">
        <f t="array" ref="GI164">SUMPRODUCT(--($CR$7:$FW$7&gt;=GI$5),--($CR$7:$FW$7&lt;=GI$6),$CR164:$FW164)*GA164</f>
        <v>0</v>
      </c>
      <c r="GJ164" s="145" cm="1">
        <f t="array" ref="GJ164">SUMPRODUCT(--($CR$7:$FW$7&gt;=GJ$5),--($CR$7:$FW$7&lt;=GJ$6),$CR164:$FW164)*GB164</f>
        <v>0</v>
      </c>
      <c r="GK164" s="145" cm="1">
        <f t="array" ref="GK164">SUMPRODUCT(--($CR$7:$FW$7&gt;=GK$5),--($CR$7:$FW$7&lt;=GK$6),$CR164:$FW164)*GC164</f>
        <v>0</v>
      </c>
      <c r="GL164" s="145" cm="1">
        <f t="array" ref="GL164">SUMPRODUCT(--($CR$7:$FW$7&gt;=GL$5),--($CR$7:$FW$7&lt;=GL$6),$CR164:$FW164)*GD164</f>
        <v>0</v>
      </c>
      <c r="GM164" s="145" cm="1">
        <f t="array" ref="GM164">SUMPRODUCT(--($CR$7:$FW$7&gt;=GM$5),--($CR$7:$FW$7&lt;=GM$6),$CR164:$FW164)*GE164</f>
        <v>0</v>
      </c>
      <c r="GN164" s="145" cm="1">
        <f t="array" ref="GN164">SUMPRODUCT(--($CR$7:$FW$7&gt;=GN$5),--($CR$7:$FW$7&lt;=GN$6),$CR164:$FW164)*GF164</f>
        <v>0</v>
      </c>
      <c r="GO164" s="145">
        <f t="shared" si="2"/>
        <v>0</v>
      </c>
      <c r="GP164" s="87"/>
      <c r="GR164" s="145" cm="1">
        <f t="array" ref="GR164">SUMPRODUCT(--($CR$7:$FW$7&gt;=GR$5),--($CR$7:$FW$7&lt;=GR$6),$CR164:$FW164)</f>
        <v>0</v>
      </c>
    </row>
    <row r="165" spans="2:200" x14ac:dyDescent="0.2">
      <c r="B165" s="141"/>
      <c r="C165" s="141"/>
      <c r="D165" s="141"/>
      <c r="E165" s="141"/>
      <c r="F165" s="141"/>
      <c r="G165" s="141"/>
      <c r="H165" s="142"/>
      <c r="I165" s="126"/>
      <c r="J165" s="143"/>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3"/>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c r="EE165" s="145"/>
      <c r="EF165" s="145"/>
      <c r="EG165" s="145"/>
      <c r="EH165" s="145"/>
      <c r="EI165" s="145"/>
      <c r="EJ165" s="145"/>
      <c r="EK165" s="145"/>
      <c r="EL165" s="145"/>
      <c r="EM165" s="145"/>
      <c r="EN165" s="145"/>
      <c r="EO165" s="145"/>
      <c r="EP165" s="145"/>
      <c r="EQ165" s="145"/>
      <c r="ER165" s="145"/>
      <c r="ES165" s="145"/>
      <c r="ET165" s="145"/>
      <c r="EU165" s="145"/>
      <c r="EV165" s="145"/>
      <c r="EW165" s="145"/>
      <c r="EX165" s="145"/>
      <c r="EY165" s="145"/>
      <c r="EZ165" s="145"/>
      <c r="FA165" s="145"/>
      <c r="FB165" s="145"/>
      <c r="FC165" s="145"/>
      <c r="FD165" s="145"/>
      <c r="FE165" s="145"/>
      <c r="FF165" s="145"/>
      <c r="FG165" s="145"/>
      <c r="FH165" s="145"/>
      <c r="FI165" s="145"/>
      <c r="FJ165" s="145"/>
      <c r="FK165" s="145"/>
      <c r="FL165" s="145"/>
      <c r="FM165" s="145"/>
      <c r="FN165" s="145"/>
      <c r="FO165" s="145"/>
      <c r="FP165" s="145"/>
      <c r="FQ165" s="145"/>
      <c r="FR165" s="145"/>
      <c r="FS165" s="145"/>
      <c r="FT165" s="145"/>
      <c r="FU165" s="145"/>
      <c r="FV165" s="145"/>
      <c r="FW165" s="145"/>
      <c r="FX165" s="143"/>
      <c r="FY165" s="146">
        <f>_xlfn.XLOOKUP($E165,'Key assumptions'!$B$112:$B$120,'Key assumptions'!$C$112:$C$120,0)</f>
        <v>0</v>
      </c>
      <c r="FZ165" s="146" cm="1">
        <f t="array" ref="FZ165">IF($FY165=0,0,_xlfn.IFS($FY165='Key assumptions'!$C$120,_xlfn.XLOOKUP(LEFT(FZ$7,6),Inflation_Year,Inflation_NominaltoReal),TRUE,_xlfn.XLOOKUP($FY165,Inflation_Year,NominaltoReal)))</f>
        <v>0</v>
      </c>
      <c r="GA165" s="146" cm="1">
        <f t="array" ref="GA165">IF($FY165=0,0,_xlfn.IFS($FY165='Key assumptions'!$C$120,_xlfn.XLOOKUP(LEFT(GA$7,6),Inflation_Year,Inflation_NominaltoReal),TRUE,_xlfn.XLOOKUP($FY165,Inflation_Year,NominaltoReal)))</f>
        <v>0</v>
      </c>
      <c r="GB165" s="146" cm="1">
        <f t="array" ref="GB165">IF($FY165=0,0,_xlfn.IFS($FY165='Key assumptions'!$C$120,_xlfn.XLOOKUP(LEFT(GB$7,6),Inflation_Year,Inflation_NominaltoReal),TRUE,_xlfn.XLOOKUP($FY165,Inflation_Year,NominaltoReal)))</f>
        <v>0</v>
      </c>
      <c r="GC165" s="146" cm="1">
        <f t="array" ref="GC165">IF($FY165=0,0,_xlfn.IFS($FY165='Key assumptions'!$C$120,_xlfn.XLOOKUP(LEFT(GC$7,6),Inflation_Year,Inflation_NominaltoReal),TRUE,_xlfn.XLOOKUP($FY165,Inflation_Year,NominaltoReal)))</f>
        <v>0</v>
      </c>
      <c r="GD165" s="146" cm="1">
        <f t="array" ref="GD165">IF($FY165=0,0,_xlfn.IFS($FY165='Key assumptions'!$C$120,_xlfn.XLOOKUP(LEFT(GD$7,6),Inflation_Year,Inflation_NominaltoReal),TRUE,_xlfn.XLOOKUP($FY165,Inflation_Year,NominaltoReal)))</f>
        <v>0</v>
      </c>
      <c r="GE165" s="146" cm="1">
        <f t="array" ref="GE165">IF($FY165=0,0,_xlfn.IFS($FY165='Key assumptions'!$C$120,_xlfn.XLOOKUP(LEFT(GE$7,6),Inflation_Year,Inflation_NominaltoReal),TRUE,_xlfn.XLOOKUP($FY165,Inflation_Year,NominaltoReal)))</f>
        <v>0</v>
      </c>
      <c r="GF165" s="146" cm="1">
        <f t="array" ref="GF165">IF($FY165=0,0,_xlfn.IFS($FY165='Key assumptions'!$C$120,_xlfn.XLOOKUP(LEFT(GF$7,6),Inflation_Year,Inflation_NominaltoReal),TRUE,_xlfn.XLOOKUP($FY165,Inflation_Year,NominaltoReal)))</f>
        <v>0</v>
      </c>
      <c r="GG165" s="143"/>
      <c r="GH165" s="145" cm="1">
        <f t="array" ref="GH165">SUMPRODUCT(--($CR$7:$FW$7&gt;=GH$5),--($CR$7:$FW$7&lt;=GH$6),$CR165:$FW165)*FZ165</f>
        <v>0</v>
      </c>
      <c r="GI165" s="145" cm="1">
        <f t="array" ref="GI165">SUMPRODUCT(--($CR$7:$FW$7&gt;=GI$5),--($CR$7:$FW$7&lt;=GI$6),$CR165:$FW165)*GA165</f>
        <v>0</v>
      </c>
      <c r="GJ165" s="145" cm="1">
        <f t="array" ref="GJ165">SUMPRODUCT(--($CR$7:$FW$7&gt;=GJ$5),--($CR$7:$FW$7&lt;=GJ$6),$CR165:$FW165)*GB165</f>
        <v>0</v>
      </c>
      <c r="GK165" s="145" cm="1">
        <f t="array" ref="GK165">SUMPRODUCT(--($CR$7:$FW$7&gt;=GK$5),--($CR$7:$FW$7&lt;=GK$6),$CR165:$FW165)*GC165</f>
        <v>0</v>
      </c>
      <c r="GL165" s="145" cm="1">
        <f t="array" ref="GL165">SUMPRODUCT(--($CR$7:$FW$7&gt;=GL$5),--($CR$7:$FW$7&lt;=GL$6),$CR165:$FW165)*GD165</f>
        <v>0</v>
      </c>
      <c r="GM165" s="145" cm="1">
        <f t="array" ref="GM165">SUMPRODUCT(--($CR$7:$FW$7&gt;=GM$5),--($CR$7:$FW$7&lt;=GM$6),$CR165:$FW165)*GE165</f>
        <v>0</v>
      </c>
      <c r="GN165" s="145" cm="1">
        <f t="array" ref="GN165">SUMPRODUCT(--($CR$7:$FW$7&gt;=GN$5),--($CR$7:$FW$7&lt;=GN$6),$CR165:$FW165)*GF165</f>
        <v>0</v>
      </c>
      <c r="GO165" s="145">
        <f t="shared" si="2"/>
        <v>0</v>
      </c>
      <c r="GP165" s="87"/>
      <c r="GR165" s="145" cm="1">
        <f t="array" ref="GR165">SUMPRODUCT(--($CR$7:$FW$7&gt;=GR$5),--($CR$7:$FW$7&lt;=GR$6),$CR165:$FW165)</f>
        <v>0</v>
      </c>
    </row>
    <row r="166" spans="2:200" x14ac:dyDescent="0.2">
      <c r="B166" s="141"/>
      <c r="C166" s="141"/>
      <c r="D166" s="141"/>
      <c r="E166" s="141"/>
      <c r="F166" s="141"/>
      <c r="G166" s="141"/>
      <c r="H166" s="142"/>
      <c r="I166" s="126"/>
      <c r="J166" s="143"/>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3"/>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c r="EE166" s="145"/>
      <c r="EF166" s="145"/>
      <c r="EG166" s="145"/>
      <c r="EH166" s="145"/>
      <c r="EI166" s="145"/>
      <c r="EJ166" s="145"/>
      <c r="EK166" s="145"/>
      <c r="EL166" s="145"/>
      <c r="EM166" s="145"/>
      <c r="EN166" s="145"/>
      <c r="EO166" s="145"/>
      <c r="EP166" s="145"/>
      <c r="EQ166" s="145"/>
      <c r="ER166" s="145"/>
      <c r="ES166" s="145"/>
      <c r="ET166" s="145"/>
      <c r="EU166" s="145"/>
      <c r="EV166" s="145"/>
      <c r="EW166" s="145"/>
      <c r="EX166" s="145"/>
      <c r="EY166" s="145"/>
      <c r="EZ166" s="145"/>
      <c r="FA166" s="145"/>
      <c r="FB166" s="145"/>
      <c r="FC166" s="145"/>
      <c r="FD166" s="145"/>
      <c r="FE166" s="145"/>
      <c r="FF166" s="145"/>
      <c r="FG166" s="145"/>
      <c r="FH166" s="145"/>
      <c r="FI166" s="145"/>
      <c r="FJ166" s="145"/>
      <c r="FK166" s="145"/>
      <c r="FL166" s="145"/>
      <c r="FM166" s="145"/>
      <c r="FN166" s="145"/>
      <c r="FO166" s="145"/>
      <c r="FP166" s="145"/>
      <c r="FQ166" s="145"/>
      <c r="FR166" s="145"/>
      <c r="FS166" s="145"/>
      <c r="FT166" s="145"/>
      <c r="FU166" s="145"/>
      <c r="FV166" s="145"/>
      <c r="FW166" s="145"/>
      <c r="FX166" s="143"/>
      <c r="FY166" s="146">
        <f>_xlfn.XLOOKUP($E166,'Key assumptions'!$B$112:$B$120,'Key assumptions'!$C$112:$C$120,0)</f>
        <v>0</v>
      </c>
      <c r="FZ166" s="146" cm="1">
        <f t="array" ref="FZ166">IF($FY166=0,0,_xlfn.IFS($FY166='Key assumptions'!$C$120,_xlfn.XLOOKUP(LEFT(FZ$7,6),Inflation_Year,Inflation_NominaltoReal),TRUE,_xlfn.XLOOKUP($FY166,Inflation_Year,NominaltoReal)))</f>
        <v>0</v>
      </c>
      <c r="GA166" s="146" cm="1">
        <f t="array" ref="GA166">IF($FY166=0,0,_xlfn.IFS($FY166='Key assumptions'!$C$120,_xlfn.XLOOKUP(LEFT(GA$7,6),Inflation_Year,Inflation_NominaltoReal),TRUE,_xlfn.XLOOKUP($FY166,Inflation_Year,NominaltoReal)))</f>
        <v>0</v>
      </c>
      <c r="GB166" s="146" cm="1">
        <f t="array" ref="GB166">IF($FY166=0,0,_xlfn.IFS($FY166='Key assumptions'!$C$120,_xlfn.XLOOKUP(LEFT(GB$7,6),Inflation_Year,Inflation_NominaltoReal),TRUE,_xlfn.XLOOKUP($FY166,Inflation_Year,NominaltoReal)))</f>
        <v>0</v>
      </c>
      <c r="GC166" s="146" cm="1">
        <f t="array" ref="GC166">IF($FY166=0,0,_xlfn.IFS($FY166='Key assumptions'!$C$120,_xlfn.XLOOKUP(LEFT(GC$7,6),Inflation_Year,Inflation_NominaltoReal),TRUE,_xlfn.XLOOKUP($FY166,Inflation_Year,NominaltoReal)))</f>
        <v>0</v>
      </c>
      <c r="GD166" s="146" cm="1">
        <f t="array" ref="GD166">IF($FY166=0,0,_xlfn.IFS($FY166='Key assumptions'!$C$120,_xlfn.XLOOKUP(LEFT(GD$7,6),Inflation_Year,Inflation_NominaltoReal),TRUE,_xlfn.XLOOKUP($FY166,Inflation_Year,NominaltoReal)))</f>
        <v>0</v>
      </c>
      <c r="GE166" s="146" cm="1">
        <f t="array" ref="GE166">IF($FY166=0,0,_xlfn.IFS($FY166='Key assumptions'!$C$120,_xlfn.XLOOKUP(LEFT(GE$7,6),Inflation_Year,Inflation_NominaltoReal),TRUE,_xlfn.XLOOKUP($FY166,Inflation_Year,NominaltoReal)))</f>
        <v>0</v>
      </c>
      <c r="GF166" s="146" cm="1">
        <f t="array" ref="GF166">IF($FY166=0,0,_xlfn.IFS($FY166='Key assumptions'!$C$120,_xlfn.XLOOKUP(LEFT(GF$7,6),Inflation_Year,Inflation_NominaltoReal),TRUE,_xlfn.XLOOKUP($FY166,Inflation_Year,NominaltoReal)))</f>
        <v>0</v>
      </c>
      <c r="GG166" s="143"/>
      <c r="GH166" s="145" cm="1">
        <f t="array" ref="GH166">SUMPRODUCT(--($CR$7:$FW$7&gt;=GH$5),--($CR$7:$FW$7&lt;=GH$6),$CR166:$FW166)*FZ166</f>
        <v>0</v>
      </c>
      <c r="GI166" s="145" cm="1">
        <f t="array" ref="GI166">SUMPRODUCT(--($CR$7:$FW$7&gt;=GI$5),--($CR$7:$FW$7&lt;=GI$6),$CR166:$FW166)*GA166</f>
        <v>0</v>
      </c>
      <c r="GJ166" s="145" cm="1">
        <f t="array" ref="GJ166">SUMPRODUCT(--($CR$7:$FW$7&gt;=GJ$5),--($CR$7:$FW$7&lt;=GJ$6),$CR166:$FW166)*GB166</f>
        <v>0</v>
      </c>
      <c r="GK166" s="145" cm="1">
        <f t="array" ref="GK166">SUMPRODUCT(--($CR$7:$FW$7&gt;=GK$5),--($CR$7:$FW$7&lt;=GK$6),$CR166:$FW166)*GC166</f>
        <v>0</v>
      </c>
      <c r="GL166" s="145" cm="1">
        <f t="array" ref="GL166">SUMPRODUCT(--($CR$7:$FW$7&gt;=GL$5),--($CR$7:$FW$7&lt;=GL$6),$CR166:$FW166)*GD166</f>
        <v>0</v>
      </c>
      <c r="GM166" s="145" cm="1">
        <f t="array" ref="GM166">SUMPRODUCT(--($CR$7:$FW$7&gt;=GM$5),--($CR$7:$FW$7&lt;=GM$6),$CR166:$FW166)*GE166</f>
        <v>0</v>
      </c>
      <c r="GN166" s="145" cm="1">
        <f t="array" ref="GN166">SUMPRODUCT(--($CR$7:$FW$7&gt;=GN$5),--($CR$7:$FW$7&lt;=GN$6),$CR166:$FW166)*GF166</f>
        <v>0</v>
      </c>
      <c r="GO166" s="145">
        <f t="shared" si="2"/>
        <v>0</v>
      </c>
      <c r="GP166" s="87"/>
      <c r="GR166" s="145" cm="1">
        <f t="array" ref="GR166">SUMPRODUCT(--($CR$7:$FW$7&gt;=GR$5),--($CR$7:$FW$7&lt;=GR$6),$CR166:$FW166)</f>
        <v>0</v>
      </c>
    </row>
    <row r="167" spans="2:200" x14ac:dyDescent="0.2">
      <c r="B167" s="141"/>
      <c r="C167" s="141"/>
      <c r="D167" s="141"/>
      <c r="E167" s="141"/>
      <c r="F167" s="141"/>
      <c r="G167" s="141"/>
      <c r="H167" s="142"/>
      <c r="I167" s="126"/>
      <c r="J167" s="143"/>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3"/>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145"/>
      <c r="EH167" s="145"/>
      <c r="EI167" s="145"/>
      <c r="EJ167" s="145"/>
      <c r="EK167" s="145"/>
      <c r="EL167" s="145"/>
      <c r="EM167" s="145"/>
      <c r="EN167" s="145"/>
      <c r="EO167" s="145"/>
      <c r="EP167" s="145"/>
      <c r="EQ167" s="145"/>
      <c r="ER167" s="145"/>
      <c r="ES167" s="145"/>
      <c r="ET167" s="145"/>
      <c r="EU167" s="145"/>
      <c r="EV167" s="145"/>
      <c r="EW167" s="145"/>
      <c r="EX167" s="145"/>
      <c r="EY167" s="145"/>
      <c r="EZ167" s="145"/>
      <c r="FA167" s="145"/>
      <c r="FB167" s="145"/>
      <c r="FC167" s="145"/>
      <c r="FD167" s="145"/>
      <c r="FE167" s="145"/>
      <c r="FF167" s="145"/>
      <c r="FG167" s="145"/>
      <c r="FH167" s="145"/>
      <c r="FI167" s="145"/>
      <c r="FJ167" s="145"/>
      <c r="FK167" s="145"/>
      <c r="FL167" s="145"/>
      <c r="FM167" s="145"/>
      <c r="FN167" s="145"/>
      <c r="FO167" s="145"/>
      <c r="FP167" s="145"/>
      <c r="FQ167" s="145"/>
      <c r="FR167" s="145"/>
      <c r="FS167" s="145"/>
      <c r="FT167" s="145"/>
      <c r="FU167" s="145"/>
      <c r="FV167" s="145"/>
      <c r="FW167" s="145"/>
      <c r="FX167" s="143"/>
      <c r="FY167" s="146">
        <f>_xlfn.XLOOKUP($E167,'Key assumptions'!$B$112:$B$120,'Key assumptions'!$C$112:$C$120,0)</f>
        <v>0</v>
      </c>
      <c r="FZ167" s="146" cm="1">
        <f t="array" ref="FZ167">IF($FY167=0,0,_xlfn.IFS($FY167='Key assumptions'!$C$120,_xlfn.XLOOKUP(LEFT(FZ$7,6),Inflation_Year,Inflation_NominaltoReal),TRUE,_xlfn.XLOOKUP($FY167,Inflation_Year,NominaltoReal)))</f>
        <v>0</v>
      </c>
      <c r="GA167" s="146" cm="1">
        <f t="array" ref="GA167">IF($FY167=0,0,_xlfn.IFS($FY167='Key assumptions'!$C$120,_xlfn.XLOOKUP(LEFT(GA$7,6),Inflation_Year,Inflation_NominaltoReal),TRUE,_xlfn.XLOOKUP($FY167,Inflation_Year,NominaltoReal)))</f>
        <v>0</v>
      </c>
      <c r="GB167" s="146" cm="1">
        <f t="array" ref="GB167">IF($FY167=0,0,_xlfn.IFS($FY167='Key assumptions'!$C$120,_xlfn.XLOOKUP(LEFT(GB$7,6),Inflation_Year,Inflation_NominaltoReal),TRUE,_xlfn.XLOOKUP($FY167,Inflation_Year,NominaltoReal)))</f>
        <v>0</v>
      </c>
      <c r="GC167" s="146" cm="1">
        <f t="array" ref="GC167">IF($FY167=0,0,_xlfn.IFS($FY167='Key assumptions'!$C$120,_xlfn.XLOOKUP(LEFT(GC$7,6),Inflation_Year,Inflation_NominaltoReal),TRUE,_xlfn.XLOOKUP($FY167,Inflation_Year,NominaltoReal)))</f>
        <v>0</v>
      </c>
      <c r="GD167" s="146" cm="1">
        <f t="array" ref="GD167">IF($FY167=0,0,_xlfn.IFS($FY167='Key assumptions'!$C$120,_xlfn.XLOOKUP(LEFT(GD$7,6),Inflation_Year,Inflation_NominaltoReal),TRUE,_xlfn.XLOOKUP($FY167,Inflation_Year,NominaltoReal)))</f>
        <v>0</v>
      </c>
      <c r="GE167" s="146" cm="1">
        <f t="array" ref="GE167">IF($FY167=0,0,_xlfn.IFS($FY167='Key assumptions'!$C$120,_xlfn.XLOOKUP(LEFT(GE$7,6),Inflation_Year,Inflation_NominaltoReal),TRUE,_xlfn.XLOOKUP($FY167,Inflation_Year,NominaltoReal)))</f>
        <v>0</v>
      </c>
      <c r="GF167" s="146" cm="1">
        <f t="array" ref="GF167">IF($FY167=0,0,_xlfn.IFS($FY167='Key assumptions'!$C$120,_xlfn.XLOOKUP(LEFT(GF$7,6),Inflation_Year,Inflation_NominaltoReal),TRUE,_xlfn.XLOOKUP($FY167,Inflation_Year,NominaltoReal)))</f>
        <v>0</v>
      </c>
      <c r="GG167" s="143"/>
      <c r="GH167" s="145" cm="1">
        <f t="array" ref="GH167">SUMPRODUCT(--($CR$7:$FW$7&gt;=GH$5),--($CR$7:$FW$7&lt;=GH$6),$CR167:$FW167)*FZ167</f>
        <v>0</v>
      </c>
      <c r="GI167" s="145" cm="1">
        <f t="array" ref="GI167">SUMPRODUCT(--($CR$7:$FW$7&gt;=GI$5),--($CR$7:$FW$7&lt;=GI$6),$CR167:$FW167)*GA167</f>
        <v>0</v>
      </c>
      <c r="GJ167" s="145" cm="1">
        <f t="array" ref="GJ167">SUMPRODUCT(--($CR$7:$FW$7&gt;=GJ$5),--($CR$7:$FW$7&lt;=GJ$6),$CR167:$FW167)*GB167</f>
        <v>0</v>
      </c>
      <c r="GK167" s="145" cm="1">
        <f t="array" ref="GK167">SUMPRODUCT(--($CR$7:$FW$7&gt;=GK$5),--($CR$7:$FW$7&lt;=GK$6),$CR167:$FW167)*GC167</f>
        <v>0</v>
      </c>
      <c r="GL167" s="145" cm="1">
        <f t="array" ref="GL167">SUMPRODUCT(--($CR$7:$FW$7&gt;=GL$5),--($CR$7:$FW$7&lt;=GL$6),$CR167:$FW167)*GD167</f>
        <v>0</v>
      </c>
      <c r="GM167" s="145" cm="1">
        <f t="array" ref="GM167">SUMPRODUCT(--($CR$7:$FW$7&gt;=GM$5),--($CR$7:$FW$7&lt;=GM$6),$CR167:$FW167)*GE167</f>
        <v>0</v>
      </c>
      <c r="GN167" s="145" cm="1">
        <f t="array" ref="GN167">SUMPRODUCT(--($CR$7:$FW$7&gt;=GN$5),--($CR$7:$FW$7&lt;=GN$6),$CR167:$FW167)*GF167</f>
        <v>0</v>
      </c>
      <c r="GO167" s="145">
        <f t="shared" si="2"/>
        <v>0</v>
      </c>
      <c r="GP167" s="87"/>
      <c r="GR167" s="145" cm="1">
        <f t="array" ref="GR167">SUMPRODUCT(--($CR$7:$FW$7&gt;=GR$5),--($CR$7:$FW$7&lt;=GR$6),$CR167:$FW167)</f>
        <v>0</v>
      </c>
    </row>
    <row r="168" spans="2:200" x14ac:dyDescent="0.2">
      <c r="B168" s="141"/>
      <c r="C168" s="141"/>
      <c r="D168" s="141"/>
      <c r="E168" s="141"/>
      <c r="F168" s="141"/>
      <c r="G168" s="141"/>
      <c r="H168" s="142"/>
      <c r="I168" s="126"/>
      <c r="J168" s="143"/>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3"/>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c r="EE168" s="145"/>
      <c r="EF168" s="145"/>
      <c r="EG168" s="145"/>
      <c r="EH168" s="145"/>
      <c r="EI168" s="145"/>
      <c r="EJ168" s="145"/>
      <c r="EK168" s="145"/>
      <c r="EL168" s="145"/>
      <c r="EM168" s="145"/>
      <c r="EN168" s="145"/>
      <c r="EO168" s="145"/>
      <c r="EP168" s="145"/>
      <c r="EQ168" s="145"/>
      <c r="ER168" s="145"/>
      <c r="ES168" s="145"/>
      <c r="ET168" s="145"/>
      <c r="EU168" s="145"/>
      <c r="EV168" s="145"/>
      <c r="EW168" s="145"/>
      <c r="EX168" s="145"/>
      <c r="EY168" s="145"/>
      <c r="EZ168" s="145"/>
      <c r="FA168" s="145"/>
      <c r="FB168" s="145"/>
      <c r="FC168" s="145"/>
      <c r="FD168" s="145"/>
      <c r="FE168" s="145"/>
      <c r="FF168" s="145"/>
      <c r="FG168" s="145"/>
      <c r="FH168" s="145"/>
      <c r="FI168" s="145"/>
      <c r="FJ168" s="145"/>
      <c r="FK168" s="145"/>
      <c r="FL168" s="145"/>
      <c r="FM168" s="145"/>
      <c r="FN168" s="145"/>
      <c r="FO168" s="145"/>
      <c r="FP168" s="145"/>
      <c r="FQ168" s="145"/>
      <c r="FR168" s="145"/>
      <c r="FS168" s="145"/>
      <c r="FT168" s="145"/>
      <c r="FU168" s="145"/>
      <c r="FV168" s="145"/>
      <c r="FW168" s="145"/>
      <c r="FX168" s="143"/>
      <c r="FY168" s="146">
        <f>_xlfn.XLOOKUP($E168,'Key assumptions'!$B$112:$B$120,'Key assumptions'!$C$112:$C$120,0)</f>
        <v>0</v>
      </c>
      <c r="FZ168" s="146" cm="1">
        <f t="array" ref="FZ168">IF($FY168=0,0,_xlfn.IFS($FY168='Key assumptions'!$C$120,_xlfn.XLOOKUP(LEFT(FZ$7,6),Inflation_Year,Inflation_NominaltoReal),TRUE,_xlfn.XLOOKUP($FY168,Inflation_Year,NominaltoReal)))</f>
        <v>0</v>
      </c>
      <c r="GA168" s="146" cm="1">
        <f t="array" ref="GA168">IF($FY168=0,0,_xlfn.IFS($FY168='Key assumptions'!$C$120,_xlfn.XLOOKUP(LEFT(GA$7,6),Inflation_Year,Inflation_NominaltoReal),TRUE,_xlfn.XLOOKUP($FY168,Inflation_Year,NominaltoReal)))</f>
        <v>0</v>
      </c>
      <c r="GB168" s="146" cm="1">
        <f t="array" ref="GB168">IF($FY168=0,0,_xlfn.IFS($FY168='Key assumptions'!$C$120,_xlfn.XLOOKUP(LEFT(GB$7,6),Inflation_Year,Inflation_NominaltoReal),TRUE,_xlfn.XLOOKUP($FY168,Inflation_Year,NominaltoReal)))</f>
        <v>0</v>
      </c>
      <c r="GC168" s="146" cm="1">
        <f t="array" ref="GC168">IF($FY168=0,0,_xlfn.IFS($FY168='Key assumptions'!$C$120,_xlfn.XLOOKUP(LEFT(GC$7,6),Inflation_Year,Inflation_NominaltoReal),TRUE,_xlfn.XLOOKUP($FY168,Inflation_Year,NominaltoReal)))</f>
        <v>0</v>
      </c>
      <c r="GD168" s="146" cm="1">
        <f t="array" ref="GD168">IF($FY168=0,0,_xlfn.IFS($FY168='Key assumptions'!$C$120,_xlfn.XLOOKUP(LEFT(GD$7,6),Inflation_Year,Inflation_NominaltoReal),TRUE,_xlfn.XLOOKUP($FY168,Inflation_Year,NominaltoReal)))</f>
        <v>0</v>
      </c>
      <c r="GE168" s="146" cm="1">
        <f t="array" ref="GE168">IF($FY168=0,0,_xlfn.IFS($FY168='Key assumptions'!$C$120,_xlfn.XLOOKUP(LEFT(GE$7,6),Inflation_Year,Inflation_NominaltoReal),TRUE,_xlfn.XLOOKUP($FY168,Inflation_Year,NominaltoReal)))</f>
        <v>0</v>
      </c>
      <c r="GF168" s="146" cm="1">
        <f t="array" ref="GF168">IF($FY168=0,0,_xlfn.IFS($FY168='Key assumptions'!$C$120,_xlfn.XLOOKUP(LEFT(GF$7,6),Inflation_Year,Inflation_NominaltoReal),TRUE,_xlfn.XLOOKUP($FY168,Inflation_Year,NominaltoReal)))</f>
        <v>0</v>
      </c>
      <c r="GG168" s="143"/>
      <c r="GH168" s="145" cm="1">
        <f t="array" ref="GH168">SUMPRODUCT(--($CR$7:$FW$7&gt;=GH$5),--($CR$7:$FW$7&lt;=GH$6),$CR168:$FW168)*FZ168</f>
        <v>0</v>
      </c>
      <c r="GI168" s="145" cm="1">
        <f t="array" ref="GI168">SUMPRODUCT(--($CR$7:$FW$7&gt;=GI$5),--($CR$7:$FW$7&lt;=GI$6),$CR168:$FW168)*GA168</f>
        <v>0</v>
      </c>
      <c r="GJ168" s="145" cm="1">
        <f t="array" ref="GJ168">SUMPRODUCT(--($CR$7:$FW$7&gt;=GJ$5),--($CR$7:$FW$7&lt;=GJ$6),$CR168:$FW168)*GB168</f>
        <v>0</v>
      </c>
      <c r="GK168" s="145" cm="1">
        <f t="array" ref="GK168">SUMPRODUCT(--($CR$7:$FW$7&gt;=GK$5),--($CR$7:$FW$7&lt;=GK$6),$CR168:$FW168)*GC168</f>
        <v>0</v>
      </c>
      <c r="GL168" s="145" cm="1">
        <f t="array" ref="GL168">SUMPRODUCT(--($CR$7:$FW$7&gt;=GL$5),--($CR$7:$FW$7&lt;=GL$6),$CR168:$FW168)*GD168</f>
        <v>0</v>
      </c>
      <c r="GM168" s="145" cm="1">
        <f t="array" ref="GM168">SUMPRODUCT(--($CR$7:$FW$7&gt;=GM$5),--($CR$7:$FW$7&lt;=GM$6),$CR168:$FW168)*GE168</f>
        <v>0</v>
      </c>
      <c r="GN168" s="145" cm="1">
        <f t="array" ref="GN168">SUMPRODUCT(--($CR$7:$FW$7&gt;=GN$5),--($CR$7:$FW$7&lt;=GN$6),$CR168:$FW168)*GF168</f>
        <v>0</v>
      </c>
      <c r="GO168" s="145">
        <f t="shared" si="2"/>
        <v>0</v>
      </c>
      <c r="GP168" s="87"/>
      <c r="GR168" s="145" cm="1">
        <f t="array" ref="GR168">SUMPRODUCT(--($CR$7:$FW$7&gt;=GR$5),--($CR$7:$FW$7&lt;=GR$6),$CR168:$FW168)</f>
        <v>0</v>
      </c>
    </row>
    <row r="169" spans="2:200" x14ac:dyDescent="0.2">
      <c r="B169" s="141"/>
      <c r="C169" s="141"/>
      <c r="D169" s="141"/>
      <c r="E169" s="141"/>
      <c r="F169" s="141"/>
      <c r="G169" s="141"/>
      <c r="H169" s="142"/>
      <c r="I169" s="126"/>
      <c r="J169" s="143"/>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3"/>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c r="EE169" s="145"/>
      <c r="EF169" s="145"/>
      <c r="EG169" s="145"/>
      <c r="EH169" s="145"/>
      <c r="EI169" s="145"/>
      <c r="EJ169" s="145"/>
      <c r="EK169" s="145"/>
      <c r="EL169" s="145"/>
      <c r="EM169" s="145"/>
      <c r="EN169" s="145"/>
      <c r="EO169" s="145"/>
      <c r="EP169" s="145"/>
      <c r="EQ169" s="145"/>
      <c r="ER169" s="145"/>
      <c r="ES169" s="145"/>
      <c r="ET169" s="145"/>
      <c r="EU169" s="145"/>
      <c r="EV169" s="145"/>
      <c r="EW169" s="145"/>
      <c r="EX169" s="145"/>
      <c r="EY169" s="145"/>
      <c r="EZ169" s="145"/>
      <c r="FA169" s="145"/>
      <c r="FB169" s="145"/>
      <c r="FC169" s="145"/>
      <c r="FD169" s="145"/>
      <c r="FE169" s="145"/>
      <c r="FF169" s="145"/>
      <c r="FG169" s="145"/>
      <c r="FH169" s="145"/>
      <c r="FI169" s="145"/>
      <c r="FJ169" s="145"/>
      <c r="FK169" s="145"/>
      <c r="FL169" s="145"/>
      <c r="FM169" s="145"/>
      <c r="FN169" s="145"/>
      <c r="FO169" s="145"/>
      <c r="FP169" s="145"/>
      <c r="FQ169" s="145"/>
      <c r="FR169" s="145"/>
      <c r="FS169" s="145"/>
      <c r="FT169" s="145"/>
      <c r="FU169" s="145"/>
      <c r="FV169" s="145"/>
      <c r="FW169" s="145"/>
      <c r="FX169" s="143"/>
      <c r="FY169" s="146">
        <f>_xlfn.XLOOKUP($E169,'Key assumptions'!$B$112:$B$120,'Key assumptions'!$C$112:$C$120,0)</f>
        <v>0</v>
      </c>
      <c r="FZ169" s="146" cm="1">
        <f t="array" ref="FZ169">IF($FY169=0,0,_xlfn.IFS($FY169='Key assumptions'!$C$120,_xlfn.XLOOKUP(LEFT(FZ$7,6),Inflation_Year,Inflation_NominaltoReal),TRUE,_xlfn.XLOOKUP($FY169,Inflation_Year,NominaltoReal)))</f>
        <v>0</v>
      </c>
      <c r="GA169" s="146" cm="1">
        <f t="array" ref="GA169">IF($FY169=0,0,_xlfn.IFS($FY169='Key assumptions'!$C$120,_xlfn.XLOOKUP(LEFT(GA$7,6),Inflation_Year,Inflation_NominaltoReal),TRUE,_xlfn.XLOOKUP($FY169,Inflation_Year,NominaltoReal)))</f>
        <v>0</v>
      </c>
      <c r="GB169" s="146" cm="1">
        <f t="array" ref="GB169">IF($FY169=0,0,_xlfn.IFS($FY169='Key assumptions'!$C$120,_xlfn.XLOOKUP(LEFT(GB$7,6),Inflation_Year,Inflation_NominaltoReal),TRUE,_xlfn.XLOOKUP($FY169,Inflation_Year,NominaltoReal)))</f>
        <v>0</v>
      </c>
      <c r="GC169" s="146" cm="1">
        <f t="array" ref="GC169">IF($FY169=0,0,_xlfn.IFS($FY169='Key assumptions'!$C$120,_xlfn.XLOOKUP(LEFT(GC$7,6),Inflation_Year,Inflation_NominaltoReal),TRUE,_xlfn.XLOOKUP($FY169,Inflation_Year,NominaltoReal)))</f>
        <v>0</v>
      </c>
      <c r="GD169" s="146" cm="1">
        <f t="array" ref="GD169">IF($FY169=0,0,_xlfn.IFS($FY169='Key assumptions'!$C$120,_xlfn.XLOOKUP(LEFT(GD$7,6),Inflation_Year,Inflation_NominaltoReal),TRUE,_xlfn.XLOOKUP($FY169,Inflation_Year,NominaltoReal)))</f>
        <v>0</v>
      </c>
      <c r="GE169" s="146" cm="1">
        <f t="array" ref="GE169">IF($FY169=0,0,_xlfn.IFS($FY169='Key assumptions'!$C$120,_xlfn.XLOOKUP(LEFT(GE$7,6),Inflation_Year,Inflation_NominaltoReal),TRUE,_xlfn.XLOOKUP($FY169,Inflation_Year,NominaltoReal)))</f>
        <v>0</v>
      </c>
      <c r="GF169" s="146" cm="1">
        <f t="array" ref="GF169">IF($FY169=0,0,_xlfn.IFS($FY169='Key assumptions'!$C$120,_xlfn.XLOOKUP(LEFT(GF$7,6),Inflation_Year,Inflation_NominaltoReal),TRUE,_xlfn.XLOOKUP($FY169,Inflation_Year,NominaltoReal)))</f>
        <v>0</v>
      </c>
      <c r="GG169" s="143"/>
      <c r="GH169" s="145" cm="1">
        <f t="array" ref="GH169">SUMPRODUCT(--($CR$7:$FW$7&gt;=GH$5),--($CR$7:$FW$7&lt;=GH$6),$CR169:$FW169)*FZ169</f>
        <v>0</v>
      </c>
      <c r="GI169" s="145" cm="1">
        <f t="array" ref="GI169">SUMPRODUCT(--($CR$7:$FW$7&gt;=GI$5),--($CR$7:$FW$7&lt;=GI$6),$CR169:$FW169)*GA169</f>
        <v>0</v>
      </c>
      <c r="GJ169" s="145" cm="1">
        <f t="array" ref="GJ169">SUMPRODUCT(--($CR$7:$FW$7&gt;=GJ$5),--($CR$7:$FW$7&lt;=GJ$6),$CR169:$FW169)*GB169</f>
        <v>0</v>
      </c>
      <c r="GK169" s="145" cm="1">
        <f t="array" ref="GK169">SUMPRODUCT(--($CR$7:$FW$7&gt;=GK$5),--($CR$7:$FW$7&lt;=GK$6),$CR169:$FW169)*GC169</f>
        <v>0</v>
      </c>
      <c r="GL169" s="145" cm="1">
        <f t="array" ref="GL169">SUMPRODUCT(--($CR$7:$FW$7&gt;=GL$5),--($CR$7:$FW$7&lt;=GL$6),$CR169:$FW169)*GD169</f>
        <v>0</v>
      </c>
      <c r="GM169" s="145" cm="1">
        <f t="array" ref="GM169">SUMPRODUCT(--($CR$7:$FW$7&gt;=GM$5),--($CR$7:$FW$7&lt;=GM$6),$CR169:$FW169)*GE169</f>
        <v>0</v>
      </c>
      <c r="GN169" s="145" cm="1">
        <f t="array" ref="GN169">SUMPRODUCT(--($CR$7:$FW$7&gt;=GN$5),--($CR$7:$FW$7&lt;=GN$6),$CR169:$FW169)*GF169</f>
        <v>0</v>
      </c>
      <c r="GO169" s="145">
        <f t="shared" si="2"/>
        <v>0</v>
      </c>
      <c r="GP169" s="87"/>
      <c r="GR169" s="145" cm="1">
        <f t="array" ref="GR169">SUMPRODUCT(--($CR$7:$FW$7&gt;=GR$5),--($CR$7:$FW$7&lt;=GR$6),$CR169:$FW169)</f>
        <v>0</v>
      </c>
    </row>
    <row r="170" spans="2:200" x14ac:dyDescent="0.2">
      <c r="B170" s="141"/>
      <c r="C170" s="141"/>
      <c r="D170" s="141"/>
      <c r="E170" s="141"/>
      <c r="F170" s="141"/>
      <c r="G170" s="141"/>
      <c r="H170" s="142"/>
      <c r="I170" s="126"/>
      <c r="J170" s="143"/>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3"/>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c r="EE170" s="145"/>
      <c r="EF170" s="145"/>
      <c r="EG170" s="145"/>
      <c r="EH170" s="145"/>
      <c r="EI170" s="145"/>
      <c r="EJ170" s="145"/>
      <c r="EK170" s="145"/>
      <c r="EL170" s="145"/>
      <c r="EM170" s="145"/>
      <c r="EN170" s="145"/>
      <c r="EO170" s="145"/>
      <c r="EP170" s="145"/>
      <c r="EQ170" s="145"/>
      <c r="ER170" s="145"/>
      <c r="ES170" s="145"/>
      <c r="ET170" s="145"/>
      <c r="EU170" s="145"/>
      <c r="EV170" s="145"/>
      <c r="EW170" s="145"/>
      <c r="EX170" s="145"/>
      <c r="EY170" s="145"/>
      <c r="EZ170" s="145"/>
      <c r="FA170" s="145"/>
      <c r="FB170" s="145"/>
      <c r="FC170" s="145"/>
      <c r="FD170" s="145"/>
      <c r="FE170" s="145"/>
      <c r="FF170" s="145"/>
      <c r="FG170" s="145"/>
      <c r="FH170" s="145"/>
      <c r="FI170" s="145"/>
      <c r="FJ170" s="145"/>
      <c r="FK170" s="145"/>
      <c r="FL170" s="145"/>
      <c r="FM170" s="145"/>
      <c r="FN170" s="145"/>
      <c r="FO170" s="145"/>
      <c r="FP170" s="145"/>
      <c r="FQ170" s="145"/>
      <c r="FR170" s="145"/>
      <c r="FS170" s="145"/>
      <c r="FT170" s="145"/>
      <c r="FU170" s="145"/>
      <c r="FV170" s="145"/>
      <c r="FW170" s="145"/>
      <c r="FX170" s="143"/>
      <c r="FY170" s="146">
        <f>_xlfn.XLOOKUP($E170,'Key assumptions'!$B$112:$B$120,'Key assumptions'!$C$112:$C$120,0)</f>
        <v>0</v>
      </c>
      <c r="FZ170" s="146" cm="1">
        <f t="array" ref="FZ170">IF($FY170=0,0,_xlfn.IFS($FY170='Key assumptions'!$C$120,_xlfn.XLOOKUP(LEFT(FZ$7,6),Inflation_Year,Inflation_NominaltoReal),TRUE,_xlfn.XLOOKUP($FY170,Inflation_Year,NominaltoReal)))</f>
        <v>0</v>
      </c>
      <c r="GA170" s="146" cm="1">
        <f t="array" ref="GA170">IF($FY170=0,0,_xlfn.IFS($FY170='Key assumptions'!$C$120,_xlfn.XLOOKUP(LEFT(GA$7,6),Inflation_Year,Inflation_NominaltoReal),TRUE,_xlfn.XLOOKUP($FY170,Inflation_Year,NominaltoReal)))</f>
        <v>0</v>
      </c>
      <c r="GB170" s="146" cm="1">
        <f t="array" ref="GB170">IF($FY170=0,0,_xlfn.IFS($FY170='Key assumptions'!$C$120,_xlfn.XLOOKUP(LEFT(GB$7,6),Inflation_Year,Inflation_NominaltoReal),TRUE,_xlfn.XLOOKUP($FY170,Inflation_Year,NominaltoReal)))</f>
        <v>0</v>
      </c>
      <c r="GC170" s="146" cm="1">
        <f t="array" ref="GC170">IF($FY170=0,0,_xlfn.IFS($FY170='Key assumptions'!$C$120,_xlfn.XLOOKUP(LEFT(GC$7,6),Inflation_Year,Inflation_NominaltoReal),TRUE,_xlfn.XLOOKUP($FY170,Inflation_Year,NominaltoReal)))</f>
        <v>0</v>
      </c>
      <c r="GD170" s="146" cm="1">
        <f t="array" ref="GD170">IF($FY170=0,0,_xlfn.IFS($FY170='Key assumptions'!$C$120,_xlfn.XLOOKUP(LEFT(GD$7,6),Inflation_Year,Inflation_NominaltoReal),TRUE,_xlfn.XLOOKUP($FY170,Inflation_Year,NominaltoReal)))</f>
        <v>0</v>
      </c>
      <c r="GE170" s="146" cm="1">
        <f t="array" ref="GE170">IF($FY170=0,0,_xlfn.IFS($FY170='Key assumptions'!$C$120,_xlfn.XLOOKUP(LEFT(GE$7,6),Inflation_Year,Inflation_NominaltoReal),TRUE,_xlfn.XLOOKUP($FY170,Inflation_Year,NominaltoReal)))</f>
        <v>0</v>
      </c>
      <c r="GF170" s="146" cm="1">
        <f t="array" ref="GF170">IF($FY170=0,0,_xlfn.IFS($FY170='Key assumptions'!$C$120,_xlfn.XLOOKUP(LEFT(GF$7,6),Inflation_Year,Inflation_NominaltoReal),TRUE,_xlfn.XLOOKUP($FY170,Inflation_Year,NominaltoReal)))</f>
        <v>0</v>
      </c>
      <c r="GG170" s="143"/>
      <c r="GH170" s="145" cm="1">
        <f t="array" ref="GH170">SUMPRODUCT(--($CR$7:$FW$7&gt;=GH$5),--($CR$7:$FW$7&lt;=GH$6),$CR170:$FW170)*FZ170</f>
        <v>0</v>
      </c>
      <c r="GI170" s="145" cm="1">
        <f t="array" ref="GI170">SUMPRODUCT(--($CR$7:$FW$7&gt;=GI$5),--($CR$7:$FW$7&lt;=GI$6),$CR170:$FW170)*GA170</f>
        <v>0</v>
      </c>
      <c r="GJ170" s="145" cm="1">
        <f t="array" ref="GJ170">SUMPRODUCT(--($CR$7:$FW$7&gt;=GJ$5),--($CR$7:$FW$7&lt;=GJ$6),$CR170:$FW170)*GB170</f>
        <v>0</v>
      </c>
      <c r="GK170" s="145" cm="1">
        <f t="array" ref="GK170">SUMPRODUCT(--($CR$7:$FW$7&gt;=GK$5),--($CR$7:$FW$7&lt;=GK$6),$CR170:$FW170)*GC170</f>
        <v>0</v>
      </c>
      <c r="GL170" s="145" cm="1">
        <f t="array" ref="GL170">SUMPRODUCT(--($CR$7:$FW$7&gt;=GL$5),--($CR$7:$FW$7&lt;=GL$6),$CR170:$FW170)*GD170</f>
        <v>0</v>
      </c>
      <c r="GM170" s="145" cm="1">
        <f t="array" ref="GM170">SUMPRODUCT(--($CR$7:$FW$7&gt;=GM$5),--($CR$7:$FW$7&lt;=GM$6),$CR170:$FW170)*GE170</f>
        <v>0</v>
      </c>
      <c r="GN170" s="145" cm="1">
        <f t="array" ref="GN170">SUMPRODUCT(--($CR$7:$FW$7&gt;=GN$5),--($CR$7:$FW$7&lt;=GN$6),$CR170:$FW170)*GF170</f>
        <v>0</v>
      </c>
      <c r="GO170" s="145">
        <f t="shared" si="2"/>
        <v>0</v>
      </c>
      <c r="GP170" s="87"/>
      <c r="GR170" s="145" cm="1">
        <f t="array" ref="GR170">SUMPRODUCT(--($CR$7:$FW$7&gt;=GR$5),--($CR$7:$FW$7&lt;=GR$6),$CR170:$FW170)</f>
        <v>0</v>
      </c>
    </row>
    <row r="171" spans="2:200" x14ac:dyDescent="0.2">
      <c r="B171" s="141"/>
      <c r="C171" s="141"/>
      <c r="D171" s="141"/>
      <c r="E171" s="141"/>
      <c r="F171" s="141"/>
      <c r="G171" s="141"/>
      <c r="H171" s="142"/>
      <c r="I171" s="126"/>
      <c r="J171" s="143"/>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3"/>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c r="EE171" s="145"/>
      <c r="EF171" s="145"/>
      <c r="EG171" s="145"/>
      <c r="EH171" s="145"/>
      <c r="EI171" s="145"/>
      <c r="EJ171" s="145"/>
      <c r="EK171" s="145"/>
      <c r="EL171" s="145"/>
      <c r="EM171" s="145"/>
      <c r="EN171" s="145"/>
      <c r="EO171" s="145"/>
      <c r="EP171" s="145"/>
      <c r="EQ171" s="145"/>
      <c r="ER171" s="145"/>
      <c r="ES171" s="145"/>
      <c r="ET171" s="145"/>
      <c r="EU171" s="145"/>
      <c r="EV171" s="145"/>
      <c r="EW171" s="145"/>
      <c r="EX171" s="145"/>
      <c r="EY171" s="145"/>
      <c r="EZ171" s="145"/>
      <c r="FA171" s="145"/>
      <c r="FB171" s="145"/>
      <c r="FC171" s="145"/>
      <c r="FD171" s="145"/>
      <c r="FE171" s="145"/>
      <c r="FF171" s="145"/>
      <c r="FG171" s="145"/>
      <c r="FH171" s="145"/>
      <c r="FI171" s="145"/>
      <c r="FJ171" s="145"/>
      <c r="FK171" s="145"/>
      <c r="FL171" s="145"/>
      <c r="FM171" s="145"/>
      <c r="FN171" s="145"/>
      <c r="FO171" s="145"/>
      <c r="FP171" s="145"/>
      <c r="FQ171" s="145"/>
      <c r="FR171" s="145"/>
      <c r="FS171" s="145"/>
      <c r="FT171" s="145"/>
      <c r="FU171" s="145"/>
      <c r="FV171" s="145"/>
      <c r="FW171" s="145"/>
      <c r="FX171" s="143"/>
      <c r="FY171" s="146">
        <f>_xlfn.XLOOKUP($E171,'Key assumptions'!$B$112:$B$120,'Key assumptions'!$C$112:$C$120,0)</f>
        <v>0</v>
      </c>
      <c r="FZ171" s="146" cm="1">
        <f t="array" ref="FZ171">IF($FY171=0,0,_xlfn.IFS($FY171='Key assumptions'!$C$120,_xlfn.XLOOKUP(LEFT(FZ$7,6),Inflation_Year,Inflation_NominaltoReal),TRUE,_xlfn.XLOOKUP($FY171,Inflation_Year,NominaltoReal)))</f>
        <v>0</v>
      </c>
      <c r="GA171" s="146" cm="1">
        <f t="array" ref="GA171">IF($FY171=0,0,_xlfn.IFS($FY171='Key assumptions'!$C$120,_xlfn.XLOOKUP(LEFT(GA$7,6),Inflation_Year,Inflation_NominaltoReal),TRUE,_xlfn.XLOOKUP($FY171,Inflation_Year,NominaltoReal)))</f>
        <v>0</v>
      </c>
      <c r="GB171" s="146" cm="1">
        <f t="array" ref="GB171">IF($FY171=0,0,_xlfn.IFS($FY171='Key assumptions'!$C$120,_xlfn.XLOOKUP(LEFT(GB$7,6),Inflation_Year,Inflation_NominaltoReal),TRUE,_xlfn.XLOOKUP($FY171,Inflation_Year,NominaltoReal)))</f>
        <v>0</v>
      </c>
      <c r="GC171" s="146" cm="1">
        <f t="array" ref="GC171">IF($FY171=0,0,_xlfn.IFS($FY171='Key assumptions'!$C$120,_xlfn.XLOOKUP(LEFT(GC$7,6),Inflation_Year,Inflation_NominaltoReal),TRUE,_xlfn.XLOOKUP($FY171,Inflation_Year,NominaltoReal)))</f>
        <v>0</v>
      </c>
      <c r="GD171" s="146" cm="1">
        <f t="array" ref="GD171">IF($FY171=0,0,_xlfn.IFS($FY171='Key assumptions'!$C$120,_xlfn.XLOOKUP(LEFT(GD$7,6),Inflation_Year,Inflation_NominaltoReal),TRUE,_xlfn.XLOOKUP($FY171,Inflation_Year,NominaltoReal)))</f>
        <v>0</v>
      </c>
      <c r="GE171" s="146" cm="1">
        <f t="array" ref="GE171">IF($FY171=0,0,_xlfn.IFS($FY171='Key assumptions'!$C$120,_xlfn.XLOOKUP(LEFT(GE$7,6),Inflation_Year,Inflation_NominaltoReal),TRUE,_xlfn.XLOOKUP($FY171,Inflation_Year,NominaltoReal)))</f>
        <v>0</v>
      </c>
      <c r="GF171" s="146" cm="1">
        <f t="array" ref="GF171">IF($FY171=0,0,_xlfn.IFS($FY171='Key assumptions'!$C$120,_xlfn.XLOOKUP(LEFT(GF$7,6),Inflation_Year,Inflation_NominaltoReal),TRUE,_xlfn.XLOOKUP($FY171,Inflation_Year,NominaltoReal)))</f>
        <v>0</v>
      </c>
      <c r="GG171" s="143"/>
      <c r="GH171" s="145" cm="1">
        <f t="array" ref="GH171">SUMPRODUCT(--($CR$7:$FW$7&gt;=GH$5),--($CR$7:$FW$7&lt;=GH$6),$CR171:$FW171)*FZ171</f>
        <v>0</v>
      </c>
      <c r="GI171" s="145" cm="1">
        <f t="array" ref="GI171">SUMPRODUCT(--($CR$7:$FW$7&gt;=GI$5),--($CR$7:$FW$7&lt;=GI$6),$CR171:$FW171)*GA171</f>
        <v>0</v>
      </c>
      <c r="GJ171" s="145" cm="1">
        <f t="array" ref="GJ171">SUMPRODUCT(--($CR$7:$FW$7&gt;=GJ$5),--($CR$7:$FW$7&lt;=GJ$6),$CR171:$FW171)*GB171</f>
        <v>0</v>
      </c>
      <c r="GK171" s="145" cm="1">
        <f t="array" ref="GK171">SUMPRODUCT(--($CR$7:$FW$7&gt;=GK$5),--($CR$7:$FW$7&lt;=GK$6),$CR171:$FW171)*GC171</f>
        <v>0</v>
      </c>
      <c r="GL171" s="145" cm="1">
        <f t="array" ref="GL171">SUMPRODUCT(--($CR$7:$FW$7&gt;=GL$5),--($CR$7:$FW$7&lt;=GL$6),$CR171:$FW171)*GD171</f>
        <v>0</v>
      </c>
      <c r="GM171" s="145" cm="1">
        <f t="array" ref="GM171">SUMPRODUCT(--($CR$7:$FW$7&gt;=GM$5),--($CR$7:$FW$7&lt;=GM$6),$CR171:$FW171)*GE171</f>
        <v>0</v>
      </c>
      <c r="GN171" s="145" cm="1">
        <f t="array" ref="GN171">SUMPRODUCT(--($CR$7:$FW$7&gt;=GN$5),--($CR$7:$FW$7&lt;=GN$6),$CR171:$FW171)*GF171</f>
        <v>0</v>
      </c>
      <c r="GO171" s="145">
        <f t="shared" si="2"/>
        <v>0</v>
      </c>
      <c r="GP171" s="87"/>
      <c r="GR171" s="145" cm="1">
        <f t="array" ref="GR171">SUMPRODUCT(--($CR$7:$FW$7&gt;=GR$5),--($CR$7:$FW$7&lt;=GR$6),$CR171:$FW171)</f>
        <v>0</v>
      </c>
    </row>
    <row r="172" spans="2:200" x14ac:dyDescent="0.2">
      <c r="B172" s="141"/>
      <c r="C172" s="141"/>
      <c r="D172" s="141"/>
      <c r="E172" s="141"/>
      <c r="F172" s="141"/>
      <c r="G172" s="141"/>
      <c r="H172" s="142"/>
      <c r="I172" s="126"/>
      <c r="J172" s="143"/>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3"/>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145"/>
      <c r="EH172" s="145"/>
      <c r="EI172" s="145"/>
      <c r="EJ172" s="145"/>
      <c r="EK172" s="145"/>
      <c r="EL172" s="145"/>
      <c r="EM172" s="145"/>
      <c r="EN172" s="145"/>
      <c r="EO172" s="145"/>
      <c r="EP172" s="145"/>
      <c r="EQ172" s="145"/>
      <c r="ER172" s="145"/>
      <c r="ES172" s="145"/>
      <c r="ET172" s="145"/>
      <c r="EU172" s="145"/>
      <c r="EV172" s="145"/>
      <c r="EW172" s="145"/>
      <c r="EX172" s="145"/>
      <c r="EY172" s="145"/>
      <c r="EZ172" s="145"/>
      <c r="FA172" s="145"/>
      <c r="FB172" s="145"/>
      <c r="FC172" s="145"/>
      <c r="FD172" s="145"/>
      <c r="FE172" s="145"/>
      <c r="FF172" s="145"/>
      <c r="FG172" s="145"/>
      <c r="FH172" s="145"/>
      <c r="FI172" s="145"/>
      <c r="FJ172" s="145"/>
      <c r="FK172" s="145"/>
      <c r="FL172" s="145"/>
      <c r="FM172" s="145"/>
      <c r="FN172" s="145"/>
      <c r="FO172" s="145"/>
      <c r="FP172" s="145"/>
      <c r="FQ172" s="145"/>
      <c r="FR172" s="145"/>
      <c r="FS172" s="145"/>
      <c r="FT172" s="145"/>
      <c r="FU172" s="145"/>
      <c r="FV172" s="145"/>
      <c r="FW172" s="145"/>
      <c r="FX172" s="143"/>
      <c r="FY172" s="146">
        <f>_xlfn.XLOOKUP($E172,'Key assumptions'!$B$112:$B$120,'Key assumptions'!$C$112:$C$120,0)</f>
        <v>0</v>
      </c>
      <c r="FZ172" s="146" cm="1">
        <f t="array" ref="FZ172">IF($FY172=0,0,_xlfn.IFS($FY172='Key assumptions'!$C$120,_xlfn.XLOOKUP(LEFT(FZ$7,6),Inflation_Year,Inflation_NominaltoReal),TRUE,_xlfn.XLOOKUP($FY172,Inflation_Year,NominaltoReal)))</f>
        <v>0</v>
      </c>
      <c r="GA172" s="146" cm="1">
        <f t="array" ref="GA172">IF($FY172=0,0,_xlfn.IFS($FY172='Key assumptions'!$C$120,_xlfn.XLOOKUP(LEFT(GA$7,6),Inflation_Year,Inflation_NominaltoReal),TRUE,_xlfn.XLOOKUP($FY172,Inflation_Year,NominaltoReal)))</f>
        <v>0</v>
      </c>
      <c r="GB172" s="146" cm="1">
        <f t="array" ref="GB172">IF($FY172=0,0,_xlfn.IFS($FY172='Key assumptions'!$C$120,_xlfn.XLOOKUP(LEFT(GB$7,6),Inflation_Year,Inflation_NominaltoReal),TRUE,_xlfn.XLOOKUP($FY172,Inflation_Year,NominaltoReal)))</f>
        <v>0</v>
      </c>
      <c r="GC172" s="146" cm="1">
        <f t="array" ref="GC172">IF($FY172=0,0,_xlfn.IFS($FY172='Key assumptions'!$C$120,_xlfn.XLOOKUP(LEFT(GC$7,6),Inflation_Year,Inflation_NominaltoReal),TRUE,_xlfn.XLOOKUP($FY172,Inflation_Year,NominaltoReal)))</f>
        <v>0</v>
      </c>
      <c r="GD172" s="146" cm="1">
        <f t="array" ref="GD172">IF($FY172=0,0,_xlfn.IFS($FY172='Key assumptions'!$C$120,_xlfn.XLOOKUP(LEFT(GD$7,6),Inflation_Year,Inflation_NominaltoReal),TRUE,_xlfn.XLOOKUP($FY172,Inflation_Year,NominaltoReal)))</f>
        <v>0</v>
      </c>
      <c r="GE172" s="146" cm="1">
        <f t="array" ref="GE172">IF($FY172=0,0,_xlfn.IFS($FY172='Key assumptions'!$C$120,_xlfn.XLOOKUP(LEFT(GE$7,6),Inflation_Year,Inflation_NominaltoReal),TRUE,_xlfn.XLOOKUP($FY172,Inflation_Year,NominaltoReal)))</f>
        <v>0</v>
      </c>
      <c r="GF172" s="146" cm="1">
        <f t="array" ref="GF172">IF($FY172=0,0,_xlfn.IFS($FY172='Key assumptions'!$C$120,_xlfn.XLOOKUP(LEFT(GF$7,6),Inflation_Year,Inflation_NominaltoReal),TRUE,_xlfn.XLOOKUP($FY172,Inflation_Year,NominaltoReal)))</f>
        <v>0</v>
      </c>
      <c r="GG172" s="143"/>
      <c r="GH172" s="145" cm="1">
        <f t="array" ref="GH172">SUMPRODUCT(--($CR$7:$FW$7&gt;=GH$5),--($CR$7:$FW$7&lt;=GH$6),$CR172:$FW172)*FZ172</f>
        <v>0</v>
      </c>
      <c r="GI172" s="145" cm="1">
        <f t="array" ref="GI172">SUMPRODUCT(--($CR$7:$FW$7&gt;=GI$5),--($CR$7:$FW$7&lt;=GI$6),$CR172:$FW172)*GA172</f>
        <v>0</v>
      </c>
      <c r="GJ172" s="145" cm="1">
        <f t="array" ref="GJ172">SUMPRODUCT(--($CR$7:$FW$7&gt;=GJ$5),--($CR$7:$FW$7&lt;=GJ$6),$CR172:$FW172)*GB172</f>
        <v>0</v>
      </c>
      <c r="GK172" s="145" cm="1">
        <f t="array" ref="GK172">SUMPRODUCT(--($CR$7:$FW$7&gt;=GK$5),--($CR$7:$FW$7&lt;=GK$6),$CR172:$FW172)*GC172</f>
        <v>0</v>
      </c>
      <c r="GL172" s="145" cm="1">
        <f t="array" ref="GL172">SUMPRODUCT(--($CR$7:$FW$7&gt;=GL$5),--($CR$7:$FW$7&lt;=GL$6),$CR172:$FW172)*GD172</f>
        <v>0</v>
      </c>
      <c r="GM172" s="145" cm="1">
        <f t="array" ref="GM172">SUMPRODUCT(--($CR$7:$FW$7&gt;=GM$5),--($CR$7:$FW$7&lt;=GM$6),$CR172:$FW172)*GE172</f>
        <v>0</v>
      </c>
      <c r="GN172" s="145" cm="1">
        <f t="array" ref="GN172">SUMPRODUCT(--($CR$7:$FW$7&gt;=GN$5),--($CR$7:$FW$7&lt;=GN$6),$CR172:$FW172)*GF172</f>
        <v>0</v>
      </c>
      <c r="GO172" s="145">
        <f t="shared" si="2"/>
        <v>0</v>
      </c>
      <c r="GP172" s="87"/>
      <c r="GR172" s="145" cm="1">
        <f t="array" ref="GR172">SUMPRODUCT(--($CR$7:$FW$7&gt;=GR$5),--($CR$7:$FW$7&lt;=GR$6),$CR172:$FW172)</f>
        <v>0</v>
      </c>
    </row>
    <row r="173" spans="2:200" x14ac:dyDescent="0.2">
      <c r="B173" s="141"/>
      <c r="C173" s="141"/>
      <c r="D173" s="141"/>
      <c r="E173" s="141"/>
      <c r="F173" s="141"/>
      <c r="G173" s="141"/>
      <c r="H173" s="142"/>
      <c r="I173" s="126"/>
      <c r="J173" s="143"/>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3"/>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5"/>
      <c r="EU173" s="145"/>
      <c r="EV173" s="145"/>
      <c r="EW173" s="145"/>
      <c r="EX173" s="145"/>
      <c r="EY173" s="145"/>
      <c r="EZ173" s="145"/>
      <c r="FA173" s="145"/>
      <c r="FB173" s="145"/>
      <c r="FC173" s="145"/>
      <c r="FD173" s="145"/>
      <c r="FE173" s="145"/>
      <c r="FF173" s="145"/>
      <c r="FG173" s="145"/>
      <c r="FH173" s="145"/>
      <c r="FI173" s="145"/>
      <c r="FJ173" s="145"/>
      <c r="FK173" s="145"/>
      <c r="FL173" s="145"/>
      <c r="FM173" s="145"/>
      <c r="FN173" s="145"/>
      <c r="FO173" s="145"/>
      <c r="FP173" s="145"/>
      <c r="FQ173" s="145"/>
      <c r="FR173" s="145"/>
      <c r="FS173" s="145"/>
      <c r="FT173" s="145"/>
      <c r="FU173" s="145"/>
      <c r="FV173" s="145"/>
      <c r="FW173" s="145"/>
      <c r="FX173" s="143"/>
      <c r="FY173" s="146">
        <f>_xlfn.XLOOKUP($E173,'Key assumptions'!$B$112:$B$120,'Key assumptions'!$C$112:$C$120,0)</f>
        <v>0</v>
      </c>
      <c r="FZ173" s="146" cm="1">
        <f t="array" ref="FZ173">IF($FY173=0,0,_xlfn.IFS($FY173='Key assumptions'!$C$120,_xlfn.XLOOKUP(LEFT(FZ$7,6),Inflation_Year,Inflation_NominaltoReal),TRUE,_xlfn.XLOOKUP($FY173,Inflation_Year,NominaltoReal)))</f>
        <v>0</v>
      </c>
      <c r="GA173" s="146" cm="1">
        <f t="array" ref="GA173">IF($FY173=0,0,_xlfn.IFS($FY173='Key assumptions'!$C$120,_xlfn.XLOOKUP(LEFT(GA$7,6),Inflation_Year,Inflation_NominaltoReal),TRUE,_xlfn.XLOOKUP($FY173,Inflation_Year,NominaltoReal)))</f>
        <v>0</v>
      </c>
      <c r="GB173" s="146" cm="1">
        <f t="array" ref="GB173">IF($FY173=0,0,_xlfn.IFS($FY173='Key assumptions'!$C$120,_xlfn.XLOOKUP(LEFT(GB$7,6),Inflation_Year,Inflation_NominaltoReal),TRUE,_xlfn.XLOOKUP($FY173,Inflation_Year,NominaltoReal)))</f>
        <v>0</v>
      </c>
      <c r="GC173" s="146" cm="1">
        <f t="array" ref="GC173">IF($FY173=0,0,_xlfn.IFS($FY173='Key assumptions'!$C$120,_xlfn.XLOOKUP(LEFT(GC$7,6),Inflation_Year,Inflation_NominaltoReal),TRUE,_xlfn.XLOOKUP($FY173,Inflation_Year,NominaltoReal)))</f>
        <v>0</v>
      </c>
      <c r="GD173" s="146" cm="1">
        <f t="array" ref="GD173">IF($FY173=0,0,_xlfn.IFS($FY173='Key assumptions'!$C$120,_xlfn.XLOOKUP(LEFT(GD$7,6),Inflation_Year,Inflation_NominaltoReal),TRUE,_xlfn.XLOOKUP($FY173,Inflation_Year,NominaltoReal)))</f>
        <v>0</v>
      </c>
      <c r="GE173" s="146" cm="1">
        <f t="array" ref="GE173">IF($FY173=0,0,_xlfn.IFS($FY173='Key assumptions'!$C$120,_xlfn.XLOOKUP(LEFT(GE$7,6),Inflation_Year,Inflation_NominaltoReal),TRUE,_xlfn.XLOOKUP($FY173,Inflation_Year,NominaltoReal)))</f>
        <v>0</v>
      </c>
      <c r="GF173" s="146" cm="1">
        <f t="array" ref="GF173">IF($FY173=0,0,_xlfn.IFS($FY173='Key assumptions'!$C$120,_xlfn.XLOOKUP(LEFT(GF$7,6),Inflation_Year,Inflation_NominaltoReal),TRUE,_xlfn.XLOOKUP($FY173,Inflation_Year,NominaltoReal)))</f>
        <v>0</v>
      </c>
      <c r="GG173" s="143"/>
      <c r="GH173" s="145" cm="1">
        <f t="array" ref="GH173">SUMPRODUCT(--($CR$7:$FW$7&gt;=GH$5),--($CR$7:$FW$7&lt;=GH$6),$CR173:$FW173)*FZ173</f>
        <v>0</v>
      </c>
      <c r="GI173" s="145" cm="1">
        <f t="array" ref="GI173">SUMPRODUCT(--($CR$7:$FW$7&gt;=GI$5),--($CR$7:$FW$7&lt;=GI$6),$CR173:$FW173)*GA173</f>
        <v>0</v>
      </c>
      <c r="GJ173" s="145" cm="1">
        <f t="array" ref="GJ173">SUMPRODUCT(--($CR$7:$FW$7&gt;=GJ$5),--($CR$7:$FW$7&lt;=GJ$6),$CR173:$FW173)*GB173</f>
        <v>0</v>
      </c>
      <c r="GK173" s="145" cm="1">
        <f t="array" ref="GK173">SUMPRODUCT(--($CR$7:$FW$7&gt;=GK$5),--($CR$7:$FW$7&lt;=GK$6),$CR173:$FW173)*GC173</f>
        <v>0</v>
      </c>
      <c r="GL173" s="145" cm="1">
        <f t="array" ref="GL173">SUMPRODUCT(--($CR$7:$FW$7&gt;=GL$5),--($CR$7:$FW$7&lt;=GL$6),$CR173:$FW173)*GD173</f>
        <v>0</v>
      </c>
      <c r="GM173" s="145" cm="1">
        <f t="array" ref="GM173">SUMPRODUCT(--($CR$7:$FW$7&gt;=GM$5),--($CR$7:$FW$7&lt;=GM$6),$CR173:$FW173)*GE173</f>
        <v>0</v>
      </c>
      <c r="GN173" s="145" cm="1">
        <f t="array" ref="GN173">SUMPRODUCT(--($CR$7:$FW$7&gt;=GN$5),--($CR$7:$FW$7&lt;=GN$6),$CR173:$FW173)*GF173</f>
        <v>0</v>
      </c>
      <c r="GO173" s="145">
        <f t="shared" si="2"/>
        <v>0</v>
      </c>
      <c r="GP173" s="87"/>
      <c r="GR173" s="145" cm="1">
        <f t="array" ref="GR173">SUMPRODUCT(--($CR$7:$FW$7&gt;=GR$5),--($CR$7:$FW$7&lt;=GR$6),$CR173:$FW173)</f>
        <v>0</v>
      </c>
    </row>
    <row r="174" spans="2:200" x14ac:dyDescent="0.2">
      <c r="B174" s="141"/>
      <c r="C174" s="141"/>
      <c r="D174" s="141"/>
      <c r="E174" s="141"/>
      <c r="F174" s="141"/>
      <c r="G174" s="141"/>
      <c r="H174" s="142"/>
      <c r="I174" s="126"/>
      <c r="J174" s="143"/>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3"/>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3"/>
      <c r="FY174" s="146">
        <f>_xlfn.XLOOKUP($E174,'Key assumptions'!$B$112:$B$120,'Key assumptions'!$C$112:$C$120,0)</f>
        <v>0</v>
      </c>
      <c r="FZ174" s="146" cm="1">
        <f t="array" ref="FZ174">IF($FY174=0,0,_xlfn.IFS($FY174='Key assumptions'!$C$120,_xlfn.XLOOKUP(LEFT(FZ$7,6),Inflation_Year,Inflation_NominaltoReal),TRUE,_xlfn.XLOOKUP($FY174,Inflation_Year,NominaltoReal)))</f>
        <v>0</v>
      </c>
      <c r="GA174" s="146" cm="1">
        <f t="array" ref="GA174">IF($FY174=0,0,_xlfn.IFS($FY174='Key assumptions'!$C$120,_xlfn.XLOOKUP(LEFT(GA$7,6),Inflation_Year,Inflation_NominaltoReal),TRUE,_xlfn.XLOOKUP($FY174,Inflation_Year,NominaltoReal)))</f>
        <v>0</v>
      </c>
      <c r="GB174" s="146" cm="1">
        <f t="array" ref="GB174">IF($FY174=0,0,_xlfn.IFS($FY174='Key assumptions'!$C$120,_xlfn.XLOOKUP(LEFT(GB$7,6),Inflation_Year,Inflation_NominaltoReal),TRUE,_xlfn.XLOOKUP($FY174,Inflation_Year,NominaltoReal)))</f>
        <v>0</v>
      </c>
      <c r="GC174" s="146" cm="1">
        <f t="array" ref="GC174">IF($FY174=0,0,_xlfn.IFS($FY174='Key assumptions'!$C$120,_xlfn.XLOOKUP(LEFT(GC$7,6),Inflation_Year,Inflation_NominaltoReal),TRUE,_xlfn.XLOOKUP($FY174,Inflation_Year,NominaltoReal)))</f>
        <v>0</v>
      </c>
      <c r="GD174" s="146" cm="1">
        <f t="array" ref="GD174">IF($FY174=0,0,_xlfn.IFS($FY174='Key assumptions'!$C$120,_xlfn.XLOOKUP(LEFT(GD$7,6),Inflation_Year,Inflation_NominaltoReal),TRUE,_xlfn.XLOOKUP($FY174,Inflation_Year,NominaltoReal)))</f>
        <v>0</v>
      </c>
      <c r="GE174" s="146" cm="1">
        <f t="array" ref="GE174">IF($FY174=0,0,_xlfn.IFS($FY174='Key assumptions'!$C$120,_xlfn.XLOOKUP(LEFT(GE$7,6),Inflation_Year,Inflation_NominaltoReal),TRUE,_xlfn.XLOOKUP($FY174,Inflation_Year,NominaltoReal)))</f>
        <v>0</v>
      </c>
      <c r="GF174" s="146" cm="1">
        <f t="array" ref="GF174">IF($FY174=0,0,_xlfn.IFS($FY174='Key assumptions'!$C$120,_xlfn.XLOOKUP(LEFT(GF$7,6),Inflation_Year,Inflation_NominaltoReal),TRUE,_xlfn.XLOOKUP($FY174,Inflation_Year,NominaltoReal)))</f>
        <v>0</v>
      </c>
      <c r="GG174" s="143"/>
      <c r="GH174" s="145" cm="1">
        <f t="array" ref="GH174">SUMPRODUCT(--($CR$7:$FW$7&gt;=GH$5),--($CR$7:$FW$7&lt;=GH$6),$CR174:$FW174)*FZ174</f>
        <v>0</v>
      </c>
      <c r="GI174" s="145" cm="1">
        <f t="array" ref="GI174">SUMPRODUCT(--($CR$7:$FW$7&gt;=GI$5),--($CR$7:$FW$7&lt;=GI$6),$CR174:$FW174)*GA174</f>
        <v>0</v>
      </c>
      <c r="GJ174" s="145" cm="1">
        <f t="array" ref="GJ174">SUMPRODUCT(--($CR$7:$FW$7&gt;=GJ$5),--($CR$7:$FW$7&lt;=GJ$6),$CR174:$FW174)*GB174</f>
        <v>0</v>
      </c>
      <c r="GK174" s="145" cm="1">
        <f t="array" ref="GK174">SUMPRODUCT(--($CR$7:$FW$7&gt;=GK$5),--($CR$7:$FW$7&lt;=GK$6),$CR174:$FW174)*GC174</f>
        <v>0</v>
      </c>
      <c r="GL174" s="145" cm="1">
        <f t="array" ref="GL174">SUMPRODUCT(--($CR$7:$FW$7&gt;=GL$5),--($CR$7:$FW$7&lt;=GL$6),$CR174:$FW174)*GD174</f>
        <v>0</v>
      </c>
      <c r="GM174" s="145" cm="1">
        <f t="array" ref="GM174">SUMPRODUCT(--($CR$7:$FW$7&gt;=GM$5),--($CR$7:$FW$7&lt;=GM$6),$CR174:$FW174)*GE174</f>
        <v>0</v>
      </c>
      <c r="GN174" s="145" cm="1">
        <f t="array" ref="GN174">SUMPRODUCT(--($CR$7:$FW$7&gt;=GN$5),--($CR$7:$FW$7&lt;=GN$6),$CR174:$FW174)*GF174</f>
        <v>0</v>
      </c>
      <c r="GO174" s="145">
        <f t="shared" si="2"/>
        <v>0</v>
      </c>
      <c r="GP174" s="87"/>
      <c r="GR174" s="145" cm="1">
        <f t="array" ref="GR174">SUMPRODUCT(--($CR$7:$FW$7&gt;=GR$5),--($CR$7:$FW$7&lt;=GR$6),$CR174:$FW174)</f>
        <v>0</v>
      </c>
    </row>
    <row r="175" spans="2:200" x14ac:dyDescent="0.2">
      <c r="B175" s="141"/>
      <c r="C175" s="141"/>
      <c r="D175" s="141"/>
      <c r="E175" s="141"/>
      <c r="F175" s="141"/>
      <c r="G175" s="141"/>
      <c r="H175" s="142"/>
      <c r="I175" s="126"/>
      <c r="J175" s="143"/>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3"/>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c r="EE175" s="145"/>
      <c r="EF175" s="145"/>
      <c r="EG175" s="145"/>
      <c r="EH175" s="145"/>
      <c r="EI175" s="145"/>
      <c r="EJ175" s="145"/>
      <c r="EK175" s="145"/>
      <c r="EL175" s="145"/>
      <c r="EM175" s="145"/>
      <c r="EN175" s="145"/>
      <c r="EO175" s="145"/>
      <c r="EP175" s="145"/>
      <c r="EQ175" s="145"/>
      <c r="ER175" s="145"/>
      <c r="ES175" s="145"/>
      <c r="ET175" s="145"/>
      <c r="EU175" s="145"/>
      <c r="EV175" s="145"/>
      <c r="EW175" s="145"/>
      <c r="EX175" s="145"/>
      <c r="EY175" s="145"/>
      <c r="EZ175" s="145"/>
      <c r="FA175" s="145"/>
      <c r="FB175" s="145"/>
      <c r="FC175" s="145"/>
      <c r="FD175" s="145"/>
      <c r="FE175" s="145"/>
      <c r="FF175" s="145"/>
      <c r="FG175" s="145"/>
      <c r="FH175" s="145"/>
      <c r="FI175" s="145"/>
      <c r="FJ175" s="145"/>
      <c r="FK175" s="145"/>
      <c r="FL175" s="145"/>
      <c r="FM175" s="145"/>
      <c r="FN175" s="145"/>
      <c r="FO175" s="145"/>
      <c r="FP175" s="145"/>
      <c r="FQ175" s="145"/>
      <c r="FR175" s="145"/>
      <c r="FS175" s="145"/>
      <c r="FT175" s="145"/>
      <c r="FU175" s="145"/>
      <c r="FV175" s="145"/>
      <c r="FW175" s="145"/>
      <c r="FX175" s="143"/>
      <c r="FY175" s="146">
        <f>_xlfn.XLOOKUP($E175,'Key assumptions'!$B$112:$B$120,'Key assumptions'!$C$112:$C$120,0)</f>
        <v>0</v>
      </c>
      <c r="FZ175" s="146" cm="1">
        <f t="array" ref="FZ175">IF($FY175=0,0,_xlfn.IFS($FY175='Key assumptions'!$C$120,_xlfn.XLOOKUP(LEFT(FZ$7,6),Inflation_Year,Inflation_NominaltoReal),TRUE,_xlfn.XLOOKUP($FY175,Inflation_Year,NominaltoReal)))</f>
        <v>0</v>
      </c>
      <c r="GA175" s="146" cm="1">
        <f t="array" ref="GA175">IF($FY175=0,0,_xlfn.IFS($FY175='Key assumptions'!$C$120,_xlfn.XLOOKUP(LEFT(GA$7,6),Inflation_Year,Inflation_NominaltoReal),TRUE,_xlfn.XLOOKUP($FY175,Inflation_Year,NominaltoReal)))</f>
        <v>0</v>
      </c>
      <c r="GB175" s="146" cm="1">
        <f t="array" ref="GB175">IF($FY175=0,0,_xlfn.IFS($FY175='Key assumptions'!$C$120,_xlfn.XLOOKUP(LEFT(GB$7,6),Inflation_Year,Inflation_NominaltoReal),TRUE,_xlfn.XLOOKUP($FY175,Inflation_Year,NominaltoReal)))</f>
        <v>0</v>
      </c>
      <c r="GC175" s="146" cm="1">
        <f t="array" ref="GC175">IF($FY175=0,0,_xlfn.IFS($FY175='Key assumptions'!$C$120,_xlfn.XLOOKUP(LEFT(GC$7,6),Inflation_Year,Inflation_NominaltoReal),TRUE,_xlfn.XLOOKUP($FY175,Inflation_Year,NominaltoReal)))</f>
        <v>0</v>
      </c>
      <c r="GD175" s="146" cm="1">
        <f t="array" ref="GD175">IF($FY175=0,0,_xlfn.IFS($FY175='Key assumptions'!$C$120,_xlfn.XLOOKUP(LEFT(GD$7,6),Inflation_Year,Inflation_NominaltoReal),TRUE,_xlfn.XLOOKUP($FY175,Inflation_Year,NominaltoReal)))</f>
        <v>0</v>
      </c>
      <c r="GE175" s="146" cm="1">
        <f t="array" ref="GE175">IF($FY175=0,0,_xlfn.IFS($FY175='Key assumptions'!$C$120,_xlfn.XLOOKUP(LEFT(GE$7,6),Inflation_Year,Inflation_NominaltoReal),TRUE,_xlfn.XLOOKUP($FY175,Inflation_Year,NominaltoReal)))</f>
        <v>0</v>
      </c>
      <c r="GF175" s="146" cm="1">
        <f t="array" ref="GF175">IF($FY175=0,0,_xlfn.IFS($FY175='Key assumptions'!$C$120,_xlfn.XLOOKUP(LEFT(GF$7,6),Inflation_Year,Inflation_NominaltoReal),TRUE,_xlfn.XLOOKUP($FY175,Inflation_Year,NominaltoReal)))</f>
        <v>0</v>
      </c>
      <c r="GG175" s="143"/>
      <c r="GH175" s="145" cm="1">
        <f t="array" ref="GH175">SUMPRODUCT(--($CR$7:$FW$7&gt;=GH$5),--($CR$7:$FW$7&lt;=GH$6),$CR175:$FW175)*FZ175</f>
        <v>0</v>
      </c>
      <c r="GI175" s="145" cm="1">
        <f t="array" ref="GI175">SUMPRODUCT(--($CR$7:$FW$7&gt;=GI$5),--($CR$7:$FW$7&lt;=GI$6),$CR175:$FW175)*GA175</f>
        <v>0</v>
      </c>
      <c r="GJ175" s="145" cm="1">
        <f t="array" ref="GJ175">SUMPRODUCT(--($CR$7:$FW$7&gt;=GJ$5),--($CR$7:$FW$7&lt;=GJ$6),$CR175:$FW175)*GB175</f>
        <v>0</v>
      </c>
      <c r="GK175" s="145" cm="1">
        <f t="array" ref="GK175">SUMPRODUCT(--($CR$7:$FW$7&gt;=GK$5),--($CR$7:$FW$7&lt;=GK$6),$CR175:$FW175)*GC175</f>
        <v>0</v>
      </c>
      <c r="GL175" s="145" cm="1">
        <f t="array" ref="GL175">SUMPRODUCT(--($CR$7:$FW$7&gt;=GL$5),--($CR$7:$FW$7&lt;=GL$6),$CR175:$FW175)*GD175</f>
        <v>0</v>
      </c>
      <c r="GM175" s="145" cm="1">
        <f t="array" ref="GM175">SUMPRODUCT(--($CR$7:$FW$7&gt;=GM$5),--($CR$7:$FW$7&lt;=GM$6),$CR175:$FW175)*GE175</f>
        <v>0</v>
      </c>
      <c r="GN175" s="145" cm="1">
        <f t="array" ref="GN175">SUMPRODUCT(--($CR$7:$FW$7&gt;=GN$5),--($CR$7:$FW$7&lt;=GN$6),$CR175:$FW175)*GF175</f>
        <v>0</v>
      </c>
      <c r="GO175" s="145">
        <f t="shared" si="2"/>
        <v>0</v>
      </c>
      <c r="GP175" s="87"/>
      <c r="GR175" s="145" cm="1">
        <f t="array" ref="GR175">SUMPRODUCT(--($CR$7:$FW$7&gt;=GR$5),--($CR$7:$FW$7&lt;=GR$6),$CR175:$FW175)</f>
        <v>0</v>
      </c>
    </row>
    <row r="176" spans="2:200" x14ac:dyDescent="0.2">
      <c r="B176" s="141"/>
      <c r="C176" s="141"/>
      <c r="D176" s="141"/>
      <c r="E176" s="141"/>
      <c r="F176" s="141"/>
      <c r="G176" s="141"/>
      <c r="H176" s="142"/>
      <c r="I176" s="126"/>
      <c r="J176" s="143"/>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3"/>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c r="EE176" s="145"/>
      <c r="EF176" s="145"/>
      <c r="EG176" s="145"/>
      <c r="EH176" s="145"/>
      <c r="EI176" s="145"/>
      <c r="EJ176" s="145"/>
      <c r="EK176" s="145"/>
      <c r="EL176" s="145"/>
      <c r="EM176" s="145"/>
      <c r="EN176" s="145"/>
      <c r="EO176" s="145"/>
      <c r="EP176" s="145"/>
      <c r="EQ176" s="145"/>
      <c r="ER176" s="145"/>
      <c r="ES176" s="145"/>
      <c r="ET176" s="145"/>
      <c r="EU176" s="145"/>
      <c r="EV176" s="145"/>
      <c r="EW176" s="145"/>
      <c r="EX176" s="145"/>
      <c r="EY176" s="145"/>
      <c r="EZ176" s="145"/>
      <c r="FA176" s="145"/>
      <c r="FB176" s="145"/>
      <c r="FC176" s="145"/>
      <c r="FD176" s="145"/>
      <c r="FE176" s="145"/>
      <c r="FF176" s="145"/>
      <c r="FG176" s="145"/>
      <c r="FH176" s="145"/>
      <c r="FI176" s="145"/>
      <c r="FJ176" s="145"/>
      <c r="FK176" s="145"/>
      <c r="FL176" s="145"/>
      <c r="FM176" s="145"/>
      <c r="FN176" s="145"/>
      <c r="FO176" s="145"/>
      <c r="FP176" s="145"/>
      <c r="FQ176" s="145"/>
      <c r="FR176" s="145"/>
      <c r="FS176" s="145"/>
      <c r="FT176" s="145"/>
      <c r="FU176" s="145"/>
      <c r="FV176" s="145"/>
      <c r="FW176" s="145"/>
      <c r="FX176" s="143"/>
      <c r="FY176" s="146">
        <f>_xlfn.XLOOKUP($E176,'Key assumptions'!$B$112:$B$120,'Key assumptions'!$C$112:$C$120,0)</f>
        <v>0</v>
      </c>
      <c r="FZ176" s="146" cm="1">
        <f t="array" ref="FZ176">IF($FY176=0,0,_xlfn.IFS($FY176='Key assumptions'!$C$120,_xlfn.XLOOKUP(LEFT(FZ$7,6),Inflation_Year,Inflation_NominaltoReal),TRUE,_xlfn.XLOOKUP($FY176,Inflation_Year,NominaltoReal)))</f>
        <v>0</v>
      </c>
      <c r="GA176" s="146" cm="1">
        <f t="array" ref="GA176">IF($FY176=0,0,_xlfn.IFS($FY176='Key assumptions'!$C$120,_xlfn.XLOOKUP(LEFT(GA$7,6),Inflation_Year,Inflation_NominaltoReal),TRUE,_xlfn.XLOOKUP($FY176,Inflation_Year,NominaltoReal)))</f>
        <v>0</v>
      </c>
      <c r="GB176" s="146" cm="1">
        <f t="array" ref="GB176">IF($FY176=0,0,_xlfn.IFS($FY176='Key assumptions'!$C$120,_xlfn.XLOOKUP(LEFT(GB$7,6),Inflation_Year,Inflation_NominaltoReal),TRUE,_xlfn.XLOOKUP($FY176,Inflation_Year,NominaltoReal)))</f>
        <v>0</v>
      </c>
      <c r="GC176" s="146" cm="1">
        <f t="array" ref="GC176">IF($FY176=0,0,_xlfn.IFS($FY176='Key assumptions'!$C$120,_xlfn.XLOOKUP(LEFT(GC$7,6),Inflation_Year,Inflation_NominaltoReal),TRUE,_xlfn.XLOOKUP($FY176,Inflation_Year,NominaltoReal)))</f>
        <v>0</v>
      </c>
      <c r="GD176" s="146" cm="1">
        <f t="array" ref="GD176">IF($FY176=0,0,_xlfn.IFS($FY176='Key assumptions'!$C$120,_xlfn.XLOOKUP(LEFT(GD$7,6),Inflation_Year,Inflation_NominaltoReal),TRUE,_xlfn.XLOOKUP($FY176,Inflation_Year,NominaltoReal)))</f>
        <v>0</v>
      </c>
      <c r="GE176" s="146" cm="1">
        <f t="array" ref="GE176">IF($FY176=0,0,_xlfn.IFS($FY176='Key assumptions'!$C$120,_xlfn.XLOOKUP(LEFT(GE$7,6),Inflation_Year,Inflation_NominaltoReal),TRUE,_xlfn.XLOOKUP($FY176,Inflation_Year,NominaltoReal)))</f>
        <v>0</v>
      </c>
      <c r="GF176" s="146" cm="1">
        <f t="array" ref="GF176">IF($FY176=0,0,_xlfn.IFS($FY176='Key assumptions'!$C$120,_xlfn.XLOOKUP(LEFT(GF$7,6),Inflation_Year,Inflation_NominaltoReal),TRUE,_xlfn.XLOOKUP($FY176,Inflation_Year,NominaltoReal)))</f>
        <v>0</v>
      </c>
      <c r="GG176" s="143"/>
      <c r="GH176" s="145" cm="1">
        <f t="array" ref="GH176">SUMPRODUCT(--($CR$7:$FW$7&gt;=GH$5),--($CR$7:$FW$7&lt;=GH$6),$CR176:$FW176)*FZ176</f>
        <v>0</v>
      </c>
      <c r="GI176" s="145" cm="1">
        <f t="array" ref="GI176">SUMPRODUCT(--($CR$7:$FW$7&gt;=GI$5),--($CR$7:$FW$7&lt;=GI$6),$CR176:$FW176)*GA176</f>
        <v>0</v>
      </c>
      <c r="GJ176" s="145" cm="1">
        <f t="array" ref="GJ176">SUMPRODUCT(--($CR$7:$FW$7&gt;=GJ$5),--($CR$7:$FW$7&lt;=GJ$6),$CR176:$FW176)*GB176</f>
        <v>0</v>
      </c>
      <c r="GK176" s="145" cm="1">
        <f t="array" ref="GK176">SUMPRODUCT(--($CR$7:$FW$7&gt;=GK$5),--($CR$7:$FW$7&lt;=GK$6),$CR176:$FW176)*GC176</f>
        <v>0</v>
      </c>
      <c r="GL176" s="145" cm="1">
        <f t="array" ref="GL176">SUMPRODUCT(--($CR$7:$FW$7&gt;=GL$5),--($CR$7:$FW$7&lt;=GL$6),$CR176:$FW176)*GD176</f>
        <v>0</v>
      </c>
      <c r="GM176" s="145" cm="1">
        <f t="array" ref="GM176">SUMPRODUCT(--($CR$7:$FW$7&gt;=GM$5),--($CR$7:$FW$7&lt;=GM$6),$CR176:$FW176)*GE176</f>
        <v>0</v>
      </c>
      <c r="GN176" s="145" cm="1">
        <f t="array" ref="GN176">SUMPRODUCT(--($CR$7:$FW$7&gt;=GN$5),--($CR$7:$FW$7&lt;=GN$6),$CR176:$FW176)*GF176</f>
        <v>0</v>
      </c>
      <c r="GO176" s="145">
        <f t="shared" si="2"/>
        <v>0</v>
      </c>
      <c r="GP176" s="87"/>
      <c r="GR176" s="145" cm="1">
        <f t="array" ref="GR176">SUMPRODUCT(--($CR$7:$FW$7&gt;=GR$5),--($CR$7:$FW$7&lt;=GR$6),$CR176:$FW176)</f>
        <v>0</v>
      </c>
    </row>
    <row r="177" spans="2:200" x14ac:dyDescent="0.2">
      <c r="B177" s="141"/>
      <c r="C177" s="141"/>
      <c r="D177" s="141"/>
      <c r="E177" s="141"/>
      <c r="F177" s="141"/>
      <c r="G177" s="141"/>
      <c r="H177" s="142"/>
      <c r="I177" s="126"/>
      <c r="J177" s="143"/>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3"/>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5"/>
      <c r="EU177" s="145"/>
      <c r="EV177" s="145"/>
      <c r="EW177" s="145"/>
      <c r="EX177" s="145"/>
      <c r="EY177" s="145"/>
      <c r="EZ177" s="145"/>
      <c r="FA177" s="145"/>
      <c r="FB177" s="145"/>
      <c r="FC177" s="145"/>
      <c r="FD177" s="145"/>
      <c r="FE177" s="145"/>
      <c r="FF177" s="145"/>
      <c r="FG177" s="145"/>
      <c r="FH177" s="145"/>
      <c r="FI177" s="145"/>
      <c r="FJ177" s="145"/>
      <c r="FK177" s="145"/>
      <c r="FL177" s="145"/>
      <c r="FM177" s="145"/>
      <c r="FN177" s="145"/>
      <c r="FO177" s="145"/>
      <c r="FP177" s="145"/>
      <c r="FQ177" s="145"/>
      <c r="FR177" s="145"/>
      <c r="FS177" s="145"/>
      <c r="FT177" s="145"/>
      <c r="FU177" s="145"/>
      <c r="FV177" s="145"/>
      <c r="FW177" s="145"/>
      <c r="FX177" s="143"/>
      <c r="FY177" s="146">
        <f>_xlfn.XLOOKUP($E177,'Key assumptions'!$B$112:$B$120,'Key assumptions'!$C$112:$C$120,0)</f>
        <v>0</v>
      </c>
      <c r="FZ177" s="146" cm="1">
        <f t="array" ref="FZ177">IF($FY177=0,0,_xlfn.IFS($FY177='Key assumptions'!$C$120,_xlfn.XLOOKUP(LEFT(FZ$7,6),Inflation_Year,Inflation_NominaltoReal),TRUE,_xlfn.XLOOKUP($FY177,Inflation_Year,NominaltoReal)))</f>
        <v>0</v>
      </c>
      <c r="GA177" s="146" cm="1">
        <f t="array" ref="GA177">IF($FY177=0,0,_xlfn.IFS($FY177='Key assumptions'!$C$120,_xlfn.XLOOKUP(LEFT(GA$7,6),Inflation_Year,Inflation_NominaltoReal),TRUE,_xlfn.XLOOKUP($FY177,Inflation_Year,NominaltoReal)))</f>
        <v>0</v>
      </c>
      <c r="GB177" s="146" cm="1">
        <f t="array" ref="GB177">IF($FY177=0,0,_xlfn.IFS($FY177='Key assumptions'!$C$120,_xlfn.XLOOKUP(LEFT(GB$7,6),Inflation_Year,Inflation_NominaltoReal),TRUE,_xlfn.XLOOKUP($FY177,Inflation_Year,NominaltoReal)))</f>
        <v>0</v>
      </c>
      <c r="GC177" s="146" cm="1">
        <f t="array" ref="GC177">IF($FY177=0,0,_xlfn.IFS($FY177='Key assumptions'!$C$120,_xlfn.XLOOKUP(LEFT(GC$7,6),Inflation_Year,Inflation_NominaltoReal),TRUE,_xlfn.XLOOKUP($FY177,Inflation_Year,NominaltoReal)))</f>
        <v>0</v>
      </c>
      <c r="GD177" s="146" cm="1">
        <f t="array" ref="GD177">IF($FY177=0,0,_xlfn.IFS($FY177='Key assumptions'!$C$120,_xlfn.XLOOKUP(LEFT(GD$7,6),Inflation_Year,Inflation_NominaltoReal),TRUE,_xlfn.XLOOKUP($FY177,Inflation_Year,NominaltoReal)))</f>
        <v>0</v>
      </c>
      <c r="GE177" s="146" cm="1">
        <f t="array" ref="GE177">IF($FY177=0,0,_xlfn.IFS($FY177='Key assumptions'!$C$120,_xlfn.XLOOKUP(LEFT(GE$7,6),Inflation_Year,Inflation_NominaltoReal),TRUE,_xlfn.XLOOKUP($FY177,Inflation_Year,NominaltoReal)))</f>
        <v>0</v>
      </c>
      <c r="GF177" s="146" cm="1">
        <f t="array" ref="GF177">IF($FY177=0,0,_xlfn.IFS($FY177='Key assumptions'!$C$120,_xlfn.XLOOKUP(LEFT(GF$7,6),Inflation_Year,Inflation_NominaltoReal),TRUE,_xlfn.XLOOKUP($FY177,Inflation_Year,NominaltoReal)))</f>
        <v>0</v>
      </c>
      <c r="GG177" s="143"/>
      <c r="GH177" s="145" cm="1">
        <f t="array" ref="GH177">SUMPRODUCT(--($CR$7:$FW$7&gt;=GH$5),--($CR$7:$FW$7&lt;=GH$6),$CR177:$FW177)*FZ177</f>
        <v>0</v>
      </c>
      <c r="GI177" s="145" cm="1">
        <f t="array" ref="GI177">SUMPRODUCT(--($CR$7:$FW$7&gt;=GI$5),--($CR$7:$FW$7&lt;=GI$6),$CR177:$FW177)*GA177</f>
        <v>0</v>
      </c>
      <c r="GJ177" s="145" cm="1">
        <f t="array" ref="GJ177">SUMPRODUCT(--($CR$7:$FW$7&gt;=GJ$5),--($CR$7:$FW$7&lt;=GJ$6),$CR177:$FW177)*GB177</f>
        <v>0</v>
      </c>
      <c r="GK177" s="145" cm="1">
        <f t="array" ref="GK177">SUMPRODUCT(--($CR$7:$FW$7&gt;=GK$5),--($CR$7:$FW$7&lt;=GK$6),$CR177:$FW177)*GC177</f>
        <v>0</v>
      </c>
      <c r="GL177" s="145" cm="1">
        <f t="array" ref="GL177">SUMPRODUCT(--($CR$7:$FW$7&gt;=GL$5),--($CR$7:$FW$7&lt;=GL$6),$CR177:$FW177)*GD177</f>
        <v>0</v>
      </c>
      <c r="GM177" s="145" cm="1">
        <f t="array" ref="GM177">SUMPRODUCT(--($CR$7:$FW$7&gt;=GM$5),--($CR$7:$FW$7&lt;=GM$6),$CR177:$FW177)*GE177</f>
        <v>0</v>
      </c>
      <c r="GN177" s="145" cm="1">
        <f t="array" ref="GN177">SUMPRODUCT(--($CR$7:$FW$7&gt;=GN$5),--($CR$7:$FW$7&lt;=GN$6),$CR177:$FW177)*GF177</f>
        <v>0</v>
      </c>
      <c r="GO177" s="145">
        <f t="shared" si="2"/>
        <v>0</v>
      </c>
      <c r="GP177" s="87"/>
      <c r="GR177" s="145" cm="1">
        <f t="array" ref="GR177">SUMPRODUCT(--($CR$7:$FW$7&gt;=GR$5),--($CR$7:$FW$7&lt;=GR$6),$CR177:$FW177)</f>
        <v>0</v>
      </c>
    </row>
    <row r="178" spans="2:200" x14ac:dyDescent="0.2">
      <c r="B178" s="141"/>
      <c r="C178" s="141"/>
      <c r="D178" s="141"/>
      <c r="E178" s="141"/>
      <c r="F178" s="141"/>
      <c r="G178" s="141"/>
      <c r="H178" s="142"/>
      <c r="I178" s="126"/>
      <c r="J178" s="143"/>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3"/>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c r="EE178" s="145"/>
      <c r="EF178" s="145"/>
      <c r="EG178" s="145"/>
      <c r="EH178" s="145"/>
      <c r="EI178" s="145"/>
      <c r="EJ178" s="145"/>
      <c r="EK178" s="145"/>
      <c r="EL178" s="145"/>
      <c r="EM178" s="145"/>
      <c r="EN178" s="145"/>
      <c r="EO178" s="145"/>
      <c r="EP178" s="145"/>
      <c r="EQ178" s="145"/>
      <c r="ER178" s="145"/>
      <c r="ES178" s="145"/>
      <c r="ET178" s="145"/>
      <c r="EU178" s="145"/>
      <c r="EV178" s="145"/>
      <c r="EW178" s="145"/>
      <c r="EX178" s="145"/>
      <c r="EY178" s="145"/>
      <c r="EZ178" s="145"/>
      <c r="FA178" s="145"/>
      <c r="FB178" s="145"/>
      <c r="FC178" s="145"/>
      <c r="FD178" s="145"/>
      <c r="FE178" s="145"/>
      <c r="FF178" s="145"/>
      <c r="FG178" s="145"/>
      <c r="FH178" s="145"/>
      <c r="FI178" s="145"/>
      <c r="FJ178" s="145"/>
      <c r="FK178" s="145"/>
      <c r="FL178" s="145"/>
      <c r="FM178" s="145"/>
      <c r="FN178" s="145"/>
      <c r="FO178" s="145"/>
      <c r="FP178" s="145"/>
      <c r="FQ178" s="145"/>
      <c r="FR178" s="145"/>
      <c r="FS178" s="145"/>
      <c r="FT178" s="145"/>
      <c r="FU178" s="145"/>
      <c r="FV178" s="145"/>
      <c r="FW178" s="145"/>
      <c r="FX178" s="143"/>
      <c r="FY178" s="146">
        <f>_xlfn.XLOOKUP($E178,'Key assumptions'!$B$112:$B$120,'Key assumptions'!$C$112:$C$120,0)</f>
        <v>0</v>
      </c>
      <c r="FZ178" s="146" cm="1">
        <f t="array" ref="FZ178">IF($FY178=0,0,_xlfn.IFS($FY178='Key assumptions'!$C$120,_xlfn.XLOOKUP(LEFT(FZ$7,6),Inflation_Year,Inflation_NominaltoReal),TRUE,_xlfn.XLOOKUP($FY178,Inflation_Year,NominaltoReal)))</f>
        <v>0</v>
      </c>
      <c r="GA178" s="146" cm="1">
        <f t="array" ref="GA178">IF($FY178=0,0,_xlfn.IFS($FY178='Key assumptions'!$C$120,_xlfn.XLOOKUP(LEFT(GA$7,6),Inflation_Year,Inflation_NominaltoReal),TRUE,_xlfn.XLOOKUP($FY178,Inflation_Year,NominaltoReal)))</f>
        <v>0</v>
      </c>
      <c r="GB178" s="146" cm="1">
        <f t="array" ref="GB178">IF($FY178=0,0,_xlfn.IFS($FY178='Key assumptions'!$C$120,_xlfn.XLOOKUP(LEFT(GB$7,6),Inflation_Year,Inflation_NominaltoReal),TRUE,_xlfn.XLOOKUP($FY178,Inflation_Year,NominaltoReal)))</f>
        <v>0</v>
      </c>
      <c r="GC178" s="146" cm="1">
        <f t="array" ref="GC178">IF($FY178=0,0,_xlfn.IFS($FY178='Key assumptions'!$C$120,_xlfn.XLOOKUP(LEFT(GC$7,6),Inflation_Year,Inflation_NominaltoReal),TRUE,_xlfn.XLOOKUP($FY178,Inflation_Year,NominaltoReal)))</f>
        <v>0</v>
      </c>
      <c r="GD178" s="146" cm="1">
        <f t="array" ref="GD178">IF($FY178=0,0,_xlfn.IFS($FY178='Key assumptions'!$C$120,_xlfn.XLOOKUP(LEFT(GD$7,6),Inflation_Year,Inflation_NominaltoReal),TRUE,_xlfn.XLOOKUP($FY178,Inflation_Year,NominaltoReal)))</f>
        <v>0</v>
      </c>
      <c r="GE178" s="146" cm="1">
        <f t="array" ref="GE178">IF($FY178=0,0,_xlfn.IFS($FY178='Key assumptions'!$C$120,_xlfn.XLOOKUP(LEFT(GE$7,6),Inflation_Year,Inflation_NominaltoReal),TRUE,_xlfn.XLOOKUP($FY178,Inflation_Year,NominaltoReal)))</f>
        <v>0</v>
      </c>
      <c r="GF178" s="146" cm="1">
        <f t="array" ref="GF178">IF($FY178=0,0,_xlfn.IFS($FY178='Key assumptions'!$C$120,_xlfn.XLOOKUP(LEFT(GF$7,6),Inflation_Year,Inflation_NominaltoReal),TRUE,_xlfn.XLOOKUP($FY178,Inflation_Year,NominaltoReal)))</f>
        <v>0</v>
      </c>
      <c r="GG178" s="143"/>
      <c r="GH178" s="145" cm="1">
        <f t="array" ref="GH178">SUMPRODUCT(--($CR$7:$FW$7&gt;=GH$5),--($CR$7:$FW$7&lt;=GH$6),$CR178:$FW178)*FZ178</f>
        <v>0</v>
      </c>
      <c r="GI178" s="145" cm="1">
        <f t="array" ref="GI178">SUMPRODUCT(--($CR$7:$FW$7&gt;=GI$5),--($CR$7:$FW$7&lt;=GI$6),$CR178:$FW178)*GA178</f>
        <v>0</v>
      </c>
      <c r="GJ178" s="145" cm="1">
        <f t="array" ref="GJ178">SUMPRODUCT(--($CR$7:$FW$7&gt;=GJ$5),--($CR$7:$FW$7&lt;=GJ$6),$CR178:$FW178)*GB178</f>
        <v>0</v>
      </c>
      <c r="GK178" s="145" cm="1">
        <f t="array" ref="GK178">SUMPRODUCT(--($CR$7:$FW$7&gt;=GK$5),--($CR$7:$FW$7&lt;=GK$6),$CR178:$FW178)*GC178</f>
        <v>0</v>
      </c>
      <c r="GL178" s="145" cm="1">
        <f t="array" ref="GL178">SUMPRODUCT(--($CR$7:$FW$7&gt;=GL$5),--($CR$7:$FW$7&lt;=GL$6),$CR178:$FW178)*GD178</f>
        <v>0</v>
      </c>
      <c r="GM178" s="145" cm="1">
        <f t="array" ref="GM178">SUMPRODUCT(--($CR$7:$FW$7&gt;=GM$5),--($CR$7:$FW$7&lt;=GM$6),$CR178:$FW178)*GE178</f>
        <v>0</v>
      </c>
      <c r="GN178" s="145" cm="1">
        <f t="array" ref="GN178">SUMPRODUCT(--($CR$7:$FW$7&gt;=GN$5),--($CR$7:$FW$7&lt;=GN$6),$CR178:$FW178)*GF178</f>
        <v>0</v>
      </c>
      <c r="GO178" s="145">
        <f t="shared" si="2"/>
        <v>0</v>
      </c>
      <c r="GP178" s="87"/>
      <c r="GR178" s="145" cm="1">
        <f t="array" ref="GR178">SUMPRODUCT(--($CR$7:$FW$7&gt;=GR$5),--($CR$7:$FW$7&lt;=GR$6),$CR178:$FW178)</f>
        <v>0</v>
      </c>
    </row>
    <row r="179" spans="2:200" x14ac:dyDescent="0.2">
      <c r="B179" s="141"/>
      <c r="C179" s="141"/>
      <c r="D179" s="141"/>
      <c r="E179" s="141"/>
      <c r="F179" s="141"/>
      <c r="G179" s="141"/>
      <c r="H179" s="142"/>
      <c r="I179" s="126"/>
      <c r="J179" s="143"/>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3"/>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c r="EE179" s="145"/>
      <c r="EF179" s="145"/>
      <c r="EG179" s="145"/>
      <c r="EH179" s="145"/>
      <c r="EI179" s="145"/>
      <c r="EJ179" s="145"/>
      <c r="EK179" s="145"/>
      <c r="EL179" s="145"/>
      <c r="EM179" s="145"/>
      <c r="EN179" s="14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45"/>
      <c r="FK179" s="145"/>
      <c r="FL179" s="145"/>
      <c r="FM179" s="145"/>
      <c r="FN179" s="145"/>
      <c r="FO179" s="145"/>
      <c r="FP179" s="145"/>
      <c r="FQ179" s="145"/>
      <c r="FR179" s="145"/>
      <c r="FS179" s="145"/>
      <c r="FT179" s="145"/>
      <c r="FU179" s="145"/>
      <c r="FV179" s="145"/>
      <c r="FW179" s="145"/>
      <c r="FX179" s="143"/>
      <c r="FY179" s="146">
        <f>_xlfn.XLOOKUP($E179,'Key assumptions'!$B$112:$B$120,'Key assumptions'!$C$112:$C$120,0)</f>
        <v>0</v>
      </c>
      <c r="FZ179" s="146" cm="1">
        <f t="array" ref="FZ179">IF($FY179=0,0,_xlfn.IFS($FY179='Key assumptions'!$C$120,_xlfn.XLOOKUP(LEFT(FZ$7,6),Inflation_Year,Inflation_NominaltoReal),TRUE,_xlfn.XLOOKUP($FY179,Inflation_Year,NominaltoReal)))</f>
        <v>0</v>
      </c>
      <c r="GA179" s="146" cm="1">
        <f t="array" ref="GA179">IF($FY179=0,0,_xlfn.IFS($FY179='Key assumptions'!$C$120,_xlfn.XLOOKUP(LEFT(GA$7,6),Inflation_Year,Inflation_NominaltoReal),TRUE,_xlfn.XLOOKUP($FY179,Inflation_Year,NominaltoReal)))</f>
        <v>0</v>
      </c>
      <c r="GB179" s="146" cm="1">
        <f t="array" ref="GB179">IF($FY179=0,0,_xlfn.IFS($FY179='Key assumptions'!$C$120,_xlfn.XLOOKUP(LEFT(GB$7,6),Inflation_Year,Inflation_NominaltoReal),TRUE,_xlfn.XLOOKUP($FY179,Inflation_Year,NominaltoReal)))</f>
        <v>0</v>
      </c>
      <c r="GC179" s="146" cm="1">
        <f t="array" ref="GC179">IF($FY179=0,0,_xlfn.IFS($FY179='Key assumptions'!$C$120,_xlfn.XLOOKUP(LEFT(GC$7,6),Inflation_Year,Inflation_NominaltoReal),TRUE,_xlfn.XLOOKUP($FY179,Inflation_Year,NominaltoReal)))</f>
        <v>0</v>
      </c>
      <c r="GD179" s="146" cm="1">
        <f t="array" ref="GD179">IF($FY179=0,0,_xlfn.IFS($FY179='Key assumptions'!$C$120,_xlfn.XLOOKUP(LEFT(GD$7,6),Inflation_Year,Inflation_NominaltoReal),TRUE,_xlfn.XLOOKUP($FY179,Inflation_Year,NominaltoReal)))</f>
        <v>0</v>
      </c>
      <c r="GE179" s="146" cm="1">
        <f t="array" ref="GE179">IF($FY179=0,0,_xlfn.IFS($FY179='Key assumptions'!$C$120,_xlfn.XLOOKUP(LEFT(GE$7,6),Inflation_Year,Inflation_NominaltoReal),TRUE,_xlfn.XLOOKUP($FY179,Inflation_Year,NominaltoReal)))</f>
        <v>0</v>
      </c>
      <c r="GF179" s="146" cm="1">
        <f t="array" ref="GF179">IF($FY179=0,0,_xlfn.IFS($FY179='Key assumptions'!$C$120,_xlfn.XLOOKUP(LEFT(GF$7,6),Inflation_Year,Inflation_NominaltoReal),TRUE,_xlfn.XLOOKUP($FY179,Inflation_Year,NominaltoReal)))</f>
        <v>0</v>
      </c>
      <c r="GG179" s="143"/>
      <c r="GH179" s="145" cm="1">
        <f t="array" ref="GH179">SUMPRODUCT(--($CR$7:$FW$7&gt;=GH$5),--($CR$7:$FW$7&lt;=GH$6),$CR179:$FW179)*FZ179</f>
        <v>0</v>
      </c>
      <c r="GI179" s="145" cm="1">
        <f t="array" ref="GI179">SUMPRODUCT(--($CR$7:$FW$7&gt;=GI$5),--($CR$7:$FW$7&lt;=GI$6),$CR179:$FW179)*GA179</f>
        <v>0</v>
      </c>
      <c r="GJ179" s="145" cm="1">
        <f t="array" ref="GJ179">SUMPRODUCT(--($CR$7:$FW$7&gt;=GJ$5),--($CR$7:$FW$7&lt;=GJ$6),$CR179:$FW179)*GB179</f>
        <v>0</v>
      </c>
      <c r="GK179" s="145" cm="1">
        <f t="array" ref="GK179">SUMPRODUCT(--($CR$7:$FW$7&gt;=GK$5),--($CR$7:$FW$7&lt;=GK$6),$CR179:$FW179)*GC179</f>
        <v>0</v>
      </c>
      <c r="GL179" s="145" cm="1">
        <f t="array" ref="GL179">SUMPRODUCT(--($CR$7:$FW$7&gt;=GL$5),--($CR$7:$FW$7&lt;=GL$6),$CR179:$FW179)*GD179</f>
        <v>0</v>
      </c>
      <c r="GM179" s="145" cm="1">
        <f t="array" ref="GM179">SUMPRODUCT(--($CR$7:$FW$7&gt;=GM$5),--($CR$7:$FW$7&lt;=GM$6),$CR179:$FW179)*GE179</f>
        <v>0</v>
      </c>
      <c r="GN179" s="145" cm="1">
        <f t="array" ref="GN179">SUMPRODUCT(--($CR$7:$FW$7&gt;=GN$5),--($CR$7:$FW$7&lt;=GN$6),$CR179:$FW179)*GF179</f>
        <v>0</v>
      </c>
      <c r="GO179" s="145">
        <f t="shared" si="2"/>
        <v>0</v>
      </c>
      <c r="GP179" s="87"/>
      <c r="GR179" s="145" cm="1">
        <f t="array" ref="GR179">SUMPRODUCT(--($CR$7:$FW$7&gt;=GR$5),--($CR$7:$FW$7&lt;=GR$6),$CR179:$FW179)</f>
        <v>0</v>
      </c>
    </row>
    <row r="180" spans="2:200" x14ac:dyDescent="0.2">
      <c r="B180" s="141"/>
      <c r="C180" s="141"/>
      <c r="D180" s="141"/>
      <c r="E180" s="141"/>
      <c r="F180" s="141"/>
      <c r="G180" s="141"/>
      <c r="H180" s="142"/>
      <c r="I180" s="126"/>
      <c r="J180" s="143"/>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3"/>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c r="EE180" s="145"/>
      <c r="EF180" s="145"/>
      <c r="EG180" s="145"/>
      <c r="EH180" s="145"/>
      <c r="EI180" s="145"/>
      <c r="EJ180" s="145"/>
      <c r="EK180" s="145"/>
      <c r="EL180" s="145"/>
      <c r="EM180" s="145"/>
      <c r="EN180" s="145"/>
      <c r="EO180" s="145"/>
      <c r="EP180" s="145"/>
      <c r="EQ180" s="145"/>
      <c r="ER180" s="145"/>
      <c r="ES180" s="145"/>
      <c r="ET180" s="145"/>
      <c r="EU180" s="145"/>
      <c r="EV180" s="145"/>
      <c r="EW180" s="145"/>
      <c r="EX180" s="145"/>
      <c r="EY180" s="145"/>
      <c r="EZ180" s="145"/>
      <c r="FA180" s="145"/>
      <c r="FB180" s="145"/>
      <c r="FC180" s="145"/>
      <c r="FD180" s="145"/>
      <c r="FE180" s="145"/>
      <c r="FF180" s="145"/>
      <c r="FG180" s="145"/>
      <c r="FH180" s="145"/>
      <c r="FI180" s="145"/>
      <c r="FJ180" s="145"/>
      <c r="FK180" s="145"/>
      <c r="FL180" s="145"/>
      <c r="FM180" s="145"/>
      <c r="FN180" s="145"/>
      <c r="FO180" s="145"/>
      <c r="FP180" s="145"/>
      <c r="FQ180" s="145"/>
      <c r="FR180" s="145"/>
      <c r="FS180" s="145"/>
      <c r="FT180" s="145"/>
      <c r="FU180" s="145"/>
      <c r="FV180" s="145"/>
      <c r="FW180" s="145"/>
      <c r="FX180" s="143"/>
      <c r="FY180" s="146">
        <f>_xlfn.XLOOKUP($E180,'Key assumptions'!$B$112:$B$120,'Key assumptions'!$C$112:$C$120,0)</f>
        <v>0</v>
      </c>
      <c r="FZ180" s="146" cm="1">
        <f t="array" ref="FZ180">IF($FY180=0,0,_xlfn.IFS($FY180='Key assumptions'!$C$120,_xlfn.XLOOKUP(LEFT(FZ$7,6),Inflation_Year,Inflation_NominaltoReal),TRUE,_xlfn.XLOOKUP($FY180,Inflation_Year,NominaltoReal)))</f>
        <v>0</v>
      </c>
      <c r="GA180" s="146" cm="1">
        <f t="array" ref="GA180">IF($FY180=0,0,_xlfn.IFS($FY180='Key assumptions'!$C$120,_xlfn.XLOOKUP(LEFT(GA$7,6),Inflation_Year,Inflation_NominaltoReal),TRUE,_xlfn.XLOOKUP($FY180,Inflation_Year,NominaltoReal)))</f>
        <v>0</v>
      </c>
      <c r="GB180" s="146" cm="1">
        <f t="array" ref="GB180">IF($FY180=0,0,_xlfn.IFS($FY180='Key assumptions'!$C$120,_xlfn.XLOOKUP(LEFT(GB$7,6),Inflation_Year,Inflation_NominaltoReal),TRUE,_xlfn.XLOOKUP($FY180,Inflation_Year,NominaltoReal)))</f>
        <v>0</v>
      </c>
      <c r="GC180" s="146" cm="1">
        <f t="array" ref="GC180">IF($FY180=0,0,_xlfn.IFS($FY180='Key assumptions'!$C$120,_xlfn.XLOOKUP(LEFT(GC$7,6),Inflation_Year,Inflation_NominaltoReal),TRUE,_xlfn.XLOOKUP($FY180,Inflation_Year,NominaltoReal)))</f>
        <v>0</v>
      </c>
      <c r="GD180" s="146" cm="1">
        <f t="array" ref="GD180">IF($FY180=0,0,_xlfn.IFS($FY180='Key assumptions'!$C$120,_xlfn.XLOOKUP(LEFT(GD$7,6),Inflation_Year,Inflation_NominaltoReal),TRUE,_xlfn.XLOOKUP($FY180,Inflation_Year,NominaltoReal)))</f>
        <v>0</v>
      </c>
      <c r="GE180" s="146" cm="1">
        <f t="array" ref="GE180">IF($FY180=0,0,_xlfn.IFS($FY180='Key assumptions'!$C$120,_xlfn.XLOOKUP(LEFT(GE$7,6),Inflation_Year,Inflation_NominaltoReal),TRUE,_xlfn.XLOOKUP($FY180,Inflation_Year,NominaltoReal)))</f>
        <v>0</v>
      </c>
      <c r="GF180" s="146" cm="1">
        <f t="array" ref="GF180">IF($FY180=0,0,_xlfn.IFS($FY180='Key assumptions'!$C$120,_xlfn.XLOOKUP(LEFT(GF$7,6),Inflation_Year,Inflation_NominaltoReal),TRUE,_xlfn.XLOOKUP($FY180,Inflation_Year,NominaltoReal)))</f>
        <v>0</v>
      </c>
      <c r="GG180" s="143"/>
      <c r="GH180" s="145" cm="1">
        <f t="array" ref="GH180">SUMPRODUCT(--($CR$7:$FW$7&gt;=GH$5),--($CR$7:$FW$7&lt;=GH$6),$CR180:$FW180)*FZ180</f>
        <v>0</v>
      </c>
      <c r="GI180" s="145" cm="1">
        <f t="array" ref="GI180">SUMPRODUCT(--($CR$7:$FW$7&gt;=GI$5),--($CR$7:$FW$7&lt;=GI$6),$CR180:$FW180)*GA180</f>
        <v>0</v>
      </c>
      <c r="GJ180" s="145" cm="1">
        <f t="array" ref="GJ180">SUMPRODUCT(--($CR$7:$FW$7&gt;=GJ$5),--($CR$7:$FW$7&lt;=GJ$6),$CR180:$FW180)*GB180</f>
        <v>0</v>
      </c>
      <c r="GK180" s="145" cm="1">
        <f t="array" ref="GK180">SUMPRODUCT(--($CR$7:$FW$7&gt;=GK$5),--($CR$7:$FW$7&lt;=GK$6),$CR180:$FW180)*GC180</f>
        <v>0</v>
      </c>
      <c r="GL180" s="145" cm="1">
        <f t="array" ref="GL180">SUMPRODUCT(--($CR$7:$FW$7&gt;=GL$5),--($CR$7:$FW$7&lt;=GL$6),$CR180:$FW180)*GD180</f>
        <v>0</v>
      </c>
      <c r="GM180" s="145" cm="1">
        <f t="array" ref="GM180">SUMPRODUCT(--($CR$7:$FW$7&gt;=GM$5),--($CR$7:$FW$7&lt;=GM$6),$CR180:$FW180)*GE180</f>
        <v>0</v>
      </c>
      <c r="GN180" s="145" cm="1">
        <f t="array" ref="GN180">SUMPRODUCT(--($CR$7:$FW$7&gt;=GN$5),--($CR$7:$FW$7&lt;=GN$6),$CR180:$FW180)*GF180</f>
        <v>0</v>
      </c>
      <c r="GO180" s="145">
        <f t="shared" si="2"/>
        <v>0</v>
      </c>
      <c r="GP180" s="87"/>
      <c r="GR180" s="145" cm="1">
        <f t="array" ref="GR180">SUMPRODUCT(--($CR$7:$FW$7&gt;=GR$5),--($CR$7:$FW$7&lt;=GR$6),$CR180:$FW180)</f>
        <v>0</v>
      </c>
    </row>
    <row r="181" spans="2:200" x14ac:dyDescent="0.2">
      <c r="B181" s="141"/>
      <c r="C181" s="141"/>
      <c r="D181" s="141"/>
      <c r="E181" s="141"/>
      <c r="F181" s="141"/>
      <c r="G181" s="141"/>
      <c r="H181" s="142"/>
      <c r="I181" s="126"/>
      <c r="J181" s="143"/>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3"/>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45"/>
      <c r="EH181" s="145"/>
      <c r="EI181" s="145"/>
      <c r="EJ181" s="145"/>
      <c r="EK181" s="145"/>
      <c r="EL181" s="145"/>
      <c r="EM181" s="145"/>
      <c r="EN181" s="145"/>
      <c r="EO181" s="145"/>
      <c r="EP181" s="145"/>
      <c r="EQ181" s="145"/>
      <c r="ER181" s="145"/>
      <c r="ES181" s="145"/>
      <c r="ET181" s="145"/>
      <c r="EU181" s="145"/>
      <c r="EV181" s="145"/>
      <c r="EW181" s="145"/>
      <c r="EX181" s="145"/>
      <c r="EY181" s="145"/>
      <c r="EZ181" s="145"/>
      <c r="FA181" s="145"/>
      <c r="FB181" s="145"/>
      <c r="FC181" s="145"/>
      <c r="FD181" s="145"/>
      <c r="FE181" s="145"/>
      <c r="FF181" s="145"/>
      <c r="FG181" s="145"/>
      <c r="FH181" s="145"/>
      <c r="FI181" s="145"/>
      <c r="FJ181" s="145"/>
      <c r="FK181" s="145"/>
      <c r="FL181" s="145"/>
      <c r="FM181" s="145"/>
      <c r="FN181" s="145"/>
      <c r="FO181" s="145"/>
      <c r="FP181" s="145"/>
      <c r="FQ181" s="145"/>
      <c r="FR181" s="145"/>
      <c r="FS181" s="145"/>
      <c r="FT181" s="145"/>
      <c r="FU181" s="145"/>
      <c r="FV181" s="145"/>
      <c r="FW181" s="145"/>
      <c r="FX181" s="143"/>
      <c r="FY181" s="146">
        <f>_xlfn.XLOOKUP($E181,'Key assumptions'!$B$112:$B$120,'Key assumptions'!$C$112:$C$120,0)</f>
        <v>0</v>
      </c>
      <c r="FZ181" s="146" cm="1">
        <f t="array" ref="FZ181">IF($FY181=0,0,_xlfn.IFS($FY181='Key assumptions'!$C$120,_xlfn.XLOOKUP(LEFT(FZ$7,6),Inflation_Year,Inflation_NominaltoReal),TRUE,_xlfn.XLOOKUP($FY181,Inflation_Year,NominaltoReal)))</f>
        <v>0</v>
      </c>
      <c r="GA181" s="146" cm="1">
        <f t="array" ref="GA181">IF($FY181=0,0,_xlfn.IFS($FY181='Key assumptions'!$C$120,_xlfn.XLOOKUP(LEFT(GA$7,6),Inflation_Year,Inflation_NominaltoReal),TRUE,_xlfn.XLOOKUP($FY181,Inflation_Year,NominaltoReal)))</f>
        <v>0</v>
      </c>
      <c r="GB181" s="146" cm="1">
        <f t="array" ref="GB181">IF($FY181=0,0,_xlfn.IFS($FY181='Key assumptions'!$C$120,_xlfn.XLOOKUP(LEFT(GB$7,6),Inflation_Year,Inflation_NominaltoReal),TRUE,_xlfn.XLOOKUP($FY181,Inflation_Year,NominaltoReal)))</f>
        <v>0</v>
      </c>
      <c r="GC181" s="146" cm="1">
        <f t="array" ref="GC181">IF($FY181=0,0,_xlfn.IFS($FY181='Key assumptions'!$C$120,_xlfn.XLOOKUP(LEFT(GC$7,6),Inflation_Year,Inflation_NominaltoReal),TRUE,_xlfn.XLOOKUP($FY181,Inflation_Year,NominaltoReal)))</f>
        <v>0</v>
      </c>
      <c r="GD181" s="146" cm="1">
        <f t="array" ref="GD181">IF($FY181=0,0,_xlfn.IFS($FY181='Key assumptions'!$C$120,_xlfn.XLOOKUP(LEFT(GD$7,6),Inflation_Year,Inflation_NominaltoReal),TRUE,_xlfn.XLOOKUP($FY181,Inflation_Year,NominaltoReal)))</f>
        <v>0</v>
      </c>
      <c r="GE181" s="146" cm="1">
        <f t="array" ref="GE181">IF($FY181=0,0,_xlfn.IFS($FY181='Key assumptions'!$C$120,_xlfn.XLOOKUP(LEFT(GE$7,6),Inflation_Year,Inflation_NominaltoReal),TRUE,_xlfn.XLOOKUP($FY181,Inflation_Year,NominaltoReal)))</f>
        <v>0</v>
      </c>
      <c r="GF181" s="146" cm="1">
        <f t="array" ref="GF181">IF($FY181=0,0,_xlfn.IFS($FY181='Key assumptions'!$C$120,_xlfn.XLOOKUP(LEFT(GF$7,6),Inflation_Year,Inflation_NominaltoReal),TRUE,_xlfn.XLOOKUP($FY181,Inflation_Year,NominaltoReal)))</f>
        <v>0</v>
      </c>
      <c r="GG181" s="143"/>
      <c r="GH181" s="145" cm="1">
        <f t="array" ref="GH181">SUMPRODUCT(--($CR$7:$FW$7&gt;=GH$5),--($CR$7:$FW$7&lt;=GH$6),$CR181:$FW181)*FZ181</f>
        <v>0</v>
      </c>
      <c r="GI181" s="145" cm="1">
        <f t="array" ref="GI181">SUMPRODUCT(--($CR$7:$FW$7&gt;=GI$5),--($CR$7:$FW$7&lt;=GI$6),$CR181:$FW181)*GA181</f>
        <v>0</v>
      </c>
      <c r="GJ181" s="145" cm="1">
        <f t="array" ref="GJ181">SUMPRODUCT(--($CR$7:$FW$7&gt;=GJ$5),--($CR$7:$FW$7&lt;=GJ$6),$CR181:$FW181)*GB181</f>
        <v>0</v>
      </c>
      <c r="GK181" s="145" cm="1">
        <f t="array" ref="GK181">SUMPRODUCT(--($CR$7:$FW$7&gt;=GK$5),--($CR$7:$FW$7&lt;=GK$6),$CR181:$FW181)*GC181</f>
        <v>0</v>
      </c>
      <c r="GL181" s="145" cm="1">
        <f t="array" ref="GL181">SUMPRODUCT(--($CR$7:$FW$7&gt;=GL$5),--($CR$7:$FW$7&lt;=GL$6),$CR181:$FW181)*GD181</f>
        <v>0</v>
      </c>
      <c r="GM181" s="145" cm="1">
        <f t="array" ref="GM181">SUMPRODUCT(--($CR$7:$FW$7&gt;=GM$5),--($CR$7:$FW$7&lt;=GM$6),$CR181:$FW181)*GE181</f>
        <v>0</v>
      </c>
      <c r="GN181" s="145" cm="1">
        <f t="array" ref="GN181">SUMPRODUCT(--($CR$7:$FW$7&gt;=GN$5),--($CR$7:$FW$7&lt;=GN$6),$CR181:$FW181)*GF181</f>
        <v>0</v>
      </c>
      <c r="GO181" s="145">
        <f t="shared" si="2"/>
        <v>0</v>
      </c>
      <c r="GP181" s="87"/>
      <c r="GR181" s="145" cm="1">
        <f t="array" ref="GR181">SUMPRODUCT(--($CR$7:$FW$7&gt;=GR$5),--($CR$7:$FW$7&lt;=GR$6),$CR181:$FW181)</f>
        <v>0</v>
      </c>
    </row>
    <row r="182" spans="2:200" x14ac:dyDescent="0.2">
      <c r="B182" s="141"/>
      <c r="C182" s="141"/>
      <c r="D182" s="141"/>
      <c r="E182" s="141"/>
      <c r="F182" s="141"/>
      <c r="G182" s="141"/>
      <c r="H182" s="142"/>
      <c r="I182" s="126"/>
      <c r="J182" s="143"/>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3"/>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c r="EE182" s="145"/>
      <c r="EF182" s="145"/>
      <c r="EG182" s="145"/>
      <c r="EH182" s="145"/>
      <c r="EI182" s="145"/>
      <c r="EJ182" s="145"/>
      <c r="EK182" s="145"/>
      <c r="EL182" s="145"/>
      <c r="EM182" s="145"/>
      <c r="EN182" s="145"/>
      <c r="EO182" s="145"/>
      <c r="EP182" s="145"/>
      <c r="EQ182" s="145"/>
      <c r="ER182" s="145"/>
      <c r="ES182" s="145"/>
      <c r="ET182" s="145"/>
      <c r="EU182" s="145"/>
      <c r="EV182" s="145"/>
      <c r="EW182" s="145"/>
      <c r="EX182" s="145"/>
      <c r="EY182" s="145"/>
      <c r="EZ182" s="145"/>
      <c r="FA182" s="145"/>
      <c r="FB182" s="145"/>
      <c r="FC182" s="145"/>
      <c r="FD182" s="145"/>
      <c r="FE182" s="145"/>
      <c r="FF182" s="145"/>
      <c r="FG182" s="145"/>
      <c r="FH182" s="145"/>
      <c r="FI182" s="145"/>
      <c r="FJ182" s="145"/>
      <c r="FK182" s="145"/>
      <c r="FL182" s="145"/>
      <c r="FM182" s="145"/>
      <c r="FN182" s="145"/>
      <c r="FO182" s="145"/>
      <c r="FP182" s="145"/>
      <c r="FQ182" s="145"/>
      <c r="FR182" s="145"/>
      <c r="FS182" s="145"/>
      <c r="FT182" s="145"/>
      <c r="FU182" s="145"/>
      <c r="FV182" s="145"/>
      <c r="FW182" s="145"/>
      <c r="FX182" s="143"/>
      <c r="FY182" s="146">
        <f>_xlfn.XLOOKUP($E182,'Key assumptions'!$B$112:$B$120,'Key assumptions'!$C$112:$C$120,0)</f>
        <v>0</v>
      </c>
      <c r="FZ182" s="146" cm="1">
        <f t="array" ref="FZ182">IF($FY182=0,0,_xlfn.IFS($FY182='Key assumptions'!$C$120,_xlfn.XLOOKUP(LEFT(FZ$7,6),Inflation_Year,Inflation_NominaltoReal),TRUE,_xlfn.XLOOKUP($FY182,Inflation_Year,NominaltoReal)))</f>
        <v>0</v>
      </c>
      <c r="GA182" s="146" cm="1">
        <f t="array" ref="GA182">IF($FY182=0,0,_xlfn.IFS($FY182='Key assumptions'!$C$120,_xlfn.XLOOKUP(LEFT(GA$7,6),Inflation_Year,Inflation_NominaltoReal),TRUE,_xlfn.XLOOKUP($FY182,Inflation_Year,NominaltoReal)))</f>
        <v>0</v>
      </c>
      <c r="GB182" s="146" cm="1">
        <f t="array" ref="GB182">IF($FY182=0,0,_xlfn.IFS($FY182='Key assumptions'!$C$120,_xlfn.XLOOKUP(LEFT(GB$7,6),Inflation_Year,Inflation_NominaltoReal),TRUE,_xlfn.XLOOKUP($FY182,Inflation_Year,NominaltoReal)))</f>
        <v>0</v>
      </c>
      <c r="GC182" s="146" cm="1">
        <f t="array" ref="GC182">IF($FY182=0,0,_xlfn.IFS($FY182='Key assumptions'!$C$120,_xlfn.XLOOKUP(LEFT(GC$7,6),Inflation_Year,Inflation_NominaltoReal),TRUE,_xlfn.XLOOKUP($FY182,Inflation_Year,NominaltoReal)))</f>
        <v>0</v>
      </c>
      <c r="GD182" s="146" cm="1">
        <f t="array" ref="GD182">IF($FY182=0,0,_xlfn.IFS($FY182='Key assumptions'!$C$120,_xlfn.XLOOKUP(LEFT(GD$7,6),Inflation_Year,Inflation_NominaltoReal),TRUE,_xlfn.XLOOKUP($FY182,Inflation_Year,NominaltoReal)))</f>
        <v>0</v>
      </c>
      <c r="GE182" s="146" cm="1">
        <f t="array" ref="GE182">IF($FY182=0,0,_xlfn.IFS($FY182='Key assumptions'!$C$120,_xlfn.XLOOKUP(LEFT(GE$7,6),Inflation_Year,Inflation_NominaltoReal),TRUE,_xlfn.XLOOKUP($FY182,Inflation_Year,NominaltoReal)))</f>
        <v>0</v>
      </c>
      <c r="GF182" s="146" cm="1">
        <f t="array" ref="GF182">IF($FY182=0,0,_xlfn.IFS($FY182='Key assumptions'!$C$120,_xlfn.XLOOKUP(LEFT(GF$7,6),Inflation_Year,Inflation_NominaltoReal),TRUE,_xlfn.XLOOKUP($FY182,Inflation_Year,NominaltoReal)))</f>
        <v>0</v>
      </c>
      <c r="GG182" s="143"/>
      <c r="GH182" s="145" cm="1">
        <f t="array" ref="GH182">SUMPRODUCT(--($CR$7:$FW$7&gt;=GH$5),--($CR$7:$FW$7&lt;=GH$6),$CR182:$FW182)*FZ182</f>
        <v>0</v>
      </c>
      <c r="GI182" s="145" cm="1">
        <f t="array" ref="GI182">SUMPRODUCT(--($CR$7:$FW$7&gt;=GI$5),--($CR$7:$FW$7&lt;=GI$6),$CR182:$FW182)*GA182</f>
        <v>0</v>
      </c>
      <c r="GJ182" s="145" cm="1">
        <f t="array" ref="GJ182">SUMPRODUCT(--($CR$7:$FW$7&gt;=GJ$5),--($CR$7:$FW$7&lt;=GJ$6),$CR182:$FW182)*GB182</f>
        <v>0</v>
      </c>
      <c r="GK182" s="145" cm="1">
        <f t="array" ref="GK182">SUMPRODUCT(--($CR$7:$FW$7&gt;=GK$5),--($CR$7:$FW$7&lt;=GK$6),$CR182:$FW182)*GC182</f>
        <v>0</v>
      </c>
      <c r="GL182" s="145" cm="1">
        <f t="array" ref="GL182">SUMPRODUCT(--($CR$7:$FW$7&gt;=GL$5),--($CR$7:$FW$7&lt;=GL$6),$CR182:$FW182)*GD182</f>
        <v>0</v>
      </c>
      <c r="GM182" s="145" cm="1">
        <f t="array" ref="GM182">SUMPRODUCT(--($CR$7:$FW$7&gt;=GM$5),--($CR$7:$FW$7&lt;=GM$6),$CR182:$FW182)*GE182</f>
        <v>0</v>
      </c>
      <c r="GN182" s="145" cm="1">
        <f t="array" ref="GN182">SUMPRODUCT(--($CR$7:$FW$7&gt;=GN$5),--($CR$7:$FW$7&lt;=GN$6),$CR182:$FW182)*GF182</f>
        <v>0</v>
      </c>
      <c r="GO182" s="145">
        <f t="shared" si="2"/>
        <v>0</v>
      </c>
      <c r="GP182" s="87"/>
      <c r="GR182" s="145" cm="1">
        <f t="array" ref="GR182">SUMPRODUCT(--($CR$7:$FW$7&gt;=GR$5),--($CR$7:$FW$7&lt;=GR$6),$CR182:$FW182)</f>
        <v>0</v>
      </c>
    </row>
    <row r="183" spans="2:200" x14ac:dyDescent="0.2">
      <c r="B183" s="141"/>
      <c r="C183" s="141"/>
      <c r="D183" s="141"/>
      <c r="E183" s="141"/>
      <c r="F183" s="141"/>
      <c r="G183" s="141"/>
      <c r="H183" s="142"/>
      <c r="I183" s="126"/>
      <c r="J183" s="143"/>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3"/>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c r="EE183" s="145"/>
      <c r="EF183" s="145"/>
      <c r="EG183" s="145"/>
      <c r="EH183" s="145"/>
      <c r="EI183" s="145"/>
      <c r="EJ183" s="145"/>
      <c r="EK183" s="145"/>
      <c r="EL183" s="145"/>
      <c r="EM183" s="145"/>
      <c r="EN183" s="145"/>
      <c r="EO183" s="145"/>
      <c r="EP183" s="145"/>
      <c r="EQ183" s="145"/>
      <c r="ER183" s="145"/>
      <c r="ES183" s="145"/>
      <c r="ET183" s="145"/>
      <c r="EU183" s="145"/>
      <c r="EV183" s="145"/>
      <c r="EW183" s="145"/>
      <c r="EX183" s="145"/>
      <c r="EY183" s="145"/>
      <c r="EZ183" s="145"/>
      <c r="FA183" s="145"/>
      <c r="FB183" s="145"/>
      <c r="FC183" s="145"/>
      <c r="FD183" s="145"/>
      <c r="FE183" s="145"/>
      <c r="FF183" s="145"/>
      <c r="FG183" s="145"/>
      <c r="FH183" s="145"/>
      <c r="FI183" s="145"/>
      <c r="FJ183" s="145"/>
      <c r="FK183" s="145"/>
      <c r="FL183" s="145"/>
      <c r="FM183" s="145"/>
      <c r="FN183" s="145"/>
      <c r="FO183" s="145"/>
      <c r="FP183" s="145"/>
      <c r="FQ183" s="145"/>
      <c r="FR183" s="145"/>
      <c r="FS183" s="145"/>
      <c r="FT183" s="145"/>
      <c r="FU183" s="145"/>
      <c r="FV183" s="145"/>
      <c r="FW183" s="145"/>
      <c r="FX183" s="143"/>
      <c r="FY183" s="146">
        <f>_xlfn.XLOOKUP($E183,'Key assumptions'!$B$112:$B$120,'Key assumptions'!$C$112:$C$120,0)</f>
        <v>0</v>
      </c>
      <c r="FZ183" s="146" cm="1">
        <f t="array" ref="FZ183">IF($FY183=0,0,_xlfn.IFS($FY183='Key assumptions'!$C$120,_xlfn.XLOOKUP(LEFT(FZ$7,6),Inflation_Year,Inflation_NominaltoReal),TRUE,_xlfn.XLOOKUP($FY183,Inflation_Year,NominaltoReal)))</f>
        <v>0</v>
      </c>
      <c r="GA183" s="146" cm="1">
        <f t="array" ref="GA183">IF($FY183=0,0,_xlfn.IFS($FY183='Key assumptions'!$C$120,_xlfn.XLOOKUP(LEFT(GA$7,6),Inflation_Year,Inflation_NominaltoReal),TRUE,_xlfn.XLOOKUP($FY183,Inflation_Year,NominaltoReal)))</f>
        <v>0</v>
      </c>
      <c r="GB183" s="146" cm="1">
        <f t="array" ref="GB183">IF($FY183=0,0,_xlfn.IFS($FY183='Key assumptions'!$C$120,_xlfn.XLOOKUP(LEFT(GB$7,6),Inflation_Year,Inflation_NominaltoReal),TRUE,_xlfn.XLOOKUP($FY183,Inflation_Year,NominaltoReal)))</f>
        <v>0</v>
      </c>
      <c r="GC183" s="146" cm="1">
        <f t="array" ref="GC183">IF($FY183=0,0,_xlfn.IFS($FY183='Key assumptions'!$C$120,_xlfn.XLOOKUP(LEFT(GC$7,6),Inflation_Year,Inflation_NominaltoReal),TRUE,_xlfn.XLOOKUP($FY183,Inflation_Year,NominaltoReal)))</f>
        <v>0</v>
      </c>
      <c r="GD183" s="146" cm="1">
        <f t="array" ref="GD183">IF($FY183=0,0,_xlfn.IFS($FY183='Key assumptions'!$C$120,_xlfn.XLOOKUP(LEFT(GD$7,6),Inflation_Year,Inflation_NominaltoReal),TRUE,_xlfn.XLOOKUP($FY183,Inflation_Year,NominaltoReal)))</f>
        <v>0</v>
      </c>
      <c r="GE183" s="146" cm="1">
        <f t="array" ref="GE183">IF($FY183=0,0,_xlfn.IFS($FY183='Key assumptions'!$C$120,_xlfn.XLOOKUP(LEFT(GE$7,6),Inflation_Year,Inflation_NominaltoReal),TRUE,_xlfn.XLOOKUP($FY183,Inflation_Year,NominaltoReal)))</f>
        <v>0</v>
      </c>
      <c r="GF183" s="146" cm="1">
        <f t="array" ref="GF183">IF($FY183=0,0,_xlfn.IFS($FY183='Key assumptions'!$C$120,_xlfn.XLOOKUP(LEFT(GF$7,6),Inflation_Year,Inflation_NominaltoReal),TRUE,_xlfn.XLOOKUP($FY183,Inflation_Year,NominaltoReal)))</f>
        <v>0</v>
      </c>
      <c r="GG183" s="143"/>
      <c r="GH183" s="145" cm="1">
        <f t="array" ref="GH183">SUMPRODUCT(--($CR$7:$FW$7&gt;=GH$5),--($CR$7:$FW$7&lt;=GH$6),$CR183:$FW183)*FZ183</f>
        <v>0</v>
      </c>
      <c r="GI183" s="145" cm="1">
        <f t="array" ref="GI183">SUMPRODUCT(--($CR$7:$FW$7&gt;=GI$5),--($CR$7:$FW$7&lt;=GI$6),$CR183:$FW183)*GA183</f>
        <v>0</v>
      </c>
      <c r="GJ183" s="145" cm="1">
        <f t="array" ref="GJ183">SUMPRODUCT(--($CR$7:$FW$7&gt;=GJ$5),--($CR$7:$FW$7&lt;=GJ$6),$CR183:$FW183)*GB183</f>
        <v>0</v>
      </c>
      <c r="GK183" s="145" cm="1">
        <f t="array" ref="GK183">SUMPRODUCT(--($CR$7:$FW$7&gt;=GK$5),--($CR$7:$FW$7&lt;=GK$6),$CR183:$FW183)*GC183</f>
        <v>0</v>
      </c>
      <c r="GL183" s="145" cm="1">
        <f t="array" ref="GL183">SUMPRODUCT(--($CR$7:$FW$7&gt;=GL$5),--($CR$7:$FW$7&lt;=GL$6),$CR183:$FW183)*GD183</f>
        <v>0</v>
      </c>
      <c r="GM183" s="145" cm="1">
        <f t="array" ref="GM183">SUMPRODUCT(--($CR$7:$FW$7&gt;=GM$5),--($CR$7:$FW$7&lt;=GM$6),$CR183:$FW183)*GE183</f>
        <v>0</v>
      </c>
      <c r="GN183" s="145" cm="1">
        <f t="array" ref="GN183">SUMPRODUCT(--($CR$7:$FW$7&gt;=GN$5),--($CR$7:$FW$7&lt;=GN$6),$CR183:$FW183)*GF183</f>
        <v>0</v>
      </c>
      <c r="GO183" s="145">
        <f t="shared" si="2"/>
        <v>0</v>
      </c>
      <c r="GP183" s="87"/>
      <c r="GR183" s="145" cm="1">
        <f t="array" ref="GR183">SUMPRODUCT(--($CR$7:$FW$7&gt;=GR$5),--($CR$7:$FW$7&lt;=GR$6),$CR183:$FW183)</f>
        <v>0</v>
      </c>
    </row>
    <row r="184" spans="2:200" x14ac:dyDescent="0.2">
      <c r="B184" s="141"/>
      <c r="C184" s="141"/>
      <c r="D184" s="141"/>
      <c r="E184" s="141"/>
      <c r="F184" s="141"/>
      <c r="G184" s="141"/>
      <c r="H184" s="142"/>
      <c r="I184" s="126"/>
      <c r="J184" s="143"/>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3"/>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c r="EE184" s="145"/>
      <c r="EF184" s="145"/>
      <c r="EG184" s="145"/>
      <c r="EH184" s="145"/>
      <c r="EI184" s="145"/>
      <c r="EJ184" s="145"/>
      <c r="EK184" s="145"/>
      <c r="EL184" s="145"/>
      <c r="EM184" s="145"/>
      <c r="EN184" s="14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45"/>
      <c r="FK184" s="145"/>
      <c r="FL184" s="145"/>
      <c r="FM184" s="145"/>
      <c r="FN184" s="145"/>
      <c r="FO184" s="145"/>
      <c r="FP184" s="145"/>
      <c r="FQ184" s="145"/>
      <c r="FR184" s="145"/>
      <c r="FS184" s="145"/>
      <c r="FT184" s="145"/>
      <c r="FU184" s="145"/>
      <c r="FV184" s="145"/>
      <c r="FW184" s="145"/>
      <c r="FX184" s="143"/>
      <c r="FY184" s="146">
        <f>_xlfn.XLOOKUP($E184,'Key assumptions'!$B$112:$B$120,'Key assumptions'!$C$112:$C$120,0)</f>
        <v>0</v>
      </c>
      <c r="FZ184" s="146" cm="1">
        <f t="array" ref="FZ184">IF($FY184=0,0,_xlfn.IFS($FY184='Key assumptions'!$C$120,_xlfn.XLOOKUP(LEFT(FZ$7,6),Inflation_Year,Inflation_NominaltoReal),TRUE,_xlfn.XLOOKUP($FY184,Inflation_Year,NominaltoReal)))</f>
        <v>0</v>
      </c>
      <c r="GA184" s="146" cm="1">
        <f t="array" ref="GA184">IF($FY184=0,0,_xlfn.IFS($FY184='Key assumptions'!$C$120,_xlfn.XLOOKUP(LEFT(GA$7,6),Inflation_Year,Inflation_NominaltoReal),TRUE,_xlfn.XLOOKUP($FY184,Inflation_Year,NominaltoReal)))</f>
        <v>0</v>
      </c>
      <c r="GB184" s="146" cm="1">
        <f t="array" ref="GB184">IF($FY184=0,0,_xlfn.IFS($FY184='Key assumptions'!$C$120,_xlfn.XLOOKUP(LEFT(GB$7,6),Inflation_Year,Inflation_NominaltoReal),TRUE,_xlfn.XLOOKUP($FY184,Inflation_Year,NominaltoReal)))</f>
        <v>0</v>
      </c>
      <c r="GC184" s="146" cm="1">
        <f t="array" ref="GC184">IF($FY184=0,0,_xlfn.IFS($FY184='Key assumptions'!$C$120,_xlfn.XLOOKUP(LEFT(GC$7,6),Inflation_Year,Inflation_NominaltoReal),TRUE,_xlfn.XLOOKUP($FY184,Inflation_Year,NominaltoReal)))</f>
        <v>0</v>
      </c>
      <c r="GD184" s="146" cm="1">
        <f t="array" ref="GD184">IF($FY184=0,0,_xlfn.IFS($FY184='Key assumptions'!$C$120,_xlfn.XLOOKUP(LEFT(GD$7,6),Inflation_Year,Inflation_NominaltoReal),TRUE,_xlfn.XLOOKUP($FY184,Inflation_Year,NominaltoReal)))</f>
        <v>0</v>
      </c>
      <c r="GE184" s="146" cm="1">
        <f t="array" ref="GE184">IF($FY184=0,0,_xlfn.IFS($FY184='Key assumptions'!$C$120,_xlfn.XLOOKUP(LEFT(GE$7,6),Inflation_Year,Inflation_NominaltoReal),TRUE,_xlfn.XLOOKUP($FY184,Inflation_Year,NominaltoReal)))</f>
        <v>0</v>
      </c>
      <c r="GF184" s="146" cm="1">
        <f t="array" ref="GF184">IF($FY184=0,0,_xlfn.IFS($FY184='Key assumptions'!$C$120,_xlfn.XLOOKUP(LEFT(GF$7,6),Inflation_Year,Inflation_NominaltoReal),TRUE,_xlfn.XLOOKUP($FY184,Inflation_Year,NominaltoReal)))</f>
        <v>0</v>
      </c>
      <c r="GG184" s="143"/>
      <c r="GH184" s="145" cm="1">
        <f t="array" ref="GH184">SUMPRODUCT(--($CR$7:$FW$7&gt;=GH$5),--($CR$7:$FW$7&lt;=GH$6),$CR184:$FW184)*FZ184</f>
        <v>0</v>
      </c>
      <c r="GI184" s="145" cm="1">
        <f t="array" ref="GI184">SUMPRODUCT(--($CR$7:$FW$7&gt;=GI$5),--($CR$7:$FW$7&lt;=GI$6),$CR184:$FW184)*GA184</f>
        <v>0</v>
      </c>
      <c r="GJ184" s="145" cm="1">
        <f t="array" ref="GJ184">SUMPRODUCT(--($CR$7:$FW$7&gt;=GJ$5),--($CR$7:$FW$7&lt;=GJ$6),$CR184:$FW184)*GB184</f>
        <v>0</v>
      </c>
      <c r="GK184" s="145" cm="1">
        <f t="array" ref="GK184">SUMPRODUCT(--($CR$7:$FW$7&gt;=GK$5),--($CR$7:$FW$7&lt;=GK$6),$CR184:$FW184)*GC184</f>
        <v>0</v>
      </c>
      <c r="GL184" s="145" cm="1">
        <f t="array" ref="GL184">SUMPRODUCT(--($CR$7:$FW$7&gt;=GL$5),--($CR$7:$FW$7&lt;=GL$6),$CR184:$FW184)*GD184</f>
        <v>0</v>
      </c>
      <c r="GM184" s="145" cm="1">
        <f t="array" ref="GM184">SUMPRODUCT(--($CR$7:$FW$7&gt;=GM$5),--($CR$7:$FW$7&lt;=GM$6),$CR184:$FW184)*GE184</f>
        <v>0</v>
      </c>
      <c r="GN184" s="145" cm="1">
        <f t="array" ref="GN184">SUMPRODUCT(--($CR$7:$FW$7&gt;=GN$5),--($CR$7:$FW$7&lt;=GN$6),$CR184:$FW184)*GF184</f>
        <v>0</v>
      </c>
      <c r="GO184" s="145">
        <f t="shared" si="2"/>
        <v>0</v>
      </c>
      <c r="GP184" s="87"/>
      <c r="GR184" s="145" cm="1">
        <f t="array" ref="GR184">SUMPRODUCT(--($CR$7:$FW$7&gt;=GR$5),--($CR$7:$FW$7&lt;=GR$6),$CR184:$FW184)</f>
        <v>0</v>
      </c>
    </row>
    <row r="185" spans="2:200" x14ac:dyDescent="0.2">
      <c r="B185" s="141"/>
      <c r="C185" s="141"/>
      <c r="D185" s="141"/>
      <c r="E185" s="141"/>
      <c r="F185" s="141"/>
      <c r="G185" s="141"/>
      <c r="H185" s="142"/>
      <c r="I185" s="126"/>
      <c r="J185" s="143"/>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3"/>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45"/>
      <c r="EH185" s="145"/>
      <c r="EI185" s="145"/>
      <c r="EJ185" s="145"/>
      <c r="EK185" s="145"/>
      <c r="EL185" s="145"/>
      <c r="EM185" s="145"/>
      <c r="EN185" s="145"/>
      <c r="EO185" s="145"/>
      <c r="EP185" s="145"/>
      <c r="EQ185" s="145"/>
      <c r="ER185" s="145"/>
      <c r="ES185" s="145"/>
      <c r="ET185" s="145"/>
      <c r="EU185" s="145"/>
      <c r="EV185" s="145"/>
      <c r="EW185" s="145"/>
      <c r="EX185" s="145"/>
      <c r="EY185" s="145"/>
      <c r="EZ185" s="145"/>
      <c r="FA185" s="145"/>
      <c r="FB185" s="145"/>
      <c r="FC185" s="145"/>
      <c r="FD185" s="145"/>
      <c r="FE185" s="145"/>
      <c r="FF185" s="145"/>
      <c r="FG185" s="145"/>
      <c r="FH185" s="145"/>
      <c r="FI185" s="145"/>
      <c r="FJ185" s="145"/>
      <c r="FK185" s="145"/>
      <c r="FL185" s="145"/>
      <c r="FM185" s="145"/>
      <c r="FN185" s="145"/>
      <c r="FO185" s="145"/>
      <c r="FP185" s="145"/>
      <c r="FQ185" s="145"/>
      <c r="FR185" s="145"/>
      <c r="FS185" s="145"/>
      <c r="FT185" s="145"/>
      <c r="FU185" s="145"/>
      <c r="FV185" s="145"/>
      <c r="FW185" s="145"/>
      <c r="FX185" s="143"/>
      <c r="FY185" s="146">
        <f>_xlfn.XLOOKUP($E185,'Key assumptions'!$B$112:$B$120,'Key assumptions'!$C$112:$C$120,0)</f>
        <v>0</v>
      </c>
      <c r="FZ185" s="146" cm="1">
        <f t="array" ref="FZ185">IF($FY185=0,0,_xlfn.IFS($FY185='Key assumptions'!$C$120,_xlfn.XLOOKUP(LEFT(FZ$7,6),Inflation_Year,Inflation_NominaltoReal),TRUE,_xlfn.XLOOKUP($FY185,Inflation_Year,NominaltoReal)))</f>
        <v>0</v>
      </c>
      <c r="GA185" s="146" cm="1">
        <f t="array" ref="GA185">IF($FY185=0,0,_xlfn.IFS($FY185='Key assumptions'!$C$120,_xlfn.XLOOKUP(LEFT(GA$7,6),Inflation_Year,Inflation_NominaltoReal),TRUE,_xlfn.XLOOKUP($FY185,Inflation_Year,NominaltoReal)))</f>
        <v>0</v>
      </c>
      <c r="GB185" s="146" cm="1">
        <f t="array" ref="GB185">IF($FY185=0,0,_xlfn.IFS($FY185='Key assumptions'!$C$120,_xlfn.XLOOKUP(LEFT(GB$7,6),Inflation_Year,Inflation_NominaltoReal),TRUE,_xlfn.XLOOKUP($FY185,Inflation_Year,NominaltoReal)))</f>
        <v>0</v>
      </c>
      <c r="GC185" s="146" cm="1">
        <f t="array" ref="GC185">IF($FY185=0,0,_xlfn.IFS($FY185='Key assumptions'!$C$120,_xlfn.XLOOKUP(LEFT(GC$7,6),Inflation_Year,Inflation_NominaltoReal),TRUE,_xlfn.XLOOKUP($FY185,Inflation_Year,NominaltoReal)))</f>
        <v>0</v>
      </c>
      <c r="GD185" s="146" cm="1">
        <f t="array" ref="GD185">IF($FY185=0,0,_xlfn.IFS($FY185='Key assumptions'!$C$120,_xlfn.XLOOKUP(LEFT(GD$7,6),Inflation_Year,Inflation_NominaltoReal),TRUE,_xlfn.XLOOKUP($FY185,Inflation_Year,NominaltoReal)))</f>
        <v>0</v>
      </c>
      <c r="GE185" s="146" cm="1">
        <f t="array" ref="GE185">IF($FY185=0,0,_xlfn.IFS($FY185='Key assumptions'!$C$120,_xlfn.XLOOKUP(LEFT(GE$7,6),Inflation_Year,Inflation_NominaltoReal),TRUE,_xlfn.XLOOKUP($FY185,Inflation_Year,NominaltoReal)))</f>
        <v>0</v>
      </c>
      <c r="GF185" s="146" cm="1">
        <f t="array" ref="GF185">IF($FY185=0,0,_xlfn.IFS($FY185='Key assumptions'!$C$120,_xlfn.XLOOKUP(LEFT(GF$7,6),Inflation_Year,Inflation_NominaltoReal),TRUE,_xlfn.XLOOKUP($FY185,Inflation_Year,NominaltoReal)))</f>
        <v>0</v>
      </c>
      <c r="GG185" s="143"/>
      <c r="GH185" s="145" cm="1">
        <f t="array" ref="GH185">SUMPRODUCT(--($CR$7:$FW$7&gt;=GH$5),--($CR$7:$FW$7&lt;=GH$6),$CR185:$FW185)*FZ185</f>
        <v>0</v>
      </c>
      <c r="GI185" s="145" cm="1">
        <f t="array" ref="GI185">SUMPRODUCT(--($CR$7:$FW$7&gt;=GI$5),--($CR$7:$FW$7&lt;=GI$6),$CR185:$FW185)*GA185</f>
        <v>0</v>
      </c>
      <c r="GJ185" s="145" cm="1">
        <f t="array" ref="GJ185">SUMPRODUCT(--($CR$7:$FW$7&gt;=GJ$5),--($CR$7:$FW$7&lt;=GJ$6),$CR185:$FW185)*GB185</f>
        <v>0</v>
      </c>
      <c r="GK185" s="145" cm="1">
        <f t="array" ref="GK185">SUMPRODUCT(--($CR$7:$FW$7&gt;=GK$5),--($CR$7:$FW$7&lt;=GK$6),$CR185:$FW185)*GC185</f>
        <v>0</v>
      </c>
      <c r="GL185" s="145" cm="1">
        <f t="array" ref="GL185">SUMPRODUCT(--($CR$7:$FW$7&gt;=GL$5),--($CR$7:$FW$7&lt;=GL$6),$CR185:$FW185)*GD185</f>
        <v>0</v>
      </c>
      <c r="GM185" s="145" cm="1">
        <f t="array" ref="GM185">SUMPRODUCT(--($CR$7:$FW$7&gt;=GM$5),--($CR$7:$FW$7&lt;=GM$6),$CR185:$FW185)*GE185</f>
        <v>0</v>
      </c>
      <c r="GN185" s="145" cm="1">
        <f t="array" ref="GN185">SUMPRODUCT(--($CR$7:$FW$7&gt;=GN$5),--($CR$7:$FW$7&lt;=GN$6),$CR185:$FW185)*GF185</f>
        <v>0</v>
      </c>
      <c r="GO185" s="145">
        <f t="shared" si="2"/>
        <v>0</v>
      </c>
      <c r="GP185" s="87"/>
      <c r="GR185" s="145" cm="1">
        <f t="array" ref="GR185">SUMPRODUCT(--($CR$7:$FW$7&gt;=GR$5),--($CR$7:$FW$7&lt;=GR$6),$CR185:$FW185)</f>
        <v>0</v>
      </c>
    </row>
    <row r="186" spans="2:200" x14ac:dyDescent="0.2">
      <c r="B186" s="141"/>
      <c r="C186" s="141"/>
      <c r="D186" s="141"/>
      <c r="E186" s="141"/>
      <c r="F186" s="141"/>
      <c r="G186" s="141"/>
      <c r="H186" s="142"/>
      <c r="I186" s="126"/>
      <c r="J186" s="143"/>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3"/>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c r="EE186" s="145"/>
      <c r="EF186" s="145"/>
      <c r="EG186" s="145"/>
      <c r="EH186" s="145"/>
      <c r="EI186" s="145"/>
      <c r="EJ186" s="145"/>
      <c r="EK186" s="145"/>
      <c r="EL186" s="145"/>
      <c r="EM186" s="145"/>
      <c r="EN186" s="145"/>
      <c r="EO186" s="145"/>
      <c r="EP186" s="145"/>
      <c r="EQ186" s="145"/>
      <c r="ER186" s="145"/>
      <c r="ES186" s="145"/>
      <c r="ET186" s="145"/>
      <c r="EU186" s="145"/>
      <c r="EV186" s="145"/>
      <c r="EW186" s="145"/>
      <c r="EX186" s="145"/>
      <c r="EY186" s="145"/>
      <c r="EZ186" s="145"/>
      <c r="FA186" s="145"/>
      <c r="FB186" s="145"/>
      <c r="FC186" s="145"/>
      <c r="FD186" s="145"/>
      <c r="FE186" s="145"/>
      <c r="FF186" s="145"/>
      <c r="FG186" s="145"/>
      <c r="FH186" s="145"/>
      <c r="FI186" s="145"/>
      <c r="FJ186" s="145"/>
      <c r="FK186" s="145"/>
      <c r="FL186" s="145"/>
      <c r="FM186" s="145"/>
      <c r="FN186" s="145"/>
      <c r="FO186" s="145"/>
      <c r="FP186" s="145"/>
      <c r="FQ186" s="145"/>
      <c r="FR186" s="145"/>
      <c r="FS186" s="145"/>
      <c r="FT186" s="145"/>
      <c r="FU186" s="145"/>
      <c r="FV186" s="145"/>
      <c r="FW186" s="145"/>
      <c r="FX186" s="143"/>
      <c r="FY186" s="146">
        <f>_xlfn.XLOOKUP($E186,'Key assumptions'!$B$112:$B$120,'Key assumptions'!$C$112:$C$120,0)</f>
        <v>0</v>
      </c>
      <c r="FZ186" s="146" cm="1">
        <f t="array" ref="FZ186">IF($FY186=0,0,_xlfn.IFS($FY186='Key assumptions'!$C$120,_xlfn.XLOOKUP(LEFT(FZ$7,6),Inflation_Year,Inflation_NominaltoReal),TRUE,_xlfn.XLOOKUP($FY186,Inflation_Year,NominaltoReal)))</f>
        <v>0</v>
      </c>
      <c r="GA186" s="146" cm="1">
        <f t="array" ref="GA186">IF($FY186=0,0,_xlfn.IFS($FY186='Key assumptions'!$C$120,_xlfn.XLOOKUP(LEFT(GA$7,6),Inflation_Year,Inflation_NominaltoReal),TRUE,_xlfn.XLOOKUP($FY186,Inflation_Year,NominaltoReal)))</f>
        <v>0</v>
      </c>
      <c r="GB186" s="146" cm="1">
        <f t="array" ref="GB186">IF($FY186=0,0,_xlfn.IFS($FY186='Key assumptions'!$C$120,_xlfn.XLOOKUP(LEFT(GB$7,6),Inflation_Year,Inflation_NominaltoReal),TRUE,_xlfn.XLOOKUP($FY186,Inflation_Year,NominaltoReal)))</f>
        <v>0</v>
      </c>
      <c r="GC186" s="146" cm="1">
        <f t="array" ref="GC186">IF($FY186=0,0,_xlfn.IFS($FY186='Key assumptions'!$C$120,_xlfn.XLOOKUP(LEFT(GC$7,6),Inflation_Year,Inflation_NominaltoReal),TRUE,_xlfn.XLOOKUP($FY186,Inflation_Year,NominaltoReal)))</f>
        <v>0</v>
      </c>
      <c r="GD186" s="146" cm="1">
        <f t="array" ref="GD186">IF($FY186=0,0,_xlfn.IFS($FY186='Key assumptions'!$C$120,_xlfn.XLOOKUP(LEFT(GD$7,6),Inflation_Year,Inflation_NominaltoReal),TRUE,_xlfn.XLOOKUP($FY186,Inflation_Year,NominaltoReal)))</f>
        <v>0</v>
      </c>
      <c r="GE186" s="146" cm="1">
        <f t="array" ref="GE186">IF($FY186=0,0,_xlfn.IFS($FY186='Key assumptions'!$C$120,_xlfn.XLOOKUP(LEFT(GE$7,6),Inflation_Year,Inflation_NominaltoReal),TRUE,_xlfn.XLOOKUP($FY186,Inflation_Year,NominaltoReal)))</f>
        <v>0</v>
      </c>
      <c r="GF186" s="146" cm="1">
        <f t="array" ref="GF186">IF($FY186=0,0,_xlfn.IFS($FY186='Key assumptions'!$C$120,_xlfn.XLOOKUP(LEFT(GF$7,6),Inflation_Year,Inflation_NominaltoReal),TRUE,_xlfn.XLOOKUP($FY186,Inflation_Year,NominaltoReal)))</f>
        <v>0</v>
      </c>
      <c r="GG186" s="143"/>
      <c r="GH186" s="145" cm="1">
        <f t="array" ref="GH186">SUMPRODUCT(--($CR$7:$FW$7&gt;=GH$5),--($CR$7:$FW$7&lt;=GH$6),$CR186:$FW186)*FZ186</f>
        <v>0</v>
      </c>
      <c r="GI186" s="145" cm="1">
        <f t="array" ref="GI186">SUMPRODUCT(--($CR$7:$FW$7&gt;=GI$5),--($CR$7:$FW$7&lt;=GI$6),$CR186:$FW186)*GA186</f>
        <v>0</v>
      </c>
      <c r="GJ186" s="145" cm="1">
        <f t="array" ref="GJ186">SUMPRODUCT(--($CR$7:$FW$7&gt;=GJ$5),--($CR$7:$FW$7&lt;=GJ$6),$CR186:$FW186)*GB186</f>
        <v>0</v>
      </c>
      <c r="GK186" s="145" cm="1">
        <f t="array" ref="GK186">SUMPRODUCT(--($CR$7:$FW$7&gt;=GK$5),--($CR$7:$FW$7&lt;=GK$6),$CR186:$FW186)*GC186</f>
        <v>0</v>
      </c>
      <c r="GL186" s="145" cm="1">
        <f t="array" ref="GL186">SUMPRODUCT(--($CR$7:$FW$7&gt;=GL$5),--($CR$7:$FW$7&lt;=GL$6),$CR186:$FW186)*GD186</f>
        <v>0</v>
      </c>
      <c r="GM186" s="145" cm="1">
        <f t="array" ref="GM186">SUMPRODUCT(--($CR$7:$FW$7&gt;=GM$5),--($CR$7:$FW$7&lt;=GM$6),$CR186:$FW186)*GE186</f>
        <v>0</v>
      </c>
      <c r="GN186" s="145" cm="1">
        <f t="array" ref="GN186">SUMPRODUCT(--($CR$7:$FW$7&gt;=GN$5),--($CR$7:$FW$7&lt;=GN$6),$CR186:$FW186)*GF186</f>
        <v>0</v>
      </c>
      <c r="GO186" s="145">
        <f t="shared" si="2"/>
        <v>0</v>
      </c>
      <c r="GP186" s="87"/>
      <c r="GR186" s="145" cm="1">
        <f t="array" ref="GR186">SUMPRODUCT(--($CR$7:$FW$7&gt;=GR$5),--($CR$7:$FW$7&lt;=GR$6),$CR186:$FW186)</f>
        <v>0</v>
      </c>
    </row>
    <row r="187" spans="2:200" x14ac:dyDescent="0.2">
      <c r="B187" s="141"/>
      <c r="C187" s="141"/>
      <c r="D187" s="141"/>
      <c r="E187" s="141"/>
      <c r="F187" s="141"/>
      <c r="G187" s="141"/>
      <c r="H187" s="142"/>
      <c r="I187" s="126"/>
      <c r="J187" s="143"/>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3"/>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145"/>
      <c r="EH187" s="145"/>
      <c r="EI187" s="145"/>
      <c r="EJ187" s="145"/>
      <c r="EK187" s="145"/>
      <c r="EL187" s="145"/>
      <c r="EM187" s="145"/>
      <c r="EN187" s="145"/>
      <c r="EO187" s="145"/>
      <c r="EP187" s="145"/>
      <c r="EQ187" s="145"/>
      <c r="ER187" s="145"/>
      <c r="ES187" s="145"/>
      <c r="ET187" s="145"/>
      <c r="EU187" s="145"/>
      <c r="EV187" s="145"/>
      <c r="EW187" s="145"/>
      <c r="EX187" s="145"/>
      <c r="EY187" s="145"/>
      <c r="EZ187" s="145"/>
      <c r="FA187" s="145"/>
      <c r="FB187" s="145"/>
      <c r="FC187" s="145"/>
      <c r="FD187" s="145"/>
      <c r="FE187" s="145"/>
      <c r="FF187" s="145"/>
      <c r="FG187" s="145"/>
      <c r="FH187" s="145"/>
      <c r="FI187" s="145"/>
      <c r="FJ187" s="145"/>
      <c r="FK187" s="145"/>
      <c r="FL187" s="145"/>
      <c r="FM187" s="145"/>
      <c r="FN187" s="145"/>
      <c r="FO187" s="145"/>
      <c r="FP187" s="145"/>
      <c r="FQ187" s="145"/>
      <c r="FR187" s="145"/>
      <c r="FS187" s="145"/>
      <c r="FT187" s="145"/>
      <c r="FU187" s="145"/>
      <c r="FV187" s="145"/>
      <c r="FW187" s="145"/>
      <c r="FX187" s="143"/>
      <c r="FY187" s="146">
        <f>_xlfn.XLOOKUP($E187,'Key assumptions'!$B$112:$B$120,'Key assumptions'!$C$112:$C$120,0)</f>
        <v>0</v>
      </c>
      <c r="FZ187" s="146" cm="1">
        <f t="array" ref="FZ187">IF($FY187=0,0,_xlfn.IFS($FY187='Key assumptions'!$C$120,_xlfn.XLOOKUP(LEFT(FZ$7,6),Inflation_Year,Inflation_NominaltoReal),TRUE,_xlfn.XLOOKUP($FY187,Inflation_Year,NominaltoReal)))</f>
        <v>0</v>
      </c>
      <c r="GA187" s="146" cm="1">
        <f t="array" ref="GA187">IF($FY187=0,0,_xlfn.IFS($FY187='Key assumptions'!$C$120,_xlfn.XLOOKUP(LEFT(GA$7,6),Inflation_Year,Inflation_NominaltoReal),TRUE,_xlfn.XLOOKUP($FY187,Inflation_Year,NominaltoReal)))</f>
        <v>0</v>
      </c>
      <c r="GB187" s="146" cm="1">
        <f t="array" ref="GB187">IF($FY187=0,0,_xlfn.IFS($FY187='Key assumptions'!$C$120,_xlfn.XLOOKUP(LEFT(GB$7,6),Inflation_Year,Inflation_NominaltoReal),TRUE,_xlfn.XLOOKUP($FY187,Inflation_Year,NominaltoReal)))</f>
        <v>0</v>
      </c>
      <c r="GC187" s="146" cm="1">
        <f t="array" ref="GC187">IF($FY187=0,0,_xlfn.IFS($FY187='Key assumptions'!$C$120,_xlfn.XLOOKUP(LEFT(GC$7,6),Inflation_Year,Inflation_NominaltoReal),TRUE,_xlfn.XLOOKUP($FY187,Inflation_Year,NominaltoReal)))</f>
        <v>0</v>
      </c>
      <c r="GD187" s="146" cm="1">
        <f t="array" ref="GD187">IF($FY187=0,0,_xlfn.IFS($FY187='Key assumptions'!$C$120,_xlfn.XLOOKUP(LEFT(GD$7,6),Inflation_Year,Inflation_NominaltoReal),TRUE,_xlfn.XLOOKUP($FY187,Inflation_Year,NominaltoReal)))</f>
        <v>0</v>
      </c>
      <c r="GE187" s="146" cm="1">
        <f t="array" ref="GE187">IF($FY187=0,0,_xlfn.IFS($FY187='Key assumptions'!$C$120,_xlfn.XLOOKUP(LEFT(GE$7,6),Inflation_Year,Inflation_NominaltoReal),TRUE,_xlfn.XLOOKUP($FY187,Inflation_Year,NominaltoReal)))</f>
        <v>0</v>
      </c>
      <c r="GF187" s="146" cm="1">
        <f t="array" ref="GF187">IF($FY187=0,0,_xlfn.IFS($FY187='Key assumptions'!$C$120,_xlfn.XLOOKUP(LEFT(GF$7,6),Inflation_Year,Inflation_NominaltoReal),TRUE,_xlfn.XLOOKUP($FY187,Inflation_Year,NominaltoReal)))</f>
        <v>0</v>
      </c>
      <c r="GG187" s="143"/>
      <c r="GH187" s="145" cm="1">
        <f t="array" ref="GH187">SUMPRODUCT(--($CR$7:$FW$7&gt;=GH$5),--($CR$7:$FW$7&lt;=GH$6),$CR187:$FW187)*FZ187</f>
        <v>0</v>
      </c>
      <c r="GI187" s="145" cm="1">
        <f t="array" ref="GI187">SUMPRODUCT(--($CR$7:$FW$7&gt;=GI$5),--($CR$7:$FW$7&lt;=GI$6),$CR187:$FW187)*GA187</f>
        <v>0</v>
      </c>
      <c r="GJ187" s="145" cm="1">
        <f t="array" ref="GJ187">SUMPRODUCT(--($CR$7:$FW$7&gt;=GJ$5),--($CR$7:$FW$7&lt;=GJ$6),$CR187:$FW187)*GB187</f>
        <v>0</v>
      </c>
      <c r="GK187" s="145" cm="1">
        <f t="array" ref="GK187">SUMPRODUCT(--($CR$7:$FW$7&gt;=GK$5),--($CR$7:$FW$7&lt;=GK$6),$CR187:$FW187)*GC187</f>
        <v>0</v>
      </c>
      <c r="GL187" s="145" cm="1">
        <f t="array" ref="GL187">SUMPRODUCT(--($CR$7:$FW$7&gt;=GL$5),--($CR$7:$FW$7&lt;=GL$6),$CR187:$FW187)*GD187</f>
        <v>0</v>
      </c>
      <c r="GM187" s="145" cm="1">
        <f t="array" ref="GM187">SUMPRODUCT(--($CR$7:$FW$7&gt;=GM$5),--($CR$7:$FW$7&lt;=GM$6),$CR187:$FW187)*GE187</f>
        <v>0</v>
      </c>
      <c r="GN187" s="145" cm="1">
        <f t="array" ref="GN187">SUMPRODUCT(--($CR$7:$FW$7&gt;=GN$5),--($CR$7:$FW$7&lt;=GN$6),$CR187:$FW187)*GF187</f>
        <v>0</v>
      </c>
      <c r="GO187" s="145">
        <f t="shared" si="2"/>
        <v>0</v>
      </c>
      <c r="GP187" s="87"/>
      <c r="GR187" s="145" cm="1">
        <f t="array" ref="GR187">SUMPRODUCT(--($CR$7:$FW$7&gt;=GR$5),--($CR$7:$FW$7&lt;=GR$6),$CR187:$FW187)</f>
        <v>0</v>
      </c>
    </row>
    <row r="188" spans="2:200" x14ac:dyDescent="0.2">
      <c r="B188" s="141"/>
      <c r="C188" s="141"/>
      <c r="D188" s="141"/>
      <c r="E188" s="141"/>
      <c r="F188" s="141"/>
      <c r="G188" s="141"/>
      <c r="H188" s="142"/>
      <c r="I188" s="126"/>
      <c r="J188" s="143"/>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3"/>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c r="EE188" s="145"/>
      <c r="EF188" s="145"/>
      <c r="EG188" s="145"/>
      <c r="EH188" s="145"/>
      <c r="EI188" s="145"/>
      <c r="EJ188" s="145"/>
      <c r="EK188" s="145"/>
      <c r="EL188" s="145"/>
      <c r="EM188" s="145"/>
      <c r="EN188" s="145"/>
      <c r="EO188" s="145"/>
      <c r="EP188" s="145"/>
      <c r="EQ188" s="145"/>
      <c r="ER188" s="145"/>
      <c r="ES188" s="145"/>
      <c r="ET188" s="145"/>
      <c r="EU188" s="145"/>
      <c r="EV188" s="145"/>
      <c r="EW188" s="145"/>
      <c r="EX188" s="145"/>
      <c r="EY188" s="145"/>
      <c r="EZ188" s="145"/>
      <c r="FA188" s="145"/>
      <c r="FB188" s="145"/>
      <c r="FC188" s="145"/>
      <c r="FD188" s="145"/>
      <c r="FE188" s="145"/>
      <c r="FF188" s="145"/>
      <c r="FG188" s="145"/>
      <c r="FH188" s="145"/>
      <c r="FI188" s="145"/>
      <c r="FJ188" s="145"/>
      <c r="FK188" s="145"/>
      <c r="FL188" s="145"/>
      <c r="FM188" s="145"/>
      <c r="FN188" s="145"/>
      <c r="FO188" s="145"/>
      <c r="FP188" s="145"/>
      <c r="FQ188" s="145"/>
      <c r="FR188" s="145"/>
      <c r="FS188" s="145"/>
      <c r="FT188" s="145"/>
      <c r="FU188" s="145"/>
      <c r="FV188" s="145"/>
      <c r="FW188" s="145"/>
      <c r="FX188" s="143"/>
      <c r="FY188" s="146">
        <f>_xlfn.XLOOKUP($E188,'Key assumptions'!$B$112:$B$120,'Key assumptions'!$C$112:$C$120,0)</f>
        <v>0</v>
      </c>
      <c r="FZ188" s="146" cm="1">
        <f t="array" ref="FZ188">IF($FY188=0,0,_xlfn.IFS($FY188='Key assumptions'!$C$120,_xlfn.XLOOKUP(LEFT(FZ$7,6),Inflation_Year,Inflation_NominaltoReal),TRUE,_xlfn.XLOOKUP($FY188,Inflation_Year,NominaltoReal)))</f>
        <v>0</v>
      </c>
      <c r="GA188" s="146" cm="1">
        <f t="array" ref="GA188">IF($FY188=0,0,_xlfn.IFS($FY188='Key assumptions'!$C$120,_xlfn.XLOOKUP(LEFT(GA$7,6),Inflation_Year,Inflation_NominaltoReal),TRUE,_xlfn.XLOOKUP($FY188,Inflation_Year,NominaltoReal)))</f>
        <v>0</v>
      </c>
      <c r="GB188" s="146" cm="1">
        <f t="array" ref="GB188">IF($FY188=0,0,_xlfn.IFS($FY188='Key assumptions'!$C$120,_xlfn.XLOOKUP(LEFT(GB$7,6),Inflation_Year,Inflation_NominaltoReal),TRUE,_xlfn.XLOOKUP($FY188,Inflation_Year,NominaltoReal)))</f>
        <v>0</v>
      </c>
      <c r="GC188" s="146" cm="1">
        <f t="array" ref="GC188">IF($FY188=0,0,_xlfn.IFS($FY188='Key assumptions'!$C$120,_xlfn.XLOOKUP(LEFT(GC$7,6),Inflation_Year,Inflation_NominaltoReal),TRUE,_xlfn.XLOOKUP($FY188,Inflation_Year,NominaltoReal)))</f>
        <v>0</v>
      </c>
      <c r="GD188" s="146" cm="1">
        <f t="array" ref="GD188">IF($FY188=0,0,_xlfn.IFS($FY188='Key assumptions'!$C$120,_xlfn.XLOOKUP(LEFT(GD$7,6),Inflation_Year,Inflation_NominaltoReal),TRUE,_xlfn.XLOOKUP($FY188,Inflation_Year,NominaltoReal)))</f>
        <v>0</v>
      </c>
      <c r="GE188" s="146" cm="1">
        <f t="array" ref="GE188">IF($FY188=0,0,_xlfn.IFS($FY188='Key assumptions'!$C$120,_xlfn.XLOOKUP(LEFT(GE$7,6),Inflation_Year,Inflation_NominaltoReal),TRUE,_xlfn.XLOOKUP($FY188,Inflation_Year,NominaltoReal)))</f>
        <v>0</v>
      </c>
      <c r="GF188" s="146" cm="1">
        <f t="array" ref="GF188">IF($FY188=0,0,_xlfn.IFS($FY188='Key assumptions'!$C$120,_xlfn.XLOOKUP(LEFT(GF$7,6),Inflation_Year,Inflation_NominaltoReal),TRUE,_xlfn.XLOOKUP($FY188,Inflation_Year,NominaltoReal)))</f>
        <v>0</v>
      </c>
      <c r="GG188" s="143"/>
      <c r="GH188" s="145" cm="1">
        <f t="array" ref="GH188">SUMPRODUCT(--($CR$7:$FW$7&gt;=GH$5),--($CR$7:$FW$7&lt;=GH$6),$CR188:$FW188)*FZ188</f>
        <v>0</v>
      </c>
      <c r="GI188" s="145" cm="1">
        <f t="array" ref="GI188">SUMPRODUCT(--($CR$7:$FW$7&gt;=GI$5),--($CR$7:$FW$7&lt;=GI$6),$CR188:$FW188)*GA188</f>
        <v>0</v>
      </c>
      <c r="GJ188" s="145" cm="1">
        <f t="array" ref="GJ188">SUMPRODUCT(--($CR$7:$FW$7&gt;=GJ$5),--($CR$7:$FW$7&lt;=GJ$6),$CR188:$FW188)*GB188</f>
        <v>0</v>
      </c>
      <c r="GK188" s="145" cm="1">
        <f t="array" ref="GK188">SUMPRODUCT(--($CR$7:$FW$7&gt;=GK$5),--($CR$7:$FW$7&lt;=GK$6),$CR188:$FW188)*GC188</f>
        <v>0</v>
      </c>
      <c r="GL188" s="145" cm="1">
        <f t="array" ref="GL188">SUMPRODUCT(--($CR$7:$FW$7&gt;=GL$5),--($CR$7:$FW$7&lt;=GL$6),$CR188:$FW188)*GD188</f>
        <v>0</v>
      </c>
      <c r="GM188" s="145" cm="1">
        <f t="array" ref="GM188">SUMPRODUCT(--($CR$7:$FW$7&gt;=GM$5),--($CR$7:$FW$7&lt;=GM$6),$CR188:$FW188)*GE188</f>
        <v>0</v>
      </c>
      <c r="GN188" s="145" cm="1">
        <f t="array" ref="GN188">SUMPRODUCT(--($CR$7:$FW$7&gt;=GN$5),--($CR$7:$FW$7&lt;=GN$6),$CR188:$FW188)*GF188</f>
        <v>0</v>
      </c>
      <c r="GO188" s="145">
        <f t="shared" si="2"/>
        <v>0</v>
      </c>
      <c r="GP188" s="87"/>
      <c r="GR188" s="145" cm="1">
        <f t="array" ref="GR188">SUMPRODUCT(--($CR$7:$FW$7&gt;=GR$5),--($CR$7:$FW$7&lt;=GR$6),$CR188:$FW188)</f>
        <v>0</v>
      </c>
    </row>
    <row r="189" spans="2:200" x14ac:dyDescent="0.2">
      <c r="B189" s="141"/>
      <c r="C189" s="141"/>
      <c r="D189" s="141"/>
      <c r="E189" s="141"/>
      <c r="F189" s="141"/>
      <c r="G189" s="141"/>
      <c r="H189" s="142"/>
      <c r="I189" s="126"/>
      <c r="J189" s="143"/>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3"/>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c r="EE189" s="145"/>
      <c r="EF189" s="145"/>
      <c r="EG189" s="145"/>
      <c r="EH189" s="145"/>
      <c r="EI189" s="145"/>
      <c r="EJ189" s="145"/>
      <c r="EK189" s="145"/>
      <c r="EL189" s="145"/>
      <c r="EM189" s="145"/>
      <c r="EN189" s="145"/>
      <c r="EO189" s="145"/>
      <c r="EP189" s="145"/>
      <c r="EQ189" s="145"/>
      <c r="ER189" s="145"/>
      <c r="ES189" s="145"/>
      <c r="ET189" s="145"/>
      <c r="EU189" s="145"/>
      <c r="EV189" s="145"/>
      <c r="EW189" s="145"/>
      <c r="EX189" s="145"/>
      <c r="EY189" s="145"/>
      <c r="EZ189" s="145"/>
      <c r="FA189" s="145"/>
      <c r="FB189" s="145"/>
      <c r="FC189" s="145"/>
      <c r="FD189" s="145"/>
      <c r="FE189" s="145"/>
      <c r="FF189" s="145"/>
      <c r="FG189" s="145"/>
      <c r="FH189" s="145"/>
      <c r="FI189" s="145"/>
      <c r="FJ189" s="145"/>
      <c r="FK189" s="145"/>
      <c r="FL189" s="145"/>
      <c r="FM189" s="145"/>
      <c r="FN189" s="145"/>
      <c r="FO189" s="145"/>
      <c r="FP189" s="145"/>
      <c r="FQ189" s="145"/>
      <c r="FR189" s="145"/>
      <c r="FS189" s="145"/>
      <c r="FT189" s="145"/>
      <c r="FU189" s="145"/>
      <c r="FV189" s="145"/>
      <c r="FW189" s="145"/>
      <c r="FX189" s="143"/>
      <c r="FY189" s="146">
        <f>_xlfn.XLOOKUP($E189,'Key assumptions'!$B$112:$B$120,'Key assumptions'!$C$112:$C$120,0)</f>
        <v>0</v>
      </c>
      <c r="FZ189" s="146" cm="1">
        <f t="array" ref="FZ189">IF($FY189=0,0,_xlfn.IFS($FY189='Key assumptions'!$C$120,_xlfn.XLOOKUP(LEFT(FZ$7,6),Inflation_Year,Inflation_NominaltoReal),TRUE,_xlfn.XLOOKUP($FY189,Inflation_Year,NominaltoReal)))</f>
        <v>0</v>
      </c>
      <c r="GA189" s="146" cm="1">
        <f t="array" ref="GA189">IF($FY189=0,0,_xlfn.IFS($FY189='Key assumptions'!$C$120,_xlfn.XLOOKUP(LEFT(GA$7,6),Inflation_Year,Inflation_NominaltoReal),TRUE,_xlfn.XLOOKUP($FY189,Inflation_Year,NominaltoReal)))</f>
        <v>0</v>
      </c>
      <c r="GB189" s="146" cm="1">
        <f t="array" ref="GB189">IF($FY189=0,0,_xlfn.IFS($FY189='Key assumptions'!$C$120,_xlfn.XLOOKUP(LEFT(GB$7,6),Inflation_Year,Inflation_NominaltoReal),TRUE,_xlfn.XLOOKUP($FY189,Inflation_Year,NominaltoReal)))</f>
        <v>0</v>
      </c>
      <c r="GC189" s="146" cm="1">
        <f t="array" ref="GC189">IF($FY189=0,0,_xlfn.IFS($FY189='Key assumptions'!$C$120,_xlfn.XLOOKUP(LEFT(GC$7,6),Inflation_Year,Inflation_NominaltoReal),TRUE,_xlfn.XLOOKUP($FY189,Inflation_Year,NominaltoReal)))</f>
        <v>0</v>
      </c>
      <c r="GD189" s="146" cm="1">
        <f t="array" ref="GD189">IF($FY189=0,0,_xlfn.IFS($FY189='Key assumptions'!$C$120,_xlfn.XLOOKUP(LEFT(GD$7,6),Inflation_Year,Inflation_NominaltoReal),TRUE,_xlfn.XLOOKUP($FY189,Inflation_Year,NominaltoReal)))</f>
        <v>0</v>
      </c>
      <c r="GE189" s="146" cm="1">
        <f t="array" ref="GE189">IF($FY189=0,0,_xlfn.IFS($FY189='Key assumptions'!$C$120,_xlfn.XLOOKUP(LEFT(GE$7,6),Inflation_Year,Inflation_NominaltoReal),TRUE,_xlfn.XLOOKUP($FY189,Inflation_Year,NominaltoReal)))</f>
        <v>0</v>
      </c>
      <c r="GF189" s="146" cm="1">
        <f t="array" ref="GF189">IF($FY189=0,0,_xlfn.IFS($FY189='Key assumptions'!$C$120,_xlfn.XLOOKUP(LEFT(GF$7,6),Inflation_Year,Inflation_NominaltoReal),TRUE,_xlfn.XLOOKUP($FY189,Inflation_Year,NominaltoReal)))</f>
        <v>0</v>
      </c>
      <c r="GG189" s="143"/>
      <c r="GH189" s="145" cm="1">
        <f t="array" ref="GH189">SUMPRODUCT(--($CR$7:$FW$7&gt;=GH$5),--($CR$7:$FW$7&lt;=GH$6),$CR189:$FW189)*FZ189</f>
        <v>0</v>
      </c>
      <c r="GI189" s="145" cm="1">
        <f t="array" ref="GI189">SUMPRODUCT(--($CR$7:$FW$7&gt;=GI$5),--($CR$7:$FW$7&lt;=GI$6),$CR189:$FW189)*GA189</f>
        <v>0</v>
      </c>
      <c r="GJ189" s="145" cm="1">
        <f t="array" ref="GJ189">SUMPRODUCT(--($CR$7:$FW$7&gt;=GJ$5),--($CR$7:$FW$7&lt;=GJ$6),$CR189:$FW189)*GB189</f>
        <v>0</v>
      </c>
      <c r="GK189" s="145" cm="1">
        <f t="array" ref="GK189">SUMPRODUCT(--($CR$7:$FW$7&gt;=GK$5),--($CR$7:$FW$7&lt;=GK$6),$CR189:$FW189)*GC189</f>
        <v>0</v>
      </c>
      <c r="GL189" s="145" cm="1">
        <f t="array" ref="GL189">SUMPRODUCT(--($CR$7:$FW$7&gt;=GL$5),--($CR$7:$FW$7&lt;=GL$6),$CR189:$FW189)*GD189</f>
        <v>0</v>
      </c>
      <c r="GM189" s="145" cm="1">
        <f t="array" ref="GM189">SUMPRODUCT(--($CR$7:$FW$7&gt;=GM$5),--($CR$7:$FW$7&lt;=GM$6),$CR189:$FW189)*GE189</f>
        <v>0</v>
      </c>
      <c r="GN189" s="145" cm="1">
        <f t="array" ref="GN189">SUMPRODUCT(--($CR$7:$FW$7&gt;=GN$5),--($CR$7:$FW$7&lt;=GN$6),$CR189:$FW189)*GF189</f>
        <v>0</v>
      </c>
      <c r="GO189" s="145">
        <f t="shared" si="2"/>
        <v>0</v>
      </c>
      <c r="GP189" s="87"/>
      <c r="GR189" s="145" cm="1">
        <f t="array" ref="GR189">SUMPRODUCT(--($CR$7:$FW$7&gt;=GR$5),--($CR$7:$FW$7&lt;=GR$6),$CR189:$FW189)</f>
        <v>0</v>
      </c>
    </row>
    <row r="190" spans="2:200" x14ac:dyDescent="0.2">
      <c r="B190" s="141"/>
      <c r="C190" s="141"/>
      <c r="D190" s="141"/>
      <c r="E190" s="141"/>
      <c r="F190" s="141"/>
      <c r="G190" s="141"/>
      <c r="H190" s="142"/>
      <c r="I190" s="126"/>
      <c r="J190" s="143"/>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3"/>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c r="EE190" s="145"/>
      <c r="EF190" s="145"/>
      <c r="EG190" s="145"/>
      <c r="EH190" s="145"/>
      <c r="EI190" s="145"/>
      <c r="EJ190" s="145"/>
      <c r="EK190" s="145"/>
      <c r="EL190" s="145"/>
      <c r="EM190" s="145"/>
      <c r="EN190" s="145"/>
      <c r="EO190" s="145"/>
      <c r="EP190" s="145"/>
      <c r="EQ190" s="145"/>
      <c r="ER190" s="145"/>
      <c r="ES190" s="145"/>
      <c r="ET190" s="145"/>
      <c r="EU190" s="145"/>
      <c r="EV190" s="145"/>
      <c r="EW190" s="145"/>
      <c r="EX190" s="145"/>
      <c r="EY190" s="145"/>
      <c r="EZ190" s="145"/>
      <c r="FA190" s="145"/>
      <c r="FB190" s="145"/>
      <c r="FC190" s="145"/>
      <c r="FD190" s="145"/>
      <c r="FE190" s="145"/>
      <c r="FF190" s="145"/>
      <c r="FG190" s="145"/>
      <c r="FH190" s="145"/>
      <c r="FI190" s="145"/>
      <c r="FJ190" s="145"/>
      <c r="FK190" s="145"/>
      <c r="FL190" s="145"/>
      <c r="FM190" s="145"/>
      <c r="FN190" s="145"/>
      <c r="FO190" s="145"/>
      <c r="FP190" s="145"/>
      <c r="FQ190" s="145"/>
      <c r="FR190" s="145"/>
      <c r="FS190" s="145"/>
      <c r="FT190" s="145"/>
      <c r="FU190" s="145"/>
      <c r="FV190" s="145"/>
      <c r="FW190" s="145"/>
      <c r="FX190" s="143"/>
      <c r="FY190" s="146">
        <f>_xlfn.XLOOKUP($E190,'Key assumptions'!$B$112:$B$120,'Key assumptions'!$C$112:$C$120,0)</f>
        <v>0</v>
      </c>
      <c r="FZ190" s="146" cm="1">
        <f t="array" ref="FZ190">IF($FY190=0,0,_xlfn.IFS($FY190='Key assumptions'!$C$120,_xlfn.XLOOKUP(LEFT(FZ$7,6),Inflation_Year,Inflation_NominaltoReal),TRUE,_xlfn.XLOOKUP($FY190,Inflation_Year,NominaltoReal)))</f>
        <v>0</v>
      </c>
      <c r="GA190" s="146" cm="1">
        <f t="array" ref="GA190">IF($FY190=0,0,_xlfn.IFS($FY190='Key assumptions'!$C$120,_xlfn.XLOOKUP(LEFT(GA$7,6),Inflation_Year,Inflation_NominaltoReal),TRUE,_xlfn.XLOOKUP($FY190,Inflation_Year,NominaltoReal)))</f>
        <v>0</v>
      </c>
      <c r="GB190" s="146" cm="1">
        <f t="array" ref="GB190">IF($FY190=0,0,_xlfn.IFS($FY190='Key assumptions'!$C$120,_xlfn.XLOOKUP(LEFT(GB$7,6),Inflation_Year,Inflation_NominaltoReal),TRUE,_xlfn.XLOOKUP($FY190,Inflation_Year,NominaltoReal)))</f>
        <v>0</v>
      </c>
      <c r="GC190" s="146" cm="1">
        <f t="array" ref="GC190">IF($FY190=0,0,_xlfn.IFS($FY190='Key assumptions'!$C$120,_xlfn.XLOOKUP(LEFT(GC$7,6),Inflation_Year,Inflation_NominaltoReal),TRUE,_xlfn.XLOOKUP($FY190,Inflation_Year,NominaltoReal)))</f>
        <v>0</v>
      </c>
      <c r="GD190" s="146" cm="1">
        <f t="array" ref="GD190">IF($FY190=0,0,_xlfn.IFS($FY190='Key assumptions'!$C$120,_xlfn.XLOOKUP(LEFT(GD$7,6),Inflation_Year,Inflation_NominaltoReal),TRUE,_xlfn.XLOOKUP($FY190,Inflation_Year,NominaltoReal)))</f>
        <v>0</v>
      </c>
      <c r="GE190" s="146" cm="1">
        <f t="array" ref="GE190">IF($FY190=0,0,_xlfn.IFS($FY190='Key assumptions'!$C$120,_xlfn.XLOOKUP(LEFT(GE$7,6),Inflation_Year,Inflation_NominaltoReal),TRUE,_xlfn.XLOOKUP($FY190,Inflation_Year,NominaltoReal)))</f>
        <v>0</v>
      </c>
      <c r="GF190" s="146" cm="1">
        <f t="array" ref="GF190">IF($FY190=0,0,_xlfn.IFS($FY190='Key assumptions'!$C$120,_xlfn.XLOOKUP(LEFT(GF$7,6),Inflation_Year,Inflation_NominaltoReal),TRUE,_xlfn.XLOOKUP($FY190,Inflation_Year,NominaltoReal)))</f>
        <v>0</v>
      </c>
      <c r="GG190" s="143"/>
      <c r="GH190" s="145" cm="1">
        <f t="array" ref="GH190">SUMPRODUCT(--($CR$7:$FW$7&gt;=GH$5),--($CR$7:$FW$7&lt;=GH$6),$CR190:$FW190)*FZ190</f>
        <v>0</v>
      </c>
      <c r="GI190" s="145" cm="1">
        <f t="array" ref="GI190">SUMPRODUCT(--($CR$7:$FW$7&gt;=GI$5),--($CR$7:$FW$7&lt;=GI$6),$CR190:$FW190)*GA190</f>
        <v>0</v>
      </c>
      <c r="GJ190" s="145" cm="1">
        <f t="array" ref="GJ190">SUMPRODUCT(--($CR$7:$FW$7&gt;=GJ$5),--($CR$7:$FW$7&lt;=GJ$6),$CR190:$FW190)*GB190</f>
        <v>0</v>
      </c>
      <c r="GK190" s="145" cm="1">
        <f t="array" ref="GK190">SUMPRODUCT(--($CR$7:$FW$7&gt;=GK$5),--($CR$7:$FW$7&lt;=GK$6),$CR190:$FW190)*GC190</f>
        <v>0</v>
      </c>
      <c r="GL190" s="145" cm="1">
        <f t="array" ref="GL190">SUMPRODUCT(--($CR$7:$FW$7&gt;=GL$5),--($CR$7:$FW$7&lt;=GL$6),$CR190:$FW190)*GD190</f>
        <v>0</v>
      </c>
      <c r="GM190" s="145" cm="1">
        <f t="array" ref="GM190">SUMPRODUCT(--($CR$7:$FW$7&gt;=GM$5),--($CR$7:$FW$7&lt;=GM$6),$CR190:$FW190)*GE190</f>
        <v>0</v>
      </c>
      <c r="GN190" s="145" cm="1">
        <f t="array" ref="GN190">SUMPRODUCT(--($CR$7:$FW$7&gt;=GN$5),--($CR$7:$FW$7&lt;=GN$6),$CR190:$FW190)*GF190</f>
        <v>0</v>
      </c>
      <c r="GO190" s="145">
        <f t="shared" si="2"/>
        <v>0</v>
      </c>
      <c r="GP190" s="87"/>
      <c r="GR190" s="145" cm="1">
        <f t="array" ref="GR190">SUMPRODUCT(--($CR$7:$FW$7&gt;=GR$5),--($CR$7:$FW$7&lt;=GR$6),$CR190:$FW190)</f>
        <v>0</v>
      </c>
    </row>
    <row r="191" spans="2:200" x14ac:dyDescent="0.2">
      <c r="B191" s="141"/>
      <c r="C191" s="141"/>
      <c r="D191" s="141"/>
      <c r="E191" s="141"/>
      <c r="F191" s="141"/>
      <c r="G191" s="141"/>
      <c r="H191" s="142"/>
      <c r="I191" s="126"/>
      <c r="J191" s="143"/>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3"/>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c r="EE191" s="145"/>
      <c r="EF191" s="145"/>
      <c r="EG191" s="145"/>
      <c r="EH191" s="145"/>
      <c r="EI191" s="145"/>
      <c r="EJ191" s="145"/>
      <c r="EK191" s="145"/>
      <c r="EL191" s="145"/>
      <c r="EM191" s="145"/>
      <c r="EN191" s="145"/>
      <c r="EO191" s="145"/>
      <c r="EP191" s="145"/>
      <c r="EQ191" s="145"/>
      <c r="ER191" s="145"/>
      <c r="ES191" s="145"/>
      <c r="ET191" s="145"/>
      <c r="EU191" s="145"/>
      <c r="EV191" s="145"/>
      <c r="EW191" s="145"/>
      <c r="EX191" s="145"/>
      <c r="EY191" s="145"/>
      <c r="EZ191" s="145"/>
      <c r="FA191" s="145"/>
      <c r="FB191" s="145"/>
      <c r="FC191" s="145"/>
      <c r="FD191" s="145"/>
      <c r="FE191" s="145"/>
      <c r="FF191" s="145"/>
      <c r="FG191" s="145"/>
      <c r="FH191" s="145"/>
      <c r="FI191" s="145"/>
      <c r="FJ191" s="145"/>
      <c r="FK191" s="145"/>
      <c r="FL191" s="145"/>
      <c r="FM191" s="145"/>
      <c r="FN191" s="145"/>
      <c r="FO191" s="145"/>
      <c r="FP191" s="145"/>
      <c r="FQ191" s="145"/>
      <c r="FR191" s="145"/>
      <c r="FS191" s="145"/>
      <c r="FT191" s="145"/>
      <c r="FU191" s="145"/>
      <c r="FV191" s="145"/>
      <c r="FW191" s="145"/>
      <c r="FX191" s="143"/>
      <c r="FY191" s="146">
        <f>_xlfn.XLOOKUP($E191,'Key assumptions'!$B$112:$B$120,'Key assumptions'!$C$112:$C$120,0)</f>
        <v>0</v>
      </c>
      <c r="FZ191" s="146" cm="1">
        <f t="array" ref="FZ191">IF($FY191=0,0,_xlfn.IFS($FY191='Key assumptions'!$C$120,_xlfn.XLOOKUP(LEFT(FZ$7,6),Inflation_Year,Inflation_NominaltoReal),TRUE,_xlfn.XLOOKUP($FY191,Inflation_Year,NominaltoReal)))</f>
        <v>0</v>
      </c>
      <c r="GA191" s="146" cm="1">
        <f t="array" ref="GA191">IF($FY191=0,0,_xlfn.IFS($FY191='Key assumptions'!$C$120,_xlfn.XLOOKUP(LEFT(GA$7,6),Inflation_Year,Inflation_NominaltoReal),TRUE,_xlfn.XLOOKUP($FY191,Inflation_Year,NominaltoReal)))</f>
        <v>0</v>
      </c>
      <c r="GB191" s="146" cm="1">
        <f t="array" ref="GB191">IF($FY191=0,0,_xlfn.IFS($FY191='Key assumptions'!$C$120,_xlfn.XLOOKUP(LEFT(GB$7,6),Inflation_Year,Inflation_NominaltoReal),TRUE,_xlfn.XLOOKUP($FY191,Inflation_Year,NominaltoReal)))</f>
        <v>0</v>
      </c>
      <c r="GC191" s="146" cm="1">
        <f t="array" ref="GC191">IF($FY191=0,0,_xlfn.IFS($FY191='Key assumptions'!$C$120,_xlfn.XLOOKUP(LEFT(GC$7,6),Inflation_Year,Inflation_NominaltoReal),TRUE,_xlfn.XLOOKUP($FY191,Inflation_Year,NominaltoReal)))</f>
        <v>0</v>
      </c>
      <c r="GD191" s="146" cm="1">
        <f t="array" ref="GD191">IF($FY191=0,0,_xlfn.IFS($FY191='Key assumptions'!$C$120,_xlfn.XLOOKUP(LEFT(GD$7,6),Inflation_Year,Inflation_NominaltoReal),TRUE,_xlfn.XLOOKUP($FY191,Inflation_Year,NominaltoReal)))</f>
        <v>0</v>
      </c>
      <c r="GE191" s="146" cm="1">
        <f t="array" ref="GE191">IF($FY191=0,0,_xlfn.IFS($FY191='Key assumptions'!$C$120,_xlfn.XLOOKUP(LEFT(GE$7,6),Inflation_Year,Inflation_NominaltoReal),TRUE,_xlfn.XLOOKUP($FY191,Inflation_Year,NominaltoReal)))</f>
        <v>0</v>
      </c>
      <c r="GF191" s="146" cm="1">
        <f t="array" ref="GF191">IF($FY191=0,0,_xlfn.IFS($FY191='Key assumptions'!$C$120,_xlfn.XLOOKUP(LEFT(GF$7,6),Inflation_Year,Inflation_NominaltoReal),TRUE,_xlfn.XLOOKUP($FY191,Inflation_Year,NominaltoReal)))</f>
        <v>0</v>
      </c>
      <c r="GG191" s="143"/>
      <c r="GH191" s="145" cm="1">
        <f t="array" ref="GH191">SUMPRODUCT(--($CR$7:$FW$7&gt;=GH$5),--($CR$7:$FW$7&lt;=GH$6),$CR191:$FW191)*FZ191</f>
        <v>0</v>
      </c>
      <c r="GI191" s="145" cm="1">
        <f t="array" ref="GI191">SUMPRODUCT(--($CR$7:$FW$7&gt;=GI$5),--($CR$7:$FW$7&lt;=GI$6),$CR191:$FW191)*GA191</f>
        <v>0</v>
      </c>
      <c r="GJ191" s="145" cm="1">
        <f t="array" ref="GJ191">SUMPRODUCT(--($CR$7:$FW$7&gt;=GJ$5),--($CR$7:$FW$7&lt;=GJ$6),$CR191:$FW191)*GB191</f>
        <v>0</v>
      </c>
      <c r="GK191" s="145" cm="1">
        <f t="array" ref="GK191">SUMPRODUCT(--($CR$7:$FW$7&gt;=GK$5),--($CR$7:$FW$7&lt;=GK$6),$CR191:$FW191)*GC191</f>
        <v>0</v>
      </c>
      <c r="GL191" s="145" cm="1">
        <f t="array" ref="GL191">SUMPRODUCT(--($CR$7:$FW$7&gt;=GL$5),--($CR$7:$FW$7&lt;=GL$6),$CR191:$FW191)*GD191</f>
        <v>0</v>
      </c>
      <c r="GM191" s="145" cm="1">
        <f t="array" ref="GM191">SUMPRODUCT(--($CR$7:$FW$7&gt;=GM$5),--($CR$7:$FW$7&lt;=GM$6),$CR191:$FW191)*GE191</f>
        <v>0</v>
      </c>
      <c r="GN191" s="145" cm="1">
        <f t="array" ref="GN191">SUMPRODUCT(--($CR$7:$FW$7&gt;=GN$5),--($CR$7:$FW$7&lt;=GN$6),$CR191:$FW191)*GF191</f>
        <v>0</v>
      </c>
      <c r="GO191" s="145">
        <f t="shared" si="2"/>
        <v>0</v>
      </c>
      <c r="GP191" s="87"/>
      <c r="GR191" s="145" cm="1">
        <f t="array" ref="GR191">SUMPRODUCT(--($CR$7:$FW$7&gt;=GR$5),--($CR$7:$FW$7&lt;=GR$6),$CR191:$FW191)</f>
        <v>0</v>
      </c>
    </row>
    <row r="192" spans="2:200" x14ac:dyDescent="0.2">
      <c r="B192" s="141"/>
      <c r="C192" s="141"/>
      <c r="D192" s="141"/>
      <c r="E192" s="141"/>
      <c r="F192" s="141"/>
      <c r="G192" s="141"/>
      <c r="H192" s="142"/>
      <c r="I192" s="126"/>
      <c r="J192" s="143"/>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3"/>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c r="EE192" s="145"/>
      <c r="EF192" s="145"/>
      <c r="EG192" s="145"/>
      <c r="EH192" s="145"/>
      <c r="EI192" s="145"/>
      <c r="EJ192" s="145"/>
      <c r="EK192" s="145"/>
      <c r="EL192" s="145"/>
      <c r="EM192" s="145"/>
      <c r="EN192" s="145"/>
      <c r="EO192" s="145"/>
      <c r="EP192" s="145"/>
      <c r="EQ192" s="145"/>
      <c r="ER192" s="145"/>
      <c r="ES192" s="145"/>
      <c r="ET192" s="145"/>
      <c r="EU192" s="145"/>
      <c r="EV192" s="145"/>
      <c r="EW192" s="145"/>
      <c r="EX192" s="145"/>
      <c r="EY192" s="145"/>
      <c r="EZ192" s="145"/>
      <c r="FA192" s="145"/>
      <c r="FB192" s="145"/>
      <c r="FC192" s="145"/>
      <c r="FD192" s="145"/>
      <c r="FE192" s="145"/>
      <c r="FF192" s="145"/>
      <c r="FG192" s="145"/>
      <c r="FH192" s="145"/>
      <c r="FI192" s="145"/>
      <c r="FJ192" s="145"/>
      <c r="FK192" s="145"/>
      <c r="FL192" s="145"/>
      <c r="FM192" s="145"/>
      <c r="FN192" s="145"/>
      <c r="FO192" s="145"/>
      <c r="FP192" s="145"/>
      <c r="FQ192" s="145"/>
      <c r="FR192" s="145"/>
      <c r="FS192" s="145"/>
      <c r="FT192" s="145"/>
      <c r="FU192" s="145"/>
      <c r="FV192" s="145"/>
      <c r="FW192" s="145"/>
      <c r="FX192" s="143"/>
      <c r="FY192" s="146">
        <f>_xlfn.XLOOKUP($E192,'Key assumptions'!$B$112:$B$120,'Key assumptions'!$C$112:$C$120,0)</f>
        <v>0</v>
      </c>
      <c r="FZ192" s="146" cm="1">
        <f t="array" ref="FZ192">IF($FY192=0,0,_xlfn.IFS($FY192='Key assumptions'!$C$120,_xlfn.XLOOKUP(LEFT(FZ$7,6),Inflation_Year,Inflation_NominaltoReal),TRUE,_xlfn.XLOOKUP($FY192,Inflation_Year,NominaltoReal)))</f>
        <v>0</v>
      </c>
      <c r="GA192" s="146" cm="1">
        <f t="array" ref="GA192">IF($FY192=0,0,_xlfn.IFS($FY192='Key assumptions'!$C$120,_xlfn.XLOOKUP(LEFT(GA$7,6),Inflation_Year,Inflation_NominaltoReal),TRUE,_xlfn.XLOOKUP($FY192,Inflation_Year,NominaltoReal)))</f>
        <v>0</v>
      </c>
      <c r="GB192" s="146" cm="1">
        <f t="array" ref="GB192">IF($FY192=0,0,_xlfn.IFS($FY192='Key assumptions'!$C$120,_xlfn.XLOOKUP(LEFT(GB$7,6),Inflation_Year,Inflation_NominaltoReal),TRUE,_xlfn.XLOOKUP($FY192,Inflation_Year,NominaltoReal)))</f>
        <v>0</v>
      </c>
      <c r="GC192" s="146" cm="1">
        <f t="array" ref="GC192">IF($FY192=0,0,_xlfn.IFS($FY192='Key assumptions'!$C$120,_xlfn.XLOOKUP(LEFT(GC$7,6),Inflation_Year,Inflation_NominaltoReal),TRUE,_xlfn.XLOOKUP($FY192,Inflation_Year,NominaltoReal)))</f>
        <v>0</v>
      </c>
      <c r="GD192" s="146" cm="1">
        <f t="array" ref="GD192">IF($FY192=0,0,_xlfn.IFS($FY192='Key assumptions'!$C$120,_xlfn.XLOOKUP(LEFT(GD$7,6),Inflation_Year,Inflation_NominaltoReal),TRUE,_xlfn.XLOOKUP($FY192,Inflation_Year,NominaltoReal)))</f>
        <v>0</v>
      </c>
      <c r="GE192" s="146" cm="1">
        <f t="array" ref="GE192">IF($FY192=0,0,_xlfn.IFS($FY192='Key assumptions'!$C$120,_xlfn.XLOOKUP(LEFT(GE$7,6),Inflation_Year,Inflation_NominaltoReal),TRUE,_xlfn.XLOOKUP($FY192,Inflation_Year,NominaltoReal)))</f>
        <v>0</v>
      </c>
      <c r="GF192" s="146" cm="1">
        <f t="array" ref="GF192">IF($FY192=0,0,_xlfn.IFS($FY192='Key assumptions'!$C$120,_xlfn.XLOOKUP(LEFT(GF$7,6),Inflation_Year,Inflation_NominaltoReal),TRUE,_xlfn.XLOOKUP($FY192,Inflation_Year,NominaltoReal)))</f>
        <v>0</v>
      </c>
      <c r="GG192" s="143"/>
      <c r="GH192" s="145" cm="1">
        <f t="array" ref="GH192">SUMPRODUCT(--($CR$7:$FW$7&gt;=GH$5),--($CR$7:$FW$7&lt;=GH$6),$CR192:$FW192)*FZ192</f>
        <v>0</v>
      </c>
      <c r="GI192" s="145" cm="1">
        <f t="array" ref="GI192">SUMPRODUCT(--($CR$7:$FW$7&gt;=GI$5),--($CR$7:$FW$7&lt;=GI$6),$CR192:$FW192)*GA192</f>
        <v>0</v>
      </c>
      <c r="GJ192" s="145" cm="1">
        <f t="array" ref="GJ192">SUMPRODUCT(--($CR$7:$FW$7&gt;=GJ$5),--($CR$7:$FW$7&lt;=GJ$6),$CR192:$FW192)*GB192</f>
        <v>0</v>
      </c>
      <c r="GK192" s="145" cm="1">
        <f t="array" ref="GK192">SUMPRODUCT(--($CR$7:$FW$7&gt;=GK$5),--($CR$7:$FW$7&lt;=GK$6),$CR192:$FW192)*GC192</f>
        <v>0</v>
      </c>
      <c r="GL192" s="145" cm="1">
        <f t="array" ref="GL192">SUMPRODUCT(--($CR$7:$FW$7&gt;=GL$5),--($CR$7:$FW$7&lt;=GL$6),$CR192:$FW192)*GD192</f>
        <v>0</v>
      </c>
      <c r="GM192" s="145" cm="1">
        <f t="array" ref="GM192">SUMPRODUCT(--($CR$7:$FW$7&gt;=GM$5),--($CR$7:$FW$7&lt;=GM$6),$CR192:$FW192)*GE192</f>
        <v>0</v>
      </c>
      <c r="GN192" s="145" cm="1">
        <f t="array" ref="GN192">SUMPRODUCT(--($CR$7:$FW$7&gt;=GN$5),--($CR$7:$FW$7&lt;=GN$6),$CR192:$FW192)*GF192</f>
        <v>0</v>
      </c>
      <c r="GO192" s="145">
        <f t="shared" si="2"/>
        <v>0</v>
      </c>
      <c r="GP192" s="87"/>
      <c r="GR192" s="145" cm="1">
        <f t="array" ref="GR192">SUMPRODUCT(--($CR$7:$FW$7&gt;=GR$5),--($CR$7:$FW$7&lt;=GR$6),$CR192:$FW192)</f>
        <v>0</v>
      </c>
    </row>
    <row r="193" spans="2:200" x14ac:dyDescent="0.2">
      <c r="B193" s="141"/>
      <c r="C193" s="141"/>
      <c r="D193" s="141"/>
      <c r="E193" s="141"/>
      <c r="F193" s="141"/>
      <c r="G193" s="141"/>
      <c r="H193" s="142"/>
      <c r="I193" s="126"/>
      <c r="J193" s="143"/>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3"/>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c r="EE193" s="145"/>
      <c r="EF193" s="145"/>
      <c r="EG193" s="145"/>
      <c r="EH193" s="145"/>
      <c r="EI193" s="145"/>
      <c r="EJ193" s="145"/>
      <c r="EK193" s="145"/>
      <c r="EL193" s="145"/>
      <c r="EM193" s="145"/>
      <c r="EN193" s="145"/>
      <c r="EO193" s="145"/>
      <c r="EP193" s="145"/>
      <c r="EQ193" s="145"/>
      <c r="ER193" s="145"/>
      <c r="ES193" s="145"/>
      <c r="ET193" s="145"/>
      <c r="EU193" s="145"/>
      <c r="EV193" s="145"/>
      <c r="EW193" s="145"/>
      <c r="EX193" s="145"/>
      <c r="EY193" s="145"/>
      <c r="EZ193" s="145"/>
      <c r="FA193" s="145"/>
      <c r="FB193" s="145"/>
      <c r="FC193" s="145"/>
      <c r="FD193" s="145"/>
      <c r="FE193" s="145"/>
      <c r="FF193" s="145"/>
      <c r="FG193" s="145"/>
      <c r="FH193" s="145"/>
      <c r="FI193" s="145"/>
      <c r="FJ193" s="145"/>
      <c r="FK193" s="145"/>
      <c r="FL193" s="145"/>
      <c r="FM193" s="145"/>
      <c r="FN193" s="145"/>
      <c r="FO193" s="145"/>
      <c r="FP193" s="145"/>
      <c r="FQ193" s="145"/>
      <c r="FR193" s="145"/>
      <c r="FS193" s="145"/>
      <c r="FT193" s="145"/>
      <c r="FU193" s="145"/>
      <c r="FV193" s="145"/>
      <c r="FW193" s="145"/>
      <c r="FX193" s="143"/>
      <c r="FY193" s="146">
        <f>_xlfn.XLOOKUP($E193,'Key assumptions'!$B$112:$B$120,'Key assumptions'!$C$112:$C$120,0)</f>
        <v>0</v>
      </c>
      <c r="FZ193" s="146" cm="1">
        <f t="array" ref="FZ193">IF($FY193=0,0,_xlfn.IFS($FY193='Key assumptions'!$C$120,_xlfn.XLOOKUP(LEFT(FZ$7,6),Inflation_Year,Inflation_NominaltoReal),TRUE,_xlfn.XLOOKUP($FY193,Inflation_Year,NominaltoReal)))</f>
        <v>0</v>
      </c>
      <c r="GA193" s="146" cm="1">
        <f t="array" ref="GA193">IF($FY193=0,0,_xlfn.IFS($FY193='Key assumptions'!$C$120,_xlfn.XLOOKUP(LEFT(GA$7,6),Inflation_Year,Inflation_NominaltoReal),TRUE,_xlfn.XLOOKUP($FY193,Inflation_Year,NominaltoReal)))</f>
        <v>0</v>
      </c>
      <c r="GB193" s="146" cm="1">
        <f t="array" ref="GB193">IF($FY193=0,0,_xlfn.IFS($FY193='Key assumptions'!$C$120,_xlfn.XLOOKUP(LEFT(GB$7,6),Inflation_Year,Inflation_NominaltoReal),TRUE,_xlfn.XLOOKUP($FY193,Inflation_Year,NominaltoReal)))</f>
        <v>0</v>
      </c>
      <c r="GC193" s="146" cm="1">
        <f t="array" ref="GC193">IF($FY193=0,0,_xlfn.IFS($FY193='Key assumptions'!$C$120,_xlfn.XLOOKUP(LEFT(GC$7,6),Inflation_Year,Inflation_NominaltoReal),TRUE,_xlfn.XLOOKUP($FY193,Inflation_Year,NominaltoReal)))</f>
        <v>0</v>
      </c>
      <c r="GD193" s="146" cm="1">
        <f t="array" ref="GD193">IF($FY193=0,0,_xlfn.IFS($FY193='Key assumptions'!$C$120,_xlfn.XLOOKUP(LEFT(GD$7,6),Inflation_Year,Inflation_NominaltoReal),TRUE,_xlfn.XLOOKUP($FY193,Inflation_Year,NominaltoReal)))</f>
        <v>0</v>
      </c>
      <c r="GE193" s="146" cm="1">
        <f t="array" ref="GE193">IF($FY193=0,0,_xlfn.IFS($FY193='Key assumptions'!$C$120,_xlfn.XLOOKUP(LEFT(GE$7,6),Inflation_Year,Inflation_NominaltoReal),TRUE,_xlfn.XLOOKUP($FY193,Inflation_Year,NominaltoReal)))</f>
        <v>0</v>
      </c>
      <c r="GF193" s="146" cm="1">
        <f t="array" ref="GF193">IF($FY193=0,0,_xlfn.IFS($FY193='Key assumptions'!$C$120,_xlfn.XLOOKUP(LEFT(GF$7,6),Inflation_Year,Inflation_NominaltoReal),TRUE,_xlfn.XLOOKUP($FY193,Inflation_Year,NominaltoReal)))</f>
        <v>0</v>
      </c>
      <c r="GG193" s="143"/>
      <c r="GH193" s="145" cm="1">
        <f t="array" ref="GH193">SUMPRODUCT(--($CR$7:$FW$7&gt;=GH$5),--($CR$7:$FW$7&lt;=GH$6),$CR193:$FW193)*FZ193</f>
        <v>0</v>
      </c>
      <c r="GI193" s="145" cm="1">
        <f t="array" ref="GI193">SUMPRODUCT(--($CR$7:$FW$7&gt;=GI$5),--($CR$7:$FW$7&lt;=GI$6),$CR193:$FW193)*GA193</f>
        <v>0</v>
      </c>
      <c r="GJ193" s="145" cm="1">
        <f t="array" ref="GJ193">SUMPRODUCT(--($CR$7:$FW$7&gt;=GJ$5),--($CR$7:$FW$7&lt;=GJ$6),$CR193:$FW193)*GB193</f>
        <v>0</v>
      </c>
      <c r="GK193" s="145" cm="1">
        <f t="array" ref="GK193">SUMPRODUCT(--($CR$7:$FW$7&gt;=GK$5),--($CR$7:$FW$7&lt;=GK$6),$CR193:$FW193)*GC193</f>
        <v>0</v>
      </c>
      <c r="GL193" s="145" cm="1">
        <f t="array" ref="GL193">SUMPRODUCT(--($CR$7:$FW$7&gt;=GL$5),--($CR$7:$FW$7&lt;=GL$6),$CR193:$FW193)*GD193</f>
        <v>0</v>
      </c>
      <c r="GM193" s="145" cm="1">
        <f t="array" ref="GM193">SUMPRODUCT(--($CR$7:$FW$7&gt;=GM$5),--($CR$7:$FW$7&lt;=GM$6),$CR193:$FW193)*GE193</f>
        <v>0</v>
      </c>
      <c r="GN193" s="145" cm="1">
        <f t="array" ref="GN193">SUMPRODUCT(--($CR$7:$FW$7&gt;=GN$5),--($CR$7:$FW$7&lt;=GN$6),$CR193:$FW193)*GF193</f>
        <v>0</v>
      </c>
      <c r="GO193" s="145">
        <f t="shared" si="2"/>
        <v>0</v>
      </c>
      <c r="GP193" s="87"/>
      <c r="GR193" s="145" cm="1">
        <f t="array" ref="GR193">SUMPRODUCT(--($CR$7:$FW$7&gt;=GR$5),--($CR$7:$FW$7&lt;=GR$6),$CR193:$FW193)</f>
        <v>0</v>
      </c>
    </row>
    <row r="194" spans="2:200" x14ac:dyDescent="0.2">
      <c r="B194" s="141"/>
      <c r="C194" s="141"/>
      <c r="D194" s="141"/>
      <c r="E194" s="141"/>
      <c r="F194" s="141"/>
      <c r="G194" s="141"/>
      <c r="H194" s="142"/>
      <c r="I194" s="126"/>
      <c r="J194" s="143"/>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3"/>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c r="EE194" s="145"/>
      <c r="EF194" s="145"/>
      <c r="EG194" s="145"/>
      <c r="EH194" s="145"/>
      <c r="EI194" s="145"/>
      <c r="EJ194" s="145"/>
      <c r="EK194" s="145"/>
      <c r="EL194" s="145"/>
      <c r="EM194" s="145"/>
      <c r="EN194" s="145"/>
      <c r="EO194" s="145"/>
      <c r="EP194" s="145"/>
      <c r="EQ194" s="145"/>
      <c r="ER194" s="145"/>
      <c r="ES194" s="145"/>
      <c r="ET194" s="145"/>
      <c r="EU194" s="145"/>
      <c r="EV194" s="145"/>
      <c r="EW194" s="145"/>
      <c r="EX194" s="145"/>
      <c r="EY194" s="145"/>
      <c r="EZ194" s="145"/>
      <c r="FA194" s="145"/>
      <c r="FB194" s="145"/>
      <c r="FC194" s="145"/>
      <c r="FD194" s="145"/>
      <c r="FE194" s="145"/>
      <c r="FF194" s="145"/>
      <c r="FG194" s="145"/>
      <c r="FH194" s="145"/>
      <c r="FI194" s="145"/>
      <c r="FJ194" s="145"/>
      <c r="FK194" s="145"/>
      <c r="FL194" s="145"/>
      <c r="FM194" s="145"/>
      <c r="FN194" s="145"/>
      <c r="FO194" s="145"/>
      <c r="FP194" s="145"/>
      <c r="FQ194" s="145"/>
      <c r="FR194" s="145"/>
      <c r="FS194" s="145"/>
      <c r="FT194" s="145"/>
      <c r="FU194" s="145"/>
      <c r="FV194" s="145"/>
      <c r="FW194" s="145"/>
      <c r="FX194" s="143"/>
      <c r="FY194" s="146">
        <f>_xlfn.XLOOKUP($E194,'Key assumptions'!$B$112:$B$120,'Key assumptions'!$C$112:$C$120,0)</f>
        <v>0</v>
      </c>
      <c r="FZ194" s="146" cm="1">
        <f t="array" ref="FZ194">IF($FY194=0,0,_xlfn.IFS($FY194='Key assumptions'!$C$120,_xlfn.XLOOKUP(LEFT(FZ$7,6),Inflation_Year,Inflation_NominaltoReal),TRUE,_xlfn.XLOOKUP($FY194,Inflation_Year,NominaltoReal)))</f>
        <v>0</v>
      </c>
      <c r="GA194" s="146" cm="1">
        <f t="array" ref="GA194">IF($FY194=0,0,_xlfn.IFS($FY194='Key assumptions'!$C$120,_xlfn.XLOOKUP(LEFT(GA$7,6),Inflation_Year,Inflation_NominaltoReal),TRUE,_xlfn.XLOOKUP($FY194,Inflation_Year,NominaltoReal)))</f>
        <v>0</v>
      </c>
      <c r="GB194" s="146" cm="1">
        <f t="array" ref="GB194">IF($FY194=0,0,_xlfn.IFS($FY194='Key assumptions'!$C$120,_xlfn.XLOOKUP(LEFT(GB$7,6),Inflation_Year,Inflation_NominaltoReal),TRUE,_xlfn.XLOOKUP($FY194,Inflation_Year,NominaltoReal)))</f>
        <v>0</v>
      </c>
      <c r="GC194" s="146" cm="1">
        <f t="array" ref="GC194">IF($FY194=0,0,_xlfn.IFS($FY194='Key assumptions'!$C$120,_xlfn.XLOOKUP(LEFT(GC$7,6),Inflation_Year,Inflation_NominaltoReal),TRUE,_xlfn.XLOOKUP($FY194,Inflation_Year,NominaltoReal)))</f>
        <v>0</v>
      </c>
      <c r="GD194" s="146" cm="1">
        <f t="array" ref="GD194">IF($FY194=0,0,_xlfn.IFS($FY194='Key assumptions'!$C$120,_xlfn.XLOOKUP(LEFT(GD$7,6),Inflation_Year,Inflation_NominaltoReal),TRUE,_xlfn.XLOOKUP($FY194,Inflation_Year,NominaltoReal)))</f>
        <v>0</v>
      </c>
      <c r="GE194" s="146" cm="1">
        <f t="array" ref="GE194">IF($FY194=0,0,_xlfn.IFS($FY194='Key assumptions'!$C$120,_xlfn.XLOOKUP(LEFT(GE$7,6),Inflation_Year,Inflation_NominaltoReal),TRUE,_xlfn.XLOOKUP($FY194,Inflation_Year,NominaltoReal)))</f>
        <v>0</v>
      </c>
      <c r="GF194" s="146" cm="1">
        <f t="array" ref="GF194">IF($FY194=0,0,_xlfn.IFS($FY194='Key assumptions'!$C$120,_xlfn.XLOOKUP(LEFT(GF$7,6),Inflation_Year,Inflation_NominaltoReal),TRUE,_xlfn.XLOOKUP($FY194,Inflation_Year,NominaltoReal)))</f>
        <v>0</v>
      </c>
      <c r="GG194" s="143"/>
      <c r="GH194" s="145" cm="1">
        <f t="array" ref="GH194">SUMPRODUCT(--($CR$7:$FW$7&gt;=GH$5),--($CR$7:$FW$7&lt;=GH$6),$CR194:$FW194)*FZ194</f>
        <v>0</v>
      </c>
      <c r="GI194" s="145" cm="1">
        <f t="array" ref="GI194">SUMPRODUCT(--($CR$7:$FW$7&gt;=GI$5),--($CR$7:$FW$7&lt;=GI$6),$CR194:$FW194)*GA194</f>
        <v>0</v>
      </c>
      <c r="GJ194" s="145" cm="1">
        <f t="array" ref="GJ194">SUMPRODUCT(--($CR$7:$FW$7&gt;=GJ$5),--($CR$7:$FW$7&lt;=GJ$6),$CR194:$FW194)*GB194</f>
        <v>0</v>
      </c>
      <c r="GK194" s="145" cm="1">
        <f t="array" ref="GK194">SUMPRODUCT(--($CR$7:$FW$7&gt;=GK$5),--($CR$7:$FW$7&lt;=GK$6),$CR194:$FW194)*GC194</f>
        <v>0</v>
      </c>
      <c r="GL194" s="145" cm="1">
        <f t="array" ref="GL194">SUMPRODUCT(--($CR$7:$FW$7&gt;=GL$5),--($CR$7:$FW$7&lt;=GL$6),$CR194:$FW194)*GD194</f>
        <v>0</v>
      </c>
      <c r="GM194" s="145" cm="1">
        <f t="array" ref="GM194">SUMPRODUCT(--($CR$7:$FW$7&gt;=GM$5),--($CR$7:$FW$7&lt;=GM$6),$CR194:$FW194)*GE194</f>
        <v>0</v>
      </c>
      <c r="GN194" s="145" cm="1">
        <f t="array" ref="GN194">SUMPRODUCT(--($CR$7:$FW$7&gt;=GN$5),--($CR$7:$FW$7&lt;=GN$6),$CR194:$FW194)*GF194</f>
        <v>0</v>
      </c>
      <c r="GO194" s="145">
        <f t="shared" si="2"/>
        <v>0</v>
      </c>
      <c r="GP194" s="87"/>
      <c r="GR194" s="145" cm="1">
        <f t="array" ref="GR194">SUMPRODUCT(--($CR$7:$FW$7&gt;=GR$5),--($CR$7:$FW$7&lt;=GR$6),$CR194:$FW194)</f>
        <v>0</v>
      </c>
    </row>
    <row r="195" spans="2:200" x14ac:dyDescent="0.2">
      <c r="B195" s="141"/>
      <c r="C195" s="141"/>
      <c r="D195" s="141"/>
      <c r="E195" s="141"/>
      <c r="F195" s="141"/>
      <c r="G195" s="141"/>
      <c r="H195" s="142"/>
      <c r="I195" s="126"/>
      <c r="J195" s="143"/>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3"/>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145"/>
      <c r="EH195" s="145"/>
      <c r="EI195" s="145"/>
      <c r="EJ195" s="145"/>
      <c r="EK195" s="145"/>
      <c r="EL195" s="145"/>
      <c r="EM195" s="145"/>
      <c r="EN195" s="145"/>
      <c r="EO195" s="145"/>
      <c r="EP195" s="145"/>
      <c r="EQ195" s="145"/>
      <c r="ER195" s="145"/>
      <c r="ES195" s="145"/>
      <c r="ET195" s="145"/>
      <c r="EU195" s="145"/>
      <c r="EV195" s="145"/>
      <c r="EW195" s="145"/>
      <c r="EX195" s="145"/>
      <c r="EY195" s="145"/>
      <c r="EZ195" s="145"/>
      <c r="FA195" s="145"/>
      <c r="FB195" s="145"/>
      <c r="FC195" s="145"/>
      <c r="FD195" s="145"/>
      <c r="FE195" s="145"/>
      <c r="FF195" s="145"/>
      <c r="FG195" s="145"/>
      <c r="FH195" s="145"/>
      <c r="FI195" s="145"/>
      <c r="FJ195" s="145"/>
      <c r="FK195" s="145"/>
      <c r="FL195" s="145"/>
      <c r="FM195" s="145"/>
      <c r="FN195" s="145"/>
      <c r="FO195" s="145"/>
      <c r="FP195" s="145"/>
      <c r="FQ195" s="145"/>
      <c r="FR195" s="145"/>
      <c r="FS195" s="145"/>
      <c r="FT195" s="145"/>
      <c r="FU195" s="145"/>
      <c r="FV195" s="145"/>
      <c r="FW195" s="145"/>
      <c r="FX195" s="143"/>
      <c r="FY195" s="146">
        <f>_xlfn.XLOOKUP($E195,'Key assumptions'!$B$112:$B$120,'Key assumptions'!$C$112:$C$120,0)</f>
        <v>0</v>
      </c>
      <c r="FZ195" s="146" cm="1">
        <f t="array" ref="FZ195">IF($FY195=0,0,_xlfn.IFS($FY195='Key assumptions'!$C$120,_xlfn.XLOOKUP(LEFT(FZ$7,6),Inflation_Year,Inflation_NominaltoReal),TRUE,_xlfn.XLOOKUP($FY195,Inflation_Year,NominaltoReal)))</f>
        <v>0</v>
      </c>
      <c r="GA195" s="146" cm="1">
        <f t="array" ref="GA195">IF($FY195=0,0,_xlfn.IFS($FY195='Key assumptions'!$C$120,_xlfn.XLOOKUP(LEFT(GA$7,6),Inflation_Year,Inflation_NominaltoReal),TRUE,_xlfn.XLOOKUP($FY195,Inflation_Year,NominaltoReal)))</f>
        <v>0</v>
      </c>
      <c r="GB195" s="146" cm="1">
        <f t="array" ref="GB195">IF($FY195=0,0,_xlfn.IFS($FY195='Key assumptions'!$C$120,_xlfn.XLOOKUP(LEFT(GB$7,6),Inflation_Year,Inflation_NominaltoReal),TRUE,_xlfn.XLOOKUP($FY195,Inflation_Year,NominaltoReal)))</f>
        <v>0</v>
      </c>
      <c r="GC195" s="146" cm="1">
        <f t="array" ref="GC195">IF($FY195=0,0,_xlfn.IFS($FY195='Key assumptions'!$C$120,_xlfn.XLOOKUP(LEFT(GC$7,6),Inflation_Year,Inflation_NominaltoReal),TRUE,_xlfn.XLOOKUP($FY195,Inflation_Year,NominaltoReal)))</f>
        <v>0</v>
      </c>
      <c r="GD195" s="146" cm="1">
        <f t="array" ref="GD195">IF($FY195=0,0,_xlfn.IFS($FY195='Key assumptions'!$C$120,_xlfn.XLOOKUP(LEFT(GD$7,6),Inflation_Year,Inflation_NominaltoReal),TRUE,_xlfn.XLOOKUP($FY195,Inflation_Year,NominaltoReal)))</f>
        <v>0</v>
      </c>
      <c r="GE195" s="146" cm="1">
        <f t="array" ref="GE195">IF($FY195=0,0,_xlfn.IFS($FY195='Key assumptions'!$C$120,_xlfn.XLOOKUP(LEFT(GE$7,6),Inflation_Year,Inflation_NominaltoReal),TRUE,_xlfn.XLOOKUP($FY195,Inflation_Year,NominaltoReal)))</f>
        <v>0</v>
      </c>
      <c r="GF195" s="146" cm="1">
        <f t="array" ref="GF195">IF($FY195=0,0,_xlfn.IFS($FY195='Key assumptions'!$C$120,_xlfn.XLOOKUP(LEFT(GF$7,6),Inflation_Year,Inflation_NominaltoReal),TRUE,_xlfn.XLOOKUP($FY195,Inflation_Year,NominaltoReal)))</f>
        <v>0</v>
      </c>
      <c r="GG195" s="143"/>
      <c r="GH195" s="145" cm="1">
        <f t="array" ref="GH195">SUMPRODUCT(--($CR$7:$FW$7&gt;=GH$5),--($CR$7:$FW$7&lt;=GH$6),$CR195:$FW195)*FZ195</f>
        <v>0</v>
      </c>
      <c r="GI195" s="145" cm="1">
        <f t="array" ref="GI195">SUMPRODUCT(--($CR$7:$FW$7&gt;=GI$5),--($CR$7:$FW$7&lt;=GI$6),$CR195:$FW195)*GA195</f>
        <v>0</v>
      </c>
      <c r="GJ195" s="145" cm="1">
        <f t="array" ref="GJ195">SUMPRODUCT(--($CR$7:$FW$7&gt;=GJ$5),--($CR$7:$FW$7&lt;=GJ$6),$CR195:$FW195)*GB195</f>
        <v>0</v>
      </c>
      <c r="GK195" s="145" cm="1">
        <f t="array" ref="GK195">SUMPRODUCT(--($CR$7:$FW$7&gt;=GK$5),--($CR$7:$FW$7&lt;=GK$6),$CR195:$FW195)*GC195</f>
        <v>0</v>
      </c>
      <c r="GL195" s="145" cm="1">
        <f t="array" ref="GL195">SUMPRODUCT(--($CR$7:$FW$7&gt;=GL$5),--($CR$7:$FW$7&lt;=GL$6),$CR195:$FW195)*GD195</f>
        <v>0</v>
      </c>
      <c r="GM195" s="145" cm="1">
        <f t="array" ref="GM195">SUMPRODUCT(--($CR$7:$FW$7&gt;=GM$5),--($CR$7:$FW$7&lt;=GM$6),$CR195:$FW195)*GE195</f>
        <v>0</v>
      </c>
      <c r="GN195" s="145" cm="1">
        <f t="array" ref="GN195">SUMPRODUCT(--($CR$7:$FW$7&gt;=GN$5),--($CR$7:$FW$7&lt;=GN$6),$CR195:$FW195)*GF195</f>
        <v>0</v>
      </c>
      <c r="GO195" s="145">
        <f t="shared" si="2"/>
        <v>0</v>
      </c>
      <c r="GP195" s="87"/>
      <c r="GR195" s="145" cm="1">
        <f t="array" ref="GR195">SUMPRODUCT(--($CR$7:$FW$7&gt;=GR$5),--($CR$7:$FW$7&lt;=GR$6),$CR195:$FW195)</f>
        <v>0</v>
      </c>
    </row>
    <row r="196" spans="2:200" x14ac:dyDescent="0.2">
      <c r="B196" s="141"/>
      <c r="C196" s="141"/>
      <c r="D196" s="141"/>
      <c r="E196" s="141"/>
      <c r="F196" s="141"/>
      <c r="G196" s="141"/>
      <c r="H196" s="142"/>
      <c r="I196" s="126"/>
      <c r="J196" s="143"/>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3"/>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c r="EE196" s="145"/>
      <c r="EF196" s="145"/>
      <c r="EG196" s="145"/>
      <c r="EH196" s="145"/>
      <c r="EI196" s="145"/>
      <c r="EJ196" s="145"/>
      <c r="EK196" s="145"/>
      <c r="EL196" s="145"/>
      <c r="EM196" s="145"/>
      <c r="EN196" s="145"/>
      <c r="EO196" s="145"/>
      <c r="EP196" s="145"/>
      <c r="EQ196" s="145"/>
      <c r="ER196" s="145"/>
      <c r="ES196" s="145"/>
      <c r="ET196" s="145"/>
      <c r="EU196" s="145"/>
      <c r="EV196" s="145"/>
      <c r="EW196" s="145"/>
      <c r="EX196" s="145"/>
      <c r="EY196" s="145"/>
      <c r="EZ196" s="145"/>
      <c r="FA196" s="145"/>
      <c r="FB196" s="145"/>
      <c r="FC196" s="145"/>
      <c r="FD196" s="145"/>
      <c r="FE196" s="145"/>
      <c r="FF196" s="145"/>
      <c r="FG196" s="145"/>
      <c r="FH196" s="145"/>
      <c r="FI196" s="145"/>
      <c r="FJ196" s="145"/>
      <c r="FK196" s="145"/>
      <c r="FL196" s="145"/>
      <c r="FM196" s="145"/>
      <c r="FN196" s="145"/>
      <c r="FO196" s="145"/>
      <c r="FP196" s="145"/>
      <c r="FQ196" s="145"/>
      <c r="FR196" s="145"/>
      <c r="FS196" s="145"/>
      <c r="FT196" s="145"/>
      <c r="FU196" s="145"/>
      <c r="FV196" s="145"/>
      <c r="FW196" s="145"/>
      <c r="FX196" s="143"/>
      <c r="FY196" s="146">
        <f>_xlfn.XLOOKUP($E196,'Key assumptions'!$B$112:$B$120,'Key assumptions'!$C$112:$C$120,0)</f>
        <v>0</v>
      </c>
      <c r="FZ196" s="146" cm="1">
        <f t="array" ref="FZ196">IF($FY196=0,0,_xlfn.IFS($FY196='Key assumptions'!$C$120,_xlfn.XLOOKUP(LEFT(FZ$7,6),Inflation_Year,Inflation_NominaltoReal),TRUE,_xlfn.XLOOKUP($FY196,Inflation_Year,NominaltoReal)))</f>
        <v>0</v>
      </c>
      <c r="GA196" s="146" cm="1">
        <f t="array" ref="GA196">IF($FY196=0,0,_xlfn.IFS($FY196='Key assumptions'!$C$120,_xlfn.XLOOKUP(LEFT(GA$7,6),Inflation_Year,Inflation_NominaltoReal),TRUE,_xlfn.XLOOKUP($FY196,Inflation_Year,NominaltoReal)))</f>
        <v>0</v>
      </c>
      <c r="GB196" s="146" cm="1">
        <f t="array" ref="GB196">IF($FY196=0,0,_xlfn.IFS($FY196='Key assumptions'!$C$120,_xlfn.XLOOKUP(LEFT(GB$7,6),Inflation_Year,Inflation_NominaltoReal),TRUE,_xlfn.XLOOKUP($FY196,Inflation_Year,NominaltoReal)))</f>
        <v>0</v>
      </c>
      <c r="GC196" s="146" cm="1">
        <f t="array" ref="GC196">IF($FY196=0,0,_xlfn.IFS($FY196='Key assumptions'!$C$120,_xlfn.XLOOKUP(LEFT(GC$7,6),Inflation_Year,Inflation_NominaltoReal),TRUE,_xlfn.XLOOKUP($FY196,Inflation_Year,NominaltoReal)))</f>
        <v>0</v>
      </c>
      <c r="GD196" s="146" cm="1">
        <f t="array" ref="GD196">IF($FY196=0,0,_xlfn.IFS($FY196='Key assumptions'!$C$120,_xlfn.XLOOKUP(LEFT(GD$7,6),Inflation_Year,Inflation_NominaltoReal),TRUE,_xlfn.XLOOKUP($FY196,Inflation_Year,NominaltoReal)))</f>
        <v>0</v>
      </c>
      <c r="GE196" s="146" cm="1">
        <f t="array" ref="GE196">IF($FY196=0,0,_xlfn.IFS($FY196='Key assumptions'!$C$120,_xlfn.XLOOKUP(LEFT(GE$7,6),Inflation_Year,Inflation_NominaltoReal),TRUE,_xlfn.XLOOKUP($FY196,Inflation_Year,NominaltoReal)))</f>
        <v>0</v>
      </c>
      <c r="GF196" s="146" cm="1">
        <f t="array" ref="GF196">IF($FY196=0,0,_xlfn.IFS($FY196='Key assumptions'!$C$120,_xlfn.XLOOKUP(LEFT(GF$7,6),Inflation_Year,Inflation_NominaltoReal),TRUE,_xlfn.XLOOKUP($FY196,Inflation_Year,NominaltoReal)))</f>
        <v>0</v>
      </c>
      <c r="GG196" s="143"/>
      <c r="GH196" s="145" cm="1">
        <f t="array" ref="GH196">SUMPRODUCT(--($CR$7:$FW$7&gt;=GH$5),--($CR$7:$FW$7&lt;=GH$6),$CR196:$FW196)*FZ196</f>
        <v>0</v>
      </c>
      <c r="GI196" s="145" cm="1">
        <f t="array" ref="GI196">SUMPRODUCT(--($CR$7:$FW$7&gt;=GI$5),--($CR$7:$FW$7&lt;=GI$6),$CR196:$FW196)*GA196</f>
        <v>0</v>
      </c>
      <c r="GJ196" s="145" cm="1">
        <f t="array" ref="GJ196">SUMPRODUCT(--($CR$7:$FW$7&gt;=GJ$5),--($CR$7:$FW$7&lt;=GJ$6),$CR196:$FW196)*GB196</f>
        <v>0</v>
      </c>
      <c r="GK196" s="145" cm="1">
        <f t="array" ref="GK196">SUMPRODUCT(--($CR$7:$FW$7&gt;=GK$5),--($CR$7:$FW$7&lt;=GK$6),$CR196:$FW196)*GC196</f>
        <v>0</v>
      </c>
      <c r="GL196" s="145" cm="1">
        <f t="array" ref="GL196">SUMPRODUCT(--($CR$7:$FW$7&gt;=GL$5),--($CR$7:$FW$7&lt;=GL$6),$CR196:$FW196)*GD196</f>
        <v>0</v>
      </c>
      <c r="GM196" s="145" cm="1">
        <f t="array" ref="GM196">SUMPRODUCT(--($CR$7:$FW$7&gt;=GM$5),--($CR$7:$FW$7&lt;=GM$6),$CR196:$FW196)*GE196</f>
        <v>0</v>
      </c>
      <c r="GN196" s="145" cm="1">
        <f t="array" ref="GN196">SUMPRODUCT(--($CR$7:$FW$7&gt;=GN$5),--($CR$7:$FW$7&lt;=GN$6),$CR196:$FW196)*GF196</f>
        <v>0</v>
      </c>
      <c r="GO196" s="145">
        <f t="shared" si="2"/>
        <v>0</v>
      </c>
      <c r="GP196" s="87"/>
      <c r="GR196" s="145" cm="1">
        <f t="array" ref="GR196">SUMPRODUCT(--($CR$7:$FW$7&gt;=GR$5),--($CR$7:$FW$7&lt;=GR$6),$CR196:$FW196)</f>
        <v>0</v>
      </c>
    </row>
    <row r="197" spans="2:200" x14ac:dyDescent="0.2">
      <c r="B197" s="141"/>
      <c r="C197" s="141"/>
      <c r="D197" s="141"/>
      <c r="E197" s="141"/>
      <c r="F197" s="141"/>
      <c r="G197" s="141"/>
      <c r="H197" s="142"/>
      <c r="I197" s="126"/>
      <c r="J197" s="143"/>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3"/>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45"/>
      <c r="EH197" s="145"/>
      <c r="EI197" s="145"/>
      <c r="EJ197" s="145"/>
      <c r="EK197" s="145"/>
      <c r="EL197" s="145"/>
      <c r="EM197" s="145"/>
      <c r="EN197" s="145"/>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45"/>
      <c r="FK197" s="145"/>
      <c r="FL197" s="145"/>
      <c r="FM197" s="145"/>
      <c r="FN197" s="145"/>
      <c r="FO197" s="145"/>
      <c r="FP197" s="145"/>
      <c r="FQ197" s="145"/>
      <c r="FR197" s="145"/>
      <c r="FS197" s="145"/>
      <c r="FT197" s="145"/>
      <c r="FU197" s="145"/>
      <c r="FV197" s="145"/>
      <c r="FW197" s="145"/>
      <c r="FX197" s="143"/>
      <c r="FY197" s="146">
        <f>_xlfn.XLOOKUP($E197,'Key assumptions'!$B$112:$B$120,'Key assumptions'!$C$112:$C$120,0)</f>
        <v>0</v>
      </c>
      <c r="FZ197" s="146" cm="1">
        <f t="array" ref="FZ197">IF($FY197=0,0,_xlfn.IFS($FY197='Key assumptions'!$C$120,_xlfn.XLOOKUP(LEFT(FZ$7,6),Inflation_Year,Inflation_NominaltoReal),TRUE,_xlfn.XLOOKUP($FY197,Inflation_Year,NominaltoReal)))</f>
        <v>0</v>
      </c>
      <c r="GA197" s="146" cm="1">
        <f t="array" ref="GA197">IF($FY197=0,0,_xlfn.IFS($FY197='Key assumptions'!$C$120,_xlfn.XLOOKUP(LEFT(GA$7,6),Inflation_Year,Inflation_NominaltoReal),TRUE,_xlfn.XLOOKUP($FY197,Inflation_Year,NominaltoReal)))</f>
        <v>0</v>
      </c>
      <c r="GB197" s="146" cm="1">
        <f t="array" ref="GB197">IF($FY197=0,0,_xlfn.IFS($FY197='Key assumptions'!$C$120,_xlfn.XLOOKUP(LEFT(GB$7,6),Inflation_Year,Inflation_NominaltoReal),TRUE,_xlfn.XLOOKUP($FY197,Inflation_Year,NominaltoReal)))</f>
        <v>0</v>
      </c>
      <c r="GC197" s="146" cm="1">
        <f t="array" ref="GC197">IF($FY197=0,0,_xlfn.IFS($FY197='Key assumptions'!$C$120,_xlfn.XLOOKUP(LEFT(GC$7,6),Inflation_Year,Inflation_NominaltoReal),TRUE,_xlfn.XLOOKUP($FY197,Inflation_Year,NominaltoReal)))</f>
        <v>0</v>
      </c>
      <c r="GD197" s="146" cm="1">
        <f t="array" ref="GD197">IF($FY197=0,0,_xlfn.IFS($FY197='Key assumptions'!$C$120,_xlfn.XLOOKUP(LEFT(GD$7,6),Inflation_Year,Inflation_NominaltoReal),TRUE,_xlfn.XLOOKUP($FY197,Inflation_Year,NominaltoReal)))</f>
        <v>0</v>
      </c>
      <c r="GE197" s="146" cm="1">
        <f t="array" ref="GE197">IF($FY197=0,0,_xlfn.IFS($FY197='Key assumptions'!$C$120,_xlfn.XLOOKUP(LEFT(GE$7,6),Inflation_Year,Inflation_NominaltoReal),TRUE,_xlfn.XLOOKUP($FY197,Inflation_Year,NominaltoReal)))</f>
        <v>0</v>
      </c>
      <c r="GF197" s="146" cm="1">
        <f t="array" ref="GF197">IF($FY197=0,0,_xlfn.IFS($FY197='Key assumptions'!$C$120,_xlfn.XLOOKUP(LEFT(GF$7,6),Inflation_Year,Inflation_NominaltoReal),TRUE,_xlfn.XLOOKUP($FY197,Inflation_Year,NominaltoReal)))</f>
        <v>0</v>
      </c>
      <c r="GG197" s="143"/>
      <c r="GH197" s="145" cm="1">
        <f t="array" ref="GH197">SUMPRODUCT(--($CR$7:$FW$7&gt;=GH$5),--($CR$7:$FW$7&lt;=GH$6),$CR197:$FW197)*FZ197</f>
        <v>0</v>
      </c>
      <c r="GI197" s="145" cm="1">
        <f t="array" ref="GI197">SUMPRODUCT(--($CR$7:$FW$7&gt;=GI$5),--($CR$7:$FW$7&lt;=GI$6),$CR197:$FW197)*GA197</f>
        <v>0</v>
      </c>
      <c r="GJ197" s="145" cm="1">
        <f t="array" ref="GJ197">SUMPRODUCT(--($CR$7:$FW$7&gt;=GJ$5),--($CR$7:$FW$7&lt;=GJ$6),$CR197:$FW197)*GB197</f>
        <v>0</v>
      </c>
      <c r="GK197" s="145" cm="1">
        <f t="array" ref="GK197">SUMPRODUCT(--($CR$7:$FW$7&gt;=GK$5),--($CR$7:$FW$7&lt;=GK$6),$CR197:$FW197)*GC197</f>
        <v>0</v>
      </c>
      <c r="GL197" s="145" cm="1">
        <f t="array" ref="GL197">SUMPRODUCT(--($CR$7:$FW$7&gt;=GL$5),--($CR$7:$FW$7&lt;=GL$6),$CR197:$FW197)*GD197</f>
        <v>0</v>
      </c>
      <c r="GM197" s="145" cm="1">
        <f t="array" ref="GM197">SUMPRODUCT(--($CR$7:$FW$7&gt;=GM$5),--($CR$7:$FW$7&lt;=GM$6),$CR197:$FW197)*GE197</f>
        <v>0</v>
      </c>
      <c r="GN197" s="145" cm="1">
        <f t="array" ref="GN197">SUMPRODUCT(--($CR$7:$FW$7&gt;=GN$5),--($CR$7:$FW$7&lt;=GN$6),$CR197:$FW197)*GF197</f>
        <v>0</v>
      </c>
      <c r="GO197" s="145">
        <f t="shared" si="2"/>
        <v>0</v>
      </c>
      <c r="GP197" s="87"/>
      <c r="GR197" s="145" cm="1">
        <f t="array" ref="GR197">SUMPRODUCT(--($CR$7:$FW$7&gt;=GR$5),--($CR$7:$FW$7&lt;=GR$6),$CR197:$FW197)</f>
        <v>0</v>
      </c>
    </row>
    <row r="198" spans="2:200" x14ac:dyDescent="0.2">
      <c r="B198" s="141"/>
      <c r="C198" s="141"/>
      <c r="D198" s="141"/>
      <c r="E198" s="141"/>
      <c r="F198" s="141"/>
      <c r="G198" s="141"/>
      <c r="H198" s="142"/>
      <c r="I198" s="126"/>
      <c r="J198" s="143"/>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3"/>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c r="EE198" s="145"/>
      <c r="EF198" s="145"/>
      <c r="EG198" s="145"/>
      <c r="EH198" s="145"/>
      <c r="EI198" s="145"/>
      <c r="EJ198" s="145"/>
      <c r="EK198" s="145"/>
      <c r="EL198" s="145"/>
      <c r="EM198" s="145"/>
      <c r="EN198" s="145"/>
      <c r="EO198" s="145"/>
      <c r="EP198" s="145"/>
      <c r="EQ198" s="145"/>
      <c r="ER198" s="145"/>
      <c r="ES198" s="145"/>
      <c r="ET198" s="145"/>
      <c r="EU198" s="145"/>
      <c r="EV198" s="145"/>
      <c r="EW198" s="145"/>
      <c r="EX198" s="145"/>
      <c r="EY198" s="145"/>
      <c r="EZ198" s="145"/>
      <c r="FA198" s="145"/>
      <c r="FB198" s="145"/>
      <c r="FC198" s="145"/>
      <c r="FD198" s="145"/>
      <c r="FE198" s="145"/>
      <c r="FF198" s="145"/>
      <c r="FG198" s="145"/>
      <c r="FH198" s="145"/>
      <c r="FI198" s="145"/>
      <c r="FJ198" s="145"/>
      <c r="FK198" s="145"/>
      <c r="FL198" s="145"/>
      <c r="FM198" s="145"/>
      <c r="FN198" s="145"/>
      <c r="FO198" s="145"/>
      <c r="FP198" s="145"/>
      <c r="FQ198" s="145"/>
      <c r="FR198" s="145"/>
      <c r="FS198" s="145"/>
      <c r="FT198" s="145"/>
      <c r="FU198" s="145"/>
      <c r="FV198" s="145"/>
      <c r="FW198" s="145"/>
      <c r="FX198" s="143"/>
      <c r="FY198" s="146">
        <f>_xlfn.XLOOKUP($E198,'Key assumptions'!$B$112:$B$120,'Key assumptions'!$C$112:$C$120,0)</f>
        <v>0</v>
      </c>
      <c r="FZ198" s="146" cm="1">
        <f t="array" ref="FZ198">IF($FY198=0,0,_xlfn.IFS($FY198='Key assumptions'!$C$120,_xlfn.XLOOKUP(LEFT(FZ$7,6),Inflation_Year,Inflation_NominaltoReal),TRUE,_xlfn.XLOOKUP($FY198,Inflation_Year,NominaltoReal)))</f>
        <v>0</v>
      </c>
      <c r="GA198" s="146" cm="1">
        <f t="array" ref="GA198">IF($FY198=0,0,_xlfn.IFS($FY198='Key assumptions'!$C$120,_xlfn.XLOOKUP(LEFT(GA$7,6),Inflation_Year,Inflation_NominaltoReal),TRUE,_xlfn.XLOOKUP($FY198,Inflation_Year,NominaltoReal)))</f>
        <v>0</v>
      </c>
      <c r="GB198" s="146" cm="1">
        <f t="array" ref="GB198">IF($FY198=0,0,_xlfn.IFS($FY198='Key assumptions'!$C$120,_xlfn.XLOOKUP(LEFT(GB$7,6),Inflation_Year,Inflation_NominaltoReal),TRUE,_xlfn.XLOOKUP($FY198,Inflation_Year,NominaltoReal)))</f>
        <v>0</v>
      </c>
      <c r="GC198" s="146" cm="1">
        <f t="array" ref="GC198">IF($FY198=0,0,_xlfn.IFS($FY198='Key assumptions'!$C$120,_xlfn.XLOOKUP(LEFT(GC$7,6),Inflation_Year,Inflation_NominaltoReal),TRUE,_xlfn.XLOOKUP($FY198,Inflation_Year,NominaltoReal)))</f>
        <v>0</v>
      </c>
      <c r="GD198" s="146" cm="1">
        <f t="array" ref="GD198">IF($FY198=0,0,_xlfn.IFS($FY198='Key assumptions'!$C$120,_xlfn.XLOOKUP(LEFT(GD$7,6),Inflation_Year,Inflation_NominaltoReal),TRUE,_xlfn.XLOOKUP($FY198,Inflation_Year,NominaltoReal)))</f>
        <v>0</v>
      </c>
      <c r="GE198" s="146" cm="1">
        <f t="array" ref="GE198">IF($FY198=0,0,_xlfn.IFS($FY198='Key assumptions'!$C$120,_xlfn.XLOOKUP(LEFT(GE$7,6),Inflation_Year,Inflation_NominaltoReal),TRUE,_xlfn.XLOOKUP($FY198,Inflation_Year,NominaltoReal)))</f>
        <v>0</v>
      </c>
      <c r="GF198" s="146" cm="1">
        <f t="array" ref="GF198">IF($FY198=0,0,_xlfn.IFS($FY198='Key assumptions'!$C$120,_xlfn.XLOOKUP(LEFT(GF$7,6),Inflation_Year,Inflation_NominaltoReal),TRUE,_xlfn.XLOOKUP($FY198,Inflation_Year,NominaltoReal)))</f>
        <v>0</v>
      </c>
      <c r="GG198" s="143"/>
      <c r="GH198" s="145" cm="1">
        <f t="array" ref="GH198">SUMPRODUCT(--($CR$7:$FW$7&gt;=GH$5),--($CR$7:$FW$7&lt;=GH$6),$CR198:$FW198)*FZ198</f>
        <v>0</v>
      </c>
      <c r="GI198" s="145" cm="1">
        <f t="array" ref="GI198">SUMPRODUCT(--($CR$7:$FW$7&gt;=GI$5),--($CR$7:$FW$7&lt;=GI$6),$CR198:$FW198)*GA198</f>
        <v>0</v>
      </c>
      <c r="GJ198" s="145" cm="1">
        <f t="array" ref="GJ198">SUMPRODUCT(--($CR$7:$FW$7&gt;=GJ$5),--($CR$7:$FW$7&lt;=GJ$6),$CR198:$FW198)*GB198</f>
        <v>0</v>
      </c>
      <c r="GK198" s="145" cm="1">
        <f t="array" ref="GK198">SUMPRODUCT(--($CR$7:$FW$7&gt;=GK$5),--($CR$7:$FW$7&lt;=GK$6),$CR198:$FW198)*GC198</f>
        <v>0</v>
      </c>
      <c r="GL198" s="145" cm="1">
        <f t="array" ref="GL198">SUMPRODUCT(--($CR$7:$FW$7&gt;=GL$5),--($CR$7:$FW$7&lt;=GL$6),$CR198:$FW198)*GD198</f>
        <v>0</v>
      </c>
      <c r="GM198" s="145" cm="1">
        <f t="array" ref="GM198">SUMPRODUCT(--($CR$7:$FW$7&gt;=GM$5),--($CR$7:$FW$7&lt;=GM$6),$CR198:$FW198)*GE198</f>
        <v>0</v>
      </c>
      <c r="GN198" s="145" cm="1">
        <f t="array" ref="GN198">SUMPRODUCT(--($CR$7:$FW$7&gt;=GN$5),--($CR$7:$FW$7&lt;=GN$6),$CR198:$FW198)*GF198</f>
        <v>0</v>
      </c>
      <c r="GO198" s="145">
        <f t="shared" si="2"/>
        <v>0</v>
      </c>
      <c r="GP198" s="87"/>
      <c r="GR198" s="145" cm="1">
        <f t="array" ref="GR198">SUMPRODUCT(--($CR$7:$FW$7&gt;=GR$5),--($CR$7:$FW$7&lt;=GR$6),$CR198:$FW198)</f>
        <v>0</v>
      </c>
    </row>
    <row r="199" spans="2:200" x14ac:dyDescent="0.2">
      <c r="B199" s="141"/>
      <c r="C199" s="141"/>
      <c r="D199" s="141"/>
      <c r="E199" s="141"/>
      <c r="F199" s="141"/>
      <c r="G199" s="141"/>
      <c r="H199" s="142"/>
      <c r="I199" s="126"/>
      <c r="J199" s="143"/>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3"/>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c r="EE199" s="145"/>
      <c r="EF199" s="145"/>
      <c r="EG199" s="145"/>
      <c r="EH199" s="145"/>
      <c r="EI199" s="145"/>
      <c r="EJ199" s="145"/>
      <c r="EK199" s="145"/>
      <c r="EL199" s="145"/>
      <c r="EM199" s="145"/>
      <c r="EN199" s="145"/>
      <c r="EO199" s="145"/>
      <c r="EP199" s="145"/>
      <c r="EQ199" s="145"/>
      <c r="ER199" s="145"/>
      <c r="ES199" s="145"/>
      <c r="ET199" s="145"/>
      <c r="EU199" s="145"/>
      <c r="EV199" s="145"/>
      <c r="EW199" s="145"/>
      <c r="EX199" s="145"/>
      <c r="EY199" s="145"/>
      <c r="EZ199" s="145"/>
      <c r="FA199" s="145"/>
      <c r="FB199" s="145"/>
      <c r="FC199" s="145"/>
      <c r="FD199" s="145"/>
      <c r="FE199" s="145"/>
      <c r="FF199" s="145"/>
      <c r="FG199" s="145"/>
      <c r="FH199" s="145"/>
      <c r="FI199" s="145"/>
      <c r="FJ199" s="145"/>
      <c r="FK199" s="145"/>
      <c r="FL199" s="145"/>
      <c r="FM199" s="145"/>
      <c r="FN199" s="145"/>
      <c r="FO199" s="145"/>
      <c r="FP199" s="145"/>
      <c r="FQ199" s="145"/>
      <c r="FR199" s="145"/>
      <c r="FS199" s="145"/>
      <c r="FT199" s="145"/>
      <c r="FU199" s="145"/>
      <c r="FV199" s="145"/>
      <c r="FW199" s="145"/>
      <c r="FX199" s="143"/>
      <c r="FY199" s="146">
        <f>_xlfn.XLOOKUP($E199,'Key assumptions'!$B$112:$B$120,'Key assumptions'!$C$112:$C$120,0)</f>
        <v>0</v>
      </c>
      <c r="FZ199" s="146" cm="1">
        <f t="array" ref="FZ199">IF($FY199=0,0,_xlfn.IFS($FY199='Key assumptions'!$C$120,_xlfn.XLOOKUP(LEFT(FZ$7,6),Inflation_Year,Inflation_NominaltoReal),TRUE,_xlfn.XLOOKUP($FY199,Inflation_Year,NominaltoReal)))</f>
        <v>0</v>
      </c>
      <c r="GA199" s="146" cm="1">
        <f t="array" ref="GA199">IF($FY199=0,0,_xlfn.IFS($FY199='Key assumptions'!$C$120,_xlfn.XLOOKUP(LEFT(GA$7,6),Inflation_Year,Inflation_NominaltoReal),TRUE,_xlfn.XLOOKUP($FY199,Inflation_Year,NominaltoReal)))</f>
        <v>0</v>
      </c>
      <c r="GB199" s="146" cm="1">
        <f t="array" ref="GB199">IF($FY199=0,0,_xlfn.IFS($FY199='Key assumptions'!$C$120,_xlfn.XLOOKUP(LEFT(GB$7,6),Inflation_Year,Inflation_NominaltoReal),TRUE,_xlfn.XLOOKUP($FY199,Inflation_Year,NominaltoReal)))</f>
        <v>0</v>
      </c>
      <c r="GC199" s="146" cm="1">
        <f t="array" ref="GC199">IF($FY199=0,0,_xlfn.IFS($FY199='Key assumptions'!$C$120,_xlfn.XLOOKUP(LEFT(GC$7,6),Inflation_Year,Inflation_NominaltoReal),TRUE,_xlfn.XLOOKUP($FY199,Inflation_Year,NominaltoReal)))</f>
        <v>0</v>
      </c>
      <c r="GD199" s="146" cm="1">
        <f t="array" ref="GD199">IF($FY199=0,0,_xlfn.IFS($FY199='Key assumptions'!$C$120,_xlfn.XLOOKUP(LEFT(GD$7,6),Inflation_Year,Inflation_NominaltoReal),TRUE,_xlfn.XLOOKUP($FY199,Inflation_Year,NominaltoReal)))</f>
        <v>0</v>
      </c>
      <c r="GE199" s="146" cm="1">
        <f t="array" ref="GE199">IF($FY199=0,0,_xlfn.IFS($FY199='Key assumptions'!$C$120,_xlfn.XLOOKUP(LEFT(GE$7,6),Inflation_Year,Inflation_NominaltoReal),TRUE,_xlfn.XLOOKUP($FY199,Inflation_Year,NominaltoReal)))</f>
        <v>0</v>
      </c>
      <c r="GF199" s="146" cm="1">
        <f t="array" ref="GF199">IF($FY199=0,0,_xlfn.IFS($FY199='Key assumptions'!$C$120,_xlfn.XLOOKUP(LEFT(GF$7,6),Inflation_Year,Inflation_NominaltoReal),TRUE,_xlfn.XLOOKUP($FY199,Inflation_Year,NominaltoReal)))</f>
        <v>0</v>
      </c>
      <c r="GG199" s="143"/>
      <c r="GH199" s="145" cm="1">
        <f t="array" ref="GH199">SUMPRODUCT(--($CR$7:$FW$7&gt;=GH$5),--($CR$7:$FW$7&lt;=GH$6),$CR199:$FW199)*FZ199</f>
        <v>0</v>
      </c>
      <c r="GI199" s="145" cm="1">
        <f t="array" ref="GI199">SUMPRODUCT(--($CR$7:$FW$7&gt;=GI$5),--($CR$7:$FW$7&lt;=GI$6),$CR199:$FW199)*GA199</f>
        <v>0</v>
      </c>
      <c r="GJ199" s="145" cm="1">
        <f t="array" ref="GJ199">SUMPRODUCT(--($CR$7:$FW$7&gt;=GJ$5),--($CR$7:$FW$7&lt;=GJ$6),$CR199:$FW199)*GB199</f>
        <v>0</v>
      </c>
      <c r="GK199" s="145" cm="1">
        <f t="array" ref="GK199">SUMPRODUCT(--($CR$7:$FW$7&gt;=GK$5),--($CR$7:$FW$7&lt;=GK$6),$CR199:$FW199)*GC199</f>
        <v>0</v>
      </c>
      <c r="GL199" s="145" cm="1">
        <f t="array" ref="GL199">SUMPRODUCT(--($CR$7:$FW$7&gt;=GL$5),--($CR$7:$FW$7&lt;=GL$6),$CR199:$FW199)*GD199</f>
        <v>0</v>
      </c>
      <c r="GM199" s="145" cm="1">
        <f t="array" ref="GM199">SUMPRODUCT(--($CR$7:$FW$7&gt;=GM$5),--($CR$7:$FW$7&lt;=GM$6),$CR199:$FW199)*GE199</f>
        <v>0</v>
      </c>
      <c r="GN199" s="145" cm="1">
        <f t="array" ref="GN199">SUMPRODUCT(--($CR$7:$FW$7&gt;=GN$5),--($CR$7:$FW$7&lt;=GN$6),$CR199:$FW199)*GF199</f>
        <v>0</v>
      </c>
      <c r="GO199" s="145">
        <f t="shared" si="2"/>
        <v>0</v>
      </c>
      <c r="GP199" s="87"/>
      <c r="GR199" s="145" cm="1">
        <f t="array" ref="GR199">SUMPRODUCT(--($CR$7:$FW$7&gt;=GR$5),--($CR$7:$FW$7&lt;=GR$6),$CR199:$FW199)</f>
        <v>0</v>
      </c>
    </row>
    <row r="200" spans="2:200" x14ac:dyDescent="0.2">
      <c r="B200" s="141"/>
      <c r="C200" s="141"/>
      <c r="D200" s="141"/>
      <c r="E200" s="141"/>
      <c r="F200" s="141"/>
      <c r="G200" s="141"/>
      <c r="H200" s="142"/>
      <c r="I200" s="126"/>
      <c r="J200" s="143"/>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3"/>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c r="EE200" s="145"/>
      <c r="EF200" s="145"/>
      <c r="EG200" s="145"/>
      <c r="EH200" s="145"/>
      <c r="EI200" s="145"/>
      <c r="EJ200" s="145"/>
      <c r="EK200" s="145"/>
      <c r="EL200" s="145"/>
      <c r="EM200" s="145"/>
      <c r="EN200" s="145"/>
      <c r="EO200" s="145"/>
      <c r="EP200" s="145"/>
      <c r="EQ200" s="145"/>
      <c r="ER200" s="145"/>
      <c r="ES200" s="145"/>
      <c r="ET200" s="145"/>
      <c r="EU200" s="145"/>
      <c r="EV200" s="145"/>
      <c r="EW200" s="145"/>
      <c r="EX200" s="145"/>
      <c r="EY200" s="145"/>
      <c r="EZ200" s="145"/>
      <c r="FA200" s="145"/>
      <c r="FB200" s="145"/>
      <c r="FC200" s="145"/>
      <c r="FD200" s="145"/>
      <c r="FE200" s="145"/>
      <c r="FF200" s="145"/>
      <c r="FG200" s="145"/>
      <c r="FH200" s="145"/>
      <c r="FI200" s="145"/>
      <c r="FJ200" s="145"/>
      <c r="FK200" s="145"/>
      <c r="FL200" s="145"/>
      <c r="FM200" s="145"/>
      <c r="FN200" s="145"/>
      <c r="FO200" s="145"/>
      <c r="FP200" s="145"/>
      <c r="FQ200" s="145"/>
      <c r="FR200" s="145"/>
      <c r="FS200" s="145"/>
      <c r="FT200" s="145"/>
      <c r="FU200" s="145"/>
      <c r="FV200" s="145"/>
      <c r="FW200" s="145"/>
      <c r="FX200" s="143"/>
      <c r="FY200" s="146">
        <f>_xlfn.XLOOKUP($E200,'Key assumptions'!$B$112:$B$120,'Key assumptions'!$C$112:$C$120,0)</f>
        <v>0</v>
      </c>
      <c r="FZ200" s="146" cm="1">
        <f t="array" ref="FZ200">IF($FY200=0,0,_xlfn.IFS($FY200='Key assumptions'!$C$120,_xlfn.XLOOKUP(LEFT(FZ$7,6),Inflation_Year,Inflation_NominaltoReal),TRUE,_xlfn.XLOOKUP($FY200,Inflation_Year,NominaltoReal)))</f>
        <v>0</v>
      </c>
      <c r="GA200" s="146" cm="1">
        <f t="array" ref="GA200">IF($FY200=0,0,_xlfn.IFS($FY200='Key assumptions'!$C$120,_xlfn.XLOOKUP(LEFT(GA$7,6),Inflation_Year,Inflation_NominaltoReal),TRUE,_xlfn.XLOOKUP($FY200,Inflation_Year,NominaltoReal)))</f>
        <v>0</v>
      </c>
      <c r="GB200" s="146" cm="1">
        <f t="array" ref="GB200">IF($FY200=0,0,_xlfn.IFS($FY200='Key assumptions'!$C$120,_xlfn.XLOOKUP(LEFT(GB$7,6),Inflation_Year,Inflation_NominaltoReal),TRUE,_xlfn.XLOOKUP($FY200,Inflation_Year,NominaltoReal)))</f>
        <v>0</v>
      </c>
      <c r="GC200" s="146" cm="1">
        <f t="array" ref="GC200">IF($FY200=0,0,_xlfn.IFS($FY200='Key assumptions'!$C$120,_xlfn.XLOOKUP(LEFT(GC$7,6),Inflation_Year,Inflation_NominaltoReal),TRUE,_xlfn.XLOOKUP($FY200,Inflation_Year,NominaltoReal)))</f>
        <v>0</v>
      </c>
      <c r="GD200" s="146" cm="1">
        <f t="array" ref="GD200">IF($FY200=0,0,_xlfn.IFS($FY200='Key assumptions'!$C$120,_xlfn.XLOOKUP(LEFT(GD$7,6),Inflation_Year,Inflation_NominaltoReal),TRUE,_xlfn.XLOOKUP($FY200,Inflation_Year,NominaltoReal)))</f>
        <v>0</v>
      </c>
      <c r="GE200" s="146" cm="1">
        <f t="array" ref="GE200">IF($FY200=0,0,_xlfn.IFS($FY200='Key assumptions'!$C$120,_xlfn.XLOOKUP(LEFT(GE$7,6),Inflation_Year,Inflation_NominaltoReal),TRUE,_xlfn.XLOOKUP($FY200,Inflation_Year,NominaltoReal)))</f>
        <v>0</v>
      </c>
      <c r="GF200" s="146" cm="1">
        <f t="array" ref="GF200">IF($FY200=0,0,_xlfn.IFS($FY200='Key assumptions'!$C$120,_xlfn.XLOOKUP(LEFT(GF$7,6),Inflation_Year,Inflation_NominaltoReal),TRUE,_xlfn.XLOOKUP($FY200,Inflation_Year,NominaltoReal)))</f>
        <v>0</v>
      </c>
      <c r="GG200" s="143"/>
      <c r="GH200" s="145" cm="1">
        <f t="array" ref="GH200">SUMPRODUCT(--($CR$7:$FW$7&gt;=GH$5),--($CR$7:$FW$7&lt;=GH$6),$CR200:$FW200)*FZ200</f>
        <v>0</v>
      </c>
      <c r="GI200" s="145" cm="1">
        <f t="array" ref="GI200">SUMPRODUCT(--($CR$7:$FW$7&gt;=GI$5),--($CR$7:$FW$7&lt;=GI$6),$CR200:$FW200)*GA200</f>
        <v>0</v>
      </c>
      <c r="GJ200" s="145" cm="1">
        <f t="array" ref="GJ200">SUMPRODUCT(--($CR$7:$FW$7&gt;=GJ$5),--($CR$7:$FW$7&lt;=GJ$6),$CR200:$FW200)*GB200</f>
        <v>0</v>
      </c>
      <c r="GK200" s="145" cm="1">
        <f t="array" ref="GK200">SUMPRODUCT(--($CR$7:$FW$7&gt;=GK$5),--($CR$7:$FW$7&lt;=GK$6),$CR200:$FW200)*GC200</f>
        <v>0</v>
      </c>
      <c r="GL200" s="145" cm="1">
        <f t="array" ref="GL200">SUMPRODUCT(--($CR$7:$FW$7&gt;=GL$5),--($CR$7:$FW$7&lt;=GL$6),$CR200:$FW200)*GD200</f>
        <v>0</v>
      </c>
      <c r="GM200" s="145" cm="1">
        <f t="array" ref="GM200">SUMPRODUCT(--($CR$7:$FW$7&gt;=GM$5),--($CR$7:$FW$7&lt;=GM$6),$CR200:$FW200)*GE200</f>
        <v>0</v>
      </c>
      <c r="GN200" s="145" cm="1">
        <f t="array" ref="GN200">SUMPRODUCT(--($CR$7:$FW$7&gt;=GN$5),--($CR$7:$FW$7&lt;=GN$6),$CR200:$FW200)*GF200</f>
        <v>0</v>
      </c>
      <c r="GO200" s="145">
        <f t="shared" ref="GO200:GO263" si="3">SUM(GH200:GN200)</f>
        <v>0</v>
      </c>
      <c r="GP200" s="87"/>
      <c r="GR200" s="145" cm="1">
        <f t="array" ref="GR200">SUMPRODUCT(--($CR$7:$FW$7&gt;=GR$5),--($CR$7:$FW$7&lt;=GR$6),$CR200:$FW200)</f>
        <v>0</v>
      </c>
    </row>
    <row r="201" spans="2:200" x14ac:dyDescent="0.2">
      <c r="B201" s="141"/>
      <c r="C201" s="141"/>
      <c r="D201" s="141"/>
      <c r="E201" s="141"/>
      <c r="F201" s="141"/>
      <c r="G201" s="141"/>
      <c r="H201" s="142"/>
      <c r="I201" s="126"/>
      <c r="J201" s="143"/>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3"/>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c r="EE201" s="145"/>
      <c r="EF201" s="145"/>
      <c r="EG201" s="145"/>
      <c r="EH201" s="145"/>
      <c r="EI201" s="145"/>
      <c r="EJ201" s="145"/>
      <c r="EK201" s="145"/>
      <c r="EL201" s="145"/>
      <c r="EM201" s="145"/>
      <c r="EN201" s="145"/>
      <c r="EO201" s="145"/>
      <c r="EP201" s="145"/>
      <c r="EQ201" s="145"/>
      <c r="ER201" s="145"/>
      <c r="ES201" s="145"/>
      <c r="ET201" s="145"/>
      <c r="EU201" s="145"/>
      <c r="EV201" s="145"/>
      <c r="EW201" s="145"/>
      <c r="EX201" s="145"/>
      <c r="EY201" s="145"/>
      <c r="EZ201" s="145"/>
      <c r="FA201" s="145"/>
      <c r="FB201" s="145"/>
      <c r="FC201" s="145"/>
      <c r="FD201" s="145"/>
      <c r="FE201" s="145"/>
      <c r="FF201" s="145"/>
      <c r="FG201" s="145"/>
      <c r="FH201" s="145"/>
      <c r="FI201" s="145"/>
      <c r="FJ201" s="145"/>
      <c r="FK201" s="145"/>
      <c r="FL201" s="145"/>
      <c r="FM201" s="145"/>
      <c r="FN201" s="145"/>
      <c r="FO201" s="145"/>
      <c r="FP201" s="145"/>
      <c r="FQ201" s="145"/>
      <c r="FR201" s="145"/>
      <c r="FS201" s="145"/>
      <c r="FT201" s="145"/>
      <c r="FU201" s="145"/>
      <c r="FV201" s="145"/>
      <c r="FW201" s="145"/>
      <c r="FX201" s="143"/>
      <c r="FY201" s="146">
        <f>_xlfn.XLOOKUP($E201,'Key assumptions'!$B$112:$B$120,'Key assumptions'!$C$112:$C$120,0)</f>
        <v>0</v>
      </c>
      <c r="FZ201" s="146" cm="1">
        <f t="array" ref="FZ201">IF($FY201=0,0,_xlfn.IFS($FY201='Key assumptions'!$C$120,_xlfn.XLOOKUP(LEFT(FZ$7,6),Inflation_Year,Inflation_NominaltoReal),TRUE,_xlfn.XLOOKUP($FY201,Inflation_Year,NominaltoReal)))</f>
        <v>0</v>
      </c>
      <c r="GA201" s="146" cm="1">
        <f t="array" ref="GA201">IF($FY201=0,0,_xlfn.IFS($FY201='Key assumptions'!$C$120,_xlfn.XLOOKUP(LEFT(GA$7,6),Inflation_Year,Inflation_NominaltoReal),TRUE,_xlfn.XLOOKUP($FY201,Inflation_Year,NominaltoReal)))</f>
        <v>0</v>
      </c>
      <c r="GB201" s="146" cm="1">
        <f t="array" ref="GB201">IF($FY201=0,0,_xlfn.IFS($FY201='Key assumptions'!$C$120,_xlfn.XLOOKUP(LEFT(GB$7,6),Inflation_Year,Inflation_NominaltoReal),TRUE,_xlfn.XLOOKUP($FY201,Inflation_Year,NominaltoReal)))</f>
        <v>0</v>
      </c>
      <c r="GC201" s="146" cm="1">
        <f t="array" ref="GC201">IF($FY201=0,0,_xlfn.IFS($FY201='Key assumptions'!$C$120,_xlfn.XLOOKUP(LEFT(GC$7,6),Inflation_Year,Inflation_NominaltoReal),TRUE,_xlfn.XLOOKUP($FY201,Inflation_Year,NominaltoReal)))</f>
        <v>0</v>
      </c>
      <c r="GD201" s="146" cm="1">
        <f t="array" ref="GD201">IF($FY201=0,0,_xlfn.IFS($FY201='Key assumptions'!$C$120,_xlfn.XLOOKUP(LEFT(GD$7,6),Inflation_Year,Inflation_NominaltoReal),TRUE,_xlfn.XLOOKUP($FY201,Inflation_Year,NominaltoReal)))</f>
        <v>0</v>
      </c>
      <c r="GE201" s="146" cm="1">
        <f t="array" ref="GE201">IF($FY201=0,0,_xlfn.IFS($FY201='Key assumptions'!$C$120,_xlfn.XLOOKUP(LEFT(GE$7,6),Inflation_Year,Inflation_NominaltoReal),TRUE,_xlfn.XLOOKUP($FY201,Inflation_Year,NominaltoReal)))</f>
        <v>0</v>
      </c>
      <c r="GF201" s="146" cm="1">
        <f t="array" ref="GF201">IF($FY201=0,0,_xlfn.IFS($FY201='Key assumptions'!$C$120,_xlfn.XLOOKUP(LEFT(GF$7,6),Inflation_Year,Inflation_NominaltoReal),TRUE,_xlfn.XLOOKUP($FY201,Inflation_Year,NominaltoReal)))</f>
        <v>0</v>
      </c>
      <c r="GG201" s="143"/>
      <c r="GH201" s="145" cm="1">
        <f t="array" ref="GH201">SUMPRODUCT(--($CR$7:$FW$7&gt;=GH$5),--($CR$7:$FW$7&lt;=GH$6),$CR201:$FW201)*FZ201</f>
        <v>0</v>
      </c>
      <c r="GI201" s="145" cm="1">
        <f t="array" ref="GI201">SUMPRODUCT(--($CR$7:$FW$7&gt;=GI$5),--($CR$7:$FW$7&lt;=GI$6),$CR201:$FW201)*GA201</f>
        <v>0</v>
      </c>
      <c r="GJ201" s="145" cm="1">
        <f t="array" ref="GJ201">SUMPRODUCT(--($CR$7:$FW$7&gt;=GJ$5),--($CR$7:$FW$7&lt;=GJ$6),$CR201:$FW201)*GB201</f>
        <v>0</v>
      </c>
      <c r="GK201" s="145" cm="1">
        <f t="array" ref="GK201">SUMPRODUCT(--($CR$7:$FW$7&gt;=GK$5),--($CR$7:$FW$7&lt;=GK$6),$CR201:$FW201)*GC201</f>
        <v>0</v>
      </c>
      <c r="GL201" s="145" cm="1">
        <f t="array" ref="GL201">SUMPRODUCT(--($CR$7:$FW$7&gt;=GL$5),--($CR$7:$FW$7&lt;=GL$6),$CR201:$FW201)*GD201</f>
        <v>0</v>
      </c>
      <c r="GM201" s="145" cm="1">
        <f t="array" ref="GM201">SUMPRODUCT(--($CR$7:$FW$7&gt;=GM$5),--($CR$7:$FW$7&lt;=GM$6),$CR201:$FW201)*GE201</f>
        <v>0</v>
      </c>
      <c r="GN201" s="145" cm="1">
        <f t="array" ref="GN201">SUMPRODUCT(--($CR$7:$FW$7&gt;=GN$5),--($CR$7:$FW$7&lt;=GN$6),$CR201:$FW201)*GF201</f>
        <v>0</v>
      </c>
      <c r="GO201" s="145">
        <f t="shared" si="3"/>
        <v>0</v>
      </c>
      <c r="GP201" s="87"/>
      <c r="GR201" s="145" cm="1">
        <f t="array" ref="GR201">SUMPRODUCT(--($CR$7:$FW$7&gt;=GR$5),--($CR$7:$FW$7&lt;=GR$6),$CR201:$FW201)</f>
        <v>0</v>
      </c>
    </row>
    <row r="202" spans="2:200" x14ac:dyDescent="0.2">
      <c r="B202" s="141"/>
      <c r="C202" s="141"/>
      <c r="D202" s="141"/>
      <c r="E202" s="141"/>
      <c r="F202" s="141"/>
      <c r="G202" s="141"/>
      <c r="H202" s="142"/>
      <c r="I202" s="126"/>
      <c r="J202" s="143"/>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3"/>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c r="EE202" s="145"/>
      <c r="EF202" s="145"/>
      <c r="EG202" s="145"/>
      <c r="EH202" s="145"/>
      <c r="EI202" s="145"/>
      <c r="EJ202" s="145"/>
      <c r="EK202" s="145"/>
      <c r="EL202" s="145"/>
      <c r="EM202" s="145"/>
      <c r="EN202" s="145"/>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45"/>
      <c r="FK202" s="145"/>
      <c r="FL202" s="145"/>
      <c r="FM202" s="145"/>
      <c r="FN202" s="145"/>
      <c r="FO202" s="145"/>
      <c r="FP202" s="145"/>
      <c r="FQ202" s="145"/>
      <c r="FR202" s="145"/>
      <c r="FS202" s="145"/>
      <c r="FT202" s="145"/>
      <c r="FU202" s="145"/>
      <c r="FV202" s="145"/>
      <c r="FW202" s="145"/>
      <c r="FX202" s="143"/>
      <c r="FY202" s="146">
        <f>_xlfn.XLOOKUP($E202,'Key assumptions'!$B$112:$B$120,'Key assumptions'!$C$112:$C$120,0)</f>
        <v>0</v>
      </c>
      <c r="FZ202" s="146" cm="1">
        <f t="array" ref="FZ202">IF($FY202=0,0,_xlfn.IFS($FY202='Key assumptions'!$C$120,_xlfn.XLOOKUP(LEFT(FZ$7,6),Inflation_Year,Inflation_NominaltoReal),TRUE,_xlfn.XLOOKUP($FY202,Inflation_Year,NominaltoReal)))</f>
        <v>0</v>
      </c>
      <c r="GA202" s="146" cm="1">
        <f t="array" ref="GA202">IF($FY202=0,0,_xlfn.IFS($FY202='Key assumptions'!$C$120,_xlfn.XLOOKUP(LEFT(GA$7,6),Inflation_Year,Inflation_NominaltoReal),TRUE,_xlfn.XLOOKUP($FY202,Inflation_Year,NominaltoReal)))</f>
        <v>0</v>
      </c>
      <c r="GB202" s="146" cm="1">
        <f t="array" ref="GB202">IF($FY202=0,0,_xlfn.IFS($FY202='Key assumptions'!$C$120,_xlfn.XLOOKUP(LEFT(GB$7,6),Inflation_Year,Inflation_NominaltoReal),TRUE,_xlfn.XLOOKUP($FY202,Inflation_Year,NominaltoReal)))</f>
        <v>0</v>
      </c>
      <c r="GC202" s="146" cm="1">
        <f t="array" ref="GC202">IF($FY202=0,0,_xlfn.IFS($FY202='Key assumptions'!$C$120,_xlfn.XLOOKUP(LEFT(GC$7,6),Inflation_Year,Inflation_NominaltoReal),TRUE,_xlfn.XLOOKUP($FY202,Inflation_Year,NominaltoReal)))</f>
        <v>0</v>
      </c>
      <c r="GD202" s="146" cm="1">
        <f t="array" ref="GD202">IF($FY202=0,0,_xlfn.IFS($FY202='Key assumptions'!$C$120,_xlfn.XLOOKUP(LEFT(GD$7,6),Inflation_Year,Inflation_NominaltoReal),TRUE,_xlfn.XLOOKUP($FY202,Inflation_Year,NominaltoReal)))</f>
        <v>0</v>
      </c>
      <c r="GE202" s="146" cm="1">
        <f t="array" ref="GE202">IF($FY202=0,0,_xlfn.IFS($FY202='Key assumptions'!$C$120,_xlfn.XLOOKUP(LEFT(GE$7,6),Inflation_Year,Inflation_NominaltoReal),TRUE,_xlfn.XLOOKUP($FY202,Inflation_Year,NominaltoReal)))</f>
        <v>0</v>
      </c>
      <c r="GF202" s="146" cm="1">
        <f t="array" ref="GF202">IF($FY202=0,0,_xlfn.IFS($FY202='Key assumptions'!$C$120,_xlfn.XLOOKUP(LEFT(GF$7,6),Inflation_Year,Inflation_NominaltoReal),TRUE,_xlfn.XLOOKUP($FY202,Inflation_Year,NominaltoReal)))</f>
        <v>0</v>
      </c>
      <c r="GG202" s="143"/>
      <c r="GH202" s="145" cm="1">
        <f t="array" ref="GH202">SUMPRODUCT(--($CR$7:$FW$7&gt;=GH$5),--($CR$7:$FW$7&lt;=GH$6),$CR202:$FW202)*FZ202</f>
        <v>0</v>
      </c>
      <c r="GI202" s="145" cm="1">
        <f t="array" ref="GI202">SUMPRODUCT(--($CR$7:$FW$7&gt;=GI$5),--($CR$7:$FW$7&lt;=GI$6),$CR202:$FW202)*GA202</f>
        <v>0</v>
      </c>
      <c r="GJ202" s="145" cm="1">
        <f t="array" ref="GJ202">SUMPRODUCT(--($CR$7:$FW$7&gt;=GJ$5),--($CR$7:$FW$7&lt;=GJ$6),$CR202:$FW202)*GB202</f>
        <v>0</v>
      </c>
      <c r="GK202" s="145" cm="1">
        <f t="array" ref="GK202">SUMPRODUCT(--($CR$7:$FW$7&gt;=GK$5),--($CR$7:$FW$7&lt;=GK$6),$CR202:$FW202)*GC202</f>
        <v>0</v>
      </c>
      <c r="GL202" s="145" cm="1">
        <f t="array" ref="GL202">SUMPRODUCT(--($CR$7:$FW$7&gt;=GL$5),--($CR$7:$FW$7&lt;=GL$6),$CR202:$FW202)*GD202</f>
        <v>0</v>
      </c>
      <c r="GM202" s="145" cm="1">
        <f t="array" ref="GM202">SUMPRODUCT(--($CR$7:$FW$7&gt;=GM$5),--($CR$7:$FW$7&lt;=GM$6),$CR202:$FW202)*GE202</f>
        <v>0</v>
      </c>
      <c r="GN202" s="145" cm="1">
        <f t="array" ref="GN202">SUMPRODUCT(--($CR$7:$FW$7&gt;=GN$5),--($CR$7:$FW$7&lt;=GN$6),$CR202:$FW202)*GF202</f>
        <v>0</v>
      </c>
      <c r="GO202" s="145">
        <f t="shared" si="3"/>
        <v>0</v>
      </c>
      <c r="GP202" s="87"/>
      <c r="GR202" s="145" cm="1">
        <f t="array" ref="GR202">SUMPRODUCT(--($CR$7:$FW$7&gt;=GR$5),--($CR$7:$FW$7&lt;=GR$6),$CR202:$FW202)</f>
        <v>0</v>
      </c>
    </row>
    <row r="203" spans="2:200" x14ac:dyDescent="0.2">
      <c r="B203" s="141"/>
      <c r="C203" s="141"/>
      <c r="D203" s="141"/>
      <c r="E203" s="141"/>
      <c r="F203" s="141"/>
      <c r="G203" s="141"/>
      <c r="H203" s="142"/>
      <c r="I203" s="126"/>
      <c r="J203" s="143"/>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3"/>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c r="EE203" s="145"/>
      <c r="EF203" s="145"/>
      <c r="EG203" s="145"/>
      <c r="EH203" s="145"/>
      <c r="EI203" s="145"/>
      <c r="EJ203" s="145"/>
      <c r="EK203" s="145"/>
      <c r="EL203" s="145"/>
      <c r="EM203" s="145"/>
      <c r="EN203" s="145"/>
      <c r="EO203" s="145"/>
      <c r="EP203" s="145"/>
      <c r="EQ203" s="145"/>
      <c r="ER203" s="145"/>
      <c r="ES203" s="145"/>
      <c r="ET203" s="145"/>
      <c r="EU203" s="145"/>
      <c r="EV203" s="145"/>
      <c r="EW203" s="145"/>
      <c r="EX203" s="145"/>
      <c r="EY203" s="145"/>
      <c r="EZ203" s="145"/>
      <c r="FA203" s="145"/>
      <c r="FB203" s="145"/>
      <c r="FC203" s="145"/>
      <c r="FD203" s="145"/>
      <c r="FE203" s="145"/>
      <c r="FF203" s="145"/>
      <c r="FG203" s="145"/>
      <c r="FH203" s="145"/>
      <c r="FI203" s="145"/>
      <c r="FJ203" s="145"/>
      <c r="FK203" s="145"/>
      <c r="FL203" s="145"/>
      <c r="FM203" s="145"/>
      <c r="FN203" s="145"/>
      <c r="FO203" s="145"/>
      <c r="FP203" s="145"/>
      <c r="FQ203" s="145"/>
      <c r="FR203" s="145"/>
      <c r="FS203" s="145"/>
      <c r="FT203" s="145"/>
      <c r="FU203" s="145"/>
      <c r="FV203" s="145"/>
      <c r="FW203" s="145"/>
      <c r="FX203" s="143"/>
      <c r="FY203" s="146">
        <f>_xlfn.XLOOKUP($E203,'Key assumptions'!$B$112:$B$120,'Key assumptions'!$C$112:$C$120,0)</f>
        <v>0</v>
      </c>
      <c r="FZ203" s="146" cm="1">
        <f t="array" ref="FZ203">IF($FY203=0,0,_xlfn.IFS($FY203='Key assumptions'!$C$120,_xlfn.XLOOKUP(LEFT(FZ$7,6),Inflation_Year,Inflation_NominaltoReal),TRUE,_xlfn.XLOOKUP($FY203,Inflation_Year,NominaltoReal)))</f>
        <v>0</v>
      </c>
      <c r="GA203" s="146" cm="1">
        <f t="array" ref="GA203">IF($FY203=0,0,_xlfn.IFS($FY203='Key assumptions'!$C$120,_xlfn.XLOOKUP(LEFT(GA$7,6),Inflation_Year,Inflation_NominaltoReal),TRUE,_xlfn.XLOOKUP($FY203,Inflation_Year,NominaltoReal)))</f>
        <v>0</v>
      </c>
      <c r="GB203" s="146" cm="1">
        <f t="array" ref="GB203">IF($FY203=0,0,_xlfn.IFS($FY203='Key assumptions'!$C$120,_xlfn.XLOOKUP(LEFT(GB$7,6),Inflation_Year,Inflation_NominaltoReal),TRUE,_xlfn.XLOOKUP($FY203,Inflation_Year,NominaltoReal)))</f>
        <v>0</v>
      </c>
      <c r="GC203" s="146" cm="1">
        <f t="array" ref="GC203">IF($FY203=0,0,_xlfn.IFS($FY203='Key assumptions'!$C$120,_xlfn.XLOOKUP(LEFT(GC$7,6),Inflation_Year,Inflation_NominaltoReal),TRUE,_xlfn.XLOOKUP($FY203,Inflation_Year,NominaltoReal)))</f>
        <v>0</v>
      </c>
      <c r="GD203" s="146" cm="1">
        <f t="array" ref="GD203">IF($FY203=0,0,_xlfn.IFS($FY203='Key assumptions'!$C$120,_xlfn.XLOOKUP(LEFT(GD$7,6),Inflation_Year,Inflation_NominaltoReal),TRUE,_xlfn.XLOOKUP($FY203,Inflation_Year,NominaltoReal)))</f>
        <v>0</v>
      </c>
      <c r="GE203" s="146" cm="1">
        <f t="array" ref="GE203">IF($FY203=0,0,_xlfn.IFS($FY203='Key assumptions'!$C$120,_xlfn.XLOOKUP(LEFT(GE$7,6),Inflation_Year,Inflation_NominaltoReal),TRUE,_xlfn.XLOOKUP($FY203,Inflation_Year,NominaltoReal)))</f>
        <v>0</v>
      </c>
      <c r="GF203" s="146" cm="1">
        <f t="array" ref="GF203">IF($FY203=0,0,_xlfn.IFS($FY203='Key assumptions'!$C$120,_xlfn.XLOOKUP(LEFT(GF$7,6),Inflation_Year,Inflation_NominaltoReal),TRUE,_xlfn.XLOOKUP($FY203,Inflation_Year,NominaltoReal)))</f>
        <v>0</v>
      </c>
      <c r="GG203" s="143"/>
      <c r="GH203" s="145" cm="1">
        <f t="array" ref="GH203">SUMPRODUCT(--($CR$7:$FW$7&gt;=GH$5),--($CR$7:$FW$7&lt;=GH$6),$CR203:$FW203)*FZ203</f>
        <v>0</v>
      </c>
      <c r="GI203" s="145" cm="1">
        <f t="array" ref="GI203">SUMPRODUCT(--($CR$7:$FW$7&gt;=GI$5),--($CR$7:$FW$7&lt;=GI$6),$CR203:$FW203)*GA203</f>
        <v>0</v>
      </c>
      <c r="GJ203" s="145" cm="1">
        <f t="array" ref="GJ203">SUMPRODUCT(--($CR$7:$FW$7&gt;=GJ$5),--($CR$7:$FW$7&lt;=GJ$6),$CR203:$FW203)*GB203</f>
        <v>0</v>
      </c>
      <c r="GK203" s="145" cm="1">
        <f t="array" ref="GK203">SUMPRODUCT(--($CR$7:$FW$7&gt;=GK$5),--($CR$7:$FW$7&lt;=GK$6),$CR203:$FW203)*GC203</f>
        <v>0</v>
      </c>
      <c r="GL203" s="145" cm="1">
        <f t="array" ref="GL203">SUMPRODUCT(--($CR$7:$FW$7&gt;=GL$5),--($CR$7:$FW$7&lt;=GL$6),$CR203:$FW203)*GD203</f>
        <v>0</v>
      </c>
      <c r="GM203" s="145" cm="1">
        <f t="array" ref="GM203">SUMPRODUCT(--($CR$7:$FW$7&gt;=GM$5),--($CR$7:$FW$7&lt;=GM$6),$CR203:$FW203)*GE203</f>
        <v>0</v>
      </c>
      <c r="GN203" s="145" cm="1">
        <f t="array" ref="GN203">SUMPRODUCT(--($CR$7:$FW$7&gt;=GN$5),--($CR$7:$FW$7&lt;=GN$6),$CR203:$FW203)*GF203</f>
        <v>0</v>
      </c>
      <c r="GO203" s="145">
        <f t="shared" si="3"/>
        <v>0</v>
      </c>
      <c r="GP203" s="87"/>
      <c r="GR203" s="145" cm="1">
        <f t="array" ref="GR203">SUMPRODUCT(--($CR$7:$FW$7&gt;=GR$5),--($CR$7:$FW$7&lt;=GR$6),$CR203:$FW203)</f>
        <v>0</v>
      </c>
    </row>
    <row r="204" spans="2:200" x14ac:dyDescent="0.2">
      <c r="B204" s="141"/>
      <c r="C204" s="141"/>
      <c r="D204" s="141"/>
      <c r="E204" s="141"/>
      <c r="F204" s="141"/>
      <c r="G204" s="141"/>
      <c r="H204" s="142"/>
      <c r="I204" s="126"/>
      <c r="J204" s="143"/>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3"/>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c r="EE204" s="145"/>
      <c r="EF204" s="145"/>
      <c r="EG204" s="145"/>
      <c r="EH204" s="145"/>
      <c r="EI204" s="145"/>
      <c r="EJ204" s="145"/>
      <c r="EK204" s="145"/>
      <c r="EL204" s="145"/>
      <c r="EM204" s="145"/>
      <c r="EN204" s="145"/>
      <c r="EO204" s="145"/>
      <c r="EP204" s="145"/>
      <c r="EQ204" s="145"/>
      <c r="ER204" s="145"/>
      <c r="ES204" s="145"/>
      <c r="ET204" s="145"/>
      <c r="EU204" s="145"/>
      <c r="EV204" s="145"/>
      <c r="EW204" s="145"/>
      <c r="EX204" s="145"/>
      <c r="EY204" s="145"/>
      <c r="EZ204" s="145"/>
      <c r="FA204" s="145"/>
      <c r="FB204" s="145"/>
      <c r="FC204" s="145"/>
      <c r="FD204" s="145"/>
      <c r="FE204" s="145"/>
      <c r="FF204" s="145"/>
      <c r="FG204" s="145"/>
      <c r="FH204" s="145"/>
      <c r="FI204" s="145"/>
      <c r="FJ204" s="145"/>
      <c r="FK204" s="145"/>
      <c r="FL204" s="145"/>
      <c r="FM204" s="145"/>
      <c r="FN204" s="145"/>
      <c r="FO204" s="145"/>
      <c r="FP204" s="145"/>
      <c r="FQ204" s="145"/>
      <c r="FR204" s="145"/>
      <c r="FS204" s="145"/>
      <c r="FT204" s="145"/>
      <c r="FU204" s="145"/>
      <c r="FV204" s="145"/>
      <c r="FW204" s="145"/>
      <c r="FX204" s="143"/>
      <c r="FY204" s="146">
        <f>_xlfn.XLOOKUP($E204,'Key assumptions'!$B$112:$B$120,'Key assumptions'!$C$112:$C$120,0)</f>
        <v>0</v>
      </c>
      <c r="FZ204" s="146" cm="1">
        <f t="array" ref="FZ204">IF($FY204=0,0,_xlfn.IFS($FY204='Key assumptions'!$C$120,_xlfn.XLOOKUP(LEFT(FZ$7,6),Inflation_Year,Inflation_NominaltoReal),TRUE,_xlfn.XLOOKUP($FY204,Inflation_Year,NominaltoReal)))</f>
        <v>0</v>
      </c>
      <c r="GA204" s="146" cm="1">
        <f t="array" ref="GA204">IF($FY204=0,0,_xlfn.IFS($FY204='Key assumptions'!$C$120,_xlfn.XLOOKUP(LEFT(GA$7,6),Inflation_Year,Inflation_NominaltoReal),TRUE,_xlfn.XLOOKUP($FY204,Inflation_Year,NominaltoReal)))</f>
        <v>0</v>
      </c>
      <c r="GB204" s="146" cm="1">
        <f t="array" ref="GB204">IF($FY204=0,0,_xlfn.IFS($FY204='Key assumptions'!$C$120,_xlfn.XLOOKUP(LEFT(GB$7,6),Inflation_Year,Inflation_NominaltoReal),TRUE,_xlfn.XLOOKUP($FY204,Inflation_Year,NominaltoReal)))</f>
        <v>0</v>
      </c>
      <c r="GC204" s="146" cm="1">
        <f t="array" ref="GC204">IF($FY204=0,0,_xlfn.IFS($FY204='Key assumptions'!$C$120,_xlfn.XLOOKUP(LEFT(GC$7,6),Inflation_Year,Inflation_NominaltoReal),TRUE,_xlfn.XLOOKUP($FY204,Inflation_Year,NominaltoReal)))</f>
        <v>0</v>
      </c>
      <c r="GD204" s="146" cm="1">
        <f t="array" ref="GD204">IF($FY204=0,0,_xlfn.IFS($FY204='Key assumptions'!$C$120,_xlfn.XLOOKUP(LEFT(GD$7,6),Inflation_Year,Inflation_NominaltoReal),TRUE,_xlfn.XLOOKUP($FY204,Inflation_Year,NominaltoReal)))</f>
        <v>0</v>
      </c>
      <c r="GE204" s="146" cm="1">
        <f t="array" ref="GE204">IF($FY204=0,0,_xlfn.IFS($FY204='Key assumptions'!$C$120,_xlfn.XLOOKUP(LEFT(GE$7,6),Inflation_Year,Inflation_NominaltoReal),TRUE,_xlfn.XLOOKUP($FY204,Inflation_Year,NominaltoReal)))</f>
        <v>0</v>
      </c>
      <c r="GF204" s="146" cm="1">
        <f t="array" ref="GF204">IF($FY204=0,0,_xlfn.IFS($FY204='Key assumptions'!$C$120,_xlfn.XLOOKUP(LEFT(GF$7,6),Inflation_Year,Inflation_NominaltoReal),TRUE,_xlfn.XLOOKUP($FY204,Inflation_Year,NominaltoReal)))</f>
        <v>0</v>
      </c>
      <c r="GG204" s="143"/>
      <c r="GH204" s="145" cm="1">
        <f t="array" ref="GH204">SUMPRODUCT(--($CR$7:$FW$7&gt;=GH$5),--($CR$7:$FW$7&lt;=GH$6),$CR204:$FW204)*FZ204</f>
        <v>0</v>
      </c>
      <c r="GI204" s="145" cm="1">
        <f t="array" ref="GI204">SUMPRODUCT(--($CR$7:$FW$7&gt;=GI$5),--($CR$7:$FW$7&lt;=GI$6),$CR204:$FW204)*GA204</f>
        <v>0</v>
      </c>
      <c r="GJ204" s="145" cm="1">
        <f t="array" ref="GJ204">SUMPRODUCT(--($CR$7:$FW$7&gt;=GJ$5),--($CR$7:$FW$7&lt;=GJ$6),$CR204:$FW204)*GB204</f>
        <v>0</v>
      </c>
      <c r="GK204" s="145" cm="1">
        <f t="array" ref="GK204">SUMPRODUCT(--($CR$7:$FW$7&gt;=GK$5),--($CR$7:$FW$7&lt;=GK$6),$CR204:$FW204)*GC204</f>
        <v>0</v>
      </c>
      <c r="GL204" s="145" cm="1">
        <f t="array" ref="GL204">SUMPRODUCT(--($CR$7:$FW$7&gt;=GL$5),--($CR$7:$FW$7&lt;=GL$6),$CR204:$FW204)*GD204</f>
        <v>0</v>
      </c>
      <c r="GM204" s="145" cm="1">
        <f t="array" ref="GM204">SUMPRODUCT(--($CR$7:$FW$7&gt;=GM$5),--($CR$7:$FW$7&lt;=GM$6),$CR204:$FW204)*GE204</f>
        <v>0</v>
      </c>
      <c r="GN204" s="145" cm="1">
        <f t="array" ref="GN204">SUMPRODUCT(--($CR$7:$FW$7&gt;=GN$5),--($CR$7:$FW$7&lt;=GN$6),$CR204:$FW204)*GF204</f>
        <v>0</v>
      </c>
      <c r="GO204" s="145">
        <f t="shared" si="3"/>
        <v>0</v>
      </c>
      <c r="GP204" s="87"/>
      <c r="GR204" s="145" cm="1">
        <f t="array" ref="GR204">SUMPRODUCT(--($CR$7:$FW$7&gt;=GR$5),--($CR$7:$FW$7&lt;=GR$6),$CR204:$FW204)</f>
        <v>0</v>
      </c>
    </row>
    <row r="205" spans="2:200" x14ac:dyDescent="0.2">
      <c r="B205" s="141"/>
      <c r="C205" s="141"/>
      <c r="D205" s="141"/>
      <c r="E205" s="141"/>
      <c r="F205" s="141"/>
      <c r="G205" s="141"/>
      <c r="H205" s="142"/>
      <c r="I205" s="126"/>
      <c r="J205" s="143"/>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3"/>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45"/>
      <c r="EH205" s="145"/>
      <c r="EI205" s="145"/>
      <c r="EJ205" s="145"/>
      <c r="EK205" s="145"/>
      <c r="EL205" s="145"/>
      <c r="EM205" s="145"/>
      <c r="EN205" s="145"/>
      <c r="EO205" s="145"/>
      <c r="EP205" s="145"/>
      <c r="EQ205" s="145"/>
      <c r="ER205" s="145"/>
      <c r="ES205" s="145"/>
      <c r="ET205" s="145"/>
      <c r="EU205" s="145"/>
      <c r="EV205" s="145"/>
      <c r="EW205" s="145"/>
      <c r="EX205" s="145"/>
      <c r="EY205" s="145"/>
      <c r="EZ205" s="145"/>
      <c r="FA205" s="145"/>
      <c r="FB205" s="145"/>
      <c r="FC205" s="145"/>
      <c r="FD205" s="145"/>
      <c r="FE205" s="145"/>
      <c r="FF205" s="145"/>
      <c r="FG205" s="145"/>
      <c r="FH205" s="145"/>
      <c r="FI205" s="145"/>
      <c r="FJ205" s="145"/>
      <c r="FK205" s="145"/>
      <c r="FL205" s="145"/>
      <c r="FM205" s="145"/>
      <c r="FN205" s="145"/>
      <c r="FO205" s="145"/>
      <c r="FP205" s="145"/>
      <c r="FQ205" s="145"/>
      <c r="FR205" s="145"/>
      <c r="FS205" s="145"/>
      <c r="FT205" s="145"/>
      <c r="FU205" s="145"/>
      <c r="FV205" s="145"/>
      <c r="FW205" s="145"/>
      <c r="FX205" s="143"/>
      <c r="FY205" s="146">
        <f>_xlfn.XLOOKUP($E205,'Key assumptions'!$B$112:$B$120,'Key assumptions'!$C$112:$C$120,0)</f>
        <v>0</v>
      </c>
      <c r="FZ205" s="146" cm="1">
        <f t="array" ref="FZ205">IF($FY205=0,0,_xlfn.IFS($FY205='Key assumptions'!$C$120,_xlfn.XLOOKUP(LEFT(FZ$7,6),Inflation_Year,Inflation_NominaltoReal),TRUE,_xlfn.XLOOKUP($FY205,Inflation_Year,NominaltoReal)))</f>
        <v>0</v>
      </c>
      <c r="GA205" s="146" cm="1">
        <f t="array" ref="GA205">IF($FY205=0,0,_xlfn.IFS($FY205='Key assumptions'!$C$120,_xlfn.XLOOKUP(LEFT(GA$7,6),Inflation_Year,Inflation_NominaltoReal),TRUE,_xlfn.XLOOKUP($FY205,Inflation_Year,NominaltoReal)))</f>
        <v>0</v>
      </c>
      <c r="GB205" s="146" cm="1">
        <f t="array" ref="GB205">IF($FY205=0,0,_xlfn.IFS($FY205='Key assumptions'!$C$120,_xlfn.XLOOKUP(LEFT(GB$7,6),Inflation_Year,Inflation_NominaltoReal),TRUE,_xlfn.XLOOKUP($FY205,Inflation_Year,NominaltoReal)))</f>
        <v>0</v>
      </c>
      <c r="GC205" s="146" cm="1">
        <f t="array" ref="GC205">IF($FY205=0,0,_xlfn.IFS($FY205='Key assumptions'!$C$120,_xlfn.XLOOKUP(LEFT(GC$7,6),Inflation_Year,Inflation_NominaltoReal),TRUE,_xlfn.XLOOKUP($FY205,Inflation_Year,NominaltoReal)))</f>
        <v>0</v>
      </c>
      <c r="GD205" s="146" cm="1">
        <f t="array" ref="GD205">IF($FY205=0,0,_xlfn.IFS($FY205='Key assumptions'!$C$120,_xlfn.XLOOKUP(LEFT(GD$7,6),Inflation_Year,Inflation_NominaltoReal),TRUE,_xlfn.XLOOKUP($FY205,Inflation_Year,NominaltoReal)))</f>
        <v>0</v>
      </c>
      <c r="GE205" s="146" cm="1">
        <f t="array" ref="GE205">IF($FY205=0,0,_xlfn.IFS($FY205='Key assumptions'!$C$120,_xlfn.XLOOKUP(LEFT(GE$7,6),Inflation_Year,Inflation_NominaltoReal),TRUE,_xlfn.XLOOKUP($FY205,Inflation_Year,NominaltoReal)))</f>
        <v>0</v>
      </c>
      <c r="GF205" s="146" cm="1">
        <f t="array" ref="GF205">IF($FY205=0,0,_xlfn.IFS($FY205='Key assumptions'!$C$120,_xlfn.XLOOKUP(LEFT(GF$7,6),Inflation_Year,Inflation_NominaltoReal),TRUE,_xlfn.XLOOKUP($FY205,Inflation_Year,NominaltoReal)))</f>
        <v>0</v>
      </c>
      <c r="GG205" s="143"/>
      <c r="GH205" s="145" cm="1">
        <f t="array" ref="GH205">SUMPRODUCT(--($CR$7:$FW$7&gt;=GH$5),--($CR$7:$FW$7&lt;=GH$6),$CR205:$FW205)*FZ205</f>
        <v>0</v>
      </c>
      <c r="GI205" s="145" cm="1">
        <f t="array" ref="GI205">SUMPRODUCT(--($CR$7:$FW$7&gt;=GI$5),--($CR$7:$FW$7&lt;=GI$6),$CR205:$FW205)*GA205</f>
        <v>0</v>
      </c>
      <c r="GJ205" s="145" cm="1">
        <f t="array" ref="GJ205">SUMPRODUCT(--($CR$7:$FW$7&gt;=GJ$5),--($CR$7:$FW$7&lt;=GJ$6),$CR205:$FW205)*GB205</f>
        <v>0</v>
      </c>
      <c r="GK205" s="145" cm="1">
        <f t="array" ref="GK205">SUMPRODUCT(--($CR$7:$FW$7&gt;=GK$5),--($CR$7:$FW$7&lt;=GK$6),$CR205:$FW205)*GC205</f>
        <v>0</v>
      </c>
      <c r="GL205" s="145" cm="1">
        <f t="array" ref="GL205">SUMPRODUCT(--($CR$7:$FW$7&gt;=GL$5),--($CR$7:$FW$7&lt;=GL$6),$CR205:$FW205)*GD205</f>
        <v>0</v>
      </c>
      <c r="GM205" s="145" cm="1">
        <f t="array" ref="GM205">SUMPRODUCT(--($CR$7:$FW$7&gt;=GM$5),--($CR$7:$FW$7&lt;=GM$6),$CR205:$FW205)*GE205</f>
        <v>0</v>
      </c>
      <c r="GN205" s="145" cm="1">
        <f t="array" ref="GN205">SUMPRODUCT(--($CR$7:$FW$7&gt;=GN$5),--($CR$7:$FW$7&lt;=GN$6),$CR205:$FW205)*GF205</f>
        <v>0</v>
      </c>
      <c r="GO205" s="145">
        <f t="shared" si="3"/>
        <v>0</v>
      </c>
      <c r="GP205" s="87"/>
      <c r="GR205" s="145" cm="1">
        <f t="array" ref="GR205">SUMPRODUCT(--($CR$7:$FW$7&gt;=GR$5),--($CR$7:$FW$7&lt;=GR$6),$CR205:$FW205)</f>
        <v>0</v>
      </c>
    </row>
    <row r="206" spans="2:200" x14ac:dyDescent="0.2">
      <c r="B206" s="141"/>
      <c r="C206" s="141"/>
      <c r="D206" s="141"/>
      <c r="E206" s="141"/>
      <c r="F206" s="141"/>
      <c r="G206" s="141"/>
      <c r="H206" s="142"/>
      <c r="I206" s="126"/>
      <c r="J206" s="143"/>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3"/>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c r="EE206" s="145"/>
      <c r="EF206" s="145"/>
      <c r="EG206" s="145"/>
      <c r="EH206" s="145"/>
      <c r="EI206" s="145"/>
      <c r="EJ206" s="145"/>
      <c r="EK206" s="145"/>
      <c r="EL206" s="145"/>
      <c r="EM206" s="145"/>
      <c r="EN206" s="145"/>
      <c r="EO206" s="145"/>
      <c r="EP206" s="145"/>
      <c r="EQ206" s="145"/>
      <c r="ER206" s="145"/>
      <c r="ES206" s="145"/>
      <c r="ET206" s="145"/>
      <c r="EU206" s="145"/>
      <c r="EV206" s="145"/>
      <c r="EW206" s="145"/>
      <c r="EX206" s="145"/>
      <c r="EY206" s="145"/>
      <c r="EZ206" s="145"/>
      <c r="FA206" s="145"/>
      <c r="FB206" s="145"/>
      <c r="FC206" s="145"/>
      <c r="FD206" s="145"/>
      <c r="FE206" s="145"/>
      <c r="FF206" s="145"/>
      <c r="FG206" s="145"/>
      <c r="FH206" s="145"/>
      <c r="FI206" s="145"/>
      <c r="FJ206" s="145"/>
      <c r="FK206" s="145"/>
      <c r="FL206" s="145"/>
      <c r="FM206" s="145"/>
      <c r="FN206" s="145"/>
      <c r="FO206" s="145"/>
      <c r="FP206" s="145"/>
      <c r="FQ206" s="145"/>
      <c r="FR206" s="145"/>
      <c r="FS206" s="145"/>
      <c r="FT206" s="145"/>
      <c r="FU206" s="145"/>
      <c r="FV206" s="145"/>
      <c r="FW206" s="145"/>
      <c r="FX206" s="143"/>
      <c r="FY206" s="146">
        <f>_xlfn.XLOOKUP($E206,'Key assumptions'!$B$112:$B$120,'Key assumptions'!$C$112:$C$120,0)</f>
        <v>0</v>
      </c>
      <c r="FZ206" s="146" cm="1">
        <f t="array" ref="FZ206">IF($FY206=0,0,_xlfn.IFS($FY206='Key assumptions'!$C$120,_xlfn.XLOOKUP(LEFT(FZ$7,6),Inflation_Year,Inflation_NominaltoReal),TRUE,_xlfn.XLOOKUP($FY206,Inflation_Year,NominaltoReal)))</f>
        <v>0</v>
      </c>
      <c r="GA206" s="146" cm="1">
        <f t="array" ref="GA206">IF($FY206=0,0,_xlfn.IFS($FY206='Key assumptions'!$C$120,_xlfn.XLOOKUP(LEFT(GA$7,6),Inflation_Year,Inflation_NominaltoReal),TRUE,_xlfn.XLOOKUP($FY206,Inflation_Year,NominaltoReal)))</f>
        <v>0</v>
      </c>
      <c r="GB206" s="146" cm="1">
        <f t="array" ref="GB206">IF($FY206=0,0,_xlfn.IFS($FY206='Key assumptions'!$C$120,_xlfn.XLOOKUP(LEFT(GB$7,6),Inflation_Year,Inflation_NominaltoReal),TRUE,_xlfn.XLOOKUP($FY206,Inflation_Year,NominaltoReal)))</f>
        <v>0</v>
      </c>
      <c r="GC206" s="146" cm="1">
        <f t="array" ref="GC206">IF($FY206=0,0,_xlfn.IFS($FY206='Key assumptions'!$C$120,_xlfn.XLOOKUP(LEFT(GC$7,6),Inflation_Year,Inflation_NominaltoReal),TRUE,_xlfn.XLOOKUP($FY206,Inflation_Year,NominaltoReal)))</f>
        <v>0</v>
      </c>
      <c r="GD206" s="146" cm="1">
        <f t="array" ref="GD206">IF($FY206=0,0,_xlfn.IFS($FY206='Key assumptions'!$C$120,_xlfn.XLOOKUP(LEFT(GD$7,6),Inflation_Year,Inflation_NominaltoReal),TRUE,_xlfn.XLOOKUP($FY206,Inflation_Year,NominaltoReal)))</f>
        <v>0</v>
      </c>
      <c r="GE206" s="146" cm="1">
        <f t="array" ref="GE206">IF($FY206=0,0,_xlfn.IFS($FY206='Key assumptions'!$C$120,_xlfn.XLOOKUP(LEFT(GE$7,6),Inflation_Year,Inflation_NominaltoReal),TRUE,_xlfn.XLOOKUP($FY206,Inflation_Year,NominaltoReal)))</f>
        <v>0</v>
      </c>
      <c r="GF206" s="146" cm="1">
        <f t="array" ref="GF206">IF($FY206=0,0,_xlfn.IFS($FY206='Key assumptions'!$C$120,_xlfn.XLOOKUP(LEFT(GF$7,6),Inflation_Year,Inflation_NominaltoReal),TRUE,_xlfn.XLOOKUP($FY206,Inflation_Year,NominaltoReal)))</f>
        <v>0</v>
      </c>
      <c r="GG206" s="143"/>
      <c r="GH206" s="145" cm="1">
        <f t="array" ref="GH206">SUMPRODUCT(--($CR$7:$FW$7&gt;=GH$5),--($CR$7:$FW$7&lt;=GH$6),$CR206:$FW206)*FZ206</f>
        <v>0</v>
      </c>
      <c r="GI206" s="145" cm="1">
        <f t="array" ref="GI206">SUMPRODUCT(--($CR$7:$FW$7&gt;=GI$5),--($CR$7:$FW$7&lt;=GI$6),$CR206:$FW206)*GA206</f>
        <v>0</v>
      </c>
      <c r="GJ206" s="145" cm="1">
        <f t="array" ref="GJ206">SUMPRODUCT(--($CR$7:$FW$7&gt;=GJ$5),--($CR$7:$FW$7&lt;=GJ$6),$CR206:$FW206)*GB206</f>
        <v>0</v>
      </c>
      <c r="GK206" s="145" cm="1">
        <f t="array" ref="GK206">SUMPRODUCT(--($CR$7:$FW$7&gt;=GK$5),--($CR$7:$FW$7&lt;=GK$6),$CR206:$FW206)*GC206</f>
        <v>0</v>
      </c>
      <c r="GL206" s="145" cm="1">
        <f t="array" ref="GL206">SUMPRODUCT(--($CR$7:$FW$7&gt;=GL$5),--($CR$7:$FW$7&lt;=GL$6),$CR206:$FW206)*GD206</f>
        <v>0</v>
      </c>
      <c r="GM206" s="145" cm="1">
        <f t="array" ref="GM206">SUMPRODUCT(--($CR$7:$FW$7&gt;=GM$5),--($CR$7:$FW$7&lt;=GM$6),$CR206:$FW206)*GE206</f>
        <v>0</v>
      </c>
      <c r="GN206" s="145" cm="1">
        <f t="array" ref="GN206">SUMPRODUCT(--($CR$7:$FW$7&gt;=GN$5),--($CR$7:$FW$7&lt;=GN$6),$CR206:$FW206)*GF206</f>
        <v>0</v>
      </c>
      <c r="GO206" s="145">
        <f t="shared" si="3"/>
        <v>0</v>
      </c>
      <c r="GP206" s="87"/>
      <c r="GR206" s="145" cm="1">
        <f t="array" ref="GR206">SUMPRODUCT(--($CR$7:$FW$7&gt;=GR$5),--($CR$7:$FW$7&lt;=GR$6),$CR206:$FW206)</f>
        <v>0</v>
      </c>
    </row>
    <row r="207" spans="2:200" x14ac:dyDescent="0.2">
      <c r="B207" s="141"/>
      <c r="C207" s="141"/>
      <c r="D207" s="141"/>
      <c r="E207" s="141"/>
      <c r="F207" s="141"/>
      <c r="G207" s="141"/>
      <c r="H207" s="142"/>
      <c r="I207" s="126"/>
      <c r="J207" s="143"/>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3"/>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c r="EE207" s="145"/>
      <c r="EF207" s="145"/>
      <c r="EG207" s="145"/>
      <c r="EH207" s="145"/>
      <c r="EI207" s="145"/>
      <c r="EJ207" s="145"/>
      <c r="EK207" s="145"/>
      <c r="EL207" s="145"/>
      <c r="EM207" s="145"/>
      <c r="EN207" s="145"/>
      <c r="EO207" s="145"/>
      <c r="EP207" s="145"/>
      <c r="EQ207" s="145"/>
      <c r="ER207" s="145"/>
      <c r="ES207" s="145"/>
      <c r="ET207" s="145"/>
      <c r="EU207" s="145"/>
      <c r="EV207" s="145"/>
      <c r="EW207" s="145"/>
      <c r="EX207" s="145"/>
      <c r="EY207" s="145"/>
      <c r="EZ207" s="145"/>
      <c r="FA207" s="145"/>
      <c r="FB207" s="145"/>
      <c r="FC207" s="145"/>
      <c r="FD207" s="145"/>
      <c r="FE207" s="145"/>
      <c r="FF207" s="145"/>
      <c r="FG207" s="145"/>
      <c r="FH207" s="145"/>
      <c r="FI207" s="145"/>
      <c r="FJ207" s="145"/>
      <c r="FK207" s="145"/>
      <c r="FL207" s="145"/>
      <c r="FM207" s="145"/>
      <c r="FN207" s="145"/>
      <c r="FO207" s="145"/>
      <c r="FP207" s="145"/>
      <c r="FQ207" s="145"/>
      <c r="FR207" s="145"/>
      <c r="FS207" s="145"/>
      <c r="FT207" s="145"/>
      <c r="FU207" s="145"/>
      <c r="FV207" s="145"/>
      <c r="FW207" s="145"/>
      <c r="FX207" s="143"/>
      <c r="FY207" s="146">
        <f>_xlfn.XLOOKUP($E207,'Key assumptions'!$B$112:$B$120,'Key assumptions'!$C$112:$C$120,0)</f>
        <v>0</v>
      </c>
      <c r="FZ207" s="146" cm="1">
        <f t="array" ref="FZ207">IF($FY207=0,0,_xlfn.IFS($FY207='Key assumptions'!$C$120,_xlfn.XLOOKUP(LEFT(FZ$7,6),Inflation_Year,Inflation_NominaltoReal),TRUE,_xlfn.XLOOKUP($FY207,Inflation_Year,NominaltoReal)))</f>
        <v>0</v>
      </c>
      <c r="GA207" s="146" cm="1">
        <f t="array" ref="GA207">IF($FY207=0,0,_xlfn.IFS($FY207='Key assumptions'!$C$120,_xlfn.XLOOKUP(LEFT(GA$7,6),Inflation_Year,Inflation_NominaltoReal),TRUE,_xlfn.XLOOKUP($FY207,Inflation_Year,NominaltoReal)))</f>
        <v>0</v>
      </c>
      <c r="GB207" s="146" cm="1">
        <f t="array" ref="GB207">IF($FY207=0,0,_xlfn.IFS($FY207='Key assumptions'!$C$120,_xlfn.XLOOKUP(LEFT(GB$7,6),Inflation_Year,Inflation_NominaltoReal),TRUE,_xlfn.XLOOKUP($FY207,Inflation_Year,NominaltoReal)))</f>
        <v>0</v>
      </c>
      <c r="GC207" s="146" cm="1">
        <f t="array" ref="GC207">IF($FY207=0,0,_xlfn.IFS($FY207='Key assumptions'!$C$120,_xlfn.XLOOKUP(LEFT(GC$7,6),Inflation_Year,Inflation_NominaltoReal),TRUE,_xlfn.XLOOKUP($FY207,Inflation_Year,NominaltoReal)))</f>
        <v>0</v>
      </c>
      <c r="GD207" s="146" cm="1">
        <f t="array" ref="GD207">IF($FY207=0,0,_xlfn.IFS($FY207='Key assumptions'!$C$120,_xlfn.XLOOKUP(LEFT(GD$7,6),Inflation_Year,Inflation_NominaltoReal),TRUE,_xlfn.XLOOKUP($FY207,Inflation_Year,NominaltoReal)))</f>
        <v>0</v>
      </c>
      <c r="GE207" s="146" cm="1">
        <f t="array" ref="GE207">IF($FY207=0,0,_xlfn.IFS($FY207='Key assumptions'!$C$120,_xlfn.XLOOKUP(LEFT(GE$7,6),Inflation_Year,Inflation_NominaltoReal),TRUE,_xlfn.XLOOKUP($FY207,Inflation_Year,NominaltoReal)))</f>
        <v>0</v>
      </c>
      <c r="GF207" s="146" cm="1">
        <f t="array" ref="GF207">IF($FY207=0,0,_xlfn.IFS($FY207='Key assumptions'!$C$120,_xlfn.XLOOKUP(LEFT(GF$7,6),Inflation_Year,Inflation_NominaltoReal),TRUE,_xlfn.XLOOKUP($FY207,Inflation_Year,NominaltoReal)))</f>
        <v>0</v>
      </c>
      <c r="GG207" s="143"/>
      <c r="GH207" s="145" cm="1">
        <f t="array" ref="GH207">SUMPRODUCT(--($CR$7:$FW$7&gt;=GH$5),--($CR$7:$FW$7&lt;=GH$6),$CR207:$FW207)*FZ207</f>
        <v>0</v>
      </c>
      <c r="GI207" s="145" cm="1">
        <f t="array" ref="GI207">SUMPRODUCT(--($CR$7:$FW$7&gt;=GI$5),--($CR$7:$FW$7&lt;=GI$6),$CR207:$FW207)*GA207</f>
        <v>0</v>
      </c>
      <c r="GJ207" s="145" cm="1">
        <f t="array" ref="GJ207">SUMPRODUCT(--($CR$7:$FW$7&gt;=GJ$5),--($CR$7:$FW$7&lt;=GJ$6),$CR207:$FW207)*GB207</f>
        <v>0</v>
      </c>
      <c r="GK207" s="145" cm="1">
        <f t="array" ref="GK207">SUMPRODUCT(--($CR$7:$FW$7&gt;=GK$5),--($CR$7:$FW$7&lt;=GK$6),$CR207:$FW207)*GC207</f>
        <v>0</v>
      </c>
      <c r="GL207" s="145" cm="1">
        <f t="array" ref="GL207">SUMPRODUCT(--($CR$7:$FW$7&gt;=GL$5),--($CR$7:$FW$7&lt;=GL$6),$CR207:$FW207)*GD207</f>
        <v>0</v>
      </c>
      <c r="GM207" s="145" cm="1">
        <f t="array" ref="GM207">SUMPRODUCT(--($CR$7:$FW$7&gt;=GM$5),--($CR$7:$FW$7&lt;=GM$6),$CR207:$FW207)*GE207</f>
        <v>0</v>
      </c>
      <c r="GN207" s="145" cm="1">
        <f t="array" ref="GN207">SUMPRODUCT(--($CR$7:$FW$7&gt;=GN$5),--($CR$7:$FW$7&lt;=GN$6),$CR207:$FW207)*GF207</f>
        <v>0</v>
      </c>
      <c r="GO207" s="145">
        <f t="shared" si="3"/>
        <v>0</v>
      </c>
      <c r="GP207" s="87"/>
      <c r="GR207" s="145" cm="1">
        <f t="array" ref="GR207">SUMPRODUCT(--($CR$7:$FW$7&gt;=GR$5),--($CR$7:$FW$7&lt;=GR$6),$CR207:$FW207)</f>
        <v>0</v>
      </c>
    </row>
    <row r="208" spans="2:200" x14ac:dyDescent="0.2">
      <c r="B208" s="141"/>
      <c r="C208" s="141"/>
      <c r="D208" s="141"/>
      <c r="E208" s="141"/>
      <c r="F208" s="141"/>
      <c r="G208" s="141"/>
      <c r="H208" s="142"/>
      <c r="I208" s="126"/>
      <c r="J208" s="143"/>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3"/>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c r="EE208" s="145"/>
      <c r="EF208" s="145"/>
      <c r="EG208" s="145"/>
      <c r="EH208" s="145"/>
      <c r="EI208" s="145"/>
      <c r="EJ208" s="145"/>
      <c r="EK208" s="145"/>
      <c r="EL208" s="145"/>
      <c r="EM208" s="145"/>
      <c r="EN208" s="145"/>
      <c r="EO208" s="145"/>
      <c r="EP208" s="145"/>
      <c r="EQ208" s="145"/>
      <c r="ER208" s="145"/>
      <c r="ES208" s="145"/>
      <c r="ET208" s="145"/>
      <c r="EU208" s="145"/>
      <c r="EV208" s="145"/>
      <c r="EW208" s="145"/>
      <c r="EX208" s="145"/>
      <c r="EY208" s="145"/>
      <c r="EZ208" s="145"/>
      <c r="FA208" s="145"/>
      <c r="FB208" s="145"/>
      <c r="FC208" s="145"/>
      <c r="FD208" s="145"/>
      <c r="FE208" s="145"/>
      <c r="FF208" s="145"/>
      <c r="FG208" s="145"/>
      <c r="FH208" s="145"/>
      <c r="FI208" s="145"/>
      <c r="FJ208" s="145"/>
      <c r="FK208" s="145"/>
      <c r="FL208" s="145"/>
      <c r="FM208" s="145"/>
      <c r="FN208" s="145"/>
      <c r="FO208" s="145"/>
      <c r="FP208" s="145"/>
      <c r="FQ208" s="145"/>
      <c r="FR208" s="145"/>
      <c r="FS208" s="145"/>
      <c r="FT208" s="145"/>
      <c r="FU208" s="145"/>
      <c r="FV208" s="145"/>
      <c r="FW208" s="145"/>
      <c r="FX208" s="143"/>
      <c r="FY208" s="146">
        <f>_xlfn.XLOOKUP($E208,'Key assumptions'!$B$112:$B$120,'Key assumptions'!$C$112:$C$120,0)</f>
        <v>0</v>
      </c>
      <c r="FZ208" s="146" cm="1">
        <f t="array" ref="FZ208">IF($FY208=0,0,_xlfn.IFS($FY208='Key assumptions'!$C$120,_xlfn.XLOOKUP(LEFT(FZ$7,6),Inflation_Year,Inflation_NominaltoReal),TRUE,_xlfn.XLOOKUP($FY208,Inflation_Year,NominaltoReal)))</f>
        <v>0</v>
      </c>
      <c r="GA208" s="146" cm="1">
        <f t="array" ref="GA208">IF($FY208=0,0,_xlfn.IFS($FY208='Key assumptions'!$C$120,_xlfn.XLOOKUP(LEFT(GA$7,6),Inflation_Year,Inflation_NominaltoReal),TRUE,_xlfn.XLOOKUP($FY208,Inflation_Year,NominaltoReal)))</f>
        <v>0</v>
      </c>
      <c r="GB208" s="146" cm="1">
        <f t="array" ref="GB208">IF($FY208=0,0,_xlfn.IFS($FY208='Key assumptions'!$C$120,_xlfn.XLOOKUP(LEFT(GB$7,6),Inflation_Year,Inflation_NominaltoReal),TRUE,_xlfn.XLOOKUP($FY208,Inflation_Year,NominaltoReal)))</f>
        <v>0</v>
      </c>
      <c r="GC208" s="146" cm="1">
        <f t="array" ref="GC208">IF($FY208=0,0,_xlfn.IFS($FY208='Key assumptions'!$C$120,_xlfn.XLOOKUP(LEFT(GC$7,6),Inflation_Year,Inflation_NominaltoReal),TRUE,_xlfn.XLOOKUP($FY208,Inflation_Year,NominaltoReal)))</f>
        <v>0</v>
      </c>
      <c r="GD208" s="146" cm="1">
        <f t="array" ref="GD208">IF($FY208=0,0,_xlfn.IFS($FY208='Key assumptions'!$C$120,_xlfn.XLOOKUP(LEFT(GD$7,6),Inflation_Year,Inflation_NominaltoReal),TRUE,_xlfn.XLOOKUP($FY208,Inflation_Year,NominaltoReal)))</f>
        <v>0</v>
      </c>
      <c r="GE208" s="146" cm="1">
        <f t="array" ref="GE208">IF($FY208=0,0,_xlfn.IFS($FY208='Key assumptions'!$C$120,_xlfn.XLOOKUP(LEFT(GE$7,6),Inflation_Year,Inflation_NominaltoReal),TRUE,_xlfn.XLOOKUP($FY208,Inflation_Year,NominaltoReal)))</f>
        <v>0</v>
      </c>
      <c r="GF208" s="146" cm="1">
        <f t="array" ref="GF208">IF($FY208=0,0,_xlfn.IFS($FY208='Key assumptions'!$C$120,_xlfn.XLOOKUP(LEFT(GF$7,6),Inflation_Year,Inflation_NominaltoReal),TRUE,_xlfn.XLOOKUP($FY208,Inflation_Year,NominaltoReal)))</f>
        <v>0</v>
      </c>
      <c r="GG208" s="143"/>
      <c r="GH208" s="145" cm="1">
        <f t="array" ref="GH208">SUMPRODUCT(--($CR$7:$FW$7&gt;=GH$5),--($CR$7:$FW$7&lt;=GH$6),$CR208:$FW208)*FZ208</f>
        <v>0</v>
      </c>
      <c r="GI208" s="145" cm="1">
        <f t="array" ref="GI208">SUMPRODUCT(--($CR$7:$FW$7&gt;=GI$5),--($CR$7:$FW$7&lt;=GI$6),$CR208:$FW208)*GA208</f>
        <v>0</v>
      </c>
      <c r="GJ208" s="145" cm="1">
        <f t="array" ref="GJ208">SUMPRODUCT(--($CR$7:$FW$7&gt;=GJ$5),--($CR$7:$FW$7&lt;=GJ$6),$CR208:$FW208)*GB208</f>
        <v>0</v>
      </c>
      <c r="GK208" s="145" cm="1">
        <f t="array" ref="GK208">SUMPRODUCT(--($CR$7:$FW$7&gt;=GK$5),--($CR$7:$FW$7&lt;=GK$6),$CR208:$FW208)*GC208</f>
        <v>0</v>
      </c>
      <c r="GL208" s="145" cm="1">
        <f t="array" ref="GL208">SUMPRODUCT(--($CR$7:$FW$7&gt;=GL$5),--($CR$7:$FW$7&lt;=GL$6),$CR208:$FW208)*GD208</f>
        <v>0</v>
      </c>
      <c r="GM208" s="145" cm="1">
        <f t="array" ref="GM208">SUMPRODUCT(--($CR$7:$FW$7&gt;=GM$5),--($CR$7:$FW$7&lt;=GM$6),$CR208:$FW208)*GE208</f>
        <v>0</v>
      </c>
      <c r="GN208" s="145" cm="1">
        <f t="array" ref="GN208">SUMPRODUCT(--($CR$7:$FW$7&gt;=GN$5),--($CR$7:$FW$7&lt;=GN$6),$CR208:$FW208)*GF208</f>
        <v>0</v>
      </c>
      <c r="GO208" s="145">
        <f t="shared" si="3"/>
        <v>0</v>
      </c>
      <c r="GP208" s="87"/>
      <c r="GR208" s="145" cm="1">
        <f t="array" ref="GR208">SUMPRODUCT(--($CR$7:$FW$7&gt;=GR$5),--($CR$7:$FW$7&lt;=GR$6),$CR208:$FW208)</f>
        <v>0</v>
      </c>
    </row>
    <row r="209" spans="2:200" x14ac:dyDescent="0.2">
      <c r="B209" s="141"/>
      <c r="C209" s="141"/>
      <c r="D209" s="141"/>
      <c r="E209" s="141"/>
      <c r="F209" s="141"/>
      <c r="G209" s="141"/>
      <c r="H209" s="142"/>
      <c r="I209" s="126"/>
      <c r="J209" s="143"/>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3"/>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c r="EE209" s="145"/>
      <c r="EF209" s="145"/>
      <c r="EG209" s="145"/>
      <c r="EH209" s="145"/>
      <c r="EI209" s="145"/>
      <c r="EJ209" s="145"/>
      <c r="EK209" s="145"/>
      <c r="EL209" s="145"/>
      <c r="EM209" s="145"/>
      <c r="EN209" s="145"/>
      <c r="EO209" s="145"/>
      <c r="EP209" s="145"/>
      <c r="EQ209" s="145"/>
      <c r="ER209" s="145"/>
      <c r="ES209" s="145"/>
      <c r="ET209" s="145"/>
      <c r="EU209" s="145"/>
      <c r="EV209" s="145"/>
      <c r="EW209" s="145"/>
      <c r="EX209" s="145"/>
      <c r="EY209" s="145"/>
      <c r="EZ209" s="145"/>
      <c r="FA209" s="145"/>
      <c r="FB209" s="145"/>
      <c r="FC209" s="145"/>
      <c r="FD209" s="145"/>
      <c r="FE209" s="145"/>
      <c r="FF209" s="145"/>
      <c r="FG209" s="145"/>
      <c r="FH209" s="145"/>
      <c r="FI209" s="145"/>
      <c r="FJ209" s="145"/>
      <c r="FK209" s="145"/>
      <c r="FL209" s="145"/>
      <c r="FM209" s="145"/>
      <c r="FN209" s="145"/>
      <c r="FO209" s="145"/>
      <c r="FP209" s="145"/>
      <c r="FQ209" s="145"/>
      <c r="FR209" s="145"/>
      <c r="FS209" s="145"/>
      <c r="FT209" s="145"/>
      <c r="FU209" s="145"/>
      <c r="FV209" s="145"/>
      <c r="FW209" s="145"/>
      <c r="FX209" s="143"/>
      <c r="FY209" s="146">
        <f>_xlfn.XLOOKUP($E209,'Key assumptions'!$B$112:$B$120,'Key assumptions'!$C$112:$C$120,0)</f>
        <v>0</v>
      </c>
      <c r="FZ209" s="146" cm="1">
        <f t="array" ref="FZ209">IF($FY209=0,0,_xlfn.IFS($FY209='Key assumptions'!$C$120,_xlfn.XLOOKUP(LEFT(FZ$7,6),Inflation_Year,Inflation_NominaltoReal),TRUE,_xlfn.XLOOKUP($FY209,Inflation_Year,NominaltoReal)))</f>
        <v>0</v>
      </c>
      <c r="GA209" s="146" cm="1">
        <f t="array" ref="GA209">IF($FY209=0,0,_xlfn.IFS($FY209='Key assumptions'!$C$120,_xlfn.XLOOKUP(LEFT(GA$7,6),Inflation_Year,Inflation_NominaltoReal),TRUE,_xlfn.XLOOKUP($FY209,Inflation_Year,NominaltoReal)))</f>
        <v>0</v>
      </c>
      <c r="GB209" s="146" cm="1">
        <f t="array" ref="GB209">IF($FY209=0,0,_xlfn.IFS($FY209='Key assumptions'!$C$120,_xlfn.XLOOKUP(LEFT(GB$7,6),Inflation_Year,Inflation_NominaltoReal),TRUE,_xlfn.XLOOKUP($FY209,Inflation_Year,NominaltoReal)))</f>
        <v>0</v>
      </c>
      <c r="GC209" s="146" cm="1">
        <f t="array" ref="GC209">IF($FY209=0,0,_xlfn.IFS($FY209='Key assumptions'!$C$120,_xlfn.XLOOKUP(LEFT(GC$7,6),Inflation_Year,Inflation_NominaltoReal),TRUE,_xlfn.XLOOKUP($FY209,Inflation_Year,NominaltoReal)))</f>
        <v>0</v>
      </c>
      <c r="GD209" s="146" cm="1">
        <f t="array" ref="GD209">IF($FY209=0,0,_xlfn.IFS($FY209='Key assumptions'!$C$120,_xlfn.XLOOKUP(LEFT(GD$7,6),Inflation_Year,Inflation_NominaltoReal),TRUE,_xlfn.XLOOKUP($FY209,Inflation_Year,NominaltoReal)))</f>
        <v>0</v>
      </c>
      <c r="GE209" s="146" cm="1">
        <f t="array" ref="GE209">IF($FY209=0,0,_xlfn.IFS($FY209='Key assumptions'!$C$120,_xlfn.XLOOKUP(LEFT(GE$7,6),Inflation_Year,Inflation_NominaltoReal),TRUE,_xlfn.XLOOKUP($FY209,Inflation_Year,NominaltoReal)))</f>
        <v>0</v>
      </c>
      <c r="GF209" s="146" cm="1">
        <f t="array" ref="GF209">IF($FY209=0,0,_xlfn.IFS($FY209='Key assumptions'!$C$120,_xlfn.XLOOKUP(LEFT(GF$7,6),Inflation_Year,Inflation_NominaltoReal),TRUE,_xlfn.XLOOKUP($FY209,Inflation_Year,NominaltoReal)))</f>
        <v>0</v>
      </c>
      <c r="GG209" s="143"/>
      <c r="GH209" s="145" cm="1">
        <f t="array" ref="GH209">SUMPRODUCT(--($CR$7:$FW$7&gt;=GH$5),--($CR$7:$FW$7&lt;=GH$6),$CR209:$FW209)*FZ209</f>
        <v>0</v>
      </c>
      <c r="GI209" s="145" cm="1">
        <f t="array" ref="GI209">SUMPRODUCT(--($CR$7:$FW$7&gt;=GI$5),--($CR$7:$FW$7&lt;=GI$6),$CR209:$FW209)*GA209</f>
        <v>0</v>
      </c>
      <c r="GJ209" s="145" cm="1">
        <f t="array" ref="GJ209">SUMPRODUCT(--($CR$7:$FW$7&gt;=GJ$5),--($CR$7:$FW$7&lt;=GJ$6),$CR209:$FW209)*GB209</f>
        <v>0</v>
      </c>
      <c r="GK209" s="145" cm="1">
        <f t="array" ref="GK209">SUMPRODUCT(--($CR$7:$FW$7&gt;=GK$5),--($CR$7:$FW$7&lt;=GK$6),$CR209:$FW209)*GC209</f>
        <v>0</v>
      </c>
      <c r="GL209" s="145" cm="1">
        <f t="array" ref="GL209">SUMPRODUCT(--($CR$7:$FW$7&gt;=GL$5),--($CR$7:$FW$7&lt;=GL$6),$CR209:$FW209)*GD209</f>
        <v>0</v>
      </c>
      <c r="GM209" s="145" cm="1">
        <f t="array" ref="GM209">SUMPRODUCT(--($CR$7:$FW$7&gt;=GM$5),--($CR$7:$FW$7&lt;=GM$6),$CR209:$FW209)*GE209</f>
        <v>0</v>
      </c>
      <c r="GN209" s="145" cm="1">
        <f t="array" ref="GN209">SUMPRODUCT(--($CR$7:$FW$7&gt;=GN$5),--($CR$7:$FW$7&lt;=GN$6),$CR209:$FW209)*GF209</f>
        <v>0</v>
      </c>
      <c r="GO209" s="145">
        <f t="shared" si="3"/>
        <v>0</v>
      </c>
      <c r="GP209" s="87"/>
      <c r="GR209" s="145" cm="1">
        <f t="array" ref="GR209">SUMPRODUCT(--($CR$7:$FW$7&gt;=GR$5),--($CR$7:$FW$7&lt;=GR$6),$CR209:$FW209)</f>
        <v>0</v>
      </c>
    </row>
    <row r="210" spans="2:200" x14ac:dyDescent="0.2">
      <c r="B210" s="141"/>
      <c r="C210" s="141"/>
      <c r="D210" s="141"/>
      <c r="E210" s="141"/>
      <c r="F210" s="141"/>
      <c r="G210" s="141"/>
      <c r="H210" s="142"/>
      <c r="I210" s="126"/>
      <c r="J210" s="143"/>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3"/>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c r="EE210" s="145"/>
      <c r="EF210" s="145"/>
      <c r="EG210" s="145"/>
      <c r="EH210" s="145"/>
      <c r="EI210" s="145"/>
      <c r="EJ210" s="145"/>
      <c r="EK210" s="145"/>
      <c r="EL210" s="145"/>
      <c r="EM210" s="145"/>
      <c r="EN210" s="145"/>
      <c r="EO210" s="145"/>
      <c r="EP210" s="145"/>
      <c r="EQ210" s="145"/>
      <c r="ER210" s="145"/>
      <c r="ES210" s="145"/>
      <c r="ET210" s="145"/>
      <c r="EU210" s="145"/>
      <c r="EV210" s="145"/>
      <c r="EW210" s="145"/>
      <c r="EX210" s="145"/>
      <c r="EY210" s="145"/>
      <c r="EZ210" s="145"/>
      <c r="FA210" s="145"/>
      <c r="FB210" s="145"/>
      <c r="FC210" s="145"/>
      <c r="FD210" s="145"/>
      <c r="FE210" s="145"/>
      <c r="FF210" s="145"/>
      <c r="FG210" s="145"/>
      <c r="FH210" s="145"/>
      <c r="FI210" s="145"/>
      <c r="FJ210" s="145"/>
      <c r="FK210" s="145"/>
      <c r="FL210" s="145"/>
      <c r="FM210" s="145"/>
      <c r="FN210" s="145"/>
      <c r="FO210" s="145"/>
      <c r="FP210" s="145"/>
      <c r="FQ210" s="145"/>
      <c r="FR210" s="145"/>
      <c r="FS210" s="145"/>
      <c r="FT210" s="145"/>
      <c r="FU210" s="145"/>
      <c r="FV210" s="145"/>
      <c r="FW210" s="145"/>
      <c r="FX210" s="143"/>
      <c r="FY210" s="146">
        <f>_xlfn.XLOOKUP($E210,'Key assumptions'!$B$112:$B$120,'Key assumptions'!$C$112:$C$120,0)</f>
        <v>0</v>
      </c>
      <c r="FZ210" s="146" cm="1">
        <f t="array" ref="FZ210">IF($FY210=0,0,_xlfn.IFS($FY210='Key assumptions'!$C$120,_xlfn.XLOOKUP(LEFT(FZ$7,6),Inflation_Year,Inflation_NominaltoReal),TRUE,_xlfn.XLOOKUP($FY210,Inflation_Year,NominaltoReal)))</f>
        <v>0</v>
      </c>
      <c r="GA210" s="146" cm="1">
        <f t="array" ref="GA210">IF($FY210=0,0,_xlfn.IFS($FY210='Key assumptions'!$C$120,_xlfn.XLOOKUP(LEFT(GA$7,6),Inflation_Year,Inflation_NominaltoReal),TRUE,_xlfn.XLOOKUP($FY210,Inflation_Year,NominaltoReal)))</f>
        <v>0</v>
      </c>
      <c r="GB210" s="146" cm="1">
        <f t="array" ref="GB210">IF($FY210=0,0,_xlfn.IFS($FY210='Key assumptions'!$C$120,_xlfn.XLOOKUP(LEFT(GB$7,6),Inflation_Year,Inflation_NominaltoReal),TRUE,_xlfn.XLOOKUP($FY210,Inflation_Year,NominaltoReal)))</f>
        <v>0</v>
      </c>
      <c r="GC210" s="146" cm="1">
        <f t="array" ref="GC210">IF($FY210=0,0,_xlfn.IFS($FY210='Key assumptions'!$C$120,_xlfn.XLOOKUP(LEFT(GC$7,6),Inflation_Year,Inflation_NominaltoReal),TRUE,_xlfn.XLOOKUP($FY210,Inflation_Year,NominaltoReal)))</f>
        <v>0</v>
      </c>
      <c r="GD210" s="146" cm="1">
        <f t="array" ref="GD210">IF($FY210=0,0,_xlfn.IFS($FY210='Key assumptions'!$C$120,_xlfn.XLOOKUP(LEFT(GD$7,6),Inflation_Year,Inflation_NominaltoReal),TRUE,_xlfn.XLOOKUP($FY210,Inflation_Year,NominaltoReal)))</f>
        <v>0</v>
      </c>
      <c r="GE210" s="146" cm="1">
        <f t="array" ref="GE210">IF($FY210=0,0,_xlfn.IFS($FY210='Key assumptions'!$C$120,_xlfn.XLOOKUP(LEFT(GE$7,6),Inflation_Year,Inflation_NominaltoReal),TRUE,_xlfn.XLOOKUP($FY210,Inflation_Year,NominaltoReal)))</f>
        <v>0</v>
      </c>
      <c r="GF210" s="146" cm="1">
        <f t="array" ref="GF210">IF($FY210=0,0,_xlfn.IFS($FY210='Key assumptions'!$C$120,_xlfn.XLOOKUP(LEFT(GF$7,6),Inflation_Year,Inflation_NominaltoReal),TRUE,_xlfn.XLOOKUP($FY210,Inflation_Year,NominaltoReal)))</f>
        <v>0</v>
      </c>
      <c r="GG210" s="143"/>
      <c r="GH210" s="145" cm="1">
        <f t="array" ref="GH210">SUMPRODUCT(--($CR$7:$FW$7&gt;=GH$5),--($CR$7:$FW$7&lt;=GH$6),$CR210:$FW210)*FZ210</f>
        <v>0</v>
      </c>
      <c r="GI210" s="145" cm="1">
        <f t="array" ref="GI210">SUMPRODUCT(--($CR$7:$FW$7&gt;=GI$5),--($CR$7:$FW$7&lt;=GI$6),$CR210:$FW210)*GA210</f>
        <v>0</v>
      </c>
      <c r="GJ210" s="145" cm="1">
        <f t="array" ref="GJ210">SUMPRODUCT(--($CR$7:$FW$7&gt;=GJ$5),--($CR$7:$FW$7&lt;=GJ$6),$CR210:$FW210)*GB210</f>
        <v>0</v>
      </c>
      <c r="GK210" s="145" cm="1">
        <f t="array" ref="GK210">SUMPRODUCT(--($CR$7:$FW$7&gt;=GK$5),--($CR$7:$FW$7&lt;=GK$6),$CR210:$FW210)*GC210</f>
        <v>0</v>
      </c>
      <c r="GL210" s="145" cm="1">
        <f t="array" ref="GL210">SUMPRODUCT(--($CR$7:$FW$7&gt;=GL$5),--($CR$7:$FW$7&lt;=GL$6),$CR210:$FW210)*GD210</f>
        <v>0</v>
      </c>
      <c r="GM210" s="145" cm="1">
        <f t="array" ref="GM210">SUMPRODUCT(--($CR$7:$FW$7&gt;=GM$5),--($CR$7:$FW$7&lt;=GM$6),$CR210:$FW210)*GE210</f>
        <v>0</v>
      </c>
      <c r="GN210" s="145" cm="1">
        <f t="array" ref="GN210">SUMPRODUCT(--($CR$7:$FW$7&gt;=GN$5),--($CR$7:$FW$7&lt;=GN$6),$CR210:$FW210)*GF210</f>
        <v>0</v>
      </c>
      <c r="GO210" s="145">
        <f t="shared" si="3"/>
        <v>0</v>
      </c>
      <c r="GP210" s="87"/>
      <c r="GR210" s="145" cm="1">
        <f t="array" ref="GR210">SUMPRODUCT(--($CR$7:$FW$7&gt;=GR$5),--($CR$7:$FW$7&lt;=GR$6),$CR210:$FW210)</f>
        <v>0</v>
      </c>
    </row>
    <row r="211" spans="2:200" x14ac:dyDescent="0.2">
      <c r="B211" s="141"/>
      <c r="C211" s="141"/>
      <c r="D211" s="141"/>
      <c r="E211" s="141"/>
      <c r="F211" s="141"/>
      <c r="G211" s="141"/>
      <c r="H211" s="142"/>
      <c r="I211" s="126"/>
      <c r="J211" s="143"/>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3"/>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c r="EE211" s="145"/>
      <c r="EF211" s="145"/>
      <c r="EG211" s="145"/>
      <c r="EH211" s="145"/>
      <c r="EI211" s="145"/>
      <c r="EJ211" s="145"/>
      <c r="EK211" s="145"/>
      <c r="EL211" s="145"/>
      <c r="EM211" s="145"/>
      <c r="EN211" s="145"/>
      <c r="EO211" s="145"/>
      <c r="EP211" s="145"/>
      <c r="EQ211" s="145"/>
      <c r="ER211" s="145"/>
      <c r="ES211" s="145"/>
      <c r="ET211" s="145"/>
      <c r="EU211" s="145"/>
      <c r="EV211" s="145"/>
      <c r="EW211" s="145"/>
      <c r="EX211" s="145"/>
      <c r="EY211" s="145"/>
      <c r="EZ211" s="145"/>
      <c r="FA211" s="145"/>
      <c r="FB211" s="145"/>
      <c r="FC211" s="145"/>
      <c r="FD211" s="145"/>
      <c r="FE211" s="145"/>
      <c r="FF211" s="145"/>
      <c r="FG211" s="145"/>
      <c r="FH211" s="145"/>
      <c r="FI211" s="145"/>
      <c r="FJ211" s="145"/>
      <c r="FK211" s="145"/>
      <c r="FL211" s="145"/>
      <c r="FM211" s="145"/>
      <c r="FN211" s="145"/>
      <c r="FO211" s="145"/>
      <c r="FP211" s="145"/>
      <c r="FQ211" s="145"/>
      <c r="FR211" s="145"/>
      <c r="FS211" s="145"/>
      <c r="FT211" s="145"/>
      <c r="FU211" s="145"/>
      <c r="FV211" s="145"/>
      <c r="FW211" s="145"/>
      <c r="FX211" s="143"/>
      <c r="FY211" s="146">
        <f>_xlfn.XLOOKUP($E211,'Key assumptions'!$B$112:$B$120,'Key assumptions'!$C$112:$C$120,0)</f>
        <v>0</v>
      </c>
      <c r="FZ211" s="146" cm="1">
        <f t="array" ref="FZ211">IF($FY211=0,0,_xlfn.IFS($FY211='Key assumptions'!$C$120,_xlfn.XLOOKUP(LEFT(FZ$7,6),Inflation_Year,Inflation_NominaltoReal),TRUE,_xlfn.XLOOKUP($FY211,Inflation_Year,NominaltoReal)))</f>
        <v>0</v>
      </c>
      <c r="GA211" s="146" cm="1">
        <f t="array" ref="GA211">IF($FY211=0,0,_xlfn.IFS($FY211='Key assumptions'!$C$120,_xlfn.XLOOKUP(LEFT(GA$7,6),Inflation_Year,Inflation_NominaltoReal),TRUE,_xlfn.XLOOKUP($FY211,Inflation_Year,NominaltoReal)))</f>
        <v>0</v>
      </c>
      <c r="GB211" s="146" cm="1">
        <f t="array" ref="GB211">IF($FY211=0,0,_xlfn.IFS($FY211='Key assumptions'!$C$120,_xlfn.XLOOKUP(LEFT(GB$7,6),Inflation_Year,Inflation_NominaltoReal),TRUE,_xlfn.XLOOKUP($FY211,Inflation_Year,NominaltoReal)))</f>
        <v>0</v>
      </c>
      <c r="GC211" s="146" cm="1">
        <f t="array" ref="GC211">IF($FY211=0,0,_xlfn.IFS($FY211='Key assumptions'!$C$120,_xlfn.XLOOKUP(LEFT(GC$7,6),Inflation_Year,Inflation_NominaltoReal),TRUE,_xlfn.XLOOKUP($FY211,Inflation_Year,NominaltoReal)))</f>
        <v>0</v>
      </c>
      <c r="GD211" s="146" cm="1">
        <f t="array" ref="GD211">IF($FY211=0,0,_xlfn.IFS($FY211='Key assumptions'!$C$120,_xlfn.XLOOKUP(LEFT(GD$7,6),Inflation_Year,Inflation_NominaltoReal),TRUE,_xlfn.XLOOKUP($FY211,Inflation_Year,NominaltoReal)))</f>
        <v>0</v>
      </c>
      <c r="GE211" s="146" cm="1">
        <f t="array" ref="GE211">IF($FY211=0,0,_xlfn.IFS($FY211='Key assumptions'!$C$120,_xlfn.XLOOKUP(LEFT(GE$7,6),Inflation_Year,Inflation_NominaltoReal),TRUE,_xlfn.XLOOKUP($FY211,Inflation_Year,NominaltoReal)))</f>
        <v>0</v>
      </c>
      <c r="GF211" s="146" cm="1">
        <f t="array" ref="GF211">IF($FY211=0,0,_xlfn.IFS($FY211='Key assumptions'!$C$120,_xlfn.XLOOKUP(LEFT(GF$7,6),Inflation_Year,Inflation_NominaltoReal),TRUE,_xlfn.XLOOKUP($FY211,Inflation_Year,NominaltoReal)))</f>
        <v>0</v>
      </c>
      <c r="GG211" s="143"/>
      <c r="GH211" s="145" cm="1">
        <f t="array" ref="GH211">SUMPRODUCT(--($CR$7:$FW$7&gt;=GH$5),--($CR$7:$FW$7&lt;=GH$6),$CR211:$FW211)*FZ211</f>
        <v>0</v>
      </c>
      <c r="GI211" s="145" cm="1">
        <f t="array" ref="GI211">SUMPRODUCT(--($CR$7:$FW$7&gt;=GI$5),--($CR$7:$FW$7&lt;=GI$6),$CR211:$FW211)*GA211</f>
        <v>0</v>
      </c>
      <c r="GJ211" s="145" cm="1">
        <f t="array" ref="GJ211">SUMPRODUCT(--($CR$7:$FW$7&gt;=GJ$5),--($CR$7:$FW$7&lt;=GJ$6),$CR211:$FW211)*GB211</f>
        <v>0</v>
      </c>
      <c r="GK211" s="145" cm="1">
        <f t="array" ref="GK211">SUMPRODUCT(--($CR$7:$FW$7&gt;=GK$5),--($CR$7:$FW$7&lt;=GK$6),$CR211:$FW211)*GC211</f>
        <v>0</v>
      </c>
      <c r="GL211" s="145" cm="1">
        <f t="array" ref="GL211">SUMPRODUCT(--($CR$7:$FW$7&gt;=GL$5),--($CR$7:$FW$7&lt;=GL$6),$CR211:$FW211)*GD211</f>
        <v>0</v>
      </c>
      <c r="GM211" s="145" cm="1">
        <f t="array" ref="GM211">SUMPRODUCT(--($CR$7:$FW$7&gt;=GM$5),--($CR$7:$FW$7&lt;=GM$6),$CR211:$FW211)*GE211</f>
        <v>0</v>
      </c>
      <c r="GN211" s="145" cm="1">
        <f t="array" ref="GN211">SUMPRODUCT(--($CR$7:$FW$7&gt;=GN$5),--($CR$7:$FW$7&lt;=GN$6),$CR211:$FW211)*GF211</f>
        <v>0</v>
      </c>
      <c r="GO211" s="145">
        <f t="shared" si="3"/>
        <v>0</v>
      </c>
      <c r="GP211" s="87"/>
      <c r="GR211" s="145" cm="1">
        <f t="array" ref="GR211">SUMPRODUCT(--($CR$7:$FW$7&gt;=GR$5),--($CR$7:$FW$7&lt;=GR$6),$CR211:$FW211)</f>
        <v>0</v>
      </c>
    </row>
    <row r="212" spans="2:200" x14ac:dyDescent="0.2">
      <c r="B212" s="141"/>
      <c r="C212" s="141"/>
      <c r="D212" s="141"/>
      <c r="E212" s="141"/>
      <c r="F212" s="141"/>
      <c r="G212" s="141"/>
      <c r="H212" s="142"/>
      <c r="I212" s="126"/>
      <c r="J212" s="143"/>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3"/>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c r="EE212" s="145"/>
      <c r="EF212" s="145"/>
      <c r="EG212" s="145"/>
      <c r="EH212" s="145"/>
      <c r="EI212" s="145"/>
      <c r="EJ212" s="145"/>
      <c r="EK212" s="145"/>
      <c r="EL212" s="145"/>
      <c r="EM212" s="145"/>
      <c r="EN212" s="145"/>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45"/>
      <c r="FK212" s="145"/>
      <c r="FL212" s="145"/>
      <c r="FM212" s="145"/>
      <c r="FN212" s="145"/>
      <c r="FO212" s="145"/>
      <c r="FP212" s="145"/>
      <c r="FQ212" s="145"/>
      <c r="FR212" s="145"/>
      <c r="FS212" s="145"/>
      <c r="FT212" s="145"/>
      <c r="FU212" s="145"/>
      <c r="FV212" s="145"/>
      <c r="FW212" s="145"/>
      <c r="FX212" s="143"/>
      <c r="FY212" s="146">
        <f>_xlfn.XLOOKUP($E212,'Key assumptions'!$B$112:$B$120,'Key assumptions'!$C$112:$C$120,0)</f>
        <v>0</v>
      </c>
      <c r="FZ212" s="146" cm="1">
        <f t="array" ref="FZ212">IF($FY212=0,0,_xlfn.IFS($FY212='Key assumptions'!$C$120,_xlfn.XLOOKUP(LEFT(FZ$7,6),Inflation_Year,Inflation_NominaltoReal),TRUE,_xlfn.XLOOKUP($FY212,Inflation_Year,NominaltoReal)))</f>
        <v>0</v>
      </c>
      <c r="GA212" s="146" cm="1">
        <f t="array" ref="GA212">IF($FY212=0,0,_xlfn.IFS($FY212='Key assumptions'!$C$120,_xlfn.XLOOKUP(LEFT(GA$7,6),Inflation_Year,Inflation_NominaltoReal),TRUE,_xlfn.XLOOKUP($FY212,Inflation_Year,NominaltoReal)))</f>
        <v>0</v>
      </c>
      <c r="GB212" s="146" cm="1">
        <f t="array" ref="GB212">IF($FY212=0,0,_xlfn.IFS($FY212='Key assumptions'!$C$120,_xlfn.XLOOKUP(LEFT(GB$7,6),Inflation_Year,Inflation_NominaltoReal),TRUE,_xlfn.XLOOKUP($FY212,Inflation_Year,NominaltoReal)))</f>
        <v>0</v>
      </c>
      <c r="GC212" s="146" cm="1">
        <f t="array" ref="GC212">IF($FY212=0,0,_xlfn.IFS($FY212='Key assumptions'!$C$120,_xlfn.XLOOKUP(LEFT(GC$7,6),Inflation_Year,Inflation_NominaltoReal),TRUE,_xlfn.XLOOKUP($FY212,Inflation_Year,NominaltoReal)))</f>
        <v>0</v>
      </c>
      <c r="GD212" s="146" cm="1">
        <f t="array" ref="GD212">IF($FY212=0,0,_xlfn.IFS($FY212='Key assumptions'!$C$120,_xlfn.XLOOKUP(LEFT(GD$7,6),Inflation_Year,Inflation_NominaltoReal),TRUE,_xlfn.XLOOKUP($FY212,Inflation_Year,NominaltoReal)))</f>
        <v>0</v>
      </c>
      <c r="GE212" s="146" cm="1">
        <f t="array" ref="GE212">IF($FY212=0,0,_xlfn.IFS($FY212='Key assumptions'!$C$120,_xlfn.XLOOKUP(LEFT(GE$7,6),Inflation_Year,Inflation_NominaltoReal),TRUE,_xlfn.XLOOKUP($FY212,Inflation_Year,NominaltoReal)))</f>
        <v>0</v>
      </c>
      <c r="GF212" s="146" cm="1">
        <f t="array" ref="GF212">IF($FY212=0,0,_xlfn.IFS($FY212='Key assumptions'!$C$120,_xlfn.XLOOKUP(LEFT(GF$7,6),Inflation_Year,Inflation_NominaltoReal),TRUE,_xlfn.XLOOKUP($FY212,Inflation_Year,NominaltoReal)))</f>
        <v>0</v>
      </c>
      <c r="GG212" s="143"/>
      <c r="GH212" s="145" cm="1">
        <f t="array" ref="GH212">SUMPRODUCT(--($CR$7:$FW$7&gt;=GH$5),--($CR$7:$FW$7&lt;=GH$6),$CR212:$FW212)*FZ212</f>
        <v>0</v>
      </c>
      <c r="GI212" s="145" cm="1">
        <f t="array" ref="GI212">SUMPRODUCT(--($CR$7:$FW$7&gt;=GI$5),--($CR$7:$FW$7&lt;=GI$6),$CR212:$FW212)*GA212</f>
        <v>0</v>
      </c>
      <c r="GJ212" s="145" cm="1">
        <f t="array" ref="GJ212">SUMPRODUCT(--($CR$7:$FW$7&gt;=GJ$5),--($CR$7:$FW$7&lt;=GJ$6),$CR212:$FW212)*GB212</f>
        <v>0</v>
      </c>
      <c r="GK212" s="145" cm="1">
        <f t="array" ref="GK212">SUMPRODUCT(--($CR$7:$FW$7&gt;=GK$5),--($CR$7:$FW$7&lt;=GK$6),$CR212:$FW212)*GC212</f>
        <v>0</v>
      </c>
      <c r="GL212" s="145" cm="1">
        <f t="array" ref="GL212">SUMPRODUCT(--($CR$7:$FW$7&gt;=GL$5),--($CR$7:$FW$7&lt;=GL$6),$CR212:$FW212)*GD212</f>
        <v>0</v>
      </c>
      <c r="GM212" s="145" cm="1">
        <f t="array" ref="GM212">SUMPRODUCT(--($CR$7:$FW$7&gt;=GM$5),--($CR$7:$FW$7&lt;=GM$6),$CR212:$FW212)*GE212</f>
        <v>0</v>
      </c>
      <c r="GN212" s="145" cm="1">
        <f t="array" ref="GN212">SUMPRODUCT(--($CR$7:$FW$7&gt;=GN$5),--($CR$7:$FW$7&lt;=GN$6),$CR212:$FW212)*GF212</f>
        <v>0</v>
      </c>
      <c r="GO212" s="145">
        <f t="shared" si="3"/>
        <v>0</v>
      </c>
      <c r="GP212" s="87"/>
      <c r="GR212" s="145" cm="1">
        <f t="array" ref="GR212">SUMPRODUCT(--($CR$7:$FW$7&gt;=GR$5),--($CR$7:$FW$7&lt;=GR$6),$CR212:$FW212)</f>
        <v>0</v>
      </c>
    </row>
    <row r="213" spans="2:200" x14ac:dyDescent="0.2">
      <c r="B213" s="141"/>
      <c r="C213" s="141"/>
      <c r="D213" s="141"/>
      <c r="E213" s="141"/>
      <c r="F213" s="141"/>
      <c r="G213" s="141"/>
      <c r="H213" s="142"/>
      <c r="I213" s="126"/>
      <c r="J213" s="143"/>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3"/>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145"/>
      <c r="EH213" s="145"/>
      <c r="EI213" s="145"/>
      <c r="EJ213" s="145"/>
      <c r="EK213" s="145"/>
      <c r="EL213" s="145"/>
      <c r="EM213" s="145"/>
      <c r="EN213" s="145"/>
      <c r="EO213" s="145"/>
      <c r="EP213" s="145"/>
      <c r="EQ213" s="145"/>
      <c r="ER213" s="145"/>
      <c r="ES213" s="145"/>
      <c r="ET213" s="145"/>
      <c r="EU213" s="145"/>
      <c r="EV213" s="145"/>
      <c r="EW213" s="145"/>
      <c r="EX213" s="145"/>
      <c r="EY213" s="145"/>
      <c r="EZ213" s="145"/>
      <c r="FA213" s="145"/>
      <c r="FB213" s="145"/>
      <c r="FC213" s="145"/>
      <c r="FD213" s="145"/>
      <c r="FE213" s="145"/>
      <c r="FF213" s="145"/>
      <c r="FG213" s="145"/>
      <c r="FH213" s="145"/>
      <c r="FI213" s="145"/>
      <c r="FJ213" s="145"/>
      <c r="FK213" s="145"/>
      <c r="FL213" s="145"/>
      <c r="FM213" s="145"/>
      <c r="FN213" s="145"/>
      <c r="FO213" s="145"/>
      <c r="FP213" s="145"/>
      <c r="FQ213" s="145"/>
      <c r="FR213" s="145"/>
      <c r="FS213" s="145"/>
      <c r="FT213" s="145"/>
      <c r="FU213" s="145"/>
      <c r="FV213" s="145"/>
      <c r="FW213" s="145"/>
      <c r="FX213" s="143"/>
      <c r="FY213" s="146">
        <f>_xlfn.XLOOKUP($E213,'Key assumptions'!$B$112:$B$120,'Key assumptions'!$C$112:$C$120,0)</f>
        <v>0</v>
      </c>
      <c r="FZ213" s="146" cm="1">
        <f t="array" ref="FZ213">IF($FY213=0,0,_xlfn.IFS($FY213='Key assumptions'!$C$120,_xlfn.XLOOKUP(LEFT(FZ$7,6),Inflation_Year,Inflation_NominaltoReal),TRUE,_xlfn.XLOOKUP($FY213,Inflation_Year,NominaltoReal)))</f>
        <v>0</v>
      </c>
      <c r="GA213" s="146" cm="1">
        <f t="array" ref="GA213">IF($FY213=0,0,_xlfn.IFS($FY213='Key assumptions'!$C$120,_xlfn.XLOOKUP(LEFT(GA$7,6),Inflation_Year,Inflation_NominaltoReal),TRUE,_xlfn.XLOOKUP($FY213,Inflation_Year,NominaltoReal)))</f>
        <v>0</v>
      </c>
      <c r="GB213" s="146" cm="1">
        <f t="array" ref="GB213">IF($FY213=0,0,_xlfn.IFS($FY213='Key assumptions'!$C$120,_xlfn.XLOOKUP(LEFT(GB$7,6),Inflation_Year,Inflation_NominaltoReal),TRUE,_xlfn.XLOOKUP($FY213,Inflation_Year,NominaltoReal)))</f>
        <v>0</v>
      </c>
      <c r="GC213" s="146" cm="1">
        <f t="array" ref="GC213">IF($FY213=0,0,_xlfn.IFS($FY213='Key assumptions'!$C$120,_xlfn.XLOOKUP(LEFT(GC$7,6),Inflation_Year,Inflation_NominaltoReal),TRUE,_xlfn.XLOOKUP($FY213,Inflation_Year,NominaltoReal)))</f>
        <v>0</v>
      </c>
      <c r="GD213" s="146" cm="1">
        <f t="array" ref="GD213">IF($FY213=0,0,_xlfn.IFS($FY213='Key assumptions'!$C$120,_xlfn.XLOOKUP(LEFT(GD$7,6),Inflation_Year,Inflation_NominaltoReal),TRUE,_xlfn.XLOOKUP($FY213,Inflation_Year,NominaltoReal)))</f>
        <v>0</v>
      </c>
      <c r="GE213" s="146" cm="1">
        <f t="array" ref="GE213">IF($FY213=0,0,_xlfn.IFS($FY213='Key assumptions'!$C$120,_xlfn.XLOOKUP(LEFT(GE$7,6),Inflation_Year,Inflation_NominaltoReal),TRUE,_xlfn.XLOOKUP($FY213,Inflation_Year,NominaltoReal)))</f>
        <v>0</v>
      </c>
      <c r="GF213" s="146" cm="1">
        <f t="array" ref="GF213">IF($FY213=0,0,_xlfn.IFS($FY213='Key assumptions'!$C$120,_xlfn.XLOOKUP(LEFT(GF$7,6),Inflation_Year,Inflation_NominaltoReal),TRUE,_xlfn.XLOOKUP($FY213,Inflation_Year,NominaltoReal)))</f>
        <v>0</v>
      </c>
      <c r="GG213" s="143"/>
      <c r="GH213" s="145" cm="1">
        <f t="array" ref="GH213">SUMPRODUCT(--($CR$7:$FW$7&gt;=GH$5),--($CR$7:$FW$7&lt;=GH$6),$CR213:$FW213)*FZ213</f>
        <v>0</v>
      </c>
      <c r="GI213" s="145" cm="1">
        <f t="array" ref="GI213">SUMPRODUCT(--($CR$7:$FW$7&gt;=GI$5),--($CR$7:$FW$7&lt;=GI$6),$CR213:$FW213)*GA213</f>
        <v>0</v>
      </c>
      <c r="GJ213" s="145" cm="1">
        <f t="array" ref="GJ213">SUMPRODUCT(--($CR$7:$FW$7&gt;=GJ$5),--($CR$7:$FW$7&lt;=GJ$6),$CR213:$FW213)*GB213</f>
        <v>0</v>
      </c>
      <c r="GK213" s="145" cm="1">
        <f t="array" ref="GK213">SUMPRODUCT(--($CR$7:$FW$7&gt;=GK$5),--($CR$7:$FW$7&lt;=GK$6),$CR213:$FW213)*GC213</f>
        <v>0</v>
      </c>
      <c r="GL213" s="145" cm="1">
        <f t="array" ref="GL213">SUMPRODUCT(--($CR$7:$FW$7&gt;=GL$5),--($CR$7:$FW$7&lt;=GL$6),$CR213:$FW213)*GD213</f>
        <v>0</v>
      </c>
      <c r="GM213" s="145" cm="1">
        <f t="array" ref="GM213">SUMPRODUCT(--($CR$7:$FW$7&gt;=GM$5),--($CR$7:$FW$7&lt;=GM$6),$CR213:$FW213)*GE213</f>
        <v>0</v>
      </c>
      <c r="GN213" s="145" cm="1">
        <f t="array" ref="GN213">SUMPRODUCT(--($CR$7:$FW$7&gt;=GN$5),--($CR$7:$FW$7&lt;=GN$6),$CR213:$FW213)*GF213</f>
        <v>0</v>
      </c>
      <c r="GO213" s="145">
        <f t="shared" si="3"/>
        <v>0</v>
      </c>
      <c r="GP213" s="87"/>
      <c r="GR213" s="145" cm="1">
        <f t="array" ref="GR213">SUMPRODUCT(--($CR$7:$FW$7&gt;=GR$5),--($CR$7:$FW$7&lt;=GR$6),$CR213:$FW213)</f>
        <v>0</v>
      </c>
    </row>
    <row r="214" spans="2:200" x14ac:dyDescent="0.2">
      <c r="B214" s="141"/>
      <c r="C214" s="141"/>
      <c r="D214" s="141"/>
      <c r="E214" s="141"/>
      <c r="F214" s="141"/>
      <c r="G214" s="141"/>
      <c r="H214" s="142"/>
      <c r="I214" s="126"/>
      <c r="J214" s="143"/>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3"/>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145"/>
      <c r="EH214" s="145"/>
      <c r="EI214" s="145"/>
      <c r="EJ214" s="145"/>
      <c r="EK214" s="145"/>
      <c r="EL214" s="145"/>
      <c r="EM214" s="145"/>
      <c r="EN214" s="145"/>
      <c r="EO214" s="145"/>
      <c r="EP214" s="145"/>
      <c r="EQ214" s="145"/>
      <c r="ER214" s="145"/>
      <c r="ES214" s="145"/>
      <c r="ET214" s="145"/>
      <c r="EU214" s="145"/>
      <c r="EV214" s="145"/>
      <c r="EW214" s="145"/>
      <c r="EX214" s="145"/>
      <c r="EY214" s="145"/>
      <c r="EZ214" s="145"/>
      <c r="FA214" s="145"/>
      <c r="FB214" s="145"/>
      <c r="FC214" s="145"/>
      <c r="FD214" s="145"/>
      <c r="FE214" s="145"/>
      <c r="FF214" s="145"/>
      <c r="FG214" s="145"/>
      <c r="FH214" s="145"/>
      <c r="FI214" s="145"/>
      <c r="FJ214" s="145"/>
      <c r="FK214" s="145"/>
      <c r="FL214" s="145"/>
      <c r="FM214" s="145"/>
      <c r="FN214" s="145"/>
      <c r="FO214" s="145"/>
      <c r="FP214" s="145"/>
      <c r="FQ214" s="145"/>
      <c r="FR214" s="145"/>
      <c r="FS214" s="145"/>
      <c r="FT214" s="145"/>
      <c r="FU214" s="145"/>
      <c r="FV214" s="145"/>
      <c r="FW214" s="145"/>
      <c r="FX214" s="143"/>
      <c r="FY214" s="146">
        <f>_xlfn.XLOOKUP($E214,'Key assumptions'!$B$112:$B$120,'Key assumptions'!$C$112:$C$120,0)</f>
        <v>0</v>
      </c>
      <c r="FZ214" s="146" cm="1">
        <f t="array" ref="FZ214">IF($FY214=0,0,_xlfn.IFS($FY214='Key assumptions'!$C$120,_xlfn.XLOOKUP(LEFT(FZ$7,6),Inflation_Year,Inflation_NominaltoReal),TRUE,_xlfn.XLOOKUP($FY214,Inflation_Year,NominaltoReal)))</f>
        <v>0</v>
      </c>
      <c r="GA214" s="146" cm="1">
        <f t="array" ref="GA214">IF($FY214=0,0,_xlfn.IFS($FY214='Key assumptions'!$C$120,_xlfn.XLOOKUP(LEFT(GA$7,6),Inflation_Year,Inflation_NominaltoReal),TRUE,_xlfn.XLOOKUP($FY214,Inflation_Year,NominaltoReal)))</f>
        <v>0</v>
      </c>
      <c r="GB214" s="146" cm="1">
        <f t="array" ref="GB214">IF($FY214=0,0,_xlfn.IFS($FY214='Key assumptions'!$C$120,_xlfn.XLOOKUP(LEFT(GB$7,6),Inflation_Year,Inflation_NominaltoReal),TRUE,_xlfn.XLOOKUP($FY214,Inflation_Year,NominaltoReal)))</f>
        <v>0</v>
      </c>
      <c r="GC214" s="146" cm="1">
        <f t="array" ref="GC214">IF($FY214=0,0,_xlfn.IFS($FY214='Key assumptions'!$C$120,_xlfn.XLOOKUP(LEFT(GC$7,6),Inflation_Year,Inflation_NominaltoReal),TRUE,_xlfn.XLOOKUP($FY214,Inflation_Year,NominaltoReal)))</f>
        <v>0</v>
      </c>
      <c r="GD214" s="146" cm="1">
        <f t="array" ref="GD214">IF($FY214=0,0,_xlfn.IFS($FY214='Key assumptions'!$C$120,_xlfn.XLOOKUP(LEFT(GD$7,6),Inflation_Year,Inflation_NominaltoReal),TRUE,_xlfn.XLOOKUP($FY214,Inflation_Year,NominaltoReal)))</f>
        <v>0</v>
      </c>
      <c r="GE214" s="146" cm="1">
        <f t="array" ref="GE214">IF($FY214=0,0,_xlfn.IFS($FY214='Key assumptions'!$C$120,_xlfn.XLOOKUP(LEFT(GE$7,6),Inflation_Year,Inflation_NominaltoReal),TRUE,_xlfn.XLOOKUP($FY214,Inflation_Year,NominaltoReal)))</f>
        <v>0</v>
      </c>
      <c r="GF214" s="146" cm="1">
        <f t="array" ref="GF214">IF($FY214=0,0,_xlfn.IFS($FY214='Key assumptions'!$C$120,_xlfn.XLOOKUP(LEFT(GF$7,6),Inflation_Year,Inflation_NominaltoReal),TRUE,_xlfn.XLOOKUP($FY214,Inflation_Year,NominaltoReal)))</f>
        <v>0</v>
      </c>
      <c r="GG214" s="143"/>
      <c r="GH214" s="145" cm="1">
        <f t="array" ref="GH214">SUMPRODUCT(--($CR$7:$FW$7&gt;=GH$5),--($CR$7:$FW$7&lt;=GH$6),$CR214:$FW214)*FZ214</f>
        <v>0</v>
      </c>
      <c r="GI214" s="145" cm="1">
        <f t="array" ref="GI214">SUMPRODUCT(--($CR$7:$FW$7&gt;=GI$5),--($CR$7:$FW$7&lt;=GI$6),$CR214:$FW214)*GA214</f>
        <v>0</v>
      </c>
      <c r="GJ214" s="145" cm="1">
        <f t="array" ref="GJ214">SUMPRODUCT(--($CR$7:$FW$7&gt;=GJ$5),--($CR$7:$FW$7&lt;=GJ$6),$CR214:$FW214)*GB214</f>
        <v>0</v>
      </c>
      <c r="GK214" s="145" cm="1">
        <f t="array" ref="GK214">SUMPRODUCT(--($CR$7:$FW$7&gt;=GK$5),--($CR$7:$FW$7&lt;=GK$6),$CR214:$FW214)*GC214</f>
        <v>0</v>
      </c>
      <c r="GL214" s="145" cm="1">
        <f t="array" ref="GL214">SUMPRODUCT(--($CR$7:$FW$7&gt;=GL$5),--($CR$7:$FW$7&lt;=GL$6),$CR214:$FW214)*GD214</f>
        <v>0</v>
      </c>
      <c r="GM214" s="145" cm="1">
        <f t="array" ref="GM214">SUMPRODUCT(--($CR$7:$FW$7&gt;=GM$5),--($CR$7:$FW$7&lt;=GM$6),$CR214:$FW214)*GE214</f>
        <v>0</v>
      </c>
      <c r="GN214" s="145" cm="1">
        <f t="array" ref="GN214">SUMPRODUCT(--($CR$7:$FW$7&gt;=GN$5),--($CR$7:$FW$7&lt;=GN$6),$CR214:$FW214)*GF214</f>
        <v>0</v>
      </c>
      <c r="GO214" s="145">
        <f t="shared" si="3"/>
        <v>0</v>
      </c>
      <c r="GP214" s="87"/>
      <c r="GR214" s="145" cm="1">
        <f t="array" ref="GR214">SUMPRODUCT(--($CR$7:$FW$7&gt;=GR$5),--($CR$7:$FW$7&lt;=GR$6),$CR214:$FW214)</f>
        <v>0</v>
      </c>
    </row>
    <row r="215" spans="2:200" x14ac:dyDescent="0.2">
      <c r="B215" s="141"/>
      <c r="C215" s="141"/>
      <c r="D215" s="141"/>
      <c r="E215" s="141"/>
      <c r="F215" s="141"/>
      <c r="G215" s="141"/>
      <c r="H215" s="142"/>
      <c r="I215" s="126"/>
      <c r="J215" s="143"/>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3"/>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c r="EE215" s="145"/>
      <c r="EF215" s="145"/>
      <c r="EG215" s="145"/>
      <c r="EH215" s="145"/>
      <c r="EI215" s="145"/>
      <c r="EJ215" s="145"/>
      <c r="EK215" s="145"/>
      <c r="EL215" s="145"/>
      <c r="EM215" s="145"/>
      <c r="EN215" s="145"/>
      <c r="EO215" s="145"/>
      <c r="EP215" s="145"/>
      <c r="EQ215" s="145"/>
      <c r="ER215" s="145"/>
      <c r="ES215" s="145"/>
      <c r="ET215" s="145"/>
      <c r="EU215" s="145"/>
      <c r="EV215" s="145"/>
      <c r="EW215" s="145"/>
      <c r="EX215" s="145"/>
      <c r="EY215" s="145"/>
      <c r="EZ215" s="145"/>
      <c r="FA215" s="145"/>
      <c r="FB215" s="145"/>
      <c r="FC215" s="145"/>
      <c r="FD215" s="145"/>
      <c r="FE215" s="145"/>
      <c r="FF215" s="145"/>
      <c r="FG215" s="145"/>
      <c r="FH215" s="145"/>
      <c r="FI215" s="145"/>
      <c r="FJ215" s="145"/>
      <c r="FK215" s="145"/>
      <c r="FL215" s="145"/>
      <c r="FM215" s="145"/>
      <c r="FN215" s="145"/>
      <c r="FO215" s="145"/>
      <c r="FP215" s="145"/>
      <c r="FQ215" s="145"/>
      <c r="FR215" s="145"/>
      <c r="FS215" s="145"/>
      <c r="FT215" s="145"/>
      <c r="FU215" s="145"/>
      <c r="FV215" s="145"/>
      <c r="FW215" s="145"/>
      <c r="FX215" s="143"/>
      <c r="FY215" s="146">
        <f>_xlfn.XLOOKUP($E215,'Key assumptions'!$B$112:$B$120,'Key assumptions'!$C$112:$C$120,0)</f>
        <v>0</v>
      </c>
      <c r="FZ215" s="146" cm="1">
        <f t="array" ref="FZ215">IF($FY215=0,0,_xlfn.IFS($FY215='Key assumptions'!$C$120,_xlfn.XLOOKUP(LEFT(FZ$7,6),Inflation_Year,Inflation_NominaltoReal),TRUE,_xlfn.XLOOKUP($FY215,Inflation_Year,NominaltoReal)))</f>
        <v>0</v>
      </c>
      <c r="GA215" s="146" cm="1">
        <f t="array" ref="GA215">IF($FY215=0,0,_xlfn.IFS($FY215='Key assumptions'!$C$120,_xlfn.XLOOKUP(LEFT(GA$7,6),Inflation_Year,Inflation_NominaltoReal),TRUE,_xlfn.XLOOKUP($FY215,Inflation_Year,NominaltoReal)))</f>
        <v>0</v>
      </c>
      <c r="GB215" s="146" cm="1">
        <f t="array" ref="GB215">IF($FY215=0,0,_xlfn.IFS($FY215='Key assumptions'!$C$120,_xlfn.XLOOKUP(LEFT(GB$7,6),Inflation_Year,Inflation_NominaltoReal),TRUE,_xlfn.XLOOKUP($FY215,Inflation_Year,NominaltoReal)))</f>
        <v>0</v>
      </c>
      <c r="GC215" s="146" cm="1">
        <f t="array" ref="GC215">IF($FY215=0,0,_xlfn.IFS($FY215='Key assumptions'!$C$120,_xlfn.XLOOKUP(LEFT(GC$7,6),Inflation_Year,Inflation_NominaltoReal),TRUE,_xlfn.XLOOKUP($FY215,Inflation_Year,NominaltoReal)))</f>
        <v>0</v>
      </c>
      <c r="GD215" s="146" cm="1">
        <f t="array" ref="GD215">IF($FY215=0,0,_xlfn.IFS($FY215='Key assumptions'!$C$120,_xlfn.XLOOKUP(LEFT(GD$7,6),Inflation_Year,Inflation_NominaltoReal),TRUE,_xlfn.XLOOKUP($FY215,Inflation_Year,NominaltoReal)))</f>
        <v>0</v>
      </c>
      <c r="GE215" s="146" cm="1">
        <f t="array" ref="GE215">IF($FY215=0,0,_xlfn.IFS($FY215='Key assumptions'!$C$120,_xlfn.XLOOKUP(LEFT(GE$7,6),Inflation_Year,Inflation_NominaltoReal),TRUE,_xlfn.XLOOKUP($FY215,Inflation_Year,NominaltoReal)))</f>
        <v>0</v>
      </c>
      <c r="GF215" s="146" cm="1">
        <f t="array" ref="GF215">IF($FY215=0,0,_xlfn.IFS($FY215='Key assumptions'!$C$120,_xlfn.XLOOKUP(LEFT(GF$7,6),Inflation_Year,Inflation_NominaltoReal),TRUE,_xlfn.XLOOKUP($FY215,Inflation_Year,NominaltoReal)))</f>
        <v>0</v>
      </c>
      <c r="GG215" s="143"/>
      <c r="GH215" s="145" cm="1">
        <f t="array" ref="GH215">SUMPRODUCT(--($CR$7:$FW$7&gt;=GH$5),--($CR$7:$FW$7&lt;=GH$6),$CR215:$FW215)*FZ215</f>
        <v>0</v>
      </c>
      <c r="GI215" s="145" cm="1">
        <f t="array" ref="GI215">SUMPRODUCT(--($CR$7:$FW$7&gt;=GI$5),--($CR$7:$FW$7&lt;=GI$6),$CR215:$FW215)*GA215</f>
        <v>0</v>
      </c>
      <c r="GJ215" s="145" cm="1">
        <f t="array" ref="GJ215">SUMPRODUCT(--($CR$7:$FW$7&gt;=GJ$5),--($CR$7:$FW$7&lt;=GJ$6),$CR215:$FW215)*GB215</f>
        <v>0</v>
      </c>
      <c r="GK215" s="145" cm="1">
        <f t="array" ref="GK215">SUMPRODUCT(--($CR$7:$FW$7&gt;=GK$5),--($CR$7:$FW$7&lt;=GK$6),$CR215:$FW215)*GC215</f>
        <v>0</v>
      </c>
      <c r="GL215" s="145" cm="1">
        <f t="array" ref="GL215">SUMPRODUCT(--($CR$7:$FW$7&gt;=GL$5),--($CR$7:$FW$7&lt;=GL$6),$CR215:$FW215)*GD215</f>
        <v>0</v>
      </c>
      <c r="GM215" s="145" cm="1">
        <f t="array" ref="GM215">SUMPRODUCT(--($CR$7:$FW$7&gt;=GM$5),--($CR$7:$FW$7&lt;=GM$6),$CR215:$FW215)*GE215</f>
        <v>0</v>
      </c>
      <c r="GN215" s="145" cm="1">
        <f t="array" ref="GN215">SUMPRODUCT(--($CR$7:$FW$7&gt;=GN$5),--($CR$7:$FW$7&lt;=GN$6),$CR215:$FW215)*GF215</f>
        <v>0</v>
      </c>
      <c r="GO215" s="145">
        <f t="shared" si="3"/>
        <v>0</v>
      </c>
      <c r="GP215" s="87"/>
      <c r="GR215" s="145" cm="1">
        <f t="array" ref="GR215">SUMPRODUCT(--($CR$7:$FW$7&gt;=GR$5),--($CR$7:$FW$7&lt;=GR$6),$CR215:$FW215)</f>
        <v>0</v>
      </c>
    </row>
    <row r="216" spans="2:200" x14ac:dyDescent="0.2">
      <c r="B216" s="141"/>
      <c r="C216" s="141"/>
      <c r="D216" s="141"/>
      <c r="E216" s="141"/>
      <c r="F216" s="141"/>
      <c r="G216" s="141"/>
      <c r="H216" s="142"/>
      <c r="I216" s="126"/>
      <c r="J216" s="143"/>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3"/>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c r="EE216" s="145"/>
      <c r="EF216" s="145"/>
      <c r="EG216" s="145"/>
      <c r="EH216" s="145"/>
      <c r="EI216" s="145"/>
      <c r="EJ216" s="145"/>
      <c r="EK216" s="145"/>
      <c r="EL216" s="145"/>
      <c r="EM216" s="145"/>
      <c r="EN216" s="145"/>
      <c r="EO216" s="145"/>
      <c r="EP216" s="145"/>
      <c r="EQ216" s="145"/>
      <c r="ER216" s="145"/>
      <c r="ES216" s="145"/>
      <c r="ET216" s="145"/>
      <c r="EU216" s="145"/>
      <c r="EV216" s="145"/>
      <c r="EW216" s="145"/>
      <c r="EX216" s="145"/>
      <c r="EY216" s="145"/>
      <c r="EZ216" s="145"/>
      <c r="FA216" s="145"/>
      <c r="FB216" s="145"/>
      <c r="FC216" s="145"/>
      <c r="FD216" s="145"/>
      <c r="FE216" s="145"/>
      <c r="FF216" s="145"/>
      <c r="FG216" s="145"/>
      <c r="FH216" s="145"/>
      <c r="FI216" s="145"/>
      <c r="FJ216" s="145"/>
      <c r="FK216" s="145"/>
      <c r="FL216" s="145"/>
      <c r="FM216" s="145"/>
      <c r="FN216" s="145"/>
      <c r="FO216" s="145"/>
      <c r="FP216" s="145"/>
      <c r="FQ216" s="145"/>
      <c r="FR216" s="145"/>
      <c r="FS216" s="145"/>
      <c r="FT216" s="145"/>
      <c r="FU216" s="145"/>
      <c r="FV216" s="145"/>
      <c r="FW216" s="145"/>
      <c r="FX216" s="143"/>
      <c r="FY216" s="146">
        <f>_xlfn.XLOOKUP($E216,'Key assumptions'!$B$112:$B$120,'Key assumptions'!$C$112:$C$120,0)</f>
        <v>0</v>
      </c>
      <c r="FZ216" s="146" cm="1">
        <f t="array" ref="FZ216">IF($FY216=0,0,_xlfn.IFS($FY216='Key assumptions'!$C$120,_xlfn.XLOOKUP(LEFT(FZ$7,6),Inflation_Year,Inflation_NominaltoReal),TRUE,_xlfn.XLOOKUP($FY216,Inflation_Year,NominaltoReal)))</f>
        <v>0</v>
      </c>
      <c r="GA216" s="146" cm="1">
        <f t="array" ref="GA216">IF($FY216=0,0,_xlfn.IFS($FY216='Key assumptions'!$C$120,_xlfn.XLOOKUP(LEFT(GA$7,6),Inflation_Year,Inflation_NominaltoReal),TRUE,_xlfn.XLOOKUP($FY216,Inflation_Year,NominaltoReal)))</f>
        <v>0</v>
      </c>
      <c r="GB216" s="146" cm="1">
        <f t="array" ref="GB216">IF($FY216=0,0,_xlfn.IFS($FY216='Key assumptions'!$C$120,_xlfn.XLOOKUP(LEFT(GB$7,6),Inflation_Year,Inflation_NominaltoReal),TRUE,_xlfn.XLOOKUP($FY216,Inflation_Year,NominaltoReal)))</f>
        <v>0</v>
      </c>
      <c r="GC216" s="146" cm="1">
        <f t="array" ref="GC216">IF($FY216=0,0,_xlfn.IFS($FY216='Key assumptions'!$C$120,_xlfn.XLOOKUP(LEFT(GC$7,6),Inflation_Year,Inflation_NominaltoReal),TRUE,_xlfn.XLOOKUP($FY216,Inflation_Year,NominaltoReal)))</f>
        <v>0</v>
      </c>
      <c r="GD216" s="146" cm="1">
        <f t="array" ref="GD216">IF($FY216=0,0,_xlfn.IFS($FY216='Key assumptions'!$C$120,_xlfn.XLOOKUP(LEFT(GD$7,6),Inflation_Year,Inflation_NominaltoReal),TRUE,_xlfn.XLOOKUP($FY216,Inflation_Year,NominaltoReal)))</f>
        <v>0</v>
      </c>
      <c r="GE216" s="146" cm="1">
        <f t="array" ref="GE216">IF($FY216=0,0,_xlfn.IFS($FY216='Key assumptions'!$C$120,_xlfn.XLOOKUP(LEFT(GE$7,6),Inflation_Year,Inflation_NominaltoReal),TRUE,_xlfn.XLOOKUP($FY216,Inflation_Year,NominaltoReal)))</f>
        <v>0</v>
      </c>
      <c r="GF216" s="146" cm="1">
        <f t="array" ref="GF216">IF($FY216=0,0,_xlfn.IFS($FY216='Key assumptions'!$C$120,_xlfn.XLOOKUP(LEFT(GF$7,6),Inflation_Year,Inflation_NominaltoReal),TRUE,_xlfn.XLOOKUP($FY216,Inflation_Year,NominaltoReal)))</f>
        <v>0</v>
      </c>
      <c r="GG216" s="143"/>
      <c r="GH216" s="145" cm="1">
        <f t="array" ref="GH216">SUMPRODUCT(--($CR$7:$FW$7&gt;=GH$5),--($CR$7:$FW$7&lt;=GH$6),$CR216:$FW216)*FZ216</f>
        <v>0</v>
      </c>
      <c r="GI216" s="145" cm="1">
        <f t="array" ref="GI216">SUMPRODUCT(--($CR$7:$FW$7&gt;=GI$5),--($CR$7:$FW$7&lt;=GI$6),$CR216:$FW216)*GA216</f>
        <v>0</v>
      </c>
      <c r="GJ216" s="145" cm="1">
        <f t="array" ref="GJ216">SUMPRODUCT(--($CR$7:$FW$7&gt;=GJ$5),--($CR$7:$FW$7&lt;=GJ$6),$CR216:$FW216)*GB216</f>
        <v>0</v>
      </c>
      <c r="GK216" s="145" cm="1">
        <f t="array" ref="GK216">SUMPRODUCT(--($CR$7:$FW$7&gt;=GK$5),--($CR$7:$FW$7&lt;=GK$6),$CR216:$FW216)*GC216</f>
        <v>0</v>
      </c>
      <c r="GL216" s="145" cm="1">
        <f t="array" ref="GL216">SUMPRODUCT(--($CR$7:$FW$7&gt;=GL$5),--($CR$7:$FW$7&lt;=GL$6),$CR216:$FW216)*GD216</f>
        <v>0</v>
      </c>
      <c r="GM216" s="145" cm="1">
        <f t="array" ref="GM216">SUMPRODUCT(--($CR$7:$FW$7&gt;=GM$5),--($CR$7:$FW$7&lt;=GM$6),$CR216:$FW216)*GE216</f>
        <v>0</v>
      </c>
      <c r="GN216" s="145" cm="1">
        <f t="array" ref="GN216">SUMPRODUCT(--($CR$7:$FW$7&gt;=GN$5),--($CR$7:$FW$7&lt;=GN$6),$CR216:$FW216)*GF216</f>
        <v>0</v>
      </c>
      <c r="GO216" s="145">
        <f t="shared" si="3"/>
        <v>0</v>
      </c>
      <c r="GP216" s="87"/>
      <c r="GR216" s="145" cm="1">
        <f t="array" ref="GR216">SUMPRODUCT(--($CR$7:$FW$7&gt;=GR$5),--($CR$7:$FW$7&lt;=GR$6),$CR216:$FW216)</f>
        <v>0</v>
      </c>
    </row>
    <row r="217" spans="2:200" x14ac:dyDescent="0.2">
      <c r="B217" s="141"/>
      <c r="C217" s="141"/>
      <c r="D217" s="141"/>
      <c r="E217" s="141"/>
      <c r="F217" s="141"/>
      <c r="G217" s="141"/>
      <c r="H217" s="142"/>
      <c r="I217" s="126"/>
      <c r="J217" s="143"/>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3"/>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c r="EE217" s="145"/>
      <c r="EF217" s="145"/>
      <c r="EG217" s="145"/>
      <c r="EH217" s="145"/>
      <c r="EI217" s="145"/>
      <c r="EJ217" s="145"/>
      <c r="EK217" s="145"/>
      <c r="EL217" s="145"/>
      <c r="EM217" s="145"/>
      <c r="EN217" s="145"/>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45"/>
      <c r="FK217" s="145"/>
      <c r="FL217" s="145"/>
      <c r="FM217" s="145"/>
      <c r="FN217" s="145"/>
      <c r="FO217" s="145"/>
      <c r="FP217" s="145"/>
      <c r="FQ217" s="145"/>
      <c r="FR217" s="145"/>
      <c r="FS217" s="145"/>
      <c r="FT217" s="145"/>
      <c r="FU217" s="145"/>
      <c r="FV217" s="145"/>
      <c r="FW217" s="145"/>
      <c r="FX217" s="143"/>
      <c r="FY217" s="146">
        <f>_xlfn.XLOOKUP($E217,'Key assumptions'!$B$112:$B$120,'Key assumptions'!$C$112:$C$120,0)</f>
        <v>0</v>
      </c>
      <c r="FZ217" s="146" cm="1">
        <f t="array" ref="FZ217">IF($FY217=0,0,_xlfn.IFS($FY217='Key assumptions'!$C$120,_xlfn.XLOOKUP(LEFT(FZ$7,6),Inflation_Year,Inflation_NominaltoReal),TRUE,_xlfn.XLOOKUP($FY217,Inflation_Year,NominaltoReal)))</f>
        <v>0</v>
      </c>
      <c r="GA217" s="146" cm="1">
        <f t="array" ref="GA217">IF($FY217=0,0,_xlfn.IFS($FY217='Key assumptions'!$C$120,_xlfn.XLOOKUP(LEFT(GA$7,6),Inflation_Year,Inflation_NominaltoReal),TRUE,_xlfn.XLOOKUP($FY217,Inflation_Year,NominaltoReal)))</f>
        <v>0</v>
      </c>
      <c r="GB217" s="146" cm="1">
        <f t="array" ref="GB217">IF($FY217=0,0,_xlfn.IFS($FY217='Key assumptions'!$C$120,_xlfn.XLOOKUP(LEFT(GB$7,6),Inflation_Year,Inflation_NominaltoReal),TRUE,_xlfn.XLOOKUP($FY217,Inflation_Year,NominaltoReal)))</f>
        <v>0</v>
      </c>
      <c r="GC217" s="146" cm="1">
        <f t="array" ref="GC217">IF($FY217=0,0,_xlfn.IFS($FY217='Key assumptions'!$C$120,_xlfn.XLOOKUP(LEFT(GC$7,6),Inflation_Year,Inflation_NominaltoReal),TRUE,_xlfn.XLOOKUP($FY217,Inflation_Year,NominaltoReal)))</f>
        <v>0</v>
      </c>
      <c r="GD217" s="146" cm="1">
        <f t="array" ref="GD217">IF($FY217=0,0,_xlfn.IFS($FY217='Key assumptions'!$C$120,_xlfn.XLOOKUP(LEFT(GD$7,6),Inflation_Year,Inflation_NominaltoReal),TRUE,_xlfn.XLOOKUP($FY217,Inflation_Year,NominaltoReal)))</f>
        <v>0</v>
      </c>
      <c r="GE217" s="146" cm="1">
        <f t="array" ref="GE217">IF($FY217=0,0,_xlfn.IFS($FY217='Key assumptions'!$C$120,_xlfn.XLOOKUP(LEFT(GE$7,6),Inflation_Year,Inflation_NominaltoReal),TRUE,_xlfn.XLOOKUP($FY217,Inflation_Year,NominaltoReal)))</f>
        <v>0</v>
      </c>
      <c r="GF217" s="146" cm="1">
        <f t="array" ref="GF217">IF($FY217=0,0,_xlfn.IFS($FY217='Key assumptions'!$C$120,_xlfn.XLOOKUP(LEFT(GF$7,6),Inflation_Year,Inflation_NominaltoReal),TRUE,_xlfn.XLOOKUP($FY217,Inflation_Year,NominaltoReal)))</f>
        <v>0</v>
      </c>
      <c r="GG217" s="143"/>
      <c r="GH217" s="145" cm="1">
        <f t="array" ref="GH217">SUMPRODUCT(--($CR$7:$FW$7&gt;=GH$5),--($CR$7:$FW$7&lt;=GH$6),$CR217:$FW217)*FZ217</f>
        <v>0</v>
      </c>
      <c r="GI217" s="145" cm="1">
        <f t="array" ref="GI217">SUMPRODUCT(--($CR$7:$FW$7&gt;=GI$5),--($CR$7:$FW$7&lt;=GI$6),$CR217:$FW217)*GA217</f>
        <v>0</v>
      </c>
      <c r="GJ217" s="145" cm="1">
        <f t="array" ref="GJ217">SUMPRODUCT(--($CR$7:$FW$7&gt;=GJ$5),--($CR$7:$FW$7&lt;=GJ$6),$CR217:$FW217)*GB217</f>
        <v>0</v>
      </c>
      <c r="GK217" s="145" cm="1">
        <f t="array" ref="GK217">SUMPRODUCT(--($CR$7:$FW$7&gt;=GK$5),--($CR$7:$FW$7&lt;=GK$6),$CR217:$FW217)*GC217</f>
        <v>0</v>
      </c>
      <c r="GL217" s="145" cm="1">
        <f t="array" ref="GL217">SUMPRODUCT(--($CR$7:$FW$7&gt;=GL$5),--($CR$7:$FW$7&lt;=GL$6),$CR217:$FW217)*GD217</f>
        <v>0</v>
      </c>
      <c r="GM217" s="145" cm="1">
        <f t="array" ref="GM217">SUMPRODUCT(--($CR$7:$FW$7&gt;=GM$5),--($CR$7:$FW$7&lt;=GM$6),$CR217:$FW217)*GE217</f>
        <v>0</v>
      </c>
      <c r="GN217" s="145" cm="1">
        <f t="array" ref="GN217">SUMPRODUCT(--($CR$7:$FW$7&gt;=GN$5),--($CR$7:$FW$7&lt;=GN$6),$CR217:$FW217)*GF217</f>
        <v>0</v>
      </c>
      <c r="GO217" s="145">
        <f t="shared" si="3"/>
        <v>0</v>
      </c>
      <c r="GP217" s="87"/>
      <c r="GR217" s="145" cm="1">
        <f t="array" ref="GR217">SUMPRODUCT(--($CR$7:$FW$7&gt;=GR$5),--($CR$7:$FW$7&lt;=GR$6),$CR217:$FW217)</f>
        <v>0</v>
      </c>
    </row>
    <row r="218" spans="2:200" x14ac:dyDescent="0.2">
      <c r="B218" s="141"/>
      <c r="C218" s="141"/>
      <c r="D218" s="141"/>
      <c r="E218" s="141"/>
      <c r="F218" s="141"/>
      <c r="G218" s="141"/>
      <c r="H218" s="142"/>
      <c r="I218" s="126"/>
      <c r="J218" s="143"/>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3"/>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c r="EE218" s="145"/>
      <c r="EF218" s="145"/>
      <c r="EG218" s="145"/>
      <c r="EH218" s="145"/>
      <c r="EI218" s="145"/>
      <c r="EJ218" s="145"/>
      <c r="EK218" s="145"/>
      <c r="EL218" s="145"/>
      <c r="EM218" s="145"/>
      <c r="EN218" s="145"/>
      <c r="EO218" s="145"/>
      <c r="EP218" s="145"/>
      <c r="EQ218" s="145"/>
      <c r="ER218" s="145"/>
      <c r="ES218" s="145"/>
      <c r="ET218" s="145"/>
      <c r="EU218" s="145"/>
      <c r="EV218" s="145"/>
      <c r="EW218" s="145"/>
      <c r="EX218" s="145"/>
      <c r="EY218" s="145"/>
      <c r="EZ218" s="145"/>
      <c r="FA218" s="145"/>
      <c r="FB218" s="145"/>
      <c r="FC218" s="145"/>
      <c r="FD218" s="145"/>
      <c r="FE218" s="145"/>
      <c r="FF218" s="145"/>
      <c r="FG218" s="145"/>
      <c r="FH218" s="145"/>
      <c r="FI218" s="145"/>
      <c r="FJ218" s="145"/>
      <c r="FK218" s="145"/>
      <c r="FL218" s="145"/>
      <c r="FM218" s="145"/>
      <c r="FN218" s="145"/>
      <c r="FO218" s="145"/>
      <c r="FP218" s="145"/>
      <c r="FQ218" s="145"/>
      <c r="FR218" s="145"/>
      <c r="FS218" s="145"/>
      <c r="FT218" s="145"/>
      <c r="FU218" s="145"/>
      <c r="FV218" s="145"/>
      <c r="FW218" s="145"/>
      <c r="FX218" s="143"/>
      <c r="FY218" s="146">
        <f>_xlfn.XLOOKUP($E218,'Key assumptions'!$B$112:$B$120,'Key assumptions'!$C$112:$C$120,0)</f>
        <v>0</v>
      </c>
      <c r="FZ218" s="146" cm="1">
        <f t="array" ref="FZ218">IF($FY218=0,0,_xlfn.IFS($FY218='Key assumptions'!$C$120,_xlfn.XLOOKUP(LEFT(FZ$7,6),Inflation_Year,Inflation_NominaltoReal),TRUE,_xlfn.XLOOKUP($FY218,Inflation_Year,NominaltoReal)))</f>
        <v>0</v>
      </c>
      <c r="GA218" s="146" cm="1">
        <f t="array" ref="GA218">IF($FY218=0,0,_xlfn.IFS($FY218='Key assumptions'!$C$120,_xlfn.XLOOKUP(LEFT(GA$7,6),Inflation_Year,Inflation_NominaltoReal),TRUE,_xlfn.XLOOKUP($FY218,Inflation_Year,NominaltoReal)))</f>
        <v>0</v>
      </c>
      <c r="GB218" s="146" cm="1">
        <f t="array" ref="GB218">IF($FY218=0,0,_xlfn.IFS($FY218='Key assumptions'!$C$120,_xlfn.XLOOKUP(LEFT(GB$7,6),Inflation_Year,Inflation_NominaltoReal),TRUE,_xlfn.XLOOKUP($FY218,Inflation_Year,NominaltoReal)))</f>
        <v>0</v>
      </c>
      <c r="GC218" s="146" cm="1">
        <f t="array" ref="GC218">IF($FY218=0,0,_xlfn.IFS($FY218='Key assumptions'!$C$120,_xlfn.XLOOKUP(LEFT(GC$7,6),Inflation_Year,Inflation_NominaltoReal),TRUE,_xlfn.XLOOKUP($FY218,Inflation_Year,NominaltoReal)))</f>
        <v>0</v>
      </c>
      <c r="GD218" s="146" cm="1">
        <f t="array" ref="GD218">IF($FY218=0,0,_xlfn.IFS($FY218='Key assumptions'!$C$120,_xlfn.XLOOKUP(LEFT(GD$7,6),Inflation_Year,Inflation_NominaltoReal),TRUE,_xlfn.XLOOKUP($FY218,Inflation_Year,NominaltoReal)))</f>
        <v>0</v>
      </c>
      <c r="GE218" s="146" cm="1">
        <f t="array" ref="GE218">IF($FY218=0,0,_xlfn.IFS($FY218='Key assumptions'!$C$120,_xlfn.XLOOKUP(LEFT(GE$7,6),Inflation_Year,Inflation_NominaltoReal),TRUE,_xlfn.XLOOKUP($FY218,Inflation_Year,NominaltoReal)))</f>
        <v>0</v>
      </c>
      <c r="GF218" s="146" cm="1">
        <f t="array" ref="GF218">IF($FY218=0,0,_xlfn.IFS($FY218='Key assumptions'!$C$120,_xlfn.XLOOKUP(LEFT(GF$7,6),Inflation_Year,Inflation_NominaltoReal),TRUE,_xlfn.XLOOKUP($FY218,Inflation_Year,NominaltoReal)))</f>
        <v>0</v>
      </c>
      <c r="GG218" s="143"/>
      <c r="GH218" s="145" cm="1">
        <f t="array" ref="GH218">SUMPRODUCT(--($CR$7:$FW$7&gt;=GH$5),--($CR$7:$FW$7&lt;=GH$6),$CR218:$FW218)*FZ218</f>
        <v>0</v>
      </c>
      <c r="GI218" s="145" cm="1">
        <f t="array" ref="GI218">SUMPRODUCT(--($CR$7:$FW$7&gt;=GI$5),--($CR$7:$FW$7&lt;=GI$6),$CR218:$FW218)*GA218</f>
        <v>0</v>
      </c>
      <c r="GJ218" s="145" cm="1">
        <f t="array" ref="GJ218">SUMPRODUCT(--($CR$7:$FW$7&gt;=GJ$5),--($CR$7:$FW$7&lt;=GJ$6),$CR218:$FW218)*GB218</f>
        <v>0</v>
      </c>
      <c r="GK218" s="145" cm="1">
        <f t="array" ref="GK218">SUMPRODUCT(--($CR$7:$FW$7&gt;=GK$5),--($CR$7:$FW$7&lt;=GK$6),$CR218:$FW218)*GC218</f>
        <v>0</v>
      </c>
      <c r="GL218" s="145" cm="1">
        <f t="array" ref="GL218">SUMPRODUCT(--($CR$7:$FW$7&gt;=GL$5),--($CR$7:$FW$7&lt;=GL$6),$CR218:$FW218)*GD218</f>
        <v>0</v>
      </c>
      <c r="GM218" s="145" cm="1">
        <f t="array" ref="GM218">SUMPRODUCT(--($CR$7:$FW$7&gt;=GM$5),--($CR$7:$FW$7&lt;=GM$6),$CR218:$FW218)*GE218</f>
        <v>0</v>
      </c>
      <c r="GN218" s="145" cm="1">
        <f t="array" ref="GN218">SUMPRODUCT(--($CR$7:$FW$7&gt;=GN$5),--($CR$7:$FW$7&lt;=GN$6),$CR218:$FW218)*GF218</f>
        <v>0</v>
      </c>
      <c r="GO218" s="145">
        <f t="shared" si="3"/>
        <v>0</v>
      </c>
      <c r="GP218" s="87"/>
      <c r="GR218" s="145" cm="1">
        <f t="array" ref="GR218">SUMPRODUCT(--($CR$7:$FW$7&gt;=GR$5),--($CR$7:$FW$7&lt;=GR$6),$CR218:$FW218)</f>
        <v>0</v>
      </c>
    </row>
    <row r="219" spans="2:200" x14ac:dyDescent="0.2">
      <c r="B219" s="141"/>
      <c r="C219" s="141"/>
      <c r="D219" s="141"/>
      <c r="E219" s="141"/>
      <c r="F219" s="141"/>
      <c r="G219" s="141"/>
      <c r="H219" s="142"/>
      <c r="I219" s="126"/>
      <c r="J219" s="143"/>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3"/>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c r="EE219" s="145"/>
      <c r="EF219" s="145"/>
      <c r="EG219" s="145"/>
      <c r="EH219" s="145"/>
      <c r="EI219" s="145"/>
      <c r="EJ219" s="145"/>
      <c r="EK219" s="145"/>
      <c r="EL219" s="145"/>
      <c r="EM219" s="145"/>
      <c r="EN219" s="145"/>
      <c r="EO219" s="145"/>
      <c r="EP219" s="145"/>
      <c r="EQ219" s="145"/>
      <c r="ER219" s="145"/>
      <c r="ES219" s="145"/>
      <c r="ET219" s="145"/>
      <c r="EU219" s="145"/>
      <c r="EV219" s="145"/>
      <c r="EW219" s="145"/>
      <c r="EX219" s="145"/>
      <c r="EY219" s="145"/>
      <c r="EZ219" s="145"/>
      <c r="FA219" s="145"/>
      <c r="FB219" s="145"/>
      <c r="FC219" s="145"/>
      <c r="FD219" s="145"/>
      <c r="FE219" s="145"/>
      <c r="FF219" s="145"/>
      <c r="FG219" s="145"/>
      <c r="FH219" s="145"/>
      <c r="FI219" s="145"/>
      <c r="FJ219" s="145"/>
      <c r="FK219" s="145"/>
      <c r="FL219" s="145"/>
      <c r="FM219" s="145"/>
      <c r="FN219" s="145"/>
      <c r="FO219" s="145"/>
      <c r="FP219" s="145"/>
      <c r="FQ219" s="145"/>
      <c r="FR219" s="145"/>
      <c r="FS219" s="145"/>
      <c r="FT219" s="145"/>
      <c r="FU219" s="145"/>
      <c r="FV219" s="145"/>
      <c r="FW219" s="145"/>
      <c r="FX219" s="143"/>
      <c r="FY219" s="146">
        <f>_xlfn.XLOOKUP($E219,'Key assumptions'!$B$112:$B$120,'Key assumptions'!$C$112:$C$120,0)</f>
        <v>0</v>
      </c>
      <c r="FZ219" s="146" cm="1">
        <f t="array" ref="FZ219">IF($FY219=0,0,_xlfn.IFS($FY219='Key assumptions'!$C$120,_xlfn.XLOOKUP(LEFT(FZ$7,6),Inflation_Year,Inflation_NominaltoReal),TRUE,_xlfn.XLOOKUP($FY219,Inflation_Year,NominaltoReal)))</f>
        <v>0</v>
      </c>
      <c r="GA219" s="146" cm="1">
        <f t="array" ref="GA219">IF($FY219=0,0,_xlfn.IFS($FY219='Key assumptions'!$C$120,_xlfn.XLOOKUP(LEFT(GA$7,6),Inflation_Year,Inflation_NominaltoReal),TRUE,_xlfn.XLOOKUP($FY219,Inflation_Year,NominaltoReal)))</f>
        <v>0</v>
      </c>
      <c r="GB219" s="146" cm="1">
        <f t="array" ref="GB219">IF($FY219=0,0,_xlfn.IFS($FY219='Key assumptions'!$C$120,_xlfn.XLOOKUP(LEFT(GB$7,6),Inflation_Year,Inflation_NominaltoReal),TRUE,_xlfn.XLOOKUP($FY219,Inflation_Year,NominaltoReal)))</f>
        <v>0</v>
      </c>
      <c r="GC219" s="146" cm="1">
        <f t="array" ref="GC219">IF($FY219=0,0,_xlfn.IFS($FY219='Key assumptions'!$C$120,_xlfn.XLOOKUP(LEFT(GC$7,6),Inflation_Year,Inflation_NominaltoReal),TRUE,_xlfn.XLOOKUP($FY219,Inflation_Year,NominaltoReal)))</f>
        <v>0</v>
      </c>
      <c r="GD219" s="146" cm="1">
        <f t="array" ref="GD219">IF($FY219=0,0,_xlfn.IFS($FY219='Key assumptions'!$C$120,_xlfn.XLOOKUP(LEFT(GD$7,6),Inflation_Year,Inflation_NominaltoReal),TRUE,_xlfn.XLOOKUP($FY219,Inflation_Year,NominaltoReal)))</f>
        <v>0</v>
      </c>
      <c r="GE219" s="146" cm="1">
        <f t="array" ref="GE219">IF($FY219=0,0,_xlfn.IFS($FY219='Key assumptions'!$C$120,_xlfn.XLOOKUP(LEFT(GE$7,6),Inflation_Year,Inflation_NominaltoReal),TRUE,_xlfn.XLOOKUP($FY219,Inflation_Year,NominaltoReal)))</f>
        <v>0</v>
      </c>
      <c r="GF219" s="146" cm="1">
        <f t="array" ref="GF219">IF($FY219=0,0,_xlfn.IFS($FY219='Key assumptions'!$C$120,_xlfn.XLOOKUP(LEFT(GF$7,6),Inflation_Year,Inflation_NominaltoReal),TRUE,_xlfn.XLOOKUP($FY219,Inflation_Year,NominaltoReal)))</f>
        <v>0</v>
      </c>
      <c r="GG219" s="143"/>
      <c r="GH219" s="145" cm="1">
        <f t="array" ref="GH219">SUMPRODUCT(--($CR$7:$FW$7&gt;=GH$5),--($CR$7:$FW$7&lt;=GH$6),$CR219:$FW219)*FZ219</f>
        <v>0</v>
      </c>
      <c r="GI219" s="145" cm="1">
        <f t="array" ref="GI219">SUMPRODUCT(--($CR$7:$FW$7&gt;=GI$5),--($CR$7:$FW$7&lt;=GI$6),$CR219:$FW219)*GA219</f>
        <v>0</v>
      </c>
      <c r="GJ219" s="145" cm="1">
        <f t="array" ref="GJ219">SUMPRODUCT(--($CR$7:$FW$7&gt;=GJ$5),--($CR$7:$FW$7&lt;=GJ$6),$CR219:$FW219)*GB219</f>
        <v>0</v>
      </c>
      <c r="GK219" s="145" cm="1">
        <f t="array" ref="GK219">SUMPRODUCT(--($CR$7:$FW$7&gt;=GK$5),--($CR$7:$FW$7&lt;=GK$6),$CR219:$FW219)*GC219</f>
        <v>0</v>
      </c>
      <c r="GL219" s="145" cm="1">
        <f t="array" ref="GL219">SUMPRODUCT(--($CR$7:$FW$7&gt;=GL$5),--($CR$7:$FW$7&lt;=GL$6),$CR219:$FW219)*GD219</f>
        <v>0</v>
      </c>
      <c r="GM219" s="145" cm="1">
        <f t="array" ref="GM219">SUMPRODUCT(--($CR$7:$FW$7&gt;=GM$5),--($CR$7:$FW$7&lt;=GM$6),$CR219:$FW219)*GE219</f>
        <v>0</v>
      </c>
      <c r="GN219" s="145" cm="1">
        <f t="array" ref="GN219">SUMPRODUCT(--($CR$7:$FW$7&gt;=GN$5),--($CR$7:$FW$7&lt;=GN$6),$CR219:$FW219)*GF219</f>
        <v>0</v>
      </c>
      <c r="GO219" s="145">
        <f t="shared" si="3"/>
        <v>0</v>
      </c>
      <c r="GP219" s="87"/>
      <c r="GR219" s="145" cm="1">
        <f t="array" ref="GR219">SUMPRODUCT(--($CR$7:$FW$7&gt;=GR$5),--($CR$7:$FW$7&lt;=GR$6),$CR219:$FW219)</f>
        <v>0</v>
      </c>
    </row>
    <row r="220" spans="2:200" x14ac:dyDescent="0.2">
      <c r="B220" s="141"/>
      <c r="C220" s="141"/>
      <c r="D220" s="141"/>
      <c r="E220" s="141"/>
      <c r="F220" s="141"/>
      <c r="G220" s="141"/>
      <c r="H220" s="142"/>
      <c r="I220" s="126"/>
      <c r="J220" s="143"/>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3"/>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c r="EE220" s="145"/>
      <c r="EF220" s="145"/>
      <c r="EG220" s="145"/>
      <c r="EH220" s="145"/>
      <c r="EI220" s="145"/>
      <c r="EJ220" s="145"/>
      <c r="EK220" s="145"/>
      <c r="EL220" s="145"/>
      <c r="EM220" s="145"/>
      <c r="EN220" s="145"/>
      <c r="EO220" s="145"/>
      <c r="EP220" s="145"/>
      <c r="EQ220" s="145"/>
      <c r="ER220" s="145"/>
      <c r="ES220" s="145"/>
      <c r="ET220" s="145"/>
      <c r="EU220" s="145"/>
      <c r="EV220" s="145"/>
      <c r="EW220" s="145"/>
      <c r="EX220" s="145"/>
      <c r="EY220" s="145"/>
      <c r="EZ220" s="145"/>
      <c r="FA220" s="145"/>
      <c r="FB220" s="145"/>
      <c r="FC220" s="145"/>
      <c r="FD220" s="145"/>
      <c r="FE220" s="145"/>
      <c r="FF220" s="145"/>
      <c r="FG220" s="145"/>
      <c r="FH220" s="145"/>
      <c r="FI220" s="145"/>
      <c r="FJ220" s="145"/>
      <c r="FK220" s="145"/>
      <c r="FL220" s="145"/>
      <c r="FM220" s="145"/>
      <c r="FN220" s="145"/>
      <c r="FO220" s="145"/>
      <c r="FP220" s="145"/>
      <c r="FQ220" s="145"/>
      <c r="FR220" s="145"/>
      <c r="FS220" s="145"/>
      <c r="FT220" s="145"/>
      <c r="FU220" s="145"/>
      <c r="FV220" s="145"/>
      <c r="FW220" s="145"/>
      <c r="FX220" s="143"/>
      <c r="FY220" s="146">
        <f>_xlfn.XLOOKUP($E220,'Key assumptions'!$B$112:$B$120,'Key assumptions'!$C$112:$C$120,0)</f>
        <v>0</v>
      </c>
      <c r="FZ220" s="146" cm="1">
        <f t="array" ref="FZ220">IF($FY220=0,0,_xlfn.IFS($FY220='Key assumptions'!$C$120,_xlfn.XLOOKUP(LEFT(FZ$7,6),Inflation_Year,Inflation_NominaltoReal),TRUE,_xlfn.XLOOKUP($FY220,Inflation_Year,NominaltoReal)))</f>
        <v>0</v>
      </c>
      <c r="GA220" s="146" cm="1">
        <f t="array" ref="GA220">IF($FY220=0,0,_xlfn.IFS($FY220='Key assumptions'!$C$120,_xlfn.XLOOKUP(LEFT(GA$7,6),Inflation_Year,Inflation_NominaltoReal),TRUE,_xlfn.XLOOKUP($FY220,Inflation_Year,NominaltoReal)))</f>
        <v>0</v>
      </c>
      <c r="GB220" s="146" cm="1">
        <f t="array" ref="GB220">IF($FY220=0,0,_xlfn.IFS($FY220='Key assumptions'!$C$120,_xlfn.XLOOKUP(LEFT(GB$7,6),Inflation_Year,Inflation_NominaltoReal),TRUE,_xlfn.XLOOKUP($FY220,Inflation_Year,NominaltoReal)))</f>
        <v>0</v>
      </c>
      <c r="GC220" s="146" cm="1">
        <f t="array" ref="GC220">IF($FY220=0,0,_xlfn.IFS($FY220='Key assumptions'!$C$120,_xlfn.XLOOKUP(LEFT(GC$7,6),Inflation_Year,Inflation_NominaltoReal),TRUE,_xlfn.XLOOKUP($FY220,Inflation_Year,NominaltoReal)))</f>
        <v>0</v>
      </c>
      <c r="GD220" s="146" cm="1">
        <f t="array" ref="GD220">IF($FY220=0,0,_xlfn.IFS($FY220='Key assumptions'!$C$120,_xlfn.XLOOKUP(LEFT(GD$7,6),Inflation_Year,Inflation_NominaltoReal),TRUE,_xlfn.XLOOKUP($FY220,Inflation_Year,NominaltoReal)))</f>
        <v>0</v>
      </c>
      <c r="GE220" s="146" cm="1">
        <f t="array" ref="GE220">IF($FY220=0,0,_xlfn.IFS($FY220='Key assumptions'!$C$120,_xlfn.XLOOKUP(LEFT(GE$7,6),Inflation_Year,Inflation_NominaltoReal),TRUE,_xlfn.XLOOKUP($FY220,Inflation_Year,NominaltoReal)))</f>
        <v>0</v>
      </c>
      <c r="GF220" s="146" cm="1">
        <f t="array" ref="GF220">IF($FY220=0,0,_xlfn.IFS($FY220='Key assumptions'!$C$120,_xlfn.XLOOKUP(LEFT(GF$7,6),Inflation_Year,Inflation_NominaltoReal),TRUE,_xlfn.XLOOKUP($FY220,Inflation_Year,NominaltoReal)))</f>
        <v>0</v>
      </c>
      <c r="GG220" s="143"/>
      <c r="GH220" s="145" cm="1">
        <f t="array" ref="GH220">SUMPRODUCT(--($CR$7:$FW$7&gt;=GH$5),--($CR$7:$FW$7&lt;=GH$6),$CR220:$FW220)*FZ220</f>
        <v>0</v>
      </c>
      <c r="GI220" s="145" cm="1">
        <f t="array" ref="GI220">SUMPRODUCT(--($CR$7:$FW$7&gt;=GI$5),--($CR$7:$FW$7&lt;=GI$6),$CR220:$FW220)*GA220</f>
        <v>0</v>
      </c>
      <c r="GJ220" s="145" cm="1">
        <f t="array" ref="GJ220">SUMPRODUCT(--($CR$7:$FW$7&gt;=GJ$5),--($CR$7:$FW$7&lt;=GJ$6),$CR220:$FW220)*GB220</f>
        <v>0</v>
      </c>
      <c r="GK220" s="145" cm="1">
        <f t="array" ref="GK220">SUMPRODUCT(--($CR$7:$FW$7&gt;=GK$5),--($CR$7:$FW$7&lt;=GK$6),$CR220:$FW220)*GC220</f>
        <v>0</v>
      </c>
      <c r="GL220" s="145" cm="1">
        <f t="array" ref="GL220">SUMPRODUCT(--($CR$7:$FW$7&gt;=GL$5),--($CR$7:$FW$7&lt;=GL$6),$CR220:$FW220)*GD220</f>
        <v>0</v>
      </c>
      <c r="GM220" s="145" cm="1">
        <f t="array" ref="GM220">SUMPRODUCT(--($CR$7:$FW$7&gt;=GM$5),--($CR$7:$FW$7&lt;=GM$6),$CR220:$FW220)*GE220</f>
        <v>0</v>
      </c>
      <c r="GN220" s="145" cm="1">
        <f t="array" ref="GN220">SUMPRODUCT(--($CR$7:$FW$7&gt;=GN$5),--($CR$7:$FW$7&lt;=GN$6),$CR220:$FW220)*GF220</f>
        <v>0</v>
      </c>
      <c r="GO220" s="145">
        <f t="shared" si="3"/>
        <v>0</v>
      </c>
      <c r="GP220" s="87"/>
      <c r="GR220" s="145" cm="1">
        <f t="array" ref="GR220">SUMPRODUCT(--($CR$7:$FW$7&gt;=GR$5),--($CR$7:$FW$7&lt;=GR$6),$CR220:$FW220)</f>
        <v>0</v>
      </c>
    </row>
    <row r="221" spans="2:200" x14ac:dyDescent="0.2">
      <c r="B221" s="141"/>
      <c r="C221" s="141"/>
      <c r="D221" s="141"/>
      <c r="E221" s="141"/>
      <c r="F221" s="141"/>
      <c r="G221" s="141"/>
      <c r="H221" s="142"/>
      <c r="I221" s="126"/>
      <c r="J221" s="143"/>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3"/>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45"/>
      <c r="EH221" s="145"/>
      <c r="EI221" s="145"/>
      <c r="EJ221" s="145"/>
      <c r="EK221" s="145"/>
      <c r="EL221" s="145"/>
      <c r="EM221" s="145"/>
      <c r="EN221" s="14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3"/>
      <c r="FY221" s="146">
        <f>_xlfn.XLOOKUP($E221,'Key assumptions'!$B$112:$B$120,'Key assumptions'!$C$112:$C$120,0)</f>
        <v>0</v>
      </c>
      <c r="FZ221" s="146" cm="1">
        <f t="array" ref="FZ221">IF($FY221=0,0,_xlfn.IFS($FY221='Key assumptions'!$C$120,_xlfn.XLOOKUP(LEFT(FZ$7,6),Inflation_Year,Inflation_NominaltoReal),TRUE,_xlfn.XLOOKUP($FY221,Inflation_Year,NominaltoReal)))</f>
        <v>0</v>
      </c>
      <c r="GA221" s="146" cm="1">
        <f t="array" ref="GA221">IF($FY221=0,0,_xlfn.IFS($FY221='Key assumptions'!$C$120,_xlfn.XLOOKUP(LEFT(GA$7,6),Inflation_Year,Inflation_NominaltoReal),TRUE,_xlfn.XLOOKUP($FY221,Inflation_Year,NominaltoReal)))</f>
        <v>0</v>
      </c>
      <c r="GB221" s="146" cm="1">
        <f t="array" ref="GB221">IF($FY221=0,0,_xlfn.IFS($FY221='Key assumptions'!$C$120,_xlfn.XLOOKUP(LEFT(GB$7,6),Inflation_Year,Inflation_NominaltoReal),TRUE,_xlfn.XLOOKUP($FY221,Inflation_Year,NominaltoReal)))</f>
        <v>0</v>
      </c>
      <c r="GC221" s="146" cm="1">
        <f t="array" ref="GC221">IF($FY221=0,0,_xlfn.IFS($FY221='Key assumptions'!$C$120,_xlfn.XLOOKUP(LEFT(GC$7,6),Inflation_Year,Inflation_NominaltoReal),TRUE,_xlfn.XLOOKUP($FY221,Inflation_Year,NominaltoReal)))</f>
        <v>0</v>
      </c>
      <c r="GD221" s="146" cm="1">
        <f t="array" ref="GD221">IF($FY221=0,0,_xlfn.IFS($FY221='Key assumptions'!$C$120,_xlfn.XLOOKUP(LEFT(GD$7,6),Inflation_Year,Inflation_NominaltoReal),TRUE,_xlfn.XLOOKUP($FY221,Inflation_Year,NominaltoReal)))</f>
        <v>0</v>
      </c>
      <c r="GE221" s="146" cm="1">
        <f t="array" ref="GE221">IF($FY221=0,0,_xlfn.IFS($FY221='Key assumptions'!$C$120,_xlfn.XLOOKUP(LEFT(GE$7,6),Inflation_Year,Inflation_NominaltoReal),TRUE,_xlfn.XLOOKUP($FY221,Inflation_Year,NominaltoReal)))</f>
        <v>0</v>
      </c>
      <c r="GF221" s="146" cm="1">
        <f t="array" ref="GF221">IF($FY221=0,0,_xlfn.IFS($FY221='Key assumptions'!$C$120,_xlfn.XLOOKUP(LEFT(GF$7,6),Inflation_Year,Inflation_NominaltoReal),TRUE,_xlfn.XLOOKUP($FY221,Inflation_Year,NominaltoReal)))</f>
        <v>0</v>
      </c>
      <c r="GG221" s="143"/>
      <c r="GH221" s="145" cm="1">
        <f t="array" ref="GH221">SUMPRODUCT(--($CR$7:$FW$7&gt;=GH$5),--($CR$7:$FW$7&lt;=GH$6),$CR221:$FW221)*FZ221</f>
        <v>0</v>
      </c>
      <c r="GI221" s="145" cm="1">
        <f t="array" ref="GI221">SUMPRODUCT(--($CR$7:$FW$7&gt;=GI$5),--($CR$7:$FW$7&lt;=GI$6),$CR221:$FW221)*GA221</f>
        <v>0</v>
      </c>
      <c r="GJ221" s="145" cm="1">
        <f t="array" ref="GJ221">SUMPRODUCT(--($CR$7:$FW$7&gt;=GJ$5),--($CR$7:$FW$7&lt;=GJ$6),$CR221:$FW221)*GB221</f>
        <v>0</v>
      </c>
      <c r="GK221" s="145" cm="1">
        <f t="array" ref="GK221">SUMPRODUCT(--($CR$7:$FW$7&gt;=GK$5),--($CR$7:$FW$7&lt;=GK$6),$CR221:$FW221)*GC221</f>
        <v>0</v>
      </c>
      <c r="GL221" s="145" cm="1">
        <f t="array" ref="GL221">SUMPRODUCT(--($CR$7:$FW$7&gt;=GL$5),--($CR$7:$FW$7&lt;=GL$6),$CR221:$FW221)*GD221</f>
        <v>0</v>
      </c>
      <c r="GM221" s="145" cm="1">
        <f t="array" ref="GM221">SUMPRODUCT(--($CR$7:$FW$7&gt;=GM$5),--($CR$7:$FW$7&lt;=GM$6),$CR221:$FW221)*GE221</f>
        <v>0</v>
      </c>
      <c r="GN221" s="145" cm="1">
        <f t="array" ref="GN221">SUMPRODUCT(--($CR$7:$FW$7&gt;=GN$5),--($CR$7:$FW$7&lt;=GN$6),$CR221:$FW221)*GF221</f>
        <v>0</v>
      </c>
      <c r="GO221" s="145">
        <f t="shared" si="3"/>
        <v>0</v>
      </c>
      <c r="GP221" s="87"/>
      <c r="GR221" s="145" cm="1">
        <f t="array" ref="GR221">SUMPRODUCT(--($CR$7:$FW$7&gt;=GR$5),--($CR$7:$FW$7&lt;=GR$6),$CR221:$FW221)</f>
        <v>0</v>
      </c>
    </row>
    <row r="222" spans="2:200" x14ac:dyDescent="0.2">
      <c r="B222" s="141"/>
      <c r="C222" s="141"/>
      <c r="D222" s="141"/>
      <c r="E222" s="141"/>
      <c r="F222" s="141"/>
      <c r="G222" s="141"/>
      <c r="H222" s="142"/>
      <c r="I222" s="126"/>
      <c r="J222" s="143"/>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3"/>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45"/>
      <c r="EH222" s="145"/>
      <c r="EI222" s="145"/>
      <c r="EJ222" s="145"/>
      <c r="EK222" s="145"/>
      <c r="EL222" s="145"/>
      <c r="EM222" s="145"/>
      <c r="EN222" s="14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3"/>
      <c r="FY222" s="146">
        <f>_xlfn.XLOOKUP($E222,'Key assumptions'!$B$112:$B$120,'Key assumptions'!$C$112:$C$120,0)</f>
        <v>0</v>
      </c>
      <c r="FZ222" s="146" cm="1">
        <f t="array" ref="FZ222">IF($FY222=0,0,_xlfn.IFS($FY222='Key assumptions'!$C$120,_xlfn.XLOOKUP(LEFT(FZ$7,6),Inflation_Year,Inflation_NominaltoReal),TRUE,_xlfn.XLOOKUP($FY222,Inflation_Year,NominaltoReal)))</f>
        <v>0</v>
      </c>
      <c r="GA222" s="146" cm="1">
        <f t="array" ref="GA222">IF($FY222=0,0,_xlfn.IFS($FY222='Key assumptions'!$C$120,_xlfn.XLOOKUP(LEFT(GA$7,6),Inflation_Year,Inflation_NominaltoReal),TRUE,_xlfn.XLOOKUP($FY222,Inflation_Year,NominaltoReal)))</f>
        <v>0</v>
      </c>
      <c r="GB222" s="146" cm="1">
        <f t="array" ref="GB222">IF($FY222=0,0,_xlfn.IFS($FY222='Key assumptions'!$C$120,_xlfn.XLOOKUP(LEFT(GB$7,6),Inflation_Year,Inflation_NominaltoReal),TRUE,_xlfn.XLOOKUP($FY222,Inflation_Year,NominaltoReal)))</f>
        <v>0</v>
      </c>
      <c r="GC222" s="146" cm="1">
        <f t="array" ref="GC222">IF($FY222=0,0,_xlfn.IFS($FY222='Key assumptions'!$C$120,_xlfn.XLOOKUP(LEFT(GC$7,6),Inflation_Year,Inflation_NominaltoReal),TRUE,_xlfn.XLOOKUP($FY222,Inflation_Year,NominaltoReal)))</f>
        <v>0</v>
      </c>
      <c r="GD222" s="146" cm="1">
        <f t="array" ref="GD222">IF($FY222=0,0,_xlfn.IFS($FY222='Key assumptions'!$C$120,_xlfn.XLOOKUP(LEFT(GD$7,6),Inflation_Year,Inflation_NominaltoReal),TRUE,_xlfn.XLOOKUP($FY222,Inflation_Year,NominaltoReal)))</f>
        <v>0</v>
      </c>
      <c r="GE222" s="146" cm="1">
        <f t="array" ref="GE222">IF($FY222=0,0,_xlfn.IFS($FY222='Key assumptions'!$C$120,_xlfn.XLOOKUP(LEFT(GE$7,6),Inflation_Year,Inflation_NominaltoReal),TRUE,_xlfn.XLOOKUP($FY222,Inflation_Year,NominaltoReal)))</f>
        <v>0</v>
      </c>
      <c r="GF222" s="146" cm="1">
        <f t="array" ref="GF222">IF($FY222=0,0,_xlfn.IFS($FY222='Key assumptions'!$C$120,_xlfn.XLOOKUP(LEFT(GF$7,6),Inflation_Year,Inflation_NominaltoReal),TRUE,_xlfn.XLOOKUP($FY222,Inflation_Year,NominaltoReal)))</f>
        <v>0</v>
      </c>
      <c r="GG222" s="143"/>
      <c r="GH222" s="145" cm="1">
        <f t="array" ref="GH222">SUMPRODUCT(--($CR$7:$FW$7&gt;=GH$5),--($CR$7:$FW$7&lt;=GH$6),$CR222:$FW222)*FZ222</f>
        <v>0</v>
      </c>
      <c r="GI222" s="145" cm="1">
        <f t="array" ref="GI222">SUMPRODUCT(--($CR$7:$FW$7&gt;=GI$5),--($CR$7:$FW$7&lt;=GI$6),$CR222:$FW222)*GA222</f>
        <v>0</v>
      </c>
      <c r="GJ222" s="145" cm="1">
        <f t="array" ref="GJ222">SUMPRODUCT(--($CR$7:$FW$7&gt;=GJ$5),--($CR$7:$FW$7&lt;=GJ$6),$CR222:$FW222)*GB222</f>
        <v>0</v>
      </c>
      <c r="GK222" s="145" cm="1">
        <f t="array" ref="GK222">SUMPRODUCT(--($CR$7:$FW$7&gt;=GK$5),--($CR$7:$FW$7&lt;=GK$6),$CR222:$FW222)*GC222</f>
        <v>0</v>
      </c>
      <c r="GL222" s="145" cm="1">
        <f t="array" ref="GL222">SUMPRODUCT(--($CR$7:$FW$7&gt;=GL$5),--($CR$7:$FW$7&lt;=GL$6),$CR222:$FW222)*GD222</f>
        <v>0</v>
      </c>
      <c r="GM222" s="145" cm="1">
        <f t="array" ref="GM222">SUMPRODUCT(--($CR$7:$FW$7&gt;=GM$5),--($CR$7:$FW$7&lt;=GM$6),$CR222:$FW222)*GE222</f>
        <v>0</v>
      </c>
      <c r="GN222" s="145" cm="1">
        <f t="array" ref="GN222">SUMPRODUCT(--($CR$7:$FW$7&gt;=GN$5),--($CR$7:$FW$7&lt;=GN$6),$CR222:$FW222)*GF222</f>
        <v>0</v>
      </c>
      <c r="GO222" s="145">
        <f t="shared" si="3"/>
        <v>0</v>
      </c>
      <c r="GP222" s="87"/>
      <c r="GR222" s="145" cm="1">
        <f t="array" ref="GR222">SUMPRODUCT(--($CR$7:$FW$7&gt;=GR$5),--($CR$7:$FW$7&lt;=GR$6),$CR222:$FW222)</f>
        <v>0</v>
      </c>
    </row>
    <row r="223" spans="2:200" x14ac:dyDescent="0.2">
      <c r="B223" s="141"/>
      <c r="C223" s="141"/>
      <c r="D223" s="141"/>
      <c r="E223" s="141"/>
      <c r="F223" s="141"/>
      <c r="G223" s="141"/>
      <c r="H223" s="142"/>
      <c r="I223" s="126"/>
      <c r="J223" s="143"/>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3"/>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3"/>
      <c r="FY223" s="146">
        <f>_xlfn.XLOOKUP($E223,'Key assumptions'!$B$112:$B$120,'Key assumptions'!$C$112:$C$120,0)</f>
        <v>0</v>
      </c>
      <c r="FZ223" s="146" cm="1">
        <f t="array" ref="FZ223">IF($FY223=0,0,_xlfn.IFS($FY223='Key assumptions'!$C$120,_xlfn.XLOOKUP(LEFT(FZ$7,6),Inflation_Year,Inflation_NominaltoReal),TRUE,_xlfn.XLOOKUP($FY223,Inflation_Year,NominaltoReal)))</f>
        <v>0</v>
      </c>
      <c r="GA223" s="146" cm="1">
        <f t="array" ref="GA223">IF($FY223=0,0,_xlfn.IFS($FY223='Key assumptions'!$C$120,_xlfn.XLOOKUP(LEFT(GA$7,6),Inflation_Year,Inflation_NominaltoReal),TRUE,_xlfn.XLOOKUP($FY223,Inflation_Year,NominaltoReal)))</f>
        <v>0</v>
      </c>
      <c r="GB223" s="146" cm="1">
        <f t="array" ref="GB223">IF($FY223=0,0,_xlfn.IFS($FY223='Key assumptions'!$C$120,_xlfn.XLOOKUP(LEFT(GB$7,6),Inflation_Year,Inflation_NominaltoReal),TRUE,_xlfn.XLOOKUP($FY223,Inflation_Year,NominaltoReal)))</f>
        <v>0</v>
      </c>
      <c r="GC223" s="146" cm="1">
        <f t="array" ref="GC223">IF($FY223=0,0,_xlfn.IFS($FY223='Key assumptions'!$C$120,_xlfn.XLOOKUP(LEFT(GC$7,6),Inflation_Year,Inflation_NominaltoReal),TRUE,_xlfn.XLOOKUP($FY223,Inflation_Year,NominaltoReal)))</f>
        <v>0</v>
      </c>
      <c r="GD223" s="146" cm="1">
        <f t="array" ref="GD223">IF($FY223=0,0,_xlfn.IFS($FY223='Key assumptions'!$C$120,_xlfn.XLOOKUP(LEFT(GD$7,6),Inflation_Year,Inflation_NominaltoReal),TRUE,_xlfn.XLOOKUP($FY223,Inflation_Year,NominaltoReal)))</f>
        <v>0</v>
      </c>
      <c r="GE223" s="146" cm="1">
        <f t="array" ref="GE223">IF($FY223=0,0,_xlfn.IFS($FY223='Key assumptions'!$C$120,_xlfn.XLOOKUP(LEFT(GE$7,6),Inflation_Year,Inflation_NominaltoReal),TRUE,_xlfn.XLOOKUP($FY223,Inflation_Year,NominaltoReal)))</f>
        <v>0</v>
      </c>
      <c r="GF223" s="146" cm="1">
        <f t="array" ref="GF223">IF($FY223=0,0,_xlfn.IFS($FY223='Key assumptions'!$C$120,_xlfn.XLOOKUP(LEFT(GF$7,6),Inflation_Year,Inflation_NominaltoReal),TRUE,_xlfn.XLOOKUP($FY223,Inflation_Year,NominaltoReal)))</f>
        <v>0</v>
      </c>
      <c r="GG223" s="143"/>
      <c r="GH223" s="145" cm="1">
        <f t="array" ref="GH223">SUMPRODUCT(--($CR$7:$FW$7&gt;=GH$5),--($CR$7:$FW$7&lt;=GH$6),$CR223:$FW223)*FZ223</f>
        <v>0</v>
      </c>
      <c r="GI223" s="145" cm="1">
        <f t="array" ref="GI223">SUMPRODUCT(--($CR$7:$FW$7&gt;=GI$5),--($CR$7:$FW$7&lt;=GI$6),$CR223:$FW223)*GA223</f>
        <v>0</v>
      </c>
      <c r="GJ223" s="145" cm="1">
        <f t="array" ref="GJ223">SUMPRODUCT(--($CR$7:$FW$7&gt;=GJ$5),--($CR$7:$FW$7&lt;=GJ$6),$CR223:$FW223)*GB223</f>
        <v>0</v>
      </c>
      <c r="GK223" s="145" cm="1">
        <f t="array" ref="GK223">SUMPRODUCT(--($CR$7:$FW$7&gt;=GK$5),--($CR$7:$FW$7&lt;=GK$6),$CR223:$FW223)*GC223</f>
        <v>0</v>
      </c>
      <c r="GL223" s="145" cm="1">
        <f t="array" ref="GL223">SUMPRODUCT(--($CR$7:$FW$7&gt;=GL$5),--($CR$7:$FW$7&lt;=GL$6),$CR223:$FW223)*GD223</f>
        <v>0</v>
      </c>
      <c r="GM223" s="145" cm="1">
        <f t="array" ref="GM223">SUMPRODUCT(--($CR$7:$FW$7&gt;=GM$5),--($CR$7:$FW$7&lt;=GM$6),$CR223:$FW223)*GE223</f>
        <v>0</v>
      </c>
      <c r="GN223" s="145" cm="1">
        <f t="array" ref="GN223">SUMPRODUCT(--($CR$7:$FW$7&gt;=GN$5),--($CR$7:$FW$7&lt;=GN$6),$CR223:$FW223)*GF223</f>
        <v>0</v>
      </c>
      <c r="GO223" s="145">
        <f t="shared" si="3"/>
        <v>0</v>
      </c>
      <c r="GP223" s="87"/>
      <c r="GR223" s="145" cm="1">
        <f t="array" ref="GR223">SUMPRODUCT(--($CR$7:$FW$7&gt;=GR$5),--($CR$7:$FW$7&lt;=GR$6),$CR223:$FW223)</f>
        <v>0</v>
      </c>
    </row>
    <row r="224" spans="2:200" x14ac:dyDescent="0.2">
      <c r="B224" s="141"/>
      <c r="C224" s="141"/>
      <c r="D224" s="141"/>
      <c r="E224" s="141"/>
      <c r="F224" s="141"/>
      <c r="G224" s="141"/>
      <c r="H224" s="142"/>
      <c r="I224" s="126"/>
      <c r="J224" s="143"/>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3"/>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c r="EE224" s="145"/>
      <c r="EF224" s="145"/>
      <c r="EG224" s="145"/>
      <c r="EH224" s="145"/>
      <c r="EI224" s="145"/>
      <c r="EJ224" s="145"/>
      <c r="EK224" s="145"/>
      <c r="EL224" s="145"/>
      <c r="EM224" s="145"/>
      <c r="EN224" s="145"/>
      <c r="EO224" s="145"/>
      <c r="EP224" s="145"/>
      <c r="EQ224" s="145"/>
      <c r="ER224" s="145"/>
      <c r="ES224" s="145"/>
      <c r="ET224" s="145"/>
      <c r="EU224" s="145"/>
      <c r="EV224" s="145"/>
      <c r="EW224" s="145"/>
      <c r="EX224" s="145"/>
      <c r="EY224" s="145"/>
      <c r="EZ224" s="145"/>
      <c r="FA224" s="145"/>
      <c r="FB224" s="145"/>
      <c r="FC224" s="145"/>
      <c r="FD224" s="145"/>
      <c r="FE224" s="145"/>
      <c r="FF224" s="145"/>
      <c r="FG224" s="145"/>
      <c r="FH224" s="145"/>
      <c r="FI224" s="145"/>
      <c r="FJ224" s="145"/>
      <c r="FK224" s="145"/>
      <c r="FL224" s="145"/>
      <c r="FM224" s="145"/>
      <c r="FN224" s="145"/>
      <c r="FO224" s="145"/>
      <c r="FP224" s="145"/>
      <c r="FQ224" s="145"/>
      <c r="FR224" s="145"/>
      <c r="FS224" s="145"/>
      <c r="FT224" s="145"/>
      <c r="FU224" s="145"/>
      <c r="FV224" s="145"/>
      <c r="FW224" s="145"/>
      <c r="FX224" s="143"/>
      <c r="FY224" s="146">
        <f>_xlfn.XLOOKUP($E224,'Key assumptions'!$B$112:$B$120,'Key assumptions'!$C$112:$C$120,0)</f>
        <v>0</v>
      </c>
      <c r="FZ224" s="146" cm="1">
        <f t="array" ref="FZ224">IF($FY224=0,0,_xlfn.IFS($FY224='Key assumptions'!$C$120,_xlfn.XLOOKUP(LEFT(FZ$7,6),Inflation_Year,Inflation_NominaltoReal),TRUE,_xlfn.XLOOKUP($FY224,Inflation_Year,NominaltoReal)))</f>
        <v>0</v>
      </c>
      <c r="GA224" s="146" cm="1">
        <f t="array" ref="GA224">IF($FY224=0,0,_xlfn.IFS($FY224='Key assumptions'!$C$120,_xlfn.XLOOKUP(LEFT(GA$7,6),Inflation_Year,Inflation_NominaltoReal),TRUE,_xlfn.XLOOKUP($FY224,Inflation_Year,NominaltoReal)))</f>
        <v>0</v>
      </c>
      <c r="GB224" s="146" cm="1">
        <f t="array" ref="GB224">IF($FY224=0,0,_xlfn.IFS($FY224='Key assumptions'!$C$120,_xlfn.XLOOKUP(LEFT(GB$7,6),Inflation_Year,Inflation_NominaltoReal),TRUE,_xlfn.XLOOKUP($FY224,Inflation_Year,NominaltoReal)))</f>
        <v>0</v>
      </c>
      <c r="GC224" s="146" cm="1">
        <f t="array" ref="GC224">IF($FY224=0,0,_xlfn.IFS($FY224='Key assumptions'!$C$120,_xlfn.XLOOKUP(LEFT(GC$7,6),Inflation_Year,Inflation_NominaltoReal),TRUE,_xlfn.XLOOKUP($FY224,Inflation_Year,NominaltoReal)))</f>
        <v>0</v>
      </c>
      <c r="GD224" s="146" cm="1">
        <f t="array" ref="GD224">IF($FY224=0,0,_xlfn.IFS($FY224='Key assumptions'!$C$120,_xlfn.XLOOKUP(LEFT(GD$7,6),Inflation_Year,Inflation_NominaltoReal),TRUE,_xlfn.XLOOKUP($FY224,Inflation_Year,NominaltoReal)))</f>
        <v>0</v>
      </c>
      <c r="GE224" s="146" cm="1">
        <f t="array" ref="GE224">IF($FY224=0,0,_xlfn.IFS($FY224='Key assumptions'!$C$120,_xlfn.XLOOKUP(LEFT(GE$7,6),Inflation_Year,Inflation_NominaltoReal),TRUE,_xlfn.XLOOKUP($FY224,Inflation_Year,NominaltoReal)))</f>
        <v>0</v>
      </c>
      <c r="GF224" s="146" cm="1">
        <f t="array" ref="GF224">IF($FY224=0,0,_xlfn.IFS($FY224='Key assumptions'!$C$120,_xlfn.XLOOKUP(LEFT(GF$7,6),Inflation_Year,Inflation_NominaltoReal),TRUE,_xlfn.XLOOKUP($FY224,Inflation_Year,NominaltoReal)))</f>
        <v>0</v>
      </c>
      <c r="GG224" s="143"/>
      <c r="GH224" s="145" cm="1">
        <f t="array" ref="GH224">SUMPRODUCT(--($CR$7:$FW$7&gt;=GH$5),--($CR$7:$FW$7&lt;=GH$6),$CR224:$FW224)*FZ224</f>
        <v>0</v>
      </c>
      <c r="GI224" s="145" cm="1">
        <f t="array" ref="GI224">SUMPRODUCT(--($CR$7:$FW$7&gt;=GI$5),--($CR$7:$FW$7&lt;=GI$6),$CR224:$FW224)*GA224</f>
        <v>0</v>
      </c>
      <c r="GJ224" s="145" cm="1">
        <f t="array" ref="GJ224">SUMPRODUCT(--($CR$7:$FW$7&gt;=GJ$5),--($CR$7:$FW$7&lt;=GJ$6),$CR224:$FW224)*GB224</f>
        <v>0</v>
      </c>
      <c r="GK224" s="145" cm="1">
        <f t="array" ref="GK224">SUMPRODUCT(--($CR$7:$FW$7&gt;=GK$5),--($CR$7:$FW$7&lt;=GK$6),$CR224:$FW224)*GC224</f>
        <v>0</v>
      </c>
      <c r="GL224" s="145" cm="1">
        <f t="array" ref="GL224">SUMPRODUCT(--($CR$7:$FW$7&gt;=GL$5),--($CR$7:$FW$7&lt;=GL$6),$CR224:$FW224)*GD224</f>
        <v>0</v>
      </c>
      <c r="GM224" s="145" cm="1">
        <f t="array" ref="GM224">SUMPRODUCT(--($CR$7:$FW$7&gt;=GM$5),--($CR$7:$FW$7&lt;=GM$6),$CR224:$FW224)*GE224</f>
        <v>0</v>
      </c>
      <c r="GN224" s="145" cm="1">
        <f t="array" ref="GN224">SUMPRODUCT(--($CR$7:$FW$7&gt;=GN$5),--($CR$7:$FW$7&lt;=GN$6),$CR224:$FW224)*GF224</f>
        <v>0</v>
      </c>
      <c r="GO224" s="145">
        <f t="shared" si="3"/>
        <v>0</v>
      </c>
      <c r="GP224" s="87"/>
      <c r="GR224" s="145" cm="1">
        <f t="array" ref="GR224">SUMPRODUCT(--($CR$7:$FW$7&gt;=GR$5),--($CR$7:$FW$7&lt;=GR$6),$CR224:$FW224)</f>
        <v>0</v>
      </c>
    </row>
    <row r="225" spans="2:200" x14ac:dyDescent="0.2">
      <c r="B225" s="141"/>
      <c r="C225" s="141"/>
      <c r="D225" s="141"/>
      <c r="E225" s="141"/>
      <c r="F225" s="141"/>
      <c r="G225" s="141"/>
      <c r="H225" s="142"/>
      <c r="I225" s="126"/>
      <c r="J225" s="143"/>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3"/>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c r="EE225" s="145"/>
      <c r="EF225" s="145"/>
      <c r="EG225" s="145"/>
      <c r="EH225" s="145"/>
      <c r="EI225" s="145"/>
      <c r="EJ225" s="145"/>
      <c r="EK225" s="145"/>
      <c r="EL225" s="145"/>
      <c r="EM225" s="145"/>
      <c r="EN225" s="145"/>
      <c r="EO225" s="145"/>
      <c r="EP225" s="145"/>
      <c r="EQ225" s="145"/>
      <c r="ER225" s="145"/>
      <c r="ES225" s="145"/>
      <c r="ET225" s="145"/>
      <c r="EU225" s="145"/>
      <c r="EV225" s="145"/>
      <c r="EW225" s="145"/>
      <c r="EX225" s="145"/>
      <c r="EY225" s="145"/>
      <c r="EZ225" s="145"/>
      <c r="FA225" s="145"/>
      <c r="FB225" s="145"/>
      <c r="FC225" s="145"/>
      <c r="FD225" s="145"/>
      <c r="FE225" s="145"/>
      <c r="FF225" s="145"/>
      <c r="FG225" s="145"/>
      <c r="FH225" s="145"/>
      <c r="FI225" s="145"/>
      <c r="FJ225" s="145"/>
      <c r="FK225" s="145"/>
      <c r="FL225" s="145"/>
      <c r="FM225" s="145"/>
      <c r="FN225" s="145"/>
      <c r="FO225" s="145"/>
      <c r="FP225" s="145"/>
      <c r="FQ225" s="145"/>
      <c r="FR225" s="145"/>
      <c r="FS225" s="145"/>
      <c r="FT225" s="145"/>
      <c r="FU225" s="145"/>
      <c r="FV225" s="145"/>
      <c r="FW225" s="145"/>
      <c r="FX225" s="143"/>
      <c r="FY225" s="146">
        <f>_xlfn.XLOOKUP($E225,'Key assumptions'!$B$112:$B$120,'Key assumptions'!$C$112:$C$120,0)</f>
        <v>0</v>
      </c>
      <c r="FZ225" s="146" cm="1">
        <f t="array" ref="FZ225">IF($FY225=0,0,_xlfn.IFS($FY225='Key assumptions'!$C$120,_xlfn.XLOOKUP(LEFT(FZ$7,6),Inflation_Year,Inflation_NominaltoReal),TRUE,_xlfn.XLOOKUP($FY225,Inflation_Year,NominaltoReal)))</f>
        <v>0</v>
      </c>
      <c r="GA225" s="146" cm="1">
        <f t="array" ref="GA225">IF($FY225=0,0,_xlfn.IFS($FY225='Key assumptions'!$C$120,_xlfn.XLOOKUP(LEFT(GA$7,6),Inflation_Year,Inflation_NominaltoReal),TRUE,_xlfn.XLOOKUP($FY225,Inflation_Year,NominaltoReal)))</f>
        <v>0</v>
      </c>
      <c r="GB225" s="146" cm="1">
        <f t="array" ref="GB225">IF($FY225=0,0,_xlfn.IFS($FY225='Key assumptions'!$C$120,_xlfn.XLOOKUP(LEFT(GB$7,6),Inflation_Year,Inflation_NominaltoReal),TRUE,_xlfn.XLOOKUP($FY225,Inflation_Year,NominaltoReal)))</f>
        <v>0</v>
      </c>
      <c r="GC225" s="146" cm="1">
        <f t="array" ref="GC225">IF($FY225=0,0,_xlfn.IFS($FY225='Key assumptions'!$C$120,_xlfn.XLOOKUP(LEFT(GC$7,6),Inflation_Year,Inflation_NominaltoReal),TRUE,_xlfn.XLOOKUP($FY225,Inflation_Year,NominaltoReal)))</f>
        <v>0</v>
      </c>
      <c r="GD225" s="146" cm="1">
        <f t="array" ref="GD225">IF($FY225=0,0,_xlfn.IFS($FY225='Key assumptions'!$C$120,_xlfn.XLOOKUP(LEFT(GD$7,6),Inflation_Year,Inflation_NominaltoReal),TRUE,_xlfn.XLOOKUP($FY225,Inflation_Year,NominaltoReal)))</f>
        <v>0</v>
      </c>
      <c r="GE225" s="146" cm="1">
        <f t="array" ref="GE225">IF($FY225=0,0,_xlfn.IFS($FY225='Key assumptions'!$C$120,_xlfn.XLOOKUP(LEFT(GE$7,6),Inflation_Year,Inflation_NominaltoReal),TRUE,_xlfn.XLOOKUP($FY225,Inflation_Year,NominaltoReal)))</f>
        <v>0</v>
      </c>
      <c r="GF225" s="146" cm="1">
        <f t="array" ref="GF225">IF($FY225=0,0,_xlfn.IFS($FY225='Key assumptions'!$C$120,_xlfn.XLOOKUP(LEFT(GF$7,6),Inflation_Year,Inflation_NominaltoReal),TRUE,_xlfn.XLOOKUP($FY225,Inflation_Year,NominaltoReal)))</f>
        <v>0</v>
      </c>
      <c r="GG225" s="143"/>
      <c r="GH225" s="145" cm="1">
        <f t="array" ref="GH225">SUMPRODUCT(--($CR$7:$FW$7&gt;=GH$5),--($CR$7:$FW$7&lt;=GH$6),$CR225:$FW225)*FZ225</f>
        <v>0</v>
      </c>
      <c r="GI225" s="145" cm="1">
        <f t="array" ref="GI225">SUMPRODUCT(--($CR$7:$FW$7&gt;=GI$5),--($CR$7:$FW$7&lt;=GI$6),$CR225:$FW225)*GA225</f>
        <v>0</v>
      </c>
      <c r="GJ225" s="145" cm="1">
        <f t="array" ref="GJ225">SUMPRODUCT(--($CR$7:$FW$7&gt;=GJ$5),--($CR$7:$FW$7&lt;=GJ$6),$CR225:$FW225)*GB225</f>
        <v>0</v>
      </c>
      <c r="GK225" s="145" cm="1">
        <f t="array" ref="GK225">SUMPRODUCT(--($CR$7:$FW$7&gt;=GK$5),--($CR$7:$FW$7&lt;=GK$6),$CR225:$FW225)*GC225</f>
        <v>0</v>
      </c>
      <c r="GL225" s="145" cm="1">
        <f t="array" ref="GL225">SUMPRODUCT(--($CR$7:$FW$7&gt;=GL$5),--($CR$7:$FW$7&lt;=GL$6),$CR225:$FW225)*GD225</f>
        <v>0</v>
      </c>
      <c r="GM225" s="145" cm="1">
        <f t="array" ref="GM225">SUMPRODUCT(--($CR$7:$FW$7&gt;=GM$5),--($CR$7:$FW$7&lt;=GM$6),$CR225:$FW225)*GE225</f>
        <v>0</v>
      </c>
      <c r="GN225" s="145" cm="1">
        <f t="array" ref="GN225">SUMPRODUCT(--($CR$7:$FW$7&gt;=GN$5),--($CR$7:$FW$7&lt;=GN$6),$CR225:$FW225)*GF225</f>
        <v>0</v>
      </c>
      <c r="GO225" s="145">
        <f t="shared" si="3"/>
        <v>0</v>
      </c>
      <c r="GP225" s="87"/>
      <c r="GR225" s="145" cm="1">
        <f t="array" ref="GR225">SUMPRODUCT(--($CR$7:$FW$7&gt;=GR$5),--($CR$7:$FW$7&lt;=GR$6),$CR225:$FW225)</f>
        <v>0</v>
      </c>
    </row>
    <row r="226" spans="2:200" x14ac:dyDescent="0.2">
      <c r="B226" s="141"/>
      <c r="C226" s="141"/>
      <c r="D226" s="141"/>
      <c r="E226" s="141"/>
      <c r="F226" s="141"/>
      <c r="G226" s="141"/>
      <c r="H226" s="142"/>
      <c r="I226" s="126"/>
      <c r="J226" s="143"/>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3"/>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c r="EE226" s="145"/>
      <c r="EF226" s="145"/>
      <c r="EG226" s="145"/>
      <c r="EH226" s="145"/>
      <c r="EI226" s="145"/>
      <c r="EJ226" s="145"/>
      <c r="EK226" s="145"/>
      <c r="EL226" s="145"/>
      <c r="EM226" s="145"/>
      <c r="EN226" s="145"/>
      <c r="EO226" s="145"/>
      <c r="EP226" s="145"/>
      <c r="EQ226" s="145"/>
      <c r="ER226" s="145"/>
      <c r="ES226" s="145"/>
      <c r="ET226" s="145"/>
      <c r="EU226" s="145"/>
      <c r="EV226" s="145"/>
      <c r="EW226" s="145"/>
      <c r="EX226" s="145"/>
      <c r="EY226" s="145"/>
      <c r="EZ226" s="145"/>
      <c r="FA226" s="145"/>
      <c r="FB226" s="145"/>
      <c r="FC226" s="145"/>
      <c r="FD226" s="145"/>
      <c r="FE226" s="145"/>
      <c r="FF226" s="145"/>
      <c r="FG226" s="145"/>
      <c r="FH226" s="145"/>
      <c r="FI226" s="145"/>
      <c r="FJ226" s="145"/>
      <c r="FK226" s="145"/>
      <c r="FL226" s="145"/>
      <c r="FM226" s="145"/>
      <c r="FN226" s="145"/>
      <c r="FO226" s="145"/>
      <c r="FP226" s="145"/>
      <c r="FQ226" s="145"/>
      <c r="FR226" s="145"/>
      <c r="FS226" s="145"/>
      <c r="FT226" s="145"/>
      <c r="FU226" s="145"/>
      <c r="FV226" s="145"/>
      <c r="FW226" s="145"/>
      <c r="FX226" s="143"/>
      <c r="FY226" s="146">
        <f>_xlfn.XLOOKUP($E226,'Key assumptions'!$B$112:$B$120,'Key assumptions'!$C$112:$C$120,0)</f>
        <v>0</v>
      </c>
      <c r="FZ226" s="146" cm="1">
        <f t="array" ref="FZ226">IF($FY226=0,0,_xlfn.IFS($FY226='Key assumptions'!$C$120,_xlfn.XLOOKUP(LEFT(FZ$7,6),Inflation_Year,Inflation_NominaltoReal),TRUE,_xlfn.XLOOKUP($FY226,Inflation_Year,NominaltoReal)))</f>
        <v>0</v>
      </c>
      <c r="GA226" s="146" cm="1">
        <f t="array" ref="GA226">IF($FY226=0,0,_xlfn.IFS($FY226='Key assumptions'!$C$120,_xlfn.XLOOKUP(LEFT(GA$7,6),Inflation_Year,Inflation_NominaltoReal),TRUE,_xlfn.XLOOKUP($FY226,Inflation_Year,NominaltoReal)))</f>
        <v>0</v>
      </c>
      <c r="GB226" s="146" cm="1">
        <f t="array" ref="GB226">IF($FY226=0,0,_xlfn.IFS($FY226='Key assumptions'!$C$120,_xlfn.XLOOKUP(LEFT(GB$7,6),Inflation_Year,Inflation_NominaltoReal),TRUE,_xlfn.XLOOKUP($FY226,Inflation_Year,NominaltoReal)))</f>
        <v>0</v>
      </c>
      <c r="GC226" s="146" cm="1">
        <f t="array" ref="GC226">IF($FY226=0,0,_xlfn.IFS($FY226='Key assumptions'!$C$120,_xlfn.XLOOKUP(LEFT(GC$7,6),Inflation_Year,Inflation_NominaltoReal),TRUE,_xlfn.XLOOKUP($FY226,Inflation_Year,NominaltoReal)))</f>
        <v>0</v>
      </c>
      <c r="GD226" s="146" cm="1">
        <f t="array" ref="GD226">IF($FY226=0,0,_xlfn.IFS($FY226='Key assumptions'!$C$120,_xlfn.XLOOKUP(LEFT(GD$7,6),Inflation_Year,Inflation_NominaltoReal),TRUE,_xlfn.XLOOKUP($FY226,Inflation_Year,NominaltoReal)))</f>
        <v>0</v>
      </c>
      <c r="GE226" s="146" cm="1">
        <f t="array" ref="GE226">IF($FY226=0,0,_xlfn.IFS($FY226='Key assumptions'!$C$120,_xlfn.XLOOKUP(LEFT(GE$7,6),Inflation_Year,Inflation_NominaltoReal),TRUE,_xlfn.XLOOKUP($FY226,Inflation_Year,NominaltoReal)))</f>
        <v>0</v>
      </c>
      <c r="GF226" s="146" cm="1">
        <f t="array" ref="GF226">IF($FY226=0,0,_xlfn.IFS($FY226='Key assumptions'!$C$120,_xlfn.XLOOKUP(LEFT(GF$7,6),Inflation_Year,Inflation_NominaltoReal),TRUE,_xlfn.XLOOKUP($FY226,Inflation_Year,NominaltoReal)))</f>
        <v>0</v>
      </c>
      <c r="GG226" s="143"/>
      <c r="GH226" s="145" cm="1">
        <f t="array" ref="GH226">SUMPRODUCT(--($CR$7:$FW$7&gt;=GH$5),--($CR$7:$FW$7&lt;=GH$6),$CR226:$FW226)*FZ226</f>
        <v>0</v>
      </c>
      <c r="GI226" s="145" cm="1">
        <f t="array" ref="GI226">SUMPRODUCT(--($CR$7:$FW$7&gt;=GI$5),--($CR$7:$FW$7&lt;=GI$6),$CR226:$FW226)*GA226</f>
        <v>0</v>
      </c>
      <c r="GJ226" s="145" cm="1">
        <f t="array" ref="GJ226">SUMPRODUCT(--($CR$7:$FW$7&gt;=GJ$5),--($CR$7:$FW$7&lt;=GJ$6),$CR226:$FW226)*GB226</f>
        <v>0</v>
      </c>
      <c r="GK226" s="145" cm="1">
        <f t="array" ref="GK226">SUMPRODUCT(--($CR$7:$FW$7&gt;=GK$5),--($CR$7:$FW$7&lt;=GK$6),$CR226:$FW226)*GC226</f>
        <v>0</v>
      </c>
      <c r="GL226" s="145" cm="1">
        <f t="array" ref="GL226">SUMPRODUCT(--($CR$7:$FW$7&gt;=GL$5),--($CR$7:$FW$7&lt;=GL$6),$CR226:$FW226)*GD226</f>
        <v>0</v>
      </c>
      <c r="GM226" s="145" cm="1">
        <f t="array" ref="GM226">SUMPRODUCT(--($CR$7:$FW$7&gt;=GM$5),--($CR$7:$FW$7&lt;=GM$6),$CR226:$FW226)*GE226</f>
        <v>0</v>
      </c>
      <c r="GN226" s="145" cm="1">
        <f t="array" ref="GN226">SUMPRODUCT(--($CR$7:$FW$7&gt;=GN$5),--($CR$7:$FW$7&lt;=GN$6),$CR226:$FW226)*GF226</f>
        <v>0</v>
      </c>
      <c r="GO226" s="145">
        <f t="shared" si="3"/>
        <v>0</v>
      </c>
      <c r="GP226" s="87"/>
      <c r="GR226" s="145" cm="1">
        <f t="array" ref="GR226">SUMPRODUCT(--($CR$7:$FW$7&gt;=GR$5),--($CR$7:$FW$7&lt;=GR$6),$CR226:$FW226)</f>
        <v>0</v>
      </c>
    </row>
    <row r="227" spans="2:200" x14ac:dyDescent="0.2">
      <c r="B227" s="141"/>
      <c r="C227" s="141"/>
      <c r="D227" s="141"/>
      <c r="E227" s="141"/>
      <c r="F227" s="141"/>
      <c r="G227" s="141"/>
      <c r="H227" s="142"/>
      <c r="I227" s="126"/>
      <c r="J227" s="143"/>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3"/>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c r="EE227" s="145"/>
      <c r="EF227" s="145"/>
      <c r="EG227" s="145"/>
      <c r="EH227" s="145"/>
      <c r="EI227" s="145"/>
      <c r="EJ227" s="145"/>
      <c r="EK227" s="145"/>
      <c r="EL227" s="145"/>
      <c r="EM227" s="145"/>
      <c r="EN227" s="145"/>
      <c r="EO227" s="145"/>
      <c r="EP227" s="145"/>
      <c r="EQ227" s="145"/>
      <c r="ER227" s="145"/>
      <c r="ES227" s="145"/>
      <c r="ET227" s="145"/>
      <c r="EU227" s="145"/>
      <c r="EV227" s="145"/>
      <c r="EW227" s="145"/>
      <c r="EX227" s="145"/>
      <c r="EY227" s="145"/>
      <c r="EZ227" s="145"/>
      <c r="FA227" s="145"/>
      <c r="FB227" s="145"/>
      <c r="FC227" s="145"/>
      <c r="FD227" s="145"/>
      <c r="FE227" s="145"/>
      <c r="FF227" s="145"/>
      <c r="FG227" s="145"/>
      <c r="FH227" s="145"/>
      <c r="FI227" s="145"/>
      <c r="FJ227" s="145"/>
      <c r="FK227" s="145"/>
      <c r="FL227" s="145"/>
      <c r="FM227" s="145"/>
      <c r="FN227" s="145"/>
      <c r="FO227" s="145"/>
      <c r="FP227" s="145"/>
      <c r="FQ227" s="145"/>
      <c r="FR227" s="145"/>
      <c r="FS227" s="145"/>
      <c r="FT227" s="145"/>
      <c r="FU227" s="145"/>
      <c r="FV227" s="145"/>
      <c r="FW227" s="145"/>
      <c r="FX227" s="143"/>
      <c r="FY227" s="146">
        <f>_xlfn.XLOOKUP($E227,'Key assumptions'!$B$112:$B$120,'Key assumptions'!$C$112:$C$120,0)</f>
        <v>0</v>
      </c>
      <c r="FZ227" s="146" cm="1">
        <f t="array" ref="FZ227">IF($FY227=0,0,_xlfn.IFS($FY227='Key assumptions'!$C$120,_xlfn.XLOOKUP(LEFT(FZ$7,6),Inflation_Year,Inflation_NominaltoReal),TRUE,_xlfn.XLOOKUP($FY227,Inflation_Year,NominaltoReal)))</f>
        <v>0</v>
      </c>
      <c r="GA227" s="146" cm="1">
        <f t="array" ref="GA227">IF($FY227=0,0,_xlfn.IFS($FY227='Key assumptions'!$C$120,_xlfn.XLOOKUP(LEFT(GA$7,6),Inflation_Year,Inflation_NominaltoReal),TRUE,_xlfn.XLOOKUP($FY227,Inflation_Year,NominaltoReal)))</f>
        <v>0</v>
      </c>
      <c r="GB227" s="146" cm="1">
        <f t="array" ref="GB227">IF($FY227=0,0,_xlfn.IFS($FY227='Key assumptions'!$C$120,_xlfn.XLOOKUP(LEFT(GB$7,6),Inflation_Year,Inflation_NominaltoReal),TRUE,_xlfn.XLOOKUP($FY227,Inflation_Year,NominaltoReal)))</f>
        <v>0</v>
      </c>
      <c r="GC227" s="146" cm="1">
        <f t="array" ref="GC227">IF($FY227=0,0,_xlfn.IFS($FY227='Key assumptions'!$C$120,_xlfn.XLOOKUP(LEFT(GC$7,6),Inflation_Year,Inflation_NominaltoReal),TRUE,_xlfn.XLOOKUP($FY227,Inflation_Year,NominaltoReal)))</f>
        <v>0</v>
      </c>
      <c r="GD227" s="146" cm="1">
        <f t="array" ref="GD227">IF($FY227=0,0,_xlfn.IFS($FY227='Key assumptions'!$C$120,_xlfn.XLOOKUP(LEFT(GD$7,6),Inflation_Year,Inflation_NominaltoReal),TRUE,_xlfn.XLOOKUP($FY227,Inflation_Year,NominaltoReal)))</f>
        <v>0</v>
      </c>
      <c r="GE227" s="146" cm="1">
        <f t="array" ref="GE227">IF($FY227=0,0,_xlfn.IFS($FY227='Key assumptions'!$C$120,_xlfn.XLOOKUP(LEFT(GE$7,6),Inflation_Year,Inflation_NominaltoReal),TRUE,_xlfn.XLOOKUP($FY227,Inflation_Year,NominaltoReal)))</f>
        <v>0</v>
      </c>
      <c r="GF227" s="146" cm="1">
        <f t="array" ref="GF227">IF($FY227=0,0,_xlfn.IFS($FY227='Key assumptions'!$C$120,_xlfn.XLOOKUP(LEFT(GF$7,6),Inflation_Year,Inflation_NominaltoReal),TRUE,_xlfn.XLOOKUP($FY227,Inflation_Year,NominaltoReal)))</f>
        <v>0</v>
      </c>
      <c r="GG227" s="143"/>
      <c r="GH227" s="145" cm="1">
        <f t="array" ref="GH227">SUMPRODUCT(--($CR$7:$FW$7&gt;=GH$5),--($CR$7:$FW$7&lt;=GH$6),$CR227:$FW227)*FZ227</f>
        <v>0</v>
      </c>
      <c r="GI227" s="145" cm="1">
        <f t="array" ref="GI227">SUMPRODUCT(--($CR$7:$FW$7&gt;=GI$5),--($CR$7:$FW$7&lt;=GI$6),$CR227:$FW227)*GA227</f>
        <v>0</v>
      </c>
      <c r="GJ227" s="145" cm="1">
        <f t="array" ref="GJ227">SUMPRODUCT(--($CR$7:$FW$7&gt;=GJ$5),--($CR$7:$FW$7&lt;=GJ$6),$CR227:$FW227)*GB227</f>
        <v>0</v>
      </c>
      <c r="GK227" s="145" cm="1">
        <f t="array" ref="GK227">SUMPRODUCT(--($CR$7:$FW$7&gt;=GK$5),--($CR$7:$FW$7&lt;=GK$6),$CR227:$FW227)*GC227</f>
        <v>0</v>
      </c>
      <c r="GL227" s="145" cm="1">
        <f t="array" ref="GL227">SUMPRODUCT(--($CR$7:$FW$7&gt;=GL$5),--($CR$7:$FW$7&lt;=GL$6),$CR227:$FW227)*GD227</f>
        <v>0</v>
      </c>
      <c r="GM227" s="145" cm="1">
        <f t="array" ref="GM227">SUMPRODUCT(--($CR$7:$FW$7&gt;=GM$5),--($CR$7:$FW$7&lt;=GM$6),$CR227:$FW227)*GE227</f>
        <v>0</v>
      </c>
      <c r="GN227" s="145" cm="1">
        <f t="array" ref="GN227">SUMPRODUCT(--($CR$7:$FW$7&gt;=GN$5),--($CR$7:$FW$7&lt;=GN$6),$CR227:$FW227)*GF227</f>
        <v>0</v>
      </c>
      <c r="GO227" s="145">
        <f t="shared" si="3"/>
        <v>0</v>
      </c>
      <c r="GP227" s="87"/>
      <c r="GR227" s="145" cm="1">
        <f t="array" ref="GR227">SUMPRODUCT(--($CR$7:$FW$7&gt;=GR$5),--($CR$7:$FW$7&lt;=GR$6),$CR227:$FW227)</f>
        <v>0</v>
      </c>
    </row>
    <row r="228" spans="2:200" x14ac:dyDescent="0.2">
      <c r="B228" s="141"/>
      <c r="C228" s="141"/>
      <c r="D228" s="141"/>
      <c r="E228" s="141"/>
      <c r="F228" s="141"/>
      <c r="G228" s="141"/>
      <c r="H228" s="142"/>
      <c r="I228" s="126"/>
      <c r="J228" s="143"/>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3"/>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c r="EE228" s="145"/>
      <c r="EF228" s="145"/>
      <c r="EG228" s="145"/>
      <c r="EH228" s="145"/>
      <c r="EI228" s="145"/>
      <c r="EJ228" s="145"/>
      <c r="EK228" s="145"/>
      <c r="EL228" s="145"/>
      <c r="EM228" s="145"/>
      <c r="EN228" s="145"/>
      <c r="EO228" s="145"/>
      <c r="EP228" s="145"/>
      <c r="EQ228" s="145"/>
      <c r="ER228" s="145"/>
      <c r="ES228" s="145"/>
      <c r="ET228" s="145"/>
      <c r="EU228" s="145"/>
      <c r="EV228" s="145"/>
      <c r="EW228" s="145"/>
      <c r="EX228" s="145"/>
      <c r="EY228" s="145"/>
      <c r="EZ228" s="145"/>
      <c r="FA228" s="145"/>
      <c r="FB228" s="145"/>
      <c r="FC228" s="145"/>
      <c r="FD228" s="145"/>
      <c r="FE228" s="145"/>
      <c r="FF228" s="145"/>
      <c r="FG228" s="145"/>
      <c r="FH228" s="145"/>
      <c r="FI228" s="145"/>
      <c r="FJ228" s="145"/>
      <c r="FK228" s="145"/>
      <c r="FL228" s="145"/>
      <c r="FM228" s="145"/>
      <c r="FN228" s="145"/>
      <c r="FO228" s="145"/>
      <c r="FP228" s="145"/>
      <c r="FQ228" s="145"/>
      <c r="FR228" s="145"/>
      <c r="FS228" s="145"/>
      <c r="FT228" s="145"/>
      <c r="FU228" s="145"/>
      <c r="FV228" s="145"/>
      <c r="FW228" s="145"/>
      <c r="FX228" s="143"/>
      <c r="FY228" s="146">
        <f>_xlfn.XLOOKUP($E228,'Key assumptions'!$B$112:$B$120,'Key assumptions'!$C$112:$C$120,0)</f>
        <v>0</v>
      </c>
      <c r="FZ228" s="146" cm="1">
        <f t="array" ref="FZ228">IF($FY228=0,0,_xlfn.IFS($FY228='Key assumptions'!$C$120,_xlfn.XLOOKUP(LEFT(FZ$7,6),Inflation_Year,Inflation_NominaltoReal),TRUE,_xlfn.XLOOKUP($FY228,Inflation_Year,NominaltoReal)))</f>
        <v>0</v>
      </c>
      <c r="GA228" s="146" cm="1">
        <f t="array" ref="GA228">IF($FY228=0,0,_xlfn.IFS($FY228='Key assumptions'!$C$120,_xlfn.XLOOKUP(LEFT(GA$7,6),Inflation_Year,Inflation_NominaltoReal),TRUE,_xlfn.XLOOKUP($FY228,Inflation_Year,NominaltoReal)))</f>
        <v>0</v>
      </c>
      <c r="GB228" s="146" cm="1">
        <f t="array" ref="GB228">IF($FY228=0,0,_xlfn.IFS($FY228='Key assumptions'!$C$120,_xlfn.XLOOKUP(LEFT(GB$7,6),Inflation_Year,Inflation_NominaltoReal),TRUE,_xlfn.XLOOKUP($FY228,Inflation_Year,NominaltoReal)))</f>
        <v>0</v>
      </c>
      <c r="GC228" s="146" cm="1">
        <f t="array" ref="GC228">IF($FY228=0,0,_xlfn.IFS($FY228='Key assumptions'!$C$120,_xlfn.XLOOKUP(LEFT(GC$7,6),Inflation_Year,Inflation_NominaltoReal),TRUE,_xlfn.XLOOKUP($FY228,Inflation_Year,NominaltoReal)))</f>
        <v>0</v>
      </c>
      <c r="GD228" s="146" cm="1">
        <f t="array" ref="GD228">IF($FY228=0,0,_xlfn.IFS($FY228='Key assumptions'!$C$120,_xlfn.XLOOKUP(LEFT(GD$7,6),Inflation_Year,Inflation_NominaltoReal),TRUE,_xlfn.XLOOKUP($FY228,Inflation_Year,NominaltoReal)))</f>
        <v>0</v>
      </c>
      <c r="GE228" s="146" cm="1">
        <f t="array" ref="GE228">IF($FY228=0,0,_xlfn.IFS($FY228='Key assumptions'!$C$120,_xlfn.XLOOKUP(LEFT(GE$7,6),Inflation_Year,Inflation_NominaltoReal),TRUE,_xlfn.XLOOKUP($FY228,Inflation_Year,NominaltoReal)))</f>
        <v>0</v>
      </c>
      <c r="GF228" s="146" cm="1">
        <f t="array" ref="GF228">IF($FY228=0,0,_xlfn.IFS($FY228='Key assumptions'!$C$120,_xlfn.XLOOKUP(LEFT(GF$7,6),Inflation_Year,Inflation_NominaltoReal),TRUE,_xlfn.XLOOKUP($FY228,Inflation_Year,NominaltoReal)))</f>
        <v>0</v>
      </c>
      <c r="GG228" s="143"/>
      <c r="GH228" s="145" cm="1">
        <f t="array" ref="GH228">SUMPRODUCT(--($CR$7:$FW$7&gt;=GH$5),--($CR$7:$FW$7&lt;=GH$6),$CR228:$FW228)*FZ228</f>
        <v>0</v>
      </c>
      <c r="GI228" s="145" cm="1">
        <f t="array" ref="GI228">SUMPRODUCT(--($CR$7:$FW$7&gt;=GI$5),--($CR$7:$FW$7&lt;=GI$6),$CR228:$FW228)*GA228</f>
        <v>0</v>
      </c>
      <c r="GJ228" s="145" cm="1">
        <f t="array" ref="GJ228">SUMPRODUCT(--($CR$7:$FW$7&gt;=GJ$5),--($CR$7:$FW$7&lt;=GJ$6),$CR228:$FW228)*GB228</f>
        <v>0</v>
      </c>
      <c r="GK228" s="145" cm="1">
        <f t="array" ref="GK228">SUMPRODUCT(--($CR$7:$FW$7&gt;=GK$5),--($CR$7:$FW$7&lt;=GK$6),$CR228:$FW228)*GC228</f>
        <v>0</v>
      </c>
      <c r="GL228" s="145" cm="1">
        <f t="array" ref="GL228">SUMPRODUCT(--($CR$7:$FW$7&gt;=GL$5),--($CR$7:$FW$7&lt;=GL$6),$CR228:$FW228)*GD228</f>
        <v>0</v>
      </c>
      <c r="GM228" s="145" cm="1">
        <f t="array" ref="GM228">SUMPRODUCT(--($CR$7:$FW$7&gt;=GM$5),--($CR$7:$FW$7&lt;=GM$6),$CR228:$FW228)*GE228</f>
        <v>0</v>
      </c>
      <c r="GN228" s="145" cm="1">
        <f t="array" ref="GN228">SUMPRODUCT(--($CR$7:$FW$7&gt;=GN$5),--($CR$7:$FW$7&lt;=GN$6),$CR228:$FW228)*GF228</f>
        <v>0</v>
      </c>
      <c r="GO228" s="145">
        <f t="shared" si="3"/>
        <v>0</v>
      </c>
      <c r="GP228" s="87"/>
      <c r="GR228" s="145" cm="1">
        <f t="array" ref="GR228">SUMPRODUCT(--($CR$7:$FW$7&gt;=GR$5),--($CR$7:$FW$7&lt;=GR$6),$CR228:$FW228)</f>
        <v>0</v>
      </c>
    </row>
    <row r="229" spans="2:200" x14ac:dyDescent="0.2">
      <c r="B229" s="141"/>
      <c r="C229" s="141"/>
      <c r="D229" s="141"/>
      <c r="E229" s="141"/>
      <c r="F229" s="141"/>
      <c r="G229" s="141"/>
      <c r="H229" s="142"/>
      <c r="I229" s="126"/>
      <c r="J229" s="143"/>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3"/>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c r="EE229" s="145"/>
      <c r="EF229" s="145"/>
      <c r="EG229" s="145"/>
      <c r="EH229" s="145"/>
      <c r="EI229" s="145"/>
      <c r="EJ229" s="145"/>
      <c r="EK229" s="145"/>
      <c r="EL229" s="145"/>
      <c r="EM229" s="145"/>
      <c r="EN229" s="145"/>
      <c r="EO229" s="145"/>
      <c r="EP229" s="145"/>
      <c r="EQ229" s="145"/>
      <c r="ER229" s="145"/>
      <c r="ES229" s="145"/>
      <c r="ET229" s="145"/>
      <c r="EU229" s="145"/>
      <c r="EV229" s="145"/>
      <c r="EW229" s="145"/>
      <c r="EX229" s="145"/>
      <c r="EY229" s="145"/>
      <c r="EZ229" s="145"/>
      <c r="FA229" s="145"/>
      <c r="FB229" s="145"/>
      <c r="FC229" s="145"/>
      <c r="FD229" s="14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3"/>
      <c r="FY229" s="146">
        <f>_xlfn.XLOOKUP($E229,'Key assumptions'!$B$112:$B$120,'Key assumptions'!$C$112:$C$120,0)</f>
        <v>0</v>
      </c>
      <c r="FZ229" s="146" cm="1">
        <f t="array" ref="FZ229">IF($FY229=0,0,_xlfn.IFS($FY229='Key assumptions'!$C$120,_xlfn.XLOOKUP(LEFT(FZ$7,6),Inflation_Year,Inflation_NominaltoReal),TRUE,_xlfn.XLOOKUP($FY229,Inflation_Year,NominaltoReal)))</f>
        <v>0</v>
      </c>
      <c r="GA229" s="146" cm="1">
        <f t="array" ref="GA229">IF($FY229=0,0,_xlfn.IFS($FY229='Key assumptions'!$C$120,_xlfn.XLOOKUP(LEFT(GA$7,6),Inflation_Year,Inflation_NominaltoReal),TRUE,_xlfn.XLOOKUP($FY229,Inflation_Year,NominaltoReal)))</f>
        <v>0</v>
      </c>
      <c r="GB229" s="146" cm="1">
        <f t="array" ref="GB229">IF($FY229=0,0,_xlfn.IFS($FY229='Key assumptions'!$C$120,_xlfn.XLOOKUP(LEFT(GB$7,6),Inflation_Year,Inflation_NominaltoReal),TRUE,_xlfn.XLOOKUP($FY229,Inflation_Year,NominaltoReal)))</f>
        <v>0</v>
      </c>
      <c r="GC229" s="146" cm="1">
        <f t="array" ref="GC229">IF($FY229=0,0,_xlfn.IFS($FY229='Key assumptions'!$C$120,_xlfn.XLOOKUP(LEFT(GC$7,6),Inflation_Year,Inflation_NominaltoReal),TRUE,_xlfn.XLOOKUP($FY229,Inflation_Year,NominaltoReal)))</f>
        <v>0</v>
      </c>
      <c r="GD229" s="146" cm="1">
        <f t="array" ref="GD229">IF($FY229=0,0,_xlfn.IFS($FY229='Key assumptions'!$C$120,_xlfn.XLOOKUP(LEFT(GD$7,6),Inflation_Year,Inflation_NominaltoReal),TRUE,_xlfn.XLOOKUP($FY229,Inflation_Year,NominaltoReal)))</f>
        <v>0</v>
      </c>
      <c r="GE229" s="146" cm="1">
        <f t="array" ref="GE229">IF($FY229=0,0,_xlfn.IFS($FY229='Key assumptions'!$C$120,_xlfn.XLOOKUP(LEFT(GE$7,6),Inflation_Year,Inflation_NominaltoReal),TRUE,_xlfn.XLOOKUP($FY229,Inflation_Year,NominaltoReal)))</f>
        <v>0</v>
      </c>
      <c r="GF229" s="146" cm="1">
        <f t="array" ref="GF229">IF($FY229=0,0,_xlfn.IFS($FY229='Key assumptions'!$C$120,_xlfn.XLOOKUP(LEFT(GF$7,6),Inflation_Year,Inflation_NominaltoReal),TRUE,_xlfn.XLOOKUP($FY229,Inflation_Year,NominaltoReal)))</f>
        <v>0</v>
      </c>
      <c r="GG229" s="143"/>
      <c r="GH229" s="145" cm="1">
        <f t="array" ref="GH229">SUMPRODUCT(--($CR$7:$FW$7&gt;=GH$5),--($CR$7:$FW$7&lt;=GH$6),$CR229:$FW229)*FZ229</f>
        <v>0</v>
      </c>
      <c r="GI229" s="145" cm="1">
        <f t="array" ref="GI229">SUMPRODUCT(--($CR$7:$FW$7&gt;=GI$5),--($CR$7:$FW$7&lt;=GI$6),$CR229:$FW229)*GA229</f>
        <v>0</v>
      </c>
      <c r="GJ229" s="145" cm="1">
        <f t="array" ref="GJ229">SUMPRODUCT(--($CR$7:$FW$7&gt;=GJ$5),--($CR$7:$FW$7&lt;=GJ$6),$CR229:$FW229)*GB229</f>
        <v>0</v>
      </c>
      <c r="GK229" s="145" cm="1">
        <f t="array" ref="GK229">SUMPRODUCT(--($CR$7:$FW$7&gt;=GK$5),--($CR$7:$FW$7&lt;=GK$6),$CR229:$FW229)*GC229</f>
        <v>0</v>
      </c>
      <c r="GL229" s="145" cm="1">
        <f t="array" ref="GL229">SUMPRODUCT(--($CR$7:$FW$7&gt;=GL$5),--($CR$7:$FW$7&lt;=GL$6),$CR229:$FW229)*GD229</f>
        <v>0</v>
      </c>
      <c r="GM229" s="145" cm="1">
        <f t="array" ref="GM229">SUMPRODUCT(--($CR$7:$FW$7&gt;=GM$5),--($CR$7:$FW$7&lt;=GM$6),$CR229:$FW229)*GE229</f>
        <v>0</v>
      </c>
      <c r="GN229" s="145" cm="1">
        <f t="array" ref="GN229">SUMPRODUCT(--($CR$7:$FW$7&gt;=GN$5),--($CR$7:$FW$7&lt;=GN$6),$CR229:$FW229)*GF229</f>
        <v>0</v>
      </c>
      <c r="GO229" s="145">
        <f t="shared" si="3"/>
        <v>0</v>
      </c>
      <c r="GP229" s="87"/>
      <c r="GR229" s="145" cm="1">
        <f t="array" ref="GR229">SUMPRODUCT(--($CR$7:$FW$7&gt;=GR$5),--($CR$7:$FW$7&lt;=GR$6),$CR229:$FW229)</f>
        <v>0</v>
      </c>
    </row>
    <row r="230" spans="2:200" x14ac:dyDescent="0.2">
      <c r="B230" s="141"/>
      <c r="C230" s="141"/>
      <c r="D230" s="141"/>
      <c r="E230" s="141"/>
      <c r="F230" s="141"/>
      <c r="G230" s="141"/>
      <c r="H230" s="142"/>
      <c r="I230" s="126"/>
      <c r="J230" s="143"/>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3"/>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c r="EE230" s="145"/>
      <c r="EF230" s="145"/>
      <c r="EG230" s="145"/>
      <c r="EH230" s="145"/>
      <c r="EI230" s="145"/>
      <c r="EJ230" s="145"/>
      <c r="EK230" s="145"/>
      <c r="EL230" s="145"/>
      <c r="EM230" s="145"/>
      <c r="EN230" s="145"/>
      <c r="EO230" s="145"/>
      <c r="EP230" s="145"/>
      <c r="EQ230" s="145"/>
      <c r="ER230" s="145"/>
      <c r="ES230" s="145"/>
      <c r="ET230" s="145"/>
      <c r="EU230" s="145"/>
      <c r="EV230" s="145"/>
      <c r="EW230" s="145"/>
      <c r="EX230" s="145"/>
      <c r="EY230" s="145"/>
      <c r="EZ230" s="145"/>
      <c r="FA230" s="145"/>
      <c r="FB230" s="145"/>
      <c r="FC230" s="145"/>
      <c r="FD230" s="14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3"/>
      <c r="FY230" s="146">
        <f>_xlfn.XLOOKUP($E230,'Key assumptions'!$B$112:$B$120,'Key assumptions'!$C$112:$C$120,0)</f>
        <v>0</v>
      </c>
      <c r="FZ230" s="146" cm="1">
        <f t="array" ref="FZ230">IF($FY230=0,0,_xlfn.IFS($FY230='Key assumptions'!$C$120,_xlfn.XLOOKUP(LEFT(FZ$7,6),Inflation_Year,Inflation_NominaltoReal),TRUE,_xlfn.XLOOKUP($FY230,Inflation_Year,NominaltoReal)))</f>
        <v>0</v>
      </c>
      <c r="GA230" s="146" cm="1">
        <f t="array" ref="GA230">IF($FY230=0,0,_xlfn.IFS($FY230='Key assumptions'!$C$120,_xlfn.XLOOKUP(LEFT(GA$7,6),Inflation_Year,Inflation_NominaltoReal),TRUE,_xlfn.XLOOKUP($FY230,Inflation_Year,NominaltoReal)))</f>
        <v>0</v>
      </c>
      <c r="GB230" s="146" cm="1">
        <f t="array" ref="GB230">IF($FY230=0,0,_xlfn.IFS($FY230='Key assumptions'!$C$120,_xlfn.XLOOKUP(LEFT(GB$7,6),Inflation_Year,Inflation_NominaltoReal),TRUE,_xlfn.XLOOKUP($FY230,Inflation_Year,NominaltoReal)))</f>
        <v>0</v>
      </c>
      <c r="GC230" s="146" cm="1">
        <f t="array" ref="GC230">IF($FY230=0,0,_xlfn.IFS($FY230='Key assumptions'!$C$120,_xlfn.XLOOKUP(LEFT(GC$7,6),Inflation_Year,Inflation_NominaltoReal),TRUE,_xlfn.XLOOKUP($FY230,Inflation_Year,NominaltoReal)))</f>
        <v>0</v>
      </c>
      <c r="GD230" s="146" cm="1">
        <f t="array" ref="GD230">IF($FY230=0,0,_xlfn.IFS($FY230='Key assumptions'!$C$120,_xlfn.XLOOKUP(LEFT(GD$7,6),Inflation_Year,Inflation_NominaltoReal),TRUE,_xlfn.XLOOKUP($FY230,Inflation_Year,NominaltoReal)))</f>
        <v>0</v>
      </c>
      <c r="GE230" s="146" cm="1">
        <f t="array" ref="GE230">IF($FY230=0,0,_xlfn.IFS($FY230='Key assumptions'!$C$120,_xlfn.XLOOKUP(LEFT(GE$7,6),Inflation_Year,Inflation_NominaltoReal),TRUE,_xlfn.XLOOKUP($FY230,Inflation_Year,NominaltoReal)))</f>
        <v>0</v>
      </c>
      <c r="GF230" s="146" cm="1">
        <f t="array" ref="GF230">IF($FY230=0,0,_xlfn.IFS($FY230='Key assumptions'!$C$120,_xlfn.XLOOKUP(LEFT(GF$7,6),Inflation_Year,Inflation_NominaltoReal),TRUE,_xlfn.XLOOKUP($FY230,Inflation_Year,NominaltoReal)))</f>
        <v>0</v>
      </c>
      <c r="GG230" s="143"/>
      <c r="GH230" s="145" cm="1">
        <f t="array" ref="GH230">SUMPRODUCT(--($CR$7:$FW$7&gt;=GH$5),--($CR$7:$FW$7&lt;=GH$6),$CR230:$FW230)*FZ230</f>
        <v>0</v>
      </c>
      <c r="GI230" s="145" cm="1">
        <f t="array" ref="GI230">SUMPRODUCT(--($CR$7:$FW$7&gt;=GI$5),--($CR$7:$FW$7&lt;=GI$6),$CR230:$FW230)*GA230</f>
        <v>0</v>
      </c>
      <c r="GJ230" s="145" cm="1">
        <f t="array" ref="GJ230">SUMPRODUCT(--($CR$7:$FW$7&gt;=GJ$5),--($CR$7:$FW$7&lt;=GJ$6),$CR230:$FW230)*GB230</f>
        <v>0</v>
      </c>
      <c r="GK230" s="145" cm="1">
        <f t="array" ref="GK230">SUMPRODUCT(--($CR$7:$FW$7&gt;=GK$5),--($CR$7:$FW$7&lt;=GK$6),$CR230:$FW230)*GC230</f>
        <v>0</v>
      </c>
      <c r="GL230" s="145" cm="1">
        <f t="array" ref="GL230">SUMPRODUCT(--($CR$7:$FW$7&gt;=GL$5),--($CR$7:$FW$7&lt;=GL$6),$CR230:$FW230)*GD230</f>
        <v>0</v>
      </c>
      <c r="GM230" s="145" cm="1">
        <f t="array" ref="GM230">SUMPRODUCT(--($CR$7:$FW$7&gt;=GM$5),--($CR$7:$FW$7&lt;=GM$6),$CR230:$FW230)*GE230</f>
        <v>0</v>
      </c>
      <c r="GN230" s="145" cm="1">
        <f t="array" ref="GN230">SUMPRODUCT(--($CR$7:$FW$7&gt;=GN$5),--($CR$7:$FW$7&lt;=GN$6),$CR230:$FW230)*GF230</f>
        <v>0</v>
      </c>
      <c r="GO230" s="145">
        <f t="shared" si="3"/>
        <v>0</v>
      </c>
      <c r="GP230" s="87"/>
      <c r="GR230" s="145" cm="1">
        <f t="array" ref="GR230">SUMPRODUCT(--($CR$7:$FW$7&gt;=GR$5),--($CR$7:$FW$7&lt;=GR$6),$CR230:$FW230)</f>
        <v>0</v>
      </c>
    </row>
    <row r="231" spans="2:200" x14ac:dyDescent="0.2">
      <c r="B231" s="141"/>
      <c r="C231" s="141"/>
      <c r="D231" s="141"/>
      <c r="E231" s="141"/>
      <c r="F231" s="141"/>
      <c r="G231" s="141"/>
      <c r="H231" s="142"/>
      <c r="I231" s="126"/>
      <c r="J231" s="143"/>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3"/>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c r="EE231" s="145"/>
      <c r="EF231" s="145"/>
      <c r="EG231" s="145"/>
      <c r="EH231" s="145"/>
      <c r="EI231" s="145"/>
      <c r="EJ231" s="145"/>
      <c r="EK231" s="145"/>
      <c r="EL231" s="145"/>
      <c r="EM231" s="145"/>
      <c r="EN231" s="145"/>
      <c r="EO231" s="145"/>
      <c r="EP231" s="145"/>
      <c r="EQ231" s="145"/>
      <c r="ER231" s="145"/>
      <c r="ES231" s="145"/>
      <c r="ET231" s="145"/>
      <c r="EU231" s="145"/>
      <c r="EV231" s="145"/>
      <c r="EW231" s="145"/>
      <c r="EX231" s="145"/>
      <c r="EY231" s="145"/>
      <c r="EZ231" s="145"/>
      <c r="FA231" s="145"/>
      <c r="FB231" s="145"/>
      <c r="FC231" s="145"/>
      <c r="FD231" s="145"/>
      <c r="FE231" s="145"/>
      <c r="FF231" s="145"/>
      <c r="FG231" s="145"/>
      <c r="FH231" s="145"/>
      <c r="FI231" s="145"/>
      <c r="FJ231" s="145"/>
      <c r="FK231" s="145"/>
      <c r="FL231" s="145"/>
      <c r="FM231" s="145"/>
      <c r="FN231" s="145"/>
      <c r="FO231" s="145"/>
      <c r="FP231" s="145"/>
      <c r="FQ231" s="145"/>
      <c r="FR231" s="145"/>
      <c r="FS231" s="145"/>
      <c r="FT231" s="145"/>
      <c r="FU231" s="145"/>
      <c r="FV231" s="145"/>
      <c r="FW231" s="145"/>
      <c r="FX231" s="143"/>
      <c r="FY231" s="146">
        <f>_xlfn.XLOOKUP($E231,'Key assumptions'!$B$112:$B$120,'Key assumptions'!$C$112:$C$120,0)</f>
        <v>0</v>
      </c>
      <c r="FZ231" s="146" cm="1">
        <f t="array" ref="FZ231">IF($FY231=0,0,_xlfn.IFS($FY231='Key assumptions'!$C$120,_xlfn.XLOOKUP(LEFT(FZ$7,6),Inflation_Year,Inflation_NominaltoReal),TRUE,_xlfn.XLOOKUP($FY231,Inflation_Year,NominaltoReal)))</f>
        <v>0</v>
      </c>
      <c r="GA231" s="146" cm="1">
        <f t="array" ref="GA231">IF($FY231=0,0,_xlfn.IFS($FY231='Key assumptions'!$C$120,_xlfn.XLOOKUP(LEFT(GA$7,6),Inflation_Year,Inflation_NominaltoReal),TRUE,_xlfn.XLOOKUP($FY231,Inflation_Year,NominaltoReal)))</f>
        <v>0</v>
      </c>
      <c r="GB231" s="146" cm="1">
        <f t="array" ref="GB231">IF($FY231=0,0,_xlfn.IFS($FY231='Key assumptions'!$C$120,_xlfn.XLOOKUP(LEFT(GB$7,6),Inflation_Year,Inflation_NominaltoReal),TRUE,_xlfn.XLOOKUP($FY231,Inflation_Year,NominaltoReal)))</f>
        <v>0</v>
      </c>
      <c r="GC231" s="146" cm="1">
        <f t="array" ref="GC231">IF($FY231=0,0,_xlfn.IFS($FY231='Key assumptions'!$C$120,_xlfn.XLOOKUP(LEFT(GC$7,6),Inflation_Year,Inflation_NominaltoReal),TRUE,_xlfn.XLOOKUP($FY231,Inflation_Year,NominaltoReal)))</f>
        <v>0</v>
      </c>
      <c r="GD231" s="146" cm="1">
        <f t="array" ref="GD231">IF($FY231=0,0,_xlfn.IFS($FY231='Key assumptions'!$C$120,_xlfn.XLOOKUP(LEFT(GD$7,6),Inflation_Year,Inflation_NominaltoReal),TRUE,_xlfn.XLOOKUP($FY231,Inflation_Year,NominaltoReal)))</f>
        <v>0</v>
      </c>
      <c r="GE231" s="146" cm="1">
        <f t="array" ref="GE231">IF($FY231=0,0,_xlfn.IFS($FY231='Key assumptions'!$C$120,_xlfn.XLOOKUP(LEFT(GE$7,6),Inflation_Year,Inflation_NominaltoReal),TRUE,_xlfn.XLOOKUP($FY231,Inflation_Year,NominaltoReal)))</f>
        <v>0</v>
      </c>
      <c r="GF231" s="146" cm="1">
        <f t="array" ref="GF231">IF($FY231=0,0,_xlfn.IFS($FY231='Key assumptions'!$C$120,_xlfn.XLOOKUP(LEFT(GF$7,6),Inflation_Year,Inflation_NominaltoReal),TRUE,_xlfn.XLOOKUP($FY231,Inflation_Year,NominaltoReal)))</f>
        <v>0</v>
      </c>
      <c r="GG231" s="143"/>
      <c r="GH231" s="145" cm="1">
        <f t="array" ref="GH231">SUMPRODUCT(--($CR$7:$FW$7&gt;=GH$5),--($CR$7:$FW$7&lt;=GH$6),$CR231:$FW231)*FZ231</f>
        <v>0</v>
      </c>
      <c r="GI231" s="145" cm="1">
        <f t="array" ref="GI231">SUMPRODUCT(--($CR$7:$FW$7&gt;=GI$5),--($CR$7:$FW$7&lt;=GI$6),$CR231:$FW231)*GA231</f>
        <v>0</v>
      </c>
      <c r="GJ231" s="145" cm="1">
        <f t="array" ref="GJ231">SUMPRODUCT(--($CR$7:$FW$7&gt;=GJ$5),--($CR$7:$FW$7&lt;=GJ$6),$CR231:$FW231)*GB231</f>
        <v>0</v>
      </c>
      <c r="GK231" s="145" cm="1">
        <f t="array" ref="GK231">SUMPRODUCT(--($CR$7:$FW$7&gt;=GK$5),--($CR$7:$FW$7&lt;=GK$6),$CR231:$FW231)*GC231</f>
        <v>0</v>
      </c>
      <c r="GL231" s="145" cm="1">
        <f t="array" ref="GL231">SUMPRODUCT(--($CR$7:$FW$7&gt;=GL$5),--($CR$7:$FW$7&lt;=GL$6),$CR231:$FW231)*GD231</f>
        <v>0</v>
      </c>
      <c r="GM231" s="145" cm="1">
        <f t="array" ref="GM231">SUMPRODUCT(--($CR$7:$FW$7&gt;=GM$5),--($CR$7:$FW$7&lt;=GM$6),$CR231:$FW231)*GE231</f>
        <v>0</v>
      </c>
      <c r="GN231" s="145" cm="1">
        <f t="array" ref="GN231">SUMPRODUCT(--($CR$7:$FW$7&gt;=GN$5),--($CR$7:$FW$7&lt;=GN$6),$CR231:$FW231)*GF231</f>
        <v>0</v>
      </c>
      <c r="GO231" s="145">
        <f t="shared" si="3"/>
        <v>0</v>
      </c>
      <c r="GP231" s="87"/>
      <c r="GR231" s="145" cm="1">
        <f t="array" ref="GR231">SUMPRODUCT(--($CR$7:$FW$7&gt;=GR$5),--($CR$7:$FW$7&lt;=GR$6),$CR231:$FW231)</f>
        <v>0</v>
      </c>
    </row>
    <row r="232" spans="2:200" x14ac:dyDescent="0.2">
      <c r="B232" s="141"/>
      <c r="C232" s="141"/>
      <c r="D232" s="141"/>
      <c r="E232" s="141"/>
      <c r="F232" s="141"/>
      <c r="G232" s="141"/>
      <c r="H232" s="142"/>
      <c r="I232" s="126"/>
      <c r="J232" s="143"/>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3"/>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45"/>
      <c r="FB232" s="145"/>
      <c r="FC232" s="145"/>
      <c r="FD232" s="14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3"/>
      <c r="FY232" s="146">
        <f>_xlfn.XLOOKUP($E232,'Key assumptions'!$B$112:$B$120,'Key assumptions'!$C$112:$C$120,0)</f>
        <v>0</v>
      </c>
      <c r="FZ232" s="146" cm="1">
        <f t="array" ref="FZ232">IF($FY232=0,0,_xlfn.IFS($FY232='Key assumptions'!$C$120,_xlfn.XLOOKUP(LEFT(FZ$7,6),Inflation_Year,Inflation_NominaltoReal),TRUE,_xlfn.XLOOKUP($FY232,Inflation_Year,NominaltoReal)))</f>
        <v>0</v>
      </c>
      <c r="GA232" s="146" cm="1">
        <f t="array" ref="GA232">IF($FY232=0,0,_xlfn.IFS($FY232='Key assumptions'!$C$120,_xlfn.XLOOKUP(LEFT(GA$7,6),Inflation_Year,Inflation_NominaltoReal),TRUE,_xlfn.XLOOKUP($FY232,Inflation_Year,NominaltoReal)))</f>
        <v>0</v>
      </c>
      <c r="GB232" s="146" cm="1">
        <f t="array" ref="GB232">IF($FY232=0,0,_xlfn.IFS($FY232='Key assumptions'!$C$120,_xlfn.XLOOKUP(LEFT(GB$7,6),Inflation_Year,Inflation_NominaltoReal),TRUE,_xlfn.XLOOKUP($FY232,Inflation_Year,NominaltoReal)))</f>
        <v>0</v>
      </c>
      <c r="GC232" s="146" cm="1">
        <f t="array" ref="GC232">IF($FY232=0,0,_xlfn.IFS($FY232='Key assumptions'!$C$120,_xlfn.XLOOKUP(LEFT(GC$7,6),Inflation_Year,Inflation_NominaltoReal),TRUE,_xlfn.XLOOKUP($FY232,Inflation_Year,NominaltoReal)))</f>
        <v>0</v>
      </c>
      <c r="GD232" s="146" cm="1">
        <f t="array" ref="GD232">IF($FY232=0,0,_xlfn.IFS($FY232='Key assumptions'!$C$120,_xlfn.XLOOKUP(LEFT(GD$7,6),Inflation_Year,Inflation_NominaltoReal),TRUE,_xlfn.XLOOKUP($FY232,Inflation_Year,NominaltoReal)))</f>
        <v>0</v>
      </c>
      <c r="GE232" s="146" cm="1">
        <f t="array" ref="GE232">IF($FY232=0,0,_xlfn.IFS($FY232='Key assumptions'!$C$120,_xlfn.XLOOKUP(LEFT(GE$7,6),Inflation_Year,Inflation_NominaltoReal),TRUE,_xlfn.XLOOKUP($FY232,Inflation_Year,NominaltoReal)))</f>
        <v>0</v>
      </c>
      <c r="GF232" s="146" cm="1">
        <f t="array" ref="GF232">IF($FY232=0,0,_xlfn.IFS($FY232='Key assumptions'!$C$120,_xlfn.XLOOKUP(LEFT(GF$7,6),Inflation_Year,Inflation_NominaltoReal),TRUE,_xlfn.XLOOKUP($FY232,Inflation_Year,NominaltoReal)))</f>
        <v>0</v>
      </c>
      <c r="GG232" s="143"/>
      <c r="GH232" s="145" cm="1">
        <f t="array" ref="GH232">SUMPRODUCT(--($CR$7:$FW$7&gt;=GH$5),--($CR$7:$FW$7&lt;=GH$6),$CR232:$FW232)*FZ232</f>
        <v>0</v>
      </c>
      <c r="GI232" s="145" cm="1">
        <f t="array" ref="GI232">SUMPRODUCT(--($CR$7:$FW$7&gt;=GI$5),--($CR$7:$FW$7&lt;=GI$6),$CR232:$FW232)*GA232</f>
        <v>0</v>
      </c>
      <c r="GJ232" s="145" cm="1">
        <f t="array" ref="GJ232">SUMPRODUCT(--($CR$7:$FW$7&gt;=GJ$5),--($CR$7:$FW$7&lt;=GJ$6),$CR232:$FW232)*GB232</f>
        <v>0</v>
      </c>
      <c r="GK232" s="145" cm="1">
        <f t="array" ref="GK232">SUMPRODUCT(--($CR$7:$FW$7&gt;=GK$5),--($CR$7:$FW$7&lt;=GK$6),$CR232:$FW232)*GC232</f>
        <v>0</v>
      </c>
      <c r="GL232" s="145" cm="1">
        <f t="array" ref="GL232">SUMPRODUCT(--($CR$7:$FW$7&gt;=GL$5),--($CR$7:$FW$7&lt;=GL$6),$CR232:$FW232)*GD232</f>
        <v>0</v>
      </c>
      <c r="GM232" s="145" cm="1">
        <f t="array" ref="GM232">SUMPRODUCT(--($CR$7:$FW$7&gt;=GM$5),--($CR$7:$FW$7&lt;=GM$6),$CR232:$FW232)*GE232</f>
        <v>0</v>
      </c>
      <c r="GN232" s="145" cm="1">
        <f t="array" ref="GN232">SUMPRODUCT(--($CR$7:$FW$7&gt;=GN$5),--($CR$7:$FW$7&lt;=GN$6),$CR232:$FW232)*GF232</f>
        <v>0</v>
      </c>
      <c r="GO232" s="145">
        <f t="shared" si="3"/>
        <v>0</v>
      </c>
      <c r="GP232" s="87"/>
      <c r="GR232" s="145" cm="1">
        <f t="array" ref="GR232">SUMPRODUCT(--($CR$7:$FW$7&gt;=GR$5),--($CR$7:$FW$7&lt;=GR$6),$CR232:$FW232)</f>
        <v>0</v>
      </c>
    </row>
    <row r="233" spans="2:200" x14ac:dyDescent="0.2">
      <c r="B233" s="141"/>
      <c r="C233" s="141"/>
      <c r="D233" s="141"/>
      <c r="E233" s="141"/>
      <c r="F233" s="141"/>
      <c r="G233" s="141"/>
      <c r="H233" s="142"/>
      <c r="I233" s="126"/>
      <c r="J233" s="143"/>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3"/>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45"/>
      <c r="FB233" s="145"/>
      <c r="FC233" s="145"/>
      <c r="FD233" s="14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3"/>
      <c r="FY233" s="146">
        <f>_xlfn.XLOOKUP($E233,'Key assumptions'!$B$112:$B$120,'Key assumptions'!$C$112:$C$120,0)</f>
        <v>0</v>
      </c>
      <c r="FZ233" s="146" cm="1">
        <f t="array" ref="FZ233">IF($FY233=0,0,_xlfn.IFS($FY233='Key assumptions'!$C$120,_xlfn.XLOOKUP(LEFT(FZ$7,6),Inflation_Year,Inflation_NominaltoReal),TRUE,_xlfn.XLOOKUP($FY233,Inflation_Year,NominaltoReal)))</f>
        <v>0</v>
      </c>
      <c r="GA233" s="146" cm="1">
        <f t="array" ref="GA233">IF($FY233=0,0,_xlfn.IFS($FY233='Key assumptions'!$C$120,_xlfn.XLOOKUP(LEFT(GA$7,6),Inflation_Year,Inflation_NominaltoReal),TRUE,_xlfn.XLOOKUP($FY233,Inflation_Year,NominaltoReal)))</f>
        <v>0</v>
      </c>
      <c r="GB233" s="146" cm="1">
        <f t="array" ref="GB233">IF($FY233=0,0,_xlfn.IFS($FY233='Key assumptions'!$C$120,_xlfn.XLOOKUP(LEFT(GB$7,6),Inflation_Year,Inflation_NominaltoReal),TRUE,_xlfn.XLOOKUP($FY233,Inflation_Year,NominaltoReal)))</f>
        <v>0</v>
      </c>
      <c r="GC233" s="146" cm="1">
        <f t="array" ref="GC233">IF($FY233=0,0,_xlfn.IFS($FY233='Key assumptions'!$C$120,_xlfn.XLOOKUP(LEFT(GC$7,6),Inflation_Year,Inflation_NominaltoReal),TRUE,_xlfn.XLOOKUP($FY233,Inflation_Year,NominaltoReal)))</f>
        <v>0</v>
      </c>
      <c r="GD233" s="146" cm="1">
        <f t="array" ref="GD233">IF($FY233=0,0,_xlfn.IFS($FY233='Key assumptions'!$C$120,_xlfn.XLOOKUP(LEFT(GD$7,6),Inflation_Year,Inflation_NominaltoReal),TRUE,_xlfn.XLOOKUP($FY233,Inflation_Year,NominaltoReal)))</f>
        <v>0</v>
      </c>
      <c r="GE233" s="146" cm="1">
        <f t="array" ref="GE233">IF($FY233=0,0,_xlfn.IFS($FY233='Key assumptions'!$C$120,_xlfn.XLOOKUP(LEFT(GE$7,6),Inflation_Year,Inflation_NominaltoReal),TRUE,_xlfn.XLOOKUP($FY233,Inflation_Year,NominaltoReal)))</f>
        <v>0</v>
      </c>
      <c r="GF233" s="146" cm="1">
        <f t="array" ref="GF233">IF($FY233=0,0,_xlfn.IFS($FY233='Key assumptions'!$C$120,_xlfn.XLOOKUP(LEFT(GF$7,6),Inflation_Year,Inflation_NominaltoReal),TRUE,_xlfn.XLOOKUP($FY233,Inflation_Year,NominaltoReal)))</f>
        <v>0</v>
      </c>
      <c r="GG233" s="143"/>
      <c r="GH233" s="145" cm="1">
        <f t="array" ref="GH233">SUMPRODUCT(--($CR$7:$FW$7&gt;=GH$5),--($CR$7:$FW$7&lt;=GH$6),$CR233:$FW233)*FZ233</f>
        <v>0</v>
      </c>
      <c r="GI233" s="145" cm="1">
        <f t="array" ref="GI233">SUMPRODUCT(--($CR$7:$FW$7&gt;=GI$5),--($CR$7:$FW$7&lt;=GI$6),$CR233:$FW233)*GA233</f>
        <v>0</v>
      </c>
      <c r="GJ233" s="145" cm="1">
        <f t="array" ref="GJ233">SUMPRODUCT(--($CR$7:$FW$7&gt;=GJ$5),--($CR$7:$FW$7&lt;=GJ$6),$CR233:$FW233)*GB233</f>
        <v>0</v>
      </c>
      <c r="GK233" s="145" cm="1">
        <f t="array" ref="GK233">SUMPRODUCT(--($CR$7:$FW$7&gt;=GK$5),--($CR$7:$FW$7&lt;=GK$6),$CR233:$FW233)*GC233</f>
        <v>0</v>
      </c>
      <c r="GL233" s="145" cm="1">
        <f t="array" ref="GL233">SUMPRODUCT(--($CR$7:$FW$7&gt;=GL$5),--($CR$7:$FW$7&lt;=GL$6),$CR233:$FW233)*GD233</f>
        <v>0</v>
      </c>
      <c r="GM233" s="145" cm="1">
        <f t="array" ref="GM233">SUMPRODUCT(--($CR$7:$FW$7&gt;=GM$5),--($CR$7:$FW$7&lt;=GM$6),$CR233:$FW233)*GE233</f>
        <v>0</v>
      </c>
      <c r="GN233" s="145" cm="1">
        <f t="array" ref="GN233">SUMPRODUCT(--($CR$7:$FW$7&gt;=GN$5),--($CR$7:$FW$7&lt;=GN$6),$CR233:$FW233)*GF233</f>
        <v>0</v>
      </c>
      <c r="GO233" s="145">
        <f t="shared" si="3"/>
        <v>0</v>
      </c>
      <c r="GP233" s="87"/>
      <c r="GR233" s="145" cm="1">
        <f t="array" ref="GR233">SUMPRODUCT(--($CR$7:$FW$7&gt;=GR$5),--($CR$7:$FW$7&lt;=GR$6),$CR233:$FW233)</f>
        <v>0</v>
      </c>
    </row>
    <row r="234" spans="2:200" x14ac:dyDescent="0.2">
      <c r="B234" s="141"/>
      <c r="C234" s="141"/>
      <c r="D234" s="141"/>
      <c r="E234" s="141"/>
      <c r="F234" s="141"/>
      <c r="G234" s="141"/>
      <c r="H234" s="142"/>
      <c r="I234" s="126"/>
      <c r="J234" s="143"/>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3"/>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3"/>
      <c r="FY234" s="146">
        <f>_xlfn.XLOOKUP($E234,'Key assumptions'!$B$112:$B$120,'Key assumptions'!$C$112:$C$120,0)</f>
        <v>0</v>
      </c>
      <c r="FZ234" s="146" cm="1">
        <f t="array" ref="FZ234">IF($FY234=0,0,_xlfn.IFS($FY234='Key assumptions'!$C$120,_xlfn.XLOOKUP(LEFT(FZ$7,6),Inflation_Year,Inflation_NominaltoReal),TRUE,_xlfn.XLOOKUP($FY234,Inflation_Year,NominaltoReal)))</f>
        <v>0</v>
      </c>
      <c r="GA234" s="146" cm="1">
        <f t="array" ref="GA234">IF($FY234=0,0,_xlfn.IFS($FY234='Key assumptions'!$C$120,_xlfn.XLOOKUP(LEFT(GA$7,6),Inflation_Year,Inflation_NominaltoReal),TRUE,_xlfn.XLOOKUP($FY234,Inflation_Year,NominaltoReal)))</f>
        <v>0</v>
      </c>
      <c r="GB234" s="146" cm="1">
        <f t="array" ref="GB234">IF($FY234=0,0,_xlfn.IFS($FY234='Key assumptions'!$C$120,_xlfn.XLOOKUP(LEFT(GB$7,6),Inflation_Year,Inflation_NominaltoReal),TRUE,_xlfn.XLOOKUP($FY234,Inflation_Year,NominaltoReal)))</f>
        <v>0</v>
      </c>
      <c r="GC234" s="146" cm="1">
        <f t="array" ref="GC234">IF($FY234=0,0,_xlfn.IFS($FY234='Key assumptions'!$C$120,_xlfn.XLOOKUP(LEFT(GC$7,6),Inflation_Year,Inflation_NominaltoReal),TRUE,_xlfn.XLOOKUP($FY234,Inflation_Year,NominaltoReal)))</f>
        <v>0</v>
      </c>
      <c r="GD234" s="146" cm="1">
        <f t="array" ref="GD234">IF($FY234=0,0,_xlfn.IFS($FY234='Key assumptions'!$C$120,_xlfn.XLOOKUP(LEFT(GD$7,6),Inflation_Year,Inflation_NominaltoReal),TRUE,_xlfn.XLOOKUP($FY234,Inflation_Year,NominaltoReal)))</f>
        <v>0</v>
      </c>
      <c r="GE234" s="146" cm="1">
        <f t="array" ref="GE234">IF($FY234=0,0,_xlfn.IFS($FY234='Key assumptions'!$C$120,_xlfn.XLOOKUP(LEFT(GE$7,6),Inflation_Year,Inflation_NominaltoReal),TRUE,_xlfn.XLOOKUP($FY234,Inflation_Year,NominaltoReal)))</f>
        <v>0</v>
      </c>
      <c r="GF234" s="146" cm="1">
        <f t="array" ref="GF234">IF($FY234=0,0,_xlfn.IFS($FY234='Key assumptions'!$C$120,_xlfn.XLOOKUP(LEFT(GF$7,6),Inflation_Year,Inflation_NominaltoReal),TRUE,_xlfn.XLOOKUP($FY234,Inflation_Year,NominaltoReal)))</f>
        <v>0</v>
      </c>
      <c r="GG234" s="143"/>
      <c r="GH234" s="145" cm="1">
        <f t="array" ref="GH234">SUMPRODUCT(--($CR$7:$FW$7&gt;=GH$5),--($CR$7:$FW$7&lt;=GH$6),$CR234:$FW234)*FZ234</f>
        <v>0</v>
      </c>
      <c r="GI234" s="145" cm="1">
        <f t="array" ref="GI234">SUMPRODUCT(--($CR$7:$FW$7&gt;=GI$5),--($CR$7:$FW$7&lt;=GI$6),$CR234:$FW234)*GA234</f>
        <v>0</v>
      </c>
      <c r="GJ234" s="145" cm="1">
        <f t="array" ref="GJ234">SUMPRODUCT(--($CR$7:$FW$7&gt;=GJ$5),--($CR$7:$FW$7&lt;=GJ$6),$CR234:$FW234)*GB234</f>
        <v>0</v>
      </c>
      <c r="GK234" s="145" cm="1">
        <f t="array" ref="GK234">SUMPRODUCT(--($CR$7:$FW$7&gt;=GK$5),--($CR$7:$FW$7&lt;=GK$6),$CR234:$FW234)*GC234</f>
        <v>0</v>
      </c>
      <c r="GL234" s="145" cm="1">
        <f t="array" ref="GL234">SUMPRODUCT(--($CR$7:$FW$7&gt;=GL$5),--($CR$7:$FW$7&lt;=GL$6),$CR234:$FW234)*GD234</f>
        <v>0</v>
      </c>
      <c r="GM234" s="145" cm="1">
        <f t="array" ref="GM234">SUMPRODUCT(--($CR$7:$FW$7&gt;=GM$5),--($CR$7:$FW$7&lt;=GM$6),$CR234:$FW234)*GE234</f>
        <v>0</v>
      </c>
      <c r="GN234" s="145" cm="1">
        <f t="array" ref="GN234">SUMPRODUCT(--($CR$7:$FW$7&gt;=GN$5),--($CR$7:$FW$7&lt;=GN$6),$CR234:$FW234)*GF234</f>
        <v>0</v>
      </c>
      <c r="GO234" s="145">
        <f t="shared" si="3"/>
        <v>0</v>
      </c>
      <c r="GP234" s="87"/>
      <c r="GR234" s="145" cm="1">
        <f t="array" ref="GR234">SUMPRODUCT(--($CR$7:$FW$7&gt;=GR$5),--($CR$7:$FW$7&lt;=GR$6),$CR234:$FW234)</f>
        <v>0</v>
      </c>
    </row>
    <row r="235" spans="2:200" x14ac:dyDescent="0.2">
      <c r="B235" s="141"/>
      <c r="C235" s="141"/>
      <c r="D235" s="141"/>
      <c r="E235" s="141"/>
      <c r="F235" s="141"/>
      <c r="G235" s="141"/>
      <c r="H235" s="142"/>
      <c r="I235" s="126"/>
      <c r="J235" s="143"/>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3"/>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3"/>
      <c r="FY235" s="146">
        <f>_xlfn.XLOOKUP($E235,'Key assumptions'!$B$112:$B$120,'Key assumptions'!$C$112:$C$120,0)</f>
        <v>0</v>
      </c>
      <c r="FZ235" s="146" cm="1">
        <f t="array" ref="FZ235">IF($FY235=0,0,_xlfn.IFS($FY235='Key assumptions'!$C$120,_xlfn.XLOOKUP(LEFT(FZ$7,6),Inflation_Year,Inflation_NominaltoReal),TRUE,_xlfn.XLOOKUP($FY235,Inflation_Year,NominaltoReal)))</f>
        <v>0</v>
      </c>
      <c r="GA235" s="146" cm="1">
        <f t="array" ref="GA235">IF($FY235=0,0,_xlfn.IFS($FY235='Key assumptions'!$C$120,_xlfn.XLOOKUP(LEFT(GA$7,6),Inflation_Year,Inflation_NominaltoReal),TRUE,_xlfn.XLOOKUP($FY235,Inflation_Year,NominaltoReal)))</f>
        <v>0</v>
      </c>
      <c r="GB235" s="146" cm="1">
        <f t="array" ref="GB235">IF($FY235=0,0,_xlfn.IFS($FY235='Key assumptions'!$C$120,_xlfn.XLOOKUP(LEFT(GB$7,6),Inflation_Year,Inflation_NominaltoReal),TRUE,_xlfn.XLOOKUP($FY235,Inflation_Year,NominaltoReal)))</f>
        <v>0</v>
      </c>
      <c r="GC235" s="146" cm="1">
        <f t="array" ref="GC235">IF($FY235=0,0,_xlfn.IFS($FY235='Key assumptions'!$C$120,_xlfn.XLOOKUP(LEFT(GC$7,6),Inflation_Year,Inflation_NominaltoReal),TRUE,_xlfn.XLOOKUP($FY235,Inflation_Year,NominaltoReal)))</f>
        <v>0</v>
      </c>
      <c r="GD235" s="146" cm="1">
        <f t="array" ref="GD235">IF($FY235=0,0,_xlfn.IFS($FY235='Key assumptions'!$C$120,_xlfn.XLOOKUP(LEFT(GD$7,6),Inflation_Year,Inflation_NominaltoReal),TRUE,_xlfn.XLOOKUP($FY235,Inflation_Year,NominaltoReal)))</f>
        <v>0</v>
      </c>
      <c r="GE235" s="146" cm="1">
        <f t="array" ref="GE235">IF($FY235=0,0,_xlfn.IFS($FY235='Key assumptions'!$C$120,_xlfn.XLOOKUP(LEFT(GE$7,6),Inflation_Year,Inflation_NominaltoReal),TRUE,_xlfn.XLOOKUP($FY235,Inflation_Year,NominaltoReal)))</f>
        <v>0</v>
      </c>
      <c r="GF235" s="146" cm="1">
        <f t="array" ref="GF235">IF($FY235=0,0,_xlfn.IFS($FY235='Key assumptions'!$C$120,_xlfn.XLOOKUP(LEFT(GF$7,6),Inflation_Year,Inflation_NominaltoReal),TRUE,_xlfn.XLOOKUP($FY235,Inflation_Year,NominaltoReal)))</f>
        <v>0</v>
      </c>
      <c r="GG235" s="143"/>
      <c r="GH235" s="145" cm="1">
        <f t="array" ref="GH235">SUMPRODUCT(--($CR$7:$FW$7&gt;=GH$5),--($CR$7:$FW$7&lt;=GH$6),$CR235:$FW235)*FZ235</f>
        <v>0</v>
      </c>
      <c r="GI235" s="145" cm="1">
        <f t="array" ref="GI235">SUMPRODUCT(--($CR$7:$FW$7&gt;=GI$5),--($CR$7:$FW$7&lt;=GI$6),$CR235:$FW235)*GA235</f>
        <v>0</v>
      </c>
      <c r="GJ235" s="145" cm="1">
        <f t="array" ref="GJ235">SUMPRODUCT(--($CR$7:$FW$7&gt;=GJ$5),--($CR$7:$FW$7&lt;=GJ$6),$CR235:$FW235)*GB235</f>
        <v>0</v>
      </c>
      <c r="GK235" s="145" cm="1">
        <f t="array" ref="GK235">SUMPRODUCT(--($CR$7:$FW$7&gt;=GK$5),--($CR$7:$FW$7&lt;=GK$6),$CR235:$FW235)*GC235</f>
        <v>0</v>
      </c>
      <c r="GL235" s="145" cm="1">
        <f t="array" ref="GL235">SUMPRODUCT(--($CR$7:$FW$7&gt;=GL$5),--($CR$7:$FW$7&lt;=GL$6),$CR235:$FW235)*GD235</f>
        <v>0</v>
      </c>
      <c r="GM235" s="145" cm="1">
        <f t="array" ref="GM235">SUMPRODUCT(--($CR$7:$FW$7&gt;=GM$5),--($CR$7:$FW$7&lt;=GM$6),$CR235:$FW235)*GE235</f>
        <v>0</v>
      </c>
      <c r="GN235" s="145" cm="1">
        <f t="array" ref="GN235">SUMPRODUCT(--($CR$7:$FW$7&gt;=GN$5),--($CR$7:$FW$7&lt;=GN$6),$CR235:$FW235)*GF235</f>
        <v>0</v>
      </c>
      <c r="GO235" s="145">
        <f t="shared" si="3"/>
        <v>0</v>
      </c>
      <c r="GP235" s="87"/>
      <c r="GR235" s="145" cm="1">
        <f t="array" ref="GR235">SUMPRODUCT(--($CR$7:$FW$7&gt;=GR$5),--($CR$7:$FW$7&lt;=GR$6),$CR235:$FW235)</f>
        <v>0</v>
      </c>
    </row>
    <row r="236" spans="2:200" x14ac:dyDescent="0.2">
      <c r="B236" s="141"/>
      <c r="C236" s="141"/>
      <c r="D236" s="141"/>
      <c r="E236" s="141"/>
      <c r="F236" s="141"/>
      <c r="G236" s="141"/>
      <c r="H236" s="142"/>
      <c r="I236" s="126"/>
      <c r="J236" s="143"/>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3"/>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c r="EE236" s="145"/>
      <c r="EF236" s="145"/>
      <c r="EG236" s="145"/>
      <c r="EH236" s="145"/>
      <c r="EI236" s="145"/>
      <c r="EJ236" s="145"/>
      <c r="EK236" s="145"/>
      <c r="EL236" s="145"/>
      <c r="EM236" s="145"/>
      <c r="EN236" s="145"/>
      <c r="EO236" s="145"/>
      <c r="EP236" s="145"/>
      <c r="EQ236" s="145"/>
      <c r="ER236" s="145"/>
      <c r="ES236" s="145"/>
      <c r="ET236" s="145"/>
      <c r="EU236" s="145"/>
      <c r="EV236" s="145"/>
      <c r="EW236" s="145"/>
      <c r="EX236" s="145"/>
      <c r="EY236" s="145"/>
      <c r="EZ236" s="145"/>
      <c r="FA236" s="145"/>
      <c r="FB236" s="145"/>
      <c r="FC236" s="145"/>
      <c r="FD236" s="145"/>
      <c r="FE236" s="145"/>
      <c r="FF236" s="145"/>
      <c r="FG236" s="145"/>
      <c r="FH236" s="145"/>
      <c r="FI236" s="145"/>
      <c r="FJ236" s="145"/>
      <c r="FK236" s="145"/>
      <c r="FL236" s="145"/>
      <c r="FM236" s="145"/>
      <c r="FN236" s="145"/>
      <c r="FO236" s="145"/>
      <c r="FP236" s="145"/>
      <c r="FQ236" s="145"/>
      <c r="FR236" s="145"/>
      <c r="FS236" s="145"/>
      <c r="FT236" s="145"/>
      <c r="FU236" s="145"/>
      <c r="FV236" s="145"/>
      <c r="FW236" s="145"/>
      <c r="FX236" s="143"/>
      <c r="FY236" s="146">
        <f>_xlfn.XLOOKUP($E236,'Key assumptions'!$B$112:$B$120,'Key assumptions'!$C$112:$C$120,0)</f>
        <v>0</v>
      </c>
      <c r="FZ236" s="146" cm="1">
        <f t="array" ref="FZ236">IF($FY236=0,0,_xlfn.IFS($FY236='Key assumptions'!$C$120,_xlfn.XLOOKUP(LEFT(FZ$7,6),Inflation_Year,Inflation_NominaltoReal),TRUE,_xlfn.XLOOKUP($FY236,Inflation_Year,NominaltoReal)))</f>
        <v>0</v>
      </c>
      <c r="GA236" s="146" cm="1">
        <f t="array" ref="GA236">IF($FY236=0,0,_xlfn.IFS($FY236='Key assumptions'!$C$120,_xlfn.XLOOKUP(LEFT(GA$7,6),Inflation_Year,Inflation_NominaltoReal),TRUE,_xlfn.XLOOKUP($FY236,Inflation_Year,NominaltoReal)))</f>
        <v>0</v>
      </c>
      <c r="GB236" s="146" cm="1">
        <f t="array" ref="GB236">IF($FY236=0,0,_xlfn.IFS($FY236='Key assumptions'!$C$120,_xlfn.XLOOKUP(LEFT(GB$7,6),Inflation_Year,Inflation_NominaltoReal),TRUE,_xlfn.XLOOKUP($FY236,Inflation_Year,NominaltoReal)))</f>
        <v>0</v>
      </c>
      <c r="GC236" s="146" cm="1">
        <f t="array" ref="GC236">IF($FY236=0,0,_xlfn.IFS($FY236='Key assumptions'!$C$120,_xlfn.XLOOKUP(LEFT(GC$7,6),Inflation_Year,Inflation_NominaltoReal),TRUE,_xlfn.XLOOKUP($FY236,Inflation_Year,NominaltoReal)))</f>
        <v>0</v>
      </c>
      <c r="GD236" s="146" cm="1">
        <f t="array" ref="GD236">IF($FY236=0,0,_xlfn.IFS($FY236='Key assumptions'!$C$120,_xlfn.XLOOKUP(LEFT(GD$7,6),Inflation_Year,Inflation_NominaltoReal),TRUE,_xlfn.XLOOKUP($FY236,Inflation_Year,NominaltoReal)))</f>
        <v>0</v>
      </c>
      <c r="GE236" s="146" cm="1">
        <f t="array" ref="GE236">IF($FY236=0,0,_xlfn.IFS($FY236='Key assumptions'!$C$120,_xlfn.XLOOKUP(LEFT(GE$7,6),Inflation_Year,Inflation_NominaltoReal),TRUE,_xlfn.XLOOKUP($FY236,Inflation_Year,NominaltoReal)))</f>
        <v>0</v>
      </c>
      <c r="GF236" s="146" cm="1">
        <f t="array" ref="GF236">IF($FY236=0,0,_xlfn.IFS($FY236='Key assumptions'!$C$120,_xlfn.XLOOKUP(LEFT(GF$7,6),Inflation_Year,Inflation_NominaltoReal),TRUE,_xlfn.XLOOKUP($FY236,Inflation_Year,NominaltoReal)))</f>
        <v>0</v>
      </c>
      <c r="GG236" s="143"/>
      <c r="GH236" s="145" cm="1">
        <f t="array" ref="GH236">SUMPRODUCT(--($CR$7:$FW$7&gt;=GH$5),--($CR$7:$FW$7&lt;=GH$6),$CR236:$FW236)*FZ236</f>
        <v>0</v>
      </c>
      <c r="GI236" s="145" cm="1">
        <f t="array" ref="GI236">SUMPRODUCT(--($CR$7:$FW$7&gt;=GI$5),--($CR$7:$FW$7&lt;=GI$6),$CR236:$FW236)*GA236</f>
        <v>0</v>
      </c>
      <c r="GJ236" s="145" cm="1">
        <f t="array" ref="GJ236">SUMPRODUCT(--($CR$7:$FW$7&gt;=GJ$5),--($CR$7:$FW$7&lt;=GJ$6),$CR236:$FW236)*GB236</f>
        <v>0</v>
      </c>
      <c r="GK236" s="145" cm="1">
        <f t="array" ref="GK236">SUMPRODUCT(--($CR$7:$FW$7&gt;=GK$5),--($CR$7:$FW$7&lt;=GK$6),$CR236:$FW236)*GC236</f>
        <v>0</v>
      </c>
      <c r="GL236" s="145" cm="1">
        <f t="array" ref="GL236">SUMPRODUCT(--($CR$7:$FW$7&gt;=GL$5),--($CR$7:$FW$7&lt;=GL$6),$CR236:$FW236)*GD236</f>
        <v>0</v>
      </c>
      <c r="GM236" s="145" cm="1">
        <f t="array" ref="GM236">SUMPRODUCT(--($CR$7:$FW$7&gt;=GM$5),--($CR$7:$FW$7&lt;=GM$6),$CR236:$FW236)*GE236</f>
        <v>0</v>
      </c>
      <c r="GN236" s="145" cm="1">
        <f t="array" ref="GN236">SUMPRODUCT(--($CR$7:$FW$7&gt;=GN$5),--($CR$7:$FW$7&lt;=GN$6),$CR236:$FW236)*GF236</f>
        <v>0</v>
      </c>
      <c r="GO236" s="145">
        <f t="shared" si="3"/>
        <v>0</v>
      </c>
      <c r="GP236" s="87"/>
      <c r="GR236" s="145" cm="1">
        <f t="array" ref="GR236">SUMPRODUCT(--($CR$7:$FW$7&gt;=GR$5),--($CR$7:$FW$7&lt;=GR$6),$CR236:$FW236)</f>
        <v>0</v>
      </c>
    </row>
    <row r="237" spans="2:200" x14ac:dyDescent="0.2">
      <c r="B237" s="141"/>
      <c r="C237" s="141"/>
      <c r="D237" s="141"/>
      <c r="E237" s="141"/>
      <c r="F237" s="141"/>
      <c r="G237" s="141"/>
      <c r="H237" s="142"/>
      <c r="I237" s="126"/>
      <c r="J237" s="143"/>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3"/>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c r="EE237" s="145"/>
      <c r="EF237" s="145"/>
      <c r="EG237" s="145"/>
      <c r="EH237" s="145"/>
      <c r="EI237" s="145"/>
      <c r="EJ237" s="145"/>
      <c r="EK237" s="145"/>
      <c r="EL237" s="145"/>
      <c r="EM237" s="145"/>
      <c r="EN237" s="145"/>
      <c r="EO237" s="145"/>
      <c r="EP237" s="145"/>
      <c r="EQ237" s="145"/>
      <c r="ER237" s="145"/>
      <c r="ES237" s="145"/>
      <c r="ET237" s="145"/>
      <c r="EU237" s="145"/>
      <c r="EV237" s="145"/>
      <c r="EW237" s="145"/>
      <c r="EX237" s="145"/>
      <c r="EY237" s="145"/>
      <c r="EZ237" s="145"/>
      <c r="FA237" s="145"/>
      <c r="FB237" s="145"/>
      <c r="FC237" s="145"/>
      <c r="FD237" s="145"/>
      <c r="FE237" s="145"/>
      <c r="FF237" s="145"/>
      <c r="FG237" s="145"/>
      <c r="FH237" s="145"/>
      <c r="FI237" s="145"/>
      <c r="FJ237" s="145"/>
      <c r="FK237" s="145"/>
      <c r="FL237" s="145"/>
      <c r="FM237" s="145"/>
      <c r="FN237" s="145"/>
      <c r="FO237" s="145"/>
      <c r="FP237" s="145"/>
      <c r="FQ237" s="145"/>
      <c r="FR237" s="145"/>
      <c r="FS237" s="145"/>
      <c r="FT237" s="145"/>
      <c r="FU237" s="145"/>
      <c r="FV237" s="145"/>
      <c r="FW237" s="145"/>
      <c r="FX237" s="143"/>
      <c r="FY237" s="146">
        <f>_xlfn.XLOOKUP($E237,'Key assumptions'!$B$112:$B$120,'Key assumptions'!$C$112:$C$120,0)</f>
        <v>0</v>
      </c>
      <c r="FZ237" s="146" cm="1">
        <f t="array" ref="FZ237">IF($FY237=0,0,_xlfn.IFS($FY237='Key assumptions'!$C$120,_xlfn.XLOOKUP(LEFT(FZ$7,6),Inflation_Year,Inflation_NominaltoReal),TRUE,_xlfn.XLOOKUP($FY237,Inflation_Year,NominaltoReal)))</f>
        <v>0</v>
      </c>
      <c r="GA237" s="146" cm="1">
        <f t="array" ref="GA237">IF($FY237=0,0,_xlfn.IFS($FY237='Key assumptions'!$C$120,_xlfn.XLOOKUP(LEFT(GA$7,6),Inflation_Year,Inflation_NominaltoReal),TRUE,_xlfn.XLOOKUP($FY237,Inflation_Year,NominaltoReal)))</f>
        <v>0</v>
      </c>
      <c r="GB237" s="146" cm="1">
        <f t="array" ref="GB237">IF($FY237=0,0,_xlfn.IFS($FY237='Key assumptions'!$C$120,_xlfn.XLOOKUP(LEFT(GB$7,6),Inflation_Year,Inflation_NominaltoReal),TRUE,_xlfn.XLOOKUP($FY237,Inflation_Year,NominaltoReal)))</f>
        <v>0</v>
      </c>
      <c r="GC237" s="146" cm="1">
        <f t="array" ref="GC237">IF($FY237=0,0,_xlfn.IFS($FY237='Key assumptions'!$C$120,_xlfn.XLOOKUP(LEFT(GC$7,6),Inflation_Year,Inflation_NominaltoReal),TRUE,_xlfn.XLOOKUP($FY237,Inflation_Year,NominaltoReal)))</f>
        <v>0</v>
      </c>
      <c r="GD237" s="146" cm="1">
        <f t="array" ref="GD237">IF($FY237=0,0,_xlfn.IFS($FY237='Key assumptions'!$C$120,_xlfn.XLOOKUP(LEFT(GD$7,6),Inflation_Year,Inflation_NominaltoReal),TRUE,_xlfn.XLOOKUP($FY237,Inflation_Year,NominaltoReal)))</f>
        <v>0</v>
      </c>
      <c r="GE237" s="146" cm="1">
        <f t="array" ref="GE237">IF($FY237=0,0,_xlfn.IFS($FY237='Key assumptions'!$C$120,_xlfn.XLOOKUP(LEFT(GE$7,6),Inflation_Year,Inflation_NominaltoReal),TRUE,_xlfn.XLOOKUP($FY237,Inflation_Year,NominaltoReal)))</f>
        <v>0</v>
      </c>
      <c r="GF237" s="146" cm="1">
        <f t="array" ref="GF237">IF($FY237=0,0,_xlfn.IFS($FY237='Key assumptions'!$C$120,_xlfn.XLOOKUP(LEFT(GF$7,6),Inflation_Year,Inflation_NominaltoReal),TRUE,_xlfn.XLOOKUP($FY237,Inflation_Year,NominaltoReal)))</f>
        <v>0</v>
      </c>
      <c r="GG237" s="143"/>
      <c r="GH237" s="145" cm="1">
        <f t="array" ref="GH237">SUMPRODUCT(--($CR$7:$FW$7&gt;=GH$5),--($CR$7:$FW$7&lt;=GH$6),$CR237:$FW237)*FZ237</f>
        <v>0</v>
      </c>
      <c r="GI237" s="145" cm="1">
        <f t="array" ref="GI237">SUMPRODUCT(--($CR$7:$FW$7&gt;=GI$5),--($CR$7:$FW$7&lt;=GI$6),$CR237:$FW237)*GA237</f>
        <v>0</v>
      </c>
      <c r="GJ237" s="145" cm="1">
        <f t="array" ref="GJ237">SUMPRODUCT(--($CR$7:$FW$7&gt;=GJ$5),--($CR$7:$FW$7&lt;=GJ$6),$CR237:$FW237)*GB237</f>
        <v>0</v>
      </c>
      <c r="GK237" s="145" cm="1">
        <f t="array" ref="GK237">SUMPRODUCT(--($CR$7:$FW$7&gt;=GK$5),--($CR$7:$FW$7&lt;=GK$6),$CR237:$FW237)*GC237</f>
        <v>0</v>
      </c>
      <c r="GL237" s="145" cm="1">
        <f t="array" ref="GL237">SUMPRODUCT(--($CR$7:$FW$7&gt;=GL$5),--($CR$7:$FW$7&lt;=GL$6),$CR237:$FW237)*GD237</f>
        <v>0</v>
      </c>
      <c r="GM237" s="145" cm="1">
        <f t="array" ref="GM237">SUMPRODUCT(--($CR$7:$FW$7&gt;=GM$5),--($CR$7:$FW$7&lt;=GM$6),$CR237:$FW237)*GE237</f>
        <v>0</v>
      </c>
      <c r="GN237" s="145" cm="1">
        <f t="array" ref="GN237">SUMPRODUCT(--($CR$7:$FW$7&gt;=GN$5),--($CR$7:$FW$7&lt;=GN$6),$CR237:$FW237)*GF237</f>
        <v>0</v>
      </c>
      <c r="GO237" s="145">
        <f t="shared" si="3"/>
        <v>0</v>
      </c>
      <c r="GP237" s="87"/>
      <c r="GR237" s="145" cm="1">
        <f t="array" ref="GR237">SUMPRODUCT(--($CR$7:$FW$7&gt;=GR$5),--($CR$7:$FW$7&lt;=GR$6),$CR237:$FW237)</f>
        <v>0</v>
      </c>
    </row>
    <row r="238" spans="2:200" x14ac:dyDescent="0.2">
      <c r="B238" s="141"/>
      <c r="C238" s="141"/>
      <c r="D238" s="141"/>
      <c r="E238" s="141"/>
      <c r="F238" s="141"/>
      <c r="G238" s="141"/>
      <c r="H238" s="142"/>
      <c r="I238" s="126"/>
      <c r="J238" s="143"/>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3"/>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c r="EE238" s="145"/>
      <c r="EF238" s="145"/>
      <c r="EG238" s="145"/>
      <c r="EH238" s="145"/>
      <c r="EI238" s="145"/>
      <c r="EJ238" s="145"/>
      <c r="EK238" s="145"/>
      <c r="EL238" s="145"/>
      <c r="EM238" s="145"/>
      <c r="EN238" s="145"/>
      <c r="EO238" s="145"/>
      <c r="EP238" s="145"/>
      <c r="EQ238" s="145"/>
      <c r="ER238" s="145"/>
      <c r="ES238" s="145"/>
      <c r="ET238" s="145"/>
      <c r="EU238" s="145"/>
      <c r="EV238" s="145"/>
      <c r="EW238" s="145"/>
      <c r="EX238" s="145"/>
      <c r="EY238" s="145"/>
      <c r="EZ238" s="145"/>
      <c r="FA238" s="145"/>
      <c r="FB238" s="145"/>
      <c r="FC238" s="145"/>
      <c r="FD238" s="145"/>
      <c r="FE238" s="145"/>
      <c r="FF238" s="145"/>
      <c r="FG238" s="145"/>
      <c r="FH238" s="145"/>
      <c r="FI238" s="145"/>
      <c r="FJ238" s="145"/>
      <c r="FK238" s="145"/>
      <c r="FL238" s="145"/>
      <c r="FM238" s="145"/>
      <c r="FN238" s="145"/>
      <c r="FO238" s="145"/>
      <c r="FP238" s="145"/>
      <c r="FQ238" s="145"/>
      <c r="FR238" s="145"/>
      <c r="FS238" s="145"/>
      <c r="FT238" s="145"/>
      <c r="FU238" s="145"/>
      <c r="FV238" s="145"/>
      <c r="FW238" s="145"/>
      <c r="FX238" s="143"/>
      <c r="FY238" s="146">
        <f>_xlfn.XLOOKUP($E238,'Key assumptions'!$B$112:$B$120,'Key assumptions'!$C$112:$C$120,0)</f>
        <v>0</v>
      </c>
      <c r="FZ238" s="146" cm="1">
        <f t="array" ref="FZ238">IF($FY238=0,0,_xlfn.IFS($FY238='Key assumptions'!$C$120,_xlfn.XLOOKUP(LEFT(FZ$7,6),Inflation_Year,Inflation_NominaltoReal),TRUE,_xlfn.XLOOKUP($FY238,Inflation_Year,NominaltoReal)))</f>
        <v>0</v>
      </c>
      <c r="GA238" s="146" cm="1">
        <f t="array" ref="GA238">IF($FY238=0,0,_xlfn.IFS($FY238='Key assumptions'!$C$120,_xlfn.XLOOKUP(LEFT(GA$7,6),Inflation_Year,Inflation_NominaltoReal),TRUE,_xlfn.XLOOKUP($FY238,Inflation_Year,NominaltoReal)))</f>
        <v>0</v>
      </c>
      <c r="GB238" s="146" cm="1">
        <f t="array" ref="GB238">IF($FY238=0,0,_xlfn.IFS($FY238='Key assumptions'!$C$120,_xlfn.XLOOKUP(LEFT(GB$7,6),Inflation_Year,Inflation_NominaltoReal),TRUE,_xlfn.XLOOKUP($FY238,Inflation_Year,NominaltoReal)))</f>
        <v>0</v>
      </c>
      <c r="GC238" s="146" cm="1">
        <f t="array" ref="GC238">IF($FY238=0,0,_xlfn.IFS($FY238='Key assumptions'!$C$120,_xlfn.XLOOKUP(LEFT(GC$7,6),Inflation_Year,Inflation_NominaltoReal),TRUE,_xlfn.XLOOKUP($FY238,Inflation_Year,NominaltoReal)))</f>
        <v>0</v>
      </c>
      <c r="GD238" s="146" cm="1">
        <f t="array" ref="GD238">IF($FY238=0,0,_xlfn.IFS($FY238='Key assumptions'!$C$120,_xlfn.XLOOKUP(LEFT(GD$7,6),Inflation_Year,Inflation_NominaltoReal),TRUE,_xlfn.XLOOKUP($FY238,Inflation_Year,NominaltoReal)))</f>
        <v>0</v>
      </c>
      <c r="GE238" s="146" cm="1">
        <f t="array" ref="GE238">IF($FY238=0,0,_xlfn.IFS($FY238='Key assumptions'!$C$120,_xlfn.XLOOKUP(LEFT(GE$7,6),Inflation_Year,Inflation_NominaltoReal),TRUE,_xlfn.XLOOKUP($FY238,Inflation_Year,NominaltoReal)))</f>
        <v>0</v>
      </c>
      <c r="GF238" s="146" cm="1">
        <f t="array" ref="GF238">IF($FY238=0,0,_xlfn.IFS($FY238='Key assumptions'!$C$120,_xlfn.XLOOKUP(LEFT(GF$7,6),Inflation_Year,Inflation_NominaltoReal),TRUE,_xlfn.XLOOKUP($FY238,Inflation_Year,NominaltoReal)))</f>
        <v>0</v>
      </c>
      <c r="GG238" s="143"/>
      <c r="GH238" s="145" cm="1">
        <f t="array" ref="GH238">SUMPRODUCT(--($CR$7:$FW$7&gt;=GH$5),--($CR$7:$FW$7&lt;=GH$6),$CR238:$FW238)*FZ238</f>
        <v>0</v>
      </c>
      <c r="GI238" s="145" cm="1">
        <f t="array" ref="GI238">SUMPRODUCT(--($CR$7:$FW$7&gt;=GI$5),--($CR$7:$FW$7&lt;=GI$6),$CR238:$FW238)*GA238</f>
        <v>0</v>
      </c>
      <c r="GJ238" s="145" cm="1">
        <f t="array" ref="GJ238">SUMPRODUCT(--($CR$7:$FW$7&gt;=GJ$5),--($CR$7:$FW$7&lt;=GJ$6),$CR238:$FW238)*GB238</f>
        <v>0</v>
      </c>
      <c r="GK238" s="145" cm="1">
        <f t="array" ref="GK238">SUMPRODUCT(--($CR$7:$FW$7&gt;=GK$5),--($CR$7:$FW$7&lt;=GK$6),$CR238:$FW238)*GC238</f>
        <v>0</v>
      </c>
      <c r="GL238" s="145" cm="1">
        <f t="array" ref="GL238">SUMPRODUCT(--($CR$7:$FW$7&gt;=GL$5),--($CR$7:$FW$7&lt;=GL$6),$CR238:$FW238)*GD238</f>
        <v>0</v>
      </c>
      <c r="GM238" s="145" cm="1">
        <f t="array" ref="GM238">SUMPRODUCT(--($CR$7:$FW$7&gt;=GM$5),--($CR$7:$FW$7&lt;=GM$6),$CR238:$FW238)*GE238</f>
        <v>0</v>
      </c>
      <c r="GN238" s="145" cm="1">
        <f t="array" ref="GN238">SUMPRODUCT(--($CR$7:$FW$7&gt;=GN$5),--($CR$7:$FW$7&lt;=GN$6),$CR238:$FW238)*GF238</f>
        <v>0</v>
      </c>
      <c r="GO238" s="145">
        <f t="shared" si="3"/>
        <v>0</v>
      </c>
      <c r="GP238" s="87"/>
      <c r="GR238" s="145" cm="1">
        <f t="array" ref="GR238">SUMPRODUCT(--($CR$7:$FW$7&gt;=GR$5),--($CR$7:$FW$7&lt;=GR$6),$CR238:$FW238)</f>
        <v>0</v>
      </c>
    </row>
    <row r="239" spans="2:200" x14ac:dyDescent="0.2">
      <c r="B239" s="141"/>
      <c r="C239" s="141"/>
      <c r="D239" s="141"/>
      <c r="E239" s="141"/>
      <c r="F239" s="141"/>
      <c r="G239" s="141"/>
      <c r="H239" s="142"/>
      <c r="I239" s="126"/>
      <c r="J239" s="143"/>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3"/>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c r="EE239" s="145"/>
      <c r="EF239" s="145"/>
      <c r="EG239" s="145"/>
      <c r="EH239" s="145"/>
      <c r="EI239" s="145"/>
      <c r="EJ239" s="145"/>
      <c r="EK239" s="145"/>
      <c r="EL239" s="145"/>
      <c r="EM239" s="145"/>
      <c r="EN239" s="145"/>
      <c r="EO239" s="145"/>
      <c r="EP239" s="145"/>
      <c r="EQ239" s="145"/>
      <c r="ER239" s="145"/>
      <c r="ES239" s="145"/>
      <c r="ET239" s="145"/>
      <c r="EU239" s="145"/>
      <c r="EV239" s="145"/>
      <c r="EW239" s="145"/>
      <c r="EX239" s="145"/>
      <c r="EY239" s="145"/>
      <c r="EZ239" s="145"/>
      <c r="FA239" s="145"/>
      <c r="FB239" s="145"/>
      <c r="FC239" s="145"/>
      <c r="FD239" s="145"/>
      <c r="FE239" s="145"/>
      <c r="FF239" s="145"/>
      <c r="FG239" s="145"/>
      <c r="FH239" s="145"/>
      <c r="FI239" s="145"/>
      <c r="FJ239" s="145"/>
      <c r="FK239" s="145"/>
      <c r="FL239" s="145"/>
      <c r="FM239" s="145"/>
      <c r="FN239" s="145"/>
      <c r="FO239" s="145"/>
      <c r="FP239" s="145"/>
      <c r="FQ239" s="145"/>
      <c r="FR239" s="145"/>
      <c r="FS239" s="145"/>
      <c r="FT239" s="145"/>
      <c r="FU239" s="145"/>
      <c r="FV239" s="145"/>
      <c r="FW239" s="145"/>
      <c r="FX239" s="143"/>
      <c r="FY239" s="146">
        <f>_xlfn.XLOOKUP($E239,'Key assumptions'!$B$112:$B$120,'Key assumptions'!$C$112:$C$120,0)</f>
        <v>0</v>
      </c>
      <c r="FZ239" s="146" cm="1">
        <f t="array" ref="FZ239">IF($FY239=0,0,_xlfn.IFS($FY239='Key assumptions'!$C$120,_xlfn.XLOOKUP(LEFT(FZ$7,6),Inflation_Year,Inflation_NominaltoReal),TRUE,_xlfn.XLOOKUP($FY239,Inflation_Year,NominaltoReal)))</f>
        <v>0</v>
      </c>
      <c r="GA239" s="146" cm="1">
        <f t="array" ref="GA239">IF($FY239=0,0,_xlfn.IFS($FY239='Key assumptions'!$C$120,_xlfn.XLOOKUP(LEFT(GA$7,6),Inflation_Year,Inflation_NominaltoReal),TRUE,_xlfn.XLOOKUP($FY239,Inflation_Year,NominaltoReal)))</f>
        <v>0</v>
      </c>
      <c r="GB239" s="146" cm="1">
        <f t="array" ref="GB239">IF($FY239=0,0,_xlfn.IFS($FY239='Key assumptions'!$C$120,_xlfn.XLOOKUP(LEFT(GB$7,6),Inflation_Year,Inflation_NominaltoReal),TRUE,_xlfn.XLOOKUP($FY239,Inflation_Year,NominaltoReal)))</f>
        <v>0</v>
      </c>
      <c r="GC239" s="146" cm="1">
        <f t="array" ref="GC239">IF($FY239=0,0,_xlfn.IFS($FY239='Key assumptions'!$C$120,_xlfn.XLOOKUP(LEFT(GC$7,6),Inflation_Year,Inflation_NominaltoReal),TRUE,_xlfn.XLOOKUP($FY239,Inflation_Year,NominaltoReal)))</f>
        <v>0</v>
      </c>
      <c r="GD239" s="146" cm="1">
        <f t="array" ref="GD239">IF($FY239=0,0,_xlfn.IFS($FY239='Key assumptions'!$C$120,_xlfn.XLOOKUP(LEFT(GD$7,6),Inflation_Year,Inflation_NominaltoReal),TRUE,_xlfn.XLOOKUP($FY239,Inflation_Year,NominaltoReal)))</f>
        <v>0</v>
      </c>
      <c r="GE239" s="146" cm="1">
        <f t="array" ref="GE239">IF($FY239=0,0,_xlfn.IFS($FY239='Key assumptions'!$C$120,_xlfn.XLOOKUP(LEFT(GE$7,6),Inflation_Year,Inflation_NominaltoReal),TRUE,_xlfn.XLOOKUP($FY239,Inflation_Year,NominaltoReal)))</f>
        <v>0</v>
      </c>
      <c r="GF239" s="146" cm="1">
        <f t="array" ref="GF239">IF($FY239=0,0,_xlfn.IFS($FY239='Key assumptions'!$C$120,_xlfn.XLOOKUP(LEFT(GF$7,6),Inflation_Year,Inflation_NominaltoReal),TRUE,_xlfn.XLOOKUP($FY239,Inflation_Year,NominaltoReal)))</f>
        <v>0</v>
      </c>
      <c r="GG239" s="143"/>
      <c r="GH239" s="145" cm="1">
        <f t="array" ref="GH239">SUMPRODUCT(--($CR$7:$FW$7&gt;=GH$5),--($CR$7:$FW$7&lt;=GH$6),$CR239:$FW239)*FZ239</f>
        <v>0</v>
      </c>
      <c r="GI239" s="145" cm="1">
        <f t="array" ref="GI239">SUMPRODUCT(--($CR$7:$FW$7&gt;=GI$5),--($CR$7:$FW$7&lt;=GI$6),$CR239:$FW239)*GA239</f>
        <v>0</v>
      </c>
      <c r="GJ239" s="145" cm="1">
        <f t="array" ref="GJ239">SUMPRODUCT(--($CR$7:$FW$7&gt;=GJ$5),--($CR$7:$FW$7&lt;=GJ$6),$CR239:$FW239)*GB239</f>
        <v>0</v>
      </c>
      <c r="GK239" s="145" cm="1">
        <f t="array" ref="GK239">SUMPRODUCT(--($CR$7:$FW$7&gt;=GK$5),--($CR$7:$FW$7&lt;=GK$6),$CR239:$FW239)*GC239</f>
        <v>0</v>
      </c>
      <c r="GL239" s="145" cm="1">
        <f t="array" ref="GL239">SUMPRODUCT(--($CR$7:$FW$7&gt;=GL$5),--($CR$7:$FW$7&lt;=GL$6),$CR239:$FW239)*GD239</f>
        <v>0</v>
      </c>
      <c r="GM239" s="145" cm="1">
        <f t="array" ref="GM239">SUMPRODUCT(--($CR$7:$FW$7&gt;=GM$5),--($CR$7:$FW$7&lt;=GM$6),$CR239:$FW239)*GE239</f>
        <v>0</v>
      </c>
      <c r="GN239" s="145" cm="1">
        <f t="array" ref="GN239">SUMPRODUCT(--($CR$7:$FW$7&gt;=GN$5),--($CR$7:$FW$7&lt;=GN$6),$CR239:$FW239)*GF239</f>
        <v>0</v>
      </c>
      <c r="GO239" s="145">
        <f t="shared" si="3"/>
        <v>0</v>
      </c>
      <c r="GP239" s="87"/>
      <c r="GR239" s="145" cm="1">
        <f t="array" ref="GR239">SUMPRODUCT(--($CR$7:$FW$7&gt;=GR$5),--($CR$7:$FW$7&lt;=GR$6),$CR239:$FW239)</f>
        <v>0</v>
      </c>
    </row>
    <row r="240" spans="2:200" x14ac:dyDescent="0.2">
      <c r="B240" s="141"/>
      <c r="C240" s="141"/>
      <c r="D240" s="141"/>
      <c r="E240" s="141"/>
      <c r="F240" s="141"/>
      <c r="G240" s="141"/>
      <c r="H240" s="142"/>
      <c r="I240" s="126"/>
      <c r="J240" s="143"/>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3"/>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c r="EE240" s="145"/>
      <c r="EF240" s="145"/>
      <c r="EG240" s="145"/>
      <c r="EH240" s="145"/>
      <c r="EI240" s="145"/>
      <c r="EJ240" s="145"/>
      <c r="EK240" s="145"/>
      <c r="EL240" s="145"/>
      <c r="EM240" s="145"/>
      <c r="EN240" s="145"/>
      <c r="EO240" s="145"/>
      <c r="EP240" s="145"/>
      <c r="EQ240" s="145"/>
      <c r="ER240" s="145"/>
      <c r="ES240" s="145"/>
      <c r="ET240" s="145"/>
      <c r="EU240" s="145"/>
      <c r="EV240" s="145"/>
      <c r="EW240" s="145"/>
      <c r="EX240" s="145"/>
      <c r="EY240" s="145"/>
      <c r="EZ240" s="145"/>
      <c r="FA240" s="145"/>
      <c r="FB240" s="145"/>
      <c r="FC240" s="145"/>
      <c r="FD240" s="145"/>
      <c r="FE240" s="145"/>
      <c r="FF240" s="145"/>
      <c r="FG240" s="145"/>
      <c r="FH240" s="145"/>
      <c r="FI240" s="145"/>
      <c r="FJ240" s="145"/>
      <c r="FK240" s="145"/>
      <c r="FL240" s="145"/>
      <c r="FM240" s="145"/>
      <c r="FN240" s="145"/>
      <c r="FO240" s="145"/>
      <c r="FP240" s="145"/>
      <c r="FQ240" s="145"/>
      <c r="FR240" s="145"/>
      <c r="FS240" s="145"/>
      <c r="FT240" s="145"/>
      <c r="FU240" s="145"/>
      <c r="FV240" s="145"/>
      <c r="FW240" s="145"/>
      <c r="FX240" s="143"/>
      <c r="FY240" s="146">
        <f>_xlfn.XLOOKUP($E240,'Key assumptions'!$B$112:$B$120,'Key assumptions'!$C$112:$C$120,0)</f>
        <v>0</v>
      </c>
      <c r="FZ240" s="146" cm="1">
        <f t="array" ref="FZ240">IF($FY240=0,0,_xlfn.IFS($FY240='Key assumptions'!$C$120,_xlfn.XLOOKUP(LEFT(FZ$7,6),Inflation_Year,Inflation_NominaltoReal),TRUE,_xlfn.XLOOKUP($FY240,Inflation_Year,NominaltoReal)))</f>
        <v>0</v>
      </c>
      <c r="GA240" s="146" cm="1">
        <f t="array" ref="GA240">IF($FY240=0,0,_xlfn.IFS($FY240='Key assumptions'!$C$120,_xlfn.XLOOKUP(LEFT(GA$7,6),Inflation_Year,Inflation_NominaltoReal),TRUE,_xlfn.XLOOKUP($FY240,Inflation_Year,NominaltoReal)))</f>
        <v>0</v>
      </c>
      <c r="GB240" s="146" cm="1">
        <f t="array" ref="GB240">IF($FY240=0,0,_xlfn.IFS($FY240='Key assumptions'!$C$120,_xlfn.XLOOKUP(LEFT(GB$7,6),Inflation_Year,Inflation_NominaltoReal),TRUE,_xlfn.XLOOKUP($FY240,Inflation_Year,NominaltoReal)))</f>
        <v>0</v>
      </c>
      <c r="GC240" s="146" cm="1">
        <f t="array" ref="GC240">IF($FY240=0,0,_xlfn.IFS($FY240='Key assumptions'!$C$120,_xlfn.XLOOKUP(LEFT(GC$7,6),Inflation_Year,Inflation_NominaltoReal),TRUE,_xlfn.XLOOKUP($FY240,Inflation_Year,NominaltoReal)))</f>
        <v>0</v>
      </c>
      <c r="GD240" s="146" cm="1">
        <f t="array" ref="GD240">IF($FY240=0,0,_xlfn.IFS($FY240='Key assumptions'!$C$120,_xlfn.XLOOKUP(LEFT(GD$7,6),Inflation_Year,Inflation_NominaltoReal),TRUE,_xlfn.XLOOKUP($FY240,Inflation_Year,NominaltoReal)))</f>
        <v>0</v>
      </c>
      <c r="GE240" s="146" cm="1">
        <f t="array" ref="GE240">IF($FY240=0,0,_xlfn.IFS($FY240='Key assumptions'!$C$120,_xlfn.XLOOKUP(LEFT(GE$7,6),Inflation_Year,Inflation_NominaltoReal),TRUE,_xlfn.XLOOKUP($FY240,Inflation_Year,NominaltoReal)))</f>
        <v>0</v>
      </c>
      <c r="GF240" s="146" cm="1">
        <f t="array" ref="GF240">IF($FY240=0,0,_xlfn.IFS($FY240='Key assumptions'!$C$120,_xlfn.XLOOKUP(LEFT(GF$7,6),Inflation_Year,Inflation_NominaltoReal),TRUE,_xlfn.XLOOKUP($FY240,Inflation_Year,NominaltoReal)))</f>
        <v>0</v>
      </c>
      <c r="GG240" s="143"/>
      <c r="GH240" s="145" cm="1">
        <f t="array" ref="GH240">SUMPRODUCT(--($CR$7:$FW$7&gt;=GH$5),--($CR$7:$FW$7&lt;=GH$6),$CR240:$FW240)*FZ240</f>
        <v>0</v>
      </c>
      <c r="GI240" s="145" cm="1">
        <f t="array" ref="GI240">SUMPRODUCT(--($CR$7:$FW$7&gt;=GI$5),--($CR$7:$FW$7&lt;=GI$6),$CR240:$FW240)*GA240</f>
        <v>0</v>
      </c>
      <c r="GJ240" s="145" cm="1">
        <f t="array" ref="GJ240">SUMPRODUCT(--($CR$7:$FW$7&gt;=GJ$5),--($CR$7:$FW$7&lt;=GJ$6),$CR240:$FW240)*GB240</f>
        <v>0</v>
      </c>
      <c r="GK240" s="145" cm="1">
        <f t="array" ref="GK240">SUMPRODUCT(--($CR$7:$FW$7&gt;=GK$5),--($CR$7:$FW$7&lt;=GK$6),$CR240:$FW240)*GC240</f>
        <v>0</v>
      </c>
      <c r="GL240" s="145" cm="1">
        <f t="array" ref="GL240">SUMPRODUCT(--($CR$7:$FW$7&gt;=GL$5),--($CR$7:$FW$7&lt;=GL$6),$CR240:$FW240)*GD240</f>
        <v>0</v>
      </c>
      <c r="GM240" s="145" cm="1">
        <f t="array" ref="GM240">SUMPRODUCT(--($CR$7:$FW$7&gt;=GM$5),--($CR$7:$FW$7&lt;=GM$6),$CR240:$FW240)*GE240</f>
        <v>0</v>
      </c>
      <c r="GN240" s="145" cm="1">
        <f t="array" ref="GN240">SUMPRODUCT(--($CR$7:$FW$7&gt;=GN$5),--($CR$7:$FW$7&lt;=GN$6),$CR240:$FW240)*GF240</f>
        <v>0</v>
      </c>
      <c r="GO240" s="145">
        <f t="shared" si="3"/>
        <v>0</v>
      </c>
      <c r="GP240" s="87"/>
      <c r="GR240" s="145" cm="1">
        <f t="array" ref="GR240">SUMPRODUCT(--($CR$7:$FW$7&gt;=GR$5),--($CR$7:$FW$7&lt;=GR$6),$CR240:$FW240)</f>
        <v>0</v>
      </c>
    </row>
    <row r="241" spans="2:200" x14ac:dyDescent="0.2">
      <c r="B241" s="141"/>
      <c r="C241" s="141"/>
      <c r="D241" s="141"/>
      <c r="E241" s="141"/>
      <c r="F241" s="141"/>
      <c r="G241" s="141"/>
      <c r="H241" s="142"/>
      <c r="I241" s="126"/>
      <c r="J241" s="143"/>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3"/>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c r="EE241" s="145"/>
      <c r="EF241" s="145"/>
      <c r="EG241" s="145"/>
      <c r="EH241" s="145"/>
      <c r="EI241" s="145"/>
      <c r="EJ241" s="145"/>
      <c r="EK241" s="145"/>
      <c r="EL241" s="145"/>
      <c r="EM241" s="145"/>
      <c r="EN241" s="145"/>
      <c r="EO241" s="145"/>
      <c r="EP241" s="145"/>
      <c r="EQ241" s="145"/>
      <c r="ER241" s="145"/>
      <c r="ES241" s="145"/>
      <c r="ET241" s="145"/>
      <c r="EU241" s="145"/>
      <c r="EV241" s="145"/>
      <c r="EW241" s="145"/>
      <c r="EX241" s="145"/>
      <c r="EY241" s="145"/>
      <c r="EZ241" s="145"/>
      <c r="FA241" s="145"/>
      <c r="FB241" s="145"/>
      <c r="FC241" s="145"/>
      <c r="FD241" s="145"/>
      <c r="FE241" s="145"/>
      <c r="FF241" s="145"/>
      <c r="FG241" s="145"/>
      <c r="FH241" s="145"/>
      <c r="FI241" s="145"/>
      <c r="FJ241" s="145"/>
      <c r="FK241" s="145"/>
      <c r="FL241" s="145"/>
      <c r="FM241" s="145"/>
      <c r="FN241" s="145"/>
      <c r="FO241" s="145"/>
      <c r="FP241" s="145"/>
      <c r="FQ241" s="145"/>
      <c r="FR241" s="145"/>
      <c r="FS241" s="145"/>
      <c r="FT241" s="145"/>
      <c r="FU241" s="145"/>
      <c r="FV241" s="145"/>
      <c r="FW241" s="145"/>
      <c r="FX241" s="143"/>
      <c r="FY241" s="146">
        <f>_xlfn.XLOOKUP($E241,'Key assumptions'!$B$112:$B$120,'Key assumptions'!$C$112:$C$120,0)</f>
        <v>0</v>
      </c>
      <c r="FZ241" s="146" cm="1">
        <f t="array" ref="FZ241">IF($FY241=0,0,_xlfn.IFS($FY241='Key assumptions'!$C$120,_xlfn.XLOOKUP(LEFT(FZ$7,6),Inflation_Year,Inflation_NominaltoReal),TRUE,_xlfn.XLOOKUP($FY241,Inflation_Year,NominaltoReal)))</f>
        <v>0</v>
      </c>
      <c r="GA241" s="146" cm="1">
        <f t="array" ref="GA241">IF($FY241=0,0,_xlfn.IFS($FY241='Key assumptions'!$C$120,_xlfn.XLOOKUP(LEFT(GA$7,6),Inflation_Year,Inflation_NominaltoReal),TRUE,_xlfn.XLOOKUP($FY241,Inflation_Year,NominaltoReal)))</f>
        <v>0</v>
      </c>
      <c r="GB241" s="146" cm="1">
        <f t="array" ref="GB241">IF($FY241=0,0,_xlfn.IFS($FY241='Key assumptions'!$C$120,_xlfn.XLOOKUP(LEFT(GB$7,6),Inflation_Year,Inflation_NominaltoReal),TRUE,_xlfn.XLOOKUP($FY241,Inflation_Year,NominaltoReal)))</f>
        <v>0</v>
      </c>
      <c r="GC241" s="146" cm="1">
        <f t="array" ref="GC241">IF($FY241=0,0,_xlfn.IFS($FY241='Key assumptions'!$C$120,_xlfn.XLOOKUP(LEFT(GC$7,6),Inflation_Year,Inflation_NominaltoReal),TRUE,_xlfn.XLOOKUP($FY241,Inflation_Year,NominaltoReal)))</f>
        <v>0</v>
      </c>
      <c r="GD241" s="146" cm="1">
        <f t="array" ref="GD241">IF($FY241=0,0,_xlfn.IFS($FY241='Key assumptions'!$C$120,_xlfn.XLOOKUP(LEFT(GD$7,6),Inflation_Year,Inflation_NominaltoReal),TRUE,_xlfn.XLOOKUP($FY241,Inflation_Year,NominaltoReal)))</f>
        <v>0</v>
      </c>
      <c r="GE241" s="146" cm="1">
        <f t="array" ref="GE241">IF($FY241=0,0,_xlfn.IFS($FY241='Key assumptions'!$C$120,_xlfn.XLOOKUP(LEFT(GE$7,6),Inflation_Year,Inflation_NominaltoReal),TRUE,_xlfn.XLOOKUP($FY241,Inflation_Year,NominaltoReal)))</f>
        <v>0</v>
      </c>
      <c r="GF241" s="146" cm="1">
        <f t="array" ref="GF241">IF($FY241=0,0,_xlfn.IFS($FY241='Key assumptions'!$C$120,_xlfn.XLOOKUP(LEFT(GF$7,6),Inflation_Year,Inflation_NominaltoReal),TRUE,_xlfn.XLOOKUP($FY241,Inflation_Year,NominaltoReal)))</f>
        <v>0</v>
      </c>
      <c r="GG241" s="143"/>
      <c r="GH241" s="145" cm="1">
        <f t="array" ref="GH241">SUMPRODUCT(--($CR$7:$FW$7&gt;=GH$5),--($CR$7:$FW$7&lt;=GH$6),$CR241:$FW241)*FZ241</f>
        <v>0</v>
      </c>
      <c r="GI241" s="145" cm="1">
        <f t="array" ref="GI241">SUMPRODUCT(--($CR$7:$FW$7&gt;=GI$5),--($CR$7:$FW$7&lt;=GI$6),$CR241:$FW241)*GA241</f>
        <v>0</v>
      </c>
      <c r="GJ241" s="145" cm="1">
        <f t="array" ref="GJ241">SUMPRODUCT(--($CR$7:$FW$7&gt;=GJ$5),--($CR$7:$FW$7&lt;=GJ$6),$CR241:$FW241)*GB241</f>
        <v>0</v>
      </c>
      <c r="GK241" s="145" cm="1">
        <f t="array" ref="GK241">SUMPRODUCT(--($CR$7:$FW$7&gt;=GK$5),--($CR$7:$FW$7&lt;=GK$6),$CR241:$FW241)*GC241</f>
        <v>0</v>
      </c>
      <c r="GL241" s="145" cm="1">
        <f t="array" ref="GL241">SUMPRODUCT(--($CR$7:$FW$7&gt;=GL$5),--($CR$7:$FW$7&lt;=GL$6),$CR241:$FW241)*GD241</f>
        <v>0</v>
      </c>
      <c r="GM241" s="145" cm="1">
        <f t="array" ref="GM241">SUMPRODUCT(--($CR$7:$FW$7&gt;=GM$5),--($CR$7:$FW$7&lt;=GM$6),$CR241:$FW241)*GE241</f>
        <v>0</v>
      </c>
      <c r="GN241" s="145" cm="1">
        <f t="array" ref="GN241">SUMPRODUCT(--($CR$7:$FW$7&gt;=GN$5),--($CR$7:$FW$7&lt;=GN$6),$CR241:$FW241)*GF241</f>
        <v>0</v>
      </c>
      <c r="GO241" s="145">
        <f t="shared" si="3"/>
        <v>0</v>
      </c>
      <c r="GP241" s="87"/>
      <c r="GR241" s="145" cm="1">
        <f t="array" ref="GR241">SUMPRODUCT(--($CR$7:$FW$7&gt;=GR$5),--($CR$7:$FW$7&lt;=GR$6),$CR241:$FW241)</f>
        <v>0</v>
      </c>
    </row>
    <row r="242" spans="2:200" x14ac:dyDescent="0.2">
      <c r="B242" s="141"/>
      <c r="C242" s="141"/>
      <c r="D242" s="141"/>
      <c r="E242" s="141"/>
      <c r="F242" s="141"/>
      <c r="G242" s="141"/>
      <c r="H242" s="142"/>
      <c r="I242" s="126"/>
      <c r="J242" s="143"/>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3"/>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c r="EE242" s="145"/>
      <c r="EF242" s="145"/>
      <c r="EG242" s="145"/>
      <c r="EH242" s="145"/>
      <c r="EI242" s="145"/>
      <c r="EJ242" s="145"/>
      <c r="EK242" s="145"/>
      <c r="EL242" s="145"/>
      <c r="EM242" s="145"/>
      <c r="EN242" s="145"/>
      <c r="EO242" s="145"/>
      <c r="EP242" s="145"/>
      <c r="EQ242" s="145"/>
      <c r="ER242" s="145"/>
      <c r="ES242" s="145"/>
      <c r="ET242" s="145"/>
      <c r="EU242" s="145"/>
      <c r="EV242" s="145"/>
      <c r="EW242" s="145"/>
      <c r="EX242" s="145"/>
      <c r="EY242" s="145"/>
      <c r="EZ242" s="145"/>
      <c r="FA242" s="145"/>
      <c r="FB242" s="145"/>
      <c r="FC242" s="145"/>
      <c r="FD242" s="14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3"/>
      <c r="FY242" s="146">
        <f>_xlfn.XLOOKUP($E242,'Key assumptions'!$B$112:$B$120,'Key assumptions'!$C$112:$C$120,0)</f>
        <v>0</v>
      </c>
      <c r="FZ242" s="146" cm="1">
        <f t="array" ref="FZ242">IF($FY242=0,0,_xlfn.IFS($FY242='Key assumptions'!$C$120,_xlfn.XLOOKUP(LEFT(FZ$7,6),Inflation_Year,Inflation_NominaltoReal),TRUE,_xlfn.XLOOKUP($FY242,Inflation_Year,NominaltoReal)))</f>
        <v>0</v>
      </c>
      <c r="GA242" s="146" cm="1">
        <f t="array" ref="GA242">IF($FY242=0,0,_xlfn.IFS($FY242='Key assumptions'!$C$120,_xlfn.XLOOKUP(LEFT(GA$7,6),Inflation_Year,Inflation_NominaltoReal),TRUE,_xlfn.XLOOKUP($FY242,Inflation_Year,NominaltoReal)))</f>
        <v>0</v>
      </c>
      <c r="GB242" s="146" cm="1">
        <f t="array" ref="GB242">IF($FY242=0,0,_xlfn.IFS($FY242='Key assumptions'!$C$120,_xlfn.XLOOKUP(LEFT(GB$7,6),Inflation_Year,Inflation_NominaltoReal),TRUE,_xlfn.XLOOKUP($FY242,Inflation_Year,NominaltoReal)))</f>
        <v>0</v>
      </c>
      <c r="GC242" s="146" cm="1">
        <f t="array" ref="GC242">IF($FY242=0,0,_xlfn.IFS($FY242='Key assumptions'!$C$120,_xlfn.XLOOKUP(LEFT(GC$7,6),Inflation_Year,Inflation_NominaltoReal),TRUE,_xlfn.XLOOKUP($FY242,Inflation_Year,NominaltoReal)))</f>
        <v>0</v>
      </c>
      <c r="GD242" s="146" cm="1">
        <f t="array" ref="GD242">IF($FY242=0,0,_xlfn.IFS($FY242='Key assumptions'!$C$120,_xlfn.XLOOKUP(LEFT(GD$7,6),Inflation_Year,Inflation_NominaltoReal),TRUE,_xlfn.XLOOKUP($FY242,Inflation_Year,NominaltoReal)))</f>
        <v>0</v>
      </c>
      <c r="GE242" s="146" cm="1">
        <f t="array" ref="GE242">IF($FY242=0,0,_xlfn.IFS($FY242='Key assumptions'!$C$120,_xlfn.XLOOKUP(LEFT(GE$7,6),Inflation_Year,Inflation_NominaltoReal),TRUE,_xlfn.XLOOKUP($FY242,Inflation_Year,NominaltoReal)))</f>
        <v>0</v>
      </c>
      <c r="GF242" s="146" cm="1">
        <f t="array" ref="GF242">IF($FY242=0,0,_xlfn.IFS($FY242='Key assumptions'!$C$120,_xlfn.XLOOKUP(LEFT(GF$7,6),Inflation_Year,Inflation_NominaltoReal),TRUE,_xlfn.XLOOKUP($FY242,Inflation_Year,NominaltoReal)))</f>
        <v>0</v>
      </c>
      <c r="GG242" s="143"/>
      <c r="GH242" s="145" cm="1">
        <f t="array" ref="GH242">SUMPRODUCT(--($CR$7:$FW$7&gt;=GH$5),--($CR$7:$FW$7&lt;=GH$6),$CR242:$FW242)*FZ242</f>
        <v>0</v>
      </c>
      <c r="GI242" s="145" cm="1">
        <f t="array" ref="GI242">SUMPRODUCT(--($CR$7:$FW$7&gt;=GI$5),--($CR$7:$FW$7&lt;=GI$6),$CR242:$FW242)*GA242</f>
        <v>0</v>
      </c>
      <c r="GJ242" s="145" cm="1">
        <f t="array" ref="GJ242">SUMPRODUCT(--($CR$7:$FW$7&gt;=GJ$5),--($CR$7:$FW$7&lt;=GJ$6),$CR242:$FW242)*GB242</f>
        <v>0</v>
      </c>
      <c r="GK242" s="145" cm="1">
        <f t="array" ref="GK242">SUMPRODUCT(--($CR$7:$FW$7&gt;=GK$5),--($CR$7:$FW$7&lt;=GK$6),$CR242:$FW242)*GC242</f>
        <v>0</v>
      </c>
      <c r="GL242" s="145" cm="1">
        <f t="array" ref="GL242">SUMPRODUCT(--($CR$7:$FW$7&gt;=GL$5),--($CR$7:$FW$7&lt;=GL$6),$CR242:$FW242)*GD242</f>
        <v>0</v>
      </c>
      <c r="GM242" s="145" cm="1">
        <f t="array" ref="GM242">SUMPRODUCT(--($CR$7:$FW$7&gt;=GM$5),--($CR$7:$FW$7&lt;=GM$6),$CR242:$FW242)*GE242</f>
        <v>0</v>
      </c>
      <c r="GN242" s="145" cm="1">
        <f t="array" ref="GN242">SUMPRODUCT(--($CR$7:$FW$7&gt;=GN$5),--($CR$7:$FW$7&lt;=GN$6),$CR242:$FW242)*GF242</f>
        <v>0</v>
      </c>
      <c r="GO242" s="145">
        <f t="shared" si="3"/>
        <v>0</v>
      </c>
      <c r="GP242" s="87"/>
      <c r="GR242" s="145" cm="1">
        <f t="array" ref="GR242">SUMPRODUCT(--($CR$7:$FW$7&gt;=GR$5),--($CR$7:$FW$7&lt;=GR$6),$CR242:$FW242)</f>
        <v>0</v>
      </c>
    </row>
    <row r="243" spans="2:200" x14ac:dyDescent="0.2">
      <c r="B243" s="141"/>
      <c r="C243" s="141"/>
      <c r="D243" s="141"/>
      <c r="E243" s="141"/>
      <c r="F243" s="141"/>
      <c r="G243" s="141"/>
      <c r="H243" s="142"/>
      <c r="I243" s="126"/>
      <c r="J243" s="143"/>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3"/>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c r="EE243" s="145"/>
      <c r="EF243" s="145"/>
      <c r="EG243" s="145"/>
      <c r="EH243" s="145"/>
      <c r="EI243" s="145"/>
      <c r="EJ243" s="145"/>
      <c r="EK243" s="145"/>
      <c r="EL243" s="145"/>
      <c r="EM243" s="145"/>
      <c r="EN243" s="145"/>
      <c r="EO243" s="145"/>
      <c r="EP243" s="145"/>
      <c r="EQ243" s="145"/>
      <c r="ER243" s="145"/>
      <c r="ES243" s="145"/>
      <c r="ET243" s="145"/>
      <c r="EU243" s="145"/>
      <c r="EV243" s="145"/>
      <c r="EW243" s="145"/>
      <c r="EX243" s="145"/>
      <c r="EY243" s="145"/>
      <c r="EZ243" s="145"/>
      <c r="FA243" s="145"/>
      <c r="FB243" s="145"/>
      <c r="FC243" s="145"/>
      <c r="FD243" s="14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3"/>
      <c r="FY243" s="146">
        <f>_xlfn.XLOOKUP($E243,'Key assumptions'!$B$112:$B$120,'Key assumptions'!$C$112:$C$120,0)</f>
        <v>0</v>
      </c>
      <c r="FZ243" s="146" cm="1">
        <f t="array" ref="FZ243">IF($FY243=0,0,_xlfn.IFS($FY243='Key assumptions'!$C$120,_xlfn.XLOOKUP(LEFT(FZ$7,6),Inflation_Year,Inflation_NominaltoReal),TRUE,_xlfn.XLOOKUP($FY243,Inflation_Year,NominaltoReal)))</f>
        <v>0</v>
      </c>
      <c r="GA243" s="146" cm="1">
        <f t="array" ref="GA243">IF($FY243=0,0,_xlfn.IFS($FY243='Key assumptions'!$C$120,_xlfn.XLOOKUP(LEFT(GA$7,6),Inflation_Year,Inflation_NominaltoReal),TRUE,_xlfn.XLOOKUP($FY243,Inflation_Year,NominaltoReal)))</f>
        <v>0</v>
      </c>
      <c r="GB243" s="146" cm="1">
        <f t="array" ref="GB243">IF($FY243=0,0,_xlfn.IFS($FY243='Key assumptions'!$C$120,_xlfn.XLOOKUP(LEFT(GB$7,6),Inflation_Year,Inflation_NominaltoReal),TRUE,_xlfn.XLOOKUP($FY243,Inflation_Year,NominaltoReal)))</f>
        <v>0</v>
      </c>
      <c r="GC243" s="146" cm="1">
        <f t="array" ref="GC243">IF($FY243=0,0,_xlfn.IFS($FY243='Key assumptions'!$C$120,_xlfn.XLOOKUP(LEFT(GC$7,6),Inflation_Year,Inflation_NominaltoReal),TRUE,_xlfn.XLOOKUP($FY243,Inflation_Year,NominaltoReal)))</f>
        <v>0</v>
      </c>
      <c r="GD243" s="146" cm="1">
        <f t="array" ref="GD243">IF($FY243=0,0,_xlfn.IFS($FY243='Key assumptions'!$C$120,_xlfn.XLOOKUP(LEFT(GD$7,6),Inflation_Year,Inflation_NominaltoReal),TRUE,_xlfn.XLOOKUP($FY243,Inflation_Year,NominaltoReal)))</f>
        <v>0</v>
      </c>
      <c r="GE243" s="146" cm="1">
        <f t="array" ref="GE243">IF($FY243=0,0,_xlfn.IFS($FY243='Key assumptions'!$C$120,_xlfn.XLOOKUP(LEFT(GE$7,6),Inflation_Year,Inflation_NominaltoReal),TRUE,_xlfn.XLOOKUP($FY243,Inflation_Year,NominaltoReal)))</f>
        <v>0</v>
      </c>
      <c r="GF243" s="146" cm="1">
        <f t="array" ref="GF243">IF($FY243=0,0,_xlfn.IFS($FY243='Key assumptions'!$C$120,_xlfn.XLOOKUP(LEFT(GF$7,6),Inflation_Year,Inflation_NominaltoReal),TRUE,_xlfn.XLOOKUP($FY243,Inflation_Year,NominaltoReal)))</f>
        <v>0</v>
      </c>
      <c r="GG243" s="143"/>
      <c r="GH243" s="145" cm="1">
        <f t="array" ref="GH243">SUMPRODUCT(--($CR$7:$FW$7&gt;=GH$5),--($CR$7:$FW$7&lt;=GH$6),$CR243:$FW243)*FZ243</f>
        <v>0</v>
      </c>
      <c r="GI243" s="145" cm="1">
        <f t="array" ref="GI243">SUMPRODUCT(--($CR$7:$FW$7&gt;=GI$5),--($CR$7:$FW$7&lt;=GI$6),$CR243:$FW243)*GA243</f>
        <v>0</v>
      </c>
      <c r="GJ243" s="145" cm="1">
        <f t="array" ref="GJ243">SUMPRODUCT(--($CR$7:$FW$7&gt;=GJ$5),--($CR$7:$FW$7&lt;=GJ$6),$CR243:$FW243)*GB243</f>
        <v>0</v>
      </c>
      <c r="GK243" s="145" cm="1">
        <f t="array" ref="GK243">SUMPRODUCT(--($CR$7:$FW$7&gt;=GK$5),--($CR$7:$FW$7&lt;=GK$6),$CR243:$FW243)*GC243</f>
        <v>0</v>
      </c>
      <c r="GL243" s="145" cm="1">
        <f t="array" ref="GL243">SUMPRODUCT(--($CR$7:$FW$7&gt;=GL$5),--($CR$7:$FW$7&lt;=GL$6),$CR243:$FW243)*GD243</f>
        <v>0</v>
      </c>
      <c r="GM243" s="145" cm="1">
        <f t="array" ref="GM243">SUMPRODUCT(--($CR$7:$FW$7&gt;=GM$5),--($CR$7:$FW$7&lt;=GM$6),$CR243:$FW243)*GE243</f>
        <v>0</v>
      </c>
      <c r="GN243" s="145" cm="1">
        <f t="array" ref="GN243">SUMPRODUCT(--($CR$7:$FW$7&gt;=GN$5),--($CR$7:$FW$7&lt;=GN$6),$CR243:$FW243)*GF243</f>
        <v>0</v>
      </c>
      <c r="GO243" s="145">
        <f t="shared" si="3"/>
        <v>0</v>
      </c>
      <c r="GP243" s="87"/>
      <c r="GR243" s="145" cm="1">
        <f t="array" ref="GR243">SUMPRODUCT(--($CR$7:$FW$7&gt;=GR$5),--($CR$7:$FW$7&lt;=GR$6),$CR243:$FW243)</f>
        <v>0</v>
      </c>
    </row>
    <row r="244" spans="2:200" x14ac:dyDescent="0.2">
      <c r="B244" s="141"/>
      <c r="C244" s="141"/>
      <c r="D244" s="141"/>
      <c r="E244" s="141"/>
      <c r="F244" s="141"/>
      <c r="G244" s="141"/>
      <c r="H244" s="142"/>
      <c r="I244" s="126"/>
      <c r="J244" s="143"/>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3"/>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c r="EE244" s="145"/>
      <c r="EF244" s="145"/>
      <c r="EG244" s="145"/>
      <c r="EH244" s="145"/>
      <c r="EI244" s="145"/>
      <c r="EJ244" s="145"/>
      <c r="EK244" s="145"/>
      <c r="EL244" s="145"/>
      <c r="EM244" s="145"/>
      <c r="EN244" s="145"/>
      <c r="EO244" s="145"/>
      <c r="EP244" s="145"/>
      <c r="EQ244" s="145"/>
      <c r="ER244" s="145"/>
      <c r="ES244" s="145"/>
      <c r="ET244" s="145"/>
      <c r="EU244" s="145"/>
      <c r="EV244" s="145"/>
      <c r="EW244" s="145"/>
      <c r="EX244" s="145"/>
      <c r="EY244" s="145"/>
      <c r="EZ244" s="145"/>
      <c r="FA244" s="145"/>
      <c r="FB244" s="145"/>
      <c r="FC244" s="145"/>
      <c r="FD244" s="145"/>
      <c r="FE244" s="145"/>
      <c r="FF244" s="145"/>
      <c r="FG244" s="145"/>
      <c r="FH244" s="145"/>
      <c r="FI244" s="145"/>
      <c r="FJ244" s="145"/>
      <c r="FK244" s="145"/>
      <c r="FL244" s="145"/>
      <c r="FM244" s="145"/>
      <c r="FN244" s="145"/>
      <c r="FO244" s="145"/>
      <c r="FP244" s="145"/>
      <c r="FQ244" s="145"/>
      <c r="FR244" s="145"/>
      <c r="FS244" s="145"/>
      <c r="FT244" s="145"/>
      <c r="FU244" s="145"/>
      <c r="FV244" s="145"/>
      <c r="FW244" s="145"/>
      <c r="FX244" s="143"/>
      <c r="FY244" s="146">
        <f>_xlfn.XLOOKUP($E244,'Key assumptions'!$B$112:$B$120,'Key assumptions'!$C$112:$C$120,0)</f>
        <v>0</v>
      </c>
      <c r="FZ244" s="146" cm="1">
        <f t="array" ref="FZ244">IF($FY244=0,0,_xlfn.IFS($FY244='Key assumptions'!$C$120,_xlfn.XLOOKUP(LEFT(FZ$7,6),Inflation_Year,Inflation_NominaltoReal),TRUE,_xlfn.XLOOKUP($FY244,Inflation_Year,NominaltoReal)))</f>
        <v>0</v>
      </c>
      <c r="GA244" s="146" cm="1">
        <f t="array" ref="GA244">IF($FY244=0,0,_xlfn.IFS($FY244='Key assumptions'!$C$120,_xlfn.XLOOKUP(LEFT(GA$7,6),Inflation_Year,Inflation_NominaltoReal),TRUE,_xlfn.XLOOKUP($FY244,Inflation_Year,NominaltoReal)))</f>
        <v>0</v>
      </c>
      <c r="GB244" s="146" cm="1">
        <f t="array" ref="GB244">IF($FY244=0,0,_xlfn.IFS($FY244='Key assumptions'!$C$120,_xlfn.XLOOKUP(LEFT(GB$7,6),Inflation_Year,Inflation_NominaltoReal),TRUE,_xlfn.XLOOKUP($FY244,Inflation_Year,NominaltoReal)))</f>
        <v>0</v>
      </c>
      <c r="GC244" s="146" cm="1">
        <f t="array" ref="GC244">IF($FY244=0,0,_xlfn.IFS($FY244='Key assumptions'!$C$120,_xlfn.XLOOKUP(LEFT(GC$7,6),Inflation_Year,Inflation_NominaltoReal),TRUE,_xlfn.XLOOKUP($FY244,Inflation_Year,NominaltoReal)))</f>
        <v>0</v>
      </c>
      <c r="GD244" s="146" cm="1">
        <f t="array" ref="GD244">IF($FY244=0,0,_xlfn.IFS($FY244='Key assumptions'!$C$120,_xlfn.XLOOKUP(LEFT(GD$7,6),Inflation_Year,Inflation_NominaltoReal),TRUE,_xlfn.XLOOKUP($FY244,Inflation_Year,NominaltoReal)))</f>
        <v>0</v>
      </c>
      <c r="GE244" s="146" cm="1">
        <f t="array" ref="GE244">IF($FY244=0,0,_xlfn.IFS($FY244='Key assumptions'!$C$120,_xlfn.XLOOKUP(LEFT(GE$7,6),Inflation_Year,Inflation_NominaltoReal),TRUE,_xlfn.XLOOKUP($FY244,Inflation_Year,NominaltoReal)))</f>
        <v>0</v>
      </c>
      <c r="GF244" s="146" cm="1">
        <f t="array" ref="GF244">IF($FY244=0,0,_xlfn.IFS($FY244='Key assumptions'!$C$120,_xlfn.XLOOKUP(LEFT(GF$7,6),Inflation_Year,Inflation_NominaltoReal),TRUE,_xlfn.XLOOKUP($FY244,Inflation_Year,NominaltoReal)))</f>
        <v>0</v>
      </c>
      <c r="GG244" s="143"/>
      <c r="GH244" s="145" cm="1">
        <f t="array" ref="GH244">SUMPRODUCT(--($CR$7:$FW$7&gt;=GH$5),--($CR$7:$FW$7&lt;=GH$6),$CR244:$FW244)*FZ244</f>
        <v>0</v>
      </c>
      <c r="GI244" s="145" cm="1">
        <f t="array" ref="GI244">SUMPRODUCT(--($CR$7:$FW$7&gt;=GI$5),--($CR$7:$FW$7&lt;=GI$6),$CR244:$FW244)*GA244</f>
        <v>0</v>
      </c>
      <c r="GJ244" s="145" cm="1">
        <f t="array" ref="GJ244">SUMPRODUCT(--($CR$7:$FW$7&gt;=GJ$5),--($CR$7:$FW$7&lt;=GJ$6),$CR244:$FW244)*GB244</f>
        <v>0</v>
      </c>
      <c r="GK244" s="145" cm="1">
        <f t="array" ref="GK244">SUMPRODUCT(--($CR$7:$FW$7&gt;=GK$5),--($CR$7:$FW$7&lt;=GK$6),$CR244:$FW244)*GC244</f>
        <v>0</v>
      </c>
      <c r="GL244" s="145" cm="1">
        <f t="array" ref="GL244">SUMPRODUCT(--($CR$7:$FW$7&gt;=GL$5),--($CR$7:$FW$7&lt;=GL$6),$CR244:$FW244)*GD244</f>
        <v>0</v>
      </c>
      <c r="GM244" s="145" cm="1">
        <f t="array" ref="GM244">SUMPRODUCT(--($CR$7:$FW$7&gt;=GM$5),--($CR$7:$FW$7&lt;=GM$6),$CR244:$FW244)*GE244</f>
        <v>0</v>
      </c>
      <c r="GN244" s="145" cm="1">
        <f t="array" ref="GN244">SUMPRODUCT(--($CR$7:$FW$7&gt;=GN$5),--($CR$7:$FW$7&lt;=GN$6),$CR244:$FW244)*GF244</f>
        <v>0</v>
      </c>
      <c r="GO244" s="145">
        <f t="shared" si="3"/>
        <v>0</v>
      </c>
      <c r="GP244" s="87"/>
      <c r="GR244" s="145" cm="1">
        <f t="array" ref="GR244">SUMPRODUCT(--($CR$7:$FW$7&gt;=GR$5),--($CR$7:$FW$7&lt;=GR$6),$CR244:$FW244)</f>
        <v>0</v>
      </c>
    </row>
    <row r="245" spans="2:200" x14ac:dyDescent="0.2">
      <c r="B245" s="141"/>
      <c r="C245" s="141"/>
      <c r="D245" s="141"/>
      <c r="E245" s="141"/>
      <c r="F245" s="141"/>
      <c r="G245" s="141"/>
      <c r="H245" s="142"/>
      <c r="I245" s="126"/>
      <c r="J245" s="143"/>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3"/>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c r="EE245" s="145"/>
      <c r="EF245" s="145"/>
      <c r="EG245" s="145"/>
      <c r="EH245" s="145"/>
      <c r="EI245" s="145"/>
      <c r="EJ245" s="145"/>
      <c r="EK245" s="145"/>
      <c r="EL245" s="145"/>
      <c r="EM245" s="145"/>
      <c r="EN245" s="145"/>
      <c r="EO245" s="145"/>
      <c r="EP245" s="145"/>
      <c r="EQ245" s="145"/>
      <c r="ER245" s="145"/>
      <c r="ES245" s="145"/>
      <c r="ET245" s="145"/>
      <c r="EU245" s="145"/>
      <c r="EV245" s="145"/>
      <c r="EW245" s="145"/>
      <c r="EX245" s="145"/>
      <c r="EY245" s="145"/>
      <c r="EZ245" s="145"/>
      <c r="FA245" s="145"/>
      <c r="FB245" s="145"/>
      <c r="FC245" s="145"/>
      <c r="FD245" s="145"/>
      <c r="FE245" s="145"/>
      <c r="FF245" s="145"/>
      <c r="FG245" s="145"/>
      <c r="FH245" s="145"/>
      <c r="FI245" s="145"/>
      <c r="FJ245" s="145"/>
      <c r="FK245" s="145"/>
      <c r="FL245" s="145"/>
      <c r="FM245" s="145"/>
      <c r="FN245" s="145"/>
      <c r="FO245" s="145"/>
      <c r="FP245" s="145"/>
      <c r="FQ245" s="145"/>
      <c r="FR245" s="145"/>
      <c r="FS245" s="145"/>
      <c r="FT245" s="145"/>
      <c r="FU245" s="145"/>
      <c r="FV245" s="145"/>
      <c r="FW245" s="145"/>
      <c r="FX245" s="143"/>
      <c r="FY245" s="146">
        <f>_xlfn.XLOOKUP($E245,'Key assumptions'!$B$112:$B$120,'Key assumptions'!$C$112:$C$120,0)</f>
        <v>0</v>
      </c>
      <c r="FZ245" s="146" cm="1">
        <f t="array" ref="FZ245">IF($FY245=0,0,_xlfn.IFS($FY245='Key assumptions'!$C$120,_xlfn.XLOOKUP(LEFT(FZ$7,6),Inflation_Year,Inflation_NominaltoReal),TRUE,_xlfn.XLOOKUP($FY245,Inflation_Year,NominaltoReal)))</f>
        <v>0</v>
      </c>
      <c r="GA245" s="146" cm="1">
        <f t="array" ref="GA245">IF($FY245=0,0,_xlfn.IFS($FY245='Key assumptions'!$C$120,_xlfn.XLOOKUP(LEFT(GA$7,6),Inflation_Year,Inflation_NominaltoReal),TRUE,_xlfn.XLOOKUP($FY245,Inflation_Year,NominaltoReal)))</f>
        <v>0</v>
      </c>
      <c r="GB245" s="146" cm="1">
        <f t="array" ref="GB245">IF($FY245=0,0,_xlfn.IFS($FY245='Key assumptions'!$C$120,_xlfn.XLOOKUP(LEFT(GB$7,6),Inflation_Year,Inflation_NominaltoReal),TRUE,_xlfn.XLOOKUP($FY245,Inflation_Year,NominaltoReal)))</f>
        <v>0</v>
      </c>
      <c r="GC245" s="146" cm="1">
        <f t="array" ref="GC245">IF($FY245=0,0,_xlfn.IFS($FY245='Key assumptions'!$C$120,_xlfn.XLOOKUP(LEFT(GC$7,6),Inflation_Year,Inflation_NominaltoReal),TRUE,_xlfn.XLOOKUP($FY245,Inflation_Year,NominaltoReal)))</f>
        <v>0</v>
      </c>
      <c r="GD245" s="146" cm="1">
        <f t="array" ref="GD245">IF($FY245=0,0,_xlfn.IFS($FY245='Key assumptions'!$C$120,_xlfn.XLOOKUP(LEFT(GD$7,6),Inflation_Year,Inflation_NominaltoReal),TRUE,_xlfn.XLOOKUP($FY245,Inflation_Year,NominaltoReal)))</f>
        <v>0</v>
      </c>
      <c r="GE245" s="146" cm="1">
        <f t="array" ref="GE245">IF($FY245=0,0,_xlfn.IFS($FY245='Key assumptions'!$C$120,_xlfn.XLOOKUP(LEFT(GE$7,6),Inflation_Year,Inflation_NominaltoReal),TRUE,_xlfn.XLOOKUP($FY245,Inflation_Year,NominaltoReal)))</f>
        <v>0</v>
      </c>
      <c r="GF245" s="146" cm="1">
        <f t="array" ref="GF245">IF($FY245=0,0,_xlfn.IFS($FY245='Key assumptions'!$C$120,_xlfn.XLOOKUP(LEFT(GF$7,6),Inflation_Year,Inflation_NominaltoReal),TRUE,_xlfn.XLOOKUP($FY245,Inflation_Year,NominaltoReal)))</f>
        <v>0</v>
      </c>
      <c r="GG245" s="143"/>
      <c r="GH245" s="145" cm="1">
        <f t="array" ref="GH245">SUMPRODUCT(--($CR$7:$FW$7&gt;=GH$5),--($CR$7:$FW$7&lt;=GH$6),$CR245:$FW245)*FZ245</f>
        <v>0</v>
      </c>
      <c r="GI245" s="145" cm="1">
        <f t="array" ref="GI245">SUMPRODUCT(--($CR$7:$FW$7&gt;=GI$5),--($CR$7:$FW$7&lt;=GI$6),$CR245:$FW245)*GA245</f>
        <v>0</v>
      </c>
      <c r="GJ245" s="145" cm="1">
        <f t="array" ref="GJ245">SUMPRODUCT(--($CR$7:$FW$7&gt;=GJ$5),--($CR$7:$FW$7&lt;=GJ$6),$CR245:$FW245)*GB245</f>
        <v>0</v>
      </c>
      <c r="GK245" s="145" cm="1">
        <f t="array" ref="GK245">SUMPRODUCT(--($CR$7:$FW$7&gt;=GK$5),--($CR$7:$FW$7&lt;=GK$6),$CR245:$FW245)*GC245</f>
        <v>0</v>
      </c>
      <c r="GL245" s="145" cm="1">
        <f t="array" ref="GL245">SUMPRODUCT(--($CR$7:$FW$7&gt;=GL$5),--($CR$7:$FW$7&lt;=GL$6),$CR245:$FW245)*GD245</f>
        <v>0</v>
      </c>
      <c r="GM245" s="145" cm="1">
        <f t="array" ref="GM245">SUMPRODUCT(--($CR$7:$FW$7&gt;=GM$5),--($CR$7:$FW$7&lt;=GM$6),$CR245:$FW245)*GE245</f>
        <v>0</v>
      </c>
      <c r="GN245" s="145" cm="1">
        <f t="array" ref="GN245">SUMPRODUCT(--($CR$7:$FW$7&gt;=GN$5),--($CR$7:$FW$7&lt;=GN$6),$CR245:$FW245)*GF245</f>
        <v>0</v>
      </c>
      <c r="GO245" s="145">
        <f t="shared" si="3"/>
        <v>0</v>
      </c>
      <c r="GP245" s="87"/>
      <c r="GR245" s="145" cm="1">
        <f t="array" ref="GR245">SUMPRODUCT(--($CR$7:$FW$7&gt;=GR$5),--($CR$7:$FW$7&lt;=GR$6),$CR245:$FW245)</f>
        <v>0</v>
      </c>
    </row>
    <row r="246" spans="2:200" x14ac:dyDescent="0.2">
      <c r="B246" s="141"/>
      <c r="C246" s="141"/>
      <c r="D246" s="141"/>
      <c r="E246" s="141"/>
      <c r="F246" s="141"/>
      <c r="G246" s="141"/>
      <c r="H246" s="142"/>
      <c r="I246" s="126"/>
      <c r="J246" s="143"/>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3"/>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c r="EE246" s="145"/>
      <c r="EF246" s="145"/>
      <c r="EG246" s="145"/>
      <c r="EH246" s="145"/>
      <c r="EI246" s="145"/>
      <c r="EJ246" s="145"/>
      <c r="EK246" s="145"/>
      <c r="EL246" s="145"/>
      <c r="EM246" s="145"/>
      <c r="EN246" s="145"/>
      <c r="EO246" s="145"/>
      <c r="EP246" s="145"/>
      <c r="EQ246" s="145"/>
      <c r="ER246" s="145"/>
      <c r="ES246" s="145"/>
      <c r="ET246" s="145"/>
      <c r="EU246" s="145"/>
      <c r="EV246" s="145"/>
      <c r="EW246" s="145"/>
      <c r="EX246" s="145"/>
      <c r="EY246" s="145"/>
      <c r="EZ246" s="145"/>
      <c r="FA246" s="145"/>
      <c r="FB246" s="145"/>
      <c r="FC246" s="145"/>
      <c r="FD246" s="145"/>
      <c r="FE246" s="145"/>
      <c r="FF246" s="145"/>
      <c r="FG246" s="145"/>
      <c r="FH246" s="145"/>
      <c r="FI246" s="145"/>
      <c r="FJ246" s="145"/>
      <c r="FK246" s="145"/>
      <c r="FL246" s="145"/>
      <c r="FM246" s="145"/>
      <c r="FN246" s="145"/>
      <c r="FO246" s="145"/>
      <c r="FP246" s="145"/>
      <c r="FQ246" s="145"/>
      <c r="FR246" s="145"/>
      <c r="FS246" s="145"/>
      <c r="FT246" s="145"/>
      <c r="FU246" s="145"/>
      <c r="FV246" s="145"/>
      <c r="FW246" s="145"/>
      <c r="FX246" s="143"/>
      <c r="FY246" s="146">
        <f>_xlfn.XLOOKUP($E246,'Key assumptions'!$B$112:$B$120,'Key assumptions'!$C$112:$C$120,0)</f>
        <v>0</v>
      </c>
      <c r="FZ246" s="146" cm="1">
        <f t="array" ref="FZ246">IF($FY246=0,0,_xlfn.IFS($FY246='Key assumptions'!$C$120,_xlfn.XLOOKUP(LEFT(FZ$7,6),Inflation_Year,Inflation_NominaltoReal),TRUE,_xlfn.XLOOKUP($FY246,Inflation_Year,NominaltoReal)))</f>
        <v>0</v>
      </c>
      <c r="GA246" s="146" cm="1">
        <f t="array" ref="GA246">IF($FY246=0,0,_xlfn.IFS($FY246='Key assumptions'!$C$120,_xlfn.XLOOKUP(LEFT(GA$7,6),Inflation_Year,Inflation_NominaltoReal),TRUE,_xlfn.XLOOKUP($FY246,Inflation_Year,NominaltoReal)))</f>
        <v>0</v>
      </c>
      <c r="GB246" s="146" cm="1">
        <f t="array" ref="GB246">IF($FY246=0,0,_xlfn.IFS($FY246='Key assumptions'!$C$120,_xlfn.XLOOKUP(LEFT(GB$7,6),Inflation_Year,Inflation_NominaltoReal),TRUE,_xlfn.XLOOKUP($FY246,Inflation_Year,NominaltoReal)))</f>
        <v>0</v>
      </c>
      <c r="GC246" s="146" cm="1">
        <f t="array" ref="GC246">IF($FY246=0,0,_xlfn.IFS($FY246='Key assumptions'!$C$120,_xlfn.XLOOKUP(LEFT(GC$7,6),Inflation_Year,Inflation_NominaltoReal),TRUE,_xlfn.XLOOKUP($FY246,Inflation_Year,NominaltoReal)))</f>
        <v>0</v>
      </c>
      <c r="GD246" s="146" cm="1">
        <f t="array" ref="GD246">IF($FY246=0,0,_xlfn.IFS($FY246='Key assumptions'!$C$120,_xlfn.XLOOKUP(LEFT(GD$7,6),Inflation_Year,Inflation_NominaltoReal),TRUE,_xlfn.XLOOKUP($FY246,Inflation_Year,NominaltoReal)))</f>
        <v>0</v>
      </c>
      <c r="GE246" s="146" cm="1">
        <f t="array" ref="GE246">IF($FY246=0,0,_xlfn.IFS($FY246='Key assumptions'!$C$120,_xlfn.XLOOKUP(LEFT(GE$7,6),Inflation_Year,Inflation_NominaltoReal),TRUE,_xlfn.XLOOKUP($FY246,Inflation_Year,NominaltoReal)))</f>
        <v>0</v>
      </c>
      <c r="GF246" s="146" cm="1">
        <f t="array" ref="GF246">IF($FY246=0,0,_xlfn.IFS($FY246='Key assumptions'!$C$120,_xlfn.XLOOKUP(LEFT(GF$7,6),Inflation_Year,Inflation_NominaltoReal),TRUE,_xlfn.XLOOKUP($FY246,Inflation_Year,NominaltoReal)))</f>
        <v>0</v>
      </c>
      <c r="GG246" s="143"/>
      <c r="GH246" s="145" cm="1">
        <f t="array" ref="GH246">SUMPRODUCT(--($CR$7:$FW$7&gt;=GH$5),--($CR$7:$FW$7&lt;=GH$6),$CR246:$FW246)*FZ246</f>
        <v>0</v>
      </c>
      <c r="GI246" s="145" cm="1">
        <f t="array" ref="GI246">SUMPRODUCT(--($CR$7:$FW$7&gt;=GI$5),--($CR$7:$FW$7&lt;=GI$6),$CR246:$FW246)*GA246</f>
        <v>0</v>
      </c>
      <c r="GJ246" s="145" cm="1">
        <f t="array" ref="GJ246">SUMPRODUCT(--($CR$7:$FW$7&gt;=GJ$5),--($CR$7:$FW$7&lt;=GJ$6),$CR246:$FW246)*GB246</f>
        <v>0</v>
      </c>
      <c r="GK246" s="145" cm="1">
        <f t="array" ref="GK246">SUMPRODUCT(--($CR$7:$FW$7&gt;=GK$5),--($CR$7:$FW$7&lt;=GK$6),$CR246:$FW246)*GC246</f>
        <v>0</v>
      </c>
      <c r="GL246" s="145" cm="1">
        <f t="array" ref="GL246">SUMPRODUCT(--($CR$7:$FW$7&gt;=GL$5),--($CR$7:$FW$7&lt;=GL$6),$CR246:$FW246)*GD246</f>
        <v>0</v>
      </c>
      <c r="GM246" s="145" cm="1">
        <f t="array" ref="GM246">SUMPRODUCT(--($CR$7:$FW$7&gt;=GM$5),--($CR$7:$FW$7&lt;=GM$6),$CR246:$FW246)*GE246</f>
        <v>0</v>
      </c>
      <c r="GN246" s="145" cm="1">
        <f t="array" ref="GN246">SUMPRODUCT(--($CR$7:$FW$7&gt;=GN$5),--($CR$7:$FW$7&lt;=GN$6),$CR246:$FW246)*GF246</f>
        <v>0</v>
      </c>
      <c r="GO246" s="145">
        <f t="shared" si="3"/>
        <v>0</v>
      </c>
      <c r="GP246" s="87"/>
      <c r="GR246" s="145" cm="1">
        <f t="array" ref="GR246">SUMPRODUCT(--($CR$7:$FW$7&gt;=GR$5),--($CR$7:$FW$7&lt;=GR$6),$CR246:$FW246)</f>
        <v>0</v>
      </c>
    </row>
    <row r="247" spans="2:200" x14ac:dyDescent="0.2">
      <c r="B247" s="141"/>
      <c r="C247" s="141"/>
      <c r="D247" s="141"/>
      <c r="E247" s="141"/>
      <c r="F247" s="141"/>
      <c r="G247" s="141"/>
      <c r="H247" s="142"/>
      <c r="I247" s="126"/>
      <c r="J247" s="143"/>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3"/>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c r="EE247" s="145"/>
      <c r="EF247" s="145"/>
      <c r="EG247" s="145"/>
      <c r="EH247" s="145"/>
      <c r="EI247" s="145"/>
      <c r="EJ247" s="145"/>
      <c r="EK247" s="145"/>
      <c r="EL247" s="145"/>
      <c r="EM247" s="145"/>
      <c r="EN247" s="145"/>
      <c r="EO247" s="145"/>
      <c r="EP247" s="145"/>
      <c r="EQ247" s="145"/>
      <c r="ER247" s="145"/>
      <c r="ES247" s="145"/>
      <c r="ET247" s="145"/>
      <c r="EU247" s="145"/>
      <c r="EV247" s="145"/>
      <c r="EW247" s="145"/>
      <c r="EX247" s="145"/>
      <c r="EY247" s="145"/>
      <c r="EZ247" s="145"/>
      <c r="FA247" s="145"/>
      <c r="FB247" s="145"/>
      <c r="FC247" s="145"/>
      <c r="FD247" s="14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3"/>
      <c r="FY247" s="146">
        <f>_xlfn.XLOOKUP($E247,'Key assumptions'!$B$112:$B$120,'Key assumptions'!$C$112:$C$120,0)</f>
        <v>0</v>
      </c>
      <c r="FZ247" s="146" cm="1">
        <f t="array" ref="FZ247">IF($FY247=0,0,_xlfn.IFS($FY247='Key assumptions'!$C$120,_xlfn.XLOOKUP(LEFT(FZ$7,6),Inflation_Year,Inflation_NominaltoReal),TRUE,_xlfn.XLOOKUP($FY247,Inflation_Year,NominaltoReal)))</f>
        <v>0</v>
      </c>
      <c r="GA247" s="146" cm="1">
        <f t="array" ref="GA247">IF($FY247=0,0,_xlfn.IFS($FY247='Key assumptions'!$C$120,_xlfn.XLOOKUP(LEFT(GA$7,6),Inflation_Year,Inflation_NominaltoReal),TRUE,_xlfn.XLOOKUP($FY247,Inflation_Year,NominaltoReal)))</f>
        <v>0</v>
      </c>
      <c r="GB247" s="146" cm="1">
        <f t="array" ref="GB247">IF($FY247=0,0,_xlfn.IFS($FY247='Key assumptions'!$C$120,_xlfn.XLOOKUP(LEFT(GB$7,6),Inflation_Year,Inflation_NominaltoReal),TRUE,_xlfn.XLOOKUP($FY247,Inflation_Year,NominaltoReal)))</f>
        <v>0</v>
      </c>
      <c r="GC247" s="146" cm="1">
        <f t="array" ref="GC247">IF($FY247=0,0,_xlfn.IFS($FY247='Key assumptions'!$C$120,_xlfn.XLOOKUP(LEFT(GC$7,6),Inflation_Year,Inflation_NominaltoReal),TRUE,_xlfn.XLOOKUP($FY247,Inflation_Year,NominaltoReal)))</f>
        <v>0</v>
      </c>
      <c r="GD247" s="146" cm="1">
        <f t="array" ref="GD247">IF($FY247=0,0,_xlfn.IFS($FY247='Key assumptions'!$C$120,_xlfn.XLOOKUP(LEFT(GD$7,6),Inflation_Year,Inflation_NominaltoReal),TRUE,_xlfn.XLOOKUP($FY247,Inflation_Year,NominaltoReal)))</f>
        <v>0</v>
      </c>
      <c r="GE247" s="146" cm="1">
        <f t="array" ref="GE247">IF($FY247=0,0,_xlfn.IFS($FY247='Key assumptions'!$C$120,_xlfn.XLOOKUP(LEFT(GE$7,6),Inflation_Year,Inflation_NominaltoReal),TRUE,_xlfn.XLOOKUP($FY247,Inflation_Year,NominaltoReal)))</f>
        <v>0</v>
      </c>
      <c r="GF247" s="146" cm="1">
        <f t="array" ref="GF247">IF($FY247=0,0,_xlfn.IFS($FY247='Key assumptions'!$C$120,_xlfn.XLOOKUP(LEFT(GF$7,6),Inflation_Year,Inflation_NominaltoReal),TRUE,_xlfn.XLOOKUP($FY247,Inflation_Year,NominaltoReal)))</f>
        <v>0</v>
      </c>
      <c r="GG247" s="143"/>
      <c r="GH247" s="145" cm="1">
        <f t="array" ref="GH247">SUMPRODUCT(--($CR$7:$FW$7&gt;=GH$5),--($CR$7:$FW$7&lt;=GH$6),$CR247:$FW247)*FZ247</f>
        <v>0</v>
      </c>
      <c r="GI247" s="145" cm="1">
        <f t="array" ref="GI247">SUMPRODUCT(--($CR$7:$FW$7&gt;=GI$5),--($CR$7:$FW$7&lt;=GI$6),$CR247:$FW247)*GA247</f>
        <v>0</v>
      </c>
      <c r="GJ247" s="145" cm="1">
        <f t="array" ref="GJ247">SUMPRODUCT(--($CR$7:$FW$7&gt;=GJ$5),--($CR$7:$FW$7&lt;=GJ$6),$CR247:$FW247)*GB247</f>
        <v>0</v>
      </c>
      <c r="GK247" s="145" cm="1">
        <f t="array" ref="GK247">SUMPRODUCT(--($CR$7:$FW$7&gt;=GK$5),--($CR$7:$FW$7&lt;=GK$6),$CR247:$FW247)*GC247</f>
        <v>0</v>
      </c>
      <c r="GL247" s="145" cm="1">
        <f t="array" ref="GL247">SUMPRODUCT(--($CR$7:$FW$7&gt;=GL$5),--($CR$7:$FW$7&lt;=GL$6),$CR247:$FW247)*GD247</f>
        <v>0</v>
      </c>
      <c r="GM247" s="145" cm="1">
        <f t="array" ref="GM247">SUMPRODUCT(--($CR$7:$FW$7&gt;=GM$5),--($CR$7:$FW$7&lt;=GM$6),$CR247:$FW247)*GE247</f>
        <v>0</v>
      </c>
      <c r="GN247" s="145" cm="1">
        <f t="array" ref="GN247">SUMPRODUCT(--($CR$7:$FW$7&gt;=GN$5),--($CR$7:$FW$7&lt;=GN$6),$CR247:$FW247)*GF247</f>
        <v>0</v>
      </c>
      <c r="GO247" s="145">
        <f t="shared" si="3"/>
        <v>0</v>
      </c>
      <c r="GP247" s="87"/>
      <c r="GR247" s="145" cm="1">
        <f t="array" ref="GR247">SUMPRODUCT(--($CR$7:$FW$7&gt;=GR$5),--($CR$7:$FW$7&lt;=GR$6),$CR247:$FW247)</f>
        <v>0</v>
      </c>
    </row>
    <row r="248" spans="2:200" x14ac:dyDescent="0.2">
      <c r="B248" s="141"/>
      <c r="C248" s="141"/>
      <c r="D248" s="141"/>
      <c r="E248" s="141"/>
      <c r="F248" s="141"/>
      <c r="G248" s="141"/>
      <c r="H248" s="142"/>
      <c r="I248" s="126"/>
      <c r="J248" s="143"/>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3"/>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c r="EE248" s="145"/>
      <c r="EF248" s="145"/>
      <c r="EG248" s="145"/>
      <c r="EH248" s="145"/>
      <c r="EI248" s="145"/>
      <c r="EJ248" s="145"/>
      <c r="EK248" s="145"/>
      <c r="EL248" s="145"/>
      <c r="EM248" s="145"/>
      <c r="EN248" s="145"/>
      <c r="EO248" s="145"/>
      <c r="EP248" s="145"/>
      <c r="EQ248" s="145"/>
      <c r="ER248" s="145"/>
      <c r="ES248" s="145"/>
      <c r="ET248" s="145"/>
      <c r="EU248" s="145"/>
      <c r="EV248" s="145"/>
      <c r="EW248" s="145"/>
      <c r="EX248" s="145"/>
      <c r="EY248" s="145"/>
      <c r="EZ248" s="145"/>
      <c r="FA248" s="145"/>
      <c r="FB248" s="145"/>
      <c r="FC248" s="145"/>
      <c r="FD248" s="14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3"/>
      <c r="FY248" s="146">
        <f>_xlfn.XLOOKUP($E248,'Key assumptions'!$B$112:$B$120,'Key assumptions'!$C$112:$C$120,0)</f>
        <v>0</v>
      </c>
      <c r="FZ248" s="146" cm="1">
        <f t="array" ref="FZ248">IF($FY248=0,0,_xlfn.IFS($FY248='Key assumptions'!$C$120,_xlfn.XLOOKUP(LEFT(FZ$7,6),Inflation_Year,Inflation_NominaltoReal),TRUE,_xlfn.XLOOKUP($FY248,Inflation_Year,NominaltoReal)))</f>
        <v>0</v>
      </c>
      <c r="GA248" s="146" cm="1">
        <f t="array" ref="GA248">IF($FY248=0,0,_xlfn.IFS($FY248='Key assumptions'!$C$120,_xlfn.XLOOKUP(LEFT(GA$7,6),Inflation_Year,Inflation_NominaltoReal),TRUE,_xlfn.XLOOKUP($FY248,Inflation_Year,NominaltoReal)))</f>
        <v>0</v>
      </c>
      <c r="GB248" s="146" cm="1">
        <f t="array" ref="GB248">IF($FY248=0,0,_xlfn.IFS($FY248='Key assumptions'!$C$120,_xlfn.XLOOKUP(LEFT(GB$7,6),Inflation_Year,Inflation_NominaltoReal),TRUE,_xlfn.XLOOKUP($FY248,Inflation_Year,NominaltoReal)))</f>
        <v>0</v>
      </c>
      <c r="GC248" s="146" cm="1">
        <f t="array" ref="GC248">IF($FY248=0,0,_xlfn.IFS($FY248='Key assumptions'!$C$120,_xlfn.XLOOKUP(LEFT(GC$7,6),Inflation_Year,Inflation_NominaltoReal),TRUE,_xlfn.XLOOKUP($FY248,Inflation_Year,NominaltoReal)))</f>
        <v>0</v>
      </c>
      <c r="GD248" s="146" cm="1">
        <f t="array" ref="GD248">IF($FY248=0,0,_xlfn.IFS($FY248='Key assumptions'!$C$120,_xlfn.XLOOKUP(LEFT(GD$7,6),Inflation_Year,Inflation_NominaltoReal),TRUE,_xlfn.XLOOKUP($FY248,Inflation_Year,NominaltoReal)))</f>
        <v>0</v>
      </c>
      <c r="GE248" s="146" cm="1">
        <f t="array" ref="GE248">IF($FY248=0,0,_xlfn.IFS($FY248='Key assumptions'!$C$120,_xlfn.XLOOKUP(LEFT(GE$7,6),Inflation_Year,Inflation_NominaltoReal),TRUE,_xlfn.XLOOKUP($FY248,Inflation_Year,NominaltoReal)))</f>
        <v>0</v>
      </c>
      <c r="GF248" s="146" cm="1">
        <f t="array" ref="GF248">IF($FY248=0,0,_xlfn.IFS($FY248='Key assumptions'!$C$120,_xlfn.XLOOKUP(LEFT(GF$7,6),Inflation_Year,Inflation_NominaltoReal),TRUE,_xlfn.XLOOKUP($FY248,Inflation_Year,NominaltoReal)))</f>
        <v>0</v>
      </c>
      <c r="GG248" s="143"/>
      <c r="GH248" s="145" cm="1">
        <f t="array" ref="GH248">SUMPRODUCT(--($CR$7:$FW$7&gt;=GH$5),--($CR$7:$FW$7&lt;=GH$6),$CR248:$FW248)*FZ248</f>
        <v>0</v>
      </c>
      <c r="GI248" s="145" cm="1">
        <f t="array" ref="GI248">SUMPRODUCT(--($CR$7:$FW$7&gt;=GI$5),--($CR$7:$FW$7&lt;=GI$6),$CR248:$FW248)*GA248</f>
        <v>0</v>
      </c>
      <c r="GJ248" s="145" cm="1">
        <f t="array" ref="GJ248">SUMPRODUCT(--($CR$7:$FW$7&gt;=GJ$5),--($CR$7:$FW$7&lt;=GJ$6),$CR248:$FW248)*GB248</f>
        <v>0</v>
      </c>
      <c r="GK248" s="145" cm="1">
        <f t="array" ref="GK248">SUMPRODUCT(--($CR$7:$FW$7&gt;=GK$5),--($CR$7:$FW$7&lt;=GK$6),$CR248:$FW248)*GC248</f>
        <v>0</v>
      </c>
      <c r="GL248" s="145" cm="1">
        <f t="array" ref="GL248">SUMPRODUCT(--($CR$7:$FW$7&gt;=GL$5),--($CR$7:$FW$7&lt;=GL$6),$CR248:$FW248)*GD248</f>
        <v>0</v>
      </c>
      <c r="GM248" s="145" cm="1">
        <f t="array" ref="GM248">SUMPRODUCT(--($CR$7:$FW$7&gt;=GM$5),--($CR$7:$FW$7&lt;=GM$6),$CR248:$FW248)*GE248</f>
        <v>0</v>
      </c>
      <c r="GN248" s="145" cm="1">
        <f t="array" ref="GN248">SUMPRODUCT(--($CR$7:$FW$7&gt;=GN$5),--($CR$7:$FW$7&lt;=GN$6),$CR248:$FW248)*GF248</f>
        <v>0</v>
      </c>
      <c r="GO248" s="145">
        <f t="shared" si="3"/>
        <v>0</v>
      </c>
      <c r="GP248" s="87"/>
      <c r="GR248" s="145" cm="1">
        <f t="array" ref="GR248">SUMPRODUCT(--($CR$7:$FW$7&gt;=GR$5),--($CR$7:$FW$7&lt;=GR$6),$CR248:$FW248)</f>
        <v>0</v>
      </c>
    </row>
    <row r="249" spans="2:200" x14ac:dyDescent="0.2">
      <c r="B249" s="141"/>
      <c r="C249" s="141"/>
      <c r="D249" s="141"/>
      <c r="E249" s="141"/>
      <c r="F249" s="141"/>
      <c r="G249" s="141"/>
      <c r="H249" s="142"/>
      <c r="I249" s="126"/>
      <c r="J249" s="143"/>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3"/>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c r="EE249" s="145"/>
      <c r="EF249" s="145"/>
      <c r="EG249" s="145"/>
      <c r="EH249" s="145"/>
      <c r="EI249" s="145"/>
      <c r="EJ249" s="145"/>
      <c r="EK249" s="145"/>
      <c r="EL249" s="145"/>
      <c r="EM249" s="145"/>
      <c r="EN249" s="145"/>
      <c r="EO249" s="145"/>
      <c r="EP249" s="145"/>
      <c r="EQ249" s="145"/>
      <c r="ER249" s="145"/>
      <c r="ES249" s="145"/>
      <c r="ET249" s="145"/>
      <c r="EU249" s="145"/>
      <c r="EV249" s="145"/>
      <c r="EW249" s="145"/>
      <c r="EX249" s="145"/>
      <c r="EY249" s="145"/>
      <c r="EZ249" s="145"/>
      <c r="FA249" s="145"/>
      <c r="FB249" s="145"/>
      <c r="FC249" s="145"/>
      <c r="FD249" s="145"/>
      <c r="FE249" s="145"/>
      <c r="FF249" s="145"/>
      <c r="FG249" s="145"/>
      <c r="FH249" s="145"/>
      <c r="FI249" s="145"/>
      <c r="FJ249" s="145"/>
      <c r="FK249" s="145"/>
      <c r="FL249" s="145"/>
      <c r="FM249" s="145"/>
      <c r="FN249" s="145"/>
      <c r="FO249" s="145"/>
      <c r="FP249" s="145"/>
      <c r="FQ249" s="145"/>
      <c r="FR249" s="145"/>
      <c r="FS249" s="145"/>
      <c r="FT249" s="145"/>
      <c r="FU249" s="145"/>
      <c r="FV249" s="145"/>
      <c r="FW249" s="145"/>
      <c r="FX249" s="143"/>
      <c r="FY249" s="146">
        <f>_xlfn.XLOOKUP($E249,'Key assumptions'!$B$112:$B$120,'Key assumptions'!$C$112:$C$120,0)</f>
        <v>0</v>
      </c>
      <c r="FZ249" s="146" cm="1">
        <f t="array" ref="FZ249">IF($FY249=0,0,_xlfn.IFS($FY249='Key assumptions'!$C$120,_xlfn.XLOOKUP(LEFT(FZ$7,6),Inflation_Year,Inflation_NominaltoReal),TRUE,_xlfn.XLOOKUP($FY249,Inflation_Year,NominaltoReal)))</f>
        <v>0</v>
      </c>
      <c r="GA249" s="146" cm="1">
        <f t="array" ref="GA249">IF($FY249=0,0,_xlfn.IFS($FY249='Key assumptions'!$C$120,_xlfn.XLOOKUP(LEFT(GA$7,6),Inflation_Year,Inflation_NominaltoReal),TRUE,_xlfn.XLOOKUP($FY249,Inflation_Year,NominaltoReal)))</f>
        <v>0</v>
      </c>
      <c r="GB249" s="146" cm="1">
        <f t="array" ref="GB249">IF($FY249=0,0,_xlfn.IFS($FY249='Key assumptions'!$C$120,_xlfn.XLOOKUP(LEFT(GB$7,6),Inflation_Year,Inflation_NominaltoReal),TRUE,_xlfn.XLOOKUP($FY249,Inflation_Year,NominaltoReal)))</f>
        <v>0</v>
      </c>
      <c r="GC249" s="146" cm="1">
        <f t="array" ref="GC249">IF($FY249=0,0,_xlfn.IFS($FY249='Key assumptions'!$C$120,_xlfn.XLOOKUP(LEFT(GC$7,6),Inflation_Year,Inflation_NominaltoReal),TRUE,_xlfn.XLOOKUP($FY249,Inflation_Year,NominaltoReal)))</f>
        <v>0</v>
      </c>
      <c r="GD249" s="146" cm="1">
        <f t="array" ref="GD249">IF($FY249=0,0,_xlfn.IFS($FY249='Key assumptions'!$C$120,_xlfn.XLOOKUP(LEFT(GD$7,6),Inflation_Year,Inflation_NominaltoReal),TRUE,_xlfn.XLOOKUP($FY249,Inflation_Year,NominaltoReal)))</f>
        <v>0</v>
      </c>
      <c r="GE249" s="146" cm="1">
        <f t="array" ref="GE249">IF($FY249=0,0,_xlfn.IFS($FY249='Key assumptions'!$C$120,_xlfn.XLOOKUP(LEFT(GE$7,6),Inflation_Year,Inflation_NominaltoReal),TRUE,_xlfn.XLOOKUP($FY249,Inflation_Year,NominaltoReal)))</f>
        <v>0</v>
      </c>
      <c r="GF249" s="146" cm="1">
        <f t="array" ref="GF249">IF($FY249=0,0,_xlfn.IFS($FY249='Key assumptions'!$C$120,_xlfn.XLOOKUP(LEFT(GF$7,6),Inflation_Year,Inflation_NominaltoReal),TRUE,_xlfn.XLOOKUP($FY249,Inflation_Year,NominaltoReal)))</f>
        <v>0</v>
      </c>
      <c r="GG249" s="143"/>
      <c r="GH249" s="145" cm="1">
        <f t="array" ref="GH249">SUMPRODUCT(--($CR$7:$FW$7&gt;=GH$5),--($CR$7:$FW$7&lt;=GH$6),$CR249:$FW249)*FZ249</f>
        <v>0</v>
      </c>
      <c r="GI249" s="145" cm="1">
        <f t="array" ref="GI249">SUMPRODUCT(--($CR$7:$FW$7&gt;=GI$5),--($CR$7:$FW$7&lt;=GI$6),$CR249:$FW249)*GA249</f>
        <v>0</v>
      </c>
      <c r="GJ249" s="145" cm="1">
        <f t="array" ref="GJ249">SUMPRODUCT(--($CR$7:$FW$7&gt;=GJ$5),--($CR$7:$FW$7&lt;=GJ$6),$CR249:$FW249)*GB249</f>
        <v>0</v>
      </c>
      <c r="GK249" s="145" cm="1">
        <f t="array" ref="GK249">SUMPRODUCT(--($CR$7:$FW$7&gt;=GK$5),--($CR$7:$FW$7&lt;=GK$6),$CR249:$FW249)*GC249</f>
        <v>0</v>
      </c>
      <c r="GL249" s="145" cm="1">
        <f t="array" ref="GL249">SUMPRODUCT(--($CR$7:$FW$7&gt;=GL$5),--($CR$7:$FW$7&lt;=GL$6),$CR249:$FW249)*GD249</f>
        <v>0</v>
      </c>
      <c r="GM249" s="145" cm="1">
        <f t="array" ref="GM249">SUMPRODUCT(--($CR$7:$FW$7&gt;=GM$5),--($CR$7:$FW$7&lt;=GM$6),$CR249:$FW249)*GE249</f>
        <v>0</v>
      </c>
      <c r="GN249" s="145" cm="1">
        <f t="array" ref="GN249">SUMPRODUCT(--($CR$7:$FW$7&gt;=GN$5),--($CR$7:$FW$7&lt;=GN$6),$CR249:$FW249)*GF249</f>
        <v>0</v>
      </c>
      <c r="GO249" s="145">
        <f t="shared" si="3"/>
        <v>0</v>
      </c>
      <c r="GP249" s="87"/>
      <c r="GR249" s="145" cm="1">
        <f t="array" ref="GR249">SUMPRODUCT(--($CR$7:$FW$7&gt;=GR$5),--($CR$7:$FW$7&lt;=GR$6),$CR249:$FW249)</f>
        <v>0</v>
      </c>
    </row>
    <row r="250" spans="2:200" x14ac:dyDescent="0.2">
      <c r="B250" s="141"/>
      <c r="C250" s="141"/>
      <c r="D250" s="141"/>
      <c r="E250" s="141"/>
      <c r="F250" s="141"/>
      <c r="G250" s="141"/>
      <c r="H250" s="142"/>
      <c r="I250" s="126"/>
      <c r="J250" s="143"/>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3"/>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c r="EE250" s="145"/>
      <c r="EF250" s="145"/>
      <c r="EG250" s="145"/>
      <c r="EH250" s="145"/>
      <c r="EI250" s="145"/>
      <c r="EJ250" s="145"/>
      <c r="EK250" s="145"/>
      <c r="EL250" s="145"/>
      <c r="EM250" s="145"/>
      <c r="EN250" s="145"/>
      <c r="EO250" s="145"/>
      <c r="EP250" s="145"/>
      <c r="EQ250" s="145"/>
      <c r="ER250" s="145"/>
      <c r="ES250" s="145"/>
      <c r="ET250" s="145"/>
      <c r="EU250" s="145"/>
      <c r="EV250" s="145"/>
      <c r="EW250" s="145"/>
      <c r="EX250" s="145"/>
      <c r="EY250" s="145"/>
      <c r="EZ250" s="145"/>
      <c r="FA250" s="145"/>
      <c r="FB250" s="145"/>
      <c r="FC250" s="145"/>
      <c r="FD250" s="145"/>
      <c r="FE250" s="145"/>
      <c r="FF250" s="145"/>
      <c r="FG250" s="145"/>
      <c r="FH250" s="145"/>
      <c r="FI250" s="145"/>
      <c r="FJ250" s="145"/>
      <c r="FK250" s="145"/>
      <c r="FL250" s="145"/>
      <c r="FM250" s="145"/>
      <c r="FN250" s="145"/>
      <c r="FO250" s="145"/>
      <c r="FP250" s="145"/>
      <c r="FQ250" s="145"/>
      <c r="FR250" s="145"/>
      <c r="FS250" s="145"/>
      <c r="FT250" s="145"/>
      <c r="FU250" s="145"/>
      <c r="FV250" s="145"/>
      <c r="FW250" s="145"/>
      <c r="FX250" s="143"/>
      <c r="FY250" s="146">
        <f>_xlfn.XLOOKUP($E250,'Key assumptions'!$B$112:$B$120,'Key assumptions'!$C$112:$C$120,0)</f>
        <v>0</v>
      </c>
      <c r="FZ250" s="146" cm="1">
        <f t="array" ref="FZ250">IF($FY250=0,0,_xlfn.IFS($FY250='Key assumptions'!$C$120,_xlfn.XLOOKUP(LEFT(FZ$7,6),Inflation_Year,Inflation_NominaltoReal),TRUE,_xlfn.XLOOKUP($FY250,Inflation_Year,NominaltoReal)))</f>
        <v>0</v>
      </c>
      <c r="GA250" s="146" cm="1">
        <f t="array" ref="GA250">IF($FY250=0,0,_xlfn.IFS($FY250='Key assumptions'!$C$120,_xlfn.XLOOKUP(LEFT(GA$7,6),Inflation_Year,Inflation_NominaltoReal),TRUE,_xlfn.XLOOKUP($FY250,Inflation_Year,NominaltoReal)))</f>
        <v>0</v>
      </c>
      <c r="GB250" s="146" cm="1">
        <f t="array" ref="GB250">IF($FY250=0,0,_xlfn.IFS($FY250='Key assumptions'!$C$120,_xlfn.XLOOKUP(LEFT(GB$7,6),Inflation_Year,Inflation_NominaltoReal),TRUE,_xlfn.XLOOKUP($FY250,Inflation_Year,NominaltoReal)))</f>
        <v>0</v>
      </c>
      <c r="GC250" s="146" cm="1">
        <f t="array" ref="GC250">IF($FY250=0,0,_xlfn.IFS($FY250='Key assumptions'!$C$120,_xlfn.XLOOKUP(LEFT(GC$7,6),Inflation_Year,Inflation_NominaltoReal),TRUE,_xlfn.XLOOKUP($FY250,Inflation_Year,NominaltoReal)))</f>
        <v>0</v>
      </c>
      <c r="GD250" s="146" cm="1">
        <f t="array" ref="GD250">IF($FY250=0,0,_xlfn.IFS($FY250='Key assumptions'!$C$120,_xlfn.XLOOKUP(LEFT(GD$7,6),Inflation_Year,Inflation_NominaltoReal),TRUE,_xlfn.XLOOKUP($FY250,Inflation_Year,NominaltoReal)))</f>
        <v>0</v>
      </c>
      <c r="GE250" s="146" cm="1">
        <f t="array" ref="GE250">IF($FY250=0,0,_xlfn.IFS($FY250='Key assumptions'!$C$120,_xlfn.XLOOKUP(LEFT(GE$7,6),Inflation_Year,Inflation_NominaltoReal),TRUE,_xlfn.XLOOKUP($FY250,Inflation_Year,NominaltoReal)))</f>
        <v>0</v>
      </c>
      <c r="GF250" s="146" cm="1">
        <f t="array" ref="GF250">IF($FY250=0,0,_xlfn.IFS($FY250='Key assumptions'!$C$120,_xlfn.XLOOKUP(LEFT(GF$7,6),Inflation_Year,Inflation_NominaltoReal),TRUE,_xlfn.XLOOKUP($FY250,Inflation_Year,NominaltoReal)))</f>
        <v>0</v>
      </c>
      <c r="GG250" s="143"/>
      <c r="GH250" s="145" cm="1">
        <f t="array" ref="GH250">SUMPRODUCT(--($CR$7:$FW$7&gt;=GH$5),--($CR$7:$FW$7&lt;=GH$6),$CR250:$FW250)*FZ250</f>
        <v>0</v>
      </c>
      <c r="GI250" s="145" cm="1">
        <f t="array" ref="GI250">SUMPRODUCT(--($CR$7:$FW$7&gt;=GI$5),--($CR$7:$FW$7&lt;=GI$6),$CR250:$FW250)*GA250</f>
        <v>0</v>
      </c>
      <c r="GJ250" s="145" cm="1">
        <f t="array" ref="GJ250">SUMPRODUCT(--($CR$7:$FW$7&gt;=GJ$5),--($CR$7:$FW$7&lt;=GJ$6),$CR250:$FW250)*GB250</f>
        <v>0</v>
      </c>
      <c r="GK250" s="145" cm="1">
        <f t="array" ref="GK250">SUMPRODUCT(--($CR$7:$FW$7&gt;=GK$5),--($CR$7:$FW$7&lt;=GK$6),$CR250:$FW250)*GC250</f>
        <v>0</v>
      </c>
      <c r="GL250" s="145" cm="1">
        <f t="array" ref="GL250">SUMPRODUCT(--($CR$7:$FW$7&gt;=GL$5),--($CR$7:$FW$7&lt;=GL$6),$CR250:$FW250)*GD250</f>
        <v>0</v>
      </c>
      <c r="GM250" s="145" cm="1">
        <f t="array" ref="GM250">SUMPRODUCT(--($CR$7:$FW$7&gt;=GM$5),--($CR$7:$FW$7&lt;=GM$6),$CR250:$FW250)*GE250</f>
        <v>0</v>
      </c>
      <c r="GN250" s="145" cm="1">
        <f t="array" ref="GN250">SUMPRODUCT(--($CR$7:$FW$7&gt;=GN$5),--($CR$7:$FW$7&lt;=GN$6),$CR250:$FW250)*GF250</f>
        <v>0</v>
      </c>
      <c r="GO250" s="145">
        <f t="shared" si="3"/>
        <v>0</v>
      </c>
      <c r="GP250" s="87"/>
      <c r="GR250" s="145" cm="1">
        <f t="array" ref="GR250">SUMPRODUCT(--($CR$7:$FW$7&gt;=GR$5),--($CR$7:$FW$7&lt;=GR$6),$CR250:$FW250)</f>
        <v>0</v>
      </c>
    </row>
    <row r="251" spans="2:200" x14ac:dyDescent="0.2">
      <c r="B251" s="141"/>
      <c r="C251" s="141"/>
      <c r="D251" s="141"/>
      <c r="E251" s="141"/>
      <c r="F251" s="141"/>
      <c r="G251" s="141"/>
      <c r="H251" s="142"/>
      <c r="I251" s="126"/>
      <c r="J251" s="143"/>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3"/>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c r="EE251" s="145"/>
      <c r="EF251" s="145"/>
      <c r="EG251" s="145"/>
      <c r="EH251" s="145"/>
      <c r="EI251" s="145"/>
      <c r="EJ251" s="145"/>
      <c r="EK251" s="145"/>
      <c r="EL251" s="145"/>
      <c r="EM251" s="145"/>
      <c r="EN251" s="145"/>
      <c r="EO251" s="145"/>
      <c r="EP251" s="145"/>
      <c r="EQ251" s="145"/>
      <c r="ER251" s="145"/>
      <c r="ES251" s="145"/>
      <c r="ET251" s="145"/>
      <c r="EU251" s="145"/>
      <c r="EV251" s="145"/>
      <c r="EW251" s="145"/>
      <c r="EX251" s="145"/>
      <c r="EY251" s="145"/>
      <c r="EZ251" s="145"/>
      <c r="FA251" s="145"/>
      <c r="FB251" s="145"/>
      <c r="FC251" s="145"/>
      <c r="FD251" s="145"/>
      <c r="FE251" s="145"/>
      <c r="FF251" s="145"/>
      <c r="FG251" s="145"/>
      <c r="FH251" s="145"/>
      <c r="FI251" s="145"/>
      <c r="FJ251" s="145"/>
      <c r="FK251" s="145"/>
      <c r="FL251" s="145"/>
      <c r="FM251" s="145"/>
      <c r="FN251" s="145"/>
      <c r="FO251" s="145"/>
      <c r="FP251" s="145"/>
      <c r="FQ251" s="145"/>
      <c r="FR251" s="145"/>
      <c r="FS251" s="145"/>
      <c r="FT251" s="145"/>
      <c r="FU251" s="145"/>
      <c r="FV251" s="145"/>
      <c r="FW251" s="145"/>
      <c r="FX251" s="143"/>
      <c r="FY251" s="146">
        <f>_xlfn.XLOOKUP($E251,'Key assumptions'!$B$112:$B$120,'Key assumptions'!$C$112:$C$120,0)</f>
        <v>0</v>
      </c>
      <c r="FZ251" s="146" cm="1">
        <f t="array" ref="FZ251">IF($FY251=0,0,_xlfn.IFS($FY251='Key assumptions'!$C$120,_xlfn.XLOOKUP(LEFT(FZ$7,6),Inflation_Year,Inflation_NominaltoReal),TRUE,_xlfn.XLOOKUP($FY251,Inflation_Year,NominaltoReal)))</f>
        <v>0</v>
      </c>
      <c r="GA251" s="146" cm="1">
        <f t="array" ref="GA251">IF($FY251=0,0,_xlfn.IFS($FY251='Key assumptions'!$C$120,_xlfn.XLOOKUP(LEFT(GA$7,6),Inflation_Year,Inflation_NominaltoReal),TRUE,_xlfn.XLOOKUP($FY251,Inflation_Year,NominaltoReal)))</f>
        <v>0</v>
      </c>
      <c r="GB251" s="146" cm="1">
        <f t="array" ref="GB251">IF($FY251=0,0,_xlfn.IFS($FY251='Key assumptions'!$C$120,_xlfn.XLOOKUP(LEFT(GB$7,6),Inflation_Year,Inflation_NominaltoReal),TRUE,_xlfn.XLOOKUP($FY251,Inflation_Year,NominaltoReal)))</f>
        <v>0</v>
      </c>
      <c r="GC251" s="146" cm="1">
        <f t="array" ref="GC251">IF($FY251=0,0,_xlfn.IFS($FY251='Key assumptions'!$C$120,_xlfn.XLOOKUP(LEFT(GC$7,6),Inflation_Year,Inflation_NominaltoReal),TRUE,_xlfn.XLOOKUP($FY251,Inflation_Year,NominaltoReal)))</f>
        <v>0</v>
      </c>
      <c r="GD251" s="146" cm="1">
        <f t="array" ref="GD251">IF($FY251=0,0,_xlfn.IFS($FY251='Key assumptions'!$C$120,_xlfn.XLOOKUP(LEFT(GD$7,6),Inflation_Year,Inflation_NominaltoReal),TRUE,_xlfn.XLOOKUP($FY251,Inflation_Year,NominaltoReal)))</f>
        <v>0</v>
      </c>
      <c r="GE251" s="146" cm="1">
        <f t="array" ref="GE251">IF($FY251=0,0,_xlfn.IFS($FY251='Key assumptions'!$C$120,_xlfn.XLOOKUP(LEFT(GE$7,6),Inflation_Year,Inflation_NominaltoReal),TRUE,_xlfn.XLOOKUP($FY251,Inflation_Year,NominaltoReal)))</f>
        <v>0</v>
      </c>
      <c r="GF251" s="146" cm="1">
        <f t="array" ref="GF251">IF($FY251=0,0,_xlfn.IFS($FY251='Key assumptions'!$C$120,_xlfn.XLOOKUP(LEFT(GF$7,6),Inflation_Year,Inflation_NominaltoReal),TRUE,_xlfn.XLOOKUP($FY251,Inflation_Year,NominaltoReal)))</f>
        <v>0</v>
      </c>
      <c r="GG251" s="143"/>
      <c r="GH251" s="145" cm="1">
        <f t="array" ref="GH251">SUMPRODUCT(--($CR$7:$FW$7&gt;=GH$5),--($CR$7:$FW$7&lt;=GH$6),$CR251:$FW251)*FZ251</f>
        <v>0</v>
      </c>
      <c r="GI251" s="145" cm="1">
        <f t="array" ref="GI251">SUMPRODUCT(--($CR$7:$FW$7&gt;=GI$5),--($CR$7:$FW$7&lt;=GI$6),$CR251:$FW251)*GA251</f>
        <v>0</v>
      </c>
      <c r="GJ251" s="145" cm="1">
        <f t="array" ref="GJ251">SUMPRODUCT(--($CR$7:$FW$7&gt;=GJ$5),--($CR$7:$FW$7&lt;=GJ$6),$CR251:$FW251)*GB251</f>
        <v>0</v>
      </c>
      <c r="GK251" s="145" cm="1">
        <f t="array" ref="GK251">SUMPRODUCT(--($CR$7:$FW$7&gt;=GK$5),--($CR$7:$FW$7&lt;=GK$6),$CR251:$FW251)*GC251</f>
        <v>0</v>
      </c>
      <c r="GL251" s="145" cm="1">
        <f t="array" ref="GL251">SUMPRODUCT(--($CR$7:$FW$7&gt;=GL$5),--($CR$7:$FW$7&lt;=GL$6),$CR251:$FW251)*GD251</f>
        <v>0</v>
      </c>
      <c r="GM251" s="145" cm="1">
        <f t="array" ref="GM251">SUMPRODUCT(--($CR$7:$FW$7&gt;=GM$5),--($CR$7:$FW$7&lt;=GM$6),$CR251:$FW251)*GE251</f>
        <v>0</v>
      </c>
      <c r="GN251" s="145" cm="1">
        <f t="array" ref="GN251">SUMPRODUCT(--($CR$7:$FW$7&gt;=GN$5),--($CR$7:$FW$7&lt;=GN$6),$CR251:$FW251)*GF251</f>
        <v>0</v>
      </c>
      <c r="GO251" s="145">
        <f t="shared" si="3"/>
        <v>0</v>
      </c>
      <c r="GP251" s="87"/>
      <c r="GR251" s="145" cm="1">
        <f t="array" ref="GR251">SUMPRODUCT(--($CR$7:$FW$7&gt;=GR$5),--($CR$7:$FW$7&lt;=GR$6),$CR251:$FW251)</f>
        <v>0</v>
      </c>
    </row>
    <row r="252" spans="2:200" x14ac:dyDescent="0.2">
      <c r="B252" s="141"/>
      <c r="C252" s="141"/>
      <c r="D252" s="141"/>
      <c r="E252" s="141"/>
      <c r="F252" s="141"/>
      <c r="G252" s="141"/>
      <c r="H252" s="142"/>
      <c r="I252" s="126"/>
      <c r="J252" s="143"/>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3"/>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c r="EE252" s="145"/>
      <c r="EF252" s="145"/>
      <c r="EG252" s="145"/>
      <c r="EH252" s="145"/>
      <c r="EI252" s="145"/>
      <c r="EJ252" s="145"/>
      <c r="EK252" s="145"/>
      <c r="EL252" s="145"/>
      <c r="EM252" s="145"/>
      <c r="EN252" s="145"/>
      <c r="EO252" s="145"/>
      <c r="EP252" s="145"/>
      <c r="EQ252" s="145"/>
      <c r="ER252" s="145"/>
      <c r="ES252" s="145"/>
      <c r="ET252" s="145"/>
      <c r="EU252" s="145"/>
      <c r="EV252" s="145"/>
      <c r="EW252" s="145"/>
      <c r="EX252" s="145"/>
      <c r="EY252" s="145"/>
      <c r="EZ252" s="145"/>
      <c r="FA252" s="145"/>
      <c r="FB252" s="145"/>
      <c r="FC252" s="145"/>
      <c r="FD252" s="14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3"/>
      <c r="FY252" s="146">
        <f>_xlfn.XLOOKUP($E252,'Key assumptions'!$B$112:$B$120,'Key assumptions'!$C$112:$C$120,0)</f>
        <v>0</v>
      </c>
      <c r="FZ252" s="146" cm="1">
        <f t="array" ref="FZ252">IF($FY252=0,0,_xlfn.IFS($FY252='Key assumptions'!$C$120,_xlfn.XLOOKUP(LEFT(FZ$7,6),Inflation_Year,Inflation_NominaltoReal),TRUE,_xlfn.XLOOKUP($FY252,Inflation_Year,NominaltoReal)))</f>
        <v>0</v>
      </c>
      <c r="GA252" s="146" cm="1">
        <f t="array" ref="GA252">IF($FY252=0,0,_xlfn.IFS($FY252='Key assumptions'!$C$120,_xlfn.XLOOKUP(LEFT(GA$7,6),Inflation_Year,Inflation_NominaltoReal),TRUE,_xlfn.XLOOKUP($FY252,Inflation_Year,NominaltoReal)))</f>
        <v>0</v>
      </c>
      <c r="GB252" s="146" cm="1">
        <f t="array" ref="GB252">IF($FY252=0,0,_xlfn.IFS($FY252='Key assumptions'!$C$120,_xlfn.XLOOKUP(LEFT(GB$7,6),Inflation_Year,Inflation_NominaltoReal),TRUE,_xlfn.XLOOKUP($FY252,Inflation_Year,NominaltoReal)))</f>
        <v>0</v>
      </c>
      <c r="GC252" s="146" cm="1">
        <f t="array" ref="GC252">IF($FY252=0,0,_xlfn.IFS($FY252='Key assumptions'!$C$120,_xlfn.XLOOKUP(LEFT(GC$7,6),Inflation_Year,Inflation_NominaltoReal),TRUE,_xlfn.XLOOKUP($FY252,Inflation_Year,NominaltoReal)))</f>
        <v>0</v>
      </c>
      <c r="GD252" s="146" cm="1">
        <f t="array" ref="GD252">IF($FY252=0,0,_xlfn.IFS($FY252='Key assumptions'!$C$120,_xlfn.XLOOKUP(LEFT(GD$7,6),Inflation_Year,Inflation_NominaltoReal),TRUE,_xlfn.XLOOKUP($FY252,Inflation_Year,NominaltoReal)))</f>
        <v>0</v>
      </c>
      <c r="GE252" s="146" cm="1">
        <f t="array" ref="GE252">IF($FY252=0,0,_xlfn.IFS($FY252='Key assumptions'!$C$120,_xlfn.XLOOKUP(LEFT(GE$7,6),Inflation_Year,Inflation_NominaltoReal),TRUE,_xlfn.XLOOKUP($FY252,Inflation_Year,NominaltoReal)))</f>
        <v>0</v>
      </c>
      <c r="GF252" s="146" cm="1">
        <f t="array" ref="GF252">IF($FY252=0,0,_xlfn.IFS($FY252='Key assumptions'!$C$120,_xlfn.XLOOKUP(LEFT(GF$7,6),Inflation_Year,Inflation_NominaltoReal),TRUE,_xlfn.XLOOKUP($FY252,Inflation_Year,NominaltoReal)))</f>
        <v>0</v>
      </c>
      <c r="GG252" s="143"/>
      <c r="GH252" s="145" cm="1">
        <f t="array" ref="GH252">SUMPRODUCT(--($CR$7:$FW$7&gt;=GH$5),--($CR$7:$FW$7&lt;=GH$6),$CR252:$FW252)*FZ252</f>
        <v>0</v>
      </c>
      <c r="GI252" s="145" cm="1">
        <f t="array" ref="GI252">SUMPRODUCT(--($CR$7:$FW$7&gt;=GI$5),--($CR$7:$FW$7&lt;=GI$6),$CR252:$FW252)*GA252</f>
        <v>0</v>
      </c>
      <c r="GJ252" s="145" cm="1">
        <f t="array" ref="GJ252">SUMPRODUCT(--($CR$7:$FW$7&gt;=GJ$5),--($CR$7:$FW$7&lt;=GJ$6),$CR252:$FW252)*GB252</f>
        <v>0</v>
      </c>
      <c r="GK252" s="145" cm="1">
        <f t="array" ref="GK252">SUMPRODUCT(--($CR$7:$FW$7&gt;=GK$5),--($CR$7:$FW$7&lt;=GK$6),$CR252:$FW252)*GC252</f>
        <v>0</v>
      </c>
      <c r="GL252" s="145" cm="1">
        <f t="array" ref="GL252">SUMPRODUCT(--($CR$7:$FW$7&gt;=GL$5),--($CR$7:$FW$7&lt;=GL$6),$CR252:$FW252)*GD252</f>
        <v>0</v>
      </c>
      <c r="GM252" s="145" cm="1">
        <f t="array" ref="GM252">SUMPRODUCT(--($CR$7:$FW$7&gt;=GM$5),--($CR$7:$FW$7&lt;=GM$6),$CR252:$FW252)*GE252</f>
        <v>0</v>
      </c>
      <c r="GN252" s="145" cm="1">
        <f t="array" ref="GN252">SUMPRODUCT(--($CR$7:$FW$7&gt;=GN$5),--($CR$7:$FW$7&lt;=GN$6),$CR252:$FW252)*GF252</f>
        <v>0</v>
      </c>
      <c r="GO252" s="145">
        <f t="shared" si="3"/>
        <v>0</v>
      </c>
      <c r="GP252" s="87"/>
      <c r="GR252" s="145" cm="1">
        <f t="array" ref="GR252">SUMPRODUCT(--($CR$7:$FW$7&gt;=GR$5),--($CR$7:$FW$7&lt;=GR$6),$CR252:$FW252)</f>
        <v>0</v>
      </c>
    </row>
    <row r="253" spans="2:200" x14ac:dyDescent="0.2">
      <c r="B253" s="141"/>
      <c r="C253" s="141"/>
      <c r="D253" s="141"/>
      <c r="E253" s="141"/>
      <c r="F253" s="141"/>
      <c r="G253" s="141"/>
      <c r="H253" s="142"/>
      <c r="I253" s="126"/>
      <c r="J253" s="143"/>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3"/>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c r="EE253" s="145"/>
      <c r="EF253" s="145"/>
      <c r="EG253" s="145"/>
      <c r="EH253" s="145"/>
      <c r="EI253" s="145"/>
      <c r="EJ253" s="145"/>
      <c r="EK253" s="145"/>
      <c r="EL253" s="145"/>
      <c r="EM253" s="145"/>
      <c r="EN253" s="145"/>
      <c r="EO253" s="145"/>
      <c r="EP253" s="145"/>
      <c r="EQ253" s="145"/>
      <c r="ER253" s="145"/>
      <c r="ES253" s="145"/>
      <c r="ET253" s="145"/>
      <c r="EU253" s="145"/>
      <c r="EV253" s="145"/>
      <c r="EW253" s="145"/>
      <c r="EX253" s="145"/>
      <c r="EY253" s="145"/>
      <c r="EZ253" s="145"/>
      <c r="FA253" s="145"/>
      <c r="FB253" s="145"/>
      <c r="FC253" s="145"/>
      <c r="FD253" s="14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3"/>
      <c r="FY253" s="146">
        <f>_xlfn.XLOOKUP($E253,'Key assumptions'!$B$112:$B$120,'Key assumptions'!$C$112:$C$120,0)</f>
        <v>0</v>
      </c>
      <c r="FZ253" s="146" cm="1">
        <f t="array" ref="FZ253">IF($FY253=0,0,_xlfn.IFS($FY253='Key assumptions'!$C$120,_xlfn.XLOOKUP(LEFT(FZ$7,6),Inflation_Year,Inflation_NominaltoReal),TRUE,_xlfn.XLOOKUP($FY253,Inflation_Year,NominaltoReal)))</f>
        <v>0</v>
      </c>
      <c r="GA253" s="146" cm="1">
        <f t="array" ref="GA253">IF($FY253=0,0,_xlfn.IFS($FY253='Key assumptions'!$C$120,_xlfn.XLOOKUP(LEFT(GA$7,6),Inflation_Year,Inflation_NominaltoReal),TRUE,_xlfn.XLOOKUP($FY253,Inflation_Year,NominaltoReal)))</f>
        <v>0</v>
      </c>
      <c r="GB253" s="146" cm="1">
        <f t="array" ref="GB253">IF($FY253=0,0,_xlfn.IFS($FY253='Key assumptions'!$C$120,_xlfn.XLOOKUP(LEFT(GB$7,6),Inflation_Year,Inflation_NominaltoReal),TRUE,_xlfn.XLOOKUP($FY253,Inflation_Year,NominaltoReal)))</f>
        <v>0</v>
      </c>
      <c r="GC253" s="146" cm="1">
        <f t="array" ref="GC253">IF($FY253=0,0,_xlfn.IFS($FY253='Key assumptions'!$C$120,_xlfn.XLOOKUP(LEFT(GC$7,6),Inflation_Year,Inflation_NominaltoReal),TRUE,_xlfn.XLOOKUP($FY253,Inflation_Year,NominaltoReal)))</f>
        <v>0</v>
      </c>
      <c r="GD253" s="146" cm="1">
        <f t="array" ref="GD253">IF($FY253=0,0,_xlfn.IFS($FY253='Key assumptions'!$C$120,_xlfn.XLOOKUP(LEFT(GD$7,6),Inflation_Year,Inflation_NominaltoReal),TRUE,_xlfn.XLOOKUP($FY253,Inflation_Year,NominaltoReal)))</f>
        <v>0</v>
      </c>
      <c r="GE253" s="146" cm="1">
        <f t="array" ref="GE253">IF($FY253=0,0,_xlfn.IFS($FY253='Key assumptions'!$C$120,_xlfn.XLOOKUP(LEFT(GE$7,6),Inflation_Year,Inflation_NominaltoReal),TRUE,_xlfn.XLOOKUP($FY253,Inflation_Year,NominaltoReal)))</f>
        <v>0</v>
      </c>
      <c r="GF253" s="146" cm="1">
        <f t="array" ref="GF253">IF($FY253=0,0,_xlfn.IFS($FY253='Key assumptions'!$C$120,_xlfn.XLOOKUP(LEFT(GF$7,6),Inflation_Year,Inflation_NominaltoReal),TRUE,_xlfn.XLOOKUP($FY253,Inflation_Year,NominaltoReal)))</f>
        <v>0</v>
      </c>
      <c r="GG253" s="143"/>
      <c r="GH253" s="145" cm="1">
        <f t="array" ref="GH253">SUMPRODUCT(--($CR$7:$FW$7&gt;=GH$5),--($CR$7:$FW$7&lt;=GH$6),$CR253:$FW253)*FZ253</f>
        <v>0</v>
      </c>
      <c r="GI253" s="145" cm="1">
        <f t="array" ref="GI253">SUMPRODUCT(--($CR$7:$FW$7&gt;=GI$5),--($CR$7:$FW$7&lt;=GI$6),$CR253:$FW253)*GA253</f>
        <v>0</v>
      </c>
      <c r="GJ253" s="145" cm="1">
        <f t="array" ref="GJ253">SUMPRODUCT(--($CR$7:$FW$7&gt;=GJ$5),--($CR$7:$FW$7&lt;=GJ$6),$CR253:$FW253)*GB253</f>
        <v>0</v>
      </c>
      <c r="GK253" s="145" cm="1">
        <f t="array" ref="GK253">SUMPRODUCT(--($CR$7:$FW$7&gt;=GK$5),--($CR$7:$FW$7&lt;=GK$6),$CR253:$FW253)*GC253</f>
        <v>0</v>
      </c>
      <c r="GL253" s="145" cm="1">
        <f t="array" ref="GL253">SUMPRODUCT(--($CR$7:$FW$7&gt;=GL$5),--($CR$7:$FW$7&lt;=GL$6),$CR253:$FW253)*GD253</f>
        <v>0</v>
      </c>
      <c r="GM253" s="145" cm="1">
        <f t="array" ref="GM253">SUMPRODUCT(--($CR$7:$FW$7&gt;=GM$5),--($CR$7:$FW$7&lt;=GM$6),$CR253:$FW253)*GE253</f>
        <v>0</v>
      </c>
      <c r="GN253" s="145" cm="1">
        <f t="array" ref="GN253">SUMPRODUCT(--($CR$7:$FW$7&gt;=GN$5),--($CR$7:$FW$7&lt;=GN$6),$CR253:$FW253)*GF253</f>
        <v>0</v>
      </c>
      <c r="GO253" s="145">
        <f t="shared" si="3"/>
        <v>0</v>
      </c>
      <c r="GP253" s="87"/>
      <c r="GR253" s="145" cm="1">
        <f t="array" ref="GR253">SUMPRODUCT(--($CR$7:$FW$7&gt;=GR$5),--($CR$7:$FW$7&lt;=GR$6),$CR253:$FW253)</f>
        <v>0</v>
      </c>
    </row>
    <row r="254" spans="2:200" x14ac:dyDescent="0.2">
      <c r="B254" s="141"/>
      <c r="C254" s="141"/>
      <c r="D254" s="141"/>
      <c r="E254" s="141"/>
      <c r="F254" s="141"/>
      <c r="G254" s="141"/>
      <c r="H254" s="142"/>
      <c r="I254" s="126"/>
      <c r="J254" s="143"/>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3"/>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c r="EE254" s="145"/>
      <c r="EF254" s="145"/>
      <c r="EG254" s="145"/>
      <c r="EH254" s="145"/>
      <c r="EI254" s="145"/>
      <c r="EJ254" s="145"/>
      <c r="EK254" s="145"/>
      <c r="EL254" s="145"/>
      <c r="EM254" s="145"/>
      <c r="EN254" s="145"/>
      <c r="EO254" s="145"/>
      <c r="EP254" s="145"/>
      <c r="EQ254" s="145"/>
      <c r="ER254" s="145"/>
      <c r="ES254" s="145"/>
      <c r="ET254" s="145"/>
      <c r="EU254" s="145"/>
      <c r="EV254" s="145"/>
      <c r="EW254" s="145"/>
      <c r="EX254" s="145"/>
      <c r="EY254" s="145"/>
      <c r="EZ254" s="145"/>
      <c r="FA254" s="145"/>
      <c r="FB254" s="145"/>
      <c r="FC254" s="145"/>
      <c r="FD254" s="145"/>
      <c r="FE254" s="145"/>
      <c r="FF254" s="145"/>
      <c r="FG254" s="145"/>
      <c r="FH254" s="145"/>
      <c r="FI254" s="145"/>
      <c r="FJ254" s="145"/>
      <c r="FK254" s="145"/>
      <c r="FL254" s="145"/>
      <c r="FM254" s="145"/>
      <c r="FN254" s="145"/>
      <c r="FO254" s="145"/>
      <c r="FP254" s="145"/>
      <c r="FQ254" s="145"/>
      <c r="FR254" s="145"/>
      <c r="FS254" s="145"/>
      <c r="FT254" s="145"/>
      <c r="FU254" s="145"/>
      <c r="FV254" s="145"/>
      <c r="FW254" s="145"/>
      <c r="FX254" s="143"/>
      <c r="FY254" s="146">
        <f>_xlfn.XLOOKUP($E254,'Key assumptions'!$B$112:$B$120,'Key assumptions'!$C$112:$C$120,0)</f>
        <v>0</v>
      </c>
      <c r="FZ254" s="146" cm="1">
        <f t="array" ref="FZ254">IF($FY254=0,0,_xlfn.IFS($FY254='Key assumptions'!$C$120,_xlfn.XLOOKUP(LEFT(FZ$7,6),Inflation_Year,Inflation_NominaltoReal),TRUE,_xlfn.XLOOKUP($FY254,Inflation_Year,NominaltoReal)))</f>
        <v>0</v>
      </c>
      <c r="GA254" s="146" cm="1">
        <f t="array" ref="GA254">IF($FY254=0,0,_xlfn.IFS($FY254='Key assumptions'!$C$120,_xlfn.XLOOKUP(LEFT(GA$7,6),Inflation_Year,Inflation_NominaltoReal),TRUE,_xlfn.XLOOKUP($FY254,Inflation_Year,NominaltoReal)))</f>
        <v>0</v>
      </c>
      <c r="GB254" s="146" cm="1">
        <f t="array" ref="GB254">IF($FY254=0,0,_xlfn.IFS($FY254='Key assumptions'!$C$120,_xlfn.XLOOKUP(LEFT(GB$7,6),Inflation_Year,Inflation_NominaltoReal),TRUE,_xlfn.XLOOKUP($FY254,Inflation_Year,NominaltoReal)))</f>
        <v>0</v>
      </c>
      <c r="GC254" s="146" cm="1">
        <f t="array" ref="GC254">IF($FY254=0,0,_xlfn.IFS($FY254='Key assumptions'!$C$120,_xlfn.XLOOKUP(LEFT(GC$7,6),Inflation_Year,Inflation_NominaltoReal),TRUE,_xlfn.XLOOKUP($FY254,Inflation_Year,NominaltoReal)))</f>
        <v>0</v>
      </c>
      <c r="GD254" s="146" cm="1">
        <f t="array" ref="GD254">IF($FY254=0,0,_xlfn.IFS($FY254='Key assumptions'!$C$120,_xlfn.XLOOKUP(LEFT(GD$7,6),Inflation_Year,Inflation_NominaltoReal),TRUE,_xlfn.XLOOKUP($FY254,Inflation_Year,NominaltoReal)))</f>
        <v>0</v>
      </c>
      <c r="GE254" s="146" cm="1">
        <f t="array" ref="GE254">IF($FY254=0,0,_xlfn.IFS($FY254='Key assumptions'!$C$120,_xlfn.XLOOKUP(LEFT(GE$7,6),Inflation_Year,Inflation_NominaltoReal),TRUE,_xlfn.XLOOKUP($FY254,Inflation_Year,NominaltoReal)))</f>
        <v>0</v>
      </c>
      <c r="GF254" s="146" cm="1">
        <f t="array" ref="GF254">IF($FY254=0,0,_xlfn.IFS($FY254='Key assumptions'!$C$120,_xlfn.XLOOKUP(LEFT(GF$7,6),Inflation_Year,Inflation_NominaltoReal),TRUE,_xlfn.XLOOKUP($FY254,Inflation_Year,NominaltoReal)))</f>
        <v>0</v>
      </c>
      <c r="GG254" s="143"/>
      <c r="GH254" s="145" cm="1">
        <f t="array" ref="GH254">SUMPRODUCT(--($CR$7:$FW$7&gt;=GH$5),--($CR$7:$FW$7&lt;=GH$6),$CR254:$FW254)*FZ254</f>
        <v>0</v>
      </c>
      <c r="GI254" s="145" cm="1">
        <f t="array" ref="GI254">SUMPRODUCT(--($CR$7:$FW$7&gt;=GI$5),--($CR$7:$FW$7&lt;=GI$6),$CR254:$FW254)*GA254</f>
        <v>0</v>
      </c>
      <c r="GJ254" s="145" cm="1">
        <f t="array" ref="GJ254">SUMPRODUCT(--($CR$7:$FW$7&gt;=GJ$5),--($CR$7:$FW$7&lt;=GJ$6),$CR254:$FW254)*GB254</f>
        <v>0</v>
      </c>
      <c r="GK254" s="145" cm="1">
        <f t="array" ref="GK254">SUMPRODUCT(--($CR$7:$FW$7&gt;=GK$5),--($CR$7:$FW$7&lt;=GK$6),$CR254:$FW254)*GC254</f>
        <v>0</v>
      </c>
      <c r="GL254" s="145" cm="1">
        <f t="array" ref="GL254">SUMPRODUCT(--($CR$7:$FW$7&gt;=GL$5),--($CR$7:$FW$7&lt;=GL$6),$CR254:$FW254)*GD254</f>
        <v>0</v>
      </c>
      <c r="GM254" s="145" cm="1">
        <f t="array" ref="GM254">SUMPRODUCT(--($CR$7:$FW$7&gt;=GM$5),--($CR$7:$FW$7&lt;=GM$6),$CR254:$FW254)*GE254</f>
        <v>0</v>
      </c>
      <c r="GN254" s="145" cm="1">
        <f t="array" ref="GN254">SUMPRODUCT(--($CR$7:$FW$7&gt;=GN$5),--($CR$7:$FW$7&lt;=GN$6),$CR254:$FW254)*GF254</f>
        <v>0</v>
      </c>
      <c r="GO254" s="145">
        <f t="shared" si="3"/>
        <v>0</v>
      </c>
      <c r="GP254" s="87"/>
      <c r="GR254" s="145" cm="1">
        <f t="array" ref="GR254">SUMPRODUCT(--($CR$7:$FW$7&gt;=GR$5),--($CR$7:$FW$7&lt;=GR$6),$CR254:$FW254)</f>
        <v>0</v>
      </c>
    </row>
    <row r="255" spans="2:200" x14ac:dyDescent="0.2">
      <c r="B255" s="141"/>
      <c r="C255" s="141"/>
      <c r="D255" s="141"/>
      <c r="E255" s="141"/>
      <c r="F255" s="141"/>
      <c r="G255" s="141"/>
      <c r="H255" s="142"/>
      <c r="I255" s="126"/>
      <c r="J255" s="143"/>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3"/>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c r="EE255" s="145"/>
      <c r="EF255" s="145"/>
      <c r="EG255" s="145"/>
      <c r="EH255" s="145"/>
      <c r="EI255" s="145"/>
      <c r="EJ255" s="145"/>
      <c r="EK255" s="145"/>
      <c r="EL255" s="145"/>
      <c r="EM255" s="145"/>
      <c r="EN255" s="145"/>
      <c r="EO255" s="145"/>
      <c r="EP255" s="145"/>
      <c r="EQ255" s="145"/>
      <c r="ER255" s="145"/>
      <c r="ES255" s="145"/>
      <c r="ET255" s="145"/>
      <c r="EU255" s="145"/>
      <c r="EV255" s="145"/>
      <c r="EW255" s="145"/>
      <c r="EX255" s="145"/>
      <c r="EY255" s="145"/>
      <c r="EZ255" s="145"/>
      <c r="FA255" s="145"/>
      <c r="FB255" s="145"/>
      <c r="FC255" s="145"/>
      <c r="FD255" s="145"/>
      <c r="FE255" s="145"/>
      <c r="FF255" s="145"/>
      <c r="FG255" s="145"/>
      <c r="FH255" s="145"/>
      <c r="FI255" s="145"/>
      <c r="FJ255" s="145"/>
      <c r="FK255" s="145"/>
      <c r="FL255" s="145"/>
      <c r="FM255" s="145"/>
      <c r="FN255" s="145"/>
      <c r="FO255" s="145"/>
      <c r="FP255" s="145"/>
      <c r="FQ255" s="145"/>
      <c r="FR255" s="145"/>
      <c r="FS255" s="145"/>
      <c r="FT255" s="145"/>
      <c r="FU255" s="145"/>
      <c r="FV255" s="145"/>
      <c r="FW255" s="145"/>
      <c r="FX255" s="143"/>
      <c r="FY255" s="146">
        <f>_xlfn.XLOOKUP($E255,'Key assumptions'!$B$112:$B$120,'Key assumptions'!$C$112:$C$120,0)</f>
        <v>0</v>
      </c>
      <c r="FZ255" s="146" cm="1">
        <f t="array" ref="FZ255">IF($FY255=0,0,_xlfn.IFS($FY255='Key assumptions'!$C$120,_xlfn.XLOOKUP(LEFT(FZ$7,6),Inflation_Year,Inflation_NominaltoReal),TRUE,_xlfn.XLOOKUP($FY255,Inflation_Year,NominaltoReal)))</f>
        <v>0</v>
      </c>
      <c r="GA255" s="146" cm="1">
        <f t="array" ref="GA255">IF($FY255=0,0,_xlfn.IFS($FY255='Key assumptions'!$C$120,_xlfn.XLOOKUP(LEFT(GA$7,6),Inflation_Year,Inflation_NominaltoReal),TRUE,_xlfn.XLOOKUP($FY255,Inflation_Year,NominaltoReal)))</f>
        <v>0</v>
      </c>
      <c r="GB255" s="146" cm="1">
        <f t="array" ref="GB255">IF($FY255=0,0,_xlfn.IFS($FY255='Key assumptions'!$C$120,_xlfn.XLOOKUP(LEFT(GB$7,6),Inflation_Year,Inflation_NominaltoReal),TRUE,_xlfn.XLOOKUP($FY255,Inflation_Year,NominaltoReal)))</f>
        <v>0</v>
      </c>
      <c r="GC255" s="146" cm="1">
        <f t="array" ref="GC255">IF($FY255=0,0,_xlfn.IFS($FY255='Key assumptions'!$C$120,_xlfn.XLOOKUP(LEFT(GC$7,6),Inflation_Year,Inflation_NominaltoReal),TRUE,_xlfn.XLOOKUP($FY255,Inflation_Year,NominaltoReal)))</f>
        <v>0</v>
      </c>
      <c r="GD255" s="146" cm="1">
        <f t="array" ref="GD255">IF($FY255=0,0,_xlfn.IFS($FY255='Key assumptions'!$C$120,_xlfn.XLOOKUP(LEFT(GD$7,6),Inflation_Year,Inflation_NominaltoReal),TRUE,_xlfn.XLOOKUP($FY255,Inflation_Year,NominaltoReal)))</f>
        <v>0</v>
      </c>
      <c r="GE255" s="146" cm="1">
        <f t="array" ref="GE255">IF($FY255=0,0,_xlfn.IFS($FY255='Key assumptions'!$C$120,_xlfn.XLOOKUP(LEFT(GE$7,6),Inflation_Year,Inflation_NominaltoReal),TRUE,_xlfn.XLOOKUP($FY255,Inflation_Year,NominaltoReal)))</f>
        <v>0</v>
      </c>
      <c r="GF255" s="146" cm="1">
        <f t="array" ref="GF255">IF($FY255=0,0,_xlfn.IFS($FY255='Key assumptions'!$C$120,_xlfn.XLOOKUP(LEFT(GF$7,6),Inflation_Year,Inflation_NominaltoReal),TRUE,_xlfn.XLOOKUP($FY255,Inflation_Year,NominaltoReal)))</f>
        <v>0</v>
      </c>
      <c r="GG255" s="143"/>
      <c r="GH255" s="145" cm="1">
        <f t="array" ref="GH255">SUMPRODUCT(--($CR$7:$FW$7&gt;=GH$5),--($CR$7:$FW$7&lt;=GH$6),$CR255:$FW255)*FZ255</f>
        <v>0</v>
      </c>
      <c r="GI255" s="145" cm="1">
        <f t="array" ref="GI255">SUMPRODUCT(--($CR$7:$FW$7&gt;=GI$5),--($CR$7:$FW$7&lt;=GI$6),$CR255:$FW255)*GA255</f>
        <v>0</v>
      </c>
      <c r="GJ255" s="145" cm="1">
        <f t="array" ref="GJ255">SUMPRODUCT(--($CR$7:$FW$7&gt;=GJ$5),--($CR$7:$FW$7&lt;=GJ$6),$CR255:$FW255)*GB255</f>
        <v>0</v>
      </c>
      <c r="GK255" s="145" cm="1">
        <f t="array" ref="GK255">SUMPRODUCT(--($CR$7:$FW$7&gt;=GK$5),--($CR$7:$FW$7&lt;=GK$6),$CR255:$FW255)*GC255</f>
        <v>0</v>
      </c>
      <c r="GL255" s="145" cm="1">
        <f t="array" ref="GL255">SUMPRODUCT(--($CR$7:$FW$7&gt;=GL$5),--($CR$7:$FW$7&lt;=GL$6),$CR255:$FW255)*GD255</f>
        <v>0</v>
      </c>
      <c r="GM255" s="145" cm="1">
        <f t="array" ref="GM255">SUMPRODUCT(--($CR$7:$FW$7&gt;=GM$5),--($CR$7:$FW$7&lt;=GM$6),$CR255:$FW255)*GE255</f>
        <v>0</v>
      </c>
      <c r="GN255" s="145" cm="1">
        <f t="array" ref="GN255">SUMPRODUCT(--($CR$7:$FW$7&gt;=GN$5),--($CR$7:$FW$7&lt;=GN$6),$CR255:$FW255)*GF255</f>
        <v>0</v>
      </c>
      <c r="GO255" s="145">
        <f t="shared" si="3"/>
        <v>0</v>
      </c>
      <c r="GP255" s="87"/>
      <c r="GR255" s="145" cm="1">
        <f t="array" ref="GR255">SUMPRODUCT(--($CR$7:$FW$7&gt;=GR$5),--($CR$7:$FW$7&lt;=GR$6),$CR255:$FW255)</f>
        <v>0</v>
      </c>
    </row>
    <row r="256" spans="2:200" x14ac:dyDescent="0.2">
      <c r="B256" s="141"/>
      <c r="C256" s="141"/>
      <c r="D256" s="141"/>
      <c r="E256" s="141"/>
      <c r="F256" s="141"/>
      <c r="G256" s="141"/>
      <c r="H256" s="142"/>
      <c r="I256" s="126"/>
      <c r="J256" s="143"/>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3"/>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c r="EE256" s="145"/>
      <c r="EF256" s="145"/>
      <c r="EG256" s="145"/>
      <c r="EH256" s="145"/>
      <c r="EI256" s="145"/>
      <c r="EJ256" s="145"/>
      <c r="EK256" s="145"/>
      <c r="EL256" s="145"/>
      <c r="EM256" s="145"/>
      <c r="EN256" s="145"/>
      <c r="EO256" s="145"/>
      <c r="EP256" s="145"/>
      <c r="EQ256" s="145"/>
      <c r="ER256" s="145"/>
      <c r="ES256" s="145"/>
      <c r="ET256" s="145"/>
      <c r="EU256" s="145"/>
      <c r="EV256" s="145"/>
      <c r="EW256" s="145"/>
      <c r="EX256" s="145"/>
      <c r="EY256" s="145"/>
      <c r="EZ256" s="145"/>
      <c r="FA256" s="145"/>
      <c r="FB256" s="145"/>
      <c r="FC256" s="145"/>
      <c r="FD256" s="145"/>
      <c r="FE256" s="145"/>
      <c r="FF256" s="145"/>
      <c r="FG256" s="145"/>
      <c r="FH256" s="145"/>
      <c r="FI256" s="145"/>
      <c r="FJ256" s="145"/>
      <c r="FK256" s="145"/>
      <c r="FL256" s="145"/>
      <c r="FM256" s="145"/>
      <c r="FN256" s="145"/>
      <c r="FO256" s="145"/>
      <c r="FP256" s="145"/>
      <c r="FQ256" s="145"/>
      <c r="FR256" s="145"/>
      <c r="FS256" s="145"/>
      <c r="FT256" s="145"/>
      <c r="FU256" s="145"/>
      <c r="FV256" s="145"/>
      <c r="FW256" s="145"/>
      <c r="FX256" s="143"/>
      <c r="FY256" s="146">
        <f>_xlfn.XLOOKUP($E256,'Key assumptions'!$B$112:$B$120,'Key assumptions'!$C$112:$C$120,0)</f>
        <v>0</v>
      </c>
      <c r="FZ256" s="146" cm="1">
        <f t="array" ref="FZ256">IF($FY256=0,0,_xlfn.IFS($FY256='Key assumptions'!$C$120,_xlfn.XLOOKUP(LEFT(FZ$7,6),Inflation_Year,Inflation_NominaltoReal),TRUE,_xlfn.XLOOKUP($FY256,Inflation_Year,NominaltoReal)))</f>
        <v>0</v>
      </c>
      <c r="GA256" s="146" cm="1">
        <f t="array" ref="GA256">IF($FY256=0,0,_xlfn.IFS($FY256='Key assumptions'!$C$120,_xlfn.XLOOKUP(LEFT(GA$7,6),Inflation_Year,Inflation_NominaltoReal),TRUE,_xlfn.XLOOKUP($FY256,Inflation_Year,NominaltoReal)))</f>
        <v>0</v>
      </c>
      <c r="GB256" s="146" cm="1">
        <f t="array" ref="GB256">IF($FY256=0,0,_xlfn.IFS($FY256='Key assumptions'!$C$120,_xlfn.XLOOKUP(LEFT(GB$7,6),Inflation_Year,Inflation_NominaltoReal),TRUE,_xlfn.XLOOKUP($FY256,Inflation_Year,NominaltoReal)))</f>
        <v>0</v>
      </c>
      <c r="GC256" s="146" cm="1">
        <f t="array" ref="GC256">IF($FY256=0,0,_xlfn.IFS($FY256='Key assumptions'!$C$120,_xlfn.XLOOKUP(LEFT(GC$7,6),Inflation_Year,Inflation_NominaltoReal),TRUE,_xlfn.XLOOKUP($FY256,Inflation_Year,NominaltoReal)))</f>
        <v>0</v>
      </c>
      <c r="GD256" s="146" cm="1">
        <f t="array" ref="GD256">IF($FY256=0,0,_xlfn.IFS($FY256='Key assumptions'!$C$120,_xlfn.XLOOKUP(LEFT(GD$7,6),Inflation_Year,Inflation_NominaltoReal),TRUE,_xlfn.XLOOKUP($FY256,Inflation_Year,NominaltoReal)))</f>
        <v>0</v>
      </c>
      <c r="GE256" s="146" cm="1">
        <f t="array" ref="GE256">IF($FY256=0,0,_xlfn.IFS($FY256='Key assumptions'!$C$120,_xlfn.XLOOKUP(LEFT(GE$7,6),Inflation_Year,Inflation_NominaltoReal),TRUE,_xlfn.XLOOKUP($FY256,Inflation_Year,NominaltoReal)))</f>
        <v>0</v>
      </c>
      <c r="GF256" s="146" cm="1">
        <f t="array" ref="GF256">IF($FY256=0,0,_xlfn.IFS($FY256='Key assumptions'!$C$120,_xlfn.XLOOKUP(LEFT(GF$7,6),Inflation_Year,Inflation_NominaltoReal),TRUE,_xlfn.XLOOKUP($FY256,Inflation_Year,NominaltoReal)))</f>
        <v>0</v>
      </c>
      <c r="GG256" s="143"/>
      <c r="GH256" s="145" cm="1">
        <f t="array" ref="GH256">SUMPRODUCT(--($CR$7:$FW$7&gt;=GH$5),--($CR$7:$FW$7&lt;=GH$6),$CR256:$FW256)*FZ256</f>
        <v>0</v>
      </c>
      <c r="GI256" s="145" cm="1">
        <f t="array" ref="GI256">SUMPRODUCT(--($CR$7:$FW$7&gt;=GI$5),--($CR$7:$FW$7&lt;=GI$6),$CR256:$FW256)*GA256</f>
        <v>0</v>
      </c>
      <c r="GJ256" s="145" cm="1">
        <f t="array" ref="GJ256">SUMPRODUCT(--($CR$7:$FW$7&gt;=GJ$5),--($CR$7:$FW$7&lt;=GJ$6),$CR256:$FW256)*GB256</f>
        <v>0</v>
      </c>
      <c r="GK256" s="145" cm="1">
        <f t="array" ref="GK256">SUMPRODUCT(--($CR$7:$FW$7&gt;=GK$5),--($CR$7:$FW$7&lt;=GK$6),$CR256:$FW256)*GC256</f>
        <v>0</v>
      </c>
      <c r="GL256" s="145" cm="1">
        <f t="array" ref="GL256">SUMPRODUCT(--($CR$7:$FW$7&gt;=GL$5),--($CR$7:$FW$7&lt;=GL$6),$CR256:$FW256)*GD256</f>
        <v>0</v>
      </c>
      <c r="GM256" s="145" cm="1">
        <f t="array" ref="GM256">SUMPRODUCT(--($CR$7:$FW$7&gt;=GM$5),--($CR$7:$FW$7&lt;=GM$6),$CR256:$FW256)*GE256</f>
        <v>0</v>
      </c>
      <c r="GN256" s="145" cm="1">
        <f t="array" ref="GN256">SUMPRODUCT(--($CR$7:$FW$7&gt;=GN$5),--($CR$7:$FW$7&lt;=GN$6),$CR256:$FW256)*GF256</f>
        <v>0</v>
      </c>
      <c r="GO256" s="145">
        <f t="shared" si="3"/>
        <v>0</v>
      </c>
      <c r="GP256" s="87"/>
      <c r="GR256" s="145" cm="1">
        <f t="array" ref="GR256">SUMPRODUCT(--($CR$7:$FW$7&gt;=GR$5),--($CR$7:$FW$7&lt;=GR$6),$CR256:$FW256)</f>
        <v>0</v>
      </c>
    </row>
    <row r="257" spans="2:200" x14ac:dyDescent="0.2">
      <c r="B257" s="141"/>
      <c r="C257" s="141"/>
      <c r="D257" s="141"/>
      <c r="E257" s="141"/>
      <c r="F257" s="141"/>
      <c r="G257" s="141"/>
      <c r="H257" s="142"/>
      <c r="I257" s="126"/>
      <c r="J257" s="143"/>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3"/>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145"/>
      <c r="EH257" s="145"/>
      <c r="EI257" s="145"/>
      <c r="EJ257" s="145"/>
      <c r="EK257" s="145"/>
      <c r="EL257" s="145"/>
      <c r="EM257" s="145"/>
      <c r="EN257" s="145"/>
      <c r="EO257" s="145"/>
      <c r="EP257" s="145"/>
      <c r="EQ257" s="145"/>
      <c r="ER257" s="145"/>
      <c r="ES257" s="145"/>
      <c r="ET257" s="145"/>
      <c r="EU257" s="145"/>
      <c r="EV257" s="145"/>
      <c r="EW257" s="145"/>
      <c r="EX257" s="145"/>
      <c r="EY257" s="145"/>
      <c r="EZ257" s="145"/>
      <c r="FA257" s="145"/>
      <c r="FB257" s="145"/>
      <c r="FC257" s="145"/>
      <c r="FD257" s="14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3"/>
      <c r="FY257" s="146">
        <f>_xlfn.XLOOKUP($E257,'Key assumptions'!$B$112:$B$120,'Key assumptions'!$C$112:$C$120,0)</f>
        <v>0</v>
      </c>
      <c r="FZ257" s="146" cm="1">
        <f t="array" ref="FZ257">IF($FY257=0,0,_xlfn.IFS($FY257='Key assumptions'!$C$120,_xlfn.XLOOKUP(LEFT(FZ$7,6),Inflation_Year,Inflation_NominaltoReal),TRUE,_xlfn.XLOOKUP($FY257,Inflation_Year,NominaltoReal)))</f>
        <v>0</v>
      </c>
      <c r="GA257" s="146" cm="1">
        <f t="array" ref="GA257">IF($FY257=0,0,_xlfn.IFS($FY257='Key assumptions'!$C$120,_xlfn.XLOOKUP(LEFT(GA$7,6),Inflation_Year,Inflation_NominaltoReal),TRUE,_xlfn.XLOOKUP($FY257,Inflation_Year,NominaltoReal)))</f>
        <v>0</v>
      </c>
      <c r="GB257" s="146" cm="1">
        <f t="array" ref="GB257">IF($FY257=0,0,_xlfn.IFS($FY257='Key assumptions'!$C$120,_xlfn.XLOOKUP(LEFT(GB$7,6),Inflation_Year,Inflation_NominaltoReal),TRUE,_xlfn.XLOOKUP($FY257,Inflation_Year,NominaltoReal)))</f>
        <v>0</v>
      </c>
      <c r="GC257" s="146" cm="1">
        <f t="array" ref="GC257">IF($FY257=0,0,_xlfn.IFS($FY257='Key assumptions'!$C$120,_xlfn.XLOOKUP(LEFT(GC$7,6),Inflation_Year,Inflation_NominaltoReal),TRUE,_xlfn.XLOOKUP($FY257,Inflation_Year,NominaltoReal)))</f>
        <v>0</v>
      </c>
      <c r="GD257" s="146" cm="1">
        <f t="array" ref="GD257">IF($FY257=0,0,_xlfn.IFS($FY257='Key assumptions'!$C$120,_xlfn.XLOOKUP(LEFT(GD$7,6),Inflation_Year,Inflation_NominaltoReal),TRUE,_xlfn.XLOOKUP($FY257,Inflation_Year,NominaltoReal)))</f>
        <v>0</v>
      </c>
      <c r="GE257" s="146" cm="1">
        <f t="array" ref="GE257">IF($FY257=0,0,_xlfn.IFS($FY257='Key assumptions'!$C$120,_xlfn.XLOOKUP(LEFT(GE$7,6),Inflation_Year,Inflation_NominaltoReal),TRUE,_xlfn.XLOOKUP($FY257,Inflation_Year,NominaltoReal)))</f>
        <v>0</v>
      </c>
      <c r="GF257" s="146" cm="1">
        <f t="array" ref="GF257">IF($FY257=0,0,_xlfn.IFS($FY257='Key assumptions'!$C$120,_xlfn.XLOOKUP(LEFT(GF$7,6),Inflation_Year,Inflation_NominaltoReal),TRUE,_xlfn.XLOOKUP($FY257,Inflation_Year,NominaltoReal)))</f>
        <v>0</v>
      </c>
      <c r="GG257" s="143"/>
      <c r="GH257" s="145" cm="1">
        <f t="array" ref="GH257">SUMPRODUCT(--($CR$7:$FW$7&gt;=GH$5),--($CR$7:$FW$7&lt;=GH$6),$CR257:$FW257)*FZ257</f>
        <v>0</v>
      </c>
      <c r="GI257" s="145" cm="1">
        <f t="array" ref="GI257">SUMPRODUCT(--($CR$7:$FW$7&gt;=GI$5),--($CR$7:$FW$7&lt;=GI$6),$CR257:$FW257)*GA257</f>
        <v>0</v>
      </c>
      <c r="GJ257" s="145" cm="1">
        <f t="array" ref="GJ257">SUMPRODUCT(--($CR$7:$FW$7&gt;=GJ$5),--($CR$7:$FW$7&lt;=GJ$6),$CR257:$FW257)*GB257</f>
        <v>0</v>
      </c>
      <c r="GK257" s="145" cm="1">
        <f t="array" ref="GK257">SUMPRODUCT(--($CR$7:$FW$7&gt;=GK$5),--($CR$7:$FW$7&lt;=GK$6),$CR257:$FW257)*GC257</f>
        <v>0</v>
      </c>
      <c r="GL257" s="145" cm="1">
        <f t="array" ref="GL257">SUMPRODUCT(--($CR$7:$FW$7&gt;=GL$5),--($CR$7:$FW$7&lt;=GL$6),$CR257:$FW257)*GD257</f>
        <v>0</v>
      </c>
      <c r="GM257" s="145" cm="1">
        <f t="array" ref="GM257">SUMPRODUCT(--($CR$7:$FW$7&gt;=GM$5),--($CR$7:$FW$7&lt;=GM$6),$CR257:$FW257)*GE257</f>
        <v>0</v>
      </c>
      <c r="GN257" s="145" cm="1">
        <f t="array" ref="GN257">SUMPRODUCT(--($CR$7:$FW$7&gt;=GN$5),--($CR$7:$FW$7&lt;=GN$6),$CR257:$FW257)*GF257</f>
        <v>0</v>
      </c>
      <c r="GO257" s="145">
        <f t="shared" si="3"/>
        <v>0</v>
      </c>
      <c r="GP257" s="87"/>
      <c r="GR257" s="145" cm="1">
        <f t="array" ref="GR257">SUMPRODUCT(--($CR$7:$FW$7&gt;=GR$5),--($CR$7:$FW$7&lt;=GR$6),$CR257:$FW257)</f>
        <v>0</v>
      </c>
    </row>
    <row r="258" spans="2:200" x14ac:dyDescent="0.2">
      <c r="B258" s="141"/>
      <c r="C258" s="141"/>
      <c r="D258" s="141"/>
      <c r="E258" s="141"/>
      <c r="F258" s="141"/>
      <c r="G258" s="141"/>
      <c r="H258" s="142"/>
      <c r="I258" s="126"/>
      <c r="J258" s="143"/>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3"/>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c r="EE258" s="145"/>
      <c r="EF258" s="145"/>
      <c r="EG258" s="145"/>
      <c r="EH258" s="145"/>
      <c r="EI258" s="145"/>
      <c r="EJ258" s="145"/>
      <c r="EK258" s="145"/>
      <c r="EL258" s="145"/>
      <c r="EM258" s="145"/>
      <c r="EN258" s="145"/>
      <c r="EO258" s="145"/>
      <c r="EP258" s="145"/>
      <c r="EQ258" s="145"/>
      <c r="ER258" s="145"/>
      <c r="ES258" s="145"/>
      <c r="ET258" s="145"/>
      <c r="EU258" s="145"/>
      <c r="EV258" s="145"/>
      <c r="EW258" s="145"/>
      <c r="EX258" s="145"/>
      <c r="EY258" s="145"/>
      <c r="EZ258" s="145"/>
      <c r="FA258" s="145"/>
      <c r="FB258" s="145"/>
      <c r="FC258" s="145"/>
      <c r="FD258" s="14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3"/>
      <c r="FY258" s="146">
        <f>_xlfn.XLOOKUP($E258,'Key assumptions'!$B$112:$B$120,'Key assumptions'!$C$112:$C$120,0)</f>
        <v>0</v>
      </c>
      <c r="FZ258" s="146" cm="1">
        <f t="array" ref="FZ258">IF($FY258=0,0,_xlfn.IFS($FY258='Key assumptions'!$C$120,_xlfn.XLOOKUP(LEFT(FZ$7,6),Inflation_Year,Inflation_NominaltoReal),TRUE,_xlfn.XLOOKUP($FY258,Inflation_Year,NominaltoReal)))</f>
        <v>0</v>
      </c>
      <c r="GA258" s="146" cm="1">
        <f t="array" ref="GA258">IF($FY258=0,0,_xlfn.IFS($FY258='Key assumptions'!$C$120,_xlfn.XLOOKUP(LEFT(GA$7,6),Inflation_Year,Inflation_NominaltoReal),TRUE,_xlfn.XLOOKUP($FY258,Inflation_Year,NominaltoReal)))</f>
        <v>0</v>
      </c>
      <c r="GB258" s="146" cm="1">
        <f t="array" ref="GB258">IF($FY258=0,0,_xlfn.IFS($FY258='Key assumptions'!$C$120,_xlfn.XLOOKUP(LEFT(GB$7,6),Inflation_Year,Inflation_NominaltoReal),TRUE,_xlfn.XLOOKUP($FY258,Inflation_Year,NominaltoReal)))</f>
        <v>0</v>
      </c>
      <c r="GC258" s="146" cm="1">
        <f t="array" ref="GC258">IF($FY258=0,0,_xlfn.IFS($FY258='Key assumptions'!$C$120,_xlfn.XLOOKUP(LEFT(GC$7,6),Inflation_Year,Inflation_NominaltoReal),TRUE,_xlfn.XLOOKUP($FY258,Inflation_Year,NominaltoReal)))</f>
        <v>0</v>
      </c>
      <c r="GD258" s="146" cm="1">
        <f t="array" ref="GD258">IF($FY258=0,0,_xlfn.IFS($FY258='Key assumptions'!$C$120,_xlfn.XLOOKUP(LEFT(GD$7,6),Inflation_Year,Inflation_NominaltoReal),TRUE,_xlfn.XLOOKUP($FY258,Inflation_Year,NominaltoReal)))</f>
        <v>0</v>
      </c>
      <c r="GE258" s="146" cm="1">
        <f t="array" ref="GE258">IF($FY258=0,0,_xlfn.IFS($FY258='Key assumptions'!$C$120,_xlfn.XLOOKUP(LEFT(GE$7,6),Inflation_Year,Inflation_NominaltoReal),TRUE,_xlfn.XLOOKUP($FY258,Inflation_Year,NominaltoReal)))</f>
        <v>0</v>
      </c>
      <c r="GF258" s="146" cm="1">
        <f t="array" ref="GF258">IF($FY258=0,0,_xlfn.IFS($FY258='Key assumptions'!$C$120,_xlfn.XLOOKUP(LEFT(GF$7,6),Inflation_Year,Inflation_NominaltoReal),TRUE,_xlfn.XLOOKUP($FY258,Inflation_Year,NominaltoReal)))</f>
        <v>0</v>
      </c>
      <c r="GG258" s="143"/>
      <c r="GH258" s="145" cm="1">
        <f t="array" ref="GH258">SUMPRODUCT(--($CR$7:$FW$7&gt;=GH$5),--($CR$7:$FW$7&lt;=GH$6),$CR258:$FW258)*FZ258</f>
        <v>0</v>
      </c>
      <c r="GI258" s="145" cm="1">
        <f t="array" ref="GI258">SUMPRODUCT(--($CR$7:$FW$7&gt;=GI$5),--($CR$7:$FW$7&lt;=GI$6),$CR258:$FW258)*GA258</f>
        <v>0</v>
      </c>
      <c r="GJ258" s="145" cm="1">
        <f t="array" ref="GJ258">SUMPRODUCT(--($CR$7:$FW$7&gt;=GJ$5),--($CR$7:$FW$7&lt;=GJ$6),$CR258:$FW258)*GB258</f>
        <v>0</v>
      </c>
      <c r="GK258" s="145" cm="1">
        <f t="array" ref="GK258">SUMPRODUCT(--($CR$7:$FW$7&gt;=GK$5),--($CR$7:$FW$7&lt;=GK$6),$CR258:$FW258)*GC258</f>
        <v>0</v>
      </c>
      <c r="GL258" s="145" cm="1">
        <f t="array" ref="GL258">SUMPRODUCT(--($CR$7:$FW$7&gt;=GL$5),--($CR$7:$FW$7&lt;=GL$6),$CR258:$FW258)*GD258</f>
        <v>0</v>
      </c>
      <c r="GM258" s="145" cm="1">
        <f t="array" ref="GM258">SUMPRODUCT(--($CR$7:$FW$7&gt;=GM$5),--($CR$7:$FW$7&lt;=GM$6),$CR258:$FW258)*GE258</f>
        <v>0</v>
      </c>
      <c r="GN258" s="145" cm="1">
        <f t="array" ref="GN258">SUMPRODUCT(--($CR$7:$FW$7&gt;=GN$5),--($CR$7:$FW$7&lt;=GN$6),$CR258:$FW258)*GF258</f>
        <v>0</v>
      </c>
      <c r="GO258" s="145">
        <f t="shared" si="3"/>
        <v>0</v>
      </c>
      <c r="GP258" s="87"/>
      <c r="GR258" s="145" cm="1">
        <f t="array" ref="GR258">SUMPRODUCT(--($CR$7:$FW$7&gt;=GR$5),--($CR$7:$FW$7&lt;=GR$6),$CR258:$FW258)</f>
        <v>0</v>
      </c>
    </row>
    <row r="259" spans="2:200" x14ac:dyDescent="0.2">
      <c r="B259" s="141"/>
      <c r="C259" s="141"/>
      <c r="D259" s="141"/>
      <c r="E259" s="141"/>
      <c r="F259" s="141"/>
      <c r="G259" s="141"/>
      <c r="H259" s="142"/>
      <c r="I259" s="126"/>
      <c r="J259" s="143"/>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3"/>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145"/>
      <c r="EH259" s="145"/>
      <c r="EI259" s="145"/>
      <c r="EJ259" s="145"/>
      <c r="EK259" s="145"/>
      <c r="EL259" s="145"/>
      <c r="EM259" s="145"/>
      <c r="EN259" s="145"/>
      <c r="EO259" s="145"/>
      <c r="EP259" s="145"/>
      <c r="EQ259" s="145"/>
      <c r="ER259" s="145"/>
      <c r="ES259" s="145"/>
      <c r="ET259" s="145"/>
      <c r="EU259" s="145"/>
      <c r="EV259" s="145"/>
      <c r="EW259" s="145"/>
      <c r="EX259" s="145"/>
      <c r="EY259" s="145"/>
      <c r="EZ259" s="145"/>
      <c r="FA259" s="145"/>
      <c r="FB259" s="145"/>
      <c r="FC259" s="145"/>
      <c r="FD259" s="145"/>
      <c r="FE259" s="145"/>
      <c r="FF259" s="145"/>
      <c r="FG259" s="145"/>
      <c r="FH259" s="145"/>
      <c r="FI259" s="145"/>
      <c r="FJ259" s="145"/>
      <c r="FK259" s="145"/>
      <c r="FL259" s="145"/>
      <c r="FM259" s="145"/>
      <c r="FN259" s="145"/>
      <c r="FO259" s="145"/>
      <c r="FP259" s="145"/>
      <c r="FQ259" s="145"/>
      <c r="FR259" s="145"/>
      <c r="FS259" s="145"/>
      <c r="FT259" s="145"/>
      <c r="FU259" s="145"/>
      <c r="FV259" s="145"/>
      <c r="FW259" s="145"/>
      <c r="FX259" s="143"/>
      <c r="FY259" s="146">
        <f>_xlfn.XLOOKUP($E259,'Key assumptions'!$B$112:$B$120,'Key assumptions'!$C$112:$C$120,0)</f>
        <v>0</v>
      </c>
      <c r="FZ259" s="146" cm="1">
        <f t="array" ref="FZ259">IF($FY259=0,0,_xlfn.IFS($FY259='Key assumptions'!$C$120,_xlfn.XLOOKUP(LEFT(FZ$7,6),Inflation_Year,Inflation_NominaltoReal),TRUE,_xlfn.XLOOKUP($FY259,Inflation_Year,NominaltoReal)))</f>
        <v>0</v>
      </c>
      <c r="GA259" s="146" cm="1">
        <f t="array" ref="GA259">IF($FY259=0,0,_xlfn.IFS($FY259='Key assumptions'!$C$120,_xlfn.XLOOKUP(LEFT(GA$7,6),Inflation_Year,Inflation_NominaltoReal),TRUE,_xlfn.XLOOKUP($FY259,Inflation_Year,NominaltoReal)))</f>
        <v>0</v>
      </c>
      <c r="GB259" s="146" cm="1">
        <f t="array" ref="GB259">IF($FY259=0,0,_xlfn.IFS($FY259='Key assumptions'!$C$120,_xlfn.XLOOKUP(LEFT(GB$7,6),Inflation_Year,Inflation_NominaltoReal),TRUE,_xlfn.XLOOKUP($FY259,Inflation_Year,NominaltoReal)))</f>
        <v>0</v>
      </c>
      <c r="GC259" s="146" cm="1">
        <f t="array" ref="GC259">IF($FY259=0,0,_xlfn.IFS($FY259='Key assumptions'!$C$120,_xlfn.XLOOKUP(LEFT(GC$7,6),Inflation_Year,Inflation_NominaltoReal),TRUE,_xlfn.XLOOKUP($FY259,Inflation_Year,NominaltoReal)))</f>
        <v>0</v>
      </c>
      <c r="GD259" s="146" cm="1">
        <f t="array" ref="GD259">IF($FY259=0,0,_xlfn.IFS($FY259='Key assumptions'!$C$120,_xlfn.XLOOKUP(LEFT(GD$7,6),Inflation_Year,Inflation_NominaltoReal),TRUE,_xlfn.XLOOKUP($FY259,Inflation_Year,NominaltoReal)))</f>
        <v>0</v>
      </c>
      <c r="GE259" s="146" cm="1">
        <f t="array" ref="GE259">IF($FY259=0,0,_xlfn.IFS($FY259='Key assumptions'!$C$120,_xlfn.XLOOKUP(LEFT(GE$7,6),Inflation_Year,Inflation_NominaltoReal),TRUE,_xlfn.XLOOKUP($FY259,Inflation_Year,NominaltoReal)))</f>
        <v>0</v>
      </c>
      <c r="GF259" s="146" cm="1">
        <f t="array" ref="GF259">IF($FY259=0,0,_xlfn.IFS($FY259='Key assumptions'!$C$120,_xlfn.XLOOKUP(LEFT(GF$7,6),Inflation_Year,Inflation_NominaltoReal),TRUE,_xlfn.XLOOKUP($FY259,Inflation_Year,NominaltoReal)))</f>
        <v>0</v>
      </c>
      <c r="GG259" s="143"/>
      <c r="GH259" s="145" cm="1">
        <f t="array" ref="GH259">SUMPRODUCT(--($CR$7:$FW$7&gt;=GH$5),--($CR$7:$FW$7&lt;=GH$6),$CR259:$FW259)*FZ259</f>
        <v>0</v>
      </c>
      <c r="GI259" s="145" cm="1">
        <f t="array" ref="GI259">SUMPRODUCT(--($CR$7:$FW$7&gt;=GI$5),--($CR$7:$FW$7&lt;=GI$6),$CR259:$FW259)*GA259</f>
        <v>0</v>
      </c>
      <c r="GJ259" s="145" cm="1">
        <f t="array" ref="GJ259">SUMPRODUCT(--($CR$7:$FW$7&gt;=GJ$5),--($CR$7:$FW$7&lt;=GJ$6),$CR259:$FW259)*GB259</f>
        <v>0</v>
      </c>
      <c r="GK259" s="145" cm="1">
        <f t="array" ref="GK259">SUMPRODUCT(--($CR$7:$FW$7&gt;=GK$5),--($CR$7:$FW$7&lt;=GK$6),$CR259:$FW259)*GC259</f>
        <v>0</v>
      </c>
      <c r="GL259" s="145" cm="1">
        <f t="array" ref="GL259">SUMPRODUCT(--($CR$7:$FW$7&gt;=GL$5),--($CR$7:$FW$7&lt;=GL$6),$CR259:$FW259)*GD259</f>
        <v>0</v>
      </c>
      <c r="GM259" s="145" cm="1">
        <f t="array" ref="GM259">SUMPRODUCT(--($CR$7:$FW$7&gt;=GM$5),--($CR$7:$FW$7&lt;=GM$6),$CR259:$FW259)*GE259</f>
        <v>0</v>
      </c>
      <c r="GN259" s="145" cm="1">
        <f t="array" ref="GN259">SUMPRODUCT(--($CR$7:$FW$7&gt;=GN$5),--($CR$7:$FW$7&lt;=GN$6),$CR259:$FW259)*GF259</f>
        <v>0</v>
      </c>
      <c r="GO259" s="145">
        <f t="shared" si="3"/>
        <v>0</v>
      </c>
      <c r="GP259" s="87"/>
      <c r="GR259" s="145" cm="1">
        <f t="array" ref="GR259">SUMPRODUCT(--($CR$7:$FW$7&gt;=GR$5),--($CR$7:$FW$7&lt;=GR$6),$CR259:$FW259)</f>
        <v>0</v>
      </c>
    </row>
    <row r="260" spans="2:200" x14ac:dyDescent="0.2">
      <c r="B260" s="141"/>
      <c r="C260" s="141"/>
      <c r="D260" s="141"/>
      <c r="E260" s="141"/>
      <c r="F260" s="141"/>
      <c r="G260" s="141"/>
      <c r="H260" s="142"/>
      <c r="I260" s="126"/>
      <c r="J260" s="143"/>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3"/>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145"/>
      <c r="EH260" s="145"/>
      <c r="EI260" s="145"/>
      <c r="EJ260" s="145"/>
      <c r="EK260" s="145"/>
      <c r="EL260" s="145"/>
      <c r="EM260" s="145"/>
      <c r="EN260" s="145"/>
      <c r="EO260" s="145"/>
      <c r="EP260" s="145"/>
      <c r="EQ260" s="145"/>
      <c r="ER260" s="145"/>
      <c r="ES260" s="145"/>
      <c r="ET260" s="145"/>
      <c r="EU260" s="145"/>
      <c r="EV260" s="145"/>
      <c r="EW260" s="145"/>
      <c r="EX260" s="145"/>
      <c r="EY260" s="145"/>
      <c r="EZ260" s="145"/>
      <c r="FA260" s="145"/>
      <c r="FB260" s="145"/>
      <c r="FC260" s="145"/>
      <c r="FD260" s="145"/>
      <c r="FE260" s="145"/>
      <c r="FF260" s="145"/>
      <c r="FG260" s="145"/>
      <c r="FH260" s="145"/>
      <c r="FI260" s="145"/>
      <c r="FJ260" s="145"/>
      <c r="FK260" s="145"/>
      <c r="FL260" s="145"/>
      <c r="FM260" s="145"/>
      <c r="FN260" s="145"/>
      <c r="FO260" s="145"/>
      <c r="FP260" s="145"/>
      <c r="FQ260" s="145"/>
      <c r="FR260" s="145"/>
      <c r="FS260" s="145"/>
      <c r="FT260" s="145"/>
      <c r="FU260" s="145"/>
      <c r="FV260" s="145"/>
      <c r="FW260" s="145"/>
      <c r="FX260" s="143"/>
      <c r="FY260" s="146">
        <f>_xlfn.XLOOKUP($E260,'Key assumptions'!$B$112:$B$120,'Key assumptions'!$C$112:$C$120,0)</f>
        <v>0</v>
      </c>
      <c r="FZ260" s="146" cm="1">
        <f t="array" ref="FZ260">IF($FY260=0,0,_xlfn.IFS($FY260='Key assumptions'!$C$120,_xlfn.XLOOKUP(LEFT(FZ$7,6),Inflation_Year,Inflation_NominaltoReal),TRUE,_xlfn.XLOOKUP($FY260,Inflation_Year,NominaltoReal)))</f>
        <v>0</v>
      </c>
      <c r="GA260" s="146" cm="1">
        <f t="array" ref="GA260">IF($FY260=0,0,_xlfn.IFS($FY260='Key assumptions'!$C$120,_xlfn.XLOOKUP(LEFT(GA$7,6),Inflation_Year,Inflation_NominaltoReal),TRUE,_xlfn.XLOOKUP($FY260,Inflation_Year,NominaltoReal)))</f>
        <v>0</v>
      </c>
      <c r="GB260" s="146" cm="1">
        <f t="array" ref="GB260">IF($FY260=0,0,_xlfn.IFS($FY260='Key assumptions'!$C$120,_xlfn.XLOOKUP(LEFT(GB$7,6),Inflation_Year,Inflation_NominaltoReal),TRUE,_xlfn.XLOOKUP($FY260,Inflation_Year,NominaltoReal)))</f>
        <v>0</v>
      </c>
      <c r="GC260" s="146" cm="1">
        <f t="array" ref="GC260">IF($FY260=0,0,_xlfn.IFS($FY260='Key assumptions'!$C$120,_xlfn.XLOOKUP(LEFT(GC$7,6),Inflation_Year,Inflation_NominaltoReal),TRUE,_xlfn.XLOOKUP($FY260,Inflation_Year,NominaltoReal)))</f>
        <v>0</v>
      </c>
      <c r="GD260" s="146" cm="1">
        <f t="array" ref="GD260">IF($FY260=0,0,_xlfn.IFS($FY260='Key assumptions'!$C$120,_xlfn.XLOOKUP(LEFT(GD$7,6),Inflation_Year,Inflation_NominaltoReal),TRUE,_xlfn.XLOOKUP($FY260,Inflation_Year,NominaltoReal)))</f>
        <v>0</v>
      </c>
      <c r="GE260" s="146" cm="1">
        <f t="array" ref="GE260">IF($FY260=0,0,_xlfn.IFS($FY260='Key assumptions'!$C$120,_xlfn.XLOOKUP(LEFT(GE$7,6),Inflation_Year,Inflation_NominaltoReal),TRUE,_xlfn.XLOOKUP($FY260,Inflation_Year,NominaltoReal)))</f>
        <v>0</v>
      </c>
      <c r="GF260" s="146" cm="1">
        <f t="array" ref="GF260">IF($FY260=0,0,_xlfn.IFS($FY260='Key assumptions'!$C$120,_xlfn.XLOOKUP(LEFT(GF$7,6),Inflation_Year,Inflation_NominaltoReal),TRUE,_xlfn.XLOOKUP($FY260,Inflation_Year,NominaltoReal)))</f>
        <v>0</v>
      </c>
      <c r="GG260" s="143"/>
      <c r="GH260" s="145" cm="1">
        <f t="array" ref="GH260">SUMPRODUCT(--($CR$7:$FW$7&gt;=GH$5),--($CR$7:$FW$7&lt;=GH$6),$CR260:$FW260)*FZ260</f>
        <v>0</v>
      </c>
      <c r="GI260" s="145" cm="1">
        <f t="array" ref="GI260">SUMPRODUCT(--($CR$7:$FW$7&gt;=GI$5),--($CR$7:$FW$7&lt;=GI$6),$CR260:$FW260)*GA260</f>
        <v>0</v>
      </c>
      <c r="GJ260" s="145" cm="1">
        <f t="array" ref="GJ260">SUMPRODUCT(--($CR$7:$FW$7&gt;=GJ$5),--($CR$7:$FW$7&lt;=GJ$6),$CR260:$FW260)*GB260</f>
        <v>0</v>
      </c>
      <c r="GK260" s="145" cm="1">
        <f t="array" ref="GK260">SUMPRODUCT(--($CR$7:$FW$7&gt;=GK$5),--($CR$7:$FW$7&lt;=GK$6),$CR260:$FW260)*GC260</f>
        <v>0</v>
      </c>
      <c r="GL260" s="145" cm="1">
        <f t="array" ref="GL260">SUMPRODUCT(--($CR$7:$FW$7&gt;=GL$5),--($CR$7:$FW$7&lt;=GL$6),$CR260:$FW260)*GD260</f>
        <v>0</v>
      </c>
      <c r="GM260" s="145" cm="1">
        <f t="array" ref="GM260">SUMPRODUCT(--($CR$7:$FW$7&gt;=GM$5),--($CR$7:$FW$7&lt;=GM$6),$CR260:$FW260)*GE260</f>
        <v>0</v>
      </c>
      <c r="GN260" s="145" cm="1">
        <f t="array" ref="GN260">SUMPRODUCT(--($CR$7:$FW$7&gt;=GN$5),--($CR$7:$FW$7&lt;=GN$6),$CR260:$FW260)*GF260</f>
        <v>0</v>
      </c>
      <c r="GO260" s="145">
        <f t="shared" si="3"/>
        <v>0</v>
      </c>
      <c r="GP260" s="87"/>
      <c r="GR260" s="145" cm="1">
        <f t="array" ref="GR260">SUMPRODUCT(--($CR$7:$FW$7&gt;=GR$5),--($CR$7:$FW$7&lt;=GR$6),$CR260:$FW260)</f>
        <v>0</v>
      </c>
    </row>
    <row r="261" spans="2:200" x14ac:dyDescent="0.2">
      <c r="B261" s="141"/>
      <c r="C261" s="141"/>
      <c r="D261" s="141"/>
      <c r="E261" s="141"/>
      <c r="F261" s="141"/>
      <c r="G261" s="141"/>
      <c r="H261" s="142"/>
      <c r="I261" s="126"/>
      <c r="J261" s="143"/>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3"/>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5"/>
      <c r="EU261" s="145"/>
      <c r="EV261" s="145"/>
      <c r="EW261" s="145"/>
      <c r="EX261" s="145"/>
      <c r="EY261" s="145"/>
      <c r="EZ261" s="145"/>
      <c r="FA261" s="145"/>
      <c r="FB261" s="145"/>
      <c r="FC261" s="145"/>
      <c r="FD261" s="145"/>
      <c r="FE261" s="145"/>
      <c r="FF261" s="145"/>
      <c r="FG261" s="145"/>
      <c r="FH261" s="145"/>
      <c r="FI261" s="145"/>
      <c r="FJ261" s="145"/>
      <c r="FK261" s="145"/>
      <c r="FL261" s="145"/>
      <c r="FM261" s="145"/>
      <c r="FN261" s="145"/>
      <c r="FO261" s="145"/>
      <c r="FP261" s="145"/>
      <c r="FQ261" s="145"/>
      <c r="FR261" s="145"/>
      <c r="FS261" s="145"/>
      <c r="FT261" s="145"/>
      <c r="FU261" s="145"/>
      <c r="FV261" s="145"/>
      <c r="FW261" s="145"/>
      <c r="FX261" s="143"/>
      <c r="FY261" s="146">
        <f>_xlfn.XLOOKUP($E261,'Key assumptions'!$B$112:$B$120,'Key assumptions'!$C$112:$C$120,0)</f>
        <v>0</v>
      </c>
      <c r="FZ261" s="146" cm="1">
        <f t="array" ref="FZ261">IF($FY261=0,0,_xlfn.IFS($FY261='Key assumptions'!$C$120,_xlfn.XLOOKUP(LEFT(FZ$7,6),Inflation_Year,Inflation_NominaltoReal),TRUE,_xlfn.XLOOKUP($FY261,Inflation_Year,NominaltoReal)))</f>
        <v>0</v>
      </c>
      <c r="GA261" s="146" cm="1">
        <f t="array" ref="GA261">IF($FY261=0,0,_xlfn.IFS($FY261='Key assumptions'!$C$120,_xlfn.XLOOKUP(LEFT(GA$7,6),Inflation_Year,Inflation_NominaltoReal),TRUE,_xlfn.XLOOKUP($FY261,Inflation_Year,NominaltoReal)))</f>
        <v>0</v>
      </c>
      <c r="GB261" s="146" cm="1">
        <f t="array" ref="GB261">IF($FY261=0,0,_xlfn.IFS($FY261='Key assumptions'!$C$120,_xlfn.XLOOKUP(LEFT(GB$7,6),Inflation_Year,Inflation_NominaltoReal),TRUE,_xlfn.XLOOKUP($FY261,Inflation_Year,NominaltoReal)))</f>
        <v>0</v>
      </c>
      <c r="GC261" s="146" cm="1">
        <f t="array" ref="GC261">IF($FY261=0,0,_xlfn.IFS($FY261='Key assumptions'!$C$120,_xlfn.XLOOKUP(LEFT(GC$7,6),Inflation_Year,Inflation_NominaltoReal),TRUE,_xlfn.XLOOKUP($FY261,Inflation_Year,NominaltoReal)))</f>
        <v>0</v>
      </c>
      <c r="GD261" s="146" cm="1">
        <f t="array" ref="GD261">IF($FY261=0,0,_xlfn.IFS($FY261='Key assumptions'!$C$120,_xlfn.XLOOKUP(LEFT(GD$7,6),Inflation_Year,Inflation_NominaltoReal),TRUE,_xlfn.XLOOKUP($FY261,Inflation_Year,NominaltoReal)))</f>
        <v>0</v>
      </c>
      <c r="GE261" s="146" cm="1">
        <f t="array" ref="GE261">IF($FY261=0,0,_xlfn.IFS($FY261='Key assumptions'!$C$120,_xlfn.XLOOKUP(LEFT(GE$7,6),Inflation_Year,Inflation_NominaltoReal),TRUE,_xlfn.XLOOKUP($FY261,Inflation_Year,NominaltoReal)))</f>
        <v>0</v>
      </c>
      <c r="GF261" s="146" cm="1">
        <f t="array" ref="GF261">IF($FY261=0,0,_xlfn.IFS($FY261='Key assumptions'!$C$120,_xlfn.XLOOKUP(LEFT(GF$7,6),Inflation_Year,Inflation_NominaltoReal),TRUE,_xlfn.XLOOKUP($FY261,Inflation_Year,NominaltoReal)))</f>
        <v>0</v>
      </c>
      <c r="GG261" s="143"/>
      <c r="GH261" s="145" cm="1">
        <f t="array" ref="GH261">SUMPRODUCT(--($CR$7:$FW$7&gt;=GH$5),--($CR$7:$FW$7&lt;=GH$6),$CR261:$FW261)*FZ261</f>
        <v>0</v>
      </c>
      <c r="GI261" s="145" cm="1">
        <f t="array" ref="GI261">SUMPRODUCT(--($CR$7:$FW$7&gt;=GI$5),--($CR$7:$FW$7&lt;=GI$6),$CR261:$FW261)*GA261</f>
        <v>0</v>
      </c>
      <c r="GJ261" s="145" cm="1">
        <f t="array" ref="GJ261">SUMPRODUCT(--($CR$7:$FW$7&gt;=GJ$5),--($CR$7:$FW$7&lt;=GJ$6),$CR261:$FW261)*GB261</f>
        <v>0</v>
      </c>
      <c r="GK261" s="145" cm="1">
        <f t="array" ref="GK261">SUMPRODUCT(--($CR$7:$FW$7&gt;=GK$5),--($CR$7:$FW$7&lt;=GK$6),$CR261:$FW261)*GC261</f>
        <v>0</v>
      </c>
      <c r="GL261" s="145" cm="1">
        <f t="array" ref="GL261">SUMPRODUCT(--($CR$7:$FW$7&gt;=GL$5),--($CR$7:$FW$7&lt;=GL$6),$CR261:$FW261)*GD261</f>
        <v>0</v>
      </c>
      <c r="GM261" s="145" cm="1">
        <f t="array" ref="GM261">SUMPRODUCT(--($CR$7:$FW$7&gt;=GM$5),--($CR$7:$FW$7&lt;=GM$6),$CR261:$FW261)*GE261</f>
        <v>0</v>
      </c>
      <c r="GN261" s="145" cm="1">
        <f t="array" ref="GN261">SUMPRODUCT(--($CR$7:$FW$7&gt;=GN$5),--($CR$7:$FW$7&lt;=GN$6),$CR261:$FW261)*GF261</f>
        <v>0</v>
      </c>
      <c r="GO261" s="145">
        <f t="shared" si="3"/>
        <v>0</v>
      </c>
      <c r="GP261" s="87"/>
      <c r="GR261" s="145" cm="1">
        <f t="array" ref="GR261">SUMPRODUCT(--($CR$7:$FW$7&gt;=GR$5),--($CR$7:$FW$7&lt;=GR$6),$CR261:$FW261)</f>
        <v>0</v>
      </c>
    </row>
    <row r="262" spans="2:200" x14ac:dyDescent="0.2">
      <c r="B262" s="141"/>
      <c r="C262" s="141"/>
      <c r="D262" s="141"/>
      <c r="E262" s="141"/>
      <c r="F262" s="141"/>
      <c r="G262" s="141"/>
      <c r="H262" s="142"/>
      <c r="I262" s="126"/>
      <c r="J262" s="143"/>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3"/>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c r="EE262" s="145"/>
      <c r="EF262" s="145"/>
      <c r="EG262" s="145"/>
      <c r="EH262" s="145"/>
      <c r="EI262" s="145"/>
      <c r="EJ262" s="145"/>
      <c r="EK262" s="145"/>
      <c r="EL262" s="145"/>
      <c r="EM262" s="145"/>
      <c r="EN262" s="145"/>
      <c r="EO262" s="145"/>
      <c r="EP262" s="145"/>
      <c r="EQ262" s="145"/>
      <c r="ER262" s="145"/>
      <c r="ES262" s="145"/>
      <c r="ET262" s="145"/>
      <c r="EU262" s="145"/>
      <c r="EV262" s="145"/>
      <c r="EW262" s="145"/>
      <c r="EX262" s="145"/>
      <c r="EY262" s="145"/>
      <c r="EZ262" s="145"/>
      <c r="FA262" s="145"/>
      <c r="FB262" s="145"/>
      <c r="FC262" s="145"/>
      <c r="FD262" s="145"/>
      <c r="FE262" s="145"/>
      <c r="FF262" s="145"/>
      <c r="FG262" s="145"/>
      <c r="FH262" s="145"/>
      <c r="FI262" s="145"/>
      <c r="FJ262" s="145"/>
      <c r="FK262" s="145"/>
      <c r="FL262" s="145"/>
      <c r="FM262" s="145"/>
      <c r="FN262" s="145"/>
      <c r="FO262" s="145"/>
      <c r="FP262" s="145"/>
      <c r="FQ262" s="145"/>
      <c r="FR262" s="145"/>
      <c r="FS262" s="145"/>
      <c r="FT262" s="145"/>
      <c r="FU262" s="145"/>
      <c r="FV262" s="145"/>
      <c r="FW262" s="145"/>
      <c r="FX262" s="143"/>
      <c r="FY262" s="146">
        <f>_xlfn.XLOOKUP($E262,'Key assumptions'!$B$112:$B$120,'Key assumptions'!$C$112:$C$120,0)</f>
        <v>0</v>
      </c>
      <c r="FZ262" s="146" cm="1">
        <f t="array" ref="FZ262">IF($FY262=0,0,_xlfn.IFS($FY262='Key assumptions'!$C$120,_xlfn.XLOOKUP(LEFT(FZ$7,6),Inflation_Year,Inflation_NominaltoReal),TRUE,_xlfn.XLOOKUP($FY262,Inflation_Year,NominaltoReal)))</f>
        <v>0</v>
      </c>
      <c r="GA262" s="146" cm="1">
        <f t="array" ref="GA262">IF($FY262=0,0,_xlfn.IFS($FY262='Key assumptions'!$C$120,_xlfn.XLOOKUP(LEFT(GA$7,6),Inflation_Year,Inflation_NominaltoReal),TRUE,_xlfn.XLOOKUP($FY262,Inflation_Year,NominaltoReal)))</f>
        <v>0</v>
      </c>
      <c r="GB262" s="146" cm="1">
        <f t="array" ref="GB262">IF($FY262=0,0,_xlfn.IFS($FY262='Key assumptions'!$C$120,_xlfn.XLOOKUP(LEFT(GB$7,6),Inflation_Year,Inflation_NominaltoReal),TRUE,_xlfn.XLOOKUP($FY262,Inflation_Year,NominaltoReal)))</f>
        <v>0</v>
      </c>
      <c r="GC262" s="146" cm="1">
        <f t="array" ref="GC262">IF($FY262=0,0,_xlfn.IFS($FY262='Key assumptions'!$C$120,_xlfn.XLOOKUP(LEFT(GC$7,6),Inflation_Year,Inflation_NominaltoReal),TRUE,_xlfn.XLOOKUP($FY262,Inflation_Year,NominaltoReal)))</f>
        <v>0</v>
      </c>
      <c r="GD262" s="146" cm="1">
        <f t="array" ref="GD262">IF($FY262=0,0,_xlfn.IFS($FY262='Key assumptions'!$C$120,_xlfn.XLOOKUP(LEFT(GD$7,6),Inflation_Year,Inflation_NominaltoReal),TRUE,_xlfn.XLOOKUP($FY262,Inflation_Year,NominaltoReal)))</f>
        <v>0</v>
      </c>
      <c r="GE262" s="146" cm="1">
        <f t="array" ref="GE262">IF($FY262=0,0,_xlfn.IFS($FY262='Key assumptions'!$C$120,_xlfn.XLOOKUP(LEFT(GE$7,6),Inflation_Year,Inflation_NominaltoReal),TRUE,_xlfn.XLOOKUP($FY262,Inflation_Year,NominaltoReal)))</f>
        <v>0</v>
      </c>
      <c r="GF262" s="146" cm="1">
        <f t="array" ref="GF262">IF($FY262=0,0,_xlfn.IFS($FY262='Key assumptions'!$C$120,_xlfn.XLOOKUP(LEFT(GF$7,6),Inflation_Year,Inflation_NominaltoReal),TRUE,_xlfn.XLOOKUP($FY262,Inflation_Year,NominaltoReal)))</f>
        <v>0</v>
      </c>
      <c r="GG262" s="143"/>
      <c r="GH262" s="145" cm="1">
        <f t="array" ref="GH262">SUMPRODUCT(--($CR$7:$FW$7&gt;=GH$5),--($CR$7:$FW$7&lt;=GH$6),$CR262:$FW262)*FZ262</f>
        <v>0</v>
      </c>
      <c r="GI262" s="145" cm="1">
        <f t="array" ref="GI262">SUMPRODUCT(--($CR$7:$FW$7&gt;=GI$5),--($CR$7:$FW$7&lt;=GI$6),$CR262:$FW262)*GA262</f>
        <v>0</v>
      </c>
      <c r="GJ262" s="145" cm="1">
        <f t="array" ref="GJ262">SUMPRODUCT(--($CR$7:$FW$7&gt;=GJ$5),--($CR$7:$FW$7&lt;=GJ$6),$CR262:$FW262)*GB262</f>
        <v>0</v>
      </c>
      <c r="GK262" s="145" cm="1">
        <f t="array" ref="GK262">SUMPRODUCT(--($CR$7:$FW$7&gt;=GK$5),--($CR$7:$FW$7&lt;=GK$6),$CR262:$FW262)*GC262</f>
        <v>0</v>
      </c>
      <c r="GL262" s="145" cm="1">
        <f t="array" ref="GL262">SUMPRODUCT(--($CR$7:$FW$7&gt;=GL$5),--($CR$7:$FW$7&lt;=GL$6),$CR262:$FW262)*GD262</f>
        <v>0</v>
      </c>
      <c r="GM262" s="145" cm="1">
        <f t="array" ref="GM262">SUMPRODUCT(--($CR$7:$FW$7&gt;=GM$5),--($CR$7:$FW$7&lt;=GM$6),$CR262:$FW262)*GE262</f>
        <v>0</v>
      </c>
      <c r="GN262" s="145" cm="1">
        <f t="array" ref="GN262">SUMPRODUCT(--($CR$7:$FW$7&gt;=GN$5),--($CR$7:$FW$7&lt;=GN$6),$CR262:$FW262)*GF262</f>
        <v>0</v>
      </c>
      <c r="GO262" s="145">
        <f t="shared" si="3"/>
        <v>0</v>
      </c>
      <c r="GP262" s="87"/>
      <c r="GR262" s="145" cm="1">
        <f t="array" ref="GR262">SUMPRODUCT(--($CR$7:$FW$7&gt;=GR$5),--($CR$7:$FW$7&lt;=GR$6),$CR262:$FW262)</f>
        <v>0</v>
      </c>
    </row>
    <row r="263" spans="2:200" x14ac:dyDescent="0.2">
      <c r="B263" s="141"/>
      <c r="C263" s="141"/>
      <c r="D263" s="141"/>
      <c r="E263" s="141"/>
      <c r="F263" s="141"/>
      <c r="G263" s="141"/>
      <c r="H263" s="142"/>
      <c r="I263" s="126"/>
      <c r="J263" s="143"/>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3"/>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c r="EE263" s="145"/>
      <c r="EF263" s="145"/>
      <c r="EG263" s="145"/>
      <c r="EH263" s="145"/>
      <c r="EI263" s="145"/>
      <c r="EJ263" s="145"/>
      <c r="EK263" s="145"/>
      <c r="EL263" s="145"/>
      <c r="EM263" s="145"/>
      <c r="EN263" s="145"/>
      <c r="EO263" s="145"/>
      <c r="EP263" s="145"/>
      <c r="EQ263" s="145"/>
      <c r="ER263" s="145"/>
      <c r="ES263" s="145"/>
      <c r="ET263" s="145"/>
      <c r="EU263" s="145"/>
      <c r="EV263" s="145"/>
      <c r="EW263" s="145"/>
      <c r="EX263" s="145"/>
      <c r="EY263" s="145"/>
      <c r="EZ263" s="145"/>
      <c r="FA263" s="145"/>
      <c r="FB263" s="145"/>
      <c r="FC263" s="145"/>
      <c r="FD263" s="145"/>
      <c r="FE263" s="145"/>
      <c r="FF263" s="145"/>
      <c r="FG263" s="145"/>
      <c r="FH263" s="145"/>
      <c r="FI263" s="145"/>
      <c r="FJ263" s="145"/>
      <c r="FK263" s="145"/>
      <c r="FL263" s="145"/>
      <c r="FM263" s="145"/>
      <c r="FN263" s="145"/>
      <c r="FO263" s="145"/>
      <c r="FP263" s="145"/>
      <c r="FQ263" s="145"/>
      <c r="FR263" s="145"/>
      <c r="FS263" s="145"/>
      <c r="FT263" s="145"/>
      <c r="FU263" s="145"/>
      <c r="FV263" s="145"/>
      <c r="FW263" s="145"/>
      <c r="FX263" s="143"/>
      <c r="FY263" s="146">
        <f>_xlfn.XLOOKUP($E263,'Key assumptions'!$B$112:$B$120,'Key assumptions'!$C$112:$C$120,0)</f>
        <v>0</v>
      </c>
      <c r="FZ263" s="146" cm="1">
        <f t="array" ref="FZ263">IF($FY263=0,0,_xlfn.IFS($FY263='Key assumptions'!$C$120,_xlfn.XLOOKUP(LEFT(FZ$7,6),Inflation_Year,Inflation_NominaltoReal),TRUE,_xlfn.XLOOKUP($FY263,Inflation_Year,NominaltoReal)))</f>
        <v>0</v>
      </c>
      <c r="GA263" s="146" cm="1">
        <f t="array" ref="GA263">IF($FY263=0,0,_xlfn.IFS($FY263='Key assumptions'!$C$120,_xlfn.XLOOKUP(LEFT(GA$7,6),Inflation_Year,Inflation_NominaltoReal),TRUE,_xlfn.XLOOKUP($FY263,Inflation_Year,NominaltoReal)))</f>
        <v>0</v>
      </c>
      <c r="GB263" s="146" cm="1">
        <f t="array" ref="GB263">IF($FY263=0,0,_xlfn.IFS($FY263='Key assumptions'!$C$120,_xlfn.XLOOKUP(LEFT(GB$7,6),Inflation_Year,Inflation_NominaltoReal),TRUE,_xlfn.XLOOKUP($FY263,Inflation_Year,NominaltoReal)))</f>
        <v>0</v>
      </c>
      <c r="GC263" s="146" cm="1">
        <f t="array" ref="GC263">IF($FY263=0,0,_xlfn.IFS($FY263='Key assumptions'!$C$120,_xlfn.XLOOKUP(LEFT(GC$7,6),Inflation_Year,Inflation_NominaltoReal),TRUE,_xlfn.XLOOKUP($FY263,Inflation_Year,NominaltoReal)))</f>
        <v>0</v>
      </c>
      <c r="GD263" s="146" cm="1">
        <f t="array" ref="GD263">IF($FY263=0,0,_xlfn.IFS($FY263='Key assumptions'!$C$120,_xlfn.XLOOKUP(LEFT(GD$7,6),Inflation_Year,Inflation_NominaltoReal),TRUE,_xlfn.XLOOKUP($FY263,Inflation_Year,NominaltoReal)))</f>
        <v>0</v>
      </c>
      <c r="GE263" s="146" cm="1">
        <f t="array" ref="GE263">IF($FY263=0,0,_xlfn.IFS($FY263='Key assumptions'!$C$120,_xlfn.XLOOKUP(LEFT(GE$7,6),Inflation_Year,Inflation_NominaltoReal),TRUE,_xlfn.XLOOKUP($FY263,Inflation_Year,NominaltoReal)))</f>
        <v>0</v>
      </c>
      <c r="GF263" s="146" cm="1">
        <f t="array" ref="GF263">IF($FY263=0,0,_xlfn.IFS($FY263='Key assumptions'!$C$120,_xlfn.XLOOKUP(LEFT(GF$7,6),Inflation_Year,Inflation_NominaltoReal),TRUE,_xlfn.XLOOKUP($FY263,Inflation_Year,NominaltoReal)))</f>
        <v>0</v>
      </c>
      <c r="GG263" s="143"/>
      <c r="GH263" s="145" cm="1">
        <f t="array" ref="GH263">SUMPRODUCT(--($CR$7:$FW$7&gt;=GH$5),--($CR$7:$FW$7&lt;=GH$6),$CR263:$FW263)*FZ263</f>
        <v>0</v>
      </c>
      <c r="GI263" s="145" cm="1">
        <f t="array" ref="GI263">SUMPRODUCT(--($CR$7:$FW$7&gt;=GI$5),--($CR$7:$FW$7&lt;=GI$6),$CR263:$FW263)*GA263</f>
        <v>0</v>
      </c>
      <c r="GJ263" s="145" cm="1">
        <f t="array" ref="GJ263">SUMPRODUCT(--($CR$7:$FW$7&gt;=GJ$5),--($CR$7:$FW$7&lt;=GJ$6),$CR263:$FW263)*GB263</f>
        <v>0</v>
      </c>
      <c r="GK263" s="145" cm="1">
        <f t="array" ref="GK263">SUMPRODUCT(--($CR$7:$FW$7&gt;=GK$5),--($CR$7:$FW$7&lt;=GK$6),$CR263:$FW263)*GC263</f>
        <v>0</v>
      </c>
      <c r="GL263" s="145" cm="1">
        <f t="array" ref="GL263">SUMPRODUCT(--($CR$7:$FW$7&gt;=GL$5),--($CR$7:$FW$7&lt;=GL$6),$CR263:$FW263)*GD263</f>
        <v>0</v>
      </c>
      <c r="GM263" s="145" cm="1">
        <f t="array" ref="GM263">SUMPRODUCT(--($CR$7:$FW$7&gt;=GM$5),--($CR$7:$FW$7&lt;=GM$6),$CR263:$FW263)*GE263</f>
        <v>0</v>
      </c>
      <c r="GN263" s="145" cm="1">
        <f t="array" ref="GN263">SUMPRODUCT(--($CR$7:$FW$7&gt;=GN$5),--($CR$7:$FW$7&lt;=GN$6),$CR263:$FW263)*GF263</f>
        <v>0</v>
      </c>
      <c r="GO263" s="145">
        <f t="shared" si="3"/>
        <v>0</v>
      </c>
      <c r="GP263" s="87"/>
      <c r="GR263" s="145" cm="1">
        <f t="array" ref="GR263">SUMPRODUCT(--($CR$7:$FW$7&gt;=GR$5),--($CR$7:$FW$7&lt;=GR$6),$CR263:$FW263)</f>
        <v>0</v>
      </c>
    </row>
    <row r="264" spans="2:200" x14ac:dyDescent="0.2">
      <c r="B264" s="141"/>
      <c r="C264" s="141"/>
      <c r="D264" s="141"/>
      <c r="E264" s="141"/>
      <c r="F264" s="141"/>
      <c r="G264" s="141"/>
      <c r="H264" s="142"/>
      <c r="I264" s="126"/>
      <c r="J264" s="143"/>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3"/>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c r="EE264" s="145"/>
      <c r="EF264" s="145"/>
      <c r="EG264" s="145"/>
      <c r="EH264" s="145"/>
      <c r="EI264" s="145"/>
      <c r="EJ264" s="145"/>
      <c r="EK264" s="145"/>
      <c r="EL264" s="145"/>
      <c r="EM264" s="145"/>
      <c r="EN264" s="145"/>
      <c r="EO264" s="145"/>
      <c r="EP264" s="145"/>
      <c r="EQ264" s="145"/>
      <c r="ER264" s="145"/>
      <c r="ES264" s="145"/>
      <c r="ET264" s="145"/>
      <c r="EU264" s="145"/>
      <c r="EV264" s="145"/>
      <c r="EW264" s="145"/>
      <c r="EX264" s="145"/>
      <c r="EY264" s="145"/>
      <c r="EZ264" s="145"/>
      <c r="FA264" s="145"/>
      <c r="FB264" s="145"/>
      <c r="FC264" s="145"/>
      <c r="FD264" s="145"/>
      <c r="FE264" s="145"/>
      <c r="FF264" s="145"/>
      <c r="FG264" s="145"/>
      <c r="FH264" s="145"/>
      <c r="FI264" s="145"/>
      <c r="FJ264" s="145"/>
      <c r="FK264" s="145"/>
      <c r="FL264" s="145"/>
      <c r="FM264" s="145"/>
      <c r="FN264" s="145"/>
      <c r="FO264" s="145"/>
      <c r="FP264" s="145"/>
      <c r="FQ264" s="145"/>
      <c r="FR264" s="145"/>
      <c r="FS264" s="145"/>
      <c r="FT264" s="145"/>
      <c r="FU264" s="145"/>
      <c r="FV264" s="145"/>
      <c r="FW264" s="145"/>
      <c r="FX264" s="143"/>
      <c r="FY264" s="146">
        <f>_xlfn.XLOOKUP($E264,'Key assumptions'!$B$112:$B$120,'Key assumptions'!$C$112:$C$120,0)</f>
        <v>0</v>
      </c>
      <c r="FZ264" s="146" cm="1">
        <f t="array" ref="FZ264">IF($FY264=0,0,_xlfn.IFS($FY264='Key assumptions'!$C$120,_xlfn.XLOOKUP(LEFT(FZ$7,6),Inflation_Year,Inflation_NominaltoReal),TRUE,_xlfn.XLOOKUP($FY264,Inflation_Year,NominaltoReal)))</f>
        <v>0</v>
      </c>
      <c r="GA264" s="146" cm="1">
        <f t="array" ref="GA264">IF($FY264=0,0,_xlfn.IFS($FY264='Key assumptions'!$C$120,_xlfn.XLOOKUP(LEFT(GA$7,6),Inflation_Year,Inflation_NominaltoReal),TRUE,_xlfn.XLOOKUP($FY264,Inflation_Year,NominaltoReal)))</f>
        <v>0</v>
      </c>
      <c r="GB264" s="146" cm="1">
        <f t="array" ref="GB264">IF($FY264=0,0,_xlfn.IFS($FY264='Key assumptions'!$C$120,_xlfn.XLOOKUP(LEFT(GB$7,6),Inflation_Year,Inflation_NominaltoReal),TRUE,_xlfn.XLOOKUP($FY264,Inflation_Year,NominaltoReal)))</f>
        <v>0</v>
      </c>
      <c r="GC264" s="146" cm="1">
        <f t="array" ref="GC264">IF($FY264=0,0,_xlfn.IFS($FY264='Key assumptions'!$C$120,_xlfn.XLOOKUP(LEFT(GC$7,6),Inflation_Year,Inflation_NominaltoReal),TRUE,_xlfn.XLOOKUP($FY264,Inflation_Year,NominaltoReal)))</f>
        <v>0</v>
      </c>
      <c r="GD264" s="146" cm="1">
        <f t="array" ref="GD264">IF($FY264=0,0,_xlfn.IFS($FY264='Key assumptions'!$C$120,_xlfn.XLOOKUP(LEFT(GD$7,6),Inflation_Year,Inflation_NominaltoReal),TRUE,_xlfn.XLOOKUP($FY264,Inflation_Year,NominaltoReal)))</f>
        <v>0</v>
      </c>
      <c r="GE264" s="146" cm="1">
        <f t="array" ref="GE264">IF($FY264=0,0,_xlfn.IFS($FY264='Key assumptions'!$C$120,_xlfn.XLOOKUP(LEFT(GE$7,6),Inflation_Year,Inflation_NominaltoReal),TRUE,_xlfn.XLOOKUP($FY264,Inflation_Year,NominaltoReal)))</f>
        <v>0</v>
      </c>
      <c r="GF264" s="146" cm="1">
        <f t="array" ref="GF264">IF($FY264=0,0,_xlfn.IFS($FY264='Key assumptions'!$C$120,_xlfn.XLOOKUP(LEFT(GF$7,6),Inflation_Year,Inflation_NominaltoReal),TRUE,_xlfn.XLOOKUP($FY264,Inflation_Year,NominaltoReal)))</f>
        <v>0</v>
      </c>
      <c r="GG264" s="143"/>
      <c r="GH264" s="145" cm="1">
        <f t="array" ref="GH264">SUMPRODUCT(--($CR$7:$FW$7&gt;=GH$5),--($CR$7:$FW$7&lt;=GH$6),$CR264:$FW264)*FZ264</f>
        <v>0</v>
      </c>
      <c r="GI264" s="145" cm="1">
        <f t="array" ref="GI264">SUMPRODUCT(--($CR$7:$FW$7&gt;=GI$5),--($CR$7:$FW$7&lt;=GI$6),$CR264:$FW264)*GA264</f>
        <v>0</v>
      </c>
      <c r="GJ264" s="145" cm="1">
        <f t="array" ref="GJ264">SUMPRODUCT(--($CR$7:$FW$7&gt;=GJ$5),--($CR$7:$FW$7&lt;=GJ$6),$CR264:$FW264)*GB264</f>
        <v>0</v>
      </c>
      <c r="GK264" s="145" cm="1">
        <f t="array" ref="GK264">SUMPRODUCT(--($CR$7:$FW$7&gt;=GK$5),--($CR$7:$FW$7&lt;=GK$6),$CR264:$FW264)*GC264</f>
        <v>0</v>
      </c>
      <c r="GL264" s="145" cm="1">
        <f t="array" ref="GL264">SUMPRODUCT(--($CR$7:$FW$7&gt;=GL$5),--($CR$7:$FW$7&lt;=GL$6),$CR264:$FW264)*GD264</f>
        <v>0</v>
      </c>
      <c r="GM264" s="145" cm="1">
        <f t="array" ref="GM264">SUMPRODUCT(--($CR$7:$FW$7&gt;=GM$5),--($CR$7:$FW$7&lt;=GM$6),$CR264:$FW264)*GE264</f>
        <v>0</v>
      </c>
      <c r="GN264" s="145" cm="1">
        <f t="array" ref="GN264">SUMPRODUCT(--($CR$7:$FW$7&gt;=GN$5),--($CR$7:$FW$7&lt;=GN$6),$CR264:$FW264)*GF264</f>
        <v>0</v>
      </c>
      <c r="GO264" s="145">
        <f t="shared" ref="GO264:GO288" si="4">SUM(GH264:GN264)</f>
        <v>0</v>
      </c>
      <c r="GP264" s="87"/>
      <c r="GR264" s="145" cm="1">
        <f t="array" ref="GR264">SUMPRODUCT(--($CR$7:$FW$7&gt;=GR$5),--($CR$7:$FW$7&lt;=GR$6),$CR264:$FW264)</f>
        <v>0</v>
      </c>
    </row>
    <row r="265" spans="2:200" x14ac:dyDescent="0.2">
      <c r="B265" s="141"/>
      <c r="C265" s="141"/>
      <c r="D265" s="141"/>
      <c r="E265" s="141"/>
      <c r="F265" s="141"/>
      <c r="G265" s="141"/>
      <c r="H265" s="142"/>
      <c r="I265" s="126"/>
      <c r="J265" s="143"/>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3"/>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145"/>
      <c r="EH265" s="145"/>
      <c r="EI265" s="145"/>
      <c r="EJ265" s="145"/>
      <c r="EK265" s="145"/>
      <c r="EL265" s="145"/>
      <c r="EM265" s="145"/>
      <c r="EN265" s="145"/>
      <c r="EO265" s="145"/>
      <c r="EP265" s="145"/>
      <c r="EQ265" s="145"/>
      <c r="ER265" s="145"/>
      <c r="ES265" s="145"/>
      <c r="ET265" s="145"/>
      <c r="EU265" s="145"/>
      <c r="EV265" s="145"/>
      <c r="EW265" s="145"/>
      <c r="EX265" s="145"/>
      <c r="EY265" s="145"/>
      <c r="EZ265" s="145"/>
      <c r="FA265" s="145"/>
      <c r="FB265" s="145"/>
      <c r="FC265" s="145"/>
      <c r="FD265" s="145"/>
      <c r="FE265" s="145"/>
      <c r="FF265" s="145"/>
      <c r="FG265" s="145"/>
      <c r="FH265" s="145"/>
      <c r="FI265" s="145"/>
      <c r="FJ265" s="145"/>
      <c r="FK265" s="145"/>
      <c r="FL265" s="145"/>
      <c r="FM265" s="145"/>
      <c r="FN265" s="145"/>
      <c r="FO265" s="145"/>
      <c r="FP265" s="145"/>
      <c r="FQ265" s="145"/>
      <c r="FR265" s="145"/>
      <c r="FS265" s="145"/>
      <c r="FT265" s="145"/>
      <c r="FU265" s="145"/>
      <c r="FV265" s="145"/>
      <c r="FW265" s="145"/>
      <c r="FX265" s="143"/>
      <c r="FY265" s="146">
        <f>_xlfn.XLOOKUP($E265,'Key assumptions'!$B$112:$B$120,'Key assumptions'!$C$112:$C$120,0)</f>
        <v>0</v>
      </c>
      <c r="FZ265" s="146" cm="1">
        <f t="array" ref="FZ265">IF($FY265=0,0,_xlfn.IFS($FY265='Key assumptions'!$C$120,_xlfn.XLOOKUP(LEFT(FZ$7,6),Inflation_Year,Inflation_NominaltoReal),TRUE,_xlfn.XLOOKUP($FY265,Inflation_Year,NominaltoReal)))</f>
        <v>0</v>
      </c>
      <c r="GA265" s="146" cm="1">
        <f t="array" ref="GA265">IF($FY265=0,0,_xlfn.IFS($FY265='Key assumptions'!$C$120,_xlfn.XLOOKUP(LEFT(GA$7,6),Inflation_Year,Inflation_NominaltoReal),TRUE,_xlfn.XLOOKUP($FY265,Inflation_Year,NominaltoReal)))</f>
        <v>0</v>
      </c>
      <c r="GB265" s="146" cm="1">
        <f t="array" ref="GB265">IF($FY265=0,0,_xlfn.IFS($FY265='Key assumptions'!$C$120,_xlfn.XLOOKUP(LEFT(GB$7,6),Inflation_Year,Inflation_NominaltoReal),TRUE,_xlfn.XLOOKUP($FY265,Inflation_Year,NominaltoReal)))</f>
        <v>0</v>
      </c>
      <c r="GC265" s="146" cm="1">
        <f t="array" ref="GC265">IF($FY265=0,0,_xlfn.IFS($FY265='Key assumptions'!$C$120,_xlfn.XLOOKUP(LEFT(GC$7,6),Inflation_Year,Inflation_NominaltoReal),TRUE,_xlfn.XLOOKUP($FY265,Inflation_Year,NominaltoReal)))</f>
        <v>0</v>
      </c>
      <c r="GD265" s="146" cm="1">
        <f t="array" ref="GD265">IF($FY265=0,0,_xlfn.IFS($FY265='Key assumptions'!$C$120,_xlfn.XLOOKUP(LEFT(GD$7,6),Inflation_Year,Inflation_NominaltoReal),TRUE,_xlfn.XLOOKUP($FY265,Inflation_Year,NominaltoReal)))</f>
        <v>0</v>
      </c>
      <c r="GE265" s="146" cm="1">
        <f t="array" ref="GE265">IF($FY265=0,0,_xlfn.IFS($FY265='Key assumptions'!$C$120,_xlfn.XLOOKUP(LEFT(GE$7,6),Inflation_Year,Inflation_NominaltoReal),TRUE,_xlfn.XLOOKUP($FY265,Inflation_Year,NominaltoReal)))</f>
        <v>0</v>
      </c>
      <c r="GF265" s="146" cm="1">
        <f t="array" ref="GF265">IF($FY265=0,0,_xlfn.IFS($FY265='Key assumptions'!$C$120,_xlfn.XLOOKUP(LEFT(GF$7,6),Inflation_Year,Inflation_NominaltoReal),TRUE,_xlfn.XLOOKUP($FY265,Inflation_Year,NominaltoReal)))</f>
        <v>0</v>
      </c>
      <c r="GG265" s="143"/>
      <c r="GH265" s="145" cm="1">
        <f t="array" ref="GH265">SUMPRODUCT(--($CR$7:$FW$7&gt;=GH$5),--($CR$7:$FW$7&lt;=GH$6),$CR265:$FW265)*FZ265</f>
        <v>0</v>
      </c>
      <c r="GI265" s="145" cm="1">
        <f t="array" ref="GI265">SUMPRODUCT(--($CR$7:$FW$7&gt;=GI$5),--($CR$7:$FW$7&lt;=GI$6),$CR265:$FW265)*GA265</f>
        <v>0</v>
      </c>
      <c r="GJ265" s="145" cm="1">
        <f t="array" ref="GJ265">SUMPRODUCT(--($CR$7:$FW$7&gt;=GJ$5),--($CR$7:$FW$7&lt;=GJ$6),$CR265:$FW265)*GB265</f>
        <v>0</v>
      </c>
      <c r="GK265" s="145" cm="1">
        <f t="array" ref="GK265">SUMPRODUCT(--($CR$7:$FW$7&gt;=GK$5),--($CR$7:$FW$7&lt;=GK$6),$CR265:$FW265)*GC265</f>
        <v>0</v>
      </c>
      <c r="GL265" s="145" cm="1">
        <f t="array" ref="GL265">SUMPRODUCT(--($CR$7:$FW$7&gt;=GL$5),--($CR$7:$FW$7&lt;=GL$6),$CR265:$FW265)*GD265</f>
        <v>0</v>
      </c>
      <c r="GM265" s="145" cm="1">
        <f t="array" ref="GM265">SUMPRODUCT(--($CR$7:$FW$7&gt;=GM$5),--($CR$7:$FW$7&lt;=GM$6),$CR265:$FW265)*GE265</f>
        <v>0</v>
      </c>
      <c r="GN265" s="145" cm="1">
        <f t="array" ref="GN265">SUMPRODUCT(--($CR$7:$FW$7&gt;=GN$5),--($CR$7:$FW$7&lt;=GN$6),$CR265:$FW265)*GF265</f>
        <v>0</v>
      </c>
      <c r="GO265" s="145">
        <f t="shared" si="4"/>
        <v>0</v>
      </c>
      <c r="GP265" s="87"/>
      <c r="GR265" s="145" cm="1">
        <f t="array" ref="GR265">SUMPRODUCT(--($CR$7:$FW$7&gt;=GR$5),--($CR$7:$FW$7&lt;=GR$6),$CR265:$FW265)</f>
        <v>0</v>
      </c>
    </row>
    <row r="266" spans="2:200" x14ac:dyDescent="0.2">
      <c r="B266" s="141"/>
      <c r="C266" s="141"/>
      <c r="D266" s="141"/>
      <c r="E266" s="141"/>
      <c r="F266" s="141"/>
      <c r="G266" s="141"/>
      <c r="H266" s="142"/>
      <c r="I266" s="126"/>
      <c r="J266" s="143"/>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3"/>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c r="EE266" s="145"/>
      <c r="EF266" s="145"/>
      <c r="EG266" s="145"/>
      <c r="EH266" s="145"/>
      <c r="EI266" s="145"/>
      <c r="EJ266" s="145"/>
      <c r="EK266" s="145"/>
      <c r="EL266" s="145"/>
      <c r="EM266" s="145"/>
      <c r="EN266" s="145"/>
      <c r="EO266" s="145"/>
      <c r="EP266" s="145"/>
      <c r="EQ266" s="145"/>
      <c r="ER266" s="145"/>
      <c r="ES266" s="145"/>
      <c r="ET266" s="145"/>
      <c r="EU266" s="145"/>
      <c r="EV266" s="145"/>
      <c r="EW266" s="145"/>
      <c r="EX266" s="145"/>
      <c r="EY266" s="145"/>
      <c r="EZ266" s="145"/>
      <c r="FA266" s="145"/>
      <c r="FB266" s="145"/>
      <c r="FC266" s="145"/>
      <c r="FD266" s="145"/>
      <c r="FE266" s="145"/>
      <c r="FF266" s="145"/>
      <c r="FG266" s="145"/>
      <c r="FH266" s="145"/>
      <c r="FI266" s="145"/>
      <c r="FJ266" s="145"/>
      <c r="FK266" s="145"/>
      <c r="FL266" s="145"/>
      <c r="FM266" s="145"/>
      <c r="FN266" s="145"/>
      <c r="FO266" s="145"/>
      <c r="FP266" s="145"/>
      <c r="FQ266" s="145"/>
      <c r="FR266" s="145"/>
      <c r="FS266" s="145"/>
      <c r="FT266" s="145"/>
      <c r="FU266" s="145"/>
      <c r="FV266" s="145"/>
      <c r="FW266" s="145"/>
      <c r="FX266" s="143"/>
      <c r="FY266" s="146">
        <f>_xlfn.XLOOKUP($E266,'Key assumptions'!$B$112:$B$120,'Key assumptions'!$C$112:$C$120,0)</f>
        <v>0</v>
      </c>
      <c r="FZ266" s="146" cm="1">
        <f t="array" ref="FZ266">IF($FY266=0,0,_xlfn.IFS($FY266='Key assumptions'!$C$120,_xlfn.XLOOKUP(LEFT(FZ$7,6),Inflation_Year,Inflation_NominaltoReal),TRUE,_xlfn.XLOOKUP($FY266,Inflation_Year,NominaltoReal)))</f>
        <v>0</v>
      </c>
      <c r="GA266" s="146" cm="1">
        <f t="array" ref="GA266">IF($FY266=0,0,_xlfn.IFS($FY266='Key assumptions'!$C$120,_xlfn.XLOOKUP(LEFT(GA$7,6),Inflation_Year,Inflation_NominaltoReal),TRUE,_xlfn.XLOOKUP($FY266,Inflation_Year,NominaltoReal)))</f>
        <v>0</v>
      </c>
      <c r="GB266" s="146" cm="1">
        <f t="array" ref="GB266">IF($FY266=0,0,_xlfn.IFS($FY266='Key assumptions'!$C$120,_xlfn.XLOOKUP(LEFT(GB$7,6),Inflation_Year,Inflation_NominaltoReal),TRUE,_xlfn.XLOOKUP($FY266,Inflation_Year,NominaltoReal)))</f>
        <v>0</v>
      </c>
      <c r="GC266" s="146" cm="1">
        <f t="array" ref="GC266">IF($FY266=0,0,_xlfn.IFS($FY266='Key assumptions'!$C$120,_xlfn.XLOOKUP(LEFT(GC$7,6),Inflation_Year,Inflation_NominaltoReal),TRUE,_xlfn.XLOOKUP($FY266,Inflation_Year,NominaltoReal)))</f>
        <v>0</v>
      </c>
      <c r="GD266" s="146" cm="1">
        <f t="array" ref="GD266">IF($FY266=0,0,_xlfn.IFS($FY266='Key assumptions'!$C$120,_xlfn.XLOOKUP(LEFT(GD$7,6),Inflation_Year,Inflation_NominaltoReal),TRUE,_xlfn.XLOOKUP($FY266,Inflation_Year,NominaltoReal)))</f>
        <v>0</v>
      </c>
      <c r="GE266" s="146" cm="1">
        <f t="array" ref="GE266">IF($FY266=0,0,_xlfn.IFS($FY266='Key assumptions'!$C$120,_xlfn.XLOOKUP(LEFT(GE$7,6),Inflation_Year,Inflation_NominaltoReal),TRUE,_xlfn.XLOOKUP($FY266,Inflation_Year,NominaltoReal)))</f>
        <v>0</v>
      </c>
      <c r="GF266" s="146" cm="1">
        <f t="array" ref="GF266">IF($FY266=0,0,_xlfn.IFS($FY266='Key assumptions'!$C$120,_xlfn.XLOOKUP(LEFT(GF$7,6),Inflation_Year,Inflation_NominaltoReal),TRUE,_xlfn.XLOOKUP($FY266,Inflation_Year,NominaltoReal)))</f>
        <v>0</v>
      </c>
      <c r="GG266" s="143"/>
      <c r="GH266" s="145" cm="1">
        <f t="array" ref="GH266">SUMPRODUCT(--($CR$7:$FW$7&gt;=GH$5),--($CR$7:$FW$7&lt;=GH$6),$CR266:$FW266)*FZ266</f>
        <v>0</v>
      </c>
      <c r="GI266" s="145" cm="1">
        <f t="array" ref="GI266">SUMPRODUCT(--($CR$7:$FW$7&gt;=GI$5),--($CR$7:$FW$7&lt;=GI$6),$CR266:$FW266)*GA266</f>
        <v>0</v>
      </c>
      <c r="GJ266" s="145" cm="1">
        <f t="array" ref="GJ266">SUMPRODUCT(--($CR$7:$FW$7&gt;=GJ$5),--($CR$7:$FW$7&lt;=GJ$6),$CR266:$FW266)*GB266</f>
        <v>0</v>
      </c>
      <c r="GK266" s="145" cm="1">
        <f t="array" ref="GK266">SUMPRODUCT(--($CR$7:$FW$7&gt;=GK$5),--($CR$7:$FW$7&lt;=GK$6),$CR266:$FW266)*GC266</f>
        <v>0</v>
      </c>
      <c r="GL266" s="145" cm="1">
        <f t="array" ref="GL266">SUMPRODUCT(--($CR$7:$FW$7&gt;=GL$5),--($CR$7:$FW$7&lt;=GL$6),$CR266:$FW266)*GD266</f>
        <v>0</v>
      </c>
      <c r="GM266" s="145" cm="1">
        <f t="array" ref="GM266">SUMPRODUCT(--($CR$7:$FW$7&gt;=GM$5),--($CR$7:$FW$7&lt;=GM$6),$CR266:$FW266)*GE266</f>
        <v>0</v>
      </c>
      <c r="GN266" s="145" cm="1">
        <f t="array" ref="GN266">SUMPRODUCT(--($CR$7:$FW$7&gt;=GN$5),--($CR$7:$FW$7&lt;=GN$6),$CR266:$FW266)*GF266</f>
        <v>0</v>
      </c>
      <c r="GO266" s="145">
        <f t="shared" si="4"/>
        <v>0</v>
      </c>
      <c r="GP266" s="87"/>
      <c r="GR266" s="145" cm="1">
        <f t="array" ref="GR266">SUMPRODUCT(--($CR$7:$FW$7&gt;=GR$5),--($CR$7:$FW$7&lt;=GR$6),$CR266:$FW266)</f>
        <v>0</v>
      </c>
    </row>
    <row r="267" spans="2:200" x14ac:dyDescent="0.2">
      <c r="B267" s="141"/>
      <c r="C267" s="141"/>
      <c r="D267" s="141"/>
      <c r="E267" s="141"/>
      <c r="F267" s="141"/>
      <c r="G267" s="141"/>
      <c r="H267" s="142"/>
      <c r="I267" s="126"/>
      <c r="J267" s="143"/>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3"/>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c r="EE267" s="145"/>
      <c r="EF267" s="145"/>
      <c r="EG267" s="145"/>
      <c r="EH267" s="145"/>
      <c r="EI267" s="145"/>
      <c r="EJ267" s="145"/>
      <c r="EK267" s="145"/>
      <c r="EL267" s="145"/>
      <c r="EM267" s="145"/>
      <c r="EN267" s="145"/>
      <c r="EO267" s="145"/>
      <c r="EP267" s="145"/>
      <c r="EQ267" s="145"/>
      <c r="ER267" s="145"/>
      <c r="ES267" s="145"/>
      <c r="ET267" s="145"/>
      <c r="EU267" s="145"/>
      <c r="EV267" s="145"/>
      <c r="EW267" s="145"/>
      <c r="EX267" s="145"/>
      <c r="EY267" s="145"/>
      <c r="EZ267" s="145"/>
      <c r="FA267" s="145"/>
      <c r="FB267" s="145"/>
      <c r="FC267" s="145"/>
      <c r="FD267" s="145"/>
      <c r="FE267" s="145"/>
      <c r="FF267" s="145"/>
      <c r="FG267" s="145"/>
      <c r="FH267" s="145"/>
      <c r="FI267" s="145"/>
      <c r="FJ267" s="145"/>
      <c r="FK267" s="145"/>
      <c r="FL267" s="145"/>
      <c r="FM267" s="145"/>
      <c r="FN267" s="145"/>
      <c r="FO267" s="145"/>
      <c r="FP267" s="145"/>
      <c r="FQ267" s="145"/>
      <c r="FR267" s="145"/>
      <c r="FS267" s="145"/>
      <c r="FT267" s="145"/>
      <c r="FU267" s="145"/>
      <c r="FV267" s="145"/>
      <c r="FW267" s="145"/>
      <c r="FX267" s="143"/>
      <c r="FY267" s="146">
        <f>_xlfn.XLOOKUP($E267,'Key assumptions'!$B$112:$B$120,'Key assumptions'!$C$112:$C$120,0)</f>
        <v>0</v>
      </c>
      <c r="FZ267" s="146" cm="1">
        <f t="array" ref="FZ267">IF($FY267=0,0,_xlfn.IFS($FY267='Key assumptions'!$C$120,_xlfn.XLOOKUP(LEFT(FZ$7,6),Inflation_Year,Inflation_NominaltoReal),TRUE,_xlfn.XLOOKUP($FY267,Inflation_Year,NominaltoReal)))</f>
        <v>0</v>
      </c>
      <c r="GA267" s="146" cm="1">
        <f t="array" ref="GA267">IF($FY267=0,0,_xlfn.IFS($FY267='Key assumptions'!$C$120,_xlfn.XLOOKUP(LEFT(GA$7,6),Inflation_Year,Inflation_NominaltoReal),TRUE,_xlfn.XLOOKUP($FY267,Inflation_Year,NominaltoReal)))</f>
        <v>0</v>
      </c>
      <c r="GB267" s="146" cm="1">
        <f t="array" ref="GB267">IF($FY267=0,0,_xlfn.IFS($FY267='Key assumptions'!$C$120,_xlfn.XLOOKUP(LEFT(GB$7,6),Inflation_Year,Inflation_NominaltoReal),TRUE,_xlfn.XLOOKUP($FY267,Inflation_Year,NominaltoReal)))</f>
        <v>0</v>
      </c>
      <c r="GC267" s="146" cm="1">
        <f t="array" ref="GC267">IF($FY267=0,0,_xlfn.IFS($FY267='Key assumptions'!$C$120,_xlfn.XLOOKUP(LEFT(GC$7,6),Inflation_Year,Inflation_NominaltoReal),TRUE,_xlfn.XLOOKUP($FY267,Inflation_Year,NominaltoReal)))</f>
        <v>0</v>
      </c>
      <c r="GD267" s="146" cm="1">
        <f t="array" ref="GD267">IF($FY267=0,0,_xlfn.IFS($FY267='Key assumptions'!$C$120,_xlfn.XLOOKUP(LEFT(GD$7,6),Inflation_Year,Inflation_NominaltoReal),TRUE,_xlfn.XLOOKUP($FY267,Inflation_Year,NominaltoReal)))</f>
        <v>0</v>
      </c>
      <c r="GE267" s="146" cm="1">
        <f t="array" ref="GE267">IF($FY267=0,0,_xlfn.IFS($FY267='Key assumptions'!$C$120,_xlfn.XLOOKUP(LEFT(GE$7,6),Inflation_Year,Inflation_NominaltoReal),TRUE,_xlfn.XLOOKUP($FY267,Inflation_Year,NominaltoReal)))</f>
        <v>0</v>
      </c>
      <c r="GF267" s="146" cm="1">
        <f t="array" ref="GF267">IF($FY267=0,0,_xlfn.IFS($FY267='Key assumptions'!$C$120,_xlfn.XLOOKUP(LEFT(GF$7,6),Inflation_Year,Inflation_NominaltoReal),TRUE,_xlfn.XLOOKUP($FY267,Inflation_Year,NominaltoReal)))</f>
        <v>0</v>
      </c>
      <c r="GG267" s="143"/>
      <c r="GH267" s="145" cm="1">
        <f t="array" ref="GH267">SUMPRODUCT(--($CR$7:$FW$7&gt;=GH$5),--($CR$7:$FW$7&lt;=GH$6),$CR267:$FW267)*FZ267</f>
        <v>0</v>
      </c>
      <c r="GI267" s="145" cm="1">
        <f t="array" ref="GI267">SUMPRODUCT(--($CR$7:$FW$7&gt;=GI$5),--($CR$7:$FW$7&lt;=GI$6),$CR267:$FW267)*GA267</f>
        <v>0</v>
      </c>
      <c r="GJ267" s="145" cm="1">
        <f t="array" ref="GJ267">SUMPRODUCT(--($CR$7:$FW$7&gt;=GJ$5),--($CR$7:$FW$7&lt;=GJ$6),$CR267:$FW267)*GB267</f>
        <v>0</v>
      </c>
      <c r="GK267" s="145" cm="1">
        <f t="array" ref="GK267">SUMPRODUCT(--($CR$7:$FW$7&gt;=GK$5),--($CR$7:$FW$7&lt;=GK$6),$CR267:$FW267)*GC267</f>
        <v>0</v>
      </c>
      <c r="GL267" s="145" cm="1">
        <f t="array" ref="GL267">SUMPRODUCT(--($CR$7:$FW$7&gt;=GL$5),--($CR$7:$FW$7&lt;=GL$6),$CR267:$FW267)*GD267</f>
        <v>0</v>
      </c>
      <c r="GM267" s="145" cm="1">
        <f t="array" ref="GM267">SUMPRODUCT(--($CR$7:$FW$7&gt;=GM$5),--($CR$7:$FW$7&lt;=GM$6),$CR267:$FW267)*GE267</f>
        <v>0</v>
      </c>
      <c r="GN267" s="145" cm="1">
        <f t="array" ref="GN267">SUMPRODUCT(--($CR$7:$FW$7&gt;=GN$5),--($CR$7:$FW$7&lt;=GN$6),$CR267:$FW267)*GF267</f>
        <v>0</v>
      </c>
      <c r="GO267" s="145">
        <f t="shared" si="4"/>
        <v>0</v>
      </c>
      <c r="GP267" s="87"/>
      <c r="GR267" s="145" cm="1">
        <f t="array" ref="GR267">SUMPRODUCT(--($CR$7:$FW$7&gt;=GR$5),--($CR$7:$FW$7&lt;=GR$6),$CR267:$FW267)</f>
        <v>0</v>
      </c>
    </row>
    <row r="268" spans="2:200" x14ac:dyDescent="0.2">
      <c r="B268" s="141"/>
      <c r="C268" s="141"/>
      <c r="D268" s="141"/>
      <c r="E268" s="141"/>
      <c r="F268" s="141"/>
      <c r="G268" s="141"/>
      <c r="H268" s="142"/>
      <c r="I268" s="126"/>
      <c r="J268" s="143"/>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3"/>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c r="EE268" s="145"/>
      <c r="EF268" s="145"/>
      <c r="EG268" s="145"/>
      <c r="EH268" s="145"/>
      <c r="EI268" s="145"/>
      <c r="EJ268" s="145"/>
      <c r="EK268" s="145"/>
      <c r="EL268" s="145"/>
      <c r="EM268" s="145"/>
      <c r="EN268" s="145"/>
      <c r="EO268" s="145"/>
      <c r="EP268" s="145"/>
      <c r="EQ268" s="145"/>
      <c r="ER268" s="145"/>
      <c r="ES268" s="145"/>
      <c r="ET268" s="145"/>
      <c r="EU268" s="145"/>
      <c r="EV268" s="145"/>
      <c r="EW268" s="145"/>
      <c r="EX268" s="145"/>
      <c r="EY268" s="145"/>
      <c r="EZ268" s="145"/>
      <c r="FA268" s="145"/>
      <c r="FB268" s="145"/>
      <c r="FC268" s="145"/>
      <c r="FD268" s="145"/>
      <c r="FE268" s="145"/>
      <c r="FF268" s="145"/>
      <c r="FG268" s="145"/>
      <c r="FH268" s="145"/>
      <c r="FI268" s="145"/>
      <c r="FJ268" s="145"/>
      <c r="FK268" s="145"/>
      <c r="FL268" s="145"/>
      <c r="FM268" s="145"/>
      <c r="FN268" s="145"/>
      <c r="FO268" s="145"/>
      <c r="FP268" s="145"/>
      <c r="FQ268" s="145"/>
      <c r="FR268" s="145"/>
      <c r="FS268" s="145"/>
      <c r="FT268" s="145"/>
      <c r="FU268" s="145"/>
      <c r="FV268" s="145"/>
      <c r="FW268" s="145"/>
      <c r="FX268" s="143"/>
      <c r="FY268" s="146">
        <f>_xlfn.XLOOKUP($E268,'Key assumptions'!$B$112:$B$120,'Key assumptions'!$C$112:$C$120,0)</f>
        <v>0</v>
      </c>
      <c r="FZ268" s="146" cm="1">
        <f t="array" ref="FZ268">IF($FY268=0,0,_xlfn.IFS($FY268='Key assumptions'!$C$120,_xlfn.XLOOKUP(LEFT(FZ$7,6),Inflation_Year,Inflation_NominaltoReal),TRUE,_xlfn.XLOOKUP($FY268,Inflation_Year,NominaltoReal)))</f>
        <v>0</v>
      </c>
      <c r="GA268" s="146" cm="1">
        <f t="array" ref="GA268">IF($FY268=0,0,_xlfn.IFS($FY268='Key assumptions'!$C$120,_xlfn.XLOOKUP(LEFT(GA$7,6),Inflation_Year,Inflation_NominaltoReal),TRUE,_xlfn.XLOOKUP($FY268,Inflation_Year,NominaltoReal)))</f>
        <v>0</v>
      </c>
      <c r="GB268" s="146" cm="1">
        <f t="array" ref="GB268">IF($FY268=0,0,_xlfn.IFS($FY268='Key assumptions'!$C$120,_xlfn.XLOOKUP(LEFT(GB$7,6),Inflation_Year,Inflation_NominaltoReal),TRUE,_xlfn.XLOOKUP($FY268,Inflation_Year,NominaltoReal)))</f>
        <v>0</v>
      </c>
      <c r="GC268" s="146" cm="1">
        <f t="array" ref="GC268">IF($FY268=0,0,_xlfn.IFS($FY268='Key assumptions'!$C$120,_xlfn.XLOOKUP(LEFT(GC$7,6),Inflation_Year,Inflation_NominaltoReal),TRUE,_xlfn.XLOOKUP($FY268,Inflation_Year,NominaltoReal)))</f>
        <v>0</v>
      </c>
      <c r="GD268" s="146" cm="1">
        <f t="array" ref="GD268">IF($FY268=0,0,_xlfn.IFS($FY268='Key assumptions'!$C$120,_xlfn.XLOOKUP(LEFT(GD$7,6),Inflation_Year,Inflation_NominaltoReal),TRUE,_xlfn.XLOOKUP($FY268,Inflation_Year,NominaltoReal)))</f>
        <v>0</v>
      </c>
      <c r="GE268" s="146" cm="1">
        <f t="array" ref="GE268">IF($FY268=0,0,_xlfn.IFS($FY268='Key assumptions'!$C$120,_xlfn.XLOOKUP(LEFT(GE$7,6),Inflation_Year,Inflation_NominaltoReal),TRUE,_xlfn.XLOOKUP($FY268,Inflation_Year,NominaltoReal)))</f>
        <v>0</v>
      </c>
      <c r="GF268" s="146" cm="1">
        <f t="array" ref="GF268">IF($FY268=0,0,_xlfn.IFS($FY268='Key assumptions'!$C$120,_xlfn.XLOOKUP(LEFT(GF$7,6),Inflation_Year,Inflation_NominaltoReal),TRUE,_xlfn.XLOOKUP($FY268,Inflation_Year,NominaltoReal)))</f>
        <v>0</v>
      </c>
      <c r="GG268" s="143"/>
      <c r="GH268" s="145" cm="1">
        <f t="array" ref="GH268">SUMPRODUCT(--($CR$7:$FW$7&gt;=GH$5),--($CR$7:$FW$7&lt;=GH$6),$CR268:$FW268)*FZ268</f>
        <v>0</v>
      </c>
      <c r="GI268" s="145" cm="1">
        <f t="array" ref="GI268">SUMPRODUCT(--($CR$7:$FW$7&gt;=GI$5),--($CR$7:$FW$7&lt;=GI$6),$CR268:$FW268)*GA268</f>
        <v>0</v>
      </c>
      <c r="GJ268" s="145" cm="1">
        <f t="array" ref="GJ268">SUMPRODUCT(--($CR$7:$FW$7&gt;=GJ$5),--($CR$7:$FW$7&lt;=GJ$6),$CR268:$FW268)*GB268</f>
        <v>0</v>
      </c>
      <c r="GK268" s="145" cm="1">
        <f t="array" ref="GK268">SUMPRODUCT(--($CR$7:$FW$7&gt;=GK$5),--($CR$7:$FW$7&lt;=GK$6),$CR268:$FW268)*GC268</f>
        <v>0</v>
      </c>
      <c r="GL268" s="145" cm="1">
        <f t="array" ref="GL268">SUMPRODUCT(--($CR$7:$FW$7&gt;=GL$5),--($CR$7:$FW$7&lt;=GL$6),$CR268:$FW268)*GD268</f>
        <v>0</v>
      </c>
      <c r="GM268" s="145" cm="1">
        <f t="array" ref="GM268">SUMPRODUCT(--($CR$7:$FW$7&gt;=GM$5),--($CR$7:$FW$7&lt;=GM$6),$CR268:$FW268)*GE268</f>
        <v>0</v>
      </c>
      <c r="GN268" s="145" cm="1">
        <f t="array" ref="GN268">SUMPRODUCT(--($CR$7:$FW$7&gt;=GN$5),--($CR$7:$FW$7&lt;=GN$6),$CR268:$FW268)*GF268</f>
        <v>0</v>
      </c>
      <c r="GO268" s="145">
        <f t="shared" si="4"/>
        <v>0</v>
      </c>
      <c r="GP268" s="87"/>
      <c r="GR268" s="145" cm="1">
        <f t="array" ref="GR268">SUMPRODUCT(--($CR$7:$FW$7&gt;=GR$5),--($CR$7:$FW$7&lt;=GR$6),$CR268:$FW268)</f>
        <v>0</v>
      </c>
    </row>
    <row r="269" spans="2:200" x14ac:dyDescent="0.2">
      <c r="B269" s="141"/>
      <c r="C269" s="141"/>
      <c r="D269" s="141"/>
      <c r="E269" s="141"/>
      <c r="F269" s="141"/>
      <c r="G269" s="141"/>
      <c r="H269" s="142"/>
      <c r="I269" s="126"/>
      <c r="J269" s="143"/>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3"/>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c r="EE269" s="145"/>
      <c r="EF269" s="145"/>
      <c r="EG269" s="145"/>
      <c r="EH269" s="145"/>
      <c r="EI269" s="145"/>
      <c r="EJ269" s="145"/>
      <c r="EK269" s="145"/>
      <c r="EL269" s="145"/>
      <c r="EM269" s="145"/>
      <c r="EN269" s="145"/>
      <c r="EO269" s="145"/>
      <c r="EP269" s="145"/>
      <c r="EQ269" s="145"/>
      <c r="ER269" s="145"/>
      <c r="ES269" s="145"/>
      <c r="ET269" s="145"/>
      <c r="EU269" s="145"/>
      <c r="EV269" s="145"/>
      <c r="EW269" s="145"/>
      <c r="EX269" s="145"/>
      <c r="EY269" s="145"/>
      <c r="EZ269" s="145"/>
      <c r="FA269" s="145"/>
      <c r="FB269" s="145"/>
      <c r="FC269" s="145"/>
      <c r="FD269" s="145"/>
      <c r="FE269" s="145"/>
      <c r="FF269" s="145"/>
      <c r="FG269" s="145"/>
      <c r="FH269" s="145"/>
      <c r="FI269" s="145"/>
      <c r="FJ269" s="145"/>
      <c r="FK269" s="145"/>
      <c r="FL269" s="145"/>
      <c r="FM269" s="145"/>
      <c r="FN269" s="145"/>
      <c r="FO269" s="145"/>
      <c r="FP269" s="145"/>
      <c r="FQ269" s="145"/>
      <c r="FR269" s="145"/>
      <c r="FS269" s="145"/>
      <c r="FT269" s="145"/>
      <c r="FU269" s="145"/>
      <c r="FV269" s="145"/>
      <c r="FW269" s="145"/>
      <c r="FX269" s="143"/>
      <c r="FY269" s="146">
        <f>_xlfn.XLOOKUP($E269,'Key assumptions'!$B$112:$B$120,'Key assumptions'!$C$112:$C$120,0)</f>
        <v>0</v>
      </c>
      <c r="FZ269" s="146" cm="1">
        <f t="array" ref="FZ269">IF($FY269=0,0,_xlfn.IFS($FY269='Key assumptions'!$C$120,_xlfn.XLOOKUP(LEFT(FZ$7,6),Inflation_Year,Inflation_NominaltoReal),TRUE,_xlfn.XLOOKUP($FY269,Inflation_Year,NominaltoReal)))</f>
        <v>0</v>
      </c>
      <c r="GA269" s="146" cm="1">
        <f t="array" ref="GA269">IF($FY269=0,0,_xlfn.IFS($FY269='Key assumptions'!$C$120,_xlfn.XLOOKUP(LEFT(GA$7,6),Inflation_Year,Inflation_NominaltoReal),TRUE,_xlfn.XLOOKUP($FY269,Inflation_Year,NominaltoReal)))</f>
        <v>0</v>
      </c>
      <c r="GB269" s="146" cm="1">
        <f t="array" ref="GB269">IF($FY269=0,0,_xlfn.IFS($FY269='Key assumptions'!$C$120,_xlfn.XLOOKUP(LEFT(GB$7,6),Inflation_Year,Inflation_NominaltoReal),TRUE,_xlfn.XLOOKUP($FY269,Inflation_Year,NominaltoReal)))</f>
        <v>0</v>
      </c>
      <c r="GC269" s="146" cm="1">
        <f t="array" ref="GC269">IF($FY269=0,0,_xlfn.IFS($FY269='Key assumptions'!$C$120,_xlfn.XLOOKUP(LEFT(GC$7,6),Inflation_Year,Inflation_NominaltoReal),TRUE,_xlfn.XLOOKUP($FY269,Inflation_Year,NominaltoReal)))</f>
        <v>0</v>
      </c>
      <c r="GD269" s="146" cm="1">
        <f t="array" ref="GD269">IF($FY269=0,0,_xlfn.IFS($FY269='Key assumptions'!$C$120,_xlfn.XLOOKUP(LEFT(GD$7,6),Inflation_Year,Inflation_NominaltoReal),TRUE,_xlfn.XLOOKUP($FY269,Inflation_Year,NominaltoReal)))</f>
        <v>0</v>
      </c>
      <c r="GE269" s="146" cm="1">
        <f t="array" ref="GE269">IF($FY269=0,0,_xlfn.IFS($FY269='Key assumptions'!$C$120,_xlfn.XLOOKUP(LEFT(GE$7,6),Inflation_Year,Inflation_NominaltoReal),TRUE,_xlfn.XLOOKUP($FY269,Inflation_Year,NominaltoReal)))</f>
        <v>0</v>
      </c>
      <c r="GF269" s="146" cm="1">
        <f t="array" ref="GF269">IF($FY269=0,0,_xlfn.IFS($FY269='Key assumptions'!$C$120,_xlfn.XLOOKUP(LEFT(GF$7,6),Inflation_Year,Inflation_NominaltoReal),TRUE,_xlfn.XLOOKUP($FY269,Inflation_Year,NominaltoReal)))</f>
        <v>0</v>
      </c>
      <c r="GG269" s="143"/>
      <c r="GH269" s="145" cm="1">
        <f t="array" ref="GH269">SUMPRODUCT(--($CR$7:$FW$7&gt;=GH$5),--($CR$7:$FW$7&lt;=GH$6),$CR269:$FW269)*FZ269</f>
        <v>0</v>
      </c>
      <c r="GI269" s="145" cm="1">
        <f t="array" ref="GI269">SUMPRODUCT(--($CR$7:$FW$7&gt;=GI$5),--($CR$7:$FW$7&lt;=GI$6),$CR269:$FW269)*GA269</f>
        <v>0</v>
      </c>
      <c r="GJ269" s="145" cm="1">
        <f t="array" ref="GJ269">SUMPRODUCT(--($CR$7:$FW$7&gt;=GJ$5),--($CR$7:$FW$7&lt;=GJ$6),$CR269:$FW269)*GB269</f>
        <v>0</v>
      </c>
      <c r="GK269" s="145" cm="1">
        <f t="array" ref="GK269">SUMPRODUCT(--($CR$7:$FW$7&gt;=GK$5),--($CR$7:$FW$7&lt;=GK$6),$CR269:$FW269)*GC269</f>
        <v>0</v>
      </c>
      <c r="GL269" s="145" cm="1">
        <f t="array" ref="GL269">SUMPRODUCT(--($CR$7:$FW$7&gt;=GL$5),--($CR$7:$FW$7&lt;=GL$6),$CR269:$FW269)*GD269</f>
        <v>0</v>
      </c>
      <c r="GM269" s="145" cm="1">
        <f t="array" ref="GM269">SUMPRODUCT(--($CR$7:$FW$7&gt;=GM$5),--($CR$7:$FW$7&lt;=GM$6),$CR269:$FW269)*GE269</f>
        <v>0</v>
      </c>
      <c r="GN269" s="145" cm="1">
        <f t="array" ref="GN269">SUMPRODUCT(--($CR$7:$FW$7&gt;=GN$5),--($CR$7:$FW$7&lt;=GN$6),$CR269:$FW269)*GF269</f>
        <v>0</v>
      </c>
      <c r="GO269" s="145">
        <f t="shared" si="4"/>
        <v>0</v>
      </c>
      <c r="GP269" s="87"/>
      <c r="GR269" s="145" cm="1">
        <f t="array" ref="GR269">SUMPRODUCT(--($CR$7:$FW$7&gt;=GR$5),--($CR$7:$FW$7&lt;=GR$6),$CR269:$FW269)</f>
        <v>0</v>
      </c>
    </row>
    <row r="270" spans="2:200" x14ac:dyDescent="0.2">
      <c r="B270" s="141"/>
      <c r="C270" s="141"/>
      <c r="D270" s="141"/>
      <c r="E270" s="141"/>
      <c r="F270" s="141"/>
      <c r="G270" s="141"/>
      <c r="H270" s="142"/>
      <c r="I270" s="126"/>
      <c r="J270" s="143"/>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3"/>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c r="EE270" s="145"/>
      <c r="EF270" s="145"/>
      <c r="EG270" s="145"/>
      <c r="EH270" s="145"/>
      <c r="EI270" s="145"/>
      <c r="EJ270" s="145"/>
      <c r="EK270" s="145"/>
      <c r="EL270" s="145"/>
      <c r="EM270" s="145"/>
      <c r="EN270" s="145"/>
      <c r="EO270" s="145"/>
      <c r="EP270" s="145"/>
      <c r="EQ270" s="145"/>
      <c r="ER270" s="145"/>
      <c r="ES270" s="145"/>
      <c r="ET270" s="145"/>
      <c r="EU270" s="145"/>
      <c r="EV270" s="145"/>
      <c r="EW270" s="145"/>
      <c r="EX270" s="145"/>
      <c r="EY270" s="145"/>
      <c r="EZ270" s="145"/>
      <c r="FA270" s="145"/>
      <c r="FB270" s="145"/>
      <c r="FC270" s="145"/>
      <c r="FD270" s="145"/>
      <c r="FE270" s="145"/>
      <c r="FF270" s="145"/>
      <c r="FG270" s="145"/>
      <c r="FH270" s="145"/>
      <c r="FI270" s="145"/>
      <c r="FJ270" s="145"/>
      <c r="FK270" s="145"/>
      <c r="FL270" s="145"/>
      <c r="FM270" s="145"/>
      <c r="FN270" s="145"/>
      <c r="FO270" s="145"/>
      <c r="FP270" s="145"/>
      <c r="FQ270" s="145"/>
      <c r="FR270" s="145"/>
      <c r="FS270" s="145"/>
      <c r="FT270" s="145"/>
      <c r="FU270" s="145"/>
      <c r="FV270" s="145"/>
      <c r="FW270" s="145"/>
      <c r="FX270" s="143"/>
      <c r="FY270" s="146">
        <f>_xlfn.XLOOKUP($E270,'Key assumptions'!$B$112:$B$120,'Key assumptions'!$C$112:$C$120,0)</f>
        <v>0</v>
      </c>
      <c r="FZ270" s="146" cm="1">
        <f t="array" ref="FZ270">IF($FY270=0,0,_xlfn.IFS($FY270='Key assumptions'!$C$120,_xlfn.XLOOKUP(LEFT(FZ$7,6),Inflation_Year,Inflation_NominaltoReal),TRUE,_xlfn.XLOOKUP($FY270,Inflation_Year,NominaltoReal)))</f>
        <v>0</v>
      </c>
      <c r="GA270" s="146" cm="1">
        <f t="array" ref="GA270">IF($FY270=0,0,_xlfn.IFS($FY270='Key assumptions'!$C$120,_xlfn.XLOOKUP(LEFT(GA$7,6),Inflation_Year,Inflation_NominaltoReal),TRUE,_xlfn.XLOOKUP($FY270,Inflation_Year,NominaltoReal)))</f>
        <v>0</v>
      </c>
      <c r="GB270" s="146" cm="1">
        <f t="array" ref="GB270">IF($FY270=0,0,_xlfn.IFS($FY270='Key assumptions'!$C$120,_xlfn.XLOOKUP(LEFT(GB$7,6),Inflation_Year,Inflation_NominaltoReal),TRUE,_xlfn.XLOOKUP($FY270,Inflation_Year,NominaltoReal)))</f>
        <v>0</v>
      </c>
      <c r="GC270" s="146" cm="1">
        <f t="array" ref="GC270">IF($FY270=0,0,_xlfn.IFS($FY270='Key assumptions'!$C$120,_xlfn.XLOOKUP(LEFT(GC$7,6),Inflation_Year,Inflation_NominaltoReal),TRUE,_xlfn.XLOOKUP($FY270,Inflation_Year,NominaltoReal)))</f>
        <v>0</v>
      </c>
      <c r="GD270" s="146" cm="1">
        <f t="array" ref="GD270">IF($FY270=0,0,_xlfn.IFS($FY270='Key assumptions'!$C$120,_xlfn.XLOOKUP(LEFT(GD$7,6),Inflation_Year,Inflation_NominaltoReal),TRUE,_xlfn.XLOOKUP($FY270,Inflation_Year,NominaltoReal)))</f>
        <v>0</v>
      </c>
      <c r="GE270" s="146" cm="1">
        <f t="array" ref="GE270">IF($FY270=0,0,_xlfn.IFS($FY270='Key assumptions'!$C$120,_xlfn.XLOOKUP(LEFT(GE$7,6),Inflation_Year,Inflation_NominaltoReal),TRUE,_xlfn.XLOOKUP($FY270,Inflation_Year,NominaltoReal)))</f>
        <v>0</v>
      </c>
      <c r="GF270" s="146" cm="1">
        <f t="array" ref="GF270">IF($FY270=0,0,_xlfn.IFS($FY270='Key assumptions'!$C$120,_xlfn.XLOOKUP(LEFT(GF$7,6),Inflation_Year,Inflation_NominaltoReal),TRUE,_xlfn.XLOOKUP($FY270,Inflation_Year,NominaltoReal)))</f>
        <v>0</v>
      </c>
      <c r="GG270" s="143"/>
      <c r="GH270" s="145" cm="1">
        <f t="array" ref="GH270">SUMPRODUCT(--($CR$7:$FW$7&gt;=GH$5),--($CR$7:$FW$7&lt;=GH$6),$CR270:$FW270)*FZ270</f>
        <v>0</v>
      </c>
      <c r="GI270" s="145" cm="1">
        <f t="array" ref="GI270">SUMPRODUCT(--($CR$7:$FW$7&gt;=GI$5),--($CR$7:$FW$7&lt;=GI$6),$CR270:$FW270)*GA270</f>
        <v>0</v>
      </c>
      <c r="GJ270" s="145" cm="1">
        <f t="array" ref="GJ270">SUMPRODUCT(--($CR$7:$FW$7&gt;=GJ$5),--($CR$7:$FW$7&lt;=GJ$6),$CR270:$FW270)*GB270</f>
        <v>0</v>
      </c>
      <c r="GK270" s="145" cm="1">
        <f t="array" ref="GK270">SUMPRODUCT(--($CR$7:$FW$7&gt;=GK$5),--($CR$7:$FW$7&lt;=GK$6),$CR270:$FW270)*GC270</f>
        <v>0</v>
      </c>
      <c r="GL270" s="145" cm="1">
        <f t="array" ref="GL270">SUMPRODUCT(--($CR$7:$FW$7&gt;=GL$5),--($CR$7:$FW$7&lt;=GL$6),$CR270:$FW270)*GD270</f>
        <v>0</v>
      </c>
      <c r="GM270" s="145" cm="1">
        <f t="array" ref="GM270">SUMPRODUCT(--($CR$7:$FW$7&gt;=GM$5),--($CR$7:$FW$7&lt;=GM$6),$CR270:$FW270)*GE270</f>
        <v>0</v>
      </c>
      <c r="GN270" s="145" cm="1">
        <f t="array" ref="GN270">SUMPRODUCT(--($CR$7:$FW$7&gt;=GN$5),--($CR$7:$FW$7&lt;=GN$6),$CR270:$FW270)*GF270</f>
        <v>0</v>
      </c>
      <c r="GO270" s="145">
        <f t="shared" si="4"/>
        <v>0</v>
      </c>
      <c r="GP270" s="87"/>
      <c r="GR270" s="145" cm="1">
        <f t="array" ref="GR270">SUMPRODUCT(--($CR$7:$FW$7&gt;=GR$5),--($CR$7:$FW$7&lt;=GR$6),$CR270:$FW270)</f>
        <v>0</v>
      </c>
    </row>
    <row r="271" spans="2:200" x14ac:dyDescent="0.2">
      <c r="B271" s="141"/>
      <c r="C271" s="141"/>
      <c r="D271" s="141"/>
      <c r="E271" s="141"/>
      <c r="F271" s="141"/>
      <c r="G271" s="141"/>
      <c r="H271" s="142"/>
      <c r="I271" s="126"/>
      <c r="J271" s="143"/>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3"/>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c r="EE271" s="145"/>
      <c r="EF271" s="145"/>
      <c r="EG271" s="145"/>
      <c r="EH271" s="145"/>
      <c r="EI271" s="145"/>
      <c r="EJ271" s="145"/>
      <c r="EK271" s="145"/>
      <c r="EL271" s="145"/>
      <c r="EM271" s="145"/>
      <c r="EN271" s="145"/>
      <c r="EO271" s="145"/>
      <c r="EP271" s="145"/>
      <c r="EQ271" s="145"/>
      <c r="ER271" s="145"/>
      <c r="ES271" s="145"/>
      <c r="ET271" s="145"/>
      <c r="EU271" s="145"/>
      <c r="EV271" s="145"/>
      <c r="EW271" s="145"/>
      <c r="EX271" s="145"/>
      <c r="EY271" s="145"/>
      <c r="EZ271" s="145"/>
      <c r="FA271" s="145"/>
      <c r="FB271" s="145"/>
      <c r="FC271" s="145"/>
      <c r="FD271" s="145"/>
      <c r="FE271" s="145"/>
      <c r="FF271" s="145"/>
      <c r="FG271" s="145"/>
      <c r="FH271" s="145"/>
      <c r="FI271" s="145"/>
      <c r="FJ271" s="145"/>
      <c r="FK271" s="145"/>
      <c r="FL271" s="145"/>
      <c r="FM271" s="145"/>
      <c r="FN271" s="145"/>
      <c r="FO271" s="145"/>
      <c r="FP271" s="145"/>
      <c r="FQ271" s="145"/>
      <c r="FR271" s="145"/>
      <c r="FS271" s="145"/>
      <c r="FT271" s="145"/>
      <c r="FU271" s="145"/>
      <c r="FV271" s="145"/>
      <c r="FW271" s="145"/>
      <c r="FX271" s="143"/>
      <c r="FY271" s="146">
        <f>_xlfn.XLOOKUP($E271,'Key assumptions'!$B$112:$B$120,'Key assumptions'!$C$112:$C$120,0)</f>
        <v>0</v>
      </c>
      <c r="FZ271" s="146" cm="1">
        <f t="array" ref="FZ271">IF($FY271=0,0,_xlfn.IFS($FY271='Key assumptions'!$C$120,_xlfn.XLOOKUP(LEFT(FZ$7,6),Inflation_Year,Inflation_NominaltoReal),TRUE,_xlfn.XLOOKUP($FY271,Inflation_Year,NominaltoReal)))</f>
        <v>0</v>
      </c>
      <c r="GA271" s="146" cm="1">
        <f t="array" ref="GA271">IF($FY271=0,0,_xlfn.IFS($FY271='Key assumptions'!$C$120,_xlfn.XLOOKUP(LEFT(GA$7,6),Inflation_Year,Inflation_NominaltoReal),TRUE,_xlfn.XLOOKUP($FY271,Inflation_Year,NominaltoReal)))</f>
        <v>0</v>
      </c>
      <c r="GB271" s="146" cm="1">
        <f t="array" ref="GB271">IF($FY271=0,0,_xlfn.IFS($FY271='Key assumptions'!$C$120,_xlfn.XLOOKUP(LEFT(GB$7,6),Inflation_Year,Inflation_NominaltoReal),TRUE,_xlfn.XLOOKUP($FY271,Inflation_Year,NominaltoReal)))</f>
        <v>0</v>
      </c>
      <c r="GC271" s="146" cm="1">
        <f t="array" ref="GC271">IF($FY271=0,0,_xlfn.IFS($FY271='Key assumptions'!$C$120,_xlfn.XLOOKUP(LEFT(GC$7,6),Inflation_Year,Inflation_NominaltoReal),TRUE,_xlfn.XLOOKUP($FY271,Inflation_Year,NominaltoReal)))</f>
        <v>0</v>
      </c>
      <c r="GD271" s="146" cm="1">
        <f t="array" ref="GD271">IF($FY271=0,0,_xlfn.IFS($FY271='Key assumptions'!$C$120,_xlfn.XLOOKUP(LEFT(GD$7,6),Inflation_Year,Inflation_NominaltoReal),TRUE,_xlfn.XLOOKUP($FY271,Inflation_Year,NominaltoReal)))</f>
        <v>0</v>
      </c>
      <c r="GE271" s="146" cm="1">
        <f t="array" ref="GE271">IF($FY271=0,0,_xlfn.IFS($FY271='Key assumptions'!$C$120,_xlfn.XLOOKUP(LEFT(GE$7,6),Inflation_Year,Inflation_NominaltoReal),TRUE,_xlfn.XLOOKUP($FY271,Inflation_Year,NominaltoReal)))</f>
        <v>0</v>
      </c>
      <c r="GF271" s="146" cm="1">
        <f t="array" ref="GF271">IF($FY271=0,0,_xlfn.IFS($FY271='Key assumptions'!$C$120,_xlfn.XLOOKUP(LEFT(GF$7,6),Inflation_Year,Inflation_NominaltoReal),TRUE,_xlfn.XLOOKUP($FY271,Inflation_Year,NominaltoReal)))</f>
        <v>0</v>
      </c>
      <c r="GG271" s="143"/>
      <c r="GH271" s="145" cm="1">
        <f t="array" ref="GH271">SUMPRODUCT(--($CR$7:$FW$7&gt;=GH$5),--($CR$7:$FW$7&lt;=GH$6),$CR271:$FW271)*FZ271</f>
        <v>0</v>
      </c>
      <c r="GI271" s="145" cm="1">
        <f t="array" ref="GI271">SUMPRODUCT(--($CR$7:$FW$7&gt;=GI$5),--($CR$7:$FW$7&lt;=GI$6),$CR271:$FW271)*GA271</f>
        <v>0</v>
      </c>
      <c r="GJ271" s="145" cm="1">
        <f t="array" ref="GJ271">SUMPRODUCT(--($CR$7:$FW$7&gt;=GJ$5),--($CR$7:$FW$7&lt;=GJ$6),$CR271:$FW271)*GB271</f>
        <v>0</v>
      </c>
      <c r="GK271" s="145" cm="1">
        <f t="array" ref="GK271">SUMPRODUCT(--($CR$7:$FW$7&gt;=GK$5),--($CR$7:$FW$7&lt;=GK$6),$CR271:$FW271)*GC271</f>
        <v>0</v>
      </c>
      <c r="GL271" s="145" cm="1">
        <f t="array" ref="GL271">SUMPRODUCT(--($CR$7:$FW$7&gt;=GL$5),--($CR$7:$FW$7&lt;=GL$6),$CR271:$FW271)*GD271</f>
        <v>0</v>
      </c>
      <c r="GM271" s="145" cm="1">
        <f t="array" ref="GM271">SUMPRODUCT(--($CR$7:$FW$7&gt;=GM$5),--($CR$7:$FW$7&lt;=GM$6),$CR271:$FW271)*GE271</f>
        <v>0</v>
      </c>
      <c r="GN271" s="145" cm="1">
        <f t="array" ref="GN271">SUMPRODUCT(--($CR$7:$FW$7&gt;=GN$5),--($CR$7:$FW$7&lt;=GN$6),$CR271:$FW271)*GF271</f>
        <v>0</v>
      </c>
      <c r="GO271" s="145">
        <f t="shared" si="4"/>
        <v>0</v>
      </c>
      <c r="GP271" s="87"/>
      <c r="GR271" s="145" cm="1">
        <f t="array" ref="GR271">SUMPRODUCT(--($CR$7:$FW$7&gt;=GR$5),--($CR$7:$FW$7&lt;=GR$6),$CR271:$FW271)</f>
        <v>0</v>
      </c>
    </row>
    <row r="272" spans="2:200" x14ac:dyDescent="0.2">
      <c r="B272" s="141"/>
      <c r="C272" s="141"/>
      <c r="D272" s="141"/>
      <c r="E272" s="141"/>
      <c r="F272" s="141"/>
      <c r="G272" s="141"/>
      <c r="H272" s="142"/>
      <c r="I272" s="126"/>
      <c r="J272" s="143"/>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3"/>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c r="EE272" s="145"/>
      <c r="EF272" s="145"/>
      <c r="EG272" s="145"/>
      <c r="EH272" s="145"/>
      <c r="EI272" s="145"/>
      <c r="EJ272" s="145"/>
      <c r="EK272" s="145"/>
      <c r="EL272" s="145"/>
      <c r="EM272" s="145"/>
      <c r="EN272" s="145"/>
      <c r="EO272" s="145"/>
      <c r="EP272" s="145"/>
      <c r="EQ272" s="145"/>
      <c r="ER272" s="145"/>
      <c r="ES272" s="145"/>
      <c r="ET272" s="145"/>
      <c r="EU272" s="145"/>
      <c r="EV272" s="145"/>
      <c r="EW272" s="145"/>
      <c r="EX272" s="145"/>
      <c r="EY272" s="145"/>
      <c r="EZ272" s="145"/>
      <c r="FA272" s="145"/>
      <c r="FB272" s="145"/>
      <c r="FC272" s="145"/>
      <c r="FD272" s="145"/>
      <c r="FE272" s="145"/>
      <c r="FF272" s="145"/>
      <c r="FG272" s="145"/>
      <c r="FH272" s="145"/>
      <c r="FI272" s="145"/>
      <c r="FJ272" s="145"/>
      <c r="FK272" s="145"/>
      <c r="FL272" s="145"/>
      <c r="FM272" s="145"/>
      <c r="FN272" s="145"/>
      <c r="FO272" s="145"/>
      <c r="FP272" s="145"/>
      <c r="FQ272" s="145"/>
      <c r="FR272" s="145"/>
      <c r="FS272" s="145"/>
      <c r="FT272" s="145"/>
      <c r="FU272" s="145"/>
      <c r="FV272" s="145"/>
      <c r="FW272" s="145"/>
      <c r="FX272" s="143"/>
      <c r="FY272" s="146">
        <f>_xlfn.XLOOKUP($E272,'Key assumptions'!$B$112:$B$120,'Key assumptions'!$C$112:$C$120,0)</f>
        <v>0</v>
      </c>
      <c r="FZ272" s="146" cm="1">
        <f t="array" ref="FZ272">IF($FY272=0,0,_xlfn.IFS($FY272='Key assumptions'!$C$120,_xlfn.XLOOKUP(LEFT(FZ$7,6),Inflation_Year,Inflation_NominaltoReal),TRUE,_xlfn.XLOOKUP($FY272,Inflation_Year,NominaltoReal)))</f>
        <v>0</v>
      </c>
      <c r="GA272" s="146" cm="1">
        <f t="array" ref="GA272">IF($FY272=0,0,_xlfn.IFS($FY272='Key assumptions'!$C$120,_xlfn.XLOOKUP(LEFT(GA$7,6),Inflation_Year,Inflation_NominaltoReal),TRUE,_xlfn.XLOOKUP($FY272,Inflation_Year,NominaltoReal)))</f>
        <v>0</v>
      </c>
      <c r="GB272" s="146" cm="1">
        <f t="array" ref="GB272">IF($FY272=0,0,_xlfn.IFS($FY272='Key assumptions'!$C$120,_xlfn.XLOOKUP(LEFT(GB$7,6),Inflation_Year,Inflation_NominaltoReal),TRUE,_xlfn.XLOOKUP($FY272,Inflation_Year,NominaltoReal)))</f>
        <v>0</v>
      </c>
      <c r="GC272" s="146" cm="1">
        <f t="array" ref="GC272">IF($FY272=0,0,_xlfn.IFS($FY272='Key assumptions'!$C$120,_xlfn.XLOOKUP(LEFT(GC$7,6),Inflation_Year,Inflation_NominaltoReal),TRUE,_xlfn.XLOOKUP($FY272,Inflation_Year,NominaltoReal)))</f>
        <v>0</v>
      </c>
      <c r="GD272" s="146" cm="1">
        <f t="array" ref="GD272">IF($FY272=0,0,_xlfn.IFS($FY272='Key assumptions'!$C$120,_xlfn.XLOOKUP(LEFT(GD$7,6),Inflation_Year,Inflation_NominaltoReal),TRUE,_xlfn.XLOOKUP($FY272,Inflation_Year,NominaltoReal)))</f>
        <v>0</v>
      </c>
      <c r="GE272" s="146" cm="1">
        <f t="array" ref="GE272">IF($FY272=0,0,_xlfn.IFS($FY272='Key assumptions'!$C$120,_xlfn.XLOOKUP(LEFT(GE$7,6),Inflation_Year,Inflation_NominaltoReal),TRUE,_xlfn.XLOOKUP($FY272,Inflation_Year,NominaltoReal)))</f>
        <v>0</v>
      </c>
      <c r="GF272" s="146" cm="1">
        <f t="array" ref="GF272">IF($FY272=0,0,_xlfn.IFS($FY272='Key assumptions'!$C$120,_xlfn.XLOOKUP(LEFT(GF$7,6),Inflation_Year,Inflation_NominaltoReal),TRUE,_xlfn.XLOOKUP($FY272,Inflation_Year,NominaltoReal)))</f>
        <v>0</v>
      </c>
      <c r="GG272" s="143"/>
      <c r="GH272" s="145" cm="1">
        <f t="array" ref="GH272">SUMPRODUCT(--($CR$7:$FW$7&gt;=GH$5),--($CR$7:$FW$7&lt;=GH$6),$CR272:$FW272)*FZ272</f>
        <v>0</v>
      </c>
      <c r="GI272" s="145" cm="1">
        <f t="array" ref="GI272">SUMPRODUCT(--($CR$7:$FW$7&gt;=GI$5),--($CR$7:$FW$7&lt;=GI$6),$CR272:$FW272)*GA272</f>
        <v>0</v>
      </c>
      <c r="GJ272" s="145" cm="1">
        <f t="array" ref="GJ272">SUMPRODUCT(--($CR$7:$FW$7&gt;=GJ$5),--($CR$7:$FW$7&lt;=GJ$6),$CR272:$FW272)*GB272</f>
        <v>0</v>
      </c>
      <c r="GK272" s="145" cm="1">
        <f t="array" ref="GK272">SUMPRODUCT(--($CR$7:$FW$7&gt;=GK$5),--($CR$7:$FW$7&lt;=GK$6),$CR272:$FW272)*GC272</f>
        <v>0</v>
      </c>
      <c r="GL272" s="145" cm="1">
        <f t="array" ref="GL272">SUMPRODUCT(--($CR$7:$FW$7&gt;=GL$5),--($CR$7:$FW$7&lt;=GL$6),$CR272:$FW272)*GD272</f>
        <v>0</v>
      </c>
      <c r="GM272" s="145" cm="1">
        <f t="array" ref="GM272">SUMPRODUCT(--($CR$7:$FW$7&gt;=GM$5),--($CR$7:$FW$7&lt;=GM$6),$CR272:$FW272)*GE272</f>
        <v>0</v>
      </c>
      <c r="GN272" s="145" cm="1">
        <f t="array" ref="GN272">SUMPRODUCT(--($CR$7:$FW$7&gt;=GN$5),--($CR$7:$FW$7&lt;=GN$6),$CR272:$FW272)*GF272</f>
        <v>0</v>
      </c>
      <c r="GO272" s="145">
        <f t="shared" si="4"/>
        <v>0</v>
      </c>
      <c r="GP272" s="87"/>
      <c r="GR272" s="145" cm="1">
        <f t="array" ref="GR272">SUMPRODUCT(--($CR$7:$FW$7&gt;=GR$5),--($CR$7:$FW$7&lt;=GR$6),$CR272:$FW272)</f>
        <v>0</v>
      </c>
    </row>
    <row r="273" spans="2:200" x14ac:dyDescent="0.2">
      <c r="B273" s="141"/>
      <c r="C273" s="141"/>
      <c r="D273" s="141"/>
      <c r="E273" s="141"/>
      <c r="F273" s="141"/>
      <c r="G273" s="141"/>
      <c r="H273" s="142"/>
      <c r="I273" s="126"/>
      <c r="J273" s="143"/>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3"/>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145"/>
      <c r="EH273" s="145"/>
      <c r="EI273" s="145"/>
      <c r="EJ273" s="145"/>
      <c r="EK273" s="145"/>
      <c r="EL273" s="145"/>
      <c r="EM273" s="145"/>
      <c r="EN273" s="145"/>
      <c r="EO273" s="145"/>
      <c r="EP273" s="145"/>
      <c r="EQ273" s="145"/>
      <c r="ER273" s="145"/>
      <c r="ES273" s="145"/>
      <c r="ET273" s="145"/>
      <c r="EU273" s="145"/>
      <c r="EV273" s="145"/>
      <c r="EW273" s="145"/>
      <c r="EX273" s="145"/>
      <c r="EY273" s="145"/>
      <c r="EZ273" s="145"/>
      <c r="FA273" s="145"/>
      <c r="FB273" s="145"/>
      <c r="FC273" s="145"/>
      <c r="FD273" s="145"/>
      <c r="FE273" s="145"/>
      <c r="FF273" s="145"/>
      <c r="FG273" s="145"/>
      <c r="FH273" s="145"/>
      <c r="FI273" s="145"/>
      <c r="FJ273" s="145"/>
      <c r="FK273" s="145"/>
      <c r="FL273" s="145"/>
      <c r="FM273" s="145"/>
      <c r="FN273" s="145"/>
      <c r="FO273" s="145"/>
      <c r="FP273" s="145"/>
      <c r="FQ273" s="145"/>
      <c r="FR273" s="145"/>
      <c r="FS273" s="145"/>
      <c r="FT273" s="145"/>
      <c r="FU273" s="145"/>
      <c r="FV273" s="145"/>
      <c r="FW273" s="145"/>
      <c r="FX273" s="143"/>
      <c r="FY273" s="146">
        <f>_xlfn.XLOOKUP($E273,'Key assumptions'!$B$112:$B$120,'Key assumptions'!$C$112:$C$120,0)</f>
        <v>0</v>
      </c>
      <c r="FZ273" s="146" cm="1">
        <f t="array" ref="FZ273">IF($FY273=0,0,_xlfn.IFS($FY273='Key assumptions'!$C$120,_xlfn.XLOOKUP(LEFT(FZ$7,6),Inflation_Year,Inflation_NominaltoReal),TRUE,_xlfn.XLOOKUP($FY273,Inflation_Year,NominaltoReal)))</f>
        <v>0</v>
      </c>
      <c r="GA273" s="146" cm="1">
        <f t="array" ref="GA273">IF($FY273=0,0,_xlfn.IFS($FY273='Key assumptions'!$C$120,_xlfn.XLOOKUP(LEFT(GA$7,6),Inflation_Year,Inflation_NominaltoReal),TRUE,_xlfn.XLOOKUP($FY273,Inflation_Year,NominaltoReal)))</f>
        <v>0</v>
      </c>
      <c r="GB273" s="146" cm="1">
        <f t="array" ref="GB273">IF($FY273=0,0,_xlfn.IFS($FY273='Key assumptions'!$C$120,_xlfn.XLOOKUP(LEFT(GB$7,6),Inflation_Year,Inflation_NominaltoReal),TRUE,_xlfn.XLOOKUP($FY273,Inflation_Year,NominaltoReal)))</f>
        <v>0</v>
      </c>
      <c r="GC273" s="146" cm="1">
        <f t="array" ref="GC273">IF($FY273=0,0,_xlfn.IFS($FY273='Key assumptions'!$C$120,_xlfn.XLOOKUP(LEFT(GC$7,6),Inflation_Year,Inflation_NominaltoReal),TRUE,_xlfn.XLOOKUP($FY273,Inflation_Year,NominaltoReal)))</f>
        <v>0</v>
      </c>
      <c r="GD273" s="146" cm="1">
        <f t="array" ref="GD273">IF($FY273=0,0,_xlfn.IFS($FY273='Key assumptions'!$C$120,_xlfn.XLOOKUP(LEFT(GD$7,6),Inflation_Year,Inflation_NominaltoReal),TRUE,_xlfn.XLOOKUP($FY273,Inflation_Year,NominaltoReal)))</f>
        <v>0</v>
      </c>
      <c r="GE273" s="146" cm="1">
        <f t="array" ref="GE273">IF($FY273=0,0,_xlfn.IFS($FY273='Key assumptions'!$C$120,_xlfn.XLOOKUP(LEFT(GE$7,6),Inflation_Year,Inflation_NominaltoReal),TRUE,_xlfn.XLOOKUP($FY273,Inflation_Year,NominaltoReal)))</f>
        <v>0</v>
      </c>
      <c r="GF273" s="146" cm="1">
        <f t="array" ref="GF273">IF($FY273=0,0,_xlfn.IFS($FY273='Key assumptions'!$C$120,_xlfn.XLOOKUP(LEFT(GF$7,6),Inflation_Year,Inflation_NominaltoReal),TRUE,_xlfn.XLOOKUP($FY273,Inflation_Year,NominaltoReal)))</f>
        <v>0</v>
      </c>
      <c r="GG273" s="143"/>
      <c r="GH273" s="145" cm="1">
        <f t="array" ref="GH273">SUMPRODUCT(--($CR$7:$FW$7&gt;=GH$5),--($CR$7:$FW$7&lt;=GH$6),$CR273:$FW273)*FZ273</f>
        <v>0</v>
      </c>
      <c r="GI273" s="145" cm="1">
        <f t="array" ref="GI273">SUMPRODUCT(--($CR$7:$FW$7&gt;=GI$5),--($CR$7:$FW$7&lt;=GI$6),$CR273:$FW273)*GA273</f>
        <v>0</v>
      </c>
      <c r="GJ273" s="145" cm="1">
        <f t="array" ref="GJ273">SUMPRODUCT(--($CR$7:$FW$7&gt;=GJ$5),--($CR$7:$FW$7&lt;=GJ$6),$CR273:$FW273)*GB273</f>
        <v>0</v>
      </c>
      <c r="GK273" s="145" cm="1">
        <f t="array" ref="GK273">SUMPRODUCT(--($CR$7:$FW$7&gt;=GK$5),--($CR$7:$FW$7&lt;=GK$6),$CR273:$FW273)*GC273</f>
        <v>0</v>
      </c>
      <c r="GL273" s="145" cm="1">
        <f t="array" ref="GL273">SUMPRODUCT(--($CR$7:$FW$7&gt;=GL$5),--($CR$7:$FW$7&lt;=GL$6),$CR273:$FW273)*GD273</f>
        <v>0</v>
      </c>
      <c r="GM273" s="145" cm="1">
        <f t="array" ref="GM273">SUMPRODUCT(--($CR$7:$FW$7&gt;=GM$5),--($CR$7:$FW$7&lt;=GM$6),$CR273:$FW273)*GE273</f>
        <v>0</v>
      </c>
      <c r="GN273" s="145" cm="1">
        <f t="array" ref="GN273">SUMPRODUCT(--($CR$7:$FW$7&gt;=GN$5),--($CR$7:$FW$7&lt;=GN$6),$CR273:$FW273)*GF273</f>
        <v>0</v>
      </c>
      <c r="GO273" s="145">
        <f t="shared" si="4"/>
        <v>0</v>
      </c>
      <c r="GP273" s="87"/>
      <c r="GR273" s="145" cm="1">
        <f t="array" ref="GR273">SUMPRODUCT(--($CR$7:$FW$7&gt;=GR$5),--($CR$7:$FW$7&lt;=GR$6),$CR273:$FW273)</f>
        <v>0</v>
      </c>
    </row>
    <row r="274" spans="2:200" x14ac:dyDescent="0.2">
      <c r="B274" s="141"/>
      <c r="C274" s="141"/>
      <c r="D274" s="141"/>
      <c r="E274" s="141"/>
      <c r="F274" s="141"/>
      <c r="G274" s="141"/>
      <c r="H274" s="142"/>
      <c r="I274" s="126"/>
      <c r="J274" s="143"/>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3"/>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c r="EE274" s="145"/>
      <c r="EF274" s="145"/>
      <c r="EG274" s="145"/>
      <c r="EH274" s="145"/>
      <c r="EI274" s="145"/>
      <c r="EJ274" s="145"/>
      <c r="EK274" s="145"/>
      <c r="EL274" s="145"/>
      <c r="EM274" s="145"/>
      <c r="EN274" s="145"/>
      <c r="EO274" s="145"/>
      <c r="EP274" s="145"/>
      <c r="EQ274" s="145"/>
      <c r="ER274" s="145"/>
      <c r="ES274" s="145"/>
      <c r="ET274" s="145"/>
      <c r="EU274" s="145"/>
      <c r="EV274" s="145"/>
      <c r="EW274" s="145"/>
      <c r="EX274" s="145"/>
      <c r="EY274" s="145"/>
      <c r="EZ274" s="145"/>
      <c r="FA274" s="145"/>
      <c r="FB274" s="145"/>
      <c r="FC274" s="145"/>
      <c r="FD274" s="145"/>
      <c r="FE274" s="145"/>
      <c r="FF274" s="145"/>
      <c r="FG274" s="145"/>
      <c r="FH274" s="145"/>
      <c r="FI274" s="145"/>
      <c r="FJ274" s="145"/>
      <c r="FK274" s="145"/>
      <c r="FL274" s="145"/>
      <c r="FM274" s="145"/>
      <c r="FN274" s="145"/>
      <c r="FO274" s="145"/>
      <c r="FP274" s="145"/>
      <c r="FQ274" s="145"/>
      <c r="FR274" s="145"/>
      <c r="FS274" s="145"/>
      <c r="FT274" s="145"/>
      <c r="FU274" s="145"/>
      <c r="FV274" s="145"/>
      <c r="FW274" s="145"/>
      <c r="FX274" s="143"/>
      <c r="FY274" s="146">
        <f>_xlfn.XLOOKUP($E274,'Key assumptions'!$B$112:$B$120,'Key assumptions'!$C$112:$C$120,0)</f>
        <v>0</v>
      </c>
      <c r="FZ274" s="146" cm="1">
        <f t="array" ref="FZ274">IF($FY274=0,0,_xlfn.IFS($FY274='Key assumptions'!$C$120,_xlfn.XLOOKUP(LEFT(FZ$7,6),Inflation_Year,Inflation_NominaltoReal),TRUE,_xlfn.XLOOKUP($FY274,Inflation_Year,NominaltoReal)))</f>
        <v>0</v>
      </c>
      <c r="GA274" s="146" cm="1">
        <f t="array" ref="GA274">IF($FY274=0,0,_xlfn.IFS($FY274='Key assumptions'!$C$120,_xlfn.XLOOKUP(LEFT(GA$7,6),Inflation_Year,Inflation_NominaltoReal),TRUE,_xlfn.XLOOKUP($FY274,Inflation_Year,NominaltoReal)))</f>
        <v>0</v>
      </c>
      <c r="GB274" s="146" cm="1">
        <f t="array" ref="GB274">IF($FY274=0,0,_xlfn.IFS($FY274='Key assumptions'!$C$120,_xlfn.XLOOKUP(LEFT(GB$7,6),Inflation_Year,Inflation_NominaltoReal),TRUE,_xlfn.XLOOKUP($FY274,Inflation_Year,NominaltoReal)))</f>
        <v>0</v>
      </c>
      <c r="GC274" s="146" cm="1">
        <f t="array" ref="GC274">IF($FY274=0,0,_xlfn.IFS($FY274='Key assumptions'!$C$120,_xlfn.XLOOKUP(LEFT(GC$7,6),Inflation_Year,Inflation_NominaltoReal),TRUE,_xlfn.XLOOKUP($FY274,Inflation_Year,NominaltoReal)))</f>
        <v>0</v>
      </c>
      <c r="GD274" s="146" cm="1">
        <f t="array" ref="GD274">IF($FY274=0,0,_xlfn.IFS($FY274='Key assumptions'!$C$120,_xlfn.XLOOKUP(LEFT(GD$7,6),Inflation_Year,Inflation_NominaltoReal),TRUE,_xlfn.XLOOKUP($FY274,Inflation_Year,NominaltoReal)))</f>
        <v>0</v>
      </c>
      <c r="GE274" s="146" cm="1">
        <f t="array" ref="GE274">IF($FY274=0,0,_xlfn.IFS($FY274='Key assumptions'!$C$120,_xlfn.XLOOKUP(LEFT(GE$7,6),Inflation_Year,Inflation_NominaltoReal),TRUE,_xlfn.XLOOKUP($FY274,Inflation_Year,NominaltoReal)))</f>
        <v>0</v>
      </c>
      <c r="GF274" s="146" cm="1">
        <f t="array" ref="GF274">IF($FY274=0,0,_xlfn.IFS($FY274='Key assumptions'!$C$120,_xlfn.XLOOKUP(LEFT(GF$7,6),Inflation_Year,Inflation_NominaltoReal),TRUE,_xlfn.XLOOKUP($FY274,Inflation_Year,NominaltoReal)))</f>
        <v>0</v>
      </c>
      <c r="GG274" s="143"/>
      <c r="GH274" s="145" cm="1">
        <f t="array" ref="GH274">SUMPRODUCT(--($CR$7:$FW$7&gt;=GH$5),--($CR$7:$FW$7&lt;=GH$6),$CR274:$FW274)*FZ274</f>
        <v>0</v>
      </c>
      <c r="GI274" s="145" cm="1">
        <f t="array" ref="GI274">SUMPRODUCT(--($CR$7:$FW$7&gt;=GI$5),--($CR$7:$FW$7&lt;=GI$6),$CR274:$FW274)*GA274</f>
        <v>0</v>
      </c>
      <c r="GJ274" s="145" cm="1">
        <f t="array" ref="GJ274">SUMPRODUCT(--($CR$7:$FW$7&gt;=GJ$5),--($CR$7:$FW$7&lt;=GJ$6),$CR274:$FW274)*GB274</f>
        <v>0</v>
      </c>
      <c r="GK274" s="145" cm="1">
        <f t="array" ref="GK274">SUMPRODUCT(--($CR$7:$FW$7&gt;=GK$5),--($CR$7:$FW$7&lt;=GK$6),$CR274:$FW274)*GC274</f>
        <v>0</v>
      </c>
      <c r="GL274" s="145" cm="1">
        <f t="array" ref="GL274">SUMPRODUCT(--($CR$7:$FW$7&gt;=GL$5),--($CR$7:$FW$7&lt;=GL$6),$CR274:$FW274)*GD274</f>
        <v>0</v>
      </c>
      <c r="GM274" s="145" cm="1">
        <f t="array" ref="GM274">SUMPRODUCT(--($CR$7:$FW$7&gt;=GM$5),--($CR$7:$FW$7&lt;=GM$6),$CR274:$FW274)*GE274</f>
        <v>0</v>
      </c>
      <c r="GN274" s="145" cm="1">
        <f t="array" ref="GN274">SUMPRODUCT(--($CR$7:$FW$7&gt;=GN$5),--($CR$7:$FW$7&lt;=GN$6),$CR274:$FW274)*GF274</f>
        <v>0</v>
      </c>
      <c r="GO274" s="145">
        <f t="shared" si="4"/>
        <v>0</v>
      </c>
      <c r="GP274" s="87"/>
      <c r="GR274" s="145" cm="1">
        <f t="array" ref="GR274">SUMPRODUCT(--($CR$7:$FW$7&gt;=GR$5),--($CR$7:$FW$7&lt;=GR$6),$CR274:$FW274)</f>
        <v>0</v>
      </c>
    </row>
    <row r="275" spans="2:200" x14ac:dyDescent="0.2">
      <c r="B275" s="141"/>
      <c r="C275" s="141"/>
      <c r="D275" s="141"/>
      <c r="E275" s="141"/>
      <c r="F275" s="141"/>
      <c r="G275" s="141"/>
      <c r="H275" s="142"/>
      <c r="I275" s="126"/>
      <c r="J275" s="143"/>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3"/>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c r="EE275" s="145"/>
      <c r="EF275" s="145"/>
      <c r="EG275" s="145"/>
      <c r="EH275" s="145"/>
      <c r="EI275" s="145"/>
      <c r="EJ275" s="145"/>
      <c r="EK275" s="145"/>
      <c r="EL275" s="145"/>
      <c r="EM275" s="145"/>
      <c r="EN275" s="145"/>
      <c r="EO275" s="145"/>
      <c r="EP275" s="145"/>
      <c r="EQ275" s="145"/>
      <c r="ER275" s="145"/>
      <c r="ES275" s="145"/>
      <c r="ET275" s="145"/>
      <c r="EU275" s="145"/>
      <c r="EV275" s="145"/>
      <c r="EW275" s="145"/>
      <c r="EX275" s="145"/>
      <c r="EY275" s="145"/>
      <c r="EZ275" s="145"/>
      <c r="FA275" s="145"/>
      <c r="FB275" s="145"/>
      <c r="FC275" s="145"/>
      <c r="FD275" s="145"/>
      <c r="FE275" s="145"/>
      <c r="FF275" s="145"/>
      <c r="FG275" s="145"/>
      <c r="FH275" s="145"/>
      <c r="FI275" s="145"/>
      <c r="FJ275" s="145"/>
      <c r="FK275" s="145"/>
      <c r="FL275" s="145"/>
      <c r="FM275" s="145"/>
      <c r="FN275" s="145"/>
      <c r="FO275" s="145"/>
      <c r="FP275" s="145"/>
      <c r="FQ275" s="145"/>
      <c r="FR275" s="145"/>
      <c r="FS275" s="145"/>
      <c r="FT275" s="145"/>
      <c r="FU275" s="145"/>
      <c r="FV275" s="145"/>
      <c r="FW275" s="145"/>
      <c r="FX275" s="143"/>
      <c r="FY275" s="146">
        <f>_xlfn.XLOOKUP($E275,'Key assumptions'!$B$112:$B$120,'Key assumptions'!$C$112:$C$120,0)</f>
        <v>0</v>
      </c>
      <c r="FZ275" s="146" cm="1">
        <f t="array" ref="FZ275">IF($FY275=0,0,_xlfn.IFS($FY275='Key assumptions'!$C$120,_xlfn.XLOOKUP(LEFT(FZ$7,6),Inflation_Year,Inflation_NominaltoReal),TRUE,_xlfn.XLOOKUP($FY275,Inflation_Year,NominaltoReal)))</f>
        <v>0</v>
      </c>
      <c r="GA275" s="146" cm="1">
        <f t="array" ref="GA275">IF($FY275=0,0,_xlfn.IFS($FY275='Key assumptions'!$C$120,_xlfn.XLOOKUP(LEFT(GA$7,6),Inflation_Year,Inflation_NominaltoReal),TRUE,_xlfn.XLOOKUP($FY275,Inflation_Year,NominaltoReal)))</f>
        <v>0</v>
      </c>
      <c r="GB275" s="146" cm="1">
        <f t="array" ref="GB275">IF($FY275=0,0,_xlfn.IFS($FY275='Key assumptions'!$C$120,_xlfn.XLOOKUP(LEFT(GB$7,6),Inflation_Year,Inflation_NominaltoReal),TRUE,_xlfn.XLOOKUP($FY275,Inflation_Year,NominaltoReal)))</f>
        <v>0</v>
      </c>
      <c r="GC275" s="146" cm="1">
        <f t="array" ref="GC275">IF($FY275=0,0,_xlfn.IFS($FY275='Key assumptions'!$C$120,_xlfn.XLOOKUP(LEFT(GC$7,6),Inflation_Year,Inflation_NominaltoReal),TRUE,_xlfn.XLOOKUP($FY275,Inflation_Year,NominaltoReal)))</f>
        <v>0</v>
      </c>
      <c r="GD275" s="146" cm="1">
        <f t="array" ref="GD275">IF($FY275=0,0,_xlfn.IFS($FY275='Key assumptions'!$C$120,_xlfn.XLOOKUP(LEFT(GD$7,6),Inflation_Year,Inflation_NominaltoReal),TRUE,_xlfn.XLOOKUP($FY275,Inflation_Year,NominaltoReal)))</f>
        <v>0</v>
      </c>
      <c r="GE275" s="146" cm="1">
        <f t="array" ref="GE275">IF($FY275=0,0,_xlfn.IFS($FY275='Key assumptions'!$C$120,_xlfn.XLOOKUP(LEFT(GE$7,6),Inflation_Year,Inflation_NominaltoReal),TRUE,_xlfn.XLOOKUP($FY275,Inflation_Year,NominaltoReal)))</f>
        <v>0</v>
      </c>
      <c r="GF275" s="146" cm="1">
        <f t="array" ref="GF275">IF($FY275=0,0,_xlfn.IFS($FY275='Key assumptions'!$C$120,_xlfn.XLOOKUP(LEFT(GF$7,6),Inflation_Year,Inflation_NominaltoReal),TRUE,_xlfn.XLOOKUP($FY275,Inflation_Year,NominaltoReal)))</f>
        <v>0</v>
      </c>
      <c r="GG275" s="143"/>
      <c r="GH275" s="145" cm="1">
        <f t="array" ref="GH275">SUMPRODUCT(--($CR$7:$FW$7&gt;=GH$5),--($CR$7:$FW$7&lt;=GH$6),$CR275:$FW275)*FZ275</f>
        <v>0</v>
      </c>
      <c r="GI275" s="145" cm="1">
        <f t="array" ref="GI275">SUMPRODUCT(--($CR$7:$FW$7&gt;=GI$5),--($CR$7:$FW$7&lt;=GI$6),$CR275:$FW275)*GA275</f>
        <v>0</v>
      </c>
      <c r="GJ275" s="145" cm="1">
        <f t="array" ref="GJ275">SUMPRODUCT(--($CR$7:$FW$7&gt;=GJ$5),--($CR$7:$FW$7&lt;=GJ$6),$CR275:$FW275)*GB275</f>
        <v>0</v>
      </c>
      <c r="GK275" s="145" cm="1">
        <f t="array" ref="GK275">SUMPRODUCT(--($CR$7:$FW$7&gt;=GK$5),--($CR$7:$FW$7&lt;=GK$6),$CR275:$FW275)*GC275</f>
        <v>0</v>
      </c>
      <c r="GL275" s="145" cm="1">
        <f t="array" ref="GL275">SUMPRODUCT(--($CR$7:$FW$7&gt;=GL$5),--($CR$7:$FW$7&lt;=GL$6),$CR275:$FW275)*GD275</f>
        <v>0</v>
      </c>
      <c r="GM275" s="145" cm="1">
        <f t="array" ref="GM275">SUMPRODUCT(--($CR$7:$FW$7&gt;=GM$5),--($CR$7:$FW$7&lt;=GM$6),$CR275:$FW275)*GE275</f>
        <v>0</v>
      </c>
      <c r="GN275" s="145" cm="1">
        <f t="array" ref="GN275">SUMPRODUCT(--($CR$7:$FW$7&gt;=GN$5),--($CR$7:$FW$7&lt;=GN$6),$CR275:$FW275)*GF275</f>
        <v>0</v>
      </c>
      <c r="GO275" s="145">
        <f t="shared" si="4"/>
        <v>0</v>
      </c>
      <c r="GP275" s="87"/>
      <c r="GR275" s="145" cm="1">
        <f t="array" ref="GR275">SUMPRODUCT(--($CR$7:$FW$7&gt;=GR$5),--($CR$7:$FW$7&lt;=GR$6),$CR275:$FW275)</f>
        <v>0</v>
      </c>
    </row>
    <row r="276" spans="2:200" x14ac:dyDescent="0.2">
      <c r="B276" s="141"/>
      <c r="C276" s="141"/>
      <c r="D276" s="141"/>
      <c r="E276" s="141"/>
      <c r="F276" s="141"/>
      <c r="G276" s="141"/>
      <c r="H276" s="142"/>
      <c r="I276" s="126"/>
      <c r="J276" s="143"/>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3"/>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c r="EE276" s="145"/>
      <c r="EF276" s="145"/>
      <c r="EG276" s="145"/>
      <c r="EH276" s="145"/>
      <c r="EI276" s="145"/>
      <c r="EJ276" s="145"/>
      <c r="EK276" s="145"/>
      <c r="EL276" s="145"/>
      <c r="EM276" s="145"/>
      <c r="EN276" s="145"/>
      <c r="EO276" s="145"/>
      <c r="EP276" s="145"/>
      <c r="EQ276" s="145"/>
      <c r="ER276" s="145"/>
      <c r="ES276" s="145"/>
      <c r="ET276" s="145"/>
      <c r="EU276" s="145"/>
      <c r="EV276" s="145"/>
      <c r="EW276" s="145"/>
      <c r="EX276" s="145"/>
      <c r="EY276" s="145"/>
      <c r="EZ276" s="145"/>
      <c r="FA276" s="145"/>
      <c r="FB276" s="145"/>
      <c r="FC276" s="145"/>
      <c r="FD276" s="145"/>
      <c r="FE276" s="145"/>
      <c r="FF276" s="145"/>
      <c r="FG276" s="145"/>
      <c r="FH276" s="145"/>
      <c r="FI276" s="145"/>
      <c r="FJ276" s="145"/>
      <c r="FK276" s="145"/>
      <c r="FL276" s="145"/>
      <c r="FM276" s="145"/>
      <c r="FN276" s="145"/>
      <c r="FO276" s="145"/>
      <c r="FP276" s="145"/>
      <c r="FQ276" s="145"/>
      <c r="FR276" s="145"/>
      <c r="FS276" s="145"/>
      <c r="FT276" s="145"/>
      <c r="FU276" s="145"/>
      <c r="FV276" s="145"/>
      <c r="FW276" s="145"/>
      <c r="FX276" s="143"/>
      <c r="FY276" s="146">
        <f>_xlfn.XLOOKUP($E276,'Key assumptions'!$B$112:$B$120,'Key assumptions'!$C$112:$C$120,0)</f>
        <v>0</v>
      </c>
      <c r="FZ276" s="146" cm="1">
        <f t="array" ref="FZ276">IF($FY276=0,0,_xlfn.IFS($FY276='Key assumptions'!$C$120,_xlfn.XLOOKUP(LEFT(FZ$7,6),Inflation_Year,Inflation_NominaltoReal),TRUE,_xlfn.XLOOKUP($FY276,Inflation_Year,NominaltoReal)))</f>
        <v>0</v>
      </c>
      <c r="GA276" s="146" cm="1">
        <f t="array" ref="GA276">IF($FY276=0,0,_xlfn.IFS($FY276='Key assumptions'!$C$120,_xlfn.XLOOKUP(LEFT(GA$7,6),Inflation_Year,Inflation_NominaltoReal),TRUE,_xlfn.XLOOKUP($FY276,Inflation_Year,NominaltoReal)))</f>
        <v>0</v>
      </c>
      <c r="GB276" s="146" cm="1">
        <f t="array" ref="GB276">IF($FY276=0,0,_xlfn.IFS($FY276='Key assumptions'!$C$120,_xlfn.XLOOKUP(LEFT(GB$7,6),Inflation_Year,Inflation_NominaltoReal),TRUE,_xlfn.XLOOKUP($FY276,Inflation_Year,NominaltoReal)))</f>
        <v>0</v>
      </c>
      <c r="GC276" s="146" cm="1">
        <f t="array" ref="GC276">IF($FY276=0,0,_xlfn.IFS($FY276='Key assumptions'!$C$120,_xlfn.XLOOKUP(LEFT(GC$7,6),Inflation_Year,Inflation_NominaltoReal),TRUE,_xlfn.XLOOKUP($FY276,Inflation_Year,NominaltoReal)))</f>
        <v>0</v>
      </c>
      <c r="GD276" s="146" cm="1">
        <f t="array" ref="GD276">IF($FY276=0,0,_xlfn.IFS($FY276='Key assumptions'!$C$120,_xlfn.XLOOKUP(LEFT(GD$7,6),Inflation_Year,Inflation_NominaltoReal),TRUE,_xlfn.XLOOKUP($FY276,Inflation_Year,NominaltoReal)))</f>
        <v>0</v>
      </c>
      <c r="GE276" s="146" cm="1">
        <f t="array" ref="GE276">IF($FY276=0,0,_xlfn.IFS($FY276='Key assumptions'!$C$120,_xlfn.XLOOKUP(LEFT(GE$7,6),Inflation_Year,Inflation_NominaltoReal),TRUE,_xlfn.XLOOKUP($FY276,Inflation_Year,NominaltoReal)))</f>
        <v>0</v>
      </c>
      <c r="GF276" s="146" cm="1">
        <f t="array" ref="GF276">IF($FY276=0,0,_xlfn.IFS($FY276='Key assumptions'!$C$120,_xlfn.XLOOKUP(LEFT(GF$7,6),Inflation_Year,Inflation_NominaltoReal),TRUE,_xlfn.XLOOKUP($FY276,Inflation_Year,NominaltoReal)))</f>
        <v>0</v>
      </c>
      <c r="GG276" s="143"/>
      <c r="GH276" s="145" cm="1">
        <f t="array" ref="GH276">SUMPRODUCT(--($CR$7:$FW$7&gt;=GH$5),--($CR$7:$FW$7&lt;=GH$6),$CR276:$FW276)*FZ276</f>
        <v>0</v>
      </c>
      <c r="GI276" s="145" cm="1">
        <f t="array" ref="GI276">SUMPRODUCT(--($CR$7:$FW$7&gt;=GI$5),--($CR$7:$FW$7&lt;=GI$6),$CR276:$FW276)*GA276</f>
        <v>0</v>
      </c>
      <c r="GJ276" s="145" cm="1">
        <f t="array" ref="GJ276">SUMPRODUCT(--($CR$7:$FW$7&gt;=GJ$5),--($CR$7:$FW$7&lt;=GJ$6),$CR276:$FW276)*GB276</f>
        <v>0</v>
      </c>
      <c r="GK276" s="145" cm="1">
        <f t="array" ref="GK276">SUMPRODUCT(--($CR$7:$FW$7&gt;=GK$5),--($CR$7:$FW$7&lt;=GK$6),$CR276:$FW276)*GC276</f>
        <v>0</v>
      </c>
      <c r="GL276" s="145" cm="1">
        <f t="array" ref="GL276">SUMPRODUCT(--($CR$7:$FW$7&gt;=GL$5),--($CR$7:$FW$7&lt;=GL$6),$CR276:$FW276)*GD276</f>
        <v>0</v>
      </c>
      <c r="GM276" s="145" cm="1">
        <f t="array" ref="GM276">SUMPRODUCT(--($CR$7:$FW$7&gt;=GM$5),--($CR$7:$FW$7&lt;=GM$6),$CR276:$FW276)*GE276</f>
        <v>0</v>
      </c>
      <c r="GN276" s="145" cm="1">
        <f t="array" ref="GN276">SUMPRODUCT(--($CR$7:$FW$7&gt;=GN$5),--($CR$7:$FW$7&lt;=GN$6),$CR276:$FW276)*GF276</f>
        <v>0</v>
      </c>
      <c r="GO276" s="145">
        <f t="shared" si="4"/>
        <v>0</v>
      </c>
      <c r="GP276" s="87"/>
      <c r="GR276" s="145" cm="1">
        <f t="array" ref="GR276">SUMPRODUCT(--($CR$7:$FW$7&gt;=GR$5),--($CR$7:$FW$7&lt;=GR$6),$CR276:$FW276)</f>
        <v>0</v>
      </c>
    </row>
    <row r="277" spans="2:200" x14ac:dyDescent="0.2">
      <c r="B277" s="141"/>
      <c r="C277" s="141"/>
      <c r="D277" s="141"/>
      <c r="E277" s="141"/>
      <c r="F277" s="141"/>
      <c r="G277" s="141"/>
      <c r="H277" s="142"/>
      <c r="I277" s="126"/>
      <c r="J277" s="143"/>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3"/>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c r="EE277" s="145"/>
      <c r="EF277" s="145"/>
      <c r="EG277" s="145"/>
      <c r="EH277" s="145"/>
      <c r="EI277" s="145"/>
      <c r="EJ277" s="145"/>
      <c r="EK277" s="145"/>
      <c r="EL277" s="145"/>
      <c r="EM277" s="145"/>
      <c r="EN277" s="145"/>
      <c r="EO277" s="145"/>
      <c r="EP277" s="145"/>
      <c r="EQ277" s="145"/>
      <c r="ER277" s="145"/>
      <c r="ES277" s="145"/>
      <c r="ET277" s="145"/>
      <c r="EU277" s="145"/>
      <c r="EV277" s="145"/>
      <c r="EW277" s="145"/>
      <c r="EX277" s="145"/>
      <c r="EY277" s="145"/>
      <c r="EZ277" s="145"/>
      <c r="FA277" s="145"/>
      <c r="FB277" s="145"/>
      <c r="FC277" s="145"/>
      <c r="FD277" s="145"/>
      <c r="FE277" s="145"/>
      <c r="FF277" s="145"/>
      <c r="FG277" s="145"/>
      <c r="FH277" s="145"/>
      <c r="FI277" s="145"/>
      <c r="FJ277" s="145"/>
      <c r="FK277" s="145"/>
      <c r="FL277" s="145"/>
      <c r="FM277" s="145"/>
      <c r="FN277" s="145"/>
      <c r="FO277" s="145"/>
      <c r="FP277" s="145"/>
      <c r="FQ277" s="145"/>
      <c r="FR277" s="145"/>
      <c r="FS277" s="145"/>
      <c r="FT277" s="145"/>
      <c r="FU277" s="145"/>
      <c r="FV277" s="145"/>
      <c r="FW277" s="145"/>
      <c r="FX277" s="143"/>
      <c r="FY277" s="146">
        <f>_xlfn.XLOOKUP($E277,'Key assumptions'!$B$112:$B$120,'Key assumptions'!$C$112:$C$120,0)</f>
        <v>0</v>
      </c>
      <c r="FZ277" s="146" cm="1">
        <f t="array" ref="FZ277">IF($FY277=0,0,_xlfn.IFS($FY277='Key assumptions'!$C$120,_xlfn.XLOOKUP(LEFT(FZ$7,6),Inflation_Year,Inflation_NominaltoReal),TRUE,_xlfn.XLOOKUP($FY277,Inflation_Year,NominaltoReal)))</f>
        <v>0</v>
      </c>
      <c r="GA277" s="146" cm="1">
        <f t="array" ref="GA277">IF($FY277=0,0,_xlfn.IFS($FY277='Key assumptions'!$C$120,_xlfn.XLOOKUP(LEFT(GA$7,6),Inflation_Year,Inflation_NominaltoReal),TRUE,_xlfn.XLOOKUP($FY277,Inflation_Year,NominaltoReal)))</f>
        <v>0</v>
      </c>
      <c r="GB277" s="146" cm="1">
        <f t="array" ref="GB277">IF($FY277=0,0,_xlfn.IFS($FY277='Key assumptions'!$C$120,_xlfn.XLOOKUP(LEFT(GB$7,6),Inflation_Year,Inflation_NominaltoReal),TRUE,_xlfn.XLOOKUP($FY277,Inflation_Year,NominaltoReal)))</f>
        <v>0</v>
      </c>
      <c r="GC277" s="146" cm="1">
        <f t="array" ref="GC277">IF($FY277=0,0,_xlfn.IFS($FY277='Key assumptions'!$C$120,_xlfn.XLOOKUP(LEFT(GC$7,6),Inflation_Year,Inflation_NominaltoReal),TRUE,_xlfn.XLOOKUP($FY277,Inflation_Year,NominaltoReal)))</f>
        <v>0</v>
      </c>
      <c r="GD277" s="146" cm="1">
        <f t="array" ref="GD277">IF($FY277=0,0,_xlfn.IFS($FY277='Key assumptions'!$C$120,_xlfn.XLOOKUP(LEFT(GD$7,6),Inflation_Year,Inflation_NominaltoReal),TRUE,_xlfn.XLOOKUP($FY277,Inflation_Year,NominaltoReal)))</f>
        <v>0</v>
      </c>
      <c r="GE277" s="146" cm="1">
        <f t="array" ref="GE277">IF($FY277=0,0,_xlfn.IFS($FY277='Key assumptions'!$C$120,_xlfn.XLOOKUP(LEFT(GE$7,6),Inflation_Year,Inflation_NominaltoReal),TRUE,_xlfn.XLOOKUP($FY277,Inflation_Year,NominaltoReal)))</f>
        <v>0</v>
      </c>
      <c r="GF277" s="146" cm="1">
        <f t="array" ref="GF277">IF($FY277=0,0,_xlfn.IFS($FY277='Key assumptions'!$C$120,_xlfn.XLOOKUP(LEFT(GF$7,6),Inflation_Year,Inflation_NominaltoReal),TRUE,_xlfn.XLOOKUP($FY277,Inflation_Year,NominaltoReal)))</f>
        <v>0</v>
      </c>
      <c r="GG277" s="143"/>
      <c r="GH277" s="145" cm="1">
        <f t="array" ref="GH277">SUMPRODUCT(--($CR$7:$FW$7&gt;=GH$5),--($CR$7:$FW$7&lt;=GH$6),$CR277:$FW277)*FZ277</f>
        <v>0</v>
      </c>
      <c r="GI277" s="145" cm="1">
        <f t="array" ref="GI277">SUMPRODUCT(--($CR$7:$FW$7&gt;=GI$5),--($CR$7:$FW$7&lt;=GI$6),$CR277:$FW277)*GA277</f>
        <v>0</v>
      </c>
      <c r="GJ277" s="145" cm="1">
        <f t="array" ref="GJ277">SUMPRODUCT(--($CR$7:$FW$7&gt;=GJ$5),--($CR$7:$FW$7&lt;=GJ$6),$CR277:$FW277)*GB277</f>
        <v>0</v>
      </c>
      <c r="GK277" s="145" cm="1">
        <f t="array" ref="GK277">SUMPRODUCT(--($CR$7:$FW$7&gt;=GK$5),--($CR$7:$FW$7&lt;=GK$6),$CR277:$FW277)*GC277</f>
        <v>0</v>
      </c>
      <c r="GL277" s="145" cm="1">
        <f t="array" ref="GL277">SUMPRODUCT(--($CR$7:$FW$7&gt;=GL$5),--($CR$7:$FW$7&lt;=GL$6),$CR277:$FW277)*GD277</f>
        <v>0</v>
      </c>
      <c r="GM277" s="145" cm="1">
        <f t="array" ref="GM277">SUMPRODUCT(--($CR$7:$FW$7&gt;=GM$5),--($CR$7:$FW$7&lt;=GM$6),$CR277:$FW277)*GE277</f>
        <v>0</v>
      </c>
      <c r="GN277" s="145" cm="1">
        <f t="array" ref="GN277">SUMPRODUCT(--($CR$7:$FW$7&gt;=GN$5),--($CR$7:$FW$7&lt;=GN$6),$CR277:$FW277)*GF277</f>
        <v>0</v>
      </c>
      <c r="GO277" s="145">
        <f t="shared" si="4"/>
        <v>0</v>
      </c>
      <c r="GP277" s="87"/>
      <c r="GR277" s="145" cm="1">
        <f t="array" ref="GR277">SUMPRODUCT(--($CR$7:$FW$7&gt;=GR$5),--($CR$7:$FW$7&lt;=GR$6),$CR277:$FW277)</f>
        <v>0</v>
      </c>
    </row>
    <row r="278" spans="2:200" x14ac:dyDescent="0.2">
      <c r="B278" s="141"/>
      <c r="C278" s="141"/>
      <c r="D278" s="141"/>
      <c r="E278" s="141"/>
      <c r="F278" s="141"/>
      <c r="G278" s="141"/>
      <c r="H278" s="142"/>
      <c r="I278" s="126"/>
      <c r="J278" s="143"/>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3"/>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c r="EE278" s="145"/>
      <c r="EF278" s="145"/>
      <c r="EG278" s="145"/>
      <c r="EH278" s="145"/>
      <c r="EI278" s="145"/>
      <c r="EJ278" s="145"/>
      <c r="EK278" s="145"/>
      <c r="EL278" s="145"/>
      <c r="EM278" s="145"/>
      <c r="EN278" s="145"/>
      <c r="EO278" s="145"/>
      <c r="EP278" s="145"/>
      <c r="EQ278" s="145"/>
      <c r="ER278" s="145"/>
      <c r="ES278" s="145"/>
      <c r="ET278" s="145"/>
      <c r="EU278" s="145"/>
      <c r="EV278" s="145"/>
      <c r="EW278" s="145"/>
      <c r="EX278" s="145"/>
      <c r="EY278" s="145"/>
      <c r="EZ278" s="145"/>
      <c r="FA278" s="145"/>
      <c r="FB278" s="145"/>
      <c r="FC278" s="145"/>
      <c r="FD278" s="145"/>
      <c r="FE278" s="145"/>
      <c r="FF278" s="145"/>
      <c r="FG278" s="145"/>
      <c r="FH278" s="145"/>
      <c r="FI278" s="145"/>
      <c r="FJ278" s="145"/>
      <c r="FK278" s="145"/>
      <c r="FL278" s="145"/>
      <c r="FM278" s="145"/>
      <c r="FN278" s="145"/>
      <c r="FO278" s="145"/>
      <c r="FP278" s="145"/>
      <c r="FQ278" s="145"/>
      <c r="FR278" s="145"/>
      <c r="FS278" s="145"/>
      <c r="FT278" s="145"/>
      <c r="FU278" s="145"/>
      <c r="FV278" s="145"/>
      <c r="FW278" s="145"/>
      <c r="FX278" s="143"/>
      <c r="FY278" s="146">
        <f>_xlfn.XLOOKUP($E278,'Key assumptions'!$B$112:$B$120,'Key assumptions'!$C$112:$C$120,0)</f>
        <v>0</v>
      </c>
      <c r="FZ278" s="146" cm="1">
        <f t="array" ref="FZ278">IF($FY278=0,0,_xlfn.IFS($FY278='Key assumptions'!$C$120,_xlfn.XLOOKUP(LEFT(FZ$7,6),Inflation_Year,Inflation_NominaltoReal),TRUE,_xlfn.XLOOKUP($FY278,Inflation_Year,NominaltoReal)))</f>
        <v>0</v>
      </c>
      <c r="GA278" s="146" cm="1">
        <f t="array" ref="GA278">IF($FY278=0,0,_xlfn.IFS($FY278='Key assumptions'!$C$120,_xlfn.XLOOKUP(LEFT(GA$7,6),Inflation_Year,Inflation_NominaltoReal),TRUE,_xlfn.XLOOKUP($FY278,Inflation_Year,NominaltoReal)))</f>
        <v>0</v>
      </c>
      <c r="GB278" s="146" cm="1">
        <f t="array" ref="GB278">IF($FY278=0,0,_xlfn.IFS($FY278='Key assumptions'!$C$120,_xlfn.XLOOKUP(LEFT(GB$7,6),Inflation_Year,Inflation_NominaltoReal),TRUE,_xlfn.XLOOKUP($FY278,Inflation_Year,NominaltoReal)))</f>
        <v>0</v>
      </c>
      <c r="GC278" s="146" cm="1">
        <f t="array" ref="GC278">IF($FY278=0,0,_xlfn.IFS($FY278='Key assumptions'!$C$120,_xlfn.XLOOKUP(LEFT(GC$7,6),Inflation_Year,Inflation_NominaltoReal),TRUE,_xlfn.XLOOKUP($FY278,Inflation_Year,NominaltoReal)))</f>
        <v>0</v>
      </c>
      <c r="GD278" s="146" cm="1">
        <f t="array" ref="GD278">IF($FY278=0,0,_xlfn.IFS($FY278='Key assumptions'!$C$120,_xlfn.XLOOKUP(LEFT(GD$7,6),Inflation_Year,Inflation_NominaltoReal),TRUE,_xlfn.XLOOKUP($FY278,Inflation_Year,NominaltoReal)))</f>
        <v>0</v>
      </c>
      <c r="GE278" s="146" cm="1">
        <f t="array" ref="GE278">IF($FY278=0,0,_xlfn.IFS($FY278='Key assumptions'!$C$120,_xlfn.XLOOKUP(LEFT(GE$7,6),Inflation_Year,Inflation_NominaltoReal),TRUE,_xlfn.XLOOKUP($FY278,Inflation_Year,NominaltoReal)))</f>
        <v>0</v>
      </c>
      <c r="GF278" s="146" cm="1">
        <f t="array" ref="GF278">IF($FY278=0,0,_xlfn.IFS($FY278='Key assumptions'!$C$120,_xlfn.XLOOKUP(LEFT(GF$7,6),Inflation_Year,Inflation_NominaltoReal),TRUE,_xlfn.XLOOKUP($FY278,Inflation_Year,NominaltoReal)))</f>
        <v>0</v>
      </c>
      <c r="GG278" s="143"/>
      <c r="GH278" s="145" cm="1">
        <f t="array" ref="GH278">SUMPRODUCT(--($CR$7:$FW$7&gt;=GH$5),--($CR$7:$FW$7&lt;=GH$6),$CR278:$FW278)*FZ278</f>
        <v>0</v>
      </c>
      <c r="GI278" s="145" cm="1">
        <f t="array" ref="GI278">SUMPRODUCT(--($CR$7:$FW$7&gt;=GI$5),--($CR$7:$FW$7&lt;=GI$6),$CR278:$FW278)*GA278</f>
        <v>0</v>
      </c>
      <c r="GJ278" s="145" cm="1">
        <f t="array" ref="GJ278">SUMPRODUCT(--($CR$7:$FW$7&gt;=GJ$5),--($CR$7:$FW$7&lt;=GJ$6),$CR278:$FW278)*GB278</f>
        <v>0</v>
      </c>
      <c r="GK278" s="145" cm="1">
        <f t="array" ref="GK278">SUMPRODUCT(--($CR$7:$FW$7&gt;=GK$5),--($CR$7:$FW$7&lt;=GK$6),$CR278:$FW278)*GC278</f>
        <v>0</v>
      </c>
      <c r="GL278" s="145" cm="1">
        <f t="array" ref="GL278">SUMPRODUCT(--($CR$7:$FW$7&gt;=GL$5),--($CR$7:$FW$7&lt;=GL$6),$CR278:$FW278)*GD278</f>
        <v>0</v>
      </c>
      <c r="GM278" s="145" cm="1">
        <f t="array" ref="GM278">SUMPRODUCT(--($CR$7:$FW$7&gt;=GM$5),--($CR$7:$FW$7&lt;=GM$6),$CR278:$FW278)*GE278</f>
        <v>0</v>
      </c>
      <c r="GN278" s="145" cm="1">
        <f t="array" ref="GN278">SUMPRODUCT(--($CR$7:$FW$7&gt;=GN$5),--($CR$7:$FW$7&lt;=GN$6),$CR278:$FW278)*GF278</f>
        <v>0</v>
      </c>
      <c r="GO278" s="145">
        <f t="shared" si="4"/>
        <v>0</v>
      </c>
      <c r="GP278" s="87"/>
      <c r="GR278" s="145" cm="1">
        <f t="array" ref="GR278">SUMPRODUCT(--($CR$7:$FW$7&gt;=GR$5),--($CR$7:$FW$7&lt;=GR$6),$CR278:$FW278)</f>
        <v>0</v>
      </c>
    </row>
    <row r="279" spans="2:200" x14ac:dyDescent="0.2">
      <c r="B279" s="141"/>
      <c r="C279" s="141"/>
      <c r="D279" s="141"/>
      <c r="E279" s="141"/>
      <c r="F279" s="141"/>
      <c r="G279" s="141"/>
      <c r="H279" s="142"/>
      <c r="I279" s="126"/>
      <c r="J279" s="143"/>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3"/>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c r="EE279" s="145"/>
      <c r="EF279" s="145"/>
      <c r="EG279" s="145"/>
      <c r="EH279" s="145"/>
      <c r="EI279" s="145"/>
      <c r="EJ279" s="145"/>
      <c r="EK279" s="145"/>
      <c r="EL279" s="145"/>
      <c r="EM279" s="145"/>
      <c r="EN279" s="145"/>
      <c r="EO279" s="145"/>
      <c r="EP279" s="145"/>
      <c r="EQ279" s="145"/>
      <c r="ER279" s="145"/>
      <c r="ES279" s="145"/>
      <c r="ET279" s="145"/>
      <c r="EU279" s="145"/>
      <c r="EV279" s="145"/>
      <c r="EW279" s="145"/>
      <c r="EX279" s="145"/>
      <c r="EY279" s="145"/>
      <c r="EZ279" s="145"/>
      <c r="FA279" s="145"/>
      <c r="FB279" s="145"/>
      <c r="FC279" s="145"/>
      <c r="FD279" s="145"/>
      <c r="FE279" s="145"/>
      <c r="FF279" s="145"/>
      <c r="FG279" s="145"/>
      <c r="FH279" s="145"/>
      <c r="FI279" s="145"/>
      <c r="FJ279" s="145"/>
      <c r="FK279" s="145"/>
      <c r="FL279" s="145"/>
      <c r="FM279" s="145"/>
      <c r="FN279" s="145"/>
      <c r="FO279" s="145"/>
      <c r="FP279" s="145"/>
      <c r="FQ279" s="145"/>
      <c r="FR279" s="145"/>
      <c r="FS279" s="145"/>
      <c r="FT279" s="145"/>
      <c r="FU279" s="145"/>
      <c r="FV279" s="145"/>
      <c r="FW279" s="145"/>
      <c r="FX279" s="143"/>
      <c r="FY279" s="146">
        <f>_xlfn.XLOOKUP($E279,'Key assumptions'!$B$112:$B$120,'Key assumptions'!$C$112:$C$120,0)</f>
        <v>0</v>
      </c>
      <c r="FZ279" s="146" cm="1">
        <f t="array" ref="FZ279">IF($FY279=0,0,_xlfn.IFS($FY279='Key assumptions'!$C$120,_xlfn.XLOOKUP(LEFT(FZ$7,6),Inflation_Year,Inflation_NominaltoReal),TRUE,_xlfn.XLOOKUP($FY279,Inflation_Year,NominaltoReal)))</f>
        <v>0</v>
      </c>
      <c r="GA279" s="146" cm="1">
        <f t="array" ref="GA279">IF($FY279=0,0,_xlfn.IFS($FY279='Key assumptions'!$C$120,_xlfn.XLOOKUP(LEFT(GA$7,6),Inflation_Year,Inflation_NominaltoReal),TRUE,_xlfn.XLOOKUP($FY279,Inflation_Year,NominaltoReal)))</f>
        <v>0</v>
      </c>
      <c r="GB279" s="146" cm="1">
        <f t="array" ref="GB279">IF($FY279=0,0,_xlfn.IFS($FY279='Key assumptions'!$C$120,_xlfn.XLOOKUP(LEFT(GB$7,6),Inflation_Year,Inflation_NominaltoReal),TRUE,_xlfn.XLOOKUP($FY279,Inflation_Year,NominaltoReal)))</f>
        <v>0</v>
      </c>
      <c r="GC279" s="146" cm="1">
        <f t="array" ref="GC279">IF($FY279=0,0,_xlfn.IFS($FY279='Key assumptions'!$C$120,_xlfn.XLOOKUP(LEFT(GC$7,6),Inflation_Year,Inflation_NominaltoReal),TRUE,_xlfn.XLOOKUP($FY279,Inflation_Year,NominaltoReal)))</f>
        <v>0</v>
      </c>
      <c r="GD279" s="146" cm="1">
        <f t="array" ref="GD279">IF($FY279=0,0,_xlfn.IFS($FY279='Key assumptions'!$C$120,_xlfn.XLOOKUP(LEFT(GD$7,6),Inflation_Year,Inflation_NominaltoReal),TRUE,_xlfn.XLOOKUP($FY279,Inflation_Year,NominaltoReal)))</f>
        <v>0</v>
      </c>
      <c r="GE279" s="146" cm="1">
        <f t="array" ref="GE279">IF($FY279=0,0,_xlfn.IFS($FY279='Key assumptions'!$C$120,_xlfn.XLOOKUP(LEFT(GE$7,6),Inflation_Year,Inflation_NominaltoReal),TRUE,_xlfn.XLOOKUP($FY279,Inflation_Year,NominaltoReal)))</f>
        <v>0</v>
      </c>
      <c r="GF279" s="146" cm="1">
        <f t="array" ref="GF279">IF($FY279=0,0,_xlfn.IFS($FY279='Key assumptions'!$C$120,_xlfn.XLOOKUP(LEFT(GF$7,6),Inflation_Year,Inflation_NominaltoReal),TRUE,_xlfn.XLOOKUP($FY279,Inflation_Year,NominaltoReal)))</f>
        <v>0</v>
      </c>
      <c r="GG279" s="143"/>
      <c r="GH279" s="145" cm="1">
        <f t="array" ref="GH279">SUMPRODUCT(--($CR$7:$FW$7&gt;=GH$5),--($CR$7:$FW$7&lt;=GH$6),$CR279:$FW279)*FZ279</f>
        <v>0</v>
      </c>
      <c r="GI279" s="145" cm="1">
        <f t="array" ref="GI279">SUMPRODUCT(--($CR$7:$FW$7&gt;=GI$5),--($CR$7:$FW$7&lt;=GI$6),$CR279:$FW279)*GA279</f>
        <v>0</v>
      </c>
      <c r="GJ279" s="145" cm="1">
        <f t="array" ref="GJ279">SUMPRODUCT(--($CR$7:$FW$7&gt;=GJ$5),--($CR$7:$FW$7&lt;=GJ$6),$CR279:$FW279)*GB279</f>
        <v>0</v>
      </c>
      <c r="GK279" s="145" cm="1">
        <f t="array" ref="GK279">SUMPRODUCT(--($CR$7:$FW$7&gt;=GK$5),--($CR$7:$FW$7&lt;=GK$6),$CR279:$FW279)*GC279</f>
        <v>0</v>
      </c>
      <c r="GL279" s="145" cm="1">
        <f t="array" ref="GL279">SUMPRODUCT(--($CR$7:$FW$7&gt;=GL$5),--($CR$7:$FW$7&lt;=GL$6),$CR279:$FW279)*GD279</f>
        <v>0</v>
      </c>
      <c r="GM279" s="145" cm="1">
        <f t="array" ref="GM279">SUMPRODUCT(--($CR$7:$FW$7&gt;=GM$5),--($CR$7:$FW$7&lt;=GM$6),$CR279:$FW279)*GE279</f>
        <v>0</v>
      </c>
      <c r="GN279" s="145" cm="1">
        <f t="array" ref="GN279">SUMPRODUCT(--($CR$7:$FW$7&gt;=GN$5),--($CR$7:$FW$7&lt;=GN$6),$CR279:$FW279)*GF279</f>
        <v>0</v>
      </c>
      <c r="GO279" s="145">
        <f t="shared" si="4"/>
        <v>0</v>
      </c>
      <c r="GP279" s="87"/>
      <c r="GR279" s="145" cm="1">
        <f t="array" ref="GR279">SUMPRODUCT(--($CR$7:$FW$7&gt;=GR$5),--($CR$7:$FW$7&lt;=GR$6),$CR279:$FW279)</f>
        <v>0</v>
      </c>
    </row>
    <row r="280" spans="2:200" x14ac:dyDescent="0.2">
      <c r="B280" s="141"/>
      <c r="C280" s="141"/>
      <c r="D280" s="141"/>
      <c r="E280" s="141"/>
      <c r="F280" s="141"/>
      <c r="G280" s="141"/>
      <c r="H280" s="142"/>
      <c r="I280" s="126"/>
      <c r="J280" s="143"/>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3"/>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c r="EE280" s="145"/>
      <c r="EF280" s="145"/>
      <c r="EG280" s="145"/>
      <c r="EH280" s="145"/>
      <c r="EI280" s="145"/>
      <c r="EJ280" s="145"/>
      <c r="EK280" s="145"/>
      <c r="EL280" s="145"/>
      <c r="EM280" s="145"/>
      <c r="EN280" s="145"/>
      <c r="EO280" s="145"/>
      <c r="EP280" s="145"/>
      <c r="EQ280" s="145"/>
      <c r="ER280" s="145"/>
      <c r="ES280" s="145"/>
      <c r="ET280" s="145"/>
      <c r="EU280" s="145"/>
      <c r="EV280" s="145"/>
      <c r="EW280" s="145"/>
      <c r="EX280" s="145"/>
      <c r="EY280" s="145"/>
      <c r="EZ280" s="145"/>
      <c r="FA280" s="145"/>
      <c r="FB280" s="145"/>
      <c r="FC280" s="145"/>
      <c r="FD280" s="145"/>
      <c r="FE280" s="145"/>
      <c r="FF280" s="145"/>
      <c r="FG280" s="145"/>
      <c r="FH280" s="145"/>
      <c r="FI280" s="145"/>
      <c r="FJ280" s="145"/>
      <c r="FK280" s="145"/>
      <c r="FL280" s="145"/>
      <c r="FM280" s="145"/>
      <c r="FN280" s="145"/>
      <c r="FO280" s="145"/>
      <c r="FP280" s="145"/>
      <c r="FQ280" s="145"/>
      <c r="FR280" s="145"/>
      <c r="FS280" s="145"/>
      <c r="FT280" s="145"/>
      <c r="FU280" s="145"/>
      <c r="FV280" s="145"/>
      <c r="FW280" s="145"/>
      <c r="FX280" s="143"/>
      <c r="FY280" s="146">
        <f>_xlfn.XLOOKUP($E280,'Key assumptions'!$B$112:$B$120,'Key assumptions'!$C$112:$C$120,0)</f>
        <v>0</v>
      </c>
      <c r="FZ280" s="146" cm="1">
        <f t="array" ref="FZ280">IF($FY280=0,0,_xlfn.IFS($FY280='Key assumptions'!$C$120,_xlfn.XLOOKUP(LEFT(FZ$7,6),Inflation_Year,Inflation_NominaltoReal),TRUE,_xlfn.XLOOKUP($FY280,Inflation_Year,NominaltoReal)))</f>
        <v>0</v>
      </c>
      <c r="GA280" s="146" cm="1">
        <f t="array" ref="GA280">IF($FY280=0,0,_xlfn.IFS($FY280='Key assumptions'!$C$120,_xlfn.XLOOKUP(LEFT(GA$7,6),Inflation_Year,Inflation_NominaltoReal),TRUE,_xlfn.XLOOKUP($FY280,Inflation_Year,NominaltoReal)))</f>
        <v>0</v>
      </c>
      <c r="GB280" s="146" cm="1">
        <f t="array" ref="GB280">IF($FY280=0,0,_xlfn.IFS($FY280='Key assumptions'!$C$120,_xlfn.XLOOKUP(LEFT(GB$7,6),Inflation_Year,Inflation_NominaltoReal),TRUE,_xlfn.XLOOKUP($FY280,Inflation_Year,NominaltoReal)))</f>
        <v>0</v>
      </c>
      <c r="GC280" s="146" cm="1">
        <f t="array" ref="GC280">IF($FY280=0,0,_xlfn.IFS($FY280='Key assumptions'!$C$120,_xlfn.XLOOKUP(LEFT(GC$7,6),Inflation_Year,Inflation_NominaltoReal),TRUE,_xlfn.XLOOKUP($FY280,Inflation_Year,NominaltoReal)))</f>
        <v>0</v>
      </c>
      <c r="GD280" s="146" cm="1">
        <f t="array" ref="GD280">IF($FY280=0,0,_xlfn.IFS($FY280='Key assumptions'!$C$120,_xlfn.XLOOKUP(LEFT(GD$7,6),Inflation_Year,Inflation_NominaltoReal),TRUE,_xlfn.XLOOKUP($FY280,Inflation_Year,NominaltoReal)))</f>
        <v>0</v>
      </c>
      <c r="GE280" s="146" cm="1">
        <f t="array" ref="GE280">IF($FY280=0,0,_xlfn.IFS($FY280='Key assumptions'!$C$120,_xlfn.XLOOKUP(LEFT(GE$7,6),Inflation_Year,Inflation_NominaltoReal),TRUE,_xlfn.XLOOKUP($FY280,Inflation_Year,NominaltoReal)))</f>
        <v>0</v>
      </c>
      <c r="GF280" s="146" cm="1">
        <f t="array" ref="GF280">IF($FY280=0,0,_xlfn.IFS($FY280='Key assumptions'!$C$120,_xlfn.XLOOKUP(LEFT(GF$7,6),Inflation_Year,Inflation_NominaltoReal),TRUE,_xlfn.XLOOKUP($FY280,Inflation_Year,NominaltoReal)))</f>
        <v>0</v>
      </c>
      <c r="GG280" s="143"/>
      <c r="GH280" s="145" cm="1">
        <f t="array" ref="GH280">SUMPRODUCT(--($CR$7:$FW$7&gt;=GH$5),--($CR$7:$FW$7&lt;=GH$6),$CR280:$FW280)*FZ280</f>
        <v>0</v>
      </c>
      <c r="GI280" s="145" cm="1">
        <f t="array" ref="GI280">SUMPRODUCT(--($CR$7:$FW$7&gt;=GI$5),--($CR$7:$FW$7&lt;=GI$6),$CR280:$FW280)*GA280</f>
        <v>0</v>
      </c>
      <c r="GJ280" s="145" cm="1">
        <f t="array" ref="GJ280">SUMPRODUCT(--($CR$7:$FW$7&gt;=GJ$5),--($CR$7:$FW$7&lt;=GJ$6),$CR280:$FW280)*GB280</f>
        <v>0</v>
      </c>
      <c r="GK280" s="145" cm="1">
        <f t="array" ref="GK280">SUMPRODUCT(--($CR$7:$FW$7&gt;=GK$5),--($CR$7:$FW$7&lt;=GK$6),$CR280:$FW280)*GC280</f>
        <v>0</v>
      </c>
      <c r="GL280" s="145" cm="1">
        <f t="array" ref="GL280">SUMPRODUCT(--($CR$7:$FW$7&gt;=GL$5),--($CR$7:$FW$7&lt;=GL$6),$CR280:$FW280)*GD280</f>
        <v>0</v>
      </c>
      <c r="GM280" s="145" cm="1">
        <f t="array" ref="GM280">SUMPRODUCT(--($CR$7:$FW$7&gt;=GM$5),--($CR$7:$FW$7&lt;=GM$6),$CR280:$FW280)*GE280</f>
        <v>0</v>
      </c>
      <c r="GN280" s="145" cm="1">
        <f t="array" ref="GN280">SUMPRODUCT(--($CR$7:$FW$7&gt;=GN$5),--($CR$7:$FW$7&lt;=GN$6),$CR280:$FW280)*GF280</f>
        <v>0</v>
      </c>
      <c r="GO280" s="145">
        <f t="shared" si="4"/>
        <v>0</v>
      </c>
      <c r="GP280" s="87"/>
      <c r="GR280" s="145" cm="1">
        <f t="array" ref="GR280">SUMPRODUCT(--($CR$7:$FW$7&gt;=GR$5),--($CR$7:$FW$7&lt;=GR$6),$CR280:$FW280)</f>
        <v>0</v>
      </c>
    </row>
    <row r="281" spans="2:200" x14ac:dyDescent="0.2">
      <c r="B281" s="141"/>
      <c r="C281" s="141"/>
      <c r="D281" s="141"/>
      <c r="E281" s="141"/>
      <c r="F281" s="141"/>
      <c r="G281" s="141"/>
      <c r="H281" s="142"/>
      <c r="I281" s="126"/>
      <c r="J281" s="143"/>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3"/>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c r="EE281" s="145"/>
      <c r="EF281" s="145"/>
      <c r="EG281" s="145"/>
      <c r="EH281" s="145"/>
      <c r="EI281" s="145"/>
      <c r="EJ281" s="145"/>
      <c r="EK281" s="145"/>
      <c r="EL281" s="145"/>
      <c r="EM281" s="145"/>
      <c r="EN281" s="145"/>
      <c r="EO281" s="145"/>
      <c r="EP281" s="145"/>
      <c r="EQ281" s="145"/>
      <c r="ER281" s="145"/>
      <c r="ES281" s="145"/>
      <c r="ET281" s="145"/>
      <c r="EU281" s="145"/>
      <c r="EV281" s="145"/>
      <c r="EW281" s="145"/>
      <c r="EX281" s="145"/>
      <c r="EY281" s="145"/>
      <c r="EZ281" s="145"/>
      <c r="FA281" s="145"/>
      <c r="FB281" s="145"/>
      <c r="FC281" s="145"/>
      <c r="FD281" s="145"/>
      <c r="FE281" s="145"/>
      <c r="FF281" s="145"/>
      <c r="FG281" s="145"/>
      <c r="FH281" s="145"/>
      <c r="FI281" s="145"/>
      <c r="FJ281" s="145"/>
      <c r="FK281" s="145"/>
      <c r="FL281" s="145"/>
      <c r="FM281" s="145"/>
      <c r="FN281" s="145"/>
      <c r="FO281" s="145"/>
      <c r="FP281" s="145"/>
      <c r="FQ281" s="145"/>
      <c r="FR281" s="145"/>
      <c r="FS281" s="145"/>
      <c r="FT281" s="145"/>
      <c r="FU281" s="145"/>
      <c r="FV281" s="145"/>
      <c r="FW281" s="145"/>
      <c r="FX281" s="143"/>
      <c r="FY281" s="146">
        <f>_xlfn.XLOOKUP($E281,'Key assumptions'!$B$112:$B$120,'Key assumptions'!$C$112:$C$120,0)</f>
        <v>0</v>
      </c>
      <c r="FZ281" s="146" cm="1">
        <f t="array" ref="FZ281">IF($FY281=0,0,_xlfn.IFS($FY281='Key assumptions'!$C$120,_xlfn.XLOOKUP(LEFT(FZ$7,6),Inflation_Year,Inflation_NominaltoReal),TRUE,_xlfn.XLOOKUP($FY281,Inflation_Year,NominaltoReal)))</f>
        <v>0</v>
      </c>
      <c r="GA281" s="146" cm="1">
        <f t="array" ref="GA281">IF($FY281=0,0,_xlfn.IFS($FY281='Key assumptions'!$C$120,_xlfn.XLOOKUP(LEFT(GA$7,6),Inflation_Year,Inflation_NominaltoReal),TRUE,_xlfn.XLOOKUP($FY281,Inflation_Year,NominaltoReal)))</f>
        <v>0</v>
      </c>
      <c r="GB281" s="146" cm="1">
        <f t="array" ref="GB281">IF($FY281=0,0,_xlfn.IFS($FY281='Key assumptions'!$C$120,_xlfn.XLOOKUP(LEFT(GB$7,6),Inflation_Year,Inflation_NominaltoReal),TRUE,_xlfn.XLOOKUP($FY281,Inflation_Year,NominaltoReal)))</f>
        <v>0</v>
      </c>
      <c r="GC281" s="146" cm="1">
        <f t="array" ref="GC281">IF($FY281=0,0,_xlfn.IFS($FY281='Key assumptions'!$C$120,_xlfn.XLOOKUP(LEFT(GC$7,6),Inflation_Year,Inflation_NominaltoReal),TRUE,_xlfn.XLOOKUP($FY281,Inflation_Year,NominaltoReal)))</f>
        <v>0</v>
      </c>
      <c r="GD281" s="146" cm="1">
        <f t="array" ref="GD281">IF($FY281=0,0,_xlfn.IFS($FY281='Key assumptions'!$C$120,_xlfn.XLOOKUP(LEFT(GD$7,6),Inflation_Year,Inflation_NominaltoReal),TRUE,_xlfn.XLOOKUP($FY281,Inflation_Year,NominaltoReal)))</f>
        <v>0</v>
      </c>
      <c r="GE281" s="146" cm="1">
        <f t="array" ref="GE281">IF($FY281=0,0,_xlfn.IFS($FY281='Key assumptions'!$C$120,_xlfn.XLOOKUP(LEFT(GE$7,6),Inflation_Year,Inflation_NominaltoReal),TRUE,_xlfn.XLOOKUP($FY281,Inflation_Year,NominaltoReal)))</f>
        <v>0</v>
      </c>
      <c r="GF281" s="146" cm="1">
        <f t="array" ref="GF281">IF($FY281=0,0,_xlfn.IFS($FY281='Key assumptions'!$C$120,_xlfn.XLOOKUP(LEFT(GF$7,6),Inflation_Year,Inflation_NominaltoReal),TRUE,_xlfn.XLOOKUP($FY281,Inflation_Year,NominaltoReal)))</f>
        <v>0</v>
      </c>
      <c r="GG281" s="143"/>
      <c r="GH281" s="145" cm="1">
        <f t="array" ref="GH281">SUMPRODUCT(--($CR$7:$FW$7&gt;=GH$5),--($CR$7:$FW$7&lt;=GH$6),$CR281:$FW281)*FZ281</f>
        <v>0</v>
      </c>
      <c r="GI281" s="145" cm="1">
        <f t="array" ref="GI281">SUMPRODUCT(--($CR$7:$FW$7&gt;=GI$5),--($CR$7:$FW$7&lt;=GI$6),$CR281:$FW281)*GA281</f>
        <v>0</v>
      </c>
      <c r="GJ281" s="145" cm="1">
        <f t="array" ref="GJ281">SUMPRODUCT(--($CR$7:$FW$7&gt;=GJ$5),--($CR$7:$FW$7&lt;=GJ$6),$CR281:$FW281)*GB281</f>
        <v>0</v>
      </c>
      <c r="GK281" s="145" cm="1">
        <f t="array" ref="GK281">SUMPRODUCT(--($CR$7:$FW$7&gt;=GK$5),--($CR$7:$FW$7&lt;=GK$6),$CR281:$FW281)*GC281</f>
        <v>0</v>
      </c>
      <c r="GL281" s="145" cm="1">
        <f t="array" ref="GL281">SUMPRODUCT(--($CR$7:$FW$7&gt;=GL$5),--($CR$7:$FW$7&lt;=GL$6),$CR281:$FW281)*GD281</f>
        <v>0</v>
      </c>
      <c r="GM281" s="145" cm="1">
        <f t="array" ref="GM281">SUMPRODUCT(--($CR$7:$FW$7&gt;=GM$5),--($CR$7:$FW$7&lt;=GM$6),$CR281:$FW281)*GE281</f>
        <v>0</v>
      </c>
      <c r="GN281" s="145" cm="1">
        <f t="array" ref="GN281">SUMPRODUCT(--($CR$7:$FW$7&gt;=GN$5),--($CR$7:$FW$7&lt;=GN$6),$CR281:$FW281)*GF281</f>
        <v>0</v>
      </c>
      <c r="GO281" s="145">
        <f t="shared" si="4"/>
        <v>0</v>
      </c>
      <c r="GP281" s="87"/>
      <c r="GR281" s="145" cm="1">
        <f t="array" ref="GR281">SUMPRODUCT(--($CR$7:$FW$7&gt;=GR$5),--($CR$7:$FW$7&lt;=GR$6),$CR281:$FW281)</f>
        <v>0</v>
      </c>
    </row>
    <row r="282" spans="2:200" x14ac:dyDescent="0.2">
      <c r="B282" s="141"/>
      <c r="C282" s="141"/>
      <c r="D282" s="141"/>
      <c r="E282" s="141"/>
      <c r="F282" s="141"/>
      <c r="G282" s="141"/>
      <c r="H282" s="142"/>
      <c r="I282" s="126"/>
      <c r="J282" s="143"/>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3"/>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c r="EE282" s="145"/>
      <c r="EF282" s="145"/>
      <c r="EG282" s="145"/>
      <c r="EH282" s="145"/>
      <c r="EI282" s="145"/>
      <c r="EJ282" s="145"/>
      <c r="EK282" s="145"/>
      <c r="EL282" s="145"/>
      <c r="EM282" s="145"/>
      <c r="EN282" s="145"/>
      <c r="EO282" s="145"/>
      <c r="EP282" s="145"/>
      <c r="EQ282" s="145"/>
      <c r="ER282" s="145"/>
      <c r="ES282" s="145"/>
      <c r="ET282" s="145"/>
      <c r="EU282" s="145"/>
      <c r="EV282" s="145"/>
      <c r="EW282" s="145"/>
      <c r="EX282" s="145"/>
      <c r="EY282" s="145"/>
      <c r="EZ282" s="145"/>
      <c r="FA282" s="145"/>
      <c r="FB282" s="145"/>
      <c r="FC282" s="145"/>
      <c r="FD282" s="145"/>
      <c r="FE282" s="145"/>
      <c r="FF282" s="145"/>
      <c r="FG282" s="145"/>
      <c r="FH282" s="145"/>
      <c r="FI282" s="145"/>
      <c r="FJ282" s="145"/>
      <c r="FK282" s="145"/>
      <c r="FL282" s="145"/>
      <c r="FM282" s="145"/>
      <c r="FN282" s="145"/>
      <c r="FO282" s="145"/>
      <c r="FP282" s="145"/>
      <c r="FQ282" s="145"/>
      <c r="FR282" s="145"/>
      <c r="FS282" s="145"/>
      <c r="FT282" s="145"/>
      <c r="FU282" s="145"/>
      <c r="FV282" s="145"/>
      <c r="FW282" s="145"/>
      <c r="FX282" s="143"/>
      <c r="FY282" s="146">
        <f>_xlfn.XLOOKUP($E282,'Key assumptions'!$B$112:$B$120,'Key assumptions'!$C$112:$C$120,0)</f>
        <v>0</v>
      </c>
      <c r="FZ282" s="146" cm="1">
        <f t="array" ref="FZ282">IF($FY282=0,0,_xlfn.IFS($FY282='Key assumptions'!$C$120,_xlfn.XLOOKUP(LEFT(FZ$7,6),Inflation_Year,Inflation_NominaltoReal),TRUE,_xlfn.XLOOKUP($FY282,Inflation_Year,NominaltoReal)))</f>
        <v>0</v>
      </c>
      <c r="GA282" s="146" cm="1">
        <f t="array" ref="GA282">IF($FY282=0,0,_xlfn.IFS($FY282='Key assumptions'!$C$120,_xlfn.XLOOKUP(LEFT(GA$7,6),Inflation_Year,Inflation_NominaltoReal),TRUE,_xlfn.XLOOKUP($FY282,Inflation_Year,NominaltoReal)))</f>
        <v>0</v>
      </c>
      <c r="GB282" s="146" cm="1">
        <f t="array" ref="GB282">IF($FY282=0,0,_xlfn.IFS($FY282='Key assumptions'!$C$120,_xlfn.XLOOKUP(LEFT(GB$7,6),Inflation_Year,Inflation_NominaltoReal),TRUE,_xlfn.XLOOKUP($FY282,Inflation_Year,NominaltoReal)))</f>
        <v>0</v>
      </c>
      <c r="GC282" s="146" cm="1">
        <f t="array" ref="GC282">IF($FY282=0,0,_xlfn.IFS($FY282='Key assumptions'!$C$120,_xlfn.XLOOKUP(LEFT(GC$7,6),Inflation_Year,Inflation_NominaltoReal),TRUE,_xlfn.XLOOKUP($FY282,Inflation_Year,NominaltoReal)))</f>
        <v>0</v>
      </c>
      <c r="GD282" s="146" cm="1">
        <f t="array" ref="GD282">IF($FY282=0,0,_xlfn.IFS($FY282='Key assumptions'!$C$120,_xlfn.XLOOKUP(LEFT(GD$7,6),Inflation_Year,Inflation_NominaltoReal),TRUE,_xlfn.XLOOKUP($FY282,Inflation_Year,NominaltoReal)))</f>
        <v>0</v>
      </c>
      <c r="GE282" s="146" cm="1">
        <f t="array" ref="GE282">IF($FY282=0,0,_xlfn.IFS($FY282='Key assumptions'!$C$120,_xlfn.XLOOKUP(LEFT(GE$7,6),Inflation_Year,Inflation_NominaltoReal),TRUE,_xlfn.XLOOKUP($FY282,Inflation_Year,NominaltoReal)))</f>
        <v>0</v>
      </c>
      <c r="GF282" s="146" cm="1">
        <f t="array" ref="GF282">IF($FY282=0,0,_xlfn.IFS($FY282='Key assumptions'!$C$120,_xlfn.XLOOKUP(LEFT(GF$7,6),Inflation_Year,Inflation_NominaltoReal),TRUE,_xlfn.XLOOKUP($FY282,Inflation_Year,NominaltoReal)))</f>
        <v>0</v>
      </c>
      <c r="GG282" s="143"/>
      <c r="GH282" s="145" cm="1">
        <f t="array" ref="GH282">SUMPRODUCT(--($CR$7:$FW$7&gt;=GH$5),--($CR$7:$FW$7&lt;=GH$6),$CR282:$FW282)*FZ282</f>
        <v>0</v>
      </c>
      <c r="GI282" s="145" cm="1">
        <f t="array" ref="GI282">SUMPRODUCT(--($CR$7:$FW$7&gt;=GI$5),--($CR$7:$FW$7&lt;=GI$6),$CR282:$FW282)*GA282</f>
        <v>0</v>
      </c>
      <c r="GJ282" s="145" cm="1">
        <f t="array" ref="GJ282">SUMPRODUCT(--($CR$7:$FW$7&gt;=GJ$5),--($CR$7:$FW$7&lt;=GJ$6),$CR282:$FW282)*GB282</f>
        <v>0</v>
      </c>
      <c r="GK282" s="145" cm="1">
        <f t="array" ref="GK282">SUMPRODUCT(--($CR$7:$FW$7&gt;=GK$5),--($CR$7:$FW$7&lt;=GK$6),$CR282:$FW282)*GC282</f>
        <v>0</v>
      </c>
      <c r="GL282" s="145" cm="1">
        <f t="array" ref="GL282">SUMPRODUCT(--($CR$7:$FW$7&gt;=GL$5),--($CR$7:$FW$7&lt;=GL$6),$CR282:$FW282)*GD282</f>
        <v>0</v>
      </c>
      <c r="GM282" s="145" cm="1">
        <f t="array" ref="GM282">SUMPRODUCT(--($CR$7:$FW$7&gt;=GM$5),--($CR$7:$FW$7&lt;=GM$6),$CR282:$FW282)*GE282</f>
        <v>0</v>
      </c>
      <c r="GN282" s="145" cm="1">
        <f t="array" ref="GN282">SUMPRODUCT(--($CR$7:$FW$7&gt;=GN$5),--($CR$7:$FW$7&lt;=GN$6),$CR282:$FW282)*GF282</f>
        <v>0</v>
      </c>
      <c r="GO282" s="145">
        <f t="shared" si="4"/>
        <v>0</v>
      </c>
      <c r="GP282" s="87"/>
      <c r="GR282" s="145" cm="1">
        <f t="array" ref="GR282">SUMPRODUCT(--($CR$7:$FW$7&gt;=GR$5),--($CR$7:$FW$7&lt;=GR$6),$CR282:$FW282)</f>
        <v>0</v>
      </c>
    </row>
    <row r="283" spans="2:200" x14ac:dyDescent="0.2">
      <c r="B283" s="141"/>
      <c r="C283" s="141"/>
      <c r="D283" s="141"/>
      <c r="E283" s="141"/>
      <c r="F283" s="141"/>
      <c r="G283" s="141"/>
      <c r="H283" s="142"/>
      <c r="I283" s="126"/>
      <c r="J283" s="143"/>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3"/>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c r="EE283" s="145"/>
      <c r="EF283" s="145"/>
      <c r="EG283" s="145"/>
      <c r="EH283" s="145"/>
      <c r="EI283" s="145"/>
      <c r="EJ283" s="145"/>
      <c r="EK283" s="145"/>
      <c r="EL283" s="145"/>
      <c r="EM283" s="145"/>
      <c r="EN283" s="145"/>
      <c r="EO283" s="145"/>
      <c r="EP283" s="145"/>
      <c r="EQ283" s="145"/>
      <c r="ER283" s="145"/>
      <c r="ES283" s="145"/>
      <c r="ET283" s="145"/>
      <c r="EU283" s="145"/>
      <c r="EV283" s="145"/>
      <c r="EW283" s="145"/>
      <c r="EX283" s="145"/>
      <c r="EY283" s="145"/>
      <c r="EZ283" s="145"/>
      <c r="FA283" s="145"/>
      <c r="FB283" s="145"/>
      <c r="FC283" s="145"/>
      <c r="FD283" s="145"/>
      <c r="FE283" s="145"/>
      <c r="FF283" s="145"/>
      <c r="FG283" s="145"/>
      <c r="FH283" s="145"/>
      <c r="FI283" s="145"/>
      <c r="FJ283" s="145"/>
      <c r="FK283" s="145"/>
      <c r="FL283" s="145"/>
      <c r="FM283" s="145"/>
      <c r="FN283" s="145"/>
      <c r="FO283" s="145"/>
      <c r="FP283" s="145"/>
      <c r="FQ283" s="145"/>
      <c r="FR283" s="145"/>
      <c r="FS283" s="145"/>
      <c r="FT283" s="145"/>
      <c r="FU283" s="145"/>
      <c r="FV283" s="145"/>
      <c r="FW283" s="145"/>
      <c r="FX283" s="143"/>
      <c r="FY283" s="146">
        <f>_xlfn.XLOOKUP($E283,'Key assumptions'!$B$112:$B$120,'Key assumptions'!$C$112:$C$120,0)</f>
        <v>0</v>
      </c>
      <c r="FZ283" s="146" cm="1">
        <f t="array" ref="FZ283">IF($FY283=0,0,_xlfn.IFS($FY283='Key assumptions'!$C$120,_xlfn.XLOOKUP(LEFT(FZ$7,6),Inflation_Year,Inflation_NominaltoReal),TRUE,_xlfn.XLOOKUP($FY283,Inflation_Year,NominaltoReal)))</f>
        <v>0</v>
      </c>
      <c r="GA283" s="146" cm="1">
        <f t="array" ref="GA283">IF($FY283=0,0,_xlfn.IFS($FY283='Key assumptions'!$C$120,_xlfn.XLOOKUP(LEFT(GA$7,6),Inflation_Year,Inflation_NominaltoReal),TRUE,_xlfn.XLOOKUP($FY283,Inflation_Year,NominaltoReal)))</f>
        <v>0</v>
      </c>
      <c r="GB283" s="146" cm="1">
        <f t="array" ref="GB283">IF($FY283=0,0,_xlfn.IFS($FY283='Key assumptions'!$C$120,_xlfn.XLOOKUP(LEFT(GB$7,6),Inflation_Year,Inflation_NominaltoReal),TRUE,_xlfn.XLOOKUP($FY283,Inflation_Year,NominaltoReal)))</f>
        <v>0</v>
      </c>
      <c r="GC283" s="146" cm="1">
        <f t="array" ref="GC283">IF($FY283=0,0,_xlfn.IFS($FY283='Key assumptions'!$C$120,_xlfn.XLOOKUP(LEFT(GC$7,6),Inflation_Year,Inflation_NominaltoReal),TRUE,_xlfn.XLOOKUP($FY283,Inflation_Year,NominaltoReal)))</f>
        <v>0</v>
      </c>
      <c r="GD283" s="146" cm="1">
        <f t="array" ref="GD283">IF($FY283=0,0,_xlfn.IFS($FY283='Key assumptions'!$C$120,_xlfn.XLOOKUP(LEFT(GD$7,6),Inflation_Year,Inflation_NominaltoReal),TRUE,_xlfn.XLOOKUP($FY283,Inflation_Year,NominaltoReal)))</f>
        <v>0</v>
      </c>
      <c r="GE283" s="146" cm="1">
        <f t="array" ref="GE283">IF($FY283=0,0,_xlfn.IFS($FY283='Key assumptions'!$C$120,_xlfn.XLOOKUP(LEFT(GE$7,6),Inflation_Year,Inflation_NominaltoReal),TRUE,_xlfn.XLOOKUP($FY283,Inflation_Year,NominaltoReal)))</f>
        <v>0</v>
      </c>
      <c r="GF283" s="146" cm="1">
        <f t="array" ref="GF283">IF($FY283=0,0,_xlfn.IFS($FY283='Key assumptions'!$C$120,_xlfn.XLOOKUP(LEFT(GF$7,6),Inflation_Year,Inflation_NominaltoReal),TRUE,_xlfn.XLOOKUP($FY283,Inflation_Year,NominaltoReal)))</f>
        <v>0</v>
      </c>
      <c r="GG283" s="143"/>
      <c r="GH283" s="145" cm="1">
        <f t="array" ref="GH283">SUMPRODUCT(--($CR$7:$FW$7&gt;=GH$5),--($CR$7:$FW$7&lt;=GH$6),$CR283:$FW283)*FZ283</f>
        <v>0</v>
      </c>
      <c r="GI283" s="145" cm="1">
        <f t="array" ref="GI283">SUMPRODUCT(--($CR$7:$FW$7&gt;=GI$5),--($CR$7:$FW$7&lt;=GI$6),$CR283:$FW283)*GA283</f>
        <v>0</v>
      </c>
      <c r="GJ283" s="145" cm="1">
        <f t="array" ref="GJ283">SUMPRODUCT(--($CR$7:$FW$7&gt;=GJ$5),--($CR$7:$FW$7&lt;=GJ$6),$CR283:$FW283)*GB283</f>
        <v>0</v>
      </c>
      <c r="GK283" s="145" cm="1">
        <f t="array" ref="GK283">SUMPRODUCT(--($CR$7:$FW$7&gt;=GK$5),--($CR$7:$FW$7&lt;=GK$6),$CR283:$FW283)*GC283</f>
        <v>0</v>
      </c>
      <c r="GL283" s="145" cm="1">
        <f t="array" ref="GL283">SUMPRODUCT(--($CR$7:$FW$7&gt;=GL$5),--($CR$7:$FW$7&lt;=GL$6),$CR283:$FW283)*GD283</f>
        <v>0</v>
      </c>
      <c r="GM283" s="145" cm="1">
        <f t="array" ref="GM283">SUMPRODUCT(--($CR$7:$FW$7&gt;=GM$5),--($CR$7:$FW$7&lt;=GM$6),$CR283:$FW283)*GE283</f>
        <v>0</v>
      </c>
      <c r="GN283" s="145" cm="1">
        <f t="array" ref="GN283">SUMPRODUCT(--($CR$7:$FW$7&gt;=GN$5),--($CR$7:$FW$7&lt;=GN$6),$CR283:$FW283)*GF283</f>
        <v>0</v>
      </c>
      <c r="GO283" s="145">
        <f t="shared" si="4"/>
        <v>0</v>
      </c>
      <c r="GP283" s="87"/>
      <c r="GR283" s="145" cm="1">
        <f t="array" ref="GR283">SUMPRODUCT(--($CR$7:$FW$7&gt;=GR$5),--($CR$7:$FW$7&lt;=GR$6),$CR283:$FW283)</f>
        <v>0</v>
      </c>
    </row>
    <row r="284" spans="2:200" x14ac:dyDescent="0.2">
      <c r="B284" s="141"/>
      <c r="C284" s="141"/>
      <c r="D284" s="141"/>
      <c r="E284" s="141"/>
      <c r="F284" s="141"/>
      <c r="G284" s="141"/>
      <c r="H284" s="142"/>
      <c r="I284" s="126"/>
      <c r="J284" s="143"/>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3"/>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c r="EE284" s="145"/>
      <c r="EF284" s="145"/>
      <c r="EG284" s="145"/>
      <c r="EH284" s="145"/>
      <c r="EI284" s="145"/>
      <c r="EJ284" s="145"/>
      <c r="EK284" s="145"/>
      <c r="EL284" s="145"/>
      <c r="EM284" s="145"/>
      <c r="EN284" s="145"/>
      <c r="EO284" s="145"/>
      <c r="EP284" s="145"/>
      <c r="EQ284" s="145"/>
      <c r="ER284" s="145"/>
      <c r="ES284" s="145"/>
      <c r="ET284" s="145"/>
      <c r="EU284" s="145"/>
      <c r="EV284" s="145"/>
      <c r="EW284" s="145"/>
      <c r="EX284" s="145"/>
      <c r="EY284" s="145"/>
      <c r="EZ284" s="145"/>
      <c r="FA284" s="145"/>
      <c r="FB284" s="145"/>
      <c r="FC284" s="145"/>
      <c r="FD284" s="145"/>
      <c r="FE284" s="145"/>
      <c r="FF284" s="145"/>
      <c r="FG284" s="145"/>
      <c r="FH284" s="145"/>
      <c r="FI284" s="145"/>
      <c r="FJ284" s="145"/>
      <c r="FK284" s="145"/>
      <c r="FL284" s="145"/>
      <c r="FM284" s="145"/>
      <c r="FN284" s="145"/>
      <c r="FO284" s="145"/>
      <c r="FP284" s="145"/>
      <c r="FQ284" s="145"/>
      <c r="FR284" s="145"/>
      <c r="FS284" s="145"/>
      <c r="FT284" s="145"/>
      <c r="FU284" s="145"/>
      <c r="FV284" s="145"/>
      <c r="FW284" s="145"/>
      <c r="FX284" s="143"/>
      <c r="FY284" s="146">
        <f>_xlfn.XLOOKUP($E284,'Key assumptions'!$B$112:$B$120,'Key assumptions'!$C$112:$C$120,0)</f>
        <v>0</v>
      </c>
      <c r="FZ284" s="146" cm="1">
        <f t="array" ref="FZ284">IF($FY284=0,0,_xlfn.IFS($FY284='Key assumptions'!$C$120,_xlfn.XLOOKUP(LEFT(FZ$7,6),Inflation_Year,Inflation_NominaltoReal),TRUE,_xlfn.XLOOKUP($FY284,Inflation_Year,NominaltoReal)))</f>
        <v>0</v>
      </c>
      <c r="GA284" s="146" cm="1">
        <f t="array" ref="GA284">IF($FY284=0,0,_xlfn.IFS($FY284='Key assumptions'!$C$120,_xlfn.XLOOKUP(LEFT(GA$7,6),Inflation_Year,Inflation_NominaltoReal),TRUE,_xlfn.XLOOKUP($FY284,Inflation_Year,NominaltoReal)))</f>
        <v>0</v>
      </c>
      <c r="GB284" s="146" cm="1">
        <f t="array" ref="GB284">IF($FY284=0,0,_xlfn.IFS($FY284='Key assumptions'!$C$120,_xlfn.XLOOKUP(LEFT(GB$7,6),Inflation_Year,Inflation_NominaltoReal),TRUE,_xlfn.XLOOKUP($FY284,Inflation_Year,NominaltoReal)))</f>
        <v>0</v>
      </c>
      <c r="GC284" s="146" cm="1">
        <f t="array" ref="GC284">IF($FY284=0,0,_xlfn.IFS($FY284='Key assumptions'!$C$120,_xlfn.XLOOKUP(LEFT(GC$7,6),Inflation_Year,Inflation_NominaltoReal),TRUE,_xlfn.XLOOKUP($FY284,Inflation_Year,NominaltoReal)))</f>
        <v>0</v>
      </c>
      <c r="GD284" s="146" cm="1">
        <f t="array" ref="GD284">IF($FY284=0,0,_xlfn.IFS($FY284='Key assumptions'!$C$120,_xlfn.XLOOKUP(LEFT(GD$7,6),Inflation_Year,Inflation_NominaltoReal),TRUE,_xlfn.XLOOKUP($FY284,Inflation_Year,NominaltoReal)))</f>
        <v>0</v>
      </c>
      <c r="GE284" s="146" cm="1">
        <f t="array" ref="GE284">IF($FY284=0,0,_xlfn.IFS($FY284='Key assumptions'!$C$120,_xlfn.XLOOKUP(LEFT(GE$7,6),Inflation_Year,Inflation_NominaltoReal),TRUE,_xlfn.XLOOKUP($FY284,Inflation_Year,NominaltoReal)))</f>
        <v>0</v>
      </c>
      <c r="GF284" s="146" cm="1">
        <f t="array" ref="GF284">IF($FY284=0,0,_xlfn.IFS($FY284='Key assumptions'!$C$120,_xlfn.XLOOKUP(LEFT(GF$7,6),Inflation_Year,Inflation_NominaltoReal),TRUE,_xlfn.XLOOKUP($FY284,Inflation_Year,NominaltoReal)))</f>
        <v>0</v>
      </c>
      <c r="GG284" s="143"/>
      <c r="GH284" s="145" cm="1">
        <f t="array" ref="GH284">SUMPRODUCT(--($CR$7:$FW$7&gt;=GH$5),--($CR$7:$FW$7&lt;=GH$6),$CR284:$FW284)*FZ284</f>
        <v>0</v>
      </c>
      <c r="GI284" s="145" cm="1">
        <f t="array" ref="GI284">SUMPRODUCT(--($CR$7:$FW$7&gt;=GI$5),--($CR$7:$FW$7&lt;=GI$6),$CR284:$FW284)*GA284</f>
        <v>0</v>
      </c>
      <c r="GJ284" s="145" cm="1">
        <f t="array" ref="GJ284">SUMPRODUCT(--($CR$7:$FW$7&gt;=GJ$5),--($CR$7:$FW$7&lt;=GJ$6),$CR284:$FW284)*GB284</f>
        <v>0</v>
      </c>
      <c r="GK284" s="145" cm="1">
        <f t="array" ref="GK284">SUMPRODUCT(--($CR$7:$FW$7&gt;=GK$5),--($CR$7:$FW$7&lt;=GK$6),$CR284:$FW284)*GC284</f>
        <v>0</v>
      </c>
      <c r="GL284" s="145" cm="1">
        <f t="array" ref="GL284">SUMPRODUCT(--($CR$7:$FW$7&gt;=GL$5),--($CR$7:$FW$7&lt;=GL$6),$CR284:$FW284)*GD284</f>
        <v>0</v>
      </c>
      <c r="GM284" s="145" cm="1">
        <f t="array" ref="GM284">SUMPRODUCT(--($CR$7:$FW$7&gt;=GM$5),--($CR$7:$FW$7&lt;=GM$6),$CR284:$FW284)*GE284</f>
        <v>0</v>
      </c>
      <c r="GN284" s="145" cm="1">
        <f t="array" ref="GN284">SUMPRODUCT(--($CR$7:$FW$7&gt;=GN$5),--($CR$7:$FW$7&lt;=GN$6),$CR284:$FW284)*GF284</f>
        <v>0</v>
      </c>
      <c r="GO284" s="145">
        <f t="shared" si="4"/>
        <v>0</v>
      </c>
      <c r="GP284" s="87"/>
      <c r="GR284" s="145" cm="1">
        <f t="array" ref="GR284">SUMPRODUCT(--($CR$7:$FW$7&gt;=GR$5),--($CR$7:$FW$7&lt;=GR$6),$CR284:$FW284)</f>
        <v>0</v>
      </c>
    </row>
    <row r="285" spans="2:200" x14ac:dyDescent="0.2">
      <c r="B285" s="141"/>
      <c r="C285" s="141"/>
      <c r="D285" s="141"/>
      <c r="E285" s="141"/>
      <c r="F285" s="141"/>
      <c r="G285" s="141"/>
      <c r="H285" s="142"/>
      <c r="I285" s="126"/>
      <c r="J285" s="143"/>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3"/>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c r="EE285" s="145"/>
      <c r="EF285" s="145"/>
      <c r="EG285" s="145"/>
      <c r="EH285" s="145"/>
      <c r="EI285" s="145"/>
      <c r="EJ285" s="145"/>
      <c r="EK285" s="145"/>
      <c r="EL285" s="145"/>
      <c r="EM285" s="145"/>
      <c r="EN285" s="145"/>
      <c r="EO285" s="145"/>
      <c r="EP285" s="145"/>
      <c r="EQ285" s="145"/>
      <c r="ER285" s="145"/>
      <c r="ES285" s="145"/>
      <c r="ET285" s="145"/>
      <c r="EU285" s="145"/>
      <c r="EV285" s="145"/>
      <c r="EW285" s="145"/>
      <c r="EX285" s="145"/>
      <c r="EY285" s="145"/>
      <c r="EZ285" s="145"/>
      <c r="FA285" s="145"/>
      <c r="FB285" s="145"/>
      <c r="FC285" s="145"/>
      <c r="FD285" s="145"/>
      <c r="FE285" s="145"/>
      <c r="FF285" s="145"/>
      <c r="FG285" s="145"/>
      <c r="FH285" s="145"/>
      <c r="FI285" s="145"/>
      <c r="FJ285" s="145"/>
      <c r="FK285" s="145"/>
      <c r="FL285" s="145"/>
      <c r="FM285" s="145"/>
      <c r="FN285" s="145"/>
      <c r="FO285" s="145"/>
      <c r="FP285" s="145"/>
      <c r="FQ285" s="145"/>
      <c r="FR285" s="145"/>
      <c r="FS285" s="145"/>
      <c r="FT285" s="145"/>
      <c r="FU285" s="145"/>
      <c r="FV285" s="145"/>
      <c r="FW285" s="145"/>
      <c r="FX285" s="143"/>
      <c r="FY285" s="146">
        <f>_xlfn.XLOOKUP($E285,'Key assumptions'!$B$112:$B$120,'Key assumptions'!$C$112:$C$120,0)</f>
        <v>0</v>
      </c>
      <c r="FZ285" s="146" cm="1">
        <f t="array" ref="FZ285">IF($FY285=0,0,_xlfn.IFS($FY285='Key assumptions'!$C$120,_xlfn.XLOOKUP(LEFT(FZ$7,6),Inflation_Year,Inflation_NominaltoReal),TRUE,_xlfn.XLOOKUP($FY285,Inflation_Year,NominaltoReal)))</f>
        <v>0</v>
      </c>
      <c r="GA285" s="146" cm="1">
        <f t="array" ref="GA285">IF($FY285=0,0,_xlfn.IFS($FY285='Key assumptions'!$C$120,_xlfn.XLOOKUP(LEFT(GA$7,6),Inflation_Year,Inflation_NominaltoReal),TRUE,_xlfn.XLOOKUP($FY285,Inflation_Year,NominaltoReal)))</f>
        <v>0</v>
      </c>
      <c r="GB285" s="146" cm="1">
        <f t="array" ref="GB285">IF($FY285=0,0,_xlfn.IFS($FY285='Key assumptions'!$C$120,_xlfn.XLOOKUP(LEFT(GB$7,6),Inflation_Year,Inflation_NominaltoReal),TRUE,_xlfn.XLOOKUP($FY285,Inflation_Year,NominaltoReal)))</f>
        <v>0</v>
      </c>
      <c r="GC285" s="146" cm="1">
        <f t="array" ref="GC285">IF($FY285=0,0,_xlfn.IFS($FY285='Key assumptions'!$C$120,_xlfn.XLOOKUP(LEFT(GC$7,6),Inflation_Year,Inflation_NominaltoReal),TRUE,_xlfn.XLOOKUP($FY285,Inflation_Year,NominaltoReal)))</f>
        <v>0</v>
      </c>
      <c r="GD285" s="146" cm="1">
        <f t="array" ref="GD285">IF($FY285=0,0,_xlfn.IFS($FY285='Key assumptions'!$C$120,_xlfn.XLOOKUP(LEFT(GD$7,6),Inflation_Year,Inflation_NominaltoReal),TRUE,_xlfn.XLOOKUP($FY285,Inflation_Year,NominaltoReal)))</f>
        <v>0</v>
      </c>
      <c r="GE285" s="146" cm="1">
        <f t="array" ref="GE285">IF($FY285=0,0,_xlfn.IFS($FY285='Key assumptions'!$C$120,_xlfn.XLOOKUP(LEFT(GE$7,6),Inflation_Year,Inflation_NominaltoReal),TRUE,_xlfn.XLOOKUP($FY285,Inflation_Year,NominaltoReal)))</f>
        <v>0</v>
      </c>
      <c r="GF285" s="146" cm="1">
        <f t="array" ref="GF285">IF($FY285=0,0,_xlfn.IFS($FY285='Key assumptions'!$C$120,_xlfn.XLOOKUP(LEFT(GF$7,6),Inflation_Year,Inflation_NominaltoReal),TRUE,_xlfn.XLOOKUP($FY285,Inflation_Year,NominaltoReal)))</f>
        <v>0</v>
      </c>
      <c r="GG285" s="143"/>
      <c r="GH285" s="145" cm="1">
        <f t="array" ref="GH285">SUMPRODUCT(--($CR$7:$FW$7&gt;=GH$5),--($CR$7:$FW$7&lt;=GH$6),$CR285:$FW285)*FZ285</f>
        <v>0</v>
      </c>
      <c r="GI285" s="145" cm="1">
        <f t="array" ref="GI285">SUMPRODUCT(--($CR$7:$FW$7&gt;=GI$5),--($CR$7:$FW$7&lt;=GI$6),$CR285:$FW285)*GA285</f>
        <v>0</v>
      </c>
      <c r="GJ285" s="145" cm="1">
        <f t="array" ref="GJ285">SUMPRODUCT(--($CR$7:$FW$7&gt;=GJ$5),--($CR$7:$FW$7&lt;=GJ$6),$CR285:$FW285)*GB285</f>
        <v>0</v>
      </c>
      <c r="GK285" s="145" cm="1">
        <f t="array" ref="GK285">SUMPRODUCT(--($CR$7:$FW$7&gt;=GK$5),--($CR$7:$FW$7&lt;=GK$6),$CR285:$FW285)*GC285</f>
        <v>0</v>
      </c>
      <c r="GL285" s="145" cm="1">
        <f t="array" ref="GL285">SUMPRODUCT(--($CR$7:$FW$7&gt;=GL$5),--($CR$7:$FW$7&lt;=GL$6),$CR285:$FW285)*GD285</f>
        <v>0</v>
      </c>
      <c r="GM285" s="145" cm="1">
        <f t="array" ref="GM285">SUMPRODUCT(--($CR$7:$FW$7&gt;=GM$5),--($CR$7:$FW$7&lt;=GM$6),$CR285:$FW285)*GE285</f>
        <v>0</v>
      </c>
      <c r="GN285" s="145" cm="1">
        <f t="array" ref="GN285">SUMPRODUCT(--($CR$7:$FW$7&gt;=GN$5),--($CR$7:$FW$7&lt;=GN$6),$CR285:$FW285)*GF285</f>
        <v>0</v>
      </c>
      <c r="GO285" s="145">
        <f t="shared" si="4"/>
        <v>0</v>
      </c>
      <c r="GP285" s="87"/>
      <c r="GR285" s="145" cm="1">
        <f t="array" ref="GR285">SUMPRODUCT(--($CR$7:$FW$7&gt;=GR$5),--($CR$7:$FW$7&lt;=GR$6),$CR285:$FW285)</f>
        <v>0</v>
      </c>
    </row>
    <row r="286" spans="2:200" x14ac:dyDescent="0.2">
      <c r="B286" s="141"/>
      <c r="C286" s="141"/>
      <c r="D286" s="141"/>
      <c r="E286" s="141"/>
      <c r="F286" s="141"/>
      <c r="G286" s="141"/>
      <c r="H286" s="142"/>
      <c r="I286" s="126"/>
      <c r="J286" s="143"/>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3"/>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c r="EE286" s="145"/>
      <c r="EF286" s="145"/>
      <c r="EG286" s="145"/>
      <c r="EH286" s="145"/>
      <c r="EI286" s="145"/>
      <c r="EJ286" s="145"/>
      <c r="EK286" s="145"/>
      <c r="EL286" s="145"/>
      <c r="EM286" s="145"/>
      <c r="EN286" s="145"/>
      <c r="EO286" s="145"/>
      <c r="EP286" s="145"/>
      <c r="EQ286" s="145"/>
      <c r="ER286" s="145"/>
      <c r="ES286" s="145"/>
      <c r="ET286" s="145"/>
      <c r="EU286" s="145"/>
      <c r="EV286" s="145"/>
      <c r="EW286" s="145"/>
      <c r="EX286" s="145"/>
      <c r="EY286" s="145"/>
      <c r="EZ286" s="145"/>
      <c r="FA286" s="145"/>
      <c r="FB286" s="145"/>
      <c r="FC286" s="145"/>
      <c r="FD286" s="145"/>
      <c r="FE286" s="145"/>
      <c r="FF286" s="145"/>
      <c r="FG286" s="145"/>
      <c r="FH286" s="145"/>
      <c r="FI286" s="145"/>
      <c r="FJ286" s="145"/>
      <c r="FK286" s="145"/>
      <c r="FL286" s="145"/>
      <c r="FM286" s="145"/>
      <c r="FN286" s="145"/>
      <c r="FO286" s="145"/>
      <c r="FP286" s="145"/>
      <c r="FQ286" s="145"/>
      <c r="FR286" s="145"/>
      <c r="FS286" s="145"/>
      <c r="FT286" s="145"/>
      <c r="FU286" s="145"/>
      <c r="FV286" s="145"/>
      <c r="FW286" s="145"/>
      <c r="FX286" s="143"/>
      <c r="FY286" s="146">
        <f>_xlfn.XLOOKUP($E286,'Key assumptions'!$B$112:$B$120,'Key assumptions'!$C$112:$C$120,0)</f>
        <v>0</v>
      </c>
      <c r="FZ286" s="146" cm="1">
        <f t="array" ref="FZ286">IF($FY286=0,0,_xlfn.IFS($FY286='Key assumptions'!$C$120,_xlfn.XLOOKUP(LEFT(FZ$7,6),Inflation_Year,Inflation_NominaltoReal),TRUE,_xlfn.XLOOKUP($FY286,Inflation_Year,NominaltoReal)))</f>
        <v>0</v>
      </c>
      <c r="GA286" s="146" cm="1">
        <f t="array" ref="GA286">IF($FY286=0,0,_xlfn.IFS($FY286='Key assumptions'!$C$120,_xlfn.XLOOKUP(LEFT(GA$7,6),Inflation_Year,Inflation_NominaltoReal),TRUE,_xlfn.XLOOKUP($FY286,Inflation_Year,NominaltoReal)))</f>
        <v>0</v>
      </c>
      <c r="GB286" s="146" cm="1">
        <f t="array" ref="GB286">IF($FY286=0,0,_xlfn.IFS($FY286='Key assumptions'!$C$120,_xlfn.XLOOKUP(LEFT(GB$7,6),Inflation_Year,Inflation_NominaltoReal),TRUE,_xlfn.XLOOKUP($FY286,Inflation_Year,NominaltoReal)))</f>
        <v>0</v>
      </c>
      <c r="GC286" s="146" cm="1">
        <f t="array" ref="GC286">IF($FY286=0,0,_xlfn.IFS($FY286='Key assumptions'!$C$120,_xlfn.XLOOKUP(LEFT(GC$7,6),Inflation_Year,Inflation_NominaltoReal),TRUE,_xlfn.XLOOKUP($FY286,Inflation_Year,NominaltoReal)))</f>
        <v>0</v>
      </c>
      <c r="GD286" s="146" cm="1">
        <f t="array" ref="GD286">IF($FY286=0,0,_xlfn.IFS($FY286='Key assumptions'!$C$120,_xlfn.XLOOKUP(LEFT(GD$7,6),Inflation_Year,Inflation_NominaltoReal),TRUE,_xlfn.XLOOKUP($FY286,Inflation_Year,NominaltoReal)))</f>
        <v>0</v>
      </c>
      <c r="GE286" s="146" cm="1">
        <f t="array" ref="GE286">IF($FY286=0,0,_xlfn.IFS($FY286='Key assumptions'!$C$120,_xlfn.XLOOKUP(LEFT(GE$7,6),Inflation_Year,Inflation_NominaltoReal),TRUE,_xlfn.XLOOKUP($FY286,Inflation_Year,NominaltoReal)))</f>
        <v>0</v>
      </c>
      <c r="GF286" s="146" cm="1">
        <f t="array" ref="GF286">IF($FY286=0,0,_xlfn.IFS($FY286='Key assumptions'!$C$120,_xlfn.XLOOKUP(LEFT(GF$7,6),Inflation_Year,Inflation_NominaltoReal),TRUE,_xlfn.XLOOKUP($FY286,Inflation_Year,NominaltoReal)))</f>
        <v>0</v>
      </c>
      <c r="GG286" s="143"/>
      <c r="GH286" s="145" cm="1">
        <f t="array" ref="GH286">SUMPRODUCT(--($CR$7:$FW$7&gt;=GH$5),--($CR$7:$FW$7&lt;=GH$6),$CR286:$FW286)*FZ286</f>
        <v>0</v>
      </c>
      <c r="GI286" s="145" cm="1">
        <f t="array" ref="GI286">SUMPRODUCT(--($CR$7:$FW$7&gt;=GI$5),--($CR$7:$FW$7&lt;=GI$6),$CR286:$FW286)*GA286</f>
        <v>0</v>
      </c>
      <c r="GJ286" s="145" cm="1">
        <f t="array" ref="GJ286">SUMPRODUCT(--($CR$7:$FW$7&gt;=GJ$5),--($CR$7:$FW$7&lt;=GJ$6),$CR286:$FW286)*GB286</f>
        <v>0</v>
      </c>
      <c r="GK286" s="145" cm="1">
        <f t="array" ref="GK286">SUMPRODUCT(--($CR$7:$FW$7&gt;=GK$5),--($CR$7:$FW$7&lt;=GK$6),$CR286:$FW286)*GC286</f>
        <v>0</v>
      </c>
      <c r="GL286" s="145" cm="1">
        <f t="array" ref="GL286">SUMPRODUCT(--($CR$7:$FW$7&gt;=GL$5),--($CR$7:$FW$7&lt;=GL$6),$CR286:$FW286)*GD286</f>
        <v>0</v>
      </c>
      <c r="GM286" s="145" cm="1">
        <f t="array" ref="GM286">SUMPRODUCT(--($CR$7:$FW$7&gt;=GM$5),--($CR$7:$FW$7&lt;=GM$6),$CR286:$FW286)*GE286</f>
        <v>0</v>
      </c>
      <c r="GN286" s="145" cm="1">
        <f t="array" ref="GN286">SUMPRODUCT(--($CR$7:$FW$7&gt;=GN$5),--($CR$7:$FW$7&lt;=GN$6),$CR286:$FW286)*GF286</f>
        <v>0</v>
      </c>
      <c r="GO286" s="145">
        <f t="shared" si="4"/>
        <v>0</v>
      </c>
      <c r="GP286" s="87"/>
      <c r="GR286" s="145" cm="1">
        <f t="array" ref="GR286">SUMPRODUCT(--($CR$7:$FW$7&gt;=GR$5),--($CR$7:$FW$7&lt;=GR$6),$CR286:$FW286)</f>
        <v>0</v>
      </c>
    </row>
    <row r="287" spans="2:200" x14ac:dyDescent="0.2">
      <c r="B287" s="141"/>
      <c r="C287" s="141"/>
      <c r="D287" s="141"/>
      <c r="E287" s="141"/>
      <c r="F287" s="141"/>
      <c r="G287" s="141"/>
      <c r="H287" s="142"/>
      <c r="I287" s="126"/>
      <c r="J287" s="143"/>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3"/>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c r="EE287" s="145"/>
      <c r="EF287" s="145"/>
      <c r="EG287" s="145"/>
      <c r="EH287" s="145"/>
      <c r="EI287" s="145"/>
      <c r="EJ287" s="145"/>
      <c r="EK287" s="145"/>
      <c r="EL287" s="145"/>
      <c r="EM287" s="145"/>
      <c r="EN287" s="145"/>
      <c r="EO287" s="145"/>
      <c r="EP287" s="145"/>
      <c r="EQ287" s="145"/>
      <c r="ER287" s="145"/>
      <c r="ES287" s="145"/>
      <c r="ET287" s="145"/>
      <c r="EU287" s="145"/>
      <c r="EV287" s="145"/>
      <c r="EW287" s="145"/>
      <c r="EX287" s="145"/>
      <c r="EY287" s="145"/>
      <c r="EZ287" s="145"/>
      <c r="FA287" s="145"/>
      <c r="FB287" s="145"/>
      <c r="FC287" s="145"/>
      <c r="FD287" s="145"/>
      <c r="FE287" s="145"/>
      <c r="FF287" s="145"/>
      <c r="FG287" s="145"/>
      <c r="FH287" s="145"/>
      <c r="FI287" s="145"/>
      <c r="FJ287" s="145"/>
      <c r="FK287" s="145"/>
      <c r="FL287" s="145"/>
      <c r="FM287" s="145"/>
      <c r="FN287" s="145"/>
      <c r="FO287" s="145"/>
      <c r="FP287" s="145"/>
      <c r="FQ287" s="145"/>
      <c r="FR287" s="145"/>
      <c r="FS287" s="145"/>
      <c r="FT287" s="145"/>
      <c r="FU287" s="145"/>
      <c r="FV287" s="145"/>
      <c r="FW287" s="145"/>
      <c r="FX287" s="143"/>
      <c r="FY287" s="146">
        <f>_xlfn.XLOOKUP($E287,'Key assumptions'!$B$112:$B$120,'Key assumptions'!$C$112:$C$120,0)</f>
        <v>0</v>
      </c>
      <c r="FZ287" s="146" cm="1">
        <f t="array" ref="FZ287">IF($FY287=0,0,_xlfn.IFS($FY287='Key assumptions'!$C$120,_xlfn.XLOOKUP(LEFT(FZ$7,6),Inflation_Year,Inflation_NominaltoReal),TRUE,_xlfn.XLOOKUP($FY287,Inflation_Year,NominaltoReal)))</f>
        <v>0</v>
      </c>
      <c r="GA287" s="146" cm="1">
        <f t="array" ref="GA287">IF($FY287=0,0,_xlfn.IFS($FY287='Key assumptions'!$C$120,_xlfn.XLOOKUP(LEFT(GA$7,6),Inflation_Year,Inflation_NominaltoReal),TRUE,_xlfn.XLOOKUP($FY287,Inflation_Year,NominaltoReal)))</f>
        <v>0</v>
      </c>
      <c r="GB287" s="146" cm="1">
        <f t="array" ref="GB287">IF($FY287=0,0,_xlfn.IFS($FY287='Key assumptions'!$C$120,_xlfn.XLOOKUP(LEFT(GB$7,6),Inflation_Year,Inflation_NominaltoReal),TRUE,_xlfn.XLOOKUP($FY287,Inflation_Year,NominaltoReal)))</f>
        <v>0</v>
      </c>
      <c r="GC287" s="146" cm="1">
        <f t="array" ref="GC287">IF($FY287=0,0,_xlfn.IFS($FY287='Key assumptions'!$C$120,_xlfn.XLOOKUP(LEFT(GC$7,6),Inflation_Year,Inflation_NominaltoReal),TRUE,_xlfn.XLOOKUP($FY287,Inflation_Year,NominaltoReal)))</f>
        <v>0</v>
      </c>
      <c r="GD287" s="146" cm="1">
        <f t="array" ref="GD287">IF($FY287=0,0,_xlfn.IFS($FY287='Key assumptions'!$C$120,_xlfn.XLOOKUP(LEFT(GD$7,6),Inflation_Year,Inflation_NominaltoReal),TRUE,_xlfn.XLOOKUP($FY287,Inflation_Year,NominaltoReal)))</f>
        <v>0</v>
      </c>
      <c r="GE287" s="146" cm="1">
        <f t="array" ref="GE287">IF($FY287=0,0,_xlfn.IFS($FY287='Key assumptions'!$C$120,_xlfn.XLOOKUP(LEFT(GE$7,6),Inflation_Year,Inflation_NominaltoReal),TRUE,_xlfn.XLOOKUP($FY287,Inflation_Year,NominaltoReal)))</f>
        <v>0</v>
      </c>
      <c r="GF287" s="146" cm="1">
        <f t="array" ref="GF287">IF($FY287=0,0,_xlfn.IFS($FY287='Key assumptions'!$C$120,_xlfn.XLOOKUP(LEFT(GF$7,6),Inflation_Year,Inflation_NominaltoReal),TRUE,_xlfn.XLOOKUP($FY287,Inflation_Year,NominaltoReal)))</f>
        <v>0</v>
      </c>
      <c r="GG287" s="143"/>
      <c r="GH287" s="145" cm="1">
        <f t="array" ref="GH287">SUMPRODUCT(--($CR$7:$FW$7&gt;=GH$5),--($CR$7:$FW$7&lt;=GH$6),$CR287:$FW287)*FZ287</f>
        <v>0</v>
      </c>
      <c r="GI287" s="145" cm="1">
        <f t="array" ref="GI287">SUMPRODUCT(--($CR$7:$FW$7&gt;=GI$5),--($CR$7:$FW$7&lt;=GI$6),$CR287:$FW287)*GA287</f>
        <v>0</v>
      </c>
      <c r="GJ287" s="145" cm="1">
        <f t="array" ref="GJ287">SUMPRODUCT(--($CR$7:$FW$7&gt;=GJ$5),--($CR$7:$FW$7&lt;=GJ$6),$CR287:$FW287)*GB287</f>
        <v>0</v>
      </c>
      <c r="GK287" s="145" cm="1">
        <f t="array" ref="GK287">SUMPRODUCT(--($CR$7:$FW$7&gt;=GK$5),--($CR$7:$FW$7&lt;=GK$6),$CR287:$FW287)*GC287</f>
        <v>0</v>
      </c>
      <c r="GL287" s="145" cm="1">
        <f t="array" ref="GL287">SUMPRODUCT(--($CR$7:$FW$7&gt;=GL$5),--($CR$7:$FW$7&lt;=GL$6),$CR287:$FW287)*GD287</f>
        <v>0</v>
      </c>
      <c r="GM287" s="145" cm="1">
        <f t="array" ref="GM287">SUMPRODUCT(--($CR$7:$FW$7&gt;=GM$5),--($CR$7:$FW$7&lt;=GM$6),$CR287:$FW287)*GE287</f>
        <v>0</v>
      </c>
      <c r="GN287" s="145" cm="1">
        <f t="array" ref="GN287">SUMPRODUCT(--($CR$7:$FW$7&gt;=GN$5),--($CR$7:$FW$7&lt;=GN$6),$CR287:$FW287)*GF287</f>
        <v>0</v>
      </c>
      <c r="GO287" s="145">
        <f t="shared" si="4"/>
        <v>0</v>
      </c>
      <c r="GP287" s="87"/>
      <c r="GR287" s="145" cm="1">
        <f t="array" ref="GR287">SUMPRODUCT(--($CR$7:$FW$7&gt;=GR$5),--($CR$7:$FW$7&lt;=GR$6),$CR287:$FW287)</f>
        <v>0</v>
      </c>
    </row>
    <row r="288" spans="2:200" x14ac:dyDescent="0.2">
      <c r="B288" s="141"/>
      <c r="C288" s="141"/>
      <c r="D288" s="141"/>
      <c r="E288" s="141"/>
      <c r="F288" s="141"/>
      <c r="G288" s="141"/>
      <c r="H288" s="142"/>
      <c r="I288" s="126"/>
      <c r="J288" s="143"/>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3"/>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c r="EE288" s="145"/>
      <c r="EF288" s="145"/>
      <c r="EG288" s="145"/>
      <c r="EH288" s="145"/>
      <c r="EI288" s="145"/>
      <c r="EJ288" s="145"/>
      <c r="EK288" s="145"/>
      <c r="EL288" s="145"/>
      <c r="EM288" s="145"/>
      <c r="EN288" s="145"/>
      <c r="EO288" s="145"/>
      <c r="EP288" s="145"/>
      <c r="EQ288" s="145"/>
      <c r="ER288" s="145"/>
      <c r="ES288" s="145"/>
      <c r="ET288" s="145"/>
      <c r="EU288" s="145"/>
      <c r="EV288" s="145"/>
      <c r="EW288" s="145"/>
      <c r="EX288" s="145"/>
      <c r="EY288" s="145"/>
      <c r="EZ288" s="145"/>
      <c r="FA288" s="145"/>
      <c r="FB288" s="145"/>
      <c r="FC288" s="145"/>
      <c r="FD288" s="145"/>
      <c r="FE288" s="145"/>
      <c r="FF288" s="145"/>
      <c r="FG288" s="145"/>
      <c r="FH288" s="145"/>
      <c r="FI288" s="145"/>
      <c r="FJ288" s="145"/>
      <c r="FK288" s="145"/>
      <c r="FL288" s="145"/>
      <c r="FM288" s="145"/>
      <c r="FN288" s="145"/>
      <c r="FO288" s="145"/>
      <c r="FP288" s="145"/>
      <c r="FQ288" s="145"/>
      <c r="FR288" s="145"/>
      <c r="FS288" s="145"/>
      <c r="FT288" s="145"/>
      <c r="FU288" s="145"/>
      <c r="FV288" s="145"/>
      <c r="FW288" s="145"/>
      <c r="FX288" s="143"/>
      <c r="FY288" s="146">
        <f>_xlfn.XLOOKUP($E288,'Key assumptions'!$B$112:$B$120,'Key assumptions'!$C$112:$C$120,0)</f>
        <v>0</v>
      </c>
      <c r="FZ288" s="146" cm="1">
        <f t="array" ref="FZ288">IF($FY288=0,0,_xlfn.IFS($FY288='Key assumptions'!$C$120,_xlfn.XLOOKUP(LEFT(FZ$7,6),Inflation_Year,Inflation_NominaltoReal),TRUE,_xlfn.XLOOKUP($FY288,Inflation_Year,NominaltoReal)))</f>
        <v>0</v>
      </c>
      <c r="GA288" s="146" cm="1">
        <f t="array" ref="GA288">IF($FY288=0,0,_xlfn.IFS($FY288='Key assumptions'!$C$120,_xlfn.XLOOKUP(LEFT(GA$7,6),Inflation_Year,Inflation_NominaltoReal),TRUE,_xlfn.XLOOKUP($FY288,Inflation_Year,NominaltoReal)))</f>
        <v>0</v>
      </c>
      <c r="GB288" s="146" cm="1">
        <f t="array" ref="GB288">IF($FY288=0,0,_xlfn.IFS($FY288='Key assumptions'!$C$120,_xlfn.XLOOKUP(LEFT(GB$7,6),Inflation_Year,Inflation_NominaltoReal),TRUE,_xlfn.XLOOKUP($FY288,Inflation_Year,NominaltoReal)))</f>
        <v>0</v>
      </c>
      <c r="GC288" s="146" cm="1">
        <f t="array" ref="GC288">IF($FY288=0,0,_xlfn.IFS($FY288='Key assumptions'!$C$120,_xlfn.XLOOKUP(LEFT(GC$7,6),Inflation_Year,Inflation_NominaltoReal),TRUE,_xlfn.XLOOKUP($FY288,Inflation_Year,NominaltoReal)))</f>
        <v>0</v>
      </c>
      <c r="GD288" s="146" cm="1">
        <f t="array" ref="GD288">IF($FY288=0,0,_xlfn.IFS($FY288='Key assumptions'!$C$120,_xlfn.XLOOKUP(LEFT(GD$7,6),Inflation_Year,Inflation_NominaltoReal),TRUE,_xlfn.XLOOKUP($FY288,Inflation_Year,NominaltoReal)))</f>
        <v>0</v>
      </c>
      <c r="GE288" s="146" cm="1">
        <f t="array" ref="GE288">IF($FY288=0,0,_xlfn.IFS($FY288='Key assumptions'!$C$120,_xlfn.XLOOKUP(LEFT(GE$7,6),Inflation_Year,Inflation_NominaltoReal),TRUE,_xlfn.XLOOKUP($FY288,Inflation_Year,NominaltoReal)))</f>
        <v>0</v>
      </c>
      <c r="GF288" s="146" cm="1">
        <f t="array" ref="GF288">IF($FY288=0,0,_xlfn.IFS($FY288='Key assumptions'!$C$120,_xlfn.XLOOKUP(LEFT(GF$7,6),Inflation_Year,Inflation_NominaltoReal),TRUE,_xlfn.XLOOKUP($FY288,Inflation_Year,NominaltoReal)))</f>
        <v>0</v>
      </c>
      <c r="GG288" s="143"/>
      <c r="GH288" s="145" cm="1">
        <f t="array" ref="GH288">SUMPRODUCT(--($CR$7:$FW$7&gt;=GH$5),--($CR$7:$FW$7&lt;=GH$6),$CR288:$FW288)*FZ288</f>
        <v>0</v>
      </c>
      <c r="GI288" s="145" cm="1">
        <f t="array" ref="GI288">SUMPRODUCT(--($CR$7:$FW$7&gt;=GI$5),--($CR$7:$FW$7&lt;=GI$6),$CR288:$FW288)*GA288</f>
        <v>0</v>
      </c>
      <c r="GJ288" s="145" cm="1">
        <f t="array" ref="GJ288">SUMPRODUCT(--($CR$7:$FW$7&gt;=GJ$5),--($CR$7:$FW$7&lt;=GJ$6),$CR288:$FW288)*GB288</f>
        <v>0</v>
      </c>
      <c r="GK288" s="145" cm="1">
        <f t="array" ref="GK288">SUMPRODUCT(--($CR$7:$FW$7&gt;=GK$5),--($CR$7:$FW$7&lt;=GK$6),$CR288:$FW288)*GC288</f>
        <v>0</v>
      </c>
      <c r="GL288" s="145" cm="1">
        <f t="array" ref="GL288">SUMPRODUCT(--($CR$7:$FW$7&gt;=GL$5),--($CR$7:$FW$7&lt;=GL$6),$CR288:$FW288)*GD288</f>
        <v>0</v>
      </c>
      <c r="GM288" s="145" cm="1">
        <f t="array" ref="GM288">SUMPRODUCT(--($CR$7:$FW$7&gt;=GM$5),--($CR$7:$FW$7&lt;=GM$6),$CR288:$FW288)*GE288</f>
        <v>0</v>
      </c>
      <c r="GN288" s="145" cm="1">
        <f t="array" ref="GN288">SUMPRODUCT(--($CR$7:$FW$7&gt;=GN$5),--($CR$7:$FW$7&lt;=GN$6),$CR288:$FW288)*GF288</f>
        <v>0</v>
      </c>
      <c r="GO288" s="145">
        <f t="shared" si="4"/>
        <v>0</v>
      </c>
      <c r="GP288" s="87"/>
      <c r="GR288" s="145" cm="1">
        <f t="array" ref="GR288">SUMPRODUCT(--($CR$7:$FW$7&gt;=GR$5),--($CR$7:$FW$7&lt;=GR$6),$CR288:$FW288)</f>
        <v>0</v>
      </c>
    </row>
    <row r="289" spans="1:200" x14ac:dyDescent="0.2">
      <c r="B289" s="114"/>
      <c r="C289" s="114"/>
      <c r="D289" s="114"/>
      <c r="E289" s="114"/>
      <c r="F289" s="79"/>
      <c r="G289" s="79"/>
      <c r="H289" s="114"/>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X289" s="110"/>
      <c r="FY289" s="110"/>
      <c r="FZ289" s="110"/>
      <c r="GA289" s="110"/>
      <c r="GB289" s="110"/>
      <c r="GC289" s="110"/>
      <c r="GD289" s="110"/>
      <c r="GE289" s="110"/>
      <c r="GF289" s="110"/>
      <c r="GG289" s="110"/>
      <c r="GH289" s="110"/>
      <c r="GI289" s="110"/>
      <c r="GJ289" s="110"/>
      <c r="GK289" s="110"/>
      <c r="GL289" s="110"/>
      <c r="GM289" s="110"/>
      <c r="GN289" s="110"/>
      <c r="GO289" s="110"/>
      <c r="GP289" s="87"/>
      <c r="GR289" s="110"/>
    </row>
    <row r="290" spans="1:200" ht="26.25" customHeight="1" x14ac:dyDescent="0.2">
      <c r="A290" s="160"/>
      <c r="B290" s="160"/>
      <c r="C290" s="71"/>
      <c r="D290" s="71"/>
      <c r="E290" s="74"/>
      <c r="F290" s="74"/>
      <c r="G290" s="74"/>
      <c r="H290" s="74"/>
      <c r="I290" s="152"/>
      <c r="J290" s="71"/>
      <c r="K290" s="71"/>
      <c r="L290" s="71"/>
      <c r="M290" s="71"/>
      <c r="N290" s="71"/>
      <c r="O290" s="71"/>
      <c r="P290" s="71"/>
      <c r="Q290" s="71"/>
      <c r="R290" s="71"/>
      <c r="S290" s="152"/>
      <c r="T290" s="152"/>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c r="DM290" s="71"/>
      <c r="DN290" s="71"/>
      <c r="DO290" s="71"/>
      <c r="DP290" s="71"/>
      <c r="DQ290" s="71"/>
      <c r="DR290" s="71"/>
      <c r="DS290" s="71"/>
      <c r="DT290" s="71"/>
      <c r="DU290" s="71"/>
      <c r="DV290" s="71"/>
      <c r="DW290" s="71"/>
      <c r="DX290" s="71"/>
      <c r="DY290" s="71"/>
      <c r="DZ290" s="71"/>
      <c r="EA290" s="71"/>
      <c r="EB290" s="71"/>
      <c r="EC290" s="71"/>
      <c r="ED290" s="7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71"/>
      <c r="GD290" s="71"/>
      <c r="GE290" s="71"/>
      <c r="GF290" s="71"/>
      <c r="GG290" s="71"/>
      <c r="GH290" s="152"/>
      <c r="GI290" s="152"/>
      <c r="GJ290" s="71"/>
      <c r="GK290" s="71"/>
      <c r="GL290" s="71"/>
      <c r="GM290" s="71"/>
      <c r="GN290" s="71"/>
      <c r="GO290" s="152"/>
      <c r="GP290" s="71"/>
      <c r="GR290" s="152"/>
    </row>
    <row r="291" spans="1:200" x14ac:dyDescent="0.2">
      <c r="B291" s="114"/>
      <c r="C291" s="114"/>
      <c r="D291" s="114"/>
      <c r="E291" s="114"/>
      <c r="F291" s="79"/>
      <c r="G291" s="79"/>
      <c r="H291" s="114"/>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X291" s="110"/>
      <c r="FY291" s="110"/>
      <c r="FZ291" s="110"/>
      <c r="GA291" s="110"/>
      <c r="GB291" s="110"/>
      <c r="GC291" s="110"/>
      <c r="GD291" s="110"/>
      <c r="GE291" s="110"/>
      <c r="GF291" s="110"/>
      <c r="GG291" s="110"/>
      <c r="GH291" s="110"/>
      <c r="GI291" s="110"/>
      <c r="GJ291" s="110"/>
      <c r="GK291" s="110"/>
      <c r="GL291" s="110"/>
      <c r="GM291" s="110"/>
      <c r="GN291" s="110"/>
      <c r="GO291" s="110"/>
      <c r="GP291" s="87"/>
      <c r="GR291" s="110"/>
    </row>
    <row r="292" spans="1:200" x14ac:dyDescent="0.2">
      <c r="B292" s="114"/>
      <c r="C292" s="114"/>
      <c r="D292" s="114"/>
      <c r="E292" s="114"/>
      <c r="F292" s="79"/>
      <c r="G292" s="79"/>
      <c r="H292" s="114"/>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X292" s="110"/>
      <c r="FY292" s="110"/>
      <c r="FZ292" s="110"/>
      <c r="GA292" s="110"/>
      <c r="GB292" s="110"/>
      <c r="GC292" s="110"/>
      <c r="GD292" s="110"/>
      <c r="GE292" s="110"/>
      <c r="GF292" s="110"/>
      <c r="GG292" s="110"/>
      <c r="GH292" s="110"/>
      <c r="GI292" s="110"/>
      <c r="GJ292" s="110"/>
      <c r="GK292" s="110"/>
      <c r="GL292" s="110"/>
      <c r="GM292" s="110"/>
      <c r="GN292" s="110"/>
      <c r="GO292" s="110"/>
      <c r="GP292" s="110"/>
      <c r="GR292" s="110"/>
    </row>
    <row r="293" spans="1:200" x14ac:dyDescent="0.2">
      <c r="B293" s="114"/>
      <c r="C293" s="114"/>
      <c r="D293" s="114"/>
      <c r="E293" s="114"/>
      <c r="F293" s="79"/>
      <c r="G293" s="79"/>
      <c r="H293" s="114"/>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X293" s="110"/>
      <c r="FY293" s="110"/>
      <c r="FZ293" s="110"/>
      <c r="GA293" s="110"/>
      <c r="GB293" s="110"/>
      <c r="GC293" s="110"/>
      <c r="GD293" s="110"/>
      <c r="GE293" s="110"/>
      <c r="GF293" s="110"/>
      <c r="GG293" s="110"/>
      <c r="GH293" s="110"/>
      <c r="GI293" s="110"/>
      <c r="GJ293" s="110"/>
      <c r="GK293" s="110"/>
      <c r="GL293" s="110"/>
      <c r="GM293" s="110"/>
      <c r="GN293" s="110"/>
      <c r="GO293" s="110"/>
      <c r="GP293" s="110"/>
      <c r="GR293" s="110"/>
    </row>
  </sheetData>
  <conditionalFormatting sqref="C4:J6">
    <cfRule type="cellIs" dxfId="151" priority="3" operator="equal">
      <formula>"OK"</formula>
    </cfRule>
  </conditionalFormatting>
  <conditionalFormatting sqref="FY8:GF288">
    <cfRule type="expression" dxfId="150" priority="2">
      <formula>$M8="Manual $ Spread"</formula>
    </cfRule>
  </conditionalFormatting>
  <conditionalFormatting sqref="GP7">
    <cfRule type="cellIs" dxfId="149" priority="4" operator="equal">
      <formula>"ERROR"</formula>
    </cfRule>
    <cfRule type="cellIs" dxfId="148" priority="5" operator="equal">
      <formula>"OK"</formula>
    </cfRule>
    <cfRule type="expression" dxfId="147" priority="6">
      <formula>$AK7="Manual $ Spread"</formula>
    </cfRule>
  </conditionalFormatting>
  <conditionalFormatting sqref="GQ8:GQ21 GS8:GY21">
    <cfRule type="expression" dxfId="146" priority="96">
      <formula>$AK8="Manual $ Spread"</formula>
    </cfRule>
  </conditionalFormatting>
  <conditionalFormatting sqref="GQ22:GQ34 GS22:GY34">
    <cfRule type="expression" dxfId="145" priority="30">
      <formula>$AK22="Manual $ Spread"</formula>
    </cfRule>
  </conditionalFormatting>
  <dataValidations count="2">
    <dataValidation type="list" allowBlank="1" showInputMessage="1" showErrorMessage="1" sqref="AK22:AK34" xr:uid="{E05DED1C-BA29-4D93-9844-1AC7CACAC07F}">
      <formula1>"System Rate,Manual Rate,Manual $ Spread"</formula1>
    </dataValidation>
    <dataValidation type="list" allowBlank="1" showInputMessage="1" showErrorMessage="1" sqref="C8:C34 F22:G34" xr:uid="{243E8B29-D8EE-4B1B-BF69-8798550DDC10}">
      <formula1>"Labour, Expense"</formula1>
    </dataValidation>
  </dataValidations>
  <pageMargins left="0.7" right="0.7" top="0.75" bottom="0.75" header="0.3" footer="0.3"/>
  <pageSetup orientation="portrait" r:id="rId1"/>
  <headerFooter>
    <oddFooter>&amp;L_x000D_&amp;1#&amp;"Aptos"&amp;10&amp;K000000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E4052-060F-4FF3-B571-B449393EBADD}">
  <sheetPr codeName="Sheet8">
    <tabColor rgb="FFFFFF00"/>
    <pageSetUpPr autoPageBreaks="0"/>
  </sheetPr>
  <dimension ref="A1:GS293"/>
  <sheetViews>
    <sheetView showGridLines="0" zoomScaleNormal="100" workbookViewId="0">
      <pane xSplit="3" ySplit="7" topLeftCell="GG8" activePane="bottomRight" state="frozen"/>
      <selection activeCell="A2" sqref="A2"/>
      <selection pane="topRight" activeCell="A2" sqref="A2"/>
      <selection pane="bottomLeft" activeCell="A2" sqref="A2"/>
      <selection pane="bottomRight"/>
    </sheetView>
  </sheetViews>
  <sheetFormatPr defaultColWidth="8.88671875" defaultRowHeight="12.75" outlineLevelCol="1" x14ac:dyDescent="0.2"/>
  <cols>
    <col min="1" max="1" width="3.88671875" style="65" customWidth="1"/>
    <col min="2" max="2" width="23.109375" style="65" customWidth="1"/>
    <col min="3" max="3" width="72.109375" style="65" customWidth="1"/>
    <col min="4" max="4" width="10.33203125" style="65" customWidth="1"/>
    <col min="5" max="5" width="10.33203125" style="77" customWidth="1"/>
    <col min="6" max="8" width="10.33203125" style="77" customWidth="1" outlineLevel="1"/>
    <col min="9" max="9" width="10.33203125" style="79" customWidth="1"/>
    <col min="10" max="91" width="10.33203125" style="65" customWidth="1" outlineLevel="1"/>
    <col min="92" max="92" width="10.33203125" style="65" customWidth="1" outlineLevel="1" collapsed="1"/>
    <col min="93" max="175" width="10.33203125" style="65" customWidth="1" outlineLevel="1"/>
    <col min="176" max="176" width="10.33203125" style="65" customWidth="1" outlineLevel="1" collapsed="1"/>
    <col min="177" max="178" width="10.33203125" style="65" customWidth="1" outlineLevel="1"/>
    <col min="179" max="201" width="10.33203125" style="65" customWidth="1"/>
    <col min="202" max="16384" width="8.88671875" style="65"/>
  </cols>
  <sheetData>
    <row r="1" spans="1:201" ht="35.25" customHeight="1" x14ac:dyDescent="0.2">
      <c r="A1" s="67" t="str">
        <f>Overview!$B$1</f>
        <v>Labour and overhead costs for Accelerated Syncons</v>
      </c>
      <c r="B1" s="67"/>
      <c r="C1" s="68"/>
      <c r="D1" s="68"/>
      <c r="E1" s="70"/>
      <c r="F1" s="70"/>
      <c r="G1" s="70"/>
      <c r="H1" s="70"/>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row>
    <row r="2" spans="1:201" ht="26.25" customHeight="1" x14ac:dyDescent="0.2">
      <c r="A2" s="72" t="s">
        <v>159</v>
      </c>
      <c r="B2" s="72"/>
      <c r="C2" s="71"/>
      <c r="D2" s="71"/>
      <c r="E2" s="74"/>
      <c r="F2" s="74"/>
      <c r="G2" s="74"/>
      <c r="H2" s="74"/>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row>
    <row r="3" spans="1:201" x14ac:dyDescent="0.2">
      <c r="I3" s="65"/>
      <c r="GP3" s="77"/>
    </row>
    <row r="4" spans="1:201" s="87" customFormat="1" ht="16.5" customHeight="1" x14ac:dyDescent="0.2">
      <c r="B4" s="132" t="str" cm="1">
        <f t="array" ref="B4:FW4">dsheaders2</f>
        <v>Item details</v>
      </c>
      <c r="C4" s="133">
        <v>0</v>
      </c>
      <c r="D4" s="133">
        <v>0</v>
      </c>
      <c r="E4" s="133">
        <v>0</v>
      </c>
      <c r="F4" s="133">
        <v>0</v>
      </c>
      <c r="G4" s="133">
        <v>0</v>
      </c>
      <c r="H4" s="132">
        <v>0</v>
      </c>
      <c r="I4" s="132">
        <v>0</v>
      </c>
      <c r="J4" s="134" t="str">
        <v>blank</v>
      </c>
      <c r="K4" s="132" t="str">
        <v>FTEs (internal labour) / Proportions (non-labour and contracted labour)</v>
      </c>
      <c r="L4" s="132">
        <v>0</v>
      </c>
      <c r="M4" s="132">
        <v>0</v>
      </c>
      <c r="N4" s="132">
        <v>0</v>
      </c>
      <c r="O4" s="132">
        <v>0</v>
      </c>
      <c r="P4" s="132">
        <v>0</v>
      </c>
      <c r="Q4" s="132">
        <v>0</v>
      </c>
      <c r="R4" s="132">
        <v>0</v>
      </c>
      <c r="S4" s="132">
        <v>0</v>
      </c>
      <c r="T4" s="132">
        <v>0</v>
      </c>
      <c r="U4" s="132">
        <v>0</v>
      </c>
      <c r="V4" s="132">
        <v>0</v>
      </c>
      <c r="W4" s="132">
        <v>0</v>
      </c>
      <c r="X4" s="132">
        <v>0</v>
      </c>
      <c r="Y4" s="132">
        <v>0</v>
      </c>
      <c r="Z4" s="132">
        <v>0</v>
      </c>
      <c r="AA4" s="132">
        <v>0</v>
      </c>
      <c r="AB4" s="132">
        <v>0</v>
      </c>
      <c r="AC4" s="132">
        <v>0</v>
      </c>
      <c r="AD4" s="132">
        <v>0</v>
      </c>
      <c r="AE4" s="132">
        <v>0</v>
      </c>
      <c r="AF4" s="132">
        <v>0</v>
      </c>
      <c r="AG4" s="132">
        <v>0</v>
      </c>
      <c r="AH4" s="132">
        <v>0</v>
      </c>
      <c r="AI4" s="132">
        <v>0</v>
      </c>
      <c r="AJ4" s="132">
        <v>0</v>
      </c>
      <c r="AK4" s="132">
        <v>0</v>
      </c>
      <c r="AL4" s="132">
        <v>0</v>
      </c>
      <c r="AM4" s="132">
        <v>0</v>
      </c>
      <c r="AN4" s="132">
        <v>0</v>
      </c>
      <c r="AO4" s="132">
        <v>0</v>
      </c>
      <c r="AP4" s="132">
        <v>0</v>
      </c>
      <c r="AQ4" s="132">
        <v>0</v>
      </c>
      <c r="AR4" s="132">
        <v>0</v>
      </c>
      <c r="AS4" s="132">
        <v>0</v>
      </c>
      <c r="AT4" s="132">
        <v>0</v>
      </c>
      <c r="AU4" s="132">
        <v>0</v>
      </c>
      <c r="AV4" s="132">
        <v>0</v>
      </c>
      <c r="AW4" s="132">
        <v>0</v>
      </c>
      <c r="AX4" s="132">
        <v>0</v>
      </c>
      <c r="AY4" s="132">
        <v>0</v>
      </c>
      <c r="AZ4" s="132">
        <v>0</v>
      </c>
      <c r="BA4" s="132">
        <v>0</v>
      </c>
      <c r="BB4" s="132">
        <v>0</v>
      </c>
      <c r="BC4" s="132">
        <v>0</v>
      </c>
      <c r="BD4" s="132">
        <v>0</v>
      </c>
      <c r="BE4" s="132">
        <v>0</v>
      </c>
      <c r="BF4" s="132">
        <v>0</v>
      </c>
      <c r="BG4" s="132">
        <v>0</v>
      </c>
      <c r="BH4" s="132">
        <v>0</v>
      </c>
      <c r="BI4" s="132">
        <v>0</v>
      </c>
      <c r="BJ4" s="132">
        <v>0</v>
      </c>
      <c r="BK4" s="132">
        <v>0</v>
      </c>
      <c r="BL4" s="132">
        <v>0</v>
      </c>
      <c r="BM4" s="132">
        <v>0</v>
      </c>
      <c r="BN4" s="132">
        <v>0</v>
      </c>
      <c r="BO4" s="132">
        <v>0</v>
      </c>
      <c r="BP4" s="132">
        <v>0</v>
      </c>
      <c r="BQ4" s="132">
        <v>0</v>
      </c>
      <c r="BR4" s="132">
        <v>0</v>
      </c>
      <c r="BS4" s="132">
        <v>0</v>
      </c>
      <c r="BT4" s="132">
        <v>0</v>
      </c>
      <c r="BU4" s="132">
        <v>0</v>
      </c>
      <c r="BV4" s="132">
        <v>0</v>
      </c>
      <c r="BW4" s="132">
        <v>0</v>
      </c>
      <c r="BX4" s="132">
        <v>0</v>
      </c>
      <c r="BY4" s="132">
        <v>0</v>
      </c>
      <c r="BZ4" s="132">
        <v>0</v>
      </c>
      <c r="CA4" s="132">
        <v>0</v>
      </c>
      <c r="CB4" s="132">
        <v>0</v>
      </c>
      <c r="CC4" s="132">
        <v>0</v>
      </c>
      <c r="CD4" s="132">
        <v>0</v>
      </c>
      <c r="CE4" s="132">
        <v>0</v>
      </c>
      <c r="CF4" s="132">
        <v>0</v>
      </c>
      <c r="CG4" s="132">
        <v>0</v>
      </c>
      <c r="CH4" s="132">
        <v>0</v>
      </c>
      <c r="CI4" s="132">
        <v>0</v>
      </c>
      <c r="CJ4" s="132">
        <v>0</v>
      </c>
      <c r="CK4" s="132">
        <v>0</v>
      </c>
      <c r="CL4" s="132">
        <v>0</v>
      </c>
      <c r="CM4" s="132">
        <v>0</v>
      </c>
      <c r="CN4" s="132">
        <v>0</v>
      </c>
      <c r="CO4" s="132">
        <v>0</v>
      </c>
      <c r="CP4" s="132">
        <v>0</v>
      </c>
      <c r="CQ4" s="134" t="str">
        <v>blank</v>
      </c>
      <c r="CR4" s="132" t="str">
        <v>Costs</v>
      </c>
      <c r="CS4" s="132">
        <v>0</v>
      </c>
      <c r="CT4" s="132">
        <v>0</v>
      </c>
      <c r="CU4" s="132">
        <v>0</v>
      </c>
      <c r="CV4" s="132">
        <v>0</v>
      </c>
      <c r="CW4" s="132">
        <v>0</v>
      </c>
      <c r="CX4" s="132">
        <v>0</v>
      </c>
      <c r="CY4" s="132">
        <v>0</v>
      </c>
      <c r="CZ4" s="132">
        <v>0</v>
      </c>
      <c r="DA4" s="132">
        <v>0</v>
      </c>
      <c r="DB4" s="132">
        <v>0</v>
      </c>
      <c r="DC4" s="132">
        <v>0</v>
      </c>
      <c r="DD4" s="132">
        <v>0</v>
      </c>
      <c r="DE4" s="132">
        <v>0</v>
      </c>
      <c r="DF4" s="132">
        <v>0</v>
      </c>
      <c r="DG4" s="132">
        <v>0</v>
      </c>
      <c r="DH4" s="132">
        <v>0</v>
      </c>
      <c r="DI4" s="132">
        <v>0</v>
      </c>
      <c r="DJ4" s="132">
        <v>0</v>
      </c>
      <c r="DK4" s="132">
        <v>0</v>
      </c>
      <c r="DL4" s="132">
        <v>0</v>
      </c>
      <c r="DM4" s="132">
        <v>0</v>
      </c>
      <c r="DN4" s="132">
        <v>0</v>
      </c>
      <c r="DO4" s="132">
        <v>0</v>
      </c>
      <c r="DP4" s="132">
        <v>0</v>
      </c>
      <c r="DQ4" s="132">
        <v>0</v>
      </c>
      <c r="DR4" s="132">
        <v>0</v>
      </c>
      <c r="DS4" s="132">
        <v>0</v>
      </c>
      <c r="DT4" s="132">
        <v>0</v>
      </c>
      <c r="DU4" s="132">
        <v>0</v>
      </c>
      <c r="DV4" s="132">
        <v>0</v>
      </c>
      <c r="DW4" s="132">
        <v>0</v>
      </c>
      <c r="DX4" s="132">
        <v>0</v>
      </c>
      <c r="DY4" s="132">
        <v>0</v>
      </c>
      <c r="DZ4" s="132">
        <v>0</v>
      </c>
      <c r="EA4" s="132">
        <v>0</v>
      </c>
      <c r="EB4" s="132">
        <v>0</v>
      </c>
      <c r="EC4" s="132">
        <v>0</v>
      </c>
      <c r="ED4" s="132">
        <v>0</v>
      </c>
      <c r="EE4" s="132">
        <v>0</v>
      </c>
      <c r="EF4" s="132">
        <v>0</v>
      </c>
      <c r="EG4" s="132">
        <v>0</v>
      </c>
      <c r="EH4" s="132">
        <v>0</v>
      </c>
      <c r="EI4" s="132">
        <v>0</v>
      </c>
      <c r="EJ4" s="132">
        <v>0</v>
      </c>
      <c r="EK4" s="132">
        <v>0</v>
      </c>
      <c r="EL4" s="132">
        <v>0</v>
      </c>
      <c r="EM4" s="132">
        <v>0</v>
      </c>
      <c r="EN4" s="132">
        <v>0</v>
      </c>
      <c r="EO4" s="132">
        <v>0</v>
      </c>
      <c r="EP4" s="132">
        <v>0</v>
      </c>
      <c r="EQ4" s="132">
        <v>0</v>
      </c>
      <c r="ER4" s="132">
        <v>0</v>
      </c>
      <c r="ES4" s="132">
        <v>0</v>
      </c>
      <c r="ET4" s="132">
        <v>0</v>
      </c>
      <c r="EU4" s="132">
        <v>0</v>
      </c>
      <c r="EV4" s="132">
        <v>0</v>
      </c>
      <c r="EW4" s="132">
        <v>0</v>
      </c>
      <c r="EX4" s="132">
        <v>0</v>
      </c>
      <c r="EY4" s="132">
        <v>0</v>
      </c>
      <c r="EZ4" s="132">
        <v>0</v>
      </c>
      <c r="FA4" s="132">
        <v>0</v>
      </c>
      <c r="FB4" s="132">
        <v>0</v>
      </c>
      <c r="FC4" s="132">
        <v>0</v>
      </c>
      <c r="FD4" s="132">
        <v>0</v>
      </c>
      <c r="FE4" s="132">
        <v>0</v>
      </c>
      <c r="FF4" s="132">
        <v>0</v>
      </c>
      <c r="FG4" s="132">
        <v>0</v>
      </c>
      <c r="FH4" s="132">
        <v>0</v>
      </c>
      <c r="FI4" s="132">
        <v>0</v>
      </c>
      <c r="FJ4" s="132">
        <v>0</v>
      </c>
      <c r="FK4" s="132">
        <v>0</v>
      </c>
      <c r="FL4" s="132">
        <v>0</v>
      </c>
      <c r="FM4" s="132">
        <v>0</v>
      </c>
      <c r="FN4" s="132">
        <v>0</v>
      </c>
      <c r="FO4" s="132">
        <v>0</v>
      </c>
      <c r="FP4" s="132">
        <v>0</v>
      </c>
      <c r="FQ4" s="132">
        <v>0</v>
      </c>
      <c r="FR4" s="132">
        <v>0</v>
      </c>
      <c r="FS4" s="132">
        <v>0</v>
      </c>
      <c r="FT4" s="132">
        <v>0</v>
      </c>
      <c r="FU4" s="132">
        <v>0</v>
      </c>
      <c r="FV4" s="132">
        <v>0</v>
      </c>
      <c r="FW4" s="132">
        <v>0</v>
      </c>
      <c r="FX4" s="134"/>
      <c r="FY4" s="132" t="s">
        <v>147</v>
      </c>
      <c r="FZ4" s="132"/>
      <c r="GA4" s="132"/>
      <c r="GB4" s="132"/>
      <c r="GC4" s="132"/>
      <c r="GD4" s="132"/>
      <c r="GE4" s="132"/>
      <c r="GF4" s="132"/>
      <c r="GG4" s="134"/>
      <c r="GH4" s="132" t="s">
        <v>148</v>
      </c>
      <c r="GI4" s="132" t="str">
        <f>"(Real "&amp;'Key assumptions'!$D$11&amp;")"</f>
        <v>(Real $RY2026)</v>
      </c>
      <c r="GJ4" s="132"/>
      <c r="GK4" s="132"/>
      <c r="GL4" s="132"/>
      <c r="GM4" s="132"/>
      <c r="GN4" s="132"/>
      <c r="GO4" s="132"/>
      <c r="GP4" s="132"/>
      <c r="GR4" s="132" t="s">
        <v>255</v>
      </c>
    </row>
    <row r="5" spans="1:201" s="87" customFormat="1" ht="16.5" customHeight="1" x14ac:dyDescent="0.2">
      <c r="B5" s="138"/>
      <c r="C5" s="139"/>
      <c r="D5" s="139"/>
      <c r="E5" s="139"/>
      <c r="F5" s="139"/>
      <c r="G5" s="139"/>
      <c r="H5" s="138"/>
      <c r="I5" s="138"/>
      <c r="J5" s="134"/>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4"/>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4"/>
      <c r="FY5" s="137"/>
      <c r="FZ5" s="137"/>
      <c r="GA5" s="137"/>
      <c r="GB5" s="137"/>
      <c r="GC5" s="137"/>
      <c r="GD5" s="137"/>
      <c r="GE5" s="137"/>
      <c r="GF5" s="137"/>
      <c r="GG5" s="134"/>
      <c r="GH5" s="137" cm="1">
        <f t="array" ref="GH5:GN6">'Key assumptions'!$H$17:$N$18</f>
        <v>46054</v>
      </c>
      <c r="GI5" s="137">
        <v>46296</v>
      </c>
      <c r="GJ5" s="137">
        <v>46661</v>
      </c>
      <c r="GK5" s="137">
        <v>47027</v>
      </c>
      <c r="GL5" s="137">
        <v>47392</v>
      </c>
      <c r="GM5" s="137">
        <v>47757</v>
      </c>
      <c r="GN5" s="137">
        <v>48122</v>
      </c>
      <c r="GO5" s="137"/>
      <c r="GP5" s="137"/>
      <c r="GR5" s="137">
        <v>46054</v>
      </c>
    </row>
    <row r="6" spans="1:201" s="87" customFormat="1" ht="16.5" customHeight="1" x14ac:dyDescent="0.2">
      <c r="B6" s="138"/>
      <c r="C6" s="139"/>
      <c r="D6" s="139"/>
      <c r="E6" s="139"/>
      <c r="F6" s="139"/>
      <c r="G6" s="139"/>
      <c r="H6" s="138"/>
      <c r="I6" s="138"/>
      <c r="J6" s="134"/>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4"/>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4"/>
      <c r="FY6" s="137"/>
      <c r="FZ6" s="137"/>
      <c r="GA6" s="137"/>
      <c r="GB6" s="137"/>
      <c r="GC6" s="137"/>
      <c r="GD6" s="137"/>
      <c r="GE6" s="137"/>
      <c r="GF6" s="137"/>
      <c r="GG6" s="134"/>
      <c r="GH6" s="137">
        <v>46295</v>
      </c>
      <c r="GI6" s="137">
        <v>46660</v>
      </c>
      <c r="GJ6" s="137">
        <v>47026</v>
      </c>
      <c r="GK6" s="137">
        <v>47391</v>
      </c>
      <c r="GL6" s="137">
        <v>47756</v>
      </c>
      <c r="GM6" s="137">
        <v>48121</v>
      </c>
      <c r="GN6" s="137">
        <v>48487</v>
      </c>
      <c r="GO6" s="137"/>
      <c r="GP6" s="137"/>
      <c r="GR6" s="137">
        <v>46203</v>
      </c>
    </row>
    <row r="7" spans="1:201" s="153" customFormat="1" ht="38.25" x14ac:dyDescent="0.2">
      <c r="B7" s="135" t="str" cm="1">
        <f t="array" ref="B7:FW7">ds_headers</f>
        <v>Broader cost category</v>
      </c>
      <c r="C7" s="135" t="str">
        <v>Item</v>
      </c>
      <c r="D7" s="135" t="str">
        <v>Internal or Non-Labour</v>
      </c>
      <c r="E7" s="135" t="str">
        <v>Dollar Basis (Nominal / Real FY)</v>
      </c>
      <c r="F7" s="135" t="str">
        <v>Existing or New</v>
      </c>
      <c r="G7" s="135" t="str">
        <v>Normal time / over time</v>
      </c>
      <c r="H7" s="136" t="str">
        <v>BaseRate</v>
      </c>
      <c r="I7" s="136" t="str">
        <v>Total cost</v>
      </c>
      <c r="J7" s="154">
        <v>0</v>
      </c>
      <c r="K7" s="155">
        <v>45658</v>
      </c>
      <c r="L7" s="155">
        <v>45689</v>
      </c>
      <c r="M7" s="155">
        <v>45717</v>
      </c>
      <c r="N7" s="155">
        <v>45748</v>
      </c>
      <c r="O7" s="155">
        <v>45778</v>
      </c>
      <c r="P7" s="155">
        <v>45809</v>
      </c>
      <c r="Q7" s="155">
        <v>45839</v>
      </c>
      <c r="R7" s="155">
        <v>45870</v>
      </c>
      <c r="S7" s="155">
        <v>45901</v>
      </c>
      <c r="T7" s="155">
        <v>45931</v>
      </c>
      <c r="U7" s="155">
        <v>45962</v>
      </c>
      <c r="V7" s="155">
        <v>45992</v>
      </c>
      <c r="W7" s="155">
        <v>46023</v>
      </c>
      <c r="X7" s="155">
        <v>46054</v>
      </c>
      <c r="Y7" s="155">
        <v>46082</v>
      </c>
      <c r="Z7" s="155">
        <v>46113</v>
      </c>
      <c r="AA7" s="155">
        <v>46143</v>
      </c>
      <c r="AB7" s="155">
        <v>46174</v>
      </c>
      <c r="AC7" s="155">
        <v>46204</v>
      </c>
      <c r="AD7" s="155">
        <v>46235</v>
      </c>
      <c r="AE7" s="155">
        <v>46266</v>
      </c>
      <c r="AF7" s="155">
        <v>46296</v>
      </c>
      <c r="AG7" s="155">
        <v>46327</v>
      </c>
      <c r="AH7" s="155">
        <v>46357</v>
      </c>
      <c r="AI7" s="155">
        <v>46388</v>
      </c>
      <c r="AJ7" s="155">
        <v>46419</v>
      </c>
      <c r="AK7" s="155">
        <v>46447</v>
      </c>
      <c r="AL7" s="155">
        <v>46478</v>
      </c>
      <c r="AM7" s="155">
        <v>46508</v>
      </c>
      <c r="AN7" s="155">
        <v>46539</v>
      </c>
      <c r="AO7" s="155">
        <v>46569</v>
      </c>
      <c r="AP7" s="155">
        <v>46600</v>
      </c>
      <c r="AQ7" s="155">
        <v>46631</v>
      </c>
      <c r="AR7" s="155">
        <v>46661</v>
      </c>
      <c r="AS7" s="155">
        <v>46692</v>
      </c>
      <c r="AT7" s="155">
        <v>46722</v>
      </c>
      <c r="AU7" s="155">
        <v>46753</v>
      </c>
      <c r="AV7" s="155">
        <v>46784</v>
      </c>
      <c r="AW7" s="155">
        <v>46813</v>
      </c>
      <c r="AX7" s="155">
        <v>46844</v>
      </c>
      <c r="AY7" s="155">
        <v>46874</v>
      </c>
      <c r="AZ7" s="155">
        <v>46905</v>
      </c>
      <c r="BA7" s="155">
        <v>46935</v>
      </c>
      <c r="BB7" s="155">
        <v>46966</v>
      </c>
      <c r="BC7" s="155">
        <v>46997</v>
      </c>
      <c r="BD7" s="155">
        <v>47027</v>
      </c>
      <c r="BE7" s="155">
        <v>47058</v>
      </c>
      <c r="BF7" s="155">
        <v>47088</v>
      </c>
      <c r="BG7" s="155">
        <v>47119</v>
      </c>
      <c r="BH7" s="155">
        <v>47150</v>
      </c>
      <c r="BI7" s="155">
        <v>47178</v>
      </c>
      <c r="BJ7" s="155">
        <v>47209</v>
      </c>
      <c r="BK7" s="155">
        <v>47239</v>
      </c>
      <c r="BL7" s="155">
        <v>47270</v>
      </c>
      <c r="BM7" s="155">
        <v>47300</v>
      </c>
      <c r="BN7" s="155">
        <v>47331</v>
      </c>
      <c r="BO7" s="155">
        <v>47362</v>
      </c>
      <c r="BP7" s="155">
        <v>47392</v>
      </c>
      <c r="BQ7" s="155">
        <v>47423</v>
      </c>
      <c r="BR7" s="155">
        <v>47453</v>
      </c>
      <c r="BS7" s="155">
        <v>47514</v>
      </c>
      <c r="BT7" s="155">
        <v>47542</v>
      </c>
      <c r="BU7" s="155">
        <v>47573</v>
      </c>
      <c r="BV7" s="155">
        <v>47603</v>
      </c>
      <c r="BW7" s="155">
        <v>47634</v>
      </c>
      <c r="BX7" s="155">
        <v>47664</v>
      </c>
      <c r="BY7" s="155">
        <v>47695</v>
      </c>
      <c r="BZ7" s="155">
        <v>47726</v>
      </c>
      <c r="CA7" s="155">
        <v>47756</v>
      </c>
      <c r="CB7" s="155">
        <v>47787</v>
      </c>
      <c r="CC7" s="155">
        <v>47817</v>
      </c>
      <c r="CD7" s="155">
        <v>47848</v>
      </c>
      <c r="CE7" s="155">
        <v>47879</v>
      </c>
      <c r="CF7" s="155">
        <v>47907</v>
      </c>
      <c r="CG7" s="155">
        <v>47938</v>
      </c>
      <c r="CH7" s="155">
        <v>47968</v>
      </c>
      <c r="CI7" s="155">
        <v>47999</v>
      </c>
      <c r="CJ7" s="155">
        <v>48029</v>
      </c>
      <c r="CK7" s="155">
        <v>48060</v>
      </c>
      <c r="CL7" s="155">
        <v>48091</v>
      </c>
      <c r="CM7" s="155">
        <v>48121</v>
      </c>
      <c r="CN7" s="155">
        <v>48152</v>
      </c>
      <c r="CO7" s="155">
        <v>48182</v>
      </c>
      <c r="CP7" s="155">
        <v>48213</v>
      </c>
      <c r="CQ7" s="154">
        <v>0</v>
      </c>
      <c r="CR7" s="156">
        <v>45658</v>
      </c>
      <c r="CS7" s="156">
        <v>45689</v>
      </c>
      <c r="CT7" s="156">
        <v>45717</v>
      </c>
      <c r="CU7" s="156">
        <v>45748</v>
      </c>
      <c r="CV7" s="156">
        <v>45778</v>
      </c>
      <c r="CW7" s="156">
        <v>45809</v>
      </c>
      <c r="CX7" s="156">
        <v>45839</v>
      </c>
      <c r="CY7" s="156">
        <v>45870</v>
      </c>
      <c r="CZ7" s="156">
        <v>45901</v>
      </c>
      <c r="DA7" s="156">
        <v>45931</v>
      </c>
      <c r="DB7" s="156">
        <v>45962</v>
      </c>
      <c r="DC7" s="156">
        <v>45992</v>
      </c>
      <c r="DD7" s="156">
        <v>46023</v>
      </c>
      <c r="DE7" s="156">
        <v>46054</v>
      </c>
      <c r="DF7" s="156">
        <v>46082</v>
      </c>
      <c r="DG7" s="156">
        <v>46113</v>
      </c>
      <c r="DH7" s="156">
        <v>46143</v>
      </c>
      <c r="DI7" s="156">
        <v>46174</v>
      </c>
      <c r="DJ7" s="156">
        <v>46204</v>
      </c>
      <c r="DK7" s="156">
        <v>46235</v>
      </c>
      <c r="DL7" s="156">
        <v>46266</v>
      </c>
      <c r="DM7" s="156">
        <v>46296</v>
      </c>
      <c r="DN7" s="156">
        <v>46327</v>
      </c>
      <c r="DO7" s="156">
        <v>46357</v>
      </c>
      <c r="DP7" s="156">
        <v>46388</v>
      </c>
      <c r="DQ7" s="156">
        <v>46419</v>
      </c>
      <c r="DR7" s="156">
        <v>46447</v>
      </c>
      <c r="DS7" s="156">
        <v>46478</v>
      </c>
      <c r="DT7" s="156">
        <v>46508</v>
      </c>
      <c r="DU7" s="156">
        <v>46539</v>
      </c>
      <c r="DV7" s="156">
        <v>46569</v>
      </c>
      <c r="DW7" s="156">
        <v>46600</v>
      </c>
      <c r="DX7" s="156">
        <v>46631</v>
      </c>
      <c r="DY7" s="156">
        <v>46661</v>
      </c>
      <c r="DZ7" s="156">
        <v>46692</v>
      </c>
      <c r="EA7" s="156">
        <v>46722</v>
      </c>
      <c r="EB7" s="156">
        <v>46753</v>
      </c>
      <c r="EC7" s="156">
        <v>46784</v>
      </c>
      <c r="ED7" s="156">
        <v>46813</v>
      </c>
      <c r="EE7" s="156">
        <v>46844</v>
      </c>
      <c r="EF7" s="156">
        <v>46874</v>
      </c>
      <c r="EG7" s="156">
        <v>46905</v>
      </c>
      <c r="EH7" s="156">
        <v>46935</v>
      </c>
      <c r="EI7" s="156">
        <v>46966</v>
      </c>
      <c r="EJ7" s="156">
        <v>46997</v>
      </c>
      <c r="EK7" s="156">
        <v>47027</v>
      </c>
      <c r="EL7" s="156">
        <v>47058</v>
      </c>
      <c r="EM7" s="156">
        <v>47088</v>
      </c>
      <c r="EN7" s="156">
        <v>47119</v>
      </c>
      <c r="EO7" s="156">
        <v>47150</v>
      </c>
      <c r="EP7" s="156">
        <v>47178</v>
      </c>
      <c r="EQ7" s="156">
        <v>47209</v>
      </c>
      <c r="ER7" s="156">
        <v>47239</v>
      </c>
      <c r="ES7" s="156">
        <v>47270</v>
      </c>
      <c r="ET7" s="156">
        <v>47300</v>
      </c>
      <c r="EU7" s="156">
        <v>47331</v>
      </c>
      <c r="EV7" s="156">
        <v>47362</v>
      </c>
      <c r="EW7" s="156">
        <v>47392</v>
      </c>
      <c r="EX7" s="156">
        <v>47423</v>
      </c>
      <c r="EY7" s="156">
        <v>47453</v>
      </c>
      <c r="EZ7" s="156">
        <v>47514</v>
      </c>
      <c r="FA7" s="156">
        <v>47542</v>
      </c>
      <c r="FB7" s="156">
        <v>47573</v>
      </c>
      <c r="FC7" s="156">
        <v>47603</v>
      </c>
      <c r="FD7" s="156">
        <v>47634</v>
      </c>
      <c r="FE7" s="156">
        <v>47664</v>
      </c>
      <c r="FF7" s="156">
        <v>47695</v>
      </c>
      <c r="FG7" s="156">
        <v>47726</v>
      </c>
      <c r="FH7" s="156">
        <v>47756</v>
      </c>
      <c r="FI7" s="156">
        <v>47787</v>
      </c>
      <c r="FJ7" s="156">
        <v>47817</v>
      </c>
      <c r="FK7" s="156">
        <v>47848</v>
      </c>
      <c r="FL7" s="156">
        <v>47879</v>
      </c>
      <c r="FM7" s="156">
        <v>47907</v>
      </c>
      <c r="FN7" s="156">
        <v>47938</v>
      </c>
      <c r="FO7" s="156">
        <v>47968</v>
      </c>
      <c r="FP7" s="156">
        <v>47999</v>
      </c>
      <c r="FQ7" s="156">
        <v>48029</v>
      </c>
      <c r="FR7" s="156">
        <v>48060</v>
      </c>
      <c r="FS7" s="156">
        <v>48091</v>
      </c>
      <c r="FT7" s="156">
        <v>48121</v>
      </c>
      <c r="FU7" s="156">
        <v>48152</v>
      </c>
      <c r="FV7" s="156">
        <v>48182</v>
      </c>
      <c r="FW7" s="156">
        <v>48213</v>
      </c>
      <c r="FX7" s="154"/>
      <c r="FY7" s="140" t="s">
        <v>50</v>
      </c>
      <c r="FZ7" s="140" t="str" cm="1">
        <f t="array" ref="FZ7:GF7">model_forecastperiod</f>
        <v>RY2026
01Feb-30Sep</v>
      </c>
      <c r="GA7" s="140" t="str">
        <v>RY2027</v>
      </c>
      <c r="GB7" s="140" t="str">
        <v>RY2028</v>
      </c>
      <c r="GC7" s="140" t="str">
        <v>RY2029</v>
      </c>
      <c r="GD7" s="140" t="str">
        <v>RY2030</v>
      </c>
      <c r="GE7" s="140" t="str">
        <v>RY2031</v>
      </c>
      <c r="GF7" s="140" t="str">
        <v>RY2032</v>
      </c>
      <c r="GG7" s="154"/>
      <c r="GH7" s="140" t="str" cm="1">
        <f t="array" ref="GH7:GN7">model_forecastperiod</f>
        <v>RY2026
01Feb-30Sep</v>
      </c>
      <c r="GI7" s="140" t="str">
        <v>RY2027</v>
      </c>
      <c r="GJ7" s="140" t="str">
        <v>RY2028</v>
      </c>
      <c r="GK7" s="140" t="str">
        <v>RY2029</v>
      </c>
      <c r="GL7" s="140" t="str">
        <v>RY2030</v>
      </c>
      <c r="GM7" s="140" t="str">
        <v>RY2031</v>
      </c>
      <c r="GN7" s="140" t="str">
        <v>RY2032</v>
      </c>
      <c r="GO7" s="140" t="s">
        <v>133</v>
      </c>
      <c r="GP7" s="157" t="str">
        <f>IF(ROUND(SUM(GH8:GN36288),5)=ROUND('Non-labour_calcs'!J24,5),"OK","ERROR")</f>
        <v>OK</v>
      </c>
      <c r="GR7" s="140" t="s">
        <v>254</v>
      </c>
    </row>
    <row r="8" spans="1:201" s="64" customFormat="1" x14ac:dyDescent="0.2">
      <c r="A8" s="65"/>
      <c r="B8" s="141" t="str" cm="1">
        <f t="array" ref="B8:FW34">_xlfn._xlws.FILTER(data_source,ds_labourcat="Non-labour")</f>
        <v>Other Support &amp; Corporate Roles</v>
      </c>
      <c r="C8" s="141" t="str">
        <v>Class B Initiatives</v>
      </c>
      <c r="D8" s="141" t="str">
        <v>Non-labour</v>
      </c>
      <c r="E8" s="141" t="str">
        <v>$ Nominal</v>
      </c>
      <c r="F8" s="141">
        <v>0</v>
      </c>
      <c r="G8" s="141" t="str">
        <v>Normal time</v>
      </c>
      <c r="H8" s="142">
        <v>0</v>
      </c>
      <c r="I8" s="126">
        <v>4999999.9999999991</v>
      </c>
      <c r="J8" s="143">
        <v>0</v>
      </c>
      <c r="K8" s="144">
        <v>0</v>
      </c>
      <c r="L8" s="144">
        <v>0</v>
      </c>
      <c r="M8" s="144">
        <v>0</v>
      </c>
      <c r="N8" s="144">
        <v>0</v>
      </c>
      <c r="O8" s="144">
        <v>0</v>
      </c>
      <c r="P8" s="144">
        <v>0</v>
      </c>
      <c r="Q8" s="144">
        <v>0</v>
      </c>
      <c r="R8" s="144">
        <v>0</v>
      </c>
      <c r="S8" s="144">
        <v>0</v>
      </c>
      <c r="T8" s="144">
        <v>0</v>
      </c>
      <c r="U8" s="144">
        <v>0</v>
      </c>
      <c r="V8" s="144">
        <v>0</v>
      </c>
      <c r="W8" s="144">
        <v>0</v>
      </c>
      <c r="X8" s="144">
        <v>0</v>
      </c>
      <c r="Y8" s="144">
        <v>0</v>
      </c>
      <c r="Z8" s="144">
        <v>0</v>
      </c>
      <c r="AA8" s="144">
        <v>0</v>
      </c>
      <c r="AB8" s="144">
        <v>0</v>
      </c>
      <c r="AC8" s="144">
        <v>0</v>
      </c>
      <c r="AD8" s="144">
        <v>0</v>
      </c>
      <c r="AE8" s="144">
        <v>0</v>
      </c>
      <c r="AF8" s="144">
        <v>0</v>
      </c>
      <c r="AG8" s="144">
        <v>0</v>
      </c>
      <c r="AH8" s="144">
        <v>0</v>
      </c>
      <c r="AI8" s="144">
        <v>0</v>
      </c>
      <c r="AJ8" s="144">
        <v>0</v>
      </c>
      <c r="AK8" s="144">
        <v>0</v>
      </c>
      <c r="AL8" s="144">
        <v>0</v>
      </c>
      <c r="AM8" s="144">
        <v>0</v>
      </c>
      <c r="AN8" s="144">
        <v>0</v>
      </c>
      <c r="AO8" s="144">
        <v>1.2032333286006158E-4</v>
      </c>
      <c r="AP8" s="144">
        <v>1.2032333286006158E-4</v>
      </c>
      <c r="AQ8" s="144">
        <v>1.2032333286006158E-4</v>
      </c>
      <c r="AR8" s="144">
        <v>1.2032333286006158E-4</v>
      </c>
      <c r="AS8" s="144">
        <v>1.2032333286006158E-4</v>
      </c>
      <c r="AT8" s="144">
        <v>1.2032333286006158E-4</v>
      </c>
      <c r="AU8" s="144">
        <v>1.2032333286006158E-4</v>
      </c>
      <c r="AV8" s="144">
        <v>1.2032333286006158E-4</v>
      </c>
      <c r="AW8" s="144">
        <v>1.2032333286006158E-4</v>
      </c>
      <c r="AX8" s="144">
        <v>1.2032333286006158E-4</v>
      </c>
      <c r="AY8" s="144">
        <v>1.2032333286006158E-4</v>
      </c>
      <c r="AZ8" s="144">
        <v>1.2032333286006158E-4</v>
      </c>
      <c r="BA8" s="144">
        <v>1.1679268597483354E-4</v>
      </c>
      <c r="BB8" s="144">
        <v>1.1679268597483354E-4</v>
      </c>
      <c r="BC8" s="144">
        <v>1.1679268597483354E-4</v>
      </c>
      <c r="BD8" s="144">
        <v>1.1679268597483354E-4</v>
      </c>
      <c r="BE8" s="144">
        <v>1.1679268597483354E-4</v>
      </c>
      <c r="BF8" s="144">
        <v>1.1679268597483354E-4</v>
      </c>
      <c r="BG8" s="144">
        <v>1.1679268597483354E-4</v>
      </c>
      <c r="BH8" s="144">
        <v>1.1679268597483354E-4</v>
      </c>
      <c r="BI8" s="144">
        <v>1.1679268597483354E-4</v>
      </c>
      <c r="BJ8" s="144">
        <v>1.1679268597483354E-4</v>
      </c>
      <c r="BK8" s="144">
        <v>0</v>
      </c>
      <c r="BL8" s="144">
        <v>0</v>
      </c>
      <c r="BM8" s="144">
        <v>0</v>
      </c>
      <c r="BN8" s="144">
        <v>0</v>
      </c>
      <c r="BO8" s="144">
        <v>0</v>
      </c>
      <c r="BP8" s="144">
        <v>0</v>
      </c>
      <c r="BQ8" s="144">
        <v>0</v>
      </c>
      <c r="BR8" s="144">
        <v>0</v>
      </c>
      <c r="BS8" s="144">
        <v>0</v>
      </c>
      <c r="BT8" s="144">
        <v>0</v>
      </c>
      <c r="BU8" s="144">
        <v>0</v>
      </c>
      <c r="BV8" s="144">
        <v>0</v>
      </c>
      <c r="BW8" s="144">
        <v>0</v>
      </c>
      <c r="BX8" s="144">
        <v>0</v>
      </c>
      <c r="BY8" s="144">
        <v>0</v>
      </c>
      <c r="BZ8" s="144">
        <v>0</v>
      </c>
      <c r="CA8" s="144">
        <v>0</v>
      </c>
      <c r="CB8" s="144">
        <v>0</v>
      </c>
      <c r="CC8" s="144">
        <v>0</v>
      </c>
      <c r="CD8" s="144">
        <v>0</v>
      </c>
      <c r="CE8" s="144">
        <v>0</v>
      </c>
      <c r="CF8" s="144">
        <v>0</v>
      </c>
      <c r="CG8" s="144">
        <v>0</v>
      </c>
      <c r="CH8" s="144">
        <v>0</v>
      </c>
      <c r="CI8" s="144">
        <v>0</v>
      </c>
      <c r="CJ8" s="144">
        <v>0</v>
      </c>
      <c r="CK8" s="144">
        <v>0</v>
      </c>
      <c r="CL8" s="144">
        <v>0</v>
      </c>
      <c r="CM8" s="144">
        <v>0</v>
      </c>
      <c r="CN8" s="144">
        <v>0</v>
      </c>
      <c r="CO8" s="144">
        <v>0</v>
      </c>
      <c r="CP8" s="144">
        <v>0</v>
      </c>
      <c r="CQ8" s="143">
        <v>0</v>
      </c>
      <c r="CR8" s="145">
        <v>0</v>
      </c>
      <c r="CS8" s="145">
        <v>0</v>
      </c>
      <c r="CT8" s="145">
        <v>0</v>
      </c>
      <c r="CU8" s="145">
        <v>0</v>
      </c>
      <c r="CV8" s="145">
        <v>0</v>
      </c>
      <c r="CW8" s="145">
        <v>0</v>
      </c>
      <c r="CX8" s="145">
        <v>0</v>
      </c>
      <c r="CY8" s="145">
        <v>0</v>
      </c>
      <c r="CZ8" s="145">
        <v>0</v>
      </c>
      <c r="DA8" s="145">
        <v>0</v>
      </c>
      <c r="DB8" s="145">
        <v>0</v>
      </c>
      <c r="DC8" s="145">
        <v>0</v>
      </c>
      <c r="DD8" s="145">
        <v>0</v>
      </c>
      <c r="DE8" s="145">
        <v>0</v>
      </c>
      <c r="DF8" s="145">
        <v>0</v>
      </c>
      <c r="DG8" s="145">
        <v>0</v>
      </c>
      <c r="DH8" s="145">
        <v>0</v>
      </c>
      <c r="DI8" s="145">
        <v>0</v>
      </c>
      <c r="DJ8" s="145">
        <v>0</v>
      </c>
      <c r="DK8" s="145">
        <v>0</v>
      </c>
      <c r="DL8" s="145">
        <v>0</v>
      </c>
      <c r="DM8" s="145">
        <v>0</v>
      </c>
      <c r="DN8" s="145">
        <v>0</v>
      </c>
      <c r="DO8" s="145">
        <v>0</v>
      </c>
      <c r="DP8" s="145">
        <v>0</v>
      </c>
      <c r="DQ8" s="145">
        <v>0</v>
      </c>
      <c r="DR8" s="145">
        <v>0</v>
      </c>
      <c r="DS8" s="145">
        <v>0</v>
      </c>
      <c r="DT8" s="145">
        <v>0</v>
      </c>
      <c r="DU8" s="145">
        <v>0</v>
      </c>
      <c r="DV8" s="145">
        <v>227272.72727272726</v>
      </c>
      <c r="DW8" s="145">
        <v>227272.72727272726</v>
      </c>
      <c r="DX8" s="145">
        <v>227272.72727272726</v>
      </c>
      <c r="DY8" s="145">
        <v>227272.72727272726</v>
      </c>
      <c r="DZ8" s="145">
        <v>227272.72727272726</v>
      </c>
      <c r="EA8" s="145">
        <v>227272.72727272726</v>
      </c>
      <c r="EB8" s="145">
        <v>227272.72727272726</v>
      </c>
      <c r="EC8" s="145">
        <v>227272.72727272726</v>
      </c>
      <c r="ED8" s="145">
        <v>227272.72727272726</v>
      </c>
      <c r="EE8" s="145">
        <v>227272.72727272726</v>
      </c>
      <c r="EF8" s="145">
        <v>227272.72727272726</v>
      </c>
      <c r="EG8" s="145">
        <v>227272.72727272726</v>
      </c>
      <c r="EH8" s="145">
        <v>227272.72727272726</v>
      </c>
      <c r="EI8" s="145">
        <v>227272.72727272726</v>
      </c>
      <c r="EJ8" s="145">
        <v>227272.72727272726</v>
      </c>
      <c r="EK8" s="145">
        <v>227272.72727272726</v>
      </c>
      <c r="EL8" s="145">
        <v>227272.72727272726</v>
      </c>
      <c r="EM8" s="145">
        <v>227272.72727272726</v>
      </c>
      <c r="EN8" s="145">
        <v>227272.72727272726</v>
      </c>
      <c r="EO8" s="145">
        <v>227272.72727272726</v>
      </c>
      <c r="EP8" s="145">
        <v>227272.72727272726</v>
      </c>
      <c r="EQ8" s="145">
        <v>227272.72727272726</v>
      </c>
      <c r="ER8" s="145">
        <v>0</v>
      </c>
      <c r="ES8" s="145">
        <v>0</v>
      </c>
      <c r="ET8" s="145">
        <v>0</v>
      </c>
      <c r="EU8" s="145">
        <v>0</v>
      </c>
      <c r="EV8" s="145">
        <v>0</v>
      </c>
      <c r="EW8" s="145">
        <v>0</v>
      </c>
      <c r="EX8" s="145">
        <v>0</v>
      </c>
      <c r="EY8" s="145">
        <v>0</v>
      </c>
      <c r="EZ8" s="145">
        <v>0</v>
      </c>
      <c r="FA8" s="145">
        <v>0</v>
      </c>
      <c r="FB8" s="145">
        <v>0</v>
      </c>
      <c r="FC8" s="145">
        <v>0</v>
      </c>
      <c r="FD8" s="145">
        <v>0</v>
      </c>
      <c r="FE8" s="145">
        <v>0</v>
      </c>
      <c r="FF8" s="145">
        <v>0</v>
      </c>
      <c r="FG8" s="145">
        <v>0</v>
      </c>
      <c r="FH8" s="145">
        <v>0</v>
      </c>
      <c r="FI8" s="145">
        <v>0</v>
      </c>
      <c r="FJ8" s="145">
        <v>0</v>
      </c>
      <c r="FK8" s="145">
        <v>0</v>
      </c>
      <c r="FL8" s="145">
        <v>0</v>
      </c>
      <c r="FM8" s="145">
        <v>0</v>
      </c>
      <c r="FN8" s="145">
        <v>0</v>
      </c>
      <c r="FO8" s="145">
        <v>0</v>
      </c>
      <c r="FP8" s="145">
        <v>0</v>
      </c>
      <c r="FQ8" s="145">
        <v>0</v>
      </c>
      <c r="FR8" s="145">
        <v>0</v>
      </c>
      <c r="FS8" s="145">
        <v>0</v>
      </c>
      <c r="FT8" s="145">
        <v>0</v>
      </c>
      <c r="FU8" s="145">
        <v>0</v>
      </c>
      <c r="FV8" s="145">
        <v>0</v>
      </c>
      <c r="FW8" s="145">
        <v>0</v>
      </c>
      <c r="FX8" s="143"/>
      <c r="FY8" s="146" t="str">
        <f>_xlfn.XLOOKUP($E8,'Key assumptions'!$B$112:$B$120,'Key assumptions'!$C$112:$C$120,0)</f>
        <v>Nominal</v>
      </c>
      <c r="FZ8" s="146" cm="1">
        <f t="array" ref="FZ8">IF($FY8=0,0,_xlfn.IFS($FY8='Key assumptions'!$C$120,_xlfn.XLOOKUP(LEFT(FZ$7,6),Inflation_Year,Inflation_NominaltoReal),TRUE,_xlfn.XLOOKUP($FY8,Inflation_Year,NominaltoReal)))</f>
        <v>1.0197075870962191</v>
      </c>
      <c r="GA8" s="146" cm="1">
        <f t="array" ref="GA8">IF($FY8=0,0,_xlfn.IFS($FY8='Key assumptions'!$C$120,_xlfn.XLOOKUP(LEFT(GA$7,6),Inflation_Year,Inflation_NominaltoReal),TRUE,_xlfn.XLOOKUP($FY8,Inflation_Year,NominaltoReal)))</f>
        <v>0.98700804022984445</v>
      </c>
      <c r="GB8" s="146" cm="1">
        <f t="array" ref="GB8">IF($FY8=0,0,_xlfn.IFS($FY8='Key assumptions'!$C$120,_xlfn.XLOOKUP(LEFT(GB$7,6),Inflation_Year,Inflation_NominaltoReal),TRUE,_xlfn.XLOOKUP($FY8,Inflation_Year,NominaltoReal)))</f>
        <v>0.96152830081941731</v>
      </c>
      <c r="GC8" s="146" cm="1">
        <f t="array" ref="GC8">IF($FY8=0,0,_xlfn.IFS($FY8='Key assumptions'!$C$120,_xlfn.XLOOKUP(LEFT(GC$7,6),Inflation_Year,Inflation_NominaltoReal),TRUE,_xlfn.XLOOKUP($FY8,Inflation_Year,NominaltoReal)))</f>
        <v>0.93670632415656829</v>
      </c>
      <c r="GD8" s="146" cm="1">
        <f t="array" ref="GD8">IF($FY8=0,0,_xlfn.IFS($FY8='Key assumptions'!$C$120,_xlfn.XLOOKUP(LEFT(GD$7,6),Inflation_Year,Inflation_NominaltoReal),TRUE,_xlfn.XLOOKUP($FY8,Inflation_Year,NominaltoReal)))</f>
        <v>0.91252513001143176</v>
      </c>
      <c r="GE8" s="146" cm="1">
        <f t="array" ref="GE8">IF($FY8=0,0,_xlfn.IFS($FY8='Key assumptions'!$C$120,_xlfn.XLOOKUP(LEFT(GE$7,6),Inflation_Year,Inflation_NominaltoReal),TRUE,_xlfn.XLOOKUP($FY8,Inflation_Year,NominaltoReal)))</f>
        <v>0.88896817650095872</v>
      </c>
      <c r="GF8" s="146" cm="1">
        <f t="array" ref="GF8">IF($FY8=0,0,_xlfn.IFS($FY8='Key assumptions'!$C$120,_xlfn.XLOOKUP(LEFT(GF$7,6),Inflation_Year,Inflation_NominaltoReal),TRUE,_xlfn.XLOOKUP($FY8,Inflation_Year,NominaltoReal)))</f>
        <v>0.86601934877293718</v>
      </c>
      <c r="GG8" s="143"/>
      <c r="GH8" s="145" cm="1">
        <f t="array" ref="GH8">SUMPRODUCT(--($CR$7:$FW$7&gt;=GH$5),--($CR$7:$FW$7&lt;=GH$6),$CR8:$FW8)*FZ8</f>
        <v>0</v>
      </c>
      <c r="GI8" s="145" cm="1">
        <f t="array" ref="GI8">SUMPRODUCT(--($CR$7:$FW$7&gt;=GI$5),--($CR$7:$FW$7&lt;=GI$6),$CR8:$FW8)*GA8</f>
        <v>672960.02742943936</v>
      </c>
      <c r="GJ8" s="145" cm="1">
        <f t="array" ref="GJ8">SUMPRODUCT(--($CR$7:$FW$7&gt;=GJ$5),--($CR$7:$FW$7&lt;=GJ$6),$CR8:$FW8)*GB8</f>
        <v>2622349.9113256829</v>
      </c>
      <c r="GK8" s="145" cm="1">
        <f t="array" ref="GK8">SUMPRODUCT(--($CR$7:$FW$7&gt;=GK$5),--($CR$7:$FW$7&lt;=GK$6),$CR8:$FW8)*GC8</f>
        <v>1490214.6066127222</v>
      </c>
      <c r="GL8" s="145" cm="1">
        <f t="array" ref="GL8">SUMPRODUCT(--($CR$7:$FW$7&gt;=GL$5),--($CR$7:$FW$7&lt;=GL$6),$CR8:$FW8)*GD8</f>
        <v>0</v>
      </c>
      <c r="GM8" s="145" cm="1">
        <f t="array" ref="GM8">SUMPRODUCT(--($CR$7:$FW$7&gt;=GM$5),--($CR$7:$FW$7&lt;=GM$6),$CR8:$FW8)*GE8</f>
        <v>0</v>
      </c>
      <c r="GN8" s="145" cm="1">
        <f t="array" ref="GN8">SUMPRODUCT(--($CR$7:$FW$7&gt;=GN$5),--($CR$7:$FW$7&lt;=GN$6),$CR8:$FW8)*GF8</f>
        <v>0</v>
      </c>
      <c r="GO8" s="145">
        <f t="shared" ref="GO8:GO71" si="0">SUM(GH8:GN8)</f>
        <v>4785524.5453678444</v>
      </c>
      <c r="GP8" s="87"/>
      <c r="GR8" s="145" cm="1">
        <f t="array" ref="GR8">SUMPRODUCT(--($CR$7:$FW$7&gt;=GR$5),--($CR$7:$FW$7&lt;=GR$6),$CR8:$FW8)</f>
        <v>0</v>
      </c>
    </row>
    <row r="9" spans="1:201" s="64" customFormat="1" x14ac:dyDescent="0.2">
      <c r="A9" s="65"/>
      <c r="B9" s="141" t="str">
        <v>Project Delivery Management - Project Management</v>
      </c>
      <c r="C9" s="141" t="str">
        <v>Project Office Rental</v>
      </c>
      <c r="D9" s="141" t="str">
        <v>Non-labour</v>
      </c>
      <c r="E9" s="141" t="str">
        <v>$ Nominal</v>
      </c>
      <c r="F9" s="141">
        <v>0</v>
      </c>
      <c r="G9" s="141" t="str">
        <v/>
      </c>
      <c r="H9" s="142">
        <v>0</v>
      </c>
      <c r="I9" s="126">
        <v>1540000</v>
      </c>
      <c r="J9" s="143">
        <v>0</v>
      </c>
      <c r="K9" s="144">
        <v>0</v>
      </c>
      <c r="L9" s="144">
        <v>0</v>
      </c>
      <c r="M9" s="144">
        <v>0</v>
      </c>
      <c r="N9" s="144">
        <v>0</v>
      </c>
      <c r="O9" s="144">
        <v>0</v>
      </c>
      <c r="P9" s="144">
        <v>0</v>
      </c>
      <c r="Q9" s="144">
        <v>0</v>
      </c>
      <c r="R9" s="144">
        <v>0</v>
      </c>
      <c r="S9" s="144">
        <v>0</v>
      </c>
      <c r="T9" s="144">
        <v>0</v>
      </c>
      <c r="U9" s="144">
        <v>0</v>
      </c>
      <c r="V9" s="144">
        <v>0</v>
      </c>
      <c r="W9" s="144">
        <v>0</v>
      </c>
      <c r="X9" s="144">
        <v>0</v>
      </c>
      <c r="Y9" s="144">
        <v>0</v>
      </c>
      <c r="Z9" s="144">
        <v>2.8571428571428571E-2</v>
      </c>
      <c r="AA9" s="144">
        <v>2.8571428571428571E-2</v>
      </c>
      <c r="AB9" s="144">
        <v>2.8571428571428571E-2</v>
      </c>
      <c r="AC9" s="144">
        <v>2.8571428571428571E-2</v>
      </c>
      <c r="AD9" s="144">
        <v>2.8571428571428571E-2</v>
      </c>
      <c r="AE9" s="144">
        <v>2.8571428571428571E-2</v>
      </c>
      <c r="AF9" s="144">
        <v>2.8571428571428571E-2</v>
      </c>
      <c r="AG9" s="144">
        <v>2.8571428571428571E-2</v>
      </c>
      <c r="AH9" s="144">
        <v>2.8571428571428571E-2</v>
      </c>
      <c r="AI9" s="144">
        <v>2.8571428571428571E-2</v>
      </c>
      <c r="AJ9" s="144">
        <v>2.8571428571428571E-2</v>
      </c>
      <c r="AK9" s="144">
        <v>2.8571428571428571E-2</v>
      </c>
      <c r="AL9" s="144">
        <v>2.8571428571428571E-2</v>
      </c>
      <c r="AM9" s="144">
        <v>2.8571428571428571E-2</v>
      </c>
      <c r="AN9" s="144">
        <v>2.8571428571428571E-2</v>
      </c>
      <c r="AO9" s="144">
        <v>2.8571428571428571E-2</v>
      </c>
      <c r="AP9" s="144">
        <v>2.8571428571428571E-2</v>
      </c>
      <c r="AQ9" s="144">
        <v>2.8571428571428571E-2</v>
      </c>
      <c r="AR9" s="144">
        <v>2.8571428571428571E-2</v>
      </c>
      <c r="AS9" s="144">
        <v>2.8571428571428571E-2</v>
      </c>
      <c r="AT9" s="144">
        <v>2.8571428571428571E-2</v>
      </c>
      <c r="AU9" s="144">
        <v>2.8571428571428571E-2</v>
      </c>
      <c r="AV9" s="144">
        <v>2.8571428571428571E-2</v>
      </c>
      <c r="AW9" s="144">
        <v>2.8571428571428571E-2</v>
      </c>
      <c r="AX9" s="144">
        <v>2.8571428571428571E-2</v>
      </c>
      <c r="AY9" s="144">
        <v>2.8571428571428571E-2</v>
      </c>
      <c r="AZ9" s="144">
        <v>2.8571428571428571E-2</v>
      </c>
      <c r="BA9" s="144">
        <v>2.8571428571428571E-2</v>
      </c>
      <c r="BB9" s="144">
        <v>2.8571428571428571E-2</v>
      </c>
      <c r="BC9" s="144">
        <v>2.8571428571428571E-2</v>
      </c>
      <c r="BD9" s="144">
        <v>2.8571428571428571E-2</v>
      </c>
      <c r="BE9" s="144">
        <v>2.8571428571428571E-2</v>
      </c>
      <c r="BF9" s="144">
        <v>2.8571428571428571E-2</v>
      </c>
      <c r="BG9" s="144">
        <v>2.8571428571428571E-2</v>
      </c>
      <c r="BH9" s="144">
        <v>2.8571428571428571E-2</v>
      </c>
      <c r="BI9" s="144">
        <v>0</v>
      </c>
      <c r="BJ9" s="144">
        <v>0</v>
      </c>
      <c r="BK9" s="144">
        <v>0</v>
      </c>
      <c r="BL9" s="144">
        <v>0</v>
      </c>
      <c r="BM9" s="144">
        <v>0</v>
      </c>
      <c r="BN9" s="144">
        <v>0</v>
      </c>
      <c r="BO9" s="144">
        <v>0</v>
      </c>
      <c r="BP9" s="144">
        <v>0</v>
      </c>
      <c r="BQ9" s="144">
        <v>0</v>
      </c>
      <c r="BR9" s="144">
        <v>0</v>
      </c>
      <c r="BS9" s="144">
        <v>0</v>
      </c>
      <c r="BT9" s="144">
        <v>0</v>
      </c>
      <c r="BU9" s="144">
        <v>0</v>
      </c>
      <c r="BV9" s="144">
        <v>0</v>
      </c>
      <c r="BW9" s="144">
        <v>0</v>
      </c>
      <c r="BX9" s="144">
        <v>0</v>
      </c>
      <c r="BY9" s="144">
        <v>0</v>
      </c>
      <c r="BZ9" s="144">
        <v>0</v>
      </c>
      <c r="CA9" s="144">
        <v>0</v>
      </c>
      <c r="CB9" s="144">
        <v>0</v>
      </c>
      <c r="CC9" s="144">
        <v>0</v>
      </c>
      <c r="CD9" s="144">
        <v>0</v>
      </c>
      <c r="CE9" s="144">
        <v>0</v>
      </c>
      <c r="CF9" s="144">
        <v>0</v>
      </c>
      <c r="CG9" s="144">
        <v>0</v>
      </c>
      <c r="CH9" s="144">
        <v>0</v>
      </c>
      <c r="CI9" s="144">
        <v>0</v>
      </c>
      <c r="CJ9" s="144">
        <v>0</v>
      </c>
      <c r="CK9" s="144">
        <v>0</v>
      </c>
      <c r="CL9" s="144">
        <v>0</v>
      </c>
      <c r="CM9" s="144">
        <v>0</v>
      </c>
      <c r="CN9" s="144">
        <v>0</v>
      </c>
      <c r="CO9" s="144">
        <v>0</v>
      </c>
      <c r="CP9" s="144">
        <v>0</v>
      </c>
      <c r="CQ9" s="143">
        <v>0</v>
      </c>
      <c r="CR9" s="145">
        <v>0</v>
      </c>
      <c r="CS9" s="145">
        <v>0</v>
      </c>
      <c r="CT9" s="145">
        <v>0</v>
      </c>
      <c r="CU9" s="145">
        <v>0</v>
      </c>
      <c r="CV9" s="145">
        <v>0</v>
      </c>
      <c r="CW9" s="145">
        <v>0</v>
      </c>
      <c r="CX9" s="145">
        <v>0</v>
      </c>
      <c r="CY9" s="145">
        <v>0</v>
      </c>
      <c r="CZ9" s="145">
        <v>0</v>
      </c>
      <c r="DA9" s="145">
        <v>0</v>
      </c>
      <c r="DB9" s="145">
        <v>0</v>
      </c>
      <c r="DC9" s="145">
        <v>0</v>
      </c>
      <c r="DD9" s="145">
        <v>0</v>
      </c>
      <c r="DE9" s="145">
        <v>0</v>
      </c>
      <c r="DF9" s="145">
        <v>0</v>
      </c>
      <c r="DG9" s="145">
        <v>44000</v>
      </c>
      <c r="DH9" s="145">
        <v>44000</v>
      </c>
      <c r="DI9" s="145">
        <v>44000</v>
      </c>
      <c r="DJ9" s="145">
        <v>44000</v>
      </c>
      <c r="DK9" s="145">
        <v>44000</v>
      </c>
      <c r="DL9" s="145">
        <v>44000</v>
      </c>
      <c r="DM9" s="145">
        <v>44000</v>
      </c>
      <c r="DN9" s="145">
        <v>44000</v>
      </c>
      <c r="DO9" s="145">
        <v>44000</v>
      </c>
      <c r="DP9" s="145">
        <v>44000</v>
      </c>
      <c r="DQ9" s="145">
        <v>44000</v>
      </c>
      <c r="DR9" s="145">
        <v>44000</v>
      </c>
      <c r="DS9" s="145">
        <v>44000</v>
      </c>
      <c r="DT9" s="145">
        <v>44000</v>
      </c>
      <c r="DU9" s="145">
        <v>44000</v>
      </c>
      <c r="DV9" s="145">
        <v>44000</v>
      </c>
      <c r="DW9" s="145">
        <v>44000</v>
      </c>
      <c r="DX9" s="145">
        <v>44000</v>
      </c>
      <c r="DY9" s="145">
        <v>44000</v>
      </c>
      <c r="DZ9" s="145">
        <v>44000</v>
      </c>
      <c r="EA9" s="145">
        <v>44000</v>
      </c>
      <c r="EB9" s="145">
        <v>44000</v>
      </c>
      <c r="EC9" s="145">
        <v>44000</v>
      </c>
      <c r="ED9" s="145">
        <v>44000</v>
      </c>
      <c r="EE9" s="145">
        <v>44000</v>
      </c>
      <c r="EF9" s="145">
        <v>44000</v>
      </c>
      <c r="EG9" s="145">
        <v>44000</v>
      </c>
      <c r="EH9" s="145">
        <v>44000</v>
      </c>
      <c r="EI9" s="145">
        <v>44000</v>
      </c>
      <c r="EJ9" s="145">
        <v>44000</v>
      </c>
      <c r="EK9" s="145">
        <v>44000</v>
      </c>
      <c r="EL9" s="145">
        <v>44000</v>
      </c>
      <c r="EM9" s="145">
        <v>44000</v>
      </c>
      <c r="EN9" s="145">
        <v>44000</v>
      </c>
      <c r="EO9" s="145">
        <v>44000</v>
      </c>
      <c r="EP9" s="145">
        <v>0</v>
      </c>
      <c r="EQ9" s="145">
        <v>0</v>
      </c>
      <c r="ER9" s="145">
        <v>0</v>
      </c>
      <c r="ES9" s="145">
        <v>0</v>
      </c>
      <c r="ET9" s="145">
        <v>0</v>
      </c>
      <c r="EU9" s="145">
        <v>0</v>
      </c>
      <c r="EV9" s="145">
        <v>0</v>
      </c>
      <c r="EW9" s="145">
        <v>0</v>
      </c>
      <c r="EX9" s="145">
        <v>0</v>
      </c>
      <c r="EY9" s="145">
        <v>0</v>
      </c>
      <c r="EZ9" s="145">
        <v>0</v>
      </c>
      <c r="FA9" s="145">
        <v>0</v>
      </c>
      <c r="FB9" s="145">
        <v>0</v>
      </c>
      <c r="FC9" s="145">
        <v>0</v>
      </c>
      <c r="FD9" s="145">
        <v>0</v>
      </c>
      <c r="FE9" s="145">
        <v>0</v>
      </c>
      <c r="FF9" s="145">
        <v>0</v>
      </c>
      <c r="FG9" s="145">
        <v>0</v>
      </c>
      <c r="FH9" s="145">
        <v>0</v>
      </c>
      <c r="FI9" s="145">
        <v>0</v>
      </c>
      <c r="FJ9" s="145">
        <v>0</v>
      </c>
      <c r="FK9" s="145">
        <v>0</v>
      </c>
      <c r="FL9" s="145">
        <v>0</v>
      </c>
      <c r="FM9" s="145">
        <v>0</v>
      </c>
      <c r="FN9" s="145">
        <v>0</v>
      </c>
      <c r="FO9" s="145">
        <v>0</v>
      </c>
      <c r="FP9" s="145">
        <v>0</v>
      </c>
      <c r="FQ9" s="145">
        <v>0</v>
      </c>
      <c r="FR9" s="145">
        <v>0</v>
      </c>
      <c r="FS9" s="145">
        <v>0</v>
      </c>
      <c r="FT9" s="145">
        <v>0</v>
      </c>
      <c r="FU9" s="145">
        <v>0</v>
      </c>
      <c r="FV9" s="145">
        <v>0</v>
      </c>
      <c r="FW9" s="145">
        <v>0</v>
      </c>
      <c r="FX9" s="143"/>
      <c r="FY9" s="146" t="str">
        <f>_xlfn.XLOOKUP($E9,'Key assumptions'!$B$112:$B$120,'Key assumptions'!$C$112:$C$120,0)</f>
        <v>Nominal</v>
      </c>
      <c r="FZ9" s="146" cm="1">
        <f t="array" ref="FZ9">IF($FY9=0,0,_xlfn.IFS($FY9='Key assumptions'!$C$120,_xlfn.XLOOKUP(LEFT(FZ$7,6),Inflation_Year,Inflation_NominaltoReal),TRUE,_xlfn.XLOOKUP($FY9,Inflation_Year,NominaltoReal)))</f>
        <v>1.0197075870962191</v>
      </c>
      <c r="GA9" s="146" cm="1">
        <f t="array" ref="GA9">IF($FY9=0,0,_xlfn.IFS($FY9='Key assumptions'!$C$120,_xlfn.XLOOKUP(LEFT(GA$7,6),Inflation_Year,Inflation_NominaltoReal),TRUE,_xlfn.XLOOKUP($FY9,Inflation_Year,NominaltoReal)))</f>
        <v>0.98700804022984445</v>
      </c>
      <c r="GB9" s="146" cm="1">
        <f t="array" ref="GB9">IF($FY9=0,0,_xlfn.IFS($FY9='Key assumptions'!$C$120,_xlfn.XLOOKUP(LEFT(GB$7,6),Inflation_Year,Inflation_NominaltoReal),TRUE,_xlfn.XLOOKUP($FY9,Inflation_Year,NominaltoReal)))</f>
        <v>0.96152830081941731</v>
      </c>
      <c r="GC9" s="146" cm="1">
        <f t="array" ref="GC9">IF($FY9=0,0,_xlfn.IFS($FY9='Key assumptions'!$C$120,_xlfn.XLOOKUP(LEFT(GC$7,6),Inflation_Year,Inflation_NominaltoReal),TRUE,_xlfn.XLOOKUP($FY9,Inflation_Year,NominaltoReal)))</f>
        <v>0.93670632415656829</v>
      </c>
      <c r="GD9" s="146" cm="1">
        <f t="array" ref="GD9">IF($FY9=0,0,_xlfn.IFS($FY9='Key assumptions'!$C$120,_xlfn.XLOOKUP(LEFT(GD$7,6),Inflation_Year,Inflation_NominaltoReal),TRUE,_xlfn.XLOOKUP($FY9,Inflation_Year,NominaltoReal)))</f>
        <v>0.91252513001143176</v>
      </c>
      <c r="GE9" s="146" cm="1">
        <f t="array" ref="GE9">IF($FY9=0,0,_xlfn.IFS($FY9='Key assumptions'!$C$120,_xlfn.XLOOKUP(LEFT(GE$7,6),Inflation_Year,Inflation_NominaltoReal),TRUE,_xlfn.XLOOKUP($FY9,Inflation_Year,NominaltoReal)))</f>
        <v>0.88896817650095872</v>
      </c>
      <c r="GF9" s="146" cm="1">
        <f t="array" ref="GF9">IF($FY9=0,0,_xlfn.IFS($FY9='Key assumptions'!$C$120,_xlfn.XLOOKUP(LEFT(GF$7,6),Inflation_Year,Inflation_NominaltoReal),TRUE,_xlfn.XLOOKUP($FY9,Inflation_Year,NominaltoReal)))</f>
        <v>0.86601934877293718</v>
      </c>
      <c r="GG9" s="143"/>
      <c r="GH9" s="145" cm="1">
        <f t="array" ref="GH9">SUMPRODUCT(--($CR$7:$FW$7&gt;=GH$5),--($CR$7:$FW$7&lt;=GH$6),$CR9:$FW9)*FZ9</f>
        <v>269202.80299340183</v>
      </c>
      <c r="GI9" s="145" cm="1">
        <f t="array" ref="GI9">SUMPRODUCT(--($CR$7:$FW$7&gt;=GI$5),--($CR$7:$FW$7&lt;=GI$6),$CR9:$FW9)*GA9</f>
        <v>521140.24524135789</v>
      </c>
      <c r="GJ9" s="145" cm="1">
        <f t="array" ref="GJ9">SUMPRODUCT(--($CR$7:$FW$7&gt;=GJ$5),--($CR$7:$FW$7&lt;=GJ$6),$CR9:$FW9)*GB9</f>
        <v>507686.94283265236</v>
      </c>
      <c r="GK9" s="145" cm="1">
        <f t="array" ref="GK9">SUMPRODUCT(--($CR$7:$FW$7&gt;=GK$5),--($CR$7:$FW$7&lt;=GK$6),$CR9:$FW9)*GC9</f>
        <v>206075.39131444503</v>
      </c>
      <c r="GL9" s="145" cm="1">
        <f t="array" ref="GL9">SUMPRODUCT(--($CR$7:$FW$7&gt;=GL$5),--($CR$7:$FW$7&lt;=GL$6),$CR9:$FW9)*GD9</f>
        <v>0</v>
      </c>
      <c r="GM9" s="145" cm="1">
        <f t="array" ref="GM9">SUMPRODUCT(--($CR$7:$FW$7&gt;=GM$5),--($CR$7:$FW$7&lt;=GM$6),$CR9:$FW9)*GE9</f>
        <v>0</v>
      </c>
      <c r="GN9" s="145" cm="1">
        <f t="array" ref="GN9">SUMPRODUCT(--($CR$7:$FW$7&gt;=GN$5),--($CR$7:$FW$7&lt;=GN$6),$CR9:$FW9)*GF9</f>
        <v>0</v>
      </c>
      <c r="GO9" s="145">
        <f t="shared" si="0"/>
        <v>1504105.3823818571</v>
      </c>
      <c r="GP9" s="87"/>
      <c r="GR9" s="145" cm="1">
        <f t="array" ref="GR9">SUMPRODUCT(--($CR$7:$FW$7&gt;=GR$5),--($CR$7:$FW$7&lt;=GR$6),$CR9:$FW9)</f>
        <v>132000</v>
      </c>
    </row>
    <row r="10" spans="1:201" s="64" customFormat="1" x14ac:dyDescent="0.2">
      <c r="A10" s="65"/>
      <c r="B10" s="141" t="str">
        <v>Transaction Procurement Support</v>
      </c>
      <c r="C10" s="286" t="str">
        <v>c-i-c</v>
      </c>
      <c r="D10" s="141" t="str">
        <v>Non-labour</v>
      </c>
      <c r="E10" s="141" t="str">
        <v>$ Nominal</v>
      </c>
      <c r="F10" s="141">
        <v>0</v>
      </c>
      <c r="G10" s="141" t="str">
        <v/>
      </c>
      <c r="H10" s="142">
        <v>0</v>
      </c>
      <c r="I10" s="126">
        <v>49995</v>
      </c>
      <c r="J10" s="143">
        <v>0</v>
      </c>
      <c r="K10" s="144">
        <v>0</v>
      </c>
      <c r="L10" s="144">
        <v>0</v>
      </c>
      <c r="M10" s="144">
        <v>0</v>
      </c>
      <c r="N10" s="144">
        <v>0</v>
      </c>
      <c r="O10" s="144">
        <v>0</v>
      </c>
      <c r="P10" s="144">
        <v>0</v>
      </c>
      <c r="Q10" s="144">
        <v>0</v>
      </c>
      <c r="R10" s="144">
        <v>0</v>
      </c>
      <c r="S10" s="144">
        <v>0</v>
      </c>
      <c r="T10" s="144">
        <v>0</v>
      </c>
      <c r="U10" s="144">
        <v>0</v>
      </c>
      <c r="V10" s="144">
        <v>0</v>
      </c>
      <c r="W10" s="144">
        <v>0</v>
      </c>
      <c r="X10" s="144">
        <v>1</v>
      </c>
      <c r="Y10" s="144">
        <v>0</v>
      </c>
      <c r="Z10" s="144">
        <v>0</v>
      </c>
      <c r="AA10" s="144">
        <v>0</v>
      </c>
      <c r="AB10" s="144">
        <v>0</v>
      </c>
      <c r="AC10" s="144">
        <v>0</v>
      </c>
      <c r="AD10" s="144">
        <v>0</v>
      </c>
      <c r="AE10" s="144">
        <v>0</v>
      </c>
      <c r="AF10" s="144">
        <v>0</v>
      </c>
      <c r="AG10" s="144">
        <v>0</v>
      </c>
      <c r="AH10" s="144">
        <v>0</v>
      </c>
      <c r="AI10" s="144">
        <v>0</v>
      </c>
      <c r="AJ10" s="144">
        <v>0</v>
      </c>
      <c r="AK10" s="144">
        <v>0</v>
      </c>
      <c r="AL10" s="144">
        <v>0</v>
      </c>
      <c r="AM10" s="144">
        <v>0</v>
      </c>
      <c r="AN10" s="144">
        <v>0</v>
      </c>
      <c r="AO10" s="144">
        <v>0</v>
      </c>
      <c r="AP10" s="144">
        <v>0</v>
      </c>
      <c r="AQ10" s="144">
        <v>0</v>
      </c>
      <c r="AR10" s="144">
        <v>0</v>
      </c>
      <c r="AS10" s="144">
        <v>0</v>
      </c>
      <c r="AT10" s="144">
        <v>0</v>
      </c>
      <c r="AU10" s="144">
        <v>0</v>
      </c>
      <c r="AV10" s="144">
        <v>0</v>
      </c>
      <c r="AW10" s="144">
        <v>0</v>
      </c>
      <c r="AX10" s="144">
        <v>0</v>
      </c>
      <c r="AY10" s="144">
        <v>0</v>
      </c>
      <c r="AZ10" s="144">
        <v>0</v>
      </c>
      <c r="BA10" s="144">
        <v>0</v>
      </c>
      <c r="BB10" s="144">
        <v>0</v>
      </c>
      <c r="BC10" s="144">
        <v>0</v>
      </c>
      <c r="BD10" s="144">
        <v>0</v>
      </c>
      <c r="BE10" s="144">
        <v>0</v>
      </c>
      <c r="BF10" s="144">
        <v>0</v>
      </c>
      <c r="BG10" s="144">
        <v>0</v>
      </c>
      <c r="BH10" s="144">
        <v>0</v>
      </c>
      <c r="BI10" s="144">
        <v>0</v>
      </c>
      <c r="BJ10" s="144">
        <v>0</v>
      </c>
      <c r="BK10" s="144">
        <v>0</v>
      </c>
      <c r="BL10" s="144">
        <v>0</v>
      </c>
      <c r="BM10" s="144">
        <v>0</v>
      </c>
      <c r="BN10" s="144">
        <v>0</v>
      </c>
      <c r="BO10" s="144">
        <v>0</v>
      </c>
      <c r="BP10" s="144">
        <v>0</v>
      </c>
      <c r="BQ10" s="144">
        <v>0</v>
      </c>
      <c r="BR10" s="144">
        <v>0</v>
      </c>
      <c r="BS10" s="144">
        <v>0</v>
      </c>
      <c r="BT10" s="144">
        <v>0</v>
      </c>
      <c r="BU10" s="144">
        <v>0</v>
      </c>
      <c r="BV10" s="144">
        <v>0</v>
      </c>
      <c r="BW10" s="144">
        <v>0</v>
      </c>
      <c r="BX10" s="144">
        <v>0</v>
      </c>
      <c r="BY10" s="144">
        <v>0</v>
      </c>
      <c r="BZ10" s="144">
        <v>0</v>
      </c>
      <c r="CA10" s="144">
        <v>0</v>
      </c>
      <c r="CB10" s="144">
        <v>0</v>
      </c>
      <c r="CC10" s="144">
        <v>0</v>
      </c>
      <c r="CD10" s="144">
        <v>0</v>
      </c>
      <c r="CE10" s="144">
        <v>0</v>
      </c>
      <c r="CF10" s="144">
        <v>0</v>
      </c>
      <c r="CG10" s="144">
        <v>0</v>
      </c>
      <c r="CH10" s="144">
        <v>0</v>
      </c>
      <c r="CI10" s="144">
        <v>0</v>
      </c>
      <c r="CJ10" s="144">
        <v>0</v>
      </c>
      <c r="CK10" s="144">
        <v>0</v>
      </c>
      <c r="CL10" s="144">
        <v>0</v>
      </c>
      <c r="CM10" s="144">
        <v>0</v>
      </c>
      <c r="CN10" s="144">
        <v>0</v>
      </c>
      <c r="CO10" s="144">
        <v>0</v>
      </c>
      <c r="CP10" s="144">
        <v>0</v>
      </c>
      <c r="CQ10" s="143">
        <v>0</v>
      </c>
      <c r="CR10" s="145">
        <v>0</v>
      </c>
      <c r="CS10" s="145">
        <v>0</v>
      </c>
      <c r="CT10" s="145">
        <v>0</v>
      </c>
      <c r="CU10" s="145">
        <v>0</v>
      </c>
      <c r="CV10" s="145">
        <v>0</v>
      </c>
      <c r="CW10" s="145">
        <v>0</v>
      </c>
      <c r="CX10" s="145">
        <v>0</v>
      </c>
      <c r="CY10" s="145">
        <v>0</v>
      </c>
      <c r="CZ10" s="145">
        <v>0</v>
      </c>
      <c r="DA10" s="145">
        <v>0</v>
      </c>
      <c r="DB10" s="145">
        <v>0</v>
      </c>
      <c r="DC10" s="145">
        <v>0</v>
      </c>
      <c r="DD10" s="145">
        <v>0</v>
      </c>
      <c r="DE10" s="145">
        <v>49995</v>
      </c>
      <c r="DF10" s="145">
        <v>0</v>
      </c>
      <c r="DG10" s="145">
        <v>0</v>
      </c>
      <c r="DH10" s="145">
        <v>0</v>
      </c>
      <c r="DI10" s="145">
        <v>0</v>
      </c>
      <c r="DJ10" s="145">
        <v>0</v>
      </c>
      <c r="DK10" s="145">
        <v>0</v>
      </c>
      <c r="DL10" s="145">
        <v>0</v>
      </c>
      <c r="DM10" s="145">
        <v>0</v>
      </c>
      <c r="DN10" s="145">
        <v>0</v>
      </c>
      <c r="DO10" s="145">
        <v>0</v>
      </c>
      <c r="DP10" s="145">
        <v>0</v>
      </c>
      <c r="DQ10" s="145">
        <v>0</v>
      </c>
      <c r="DR10" s="145">
        <v>0</v>
      </c>
      <c r="DS10" s="145">
        <v>0</v>
      </c>
      <c r="DT10" s="145">
        <v>0</v>
      </c>
      <c r="DU10" s="145">
        <v>0</v>
      </c>
      <c r="DV10" s="145">
        <v>0</v>
      </c>
      <c r="DW10" s="145">
        <v>0</v>
      </c>
      <c r="DX10" s="145">
        <v>0</v>
      </c>
      <c r="DY10" s="145">
        <v>0</v>
      </c>
      <c r="DZ10" s="145">
        <v>0</v>
      </c>
      <c r="EA10" s="145">
        <v>0</v>
      </c>
      <c r="EB10" s="145">
        <v>0</v>
      </c>
      <c r="EC10" s="145">
        <v>0</v>
      </c>
      <c r="ED10" s="145">
        <v>0</v>
      </c>
      <c r="EE10" s="145">
        <v>0</v>
      </c>
      <c r="EF10" s="145">
        <v>0</v>
      </c>
      <c r="EG10" s="145">
        <v>0</v>
      </c>
      <c r="EH10" s="145">
        <v>0</v>
      </c>
      <c r="EI10" s="145">
        <v>0</v>
      </c>
      <c r="EJ10" s="145">
        <v>0</v>
      </c>
      <c r="EK10" s="145">
        <v>0</v>
      </c>
      <c r="EL10" s="145">
        <v>0</v>
      </c>
      <c r="EM10" s="145">
        <v>0</v>
      </c>
      <c r="EN10" s="145">
        <v>0</v>
      </c>
      <c r="EO10" s="145">
        <v>0</v>
      </c>
      <c r="EP10" s="145">
        <v>0</v>
      </c>
      <c r="EQ10" s="145">
        <v>0</v>
      </c>
      <c r="ER10" s="145">
        <v>0</v>
      </c>
      <c r="ES10" s="145">
        <v>0</v>
      </c>
      <c r="ET10" s="145">
        <v>0</v>
      </c>
      <c r="EU10" s="145">
        <v>0</v>
      </c>
      <c r="EV10" s="145">
        <v>0</v>
      </c>
      <c r="EW10" s="145">
        <v>0</v>
      </c>
      <c r="EX10" s="145">
        <v>0</v>
      </c>
      <c r="EY10" s="145">
        <v>0</v>
      </c>
      <c r="EZ10" s="145">
        <v>0</v>
      </c>
      <c r="FA10" s="145">
        <v>0</v>
      </c>
      <c r="FB10" s="145">
        <v>0</v>
      </c>
      <c r="FC10" s="145">
        <v>0</v>
      </c>
      <c r="FD10" s="145">
        <v>0</v>
      </c>
      <c r="FE10" s="145">
        <v>0</v>
      </c>
      <c r="FF10" s="145">
        <v>0</v>
      </c>
      <c r="FG10" s="145">
        <v>0</v>
      </c>
      <c r="FH10" s="145">
        <v>0</v>
      </c>
      <c r="FI10" s="145">
        <v>0</v>
      </c>
      <c r="FJ10" s="145">
        <v>0</v>
      </c>
      <c r="FK10" s="145">
        <v>0</v>
      </c>
      <c r="FL10" s="145">
        <v>0</v>
      </c>
      <c r="FM10" s="145">
        <v>0</v>
      </c>
      <c r="FN10" s="145">
        <v>0</v>
      </c>
      <c r="FO10" s="145">
        <v>0</v>
      </c>
      <c r="FP10" s="145">
        <v>0</v>
      </c>
      <c r="FQ10" s="145">
        <v>0</v>
      </c>
      <c r="FR10" s="145">
        <v>0</v>
      </c>
      <c r="FS10" s="145">
        <v>0</v>
      </c>
      <c r="FT10" s="145">
        <v>0</v>
      </c>
      <c r="FU10" s="145">
        <v>0</v>
      </c>
      <c r="FV10" s="145">
        <v>0</v>
      </c>
      <c r="FW10" s="145">
        <v>0</v>
      </c>
      <c r="FX10" s="143"/>
      <c r="FY10" s="146" t="str">
        <f>_xlfn.XLOOKUP($E10,'Key assumptions'!$B$112:$B$120,'Key assumptions'!$C$112:$C$120,0)</f>
        <v>Nominal</v>
      </c>
      <c r="FZ10" s="146" cm="1">
        <f t="array" ref="FZ10">IF($FY10=0,0,_xlfn.IFS($FY10='Key assumptions'!$C$120,_xlfn.XLOOKUP(LEFT(FZ$7,6),Inflation_Year,Inflation_NominaltoReal),TRUE,_xlfn.XLOOKUP($FY10,Inflation_Year,NominaltoReal)))</f>
        <v>1.0197075870962191</v>
      </c>
      <c r="GA10" s="146" cm="1">
        <f t="array" ref="GA10">IF($FY10=0,0,_xlfn.IFS($FY10='Key assumptions'!$C$120,_xlfn.XLOOKUP(LEFT(GA$7,6),Inflation_Year,Inflation_NominaltoReal),TRUE,_xlfn.XLOOKUP($FY10,Inflation_Year,NominaltoReal)))</f>
        <v>0.98700804022984445</v>
      </c>
      <c r="GB10" s="146" cm="1">
        <f t="array" ref="GB10">IF($FY10=0,0,_xlfn.IFS($FY10='Key assumptions'!$C$120,_xlfn.XLOOKUP(LEFT(GB$7,6),Inflation_Year,Inflation_NominaltoReal),TRUE,_xlfn.XLOOKUP($FY10,Inflation_Year,NominaltoReal)))</f>
        <v>0.96152830081941731</v>
      </c>
      <c r="GC10" s="146" cm="1">
        <f t="array" ref="GC10">IF($FY10=0,0,_xlfn.IFS($FY10='Key assumptions'!$C$120,_xlfn.XLOOKUP(LEFT(GC$7,6),Inflation_Year,Inflation_NominaltoReal),TRUE,_xlfn.XLOOKUP($FY10,Inflation_Year,NominaltoReal)))</f>
        <v>0.93670632415656829</v>
      </c>
      <c r="GD10" s="146" cm="1">
        <f t="array" ref="GD10">IF($FY10=0,0,_xlfn.IFS($FY10='Key assumptions'!$C$120,_xlfn.XLOOKUP(LEFT(GD$7,6),Inflation_Year,Inflation_NominaltoReal),TRUE,_xlfn.XLOOKUP($FY10,Inflation_Year,NominaltoReal)))</f>
        <v>0.91252513001143176</v>
      </c>
      <c r="GE10" s="146" cm="1">
        <f t="array" ref="GE10">IF($FY10=0,0,_xlfn.IFS($FY10='Key assumptions'!$C$120,_xlfn.XLOOKUP(LEFT(GE$7,6),Inflation_Year,Inflation_NominaltoReal),TRUE,_xlfn.XLOOKUP($FY10,Inflation_Year,NominaltoReal)))</f>
        <v>0.88896817650095872</v>
      </c>
      <c r="GF10" s="146" cm="1">
        <f t="array" ref="GF10">IF($FY10=0,0,_xlfn.IFS($FY10='Key assumptions'!$C$120,_xlfn.XLOOKUP(LEFT(GF$7,6),Inflation_Year,Inflation_NominaltoReal),TRUE,_xlfn.XLOOKUP($FY10,Inflation_Year,NominaltoReal)))</f>
        <v>0.86601934877293718</v>
      </c>
      <c r="GG10" s="143"/>
      <c r="GH10" s="145" cm="1">
        <f t="array" ref="GH10">SUMPRODUCT(--($CR$7:$FW$7&gt;=GH$5),--($CR$7:$FW$7&lt;=GH$6),$CR10:$FW10)*FZ10</f>
        <v>50980.280816875478</v>
      </c>
      <c r="GI10" s="145" cm="1">
        <f t="array" ref="GI10">SUMPRODUCT(--($CR$7:$FW$7&gt;=GI$5),--($CR$7:$FW$7&lt;=GI$6),$CR10:$FW10)*GA10</f>
        <v>0</v>
      </c>
      <c r="GJ10" s="145" cm="1">
        <f t="array" ref="GJ10">SUMPRODUCT(--($CR$7:$FW$7&gt;=GJ$5),--($CR$7:$FW$7&lt;=GJ$6),$CR10:$FW10)*GB10</f>
        <v>0</v>
      </c>
      <c r="GK10" s="145" cm="1">
        <f t="array" ref="GK10">SUMPRODUCT(--($CR$7:$FW$7&gt;=GK$5),--($CR$7:$FW$7&lt;=GK$6),$CR10:$FW10)*GC10</f>
        <v>0</v>
      </c>
      <c r="GL10" s="145" cm="1">
        <f t="array" ref="GL10">SUMPRODUCT(--($CR$7:$FW$7&gt;=GL$5),--($CR$7:$FW$7&lt;=GL$6),$CR10:$FW10)*GD10</f>
        <v>0</v>
      </c>
      <c r="GM10" s="145" cm="1">
        <f t="array" ref="GM10">SUMPRODUCT(--($CR$7:$FW$7&gt;=GM$5),--($CR$7:$FW$7&lt;=GM$6),$CR10:$FW10)*GE10</f>
        <v>0</v>
      </c>
      <c r="GN10" s="145" cm="1">
        <f t="array" ref="GN10">SUMPRODUCT(--($CR$7:$FW$7&gt;=GN$5),--($CR$7:$FW$7&lt;=GN$6),$CR10:$FW10)*GF10</f>
        <v>0</v>
      </c>
      <c r="GO10" s="145">
        <f t="shared" si="0"/>
        <v>50980.280816875478</v>
      </c>
      <c r="GP10" s="87"/>
      <c r="GR10" s="145" cm="1">
        <f t="array" ref="GR10">SUMPRODUCT(--($CR$7:$FW$7&gt;=GR$5),--($CR$7:$FW$7&lt;=GR$6),$CR10:$FW10)</f>
        <v>49995</v>
      </c>
    </row>
    <row r="11" spans="1:201" s="64" customFormat="1" x14ac:dyDescent="0.2">
      <c r="A11" s="65"/>
      <c r="B11" s="141" t="str">
        <v>Transaction Procurement Support</v>
      </c>
      <c r="C11" s="141" t="str">
        <v>Probity Advisor</v>
      </c>
      <c r="D11" s="141" t="str">
        <v>Non-labour</v>
      </c>
      <c r="E11" s="141" t="str">
        <v>$ Nominal</v>
      </c>
      <c r="F11" s="141">
        <v>0</v>
      </c>
      <c r="G11" s="141" t="str">
        <v/>
      </c>
      <c r="H11" s="142">
        <v>0</v>
      </c>
      <c r="I11" s="126">
        <v>25000</v>
      </c>
      <c r="J11" s="143">
        <v>0</v>
      </c>
      <c r="K11" s="144">
        <v>0</v>
      </c>
      <c r="L11" s="144">
        <v>0</v>
      </c>
      <c r="M11" s="144">
        <v>0</v>
      </c>
      <c r="N11" s="144">
        <v>0</v>
      </c>
      <c r="O11" s="144">
        <v>0</v>
      </c>
      <c r="P11" s="144">
        <v>0</v>
      </c>
      <c r="Q11" s="144">
        <v>0</v>
      </c>
      <c r="R11" s="144">
        <v>0</v>
      </c>
      <c r="S11" s="144">
        <v>0</v>
      </c>
      <c r="T11" s="144">
        <v>0</v>
      </c>
      <c r="U11" s="144">
        <v>0</v>
      </c>
      <c r="V11" s="144">
        <v>0</v>
      </c>
      <c r="W11" s="144">
        <v>0</v>
      </c>
      <c r="X11" s="144">
        <v>0</v>
      </c>
      <c r="Y11" s="144">
        <v>1</v>
      </c>
      <c r="Z11" s="144">
        <v>0</v>
      </c>
      <c r="AA11" s="144">
        <v>0</v>
      </c>
      <c r="AB11" s="144">
        <v>0</v>
      </c>
      <c r="AC11" s="144">
        <v>0</v>
      </c>
      <c r="AD11" s="144">
        <v>0</v>
      </c>
      <c r="AE11" s="144">
        <v>0</v>
      </c>
      <c r="AF11" s="144">
        <v>0</v>
      </c>
      <c r="AG11" s="144">
        <v>0</v>
      </c>
      <c r="AH11" s="144">
        <v>0</v>
      </c>
      <c r="AI11" s="144">
        <v>0</v>
      </c>
      <c r="AJ11" s="144">
        <v>0</v>
      </c>
      <c r="AK11" s="144">
        <v>0</v>
      </c>
      <c r="AL11" s="144">
        <v>0</v>
      </c>
      <c r="AM11" s="144">
        <v>0</v>
      </c>
      <c r="AN11" s="144">
        <v>0</v>
      </c>
      <c r="AO11" s="144">
        <v>0</v>
      </c>
      <c r="AP11" s="144">
        <v>0</v>
      </c>
      <c r="AQ11" s="144">
        <v>0</v>
      </c>
      <c r="AR11" s="144">
        <v>0</v>
      </c>
      <c r="AS11" s="144">
        <v>0</v>
      </c>
      <c r="AT11" s="144">
        <v>0</v>
      </c>
      <c r="AU11" s="144">
        <v>0</v>
      </c>
      <c r="AV11" s="144">
        <v>0</v>
      </c>
      <c r="AW11" s="144">
        <v>0</v>
      </c>
      <c r="AX11" s="144">
        <v>0</v>
      </c>
      <c r="AY11" s="144">
        <v>0</v>
      </c>
      <c r="AZ11" s="144">
        <v>0</v>
      </c>
      <c r="BA11" s="144">
        <v>0</v>
      </c>
      <c r="BB11" s="144">
        <v>0</v>
      </c>
      <c r="BC11" s="144">
        <v>0</v>
      </c>
      <c r="BD11" s="144">
        <v>0</v>
      </c>
      <c r="BE11" s="144">
        <v>0</v>
      </c>
      <c r="BF11" s="144">
        <v>0</v>
      </c>
      <c r="BG11" s="144">
        <v>0</v>
      </c>
      <c r="BH11" s="144">
        <v>0</v>
      </c>
      <c r="BI11" s="144">
        <v>0</v>
      </c>
      <c r="BJ11" s="144">
        <v>0</v>
      </c>
      <c r="BK11" s="144">
        <v>0</v>
      </c>
      <c r="BL11" s="144">
        <v>0</v>
      </c>
      <c r="BM11" s="144">
        <v>0</v>
      </c>
      <c r="BN11" s="144">
        <v>0</v>
      </c>
      <c r="BO11" s="144">
        <v>0</v>
      </c>
      <c r="BP11" s="144">
        <v>0</v>
      </c>
      <c r="BQ11" s="144">
        <v>0</v>
      </c>
      <c r="BR11" s="144">
        <v>0</v>
      </c>
      <c r="BS11" s="144">
        <v>0</v>
      </c>
      <c r="BT11" s="144">
        <v>0</v>
      </c>
      <c r="BU11" s="144">
        <v>0</v>
      </c>
      <c r="BV11" s="144">
        <v>0</v>
      </c>
      <c r="BW11" s="144">
        <v>0</v>
      </c>
      <c r="BX11" s="144">
        <v>0</v>
      </c>
      <c r="BY11" s="144">
        <v>0</v>
      </c>
      <c r="BZ11" s="144">
        <v>0</v>
      </c>
      <c r="CA11" s="144">
        <v>0</v>
      </c>
      <c r="CB11" s="144">
        <v>0</v>
      </c>
      <c r="CC11" s="144">
        <v>0</v>
      </c>
      <c r="CD11" s="144">
        <v>0</v>
      </c>
      <c r="CE11" s="144">
        <v>0</v>
      </c>
      <c r="CF11" s="144">
        <v>0</v>
      </c>
      <c r="CG11" s="144">
        <v>0</v>
      </c>
      <c r="CH11" s="144">
        <v>0</v>
      </c>
      <c r="CI11" s="144">
        <v>0</v>
      </c>
      <c r="CJ11" s="144">
        <v>0</v>
      </c>
      <c r="CK11" s="144">
        <v>0</v>
      </c>
      <c r="CL11" s="144">
        <v>0</v>
      </c>
      <c r="CM11" s="144">
        <v>0</v>
      </c>
      <c r="CN11" s="144">
        <v>0</v>
      </c>
      <c r="CO11" s="144">
        <v>0</v>
      </c>
      <c r="CP11" s="144">
        <v>0</v>
      </c>
      <c r="CQ11" s="143">
        <v>0</v>
      </c>
      <c r="CR11" s="145">
        <v>0</v>
      </c>
      <c r="CS11" s="145">
        <v>0</v>
      </c>
      <c r="CT11" s="145">
        <v>0</v>
      </c>
      <c r="CU11" s="145">
        <v>0</v>
      </c>
      <c r="CV11" s="145">
        <v>0</v>
      </c>
      <c r="CW11" s="145">
        <v>0</v>
      </c>
      <c r="CX11" s="145">
        <v>0</v>
      </c>
      <c r="CY11" s="145">
        <v>0</v>
      </c>
      <c r="CZ11" s="145">
        <v>0</v>
      </c>
      <c r="DA11" s="145">
        <v>0</v>
      </c>
      <c r="DB11" s="145">
        <v>0</v>
      </c>
      <c r="DC11" s="145">
        <v>0</v>
      </c>
      <c r="DD11" s="145">
        <v>0</v>
      </c>
      <c r="DE11" s="145">
        <v>0</v>
      </c>
      <c r="DF11" s="145">
        <v>25000</v>
      </c>
      <c r="DG11" s="145">
        <v>0</v>
      </c>
      <c r="DH11" s="145">
        <v>0</v>
      </c>
      <c r="DI11" s="145">
        <v>0</v>
      </c>
      <c r="DJ11" s="145">
        <v>0</v>
      </c>
      <c r="DK11" s="145">
        <v>0</v>
      </c>
      <c r="DL11" s="145">
        <v>0</v>
      </c>
      <c r="DM11" s="145">
        <v>0</v>
      </c>
      <c r="DN11" s="145">
        <v>0</v>
      </c>
      <c r="DO11" s="145">
        <v>0</v>
      </c>
      <c r="DP11" s="145">
        <v>0</v>
      </c>
      <c r="DQ11" s="145">
        <v>0</v>
      </c>
      <c r="DR11" s="145">
        <v>0</v>
      </c>
      <c r="DS11" s="145">
        <v>0</v>
      </c>
      <c r="DT11" s="145">
        <v>0</v>
      </c>
      <c r="DU11" s="145">
        <v>0</v>
      </c>
      <c r="DV11" s="145">
        <v>0</v>
      </c>
      <c r="DW11" s="145">
        <v>0</v>
      </c>
      <c r="DX11" s="145">
        <v>0</v>
      </c>
      <c r="DY11" s="145">
        <v>0</v>
      </c>
      <c r="DZ11" s="145">
        <v>0</v>
      </c>
      <c r="EA11" s="145">
        <v>0</v>
      </c>
      <c r="EB11" s="145">
        <v>0</v>
      </c>
      <c r="EC11" s="145">
        <v>0</v>
      </c>
      <c r="ED11" s="145">
        <v>0</v>
      </c>
      <c r="EE11" s="145">
        <v>0</v>
      </c>
      <c r="EF11" s="145">
        <v>0</v>
      </c>
      <c r="EG11" s="145">
        <v>0</v>
      </c>
      <c r="EH11" s="145">
        <v>0</v>
      </c>
      <c r="EI11" s="145">
        <v>0</v>
      </c>
      <c r="EJ11" s="145">
        <v>0</v>
      </c>
      <c r="EK11" s="145">
        <v>0</v>
      </c>
      <c r="EL11" s="145">
        <v>0</v>
      </c>
      <c r="EM11" s="145">
        <v>0</v>
      </c>
      <c r="EN11" s="145">
        <v>0</v>
      </c>
      <c r="EO11" s="145">
        <v>0</v>
      </c>
      <c r="EP11" s="145">
        <v>0</v>
      </c>
      <c r="EQ11" s="145">
        <v>0</v>
      </c>
      <c r="ER11" s="145">
        <v>0</v>
      </c>
      <c r="ES11" s="145">
        <v>0</v>
      </c>
      <c r="ET11" s="145">
        <v>0</v>
      </c>
      <c r="EU11" s="145">
        <v>0</v>
      </c>
      <c r="EV11" s="145">
        <v>0</v>
      </c>
      <c r="EW11" s="145">
        <v>0</v>
      </c>
      <c r="EX11" s="145">
        <v>0</v>
      </c>
      <c r="EY11" s="145">
        <v>0</v>
      </c>
      <c r="EZ11" s="145">
        <v>0</v>
      </c>
      <c r="FA11" s="145">
        <v>0</v>
      </c>
      <c r="FB11" s="145">
        <v>0</v>
      </c>
      <c r="FC11" s="145">
        <v>0</v>
      </c>
      <c r="FD11" s="145">
        <v>0</v>
      </c>
      <c r="FE11" s="145">
        <v>0</v>
      </c>
      <c r="FF11" s="145">
        <v>0</v>
      </c>
      <c r="FG11" s="145">
        <v>0</v>
      </c>
      <c r="FH11" s="145">
        <v>0</v>
      </c>
      <c r="FI11" s="145">
        <v>0</v>
      </c>
      <c r="FJ11" s="145">
        <v>0</v>
      </c>
      <c r="FK11" s="145">
        <v>0</v>
      </c>
      <c r="FL11" s="145">
        <v>0</v>
      </c>
      <c r="FM11" s="145">
        <v>0</v>
      </c>
      <c r="FN11" s="145">
        <v>0</v>
      </c>
      <c r="FO11" s="145">
        <v>0</v>
      </c>
      <c r="FP11" s="145">
        <v>0</v>
      </c>
      <c r="FQ11" s="145">
        <v>0</v>
      </c>
      <c r="FR11" s="145">
        <v>0</v>
      </c>
      <c r="FS11" s="145">
        <v>0</v>
      </c>
      <c r="FT11" s="145">
        <v>0</v>
      </c>
      <c r="FU11" s="145">
        <v>0</v>
      </c>
      <c r="FV11" s="145">
        <v>0</v>
      </c>
      <c r="FW11" s="145">
        <v>0</v>
      </c>
      <c r="FX11" s="143"/>
      <c r="FY11" s="146" t="str">
        <f>_xlfn.XLOOKUP($E11,'Key assumptions'!$B$112:$B$120,'Key assumptions'!$C$112:$C$120,0)</f>
        <v>Nominal</v>
      </c>
      <c r="FZ11" s="146" cm="1">
        <f t="array" ref="FZ11">IF($FY11=0,0,_xlfn.IFS($FY11='Key assumptions'!$C$120,_xlfn.XLOOKUP(LEFT(FZ$7,6),Inflation_Year,Inflation_NominaltoReal),TRUE,_xlfn.XLOOKUP($FY11,Inflation_Year,NominaltoReal)))</f>
        <v>1.0197075870962191</v>
      </c>
      <c r="GA11" s="146" cm="1">
        <f t="array" ref="GA11">IF($FY11=0,0,_xlfn.IFS($FY11='Key assumptions'!$C$120,_xlfn.XLOOKUP(LEFT(GA$7,6),Inflation_Year,Inflation_NominaltoReal),TRUE,_xlfn.XLOOKUP($FY11,Inflation_Year,NominaltoReal)))</f>
        <v>0.98700804022984445</v>
      </c>
      <c r="GB11" s="146" cm="1">
        <f t="array" ref="GB11">IF($FY11=0,0,_xlfn.IFS($FY11='Key assumptions'!$C$120,_xlfn.XLOOKUP(LEFT(GB$7,6),Inflation_Year,Inflation_NominaltoReal),TRUE,_xlfn.XLOOKUP($FY11,Inflation_Year,NominaltoReal)))</f>
        <v>0.96152830081941731</v>
      </c>
      <c r="GC11" s="146" cm="1">
        <f t="array" ref="GC11">IF($FY11=0,0,_xlfn.IFS($FY11='Key assumptions'!$C$120,_xlfn.XLOOKUP(LEFT(GC$7,6),Inflation_Year,Inflation_NominaltoReal),TRUE,_xlfn.XLOOKUP($FY11,Inflation_Year,NominaltoReal)))</f>
        <v>0.93670632415656829</v>
      </c>
      <c r="GD11" s="146" cm="1">
        <f t="array" ref="GD11">IF($FY11=0,0,_xlfn.IFS($FY11='Key assumptions'!$C$120,_xlfn.XLOOKUP(LEFT(GD$7,6),Inflation_Year,Inflation_NominaltoReal),TRUE,_xlfn.XLOOKUP($FY11,Inflation_Year,NominaltoReal)))</f>
        <v>0.91252513001143176</v>
      </c>
      <c r="GE11" s="146" cm="1">
        <f t="array" ref="GE11">IF($FY11=0,0,_xlfn.IFS($FY11='Key assumptions'!$C$120,_xlfn.XLOOKUP(LEFT(GE$7,6),Inflation_Year,Inflation_NominaltoReal),TRUE,_xlfn.XLOOKUP($FY11,Inflation_Year,NominaltoReal)))</f>
        <v>0.88896817650095872</v>
      </c>
      <c r="GF11" s="146" cm="1">
        <f t="array" ref="GF11">IF($FY11=0,0,_xlfn.IFS($FY11='Key assumptions'!$C$120,_xlfn.XLOOKUP(LEFT(GF$7,6),Inflation_Year,Inflation_NominaltoReal),TRUE,_xlfn.XLOOKUP($FY11,Inflation_Year,NominaltoReal)))</f>
        <v>0.86601934877293718</v>
      </c>
      <c r="GG11" s="143"/>
      <c r="GH11" s="145" cm="1">
        <f t="array" ref="GH11">SUMPRODUCT(--($CR$7:$FW$7&gt;=GH$5),--($CR$7:$FW$7&lt;=GH$6),$CR11:$FW11)*FZ11</f>
        <v>25492.689677405477</v>
      </c>
      <c r="GI11" s="145" cm="1">
        <f t="array" ref="GI11">SUMPRODUCT(--($CR$7:$FW$7&gt;=GI$5),--($CR$7:$FW$7&lt;=GI$6),$CR11:$FW11)*GA11</f>
        <v>0</v>
      </c>
      <c r="GJ11" s="145" cm="1">
        <f t="array" ref="GJ11">SUMPRODUCT(--($CR$7:$FW$7&gt;=GJ$5),--($CR$7:$FW$7&lt;=GJ$6),$CR11:$FW11)*GB11</f>
        <v>0</v>
      </c>
      <c r="GK11" s="145" cm="1">
        <f t="array" ref="GK11">SUMPRODUCT(--($CR$7:$FW$7&gt;=GK$5),--($CR$7:$FW$7&lt;=GK$6),$CR11:$FW11)*GC11</f>
        <v>0</v>
      </c>
      <c r="GL11" s="145" cm="1">
        <f t="array" ref="GL11">SUMPRODUCT(--($CR$7:$FW$7&gt;=GL$5),--($CR$7:$FW$7&lt;=GL$6),$CR11:$FW11)*GD11</f>
        <v>0</v>
      </c>
      <c r="GM11" s="145" cm="1">
        <f t="array" ref="GM11">SUMPRODUCT(--($CR$7:$FW$7&gt;=GM$5),--($CR$7:$FW$7&lt;=GM$6),$CR11:$FW11)*GE11</f>
        <v>0</v>
      </c>
      <c r="GN11" s="145" cm="1">
        <f t="array" ref="GN11">SUMPRODUCT(--($CR$7:$FW$7&gt;=GN$5),--($CR$7:$FW$7&lt;=GN$6),$CR11:$FW11)*GF11</f>
        <v>0</v>
      </c>
      <c r="GO11" s="145">
        <f t="shared" si="0"/>
        <v>25492.689677405477</v>
      </c>
      <c r="GP11" s="87"/>
      <c r="GR11" s="145" cm="1">
        <f t="array" ref="GR11">SUMPRODUCT(--($CR$7:$FW$7&gt;=GR$5),--($CR$7:$FW$7&lt;=GR$6),$CR11:$FW11)</f>
        <v>25000</v>
      </c>
    </row>
    <row r="12" spans="1:201" s="64" customFormat="1" x14ac:dyDescent="0.2">
      <c r="A12" s="65"/>
      <c r="B12" s="141" t="str">
        <v>Project Development</v>
      </c>
      <c r="C12" s="286" t="str">
        <v>c-i-c</v>
      </c>
      <c r="D12" s="141" t="str">
        <v>Non-labour</v>
      </c>
      <c r="E12" s="141" t="str">
        <v>$ Nominal</v>
      </c>
      <c r="F12" s="141">
        <v>0</v>
      </c>
      <c r="G12" s="141" t="str">
        <v/>
      </c>
      <c r="H12" s="142">
        <v>0</v>
      </c>
      <c r="I12" s="126">
        <v>104040</v>
      </c>
      <c r="J12" s="143">
        <v>0</v>
      </c>
      <c r="K12" s="144">
        <v>0</v>
      </c>
      <c r="L12" s="144">
        <v>0</v>
      </c>
      <c r="M12" s="144">
        <v>0</v>
      </c>
      <c r="N12" s="144">
        <v>0</v>
      </c>
      <c r="O12" s="144">
        <v>0</v>
      </c>
      <c r="P12" s="144">
        <v>0</v>
      </c>
      <c r="Q12" s="144">
        <v>0</v>
      </c>
      <c r="R12" s="144">
        <v>0</v>
      </c>
      <c r="S12" s="144">
        <v>0</v>
      </c>
      <c r="T12" s="144">
        <v>0</v>
      </c>
      <c r="U12" s="144">
        <v>0</v>
      </c>
      <c r="V12" s="144">
        <v>0</v>
      </c>
      <c r="W12" s="144">
        <v>0</v>
      </c>
      <c r="X12" s="144">
        <v>0</v>
      </c>
      <c r="Y12" s="144">
        <v>6.6666666666666666E-2</v>
      </c>
      <c r="Z12" s="144">
        <v>6.6666666666666666E-2</v>
      </c>
      <c r="AA12" s="144">
        <v>6.6666666666666666E-2</v>
      </c>
      <c r="AB12" s="144">
        <v>6.6666666666666666E-2</v>
      </c>
      <c r="AC12" s="144">
        <v>6.6666666666666666E-2</v>
      </c>
      <c r="AD12" s="144">
        <v>6.6666666666666666E-2</v>
      </c>
      <c r="AE12" s="144">
        <v>6.6666666666666666E-2</v>
      </c>
      <c r="AF12" s="144">
        <v>6.6666666666666666E-2</v>
      </c>
      <c r="AG12" s="144">
        <v>6.6666666666666666E-2</v>
      </c>
      <c r="AH12" s="144">
        <v>6.6666666666666666E-2</v>
      </c>
      <c r="AI12" s="144">
        <v>6.6666666666666666E-2</v>
      </c>
      <c r="AJ12" s="144">
        <v>6.6666666666666666E-2</v>
      </c>
      <c r="AK12" s="144">
        <v>6.6666666666666666E-2</v>
      </c>
      <c r="AL12" s="144">
        <v>6.6666666666666666E-2</v>
      </c>
      <c r="AM12" s="144">
        <v>6.6666666666666666E-2</v>
      </c>
      <c r="AN12" s="144">
        <v>0</v>
      </c>
      <c r="AO12" s="144">
        <v>0</v>
      </c>
      <c r="AP12" s="144">
        <v>0</v>
      </c>
      <c r="AQ12" s="144">
        <v>0</v>
      </c>
      <c r="AR12" s="144">
        <v>0</v>
      </c>
      <c r="AS12" s="144">
        <v>0</v>
      </c>
      <c r="AT12" s="144">
        <v>0</v>
      </c>
      <c r="AU12" s="144">
        <v>0</v>
      </c>
      <c r="AV12" s="144">
        <v>0</v>
      </c>
      <c r="AW12" s="144">
        <v>0</v>
      </c>
      <c r="AX12" s="144">
        <v>0</v>
      </c>
      <c r="AY12" s="144">
        <v>0</v>
      </c>
      <c r="AZ12" s="144">
        <v>0</v>
      </c>
      <c r="BA12" s="144">
        <v>0</v>
      </c>
      <c r="BB12" s="144">
        <v>0</v>
      </c>
      <c r="BC12" s="144">
        <v>0</v>
      </c>
      <c r="BD12" s="144">
        <v>0</v>
      </c>
      <c r="BE12" s="144">
        <v>0</v>
      </c>
      <c r="BF12" s="144">
        <v>0</v>
      </c>
      <c r="BG12" s="144">
        <v>0</v>
      </c>
      <c r="BH12" s="144">
        <v>0</v>
      </c>
      <c r="BI12" s="144">
        <v>0</v>
      </c>
      <c r="BJ12" s="144">
        <v>0</v>
      </c>
      <c r="BK12" s="144">
        <v>0</v>
      </c>
      <c r="BL12" s="144">
        <v>0</v>
      </c>
      <c r="BM12" s="144">
        <v>0</v>
      </c>
      <c r="BN12" s="144">
        <v>0</v>
      </c>
      <c r="BO12" s="144">
        <v>0</v>
      </c>
      <c r="BP12" s="144">
        <v>0</v>
      </c>
      <c r="BQ12" s="144">
        <v>0</v>
      </c>
      <c r="BR12" s="144">
        <v>0</v>
      </c>
      <c r="BS12" s="144">
        <v>0</v>
      </c>
      <c r="BT12" s="144">
        <v>0</v>
      </c>
      <c r="BU12" s="144">
        <v>0</v>
      </c>
      <c r="BV12" s="144">
        <v>0</v>
      </c>
      <c r="BW12" s="144">
        <v>0</v>
      </c>
      <c r="BX12" s="144">
        <v>0</v>
      </c>
      <c r="BY12" s="144">
        <v>0</v>
      </c>
      <c r="BZ12" s="144">
        <v>0</v>
      </c>
      <c r="CA12" s="144">
        <v>0</v>
      </c>
      <c r="CB12" s="144">
        <v>0</v>
      </c>
      <c r="CC12" s="144">
        <v>0</v>
      </c>
      <c r="CD12" s="144">
        <v>0</v>
      </c>
      <c r="CE12" s="144">
        <v>0</v>
      </c>
      <c r="CF12" s="144">
        <v>0</v>
      </c>
      <c r="CG12" s="144">
        <v>0</v>
      </c>
      <c r="CH12" s="144">
        <v>0</v>
      </c>
      <c r="CI12" s="144">
        <v>0</v>
      </c>
      <c r="CJ12" s="144">
        <v>0</v>
      </c>
      <c r="CK12" s="144">
        <v>0</v>
      </c>
      <c r="CL12" s="144">
        <v>0</v>
      </c>
      <c r="CM12" s="144">
        <v>0</v>
      </c>
      <c r="CN12" s="144">
        <v>0</v>
      </c>
      <c r="CO12" s="144">
        <v>0</v>
      </c>
      <c r="CP12" s="144">
        <v>0</v>
      </c>
      <c r="CQ12" s="143">
        <v>0</v>
      </c>
      <c r="CR12" s="145">
        <v>0</v>
      </c>
      <c r="CS12" s="145">
        <v>0</v>
      </c>
      <c r="CT12" s="145">
        <v>0</v>
      </c>
      <c r="CU12" s="145">
        <v>0</v>
      </c>
      <c r="CV12" s="145">
        <v>0</v>
      </c>
      <c r="CW12" s="145">
        <v>0</v>
      </c>
      <c r="CX12" s="145">
        <v>0</v>
      </c>
      <c r="CY12" s="145">
        <v>0</v>
      </c>
      <c r="CZ12" s="145">
        <v>0</v>
      </c>
      <c r="DA12" s="145">
        <v>0</v>
      </c>
      <c r="DB12" s="145">
        <v>0</v>
      </c>
      <c r="DC12" s="145">
        <v>0</v>
      </c>
      <c r="DD12" s="145">
        <v>0</v>
      </c>
      <c r="DE12" s="145">
        <v>0</v>
      </c>
      <c r="DF12" s="145">
        <v>6936</v>
      </c>
      <c r="DG12" s="145">
        <v>6936</v>
      </c>
      <c r="DH12" s="145">
        <v>6936</v>
      </c>
      <c r="DI12" s="145">
        <v>6936</v>
      </c>
      <c r="DJ12" s="145">
        <v>6936</v>
      </c>
      <c r="DK12" s="145">
        <v>6936</v>
      </c>
      <c r="DL12" s="145">
        <v>6936</v>
      </c>
      <c r="DM12" s="145">
        <v>6936</v>
      </c>
      <c r="DN12" s="145">
        <v>6936</v>
      </c>
      <c r="DO12" s="145">
        <v>6936</v>
      </c>
      <c r="DP12" s="145">
        <v>6936</v>
      </c>
      <c r="DQ12" s="145">
        <v>6936</v>
      </c>
      <c r="DR12" s="145">
        <v>6936</v>
      </c>
      <c r="DS12" s="145">
        <v>6936</v>
      </c>
      <c r="DT12" s="145">
        <v>6936</v>
      </c>
      <c r="DU12" s="145">
        <v>0</v>
      </c>
      <c r="DV12" s="145">
        <v>0</v>
      </c>
      <c r="DW12" s="145">
        <v>0</v>
      </c>
      <c r="DX12" s="145">
        <v>0</v>
      </c>
      <c r="DY12" s="145">
        <v>0</v>
      </c>
      <c r="DZ12" s="145">
        <v>0</v>
      </c>
      <c r="EA12" s="145">
        <v>0</v>
      </c>
      <c r="EB12" s="145">
        <v>0</v>
      </c>
      <c r="EC12" s="145">
        <v>0</v>
      </c>
      <c r="ED12" s="145">
        <v>0</v>
      </c>
      <c r="EE12" s="145">
        <v>0</v>
      </c>
      <c r="EF12" s="145">
        <v>0</v>
      </c>
      <c r="EG12" s="145">
        <v>0</v>
      </c>
      <c r="EH12" s="145">
        <v>0</v>
      </c>
      <c r="EI12" s="145">
        <v>0</v>
      </c>
      <c r="EJ12" s="145">
        <v>0</v>
      </c>
      <c r="EK12" s="145">
        <v>0</v>
      </c>
      <c r="EL12" s="145">
        <v>0</v>
      </c>
      <c r="EM12" s="145">
        <v>0</v>
      </c>
      <c r="EN12" s="145">
        <v>0</v>
      </c>
      <c r="EO12" s="145">
        <v>0</v>
      </c>
      <c r="EP12" s="145">
        <v>0</v>
      </c>
      <c r="EQ12" s="145">
        <v>0</v>
      </c>
      <c r="ER12" s="145">
        <v>0</v>
      </c>
      <c r="ES12" s="145">
        <v>0</v>
      </c>
      <c r="ET12" s="145">
        <v>0</v>
      </c>
      <c r="EU12" s="145">
        <v>0</v>
      </c>
      <c r="EV12" s="145">
        <v>0</v>
      </c>
      <c r="EW12" s="145">
        <v>0</v>
      </c>
      <c r="EX12" s="145">
        <v>0</v>
      </c>
      <c r="EY12" s="145">
        <v>0</v>
      </c>
      <c r="EZ12" s="145">
        <v>0</v>
      </c>
      <c r="FA12" s="145">
        <v>0</v>
      </c>
      <c r="FB12" s="145">
        <v>0</v>
      </c>
      <c r="FC12" s="145">
        <v>0</v>
      </c>
      <c r="FD12" s="145">
        <v>0</v>
      </c>
      <c r="FE12" s="145">
        <v>0</v>
      </c>
      <c r="FF12" s="145">
        <v>0</v>
      </c>
      <c r="FG12" s="145">
        <v>0</v>
      </c>
      <c r="FH12" s="145">
        <v>0</v>
      </c>
      <c r="FI12" s="145">
        <v>0</v>
      </c>
      <c r="FJ12" s="145">
        <v>0</v>
      </c>
      <c r="FK12" s="145">
        <v>0</v>
      </c>
      <c r="FL12" s="145">
        <v>0</v>
      </c>
      <c r="FM12" s="145">
        <v>0</v>
      </c>
      <c r="FN12" s="145">
        <v>0</v>
      </c>
      <c r="FO12" s="145">
        <v>0</v>
      </c>
      <c r="FP12" s="145">
        <v>0</v>
      </c>
      <c r="FQ12" s="145">
        <v>0</v>
      </c>
      <c r="FR12" s="145">
        <v>0</v>
      </c>
      <c r="FS12" s="145">
        <v>0</v>
      </c>
      <c r="FT12" s="145">
        <v>0</v>
      </c>
      <c r="FU12" s="145">
        <v>0</v>
      </c>
      <c r="FV12" s="145">
        <v>0</v>
      </c>
      <c r="FW12" s="145">
        <v>0</v>
      </c>
      <c r="FX12" s="143"/>
      <c r="FY12" s="146" t="str">
        <f>_xlfn.XLOOKUP($E12,'Key assumptions'!$B$112:$B$120,'Key assumptions'!$C$112:$C$120,0)</f>
        <v>Nominal</v>
      </c>
      <c r="FZ12" s="146" cm="1">
        <f t="array" ref="FZ12">IF($FY12=0,0,_xlfn.IFS($FY12='Key assumptions'!$C$120,_xlfn.XLOOKUP(LEFT(FZ$7,6),Inflation_Year,Inflation_NominaltoReal),TRUE,_xlfn.XLOOKUP($FY12,Inflation_Year,NominaltoReal)))</f>
        <v>1.0197075870962191</v>
      </c>
      <c r="GA12" s="146" cm="1">
        <f t="array" ref="GA12">IF($FY12=0,0,_xlfn.IFS($FY12='Key assumptions'!$C$120,_xlfn.XLOOKUP(LEFT(GA$7,6),Inflation_Year,Inflation_NominaltoReal),TRUE,_xlfn.XLOOKUP($FY12,Inflation_Year,NominaltoReal)))</f>
        <v>0.98700804022984445</v>
      </c>
      <c r="GB12" s="146" cm="1">
        <f t="array" ref="GB12">IF($FY12=0,0,_xlfn.IFS($FY12='Key assumptions'!$C$120,_xlfn.XLOOKUP(LEFT(GB$7,6),Inflation_Year,Inflation_NominaltoReal),TRUE,_xlfn.XLOOKUP($FY12,Inflation_Year,NominaltoReal)))</f>
        <v>0.96152830081941731</v>
      </c>
      <c r="GC12" s="146" cm="1">
        <f t="array" ref="GC12">IF($FY12=0,0,_xlfn.IFS($FY12='Key assumptions'!$C$120,_xlfn.XLOOKUP(LEFT(GC$7,6),Inflation_Year,Inflation_NominaltoReal),TRUE,_xlfn.XLOOKUP($FY12,Inflation_Year,NominaltoReal)))</f>
        <v>0.93670632415656829</v>
      </c>
      <c r="GD12" s="146" cm="1">
        <f t="array" ref="GD12">IF($FY12=0,0,_xlfn.IFS($FY12='Key assumptions'!$C$120,_xlfn.XLOOKUP(LEFT(GD$7,6),Inflation_Year,Inflation_NominaltoReal),TRUE,_xlfn.XLOOKUP($FY12,Inflation_Year,NominaltoReal)))</f>
        <v>0.91252513001143176</v>
      </c>
      <c r="GE12" s="146" cm="1">
        <f t="array" ref="GE12">IF($FY12=0,0,_xlfn.IFS($FY12='Key assumptions'!$C$120,_xlfn.XLOOKUP(LEFT(GE$7,6),Inflation_Year,Inflation_NominaltoReal),TRUE,_xlfn.XLOOKUP($FY12,Inflation_Year,NominaltoReal)))</f>
        <v>0.88896817650095872</v>
      </c>
      <c r="GF12" s="146" cm="1">
        <f t="array" ref="GF12">IF($FY12=0,0,_xlfn.IFS($FY12='Key assumptions'!$C$120,_xlfn.XLOOKUP(LEFT(GF$7,6),Inflation_Year,Inflation_NominaltoReal),TRUE,_xlfn.XLOOKUP($FY12,Inflation_Year,NominaltoReal)))</f>
        <v>0.86601934877293718</v>
      </c>
      <c r="GG12" s="143"/>
      <c r="GH12" s="145" cm="1">
        <f t="array" ref="GH12">SUMPRODUCT(--($CR$7:$FW$7&gt;=GH$5),--($CR$7:$FW$7&lt;=GH$6),$CR12:$FW12)*FZ12</f>
        <v>49508.842768695627</v>
      </c>
      <c r="GI12" s="145" cm="1">
        <f t="array" ref="GI12">SUMPRODUCT(--($CR$7:$FW$7&gt;=GI$5),--($CR$7:$FW$7&lt;=GI$6),$CR12:$FW12)*GA12</f>
        <v>54767.102136273606</v>
      </c>
      <c r="GJ12" s="145" cm="1">
        <f t="array" ref="GJ12">SUMPRODUCT(--($CR$7:$FW$7&gt;=GJ$5),--($CR$7:$FW$7&lt;=GJ$6),$CR12:$FW12)*GB12</f>
        <v>0</v>
      </c>
      <c r="GK12" s="145" cm="1">
        <f t="array" ref="GK12">SUMPRODUCT(--($CR$7:$FW$7&gt;=GK$5),--($CR$7:$FW$7&lt;=GK$6),$CR12:$FW12)*GC12</f>
        <v>0</v>
      </c>
      <c r="GL12" s="145" cm="1">
        <f t="array" ref="GL12">SUMPRODUCT(--($CR$7:$FW$7&gt;=GL$5),--($CR$7:$FW$7&lt;=GL$6),$CR12:$FW12)*GD12</f>
        <v>0</v>
      </c>
      <c r="GM12" s="145" cm="1">
        <f t="array" ref="GM12">SUMPRODUCT(--($CR$7:$FW$7&gt;=GM$5),--($CR$7:$FW$7&lt;=GM$6),$CR12:$FW12)*GE12</f>
        <v>0</v>
      </c>
      <c r="GN12" s="145" cm="1">
        <f t="array" ref="GN12">SUMPRODUCT(--($CR$7:$FW$7&gt;=GN$5),--($CR$7:$FW$7&lt;=GN$6),$CR12:$FW12)*GF12</f>
        <v>0</v>
      </c>
      <c r="GO12" s="145">
        <f t="shared" si="0"/>
        <v>104275.94490496923</v>
      </c>
      <c r="GP12" s="87"/>
      <c r="GR12" s="145" cm="1">
        <f t="array" ref="GR12">SUMPRODUCT(--($CR$7:$FW$7&gt;=GR$5),--($CR$7:$FW$7&lt;=GR$6),$CR12:$FW12)</f>
        <v>27744</v>
      </c>
    </row>
    <row r="13" spans="1:201" s="64" customFormat="1" x14ac:dyDescent="0.2">
      <c r="A13" s="65"/>
      <c r="B13" s="141" t="str">
        <v>Project Development</v>
      </c>
      <c r="C13" s="141" t="str">
        <v>Syncon SME</v>
      </c>
      <c r="D13" s="141" t="str">
        <v>Non-labour</v>
      </c>
      <c r="E13" s="141" t="str">
        <v>$ Nominal</v>
      </c>
      <c r="F13" s="141">
        <v>0</v>
      </c>
      <c r="G13" s="141" t="str">
        <v/>
      </c>
      <c r="H13" s="142">
        <v>0</v>
      </c>
      <c r="I13" s="126">
        <v>7142</v>
      </c>
      <c r="J13" s="143">
        <v>0</v>
      </c>
      <c r="K13" s="144">
        <v>0</v>
      </c>
      <c r="L13" s="144">
        <v>0</v>
      </c>
      <c r="M13" s="144">
        <v>0</v>
      </c>
      <c r="N13" s="144">
        <v>0</v>
      </c>
      <c r="O13" s="144">
        <v>0</v>
      </c>
      <c r="P13" s="144">
        <v>0</v>
      </c>
      <c r="Q13" s="144">
        <v>0</v>
      </c>
      <c r="R13" s="144">
        <v>0</v>
      </c>
      <c r="S13" s="144">
        <v>0</v>
      </c>
      <c r="T13" s="144">
        <v>0</v>
      </c>
      <c r="U13" s="144">
        <v>0</v>
      </c>
      <c r="V13" s="144">
        <v>0</v>
      </c>
      <c r="W13" s="144">
        <v>0</v>
      </c>
      <c r="X13" s="144">
        <v>1</v>
      </c>
      <c r="Y13" s="144">
        <v>0</v>
      </c>
      <c r="Z13" s="144">
        <v>0</v>
      </c>
      <c r="AA13" s="144">
        <v>0</v>
      </c>
      <c r="AB13" s="144">
        <v>0</v>
      </c>
      <c r="AC13" s="144">
        <v>0</v>
      </c>
      <c r="AD13" s="144">
        <v>0</v>
      </c>
      <c r="AE13" s="144">
        <v>0</v>
      </c>
      <c r="AF13" s="144">
        <v>0</v>
      </c>
      <c r="AG13" s="144">
        <v>0</v>
      </c>
      <c r="AH13" s="144">
        <v>0</v>
      </c>
      <c r="AI13" s="144">
        <v>0</v>
      </c>
      <c r="AJ13" s="144">
        <v>0</v>
      </c>
      <c r="AK13" s="144">
        <v>0</v>
      </c>
      <c r="AL13" s="144">
        <v>0</v>
      </c>
      <c r="AM13" s="144">
        <v>0</v>
      </c>
      <c r="AN13" s="144">
        <v>0</v>
      </c>
      <c r="AO13" s="144">
        <v>0</v>
      </c>
      <c r="AP13" s="144">
        <v>0</v>
      </c>
      <c r="AQ13" s="144">
        <v>0</v>
      </c>
      <c r="AR13" s="144">
        <v>0</v>
      </c>
      <c r="AS13" s="144">
        <v>0</v>
      </c>
      <c r="AT13" s="144">
        <v>0</v>
      </c>
      <c r="AU13" s="144">
        <v>0</v>
      </c>
      <c r="AV13" s="144">
        <v>0</v>
      </c>
      <c r="AW13" s="144">
        <v>0</v>
      </c>
      <c r="AX13" s="144">
        <v>0</v>
      </c>
      <c r="AY13" s="144">
        <v>0</v>
      </c>
      <c r="AZ13" s="144">
        <v>0</v>
      </c>
      <c r="BA13" s="144">
        <v>0</v>
      </c>
      <c r="BB13" s="144">
        <v>0</v>
      </c>
      <c r="BC13" s="144">
        <v>0</v>
      </c>
      <c r="BD13" s="144">
        <v>0</v>
      </c>
      <c r="BE13" s="144">
        <v>0</v>
      </c>
      <c r="BF13" s="144">
        <v>0</v>
      </c>
      <c r="BG13" s="144">
        <v>0</v>
      </c>
      <c r="BH13" s="144">
        <v>0</v>
      </c>
      <c r="BI13" s="144">
        <v>0</v>
      </c>
      <c r="BJ13" s="144">
        <v>0</v>
      </c>
      <c r="BK13" s="144">
        <v>0</v>
      </c>
      <c r="BL13" s="144">
        <v>0</v>
      </c>
      <c r="BM13" s="144">
        <v>0</v>
      </c>
      <c r="BN13" s="144">
        <v>0</v>
      </c>
      <c r="BO13" s="144">
        <v>0</v>
      </c>
      <c r="BP13" s="144">
        <v>0</v>
      </c>
      <c r="BQ13" s="144">
        <v>0</v>
      </c>
      <c r="BR13" s="144">
        <v>0</v>
      </c>
      <c r="BS13" s="144">
        <v>0</v>
      </c>
      <c r="BT13" s="144">
        <v>0</v>
      </c>
      <c r="BU13" s="144">
        <v>0</v>
      </c>
      <c r="BV13" s="144">
        <v>0</v>
      </c>
      <c r="BW13" s="144">
        <v>0</v>
      </c>
      <c r="BX13" s="144">
        <v>0</v>
      </c>
      <c r="BY13" s="144">
        <v>0</v>
      </c>
      <c r="BZ13" s="144">
        <v>0</v>
      </c>
      <c r="CA13" s="144">
        <v>0</v>
      </c>
      <c r="CB13" s="144">
        <v>0</v>
      </c>
      <c r="CC13" s="144">
        <v>0</v>
      </c>
      <c r="CD13" s="144">
        <v>0</v>
      </c>
      <c r="CE13" s="144">
        <v>0</v>
      </c>
      <c r="CF13" s="144">
        <v>0</v>
      </c>
      <c r="CG13" s="144">
        <v>0</v>
      </c>
      <c r="CH13" s="144">
        <v>0</v>
      </c>
      <c r="CI13" s="144">
        <v>0</v>
      </c>
      <c r="CJ13" s="144">
        <v>0</v>
      </c>
      <c r="CK13" s="144">
        <v>0</v>
      </c>
      <c r="CL13" s="144">
        <v>0</v>
      </c>
      <c r="CM13" s="144">
        <v>0</v>
      </c>
      <c r="CN13" s="144">
        <v>0</v>
      </c>
      <c r="CO13" s="144">
        <v>0</v>
      </c>
      <c r="CP13" s="144">
        <v>0</v>
      </c>
      <c r="CQ13" s="143">
        <v>0</v>
      </c>
      <c r="CR13" s="145">
        <v>0</v>
      </c>
      <c r="CS13" s="145">
        <v>0</v>
      </c>
      <c r="CT13" s="145">
        <v>0</v>
      </c>
      <c r="CU13" s="145">
        <v>0</v>
      </c>
      <c r="CV13" s="145">
        <v>0</v>
      </c>
      <c r="CW13" s="145">
        <v>0</v>
      </c>
      <c r="CX13" s="145">
        <v>0</v>
      </c>
      <c r="CY13" s="145">
        <v>0</v>
      </c>
      <c r="CZ13" s="145">
        <v>0</v>
      </c>
      <c r="DA13" s="145">
        <v>0</v>
      </c>
      <c r="DB13" s="145">
        <v>0</v>
      </c>
      <c r="DC13" s="145">
        <v>0</v>
      </c>
      <c r="DD13" s="145">
        <v>0</v>
      </c>
      <c r="DE13" s="145">
        <v>7142</v>
      </c>
      <c r="DF13" s="145">
        <v>0</v>
      </c>
      <c r="DG13" s="145">
        <v>0</v>
      </c>
      <c r="DH13" s="145">
        <v>0</v>
      </c>
      <c r="DI13" s="145">
        <v>0</v>
      </c>
      <c r="DJ13" s="145">
        <v>0</v>
      </c>
      <c r="DK13" s="145">
        <v>0</v>
      </c>
      <c r="DL13" s="145">
        <v>0</v>
      </c>
      <c r="DM13" s="145">
        <v>0</v>
      </c>
      <c r="DN13" s="145">
        <v>0</v>
      </c>
      <c r="DO13" s="145">
        <v>0</v>
      </c>
      <c r="DP13" s="145">
        <v>0</v>
      </c>
      <c r="DQ13" s="145">
        <v>0</v>
      </c>
      <c r="DR13" s="145">
        <v>0</v>
      </c>
      <c r="DS13" s="145">
        <v>0</v>
      </c>
      <c r="DT13" s="145">
        <v>0</v>
      </c>
      <c r="DU13" s="145">
        <v>0</v>
      </c>
      <c r="DV13" s="145">
        <v>0</v>
      </c>
      <c r="DW13" s="145">
        <v>0</v>
      </c>
      <c r="DX13" s="145">
        <v>0</v>
      </c>
      <c r="DY13" s="145">
        <v>0</v>
      </c>
      <c r="DZ13" s="145">
        <v>0</v>
      </c>
      <c r="EA13" s="145">
        <v>0</v>
      </c>
      <c r="EB13" s="145">
        <v>0</v>
      </c>
      <c r="EC13" s="145">
        <v>0</v>
      </c>
      <c r="ED13" s="145">
        <v>0</v>
      </c>
      <c r="EE13" s="145">
        <v>0</v>
      </c>
      <c r="EF13" s="145">
        <v>0</v>
      </c>
      <c r="EG13" s="145">
        <v>0</v>
      </c>
      <c r="EH13" s="145">
        <v>0</v>
      </c>
      <c r="EI13" s="145">
        <v>0</v>
      </c>
      <c r="EJ13" s="145">
        <v>0</v>
      </c>
      <c r="EK13" s="145">
        <v>0</v>
      </c>
      <c r="EL13" s="145">
        <v>0</v>
      </c>
      <c r="EM13" s="145">
        <v>0</v>
      </c>
      <c r="EN13" s="145">
        <v>0</v>
      </c>
      <c r="EO13" s="145">
        <v>0</v>
      </c>
      <c r="EP13" s="145">
        <v>0</v>
      </c>
      <c r="EQ13" s="145">
        <v>0</v>
      </c>
      <c r="ER13" s="145">
        <v>0</v>
      </c>
      <c r="ES13" s="145">
        <v>0</v>
      </c>
      <c r="ET13" s="145">
        <v>0</v>
      </c>
      <c r="EU13" s="145">
        <v>0</v>
      </c>
      <c r="EV13" s="145">
        <v>0</v>
      </c>
      <c r="EW13" s="145">
        <v>0</v>
      </c>
      <c r="EX13" s="145">
        <v>0</v>
      </c>
      <c r="EY13" s="145">
        <v>0</v>
      </c>
      <c r="EZ13" s="145">
        <v>0</v>
      </c>
      <c r="FA13" s="145">
        <v>0</v>
      </c>
      <c r="FB13" s="145">
        <v>0</v>
      </c>
      <c r="FC13" s="145">
        <v>0</v>
      </c>
      <c r="FD13" s="145">
        <v>0</v>
      </c>
      <c r="FE13" s="145">
        <v>0</v>
      </c>
      <c r="FF13" s="145">
        <v>0</v>
      </c>
      <c r="FG13" s="145">
        <v>0</v>
      </c>
      <c r="FH13" s="145">
        <v>0</v>
      </c>
      <c r="FI13" s="145">
        <v>0</v>
      </c>
      <c r="FJ13" s="145">
        <v>0</v>
      </c>
      <c r="FK13" s="145">
        <v>0</v>
      </c>
      <c r="FL13" s="145">
        <v>0</v>
      </c>
      <c r="FM13" s="145">
        <v>0</v>
      </c>
      <c r="FN13" s="145">
        <v>0</v>
      </c>
      <c r="FO13" s="145">
        <v>0</v>
      </c>
      <c r="FP13" s="145">
        <v>0</v>
      </c>
      <c r="FQ13" s="145">
        <v>0</v>
      </c>
      <c r="FR13" s="145">
        <v>0</v>
      </c>
      <c r="FS13" s="145">
        <v>0</v>
      </c>
      <c r="FT13" s="145">
        <v>0</v>
      </c>
      <c r="FU13" s="145">
        <v>0</v>
      </c>
      <c r="FV13" s="145">
        <v>0</v>
      </c>
      <c r="FW13" s="145">
        <v>0</v>
      </c>
      <c r="FX13" s="143"/>
      <c r="FY13" s="146" t="str">
        <f>_xlfn.XLOOKUP($E13,'Key assumptions'!$B$112:$B$120,'Key assumptions'!$C$112:$C$120,0)</f>
        <v>Nominal</v>
      </c>
      <c r="FZ13" s="146" cm="1">
        <f t="array" ref="FZ13">IF($FY13=0,0,_xlfn.IFS($FY13='Key assumptions'!$C$120,_xlfn.XLOOKUP(LEFT(FZ$7,6),Inflation_Year,Inflation_NominaltoReal),TRUE,_xlfn.XLOOKUP($FY13,Inflation_Year,NominaltoReal)))</f>
        <v>1.0197075870962191</v>
      </c>
      <c r="GA13" s="146" cm="1">
        <f t="array" ref="GA13">IF($FY13=0,0,_xlfn.IFS($FY13='Key assumptions'!$C$120,_xlfn.XLOOKUP(LEFT(GA$7,6),Inflation_Year,Inflation_NominaltoReal),TRUE,_xlfn.XLOOKUP($FY13,Inflation_Year,NominaltoReal)))</f>
        <v>0.98700804022984445</v>
      </c>
      <c r="GB13" s="146" cm="1">
        <f t="array" ref="GB13">IF($FY13=0,0,_xlfn.IFS($FY13='Key assumptions'!$C$120,_xlfn.XLOOKUP(LEFT(GB$7,6),Inflation_Year,Inflation_NominaltoReal),TRUE,_xlfn.XLOOKUP($FY13,Inflation_Year,NominaltoReal)))</f>
        <v>0.96152830081941731</v>
      </c>
      <c r="GC13" s="146" cm="1">
        <f t="array" ref="GC13">IF($FY13=0,0,_xlfn.IFS($FY13='Key assumptions'!$C$120,_xlfn.XLOOKUP(LEFT(GC$7,6),Inflation_Year,Inflation_NominaltoReal),TRUE,_xlfn.XLOOKUP($FY13,Inflation_Year,NominaltoReal)))</f>
        <v>0.93670632415656829</v>
      </c>
      <c r="GD13" s="146" cm="1">
        <f t="array" ref="GD13">IF($FY13=0,0,_xlfn.IFS($FY13='Key assumptions'!$C$120,_xlfn.XLOOKUP(LEFT(GD$7,6),Inflation_Year,Inflation_NominaltoReal),TRUE,_xlfn.XLOOKUP($FY13,Inflation_Year,NominaltoReal)))</f>
        <v>0.91252513001143176</v>
      </c>
      <c r="GE13" s="146" cm="1">
        <f t="array" ref="GE13">IF($FY13=0,0,_xlfn.IFS($FY13='Key assumptions'!$C$120,_xlfn.XLOOKUP(LEFT(GE$7,6),Inflation_Year,Inflation_NominaltoReal),TRUE,_xlfn.XLOOKUP($FY13,Inflation_Year,NominaltoReal)))</f>
        <v>0.88896817650095872</v>
      </c>
      <c r="GF13" s="146" cm="1">
        <f t="array" ref="GF13">IF($FY13=0,0,_xlfn.IFS($FY13='Key assumptions'!$C$120,_xlfn.XLOOKUP(LEFT(GF$7,6),Inflation_Year,Inflation_NominaltoReal),TRUE,_xlfn.XLOOKUP($FY13,Inflation_Year,NominaltoReal)))</f>
        <v>0.86601934877293718</v>
      </c>
      <c r="GG13" s="143"/>
      <c r="GH13" s="145" cm="1">
        <f t="array" ref="GH13">SUMPRODUCT(--($CR$7:$FW$7&gt;=GH$5),--($CR$7:$FW$7&lt;=GH$6),$CR13:$FW13)*FZ13</f>
        <v>7282.7515870411971</v>
      </c>
      <c r="GI13" s="145" cm="1">
        <f t="array" ref="GI13">SUMPRODUCT(--($CR$7:$FW$7&gt;=GI$5),--($CR$7:$FW$7&lt;=GI$6),$CR13:$FW13)*GA13</f>
        <v>0</v>
      </c>
      <c r="GJ13" s="145" cm="1">
        <f t="array" ref="GJ13">SUMPRODUCT(--($CR$7:$FW$7&gt;=GJ$5),--($CR$7:$FW$7&lt;=GJ$6),$CR13:$FW13)*GB13</f>
        <v>0</v>
      </c>
      <c r="GK13" s="145" cm="1">
        <f t="array" ref="GK13">SUMPRODUCT(--($CR$7:$FW$7&gt;=GK$5),--($CR$7:$FW$7&lt;=GK$6),$CR13:$FW13)*GC13</f>
        <v>0</v>
      </c>
      <c r="GL13" s="145" cm="1">
        <f t="array" ref="GL13">SUMPRODUCT(--($CR$7:$FW$7&gt;=GL$5),--($CR$7:$FW$7&lt;=GL$6),$CR13:$FW13)*GD13</f>
        <v>0</v>
      </c>
      <c r="GM13" s="145" cm="1">
        <f t="array" ref="GM13">SUMPRODUCT(--($CR$7:$FW$7&gt;=GM$5),--($CR$7:$FW$7&lt;=GM$6),$CR13:$FW13)*GE13</f>
        <v>0</v>
      </c>
      <c r="GN13" s="145" cm="1">
        <f t="array" ref="GN13">SUMPRODUCT(--($CR$7:$FW$7&gt;=GN$5),--($CR$7:$FW$7&lt;=GN$6),$CR13:$FW13)*GF13</f>
        <v>0</v>
      </c>
      <c r="GO13" s="145">
        <f t="shared" si="0"/>
        <v>7282.7515870411971</v>
      </c>
      <c r="GP13" s="87"/>
      <c r="GR13" s="145" cm="1">
        <f t="array" ref="GR13">SUMPRODUCT(--($CR$7:$FW$7&gt;=GR$5),--($CR$7:$FW$7&lt;=GR$6),$CR13:$FW13)</f>
        <v>7142</v>
      </c>
    </row>
    <row r="14" spans="1:201" s="64" customFormat="1" x14ac:dyDescent="0.2">
      <c r="A14" s="65"/>
      <c r="B14" s="141" t="str">
        <v>Project Development</v>
      </c>
      <c r="C14" s="141" t="str">
        <v>LV System for Syncons SME</v>
      </c>
      <c r="D14" s="141" t="str">
        <v>Non-labour</v>
      </c>
      <c r="E14" s="141" t="str">
        <v>$ Nominal</v>
      </c>
      <c r="F14" s="141">
        <v>0</v>
      </c>
      <c r="G14" s="141" t="str">
        <v/>
      </c>
      <c r="H14" s="142">
        <v>0</v>
      </c>
      <c r="I14" s="126">
        <v>128321</v>
      </c>
      <c r="J14" s="143">
        <v>0</v>
      </c>
      <c r="K14" s="144">
        <v>0</v>
      </c>
      <c r="L14" s="144">
        <v>0</v>
      </c>
      <c r="M14" s="144">
        <v>0</v>
      </c>
      <c r="N14" s="144">
        <v>0</v>
      </c>
      <c r="O14" s="144">
        <v>0</v>
      </c>
      <c r="P14" s="144">
        <v>0</v>
      </c>
      <c r="Q14" s="144">
        <v>0</v>
      </c>
      <c r="R14" s="144">
        <v>0</v>
      </c>
      <c r="S14" s="144">
        <v>0</v>
      </c>
      <c r="T14" s="144">
        <v>0</v>
      </c>
      <c r="U14" s="144">
        <v>0</v>
      </c>
      <c r="V14" s="144">
        <v>0</v>
      </c>
      <c r="W14" s="144">
        <v>0</v>
      </c>
      <c r="X14" s="144">
        <v>7.7929567257113017E-2</v>
      </c>
      <c r="Y14" s="144">
        <v>0.15585913451422603</v>
      </c>
      <c r="Z14" s="144">
        <v>0.53242259645732182</v>
      </c>
      <c r="AA14" s="144">
        <v>0.15585913451422603</v>
      </c>
      <c r="AB14" s="144">
        <v>7.7929567257113017E-2</v>
      </c>
      <c r="AC14" s="144">
        <v>0</v>
      </c>
      <c r="AD14" s="144">
        <v>0</v>
      </c>
      <c r="AE14" s="144">
        <v>0</v>
      </c>
      <c r="AF14" s="144">
        <v>0</v>
      </c>
      <c r="AG14" s="144">
        <v>0</v>
      </c>
      <c r="AH14" s="144">
        <v>0</v>
      </c>
      <c r="AI14" s="144">
        <v>0</v>
      </c>
      <c r="AJ14" s="144">
        <v>0</v>
      </c>
      <c r="AK14" s="144">
        <v>0</v>
      </c>
      <c r="AL14" s="144">
        <v>0</v>
      </c>
      <c r="AM14" s="144">
        <v>0</v>
      </c>
      <c r="AN14" s="144">
        <v>0</v>
      </c>
      <c r="AO14" s="144">
        <v>0</v>
      </c>
      <c r="AP14" s="144">
        <v>0</v>
      </c>
      <c r="AQ14" s="144">
        <v>0</v>
      </c>
      <c r="AR14" s="144">
        <v>0</v>
      </c>
      <c r="AS14" s="144">
        <v>0</v>
      </c>
      <c r="AT14" s="144">
        <v>0</v>
      </c>
      <c r="AU14" s="144">
        <v>0</v>
      </c>
      <c r="AV14" s="144">
        <v>0</v>
      </c>
      <c r="AW14" s="144">
        <v>0</v>
      </c>
      <c r="AX14" s="144">
        <v>0</v>
      </c>
      <c r="AY14" s="144">
        <v>0</v>
      </c>
      <c r="AZ14" s="144">
        <v>0</v>
      </c>
      <c r="BA14" s="144">
        <v>0</v>
      </c>
      <c r="BB14" s="144">
        <v>0</v>
      </c>
      <c r="BC14" s="144">
        <v>0</v>
      </c>
      <c r="BD14" s="144">
        <v>0</v>
      </c>
      <c r="BE14" s="144">
        <v>0</v>
      </c>
      <c r="BF14" s="144">
        <v>0</v>
      </c>
      <c r="BG14" s="144">
        <v>0</v>
      </c>
      <c r="BH14" s="144">
        <v>0</v>
      </c>
      <c r="BI14" s="144">
        <v>0</v>
      </c>
      <c r="BJ14" s="144">
        <v>0</v>
      </c>
      <c r="BK14" s="144">
        <v>0</v>
      </c>
      <c r="BL14" s="144">
        <v>0</v>
      </c>
      <c r="BM14" s="144">
        <v>0</v>
      </c>
      <c r="BN14" s="144">
        <v>0</v>
      </c>
      <c r="BO14" s="144">
        <v>0</v>
      </c>
      <c r="BP14" s="144">
        <v>0</v>
      </c>
      <c r="BQ14" s="144">
        <v>0</v>
      </c>
      <c r="BR14" s="144">
        <v>0</v>
      </c>
      <c r="BS14" s="144">
        <v>0</v>
      </c>
      <c r="BT14" s="144">
        <v>0</v>
      </c>
      <c r="BU14" s="144">
        <v>0</v>
      </c>
      <c r="BV14" s="144">
        <v>0</v>
      </c>
      <c r="BW14" s="144">
        <v>0</v>
      </c>
      <c r="BX14" s="144">
        <v>0</v>
      </c>
      <c r="BY14" s="144">
        <v>0</v>
      </c>
      <c r="BZ14" s="144">
        <v>0</v>
      </c>
      <c r="CA14" s="144">
        <v>0</v>
      </c>
      <c r="CB14" s="144">
        <v>0</v>
      </c>
      <c r="CC14" s="144">
        <v>0</v>
      </c>
      <c r="CD14" s="144">
        <v>0</v>
      </c>
      <c r="CE14" s="144">
        <v>0</v>
      </c>
      <c r="CF14" s="144">
        <v>0</v>
      </c>
      <c r="CG14" s="144">
        <v>0</v>
      </c>
      <c r="CH14" s="144">
        <v>0</v>
      </c>
      <c r="CI14" s="144">
        <v>0</v>
      </c>
      <c r="CJ14" s="144">
        <v>0</v>
      </c>
      <c r="CK14" s="144">
        <v>0</v>
      </c>
      <c r="CL14" s="144">
        <v>0</v>
      </c>
      <c r="CM14" s="144">
        <v>0</v>
      </c>
      <c r="CN14" s="144">
        <v>0</v>
      </c>
      <c r="CO14" s="144">
        <v>0</v>
      </c>
      <c r="CP14" s="144">
        <v>0</v>
      </c>
      <c r="CQ14" s="143">
        <v>0</v>
      </c>
      <c r="CR14" s="145">
        <v>0</v>
      </c>
      <c r="CS14" s="145">
        <v>0</v>
      </c>
      <c r="CT14" s="145">
        <v>0</v>
      </c>
      <c r="CU14" s="145">
        <v>0</v>
      </c>
      <c r="CV14" s="145">
        <v>0</v>
      </c>
      <c r="CW14" s="145">
        <v>0</v>
      </c>
      <c r="CX14" s="145">
        <v>0</v>
      </c>
      <c r="CY14" s="145">
        <v>0</v>
      </c>
      <c r="CZ14" s="145">
        <v>0</v>
      </c>
      <c r="DA14" s="145">
        <v>0</v>
      </c>
      <c r="DB14" s="145">
        <v>0</v>
      </c>
      <c r="DC14" s="145">
        <v>0</v>
      </c>
      <c r="DD14" s="145">
        <v>0</v>
      </c>
      <c r="DE14" s="145">
        <v>10000</v>
      </c>
      <c r="DF14" s="145">
        <v>20000</v>
      </c>
      <c r="DG14" s="145">
        <v>68321</v>
      </c>
      <c r="DH14" s="145">
        <v>20000</v>
      </c>
      <c r="DI14" s="145">
        <v>10000</v>
      </c>
      <c r="DJ14" s="145">
        <v>0</v>
      </c>
      <c r="DK14" s="145">
        <v>0</v>
      </c>
      <c r="DL14" s="145">
        <v>0</v>
      </c>
      <c r="DM14" s="145">
        <v>0</v>
      </c>
      <c r="DN14" s="145">
        <v>0</v>
      </c>
      <c r="DO14" s="145">
        <v>0</v>
      </c>
      <c r="DP14" s="145">
        <v>0</v>
      </c>
      <c r="DQ14" s="145">
        <v>0</v>
      </c>
      <c r="DR14" s="145">
        <v>0</v>
      </c>
      <c r="DS14" s="145">
        <v>0</v>
      </c>
      <c r="DT14" s="145">
        <v>0</v>
      </c>
      <c r="DU14" s="145">
        <v>0</v>
      </c>
      <c r="DV14" s="145">
        <v>0</v>
      </c>
      <c r="DW14" s="145">
        <v>0</v>
      </c>
      <c r="DX14" s="145">
        <v>0</v>
      </c>
      <c r="DY14" s="145">
        <v>0</v>
      </c>
      <c r="DZ14" s="145">
        <v>0</v>
      </c>
      <c r="EA14" s="145">
        <v>0</v>
      </c>
      <c r="EB14" s="145">
        <v>0</v>
      </c>
      <c r="EC14" s="145">
        <v>0</v>
      </c>
      <c r="ED14" s="145">
        <v>0</v>
      </c>
      <c r="EE14" s="145">
        <v>0</v>
      </c>
      <c r="EF14" s="145">
        <v>0</v>
      </c>
      <c r="EG14" s="145">
        <v>0</v>
      </c>
      <c r="EH14" s="145">
        <v>0</v>
      </c>
      <c r="EI14" s="145">
        <v>0</v>
      </c>
      <c r="EJ14" s="145">
        <v>0</v>
      </c>
      <c r="EK14" s="145">
        <v>0</v>
      </c>
      <c r="EL14" s="145">
        <v>0</v>
      </c>
      <c r="EM14" s="145">
        <v>0</v>
      </c>
      <c r="EN14" s="145">
        <v>0</v>
      </c>
      <c r="EO14" s="145">
        <v>0</v>
      </c>
      <c r="EP14" s="145">
        <v>0</v>
      </c>
      <c r="EQ14" s="145">
        <v>0</v>
      </c>
      <c r="ER14" s="145">
        <v>0</v>
      </c>
      <c r="ES14" s="145">
        <v>0</v>
      </c>
      <c r="ET14" s="145">
        <v>0</v>
      </c>
      <c r="EU14" s="145">
        <v>0</v>
      </c>
      <c r="EV14" s="145">
        <v>0</v>
      </c>
      <c r="EW14" s="145">
        <v>0</v>
      </c>
      <c r="EX14" s="145">
        <v>0</v>
      </c>
      <c r="EY14" s="145">
        <v>0</v>
      </c>
      <c r="EZ14" s="145">
        <v>0</v>
      </c>
      <c r="FA14" s="145">
        <v>0</v>
      </c>
      <c r="FB14" s="145">
        <v>0</v>
      </c>
      <c r="FC14" s="145">
        <v>0</v>
      </c>
      <c r="FD14" s="145">
        <v>0</v>
      </c>
      <c r="FE14" s="145">
        <v>0</v>
      </c>
      <c r="FF14" s="145">
        <v>0</v>
      </c>
      <c r="FG14" s="145">
        <v>0</v>
      </c>
      <c r="FH14" s="145">
        <v>0</v>
      </c>
      <c r="FI14" s="145">
        <v>0</v>
      </c>
      <c r="FJ14" s="145">
        <v>0</v>
      </c>
      <c r="FK14" s="145">
        <v>0</v>
      </c>
      <c r="FL14" s="145">
        <v>0</v>
      </c>
      <c r="FM14" s="145">
        <v>0</v>
      </c>
      <c r="FN14" s="145">
        <v>0</v>
      </c>
      <c r="FO14" s="145">
        <v>0</v>
      </c>
      <c r="FP14" s="145">
        <v>0</v>
      </c>
      <c r="FQ14" s="145">
        <v>0</v>
      </c>
      <c r="FR14" s="145">
        <v>0</v>
      </c>
      <c r="FS14" s="145">
        <v>0</v>
      </c>
      <c r="FT14" s="145">
        <v>0</v>
      </c>
      <c r="FU14" s="145">
        <v>0</v>
      </c>
      <c r="FV14" s="145">
        <v>0</v>
      </c>
      <c r="FW14" s="145">
        <v>0</v>
      </c>
      <c r="FX14" s="143"/>
      <c r="FY14" s="146" t="str">
        <f>_xlfn.XLOOKUP($E14,'Key assumptions'!$B$112:$B$120,'Key assumptions'!$C$112:$C$120,0)</f>
        <v>Nominal</v>
      </c>
      <c r="FZ14" s="146" cm="1">
        <f t="array" ref="FZ14">IF($FY14=0,0,_xlfn.IFS($FY14='Key assumptions'!$C$120,_xlfn.XLOOKUP(LEFT(FZ$7,6),Inflation_Year,Inflation_NominaltoReal),TRUE,_xlfn.XLOOKUP($FY14,Inflation_Year,NominaltoReal)))</f>
        <v>1.0197075870962191</v>
      </c>
      <c r="GA14" s="146" cm="1">
        <f t="array" ref="GA14">IF($FY14=0,0,_xlfn.IFS($FY14='Key assumptions'!$C$120,_xlfn.XLOOKUP(LEFT(GA$7,6),Inflation_Year,Inflation_NominaltoReal),TRUE,_xlfn.XLOOKUP($FY14,Inflation_Year,NominaltoReal)))</f>
        <v>0.98700804022984445</v>
      </c>
      <c r="GB14" s="146" cm="1">
        <f t="array" ref="GB14">IF($FY14=0,0,_xlfn.IFS($FY14='Key assumptions'!$C$120,_xlfn.XLOOKUP(LEFT(GB$7,6),Inflation_Year,Inflation_NominaltoReal),TRUE,_xlfn.XLOOKUP($FY14,Inflation_Year,NominaltoReal)))</f>
        <v>0.96152830081941731</v>
      </c>
      <c r="GC14" s="146" cm="1">
        <f t="array" ref="GC14">IF($FY14=0,0,_xlfn.IFS($FY14='Key assumptions'!$C$120,_xlfn.XLOOKUP(LEFT(GC$7,6),Inflation_Year,Inflation_NominaltoReal),TRUE,_xlfn.XLOOKUP($FY14,Inflation_Year,NominaltoReal)))</f>
        <v>0.93670632415656829</v>
      </c>
      <c r="GD14" s="146" cm="1">
        <f t="array" ref="GD14">IF($FY14=0,0,_xlfn.IFS($FY14='Key assumptions'!$C$120,_xlfn.XLOOKUP(LEFT(GD$7,6),Inflation_Year,Inflation_NominaltoReal),TRUE,_xlfn.XLOOKUP($FY14,Inflation_Year,NominaltoReal)))</f>
        <v>0.91252513001143176</v>
      </c>
      <c r="GE14" s="146" cm="1">
        <f t="array" ref="GE14">IF($FY14=0,0,_xlfn.IFS($FY14='Key assumptions'!$C$120,_xlfn.XLOOKUP(LEFT(GE$7,6),Inflation_Year,Inflation_NominaltoReal),TRUE,_xlfn.XLOOKUP($FY14,Inflation_Year,NominaltoReal)))</f>
        <v>0.88896817650095872</v>
      </c>
      <c r="GF14" s="146" cm="1">
        <f t="array" ref="GF14">IF($FY14=0,0,_xlfn.IFS($FY14='Key assumptions'!$C$120,_xlfn.XLOOKUP(LEFT(GF$7,6),Inflation_Year,Inflation_NominaltoReal),TRUE,_xlfn.XLOOKUP($FY14,Inflation_Year,NominaltoReal)))</f>
        <v>0.86601934877293718</v>
      </c>
      <c r="GG14" s="143"/>
      <c r="GH14" s="145" cm="1">
        <f t="array" ref="GH14">SUMPRODUCT(--($CR$7:$FW$7&gt;=GH$5),--($CR$7:$FW$7&lt;=GH$6),$CR14:$FW14)*FZ14</f>
        <v>130849.89728377393</v>
      </c>
      <c r="GI14" s="145" cm="1">
        <f t="array" ref="GI14">SUMPRODUCT(--($CR$7:$FW$7&gt;=GI$5),--($CR$7:$FW$7&lt;=GI$6),$CR14:$FW14)*GA14</f>
        <v>0</v>
      </c>
      <c r="GJ14" s="145" cm="1">
        <f t="array" ref="GJ14">SUMPRODUCT(--($CR$7:$FW$7&gt;=GJ$5),--($CR$7:$FW$7&lt;=GJ$6),$CR14:$FW14)*GB14</f>
        <v>0</v>
      </c>
      <c r="GK14" s="145" cm="1">
        <f t="array" ref="GK14">SUMPRODUCT(--($CR$7:$FW$7&gt;=GK$5),--($CR$7:$FW$7&lt;=GK$6),$CR14:$FW14)*GC14</f>
        <v>0</v>
      </c>
      <c r="GL14" s="145" cm="1">
        <f t="array" ref="GL14">SUMPRODUCT(--($CR$7:$FW$7&gt;=GL$5),--($CR$7:$FW$7&lt;=GL$6),$CR14:$FW14)*GD14</f>
        <v>0</v>
      </c>
      <c r="GM14" s="145" cm="1">
        <f t="array" ref="GM14">SUMPRODUCT(--($CR$7:$FW$7&gt;=GM$5),--($CR$7:$FW$7&lt;=GM$6),$CR14:$FW14)*GE14</f>
        <v>0</v>
      </c>
      <c r="GN14" s="145" cm="1">
        <f t="array" ref="GN14">SUMPRODUCT(--($CR$7:$FW$7&gt;=GN$5),--($CR$7:$FW$7&lt;=GN$6),$CR14:$FW14)*GF14</f>
        <v>0</v>
      </c>
      <c r="GO14" s="145">
        <f t="shared" si="0"/>
        <v>130849.89728377393</v>
      </c>
      <c r="GP14" s="87"/>
      <c r="GR14" s="145" cm="1">
        <f t="array" ref="GR14">SUMPRODUCT(--($CR$7:$FW$7&gt;=GR$5),--($CR$7:$FW$7&lt;=GR$6),$CR14:$FW14)</f>
        <v>128321</v>
      </c>
    </row>
    <row r="15" spans="1:201" s="64" customFormat="1" x14ac:dyDescent="0.2">
      <c r="A15" s="65"/>
      <c r="B15" s="141" t="str">
        <v>Project Development</v>
      </c>
      <c r="C15" s="141" t="str">
        <v>Control System Design</v>
      </c>
      <c r="D15" s="141" t="str">
        <v>Non-labour</v>
      </c>
      <c r="E15" s="141" t="str">
        <v>$ Nominal</v>
      </c>
      <c r="F15" s="141">
        <v>0</v>
      </c>
      <c r="G15" s="141" t="str">
        <v/>
      </c>
      <c r="H15" s="142">
        <v>0</v>
      </c>
      <c r="I15" s="126">
        <v>311200</v>
      </c>
      <c r="J15" s="143">
        <v>0</v>
      </c>
      <c r="K15" s="144">
        <v>0</v>
      </c>
      <c r="L15" s="144">
        <v>0</v>
      </c>
      <c r="M15" s="144">
        <v>0</v>
      </c>
      <c r="N15" s="144">
        <v>0</v>
      </c>
      <c r="O15" s="144">
        <v>0</v>
      </c>
      <c r="P15" s="144">
        <v>0</v>
      </c>
      <c r="Q15" s="144">
        <v>0</v>
      </c>
      <c r="R15" s="144">
        <v>0</v>
      </c>
      <c r="S15" s="144">
        <v>0</v>
      </c>
      <c r="T15" s="144">
        <v>0</v>
      </c>
      <c r="U15" s="144">
        <v>0</v>
      </c>
      <c r="V15" s="144">
        <v>0</v>
      </c>
      <c r="W15" s="144">
        <v>0</v>
      </c>
      <c r="X15" s="144">
        <v>0</v>
      </c>
      <c r="Y15" s="144">
        <v>0</v>
      </c>
      <c r="Z15" s="144">
        <v>0</v>
      </c>
      <c r="AA15" s="144">
        <v>0</v>
      </c>
      <c r="AB15" s="144">
        <v>0</v>
      </c>
      <c r="AC15" s="144">
        <v>0</v>
      </c>
      <c r="AD15" s="144">
        <v>0</v>
      </c>
      <c r="AE15" s="144">
        <v>0</v>
      </c>
      <c r="AF15" s="144">
        <v>0</v>
      </c>
      <c r="AG15" s="144">
        <v>0</v>
      </c>
      <c r="AH15" s="144">
        <v>0.57840616966580982</v>
      </c>
      <c r="AI15" s="144">
        <v>0.1372107969151671</v>
      </c>
      <c r="AJ15" s="144">
        <v>0.28438303341902316</v>
      </c>
      <c r="AK15" s="144">
        <v>0</v>
      </c>
      <c r="AL15" s="144">
        <v>0</v>
      </c>
      <c r="AM15" s="144">
        <v>0</v>
      </c>
      <c r="AN15" s="144">
        <v>0</v>
      </c>
      <c r="AO15" s="144">
        <v>0</v>
      </c>
      <c r="AP15" s="144">
        <v>0</v>
      </c>
      <c r="AQ15" s="144">
        <v>0</v>
      </c>
      <c r="AR15" s="144">
        <v>0</v>
      </c>
      <c r="AS15" s="144">
        <v>0</v>
      </c>
      <c r="AT15" s="144">
        <v>0</v>
      </c>
      <c r="AU15" s="144">
        <v>0</v>
      </c>
      <c r="AV15" s="144">
        <v>0</v>
      </c>
      <c r="AW15" s="144">
        <v>0</v>
      </c>
      <c r="AX15" s="144">
        <v>0</v>
      </c>
      <c r="AY15" s="144">
        <v>0</v>
      </c>
      <c r="AZ15" s="144">
        <v>0</v>
      </c>
      <c r="BA15" s="144">
        <v>0</v>
      </c>
      <c r="BB15" s="144">
        <v>0</v>
      </c>
      <c r="BC15" s="144">
        <v>0</v>
      </c>
      <c r="BD15" s="144">
        <v>0</v>
      </c>
      <c r="BE15" s="144">
        <v>0</v>
      </c>
      <c r="BF15" s="144">
        <v>0</v>
      </c>
      <c r="BG15" s="144">
        <v>0</v>
      </c>
      <c r="BH15" s="144">
        <v>0</v>
      </c>
      <c r="BI15" s="144">
        <v>0</v>
      </c>
      <c r="BJ15" s="144">
        <v>0</v>
      </c>
      <c r="BK15" s="144">
        <v>0</v>
      </c>
      <c r="BL15" s="144">
        <v>0</v>
      </c>
      <c r="BM15" s="144">
        <v>0</v>
      </c>
      <c r="BN15" s="144">
        <v>0</v>
      </c>
      <c r="BO15" s="144">
        <v>0</v>
      </c>
      <c r="BP15" s="144">
        <v>0</v>
      </c>
      <c r="BQ15" s="144">
        <v>0</v>
      </c>
      <c r="BR15" s="144">
        <v>0</v>
      </c>
      <c r="BS15" s="144">
        <v>0</v>
      </c>
      <c r="BT15" s="144">
        <v>0</v>
      </c>
      <c r="BU15" s="144">
        <v>0</v>
      </c>
      <c r="BV15" s="144">
        <v>0</v>
      </c>
      <c r="BW15" s="144">
        <v>0</v>
      </c>
      <c r="BX15" s="144">
        <v>0</v>
      </c>
      <c r="BY15" s="144">
        <v>0</v>
      </c>
      <c r="BZ15" s="144">
        <v>0</v>
      </c>
      <c r="CA15" s="144">
        <v>0</v>
      </c>
      <c r="CB15" s="144">
        <v>0</v>
      </c>
      <c r="CC15" s="144">
        <v>0</v>
      </c>
      <c r="CD15" s="144">
        <v>0</v>
      </c>
      <c r="CE15" s="144">
        <v>0</v>
      </c>
      <c r="CF15" s="144">
        <v>0</v>
      </c>
      <c r="CG15" s="144">
        <v>0</v>
      </c>
      <c r="CH15" s="144">
        <v>0</v>
      </c>
      <c r="CI15" s="144">
        <v>0</v>
      </c>
      <c r="CJ15" s="144">
        <v>0</v>
      </c>
      <c r="CK15" s="144">
        <v>0</v>
      </c>
      <c r="CL15" s="144">
        <v>0</v>
      </c>
      <c r="CM15" s="144">
        <v>0</v>
      </c>
      <c r="CN15" s="144">
        <v>0</v>
      </c>
      <c r="CO15" s="144">
        <v>0</v>
      </c>
      <c r="CP15" s="144">
        <v>0</v>
      </c>
      <c r="CQ15" s="143">
        <v>0</v>
      </c>
      <c r="CR15" s="145">
        <v>0</v>
      </c>
      <c r="CS15" s="145">
        <v>0</v>
      </c>
      <c r="CT15" s="145">
        <v>0</v>
      </c>
      <c r="CU15" s="145">
        <v>0</v>
      </c>
      <c r="CV15" s="145">
        <v>0</v>
      </c>
      <c r="CW15" s="145">
        <v>0</v>
      </c>
      <c r="CX15" s="145">
        <v>0</v>
      </c>
      <c r="CY15" s="145">
        <v>0</v>
      </c>
      <c r="CZ15" s="145">
        <v>0</v>
      </c>
      <c r="DA15" s="145">
        <v>0</v>
      </c>
      <c r="DB15" s="145">
        <v>0</v>
      </c>
      <c r="DC15" s="145">
        <v>0</v>
      </c>
      <c r="DD15" s="145">
        <v>0</v>
      </c>
      <c r="DE15" s="145">
        <v>0</v>
      </c>
      <c r="DF15" s="145">
        <v>0</v>
      </c>
      <c r="DG15" s="145">
        <v>0</v>
      </c>
      <c r="DH15" s="145">
        <v>0</v>
      </c>
      <c r="DI15" s="145">
        <v>0</v>
      </c>
      <c r="DJ15" s="145">
        <v>0</v>
      </c>
      <c r="DK15" s="145">
        <v>0</v>
      </c>
      <c r="DL15" s="145">
        <v>0</v>
      </c>
      <c r="DM15" s="145">
        <v>0</v>
      </c>
      <c r="DN15" s="145">
        <v>0</v>
      </c>
      <c r="DO15" s="145">
        <v>180000</v>
      </c>
      <c r="DP15" s="145">
        <v>42700</v>
      </c>
      <c r="DQ15" s="145">
        <v>88500</v>
      </c>
      <c r="DR15" s="145">
        <v>0</v>
      </c>
      <c r="DS15" s="145">
        <v>0</v>
      </c>
      <c r="DT15" s="145">
        <v>0</v>
      </c>
      <c r="DU15" s="145">
        <v>0</v>
      </c>
      <c r="DV15" s="145">
        <v>0</v>
      </c>
      <c r="DW15" s="145">
        <v>0</v>
      </c>
      <c r="DX15" s="145">
        <v>0</v>
      </c>
      <c r="DY15" s="145">
        <v>0</v>
      </c>
      <c r="DZ15" s="145">
        <v>0</v>
      </c>
      <c r="EA15" s="145">
        <v>0</v>
      </c>
      <c r="EB15" s="145">
        <v>0</v>
      </c>
      <c r="EC15" s="145">
        <v>0</v>
      </c>
      <c r="ED15" s="145">
        <v>0</v>
      </c>
      <c r="EE15" s="145">
        <v>0</v>
      </c>
      <c r="EF15" s="145">
        <v>0</v>
      </c>
      <c r="EG15" s="145">
        <v>0</v>
      </c>
      <c r="EH15" s="145">
        <v>0</v>
      </c>
      <c r="EI15" s="145">
        <v>0</v>
      </c>
      <c r="EJ15" s="145">
        <v>0</v>
      </c>
      <c r="EK15" s="145">
        <v>0</v>
      </c>
      <c r="EL15" s="145">
        <v>0</v>
      </c>
      <c r="EM15" s="145">
        <v>0</v>
      </c>
      <c r="EN15" s="145">
        <v>0</v>
      </c>
      <c r="EO15" s="145">
        <v>0</v>
      </c>
      <c r="EP15" s="145">
        <v>0</v>
      </c>
      <c r="EQ15" s="145">
        <v>0</v>
      </c>
      <c r="ER15" s="145">
        <v>0</v>
      </c>
      <c r="ES15" s="145">
        <v>0</v>
      </c>
      <c r="ET15" s="145">
        <v>0</v>
      </c>
      <c r="EU15" s="145">
        <v>0</v>
      </c>
      <c r="EV15" s="145">
        <v>0</v>
      </c>
      <c r="EW15" s="145">
        <v>0</v>
      </c>
      <c r="EX15" s="145">
        <v>0</v>
      </c>
      <c r="EY15" s="145">
        <v>0</v>
      </c>
      <c r="EZ15" s="145">
        <v>0</v>
      </c>
      <c r="FA15" s="145">
        <v>0</v>
      </c>
      <c r="FB15" s="145">
        <v>0</v>
      </c>
      <c r="FC15" s="145">
        <v>0</v>
      </c>
      <c r="FD15" s="145">
        <v>0</v>
      </c>
      <c r="FE15" s="145">
        <v>0</v>
      </c>
      <c r="FF15" s="145">
        <v>0</v>
      </c>
      <c r="FG15" s="145">
        <v>0</v>
      </c>
      <c r="FH15" s="145">
        <v>0</v>
      </c>
      <c r="FI15" s="145">
        <v>0</v>
      </c>
      <c r="FJ15" s="145">
        <v>0</v>
      </c>
      <c r="FK15" s="145">
        <v>0</v>
      </c>
      <c r="FL15" s="145">
        <v>0</v>
      </c>
      <c r="FM15" s="145">
        <v>0</v>
      </c>
      <c r="FN15" s="145">
        <v>0</v>
      </c>
      <c r="FO15" s="145">
        <v>0</v>
      </c>
      <c r="FP15" s="145">
        <v>0</v>
      </c>
      <c r="FQ15" s="145">
        <v>0</v>
      </c>
      <c r="FR15" s="145">
        <v>0</v>
      </c>
      <c r="FS15" s="145">
        <v>0</v>
      </c>
      <c r="FT15" s="145">
        <v>0</v>
      </c>
      <c r="FU15" s="145">
        <v>0</v>
      </c>
      <c r="FV15" s="145">
        <v>0</v>
      </c>
      <c r="FW15" s="145">
        <v>0</v>
      </c>
      <c r="FX15" s="143"/>
      <c r="FY15" s="146" t="str">
        <f>_xlfn.XLOOKUP($E15,'Key assumptions'!$B$112:$B$120,'Key assumptions'!$C$112:$C$120,0)</f>
        <v>Nominal</v>
      </c>
      <c r="FZ15" s="146" cm="1">
        <f t="array" ref="FZ15">IF($FY15=0,0,_xlfn.IFS($FY15='Key assumptions'!$C$120,_xlfn.XLOOKUP(LEFT(FZ$7,6),Inflation_Year,Inflation_NominaltoReal),TRUE,_xlfn.XLOOKUP($FY15,Inflation_Year,NominaltoReal)))</f>
        <v>1.0197075870962191</v>
      </c>
      <c r="GA15" s="146" cm="1">
        <f t="array" ref="GA15">IF($FY15=0,0,_xlfn.IFS($FY15='Key assumptions'!$C$120,_xlfn.XLOOKUP(LEFT(GA$7,6),Inflation_Year,Inflation_NominaltoReal),TRUE,_xlfn.XLOOKUP($FY15,Inflation_Year,NominaltoReal)))</f>
        <v>0.98700804022984445</v>
      </c>
      <c r="GB15" s="146" cm="1">
        <f t="array" ref="GB15">IF($FY15=0,0,_xlfn.IFS($FY15='Key assumptions'!$C$120,_xlfn.XLOOKUP(LEFT(GB$7,6),Inflation_Year,Inflation_NominaltoReal),TRUE,_xlfn.XLOOKUP($FY15,Inflation_Year,NominaltoReal)))</f>
        <v>0.96152830081941731</v>
      </c>
      <c r="GC15" s="146" cm="1">
        <f t="array" ref="GC15">IF($FY15=0,0,_xlfn.IFS($FY15='Key assumptions'!$C$120,_xlfn.XLOOKUP(LEFT(GC$7,6),Inflation_Year,Inflation_NominaltoReal),TRUE,_xlfn.XLOOKUP($FY15,Inflation_Year,NominaltoReal)))</f>
        <v>0.93670632415656829</v>
      </c>
      <c r="GD15" s="146" cm="1">
        <f t="array" ref="GD15">IF($FY15=0,0,_xlfn.IFS($FY15='Key assumptions'!$C$120,_xlfn.XLOOKUP(LEFT(GD$7,6),Inflation_Year,Inflation_NominaltoReal),TRUE,_xlfn.XLOOKUP($FY15,Inflation_Year,NominaltoReal)))</f>
        <v>0.91252513001143176</v>
      </c>
      <c r="GE15" s="146" cm="1">
        <f t="array" ref="GE15">IF($FY15=0,0,_xlfn.IFS($FY15='Key assumptions'!$C$120,_xlfn.XLOOKUP(LEFT(GE$7,6),Inflation_Year,Inflation_NominaltoReal),TRUE,_xlfn.XLOOKUP($FY15,Inflation_Year,NominaltoReal)))</f>
        <v>0.88896817650095872</v>
      </c>
      <c r="GF15" s="146" cm="1">
        <f t="array" ref="GF15">IF($FY15=0,0,_xlfn.IFS($FY15='Key assumptions'!$C$120,_xlfn.XLOOKUP(LEFT(GF$7,6),Inflation_Year,Inflation_NominaltoReal),TRUE,_xlfn.XLOOKUP($FY15,Inflation_Year,NominaltoReal)))</f>
        <v>0.86601934877293718</v>
      </c>
      <c r="GG15" s="143"/>
      <c r="GH15" s="145" cm="1">
        <f t="array" ref="GH15">SUMPRODUCT(--($CR$7:$FW$7&gt;=GH$5),--($CR$7:$FW$7&lt;=GH$6),$CR15:$FW15)*FZ15</f>
        <v>0</v>
      </c>
      <c r="GI15" s="145" cm="1">
        <f t="array" ref="GI15">SUMPRODUCT(--($CR$7:$FW$7&gt;=GI$5),--($CR$7:$FW$7&lt;=GI$6),$CR15:$FW15)*GA15</f>
        <v>307156.90211952757</v>
      </c>
      <c r="GJ15" s="145" cm="1">
        <f t="array" ref="GJ15">SUMPRODUCT(--($CR$7:$FW$7&gt;=GJ$5),--($CR$7:$FW$7&lt;=GJ$6),$CR15:$FW15)*GB15</f>
        <v>0</v>
      </c>
      <c r="GK15" s="145" cm="1">
        <f t="array" ref="GK15">SUMPRODUCT(--($CR$7:$FW$7&gt;=GK$5),--($CR$7:$FW$7&lt;=GK$6),$CR15:$FW15)*GC15</f>
        <v>0</v>
      </c>
      <c r="GL15" s="145" cm="1">
        <f t="array" ref="GL15">SUMPRODUCT(--($CR$7:$FW$7&gt;=GL$5),--($CR$7:$FW$7&lt;=GL$6),$CR15:$FW15)*GD15</f>
        <v>0</v>
      </c>
      <c r="GM15" s="145" cm="1">
        <f t="array" ref="GM15">SUMPRODUCT(--($CR$7:$FW$7&gt;=GM$5),--($CR$7:$FW$7&lt;=GM$6),$CR15:$FW15)*GE15</f>
        <v>0</v>
      </c>
      <c r="GN15" s="145" cm="1">
        <f t="array" ref="GN15">SUMPRODUCT(--($CR$7:$FW$7&gt;=GN$5),--($CR$7:$FW$7&lt;=GN$6),$CR15:$FW15)*GF15</f>
        <v>0</v>
      </c>
      <c r="GO15" s="145">
        <f t="shared" si="0"/>
        <v>307156.90211952757</v>
      </c>
      <c r="GP15" s="87"/>
      <c r="GR15" s="145" cm="1">
        <f t="array" ref="GR15">SUMPRODUCT(--($CR$7:$FW$7&gt;=GR$5),--($CR$7:$FW$7&lt;=GR$6),$CR15:$FW15)</f>
        <v>0</v>
      </c>
    </row>
    <row r="16" spans="1:201" s="64" customFormat="1" x14ac:dyDescent="0.2">
      <c r="A16" s="65"/>
      <c r="B16" s="141" t="str">
        <v>Project Development</v>
      </c>
      <c r="C16" s="141" t="str">
        <v>Transformer Design External Audit</v>
      </c>
      <c r="D16" s="141" t="str">
        <v>Non-labour</v>
      </c>
      <c r="E16" s="141" t="str">
        <v>$ Nominal</v>
      </c>
      <c r="F16" s="141">
        <v>0</v>
      </c>
      <c r="G16" s="141" t="str">
        <v/>
      </c>
      <c r="H16" s="142">
        <v>0</v>
      </c>
      <c r="I16" s="126">
        <v>50000</v>
      </c>
      <c r="J16" s="143">
        <v>0</v>
      </c>
      <c r="K16" s="144">
        <v>0</v>
      </c>
      <c r="L16" s="144">
        <v>0</v>
      </c>
      <c r="M16" s="144">
        <v>0</v>
      </c>
      <c r="N16" s="144">
        <v>0</v>
      </c>
      <c r="O16" s="144">
        <v>0</v>
      </c>
      <c r="P16" s="144">
        <v>0</v>
      </c>
      <c r="Q16" s="144">
        <v>0</v>
      </c>
      <c r="R16" s="144">
        <v>0</v>
      </c>
      <c r="S16" s="144">
        <v>0</v>
      </c>
      <c r="T16" s="144">
        <v>0</v>
      </c>
      <c r="U16" s="144">
        <v>0</v>
      </c>
      <c r="V16" s="144">
        <v>0</v>
      </c>
      <c r="W16" s="144">
        <v>0</v>
      </c>
      <c r="X16" s="144">
        <v>0</v>
      </c>
      <c r="Y16" s="144">
        <v>0</v>
      </c>
      <c r="Z16" s="144">
        <v>1</v>
      </c>
      <c r="AA16" s="144">
        <v>0</v>
      </c>
      <c r="AB16" s="144">
        <v>0</v>
      </c>
      <c r="AC16" s="144">
        <v>0</v>
      </c>
      <c r="AD16" s="144">
        <v>0</v>
      </c>
      <c r="AE16" s="144">
        <v>0</v>
      </c>
      <c r="AF16" s="144">
        <v>0</v>
      </c>
      <c r="AG16" s="144">
        <v>0</v>
      </c>
      <c r="AH16" s="144">
        <v>0</v>
      </c>
      <c r="AI16" s="144">
        <v>0</v>
      </c>
      <c r="AJ16" s="144">
        <v>0</v>
      </c>
      <c r="AK16" s="144">
        <v>0</v>
      </c>
      <c r="AL16" s="144">
        <v>0</v>
      </c>
      <c r="AM16" s="144">
        <v>0</v>
      </c>
      <c r="AN16" s="144">
        <v>0</v>
      </c>
      <c r="AO16" s="144">
        <v>0</v>
      </c>
      <c r="AP16" s="144">
        <v>0</v>
      </c>
      <c r="AQ16" s="144">
        <v>0</v>
      </c>
      <c r="AR16" s="144">
        <v>0</v>
      </c>
      <c r="AS16" s="144">
        <v>0</v>
      </c>
      <c r="AT16" s="144">
        <v>0</v>
      </c>
      <c r="AU16" s="144">
        <v>0</v>
      </c>
      <c r="AV16" s="144">
        <v>0</v>
      </c>
      <c r="AW16" s="144">
        <v>0</v>
      </c>
      <c r="AX16" s="144">
        <v>0</v>
      </c>
      <c r="AY16" s="144">
        <v>0</v>
      </c>
      <c r="AZ16" s="144">
        <v>0</v>
      </c>
      <c r="BA16" s="144">
        <v>0</v>
      </c>
      <c r="BB16" s="144">
        <v>0</v>
      </c>
      <c r="BC16" s="144">
        <v>0</v>
      </c>
      <c r="BD16" s="144">
        <v>0</v>
      </c>
      <c r="BE16" s="144">
        <v>0</v>
      </c>
      <c r="BF16" s="144">
        <v>0</v>
      </c>
      <c r="BG16" s="144">
        <v>0</v>
      </c>
      <c r="BH16" s="144">
        <v>0</v>
      </c>
      <c r="BI16" s="144">
        <v>0</v>
      </c>
      <c r="BJ16" s="144">
        <v>0</v>
      </c>
      <c r="BK16" s="144">
        <v>0</v>
      </c>
      <c r="BL16" s="144">
        <v>0</v>
      </c>
      <c r="BM16" s="144">
        <v>0</v>
      </c>
      <c r="BN16" s="144">
        <v>0</v>
      </c>
      <c r="BO16" s="144">
        <v>0</v>
      </c>
      <c r="BP16" s="144">
        <v>0</v>
      </c>
      <c r="BQ16" s="144">
        <v>0</v>
      </c>
      <c r="BR16" s="144">
        <v>0</v>
      </c>
      <c r="BS16" s="144">
        <v>0</v>
      </c>
      <c r="BT16" s="144">
        <v>0</v>
      </c>
      <c r="BU16" s="144">
        <v>0</v>
      </c>
      <c r="BV16" s="144">
        <v>0</v>
      </c>
      <c r="BW16" s="144">
        <v>0</v>
      </c>
      <c r="BX16" s="144">
        <v>0</v>
      </c>
      <c r="BY16" s="144">
        <v>0</v>
      </c>
      <c r="BZ16" s="144">
        <v>0</v>
      </c>
      <c r="CA16" s="144">
        <v>0</v>
      </c>
      <c r="CB16" s="144">
        <v>0</v>
      </c>
      <c r="CC16" s="144">
        <v>0</v>
      </c>
      <c r="CD16" s="144">
        <v>0</v>
      </c>
      <c r="CE16" s="144">
        <v>0</v>
      </c>
      <c r="CF16" s="144">
        <v>0</v>
      </c>
      <c r="CG16" s="144">
        <v>0</v>
      </c>
      <c r="CH16" s="144">
        <v>0</v>
      </c>
      <c r="CI16" s="144">
        <v>0</v>
      </c>
      <c r="CJ16" s="144">
        <v>0</v>
      </c>
      <c r="CK16" s="144">
        <v>0</v>
      </c>
      <c r="CL16" s="144">
        <v>0</v>
      </c>
      <c r="CM16" s="144">
        <v>0</v>
      </c>
      <c r="CN16" s="144">
        <v>0</v>
      </c>
      <c r="CO16" s="144">
        <v>0</v>
      </c>
      <c r="CP16" s="144">
        <v>0</v>
      </c>
      <c r="CQ16" s="143">
        <v>0</v>
      </c>
      <c r="CR16" s="145">
        <v>0</v>
      </c>
      <c r="CS16" s="145">
        <v>0</v>
      </c>
      <c r="CT16" s="145">
        <v>0</v>
      </c>
      <c r="CU16" s="145">
        <v>0</v>
      </c>
      <c r="CV16" s="145">
        <v>0</v>
      </c>
      <c r="CW16" s="145">
        <v>0</v>
      </c>
      <c r="CX16" s="145">
        <v>0</v>
      </c>
      <c r="CY16" s="145">
        <v>0</v>
      </c>
      <c r="CZ16" s="145">
        <v>0</v>
      </c>
      <c r="DA16" s="145">
        <v>0</v>
      </c>
      <c r="DB16" s="145">
        <v>0</v>
      </c>
      <c r="DC16" s="145">
        <v>0</v>
      </c>
      <c r="DD16" s="145">
        <v>0</v>
      </c>
      <c r="DE16" s="145">
        <v>0</v>
      </c>
      <c r="DF16" s="145">
        <v>0</v>
      </c>
      <c r="DG16" s="145">
        <v>50000</v>
      </c>
      <c r="DH16" s="145">
        <v>0</v>
      </c>
      <c r="DI16" s="145">
        <v>0</v>
      </c>
      <c r="DJ16" s="145">
        <v>0</v>
      </c>
      <c r="DK16" s="145">
        <v>0</v>
      </c>
      <c r="DL16" s="145">
        <v>0</v>
      </c>
      <c r="DM16" s="145">
        <v>0</v>
      </c>
      <c r="DN16" s="145">
        <v>0</v>
      </c>
      <c r="DO16" s="145">
        <v>0</v>
      </c>
      <c r="DP16" s="145">
        <v>0</v>
      </c>
      <c r="DQ16" s="145">
        <v>0</v>
      </c>
      <c r="DR16" s="145">
        <v>0</v>
      </c>
      <c r="DS16" s="145">
        <v>0</v>
      </c>
      <c r="DT16" s="145">
        <v>0</v>
      </c>
      <c r="DU16" s="145">
        <v>0</v>
      </c>
      <c r="DV16" s="145">
        <v>0</v>
      </c>
      <c r="DW16" s="145">
        <v>0</v>
      </c>
      <c r="DX16" s="145">
        <v>0</v>
      </c>
      <c r="DY16" s="145">
        <v>0</v>
      </c>
      <c r="DZ16" s="145">
        <v>0</v>
      </c>
      <c r="EA16" s="145">
        <v>0</v>
      </c>
      <c r="EB16" s="145">
        <v>0</v>
      </c>
      <c r="EC16" s="145">
        <v>0</v>
      </c>
      <c r="ED16" s="145">
        <v>0</v>
      </c>
      <c r="EE16" s="145">
        <v>0</v>
      </c>
      <c r="EF16" s="145">
        <v>0</v>
      </c>
      <c r="EG16" s="145">
        <v>0</v>
      </c>
      <c r="EH16" s="145">
        <v>0</v>
      </c>
      <c r="EI16" s="145">
        <v>0</v>
      </c>
      <c r="EJ16" s="145">
        <v>0</v>
      </c>
      <c r="EK16" s="145">
        <v>0</v>
      </c>
      <c r="EL16" s="145">
        <v>0</v>
      </c>
      <c r="EM16" s="145">
        <v>0</v>
      </c>
      <c r="EN16" s="145">
        <v>0</v>
      </c>
      <c r="EO16" s="145">
        <v>0</v>
      </c>
      <c r="EP16" s="145">
        <v>0</v>
      </c>
      <c r="EQ16" s="145">
        <v>0</v>
      </c>
      <c r="ER16" s="145">
        <v>0</v>
      </c>
      <c r="ES16" s="145">
        <v>0</v>
      </c>
      <c r="ET16" s="145">
        <v>0</v>
      </c>
      <c r="EU16" s="145">
        <v>0</v>
      </c>
      <c r="EV16" s="145">
        <v>0</v>
      </c>
      <c r="EW16" s="145">
        <v>0</v>
      </c>
      <c r="EX16" s="145">
        <v>0</v>
      </c>
      <c r="EY16" s="145">
        <v>0</v>
      </c>
      <c r="EZ16" s="145">
        <v>0</v>
      </c>
      <c r="FA16" s="145">
        <v>0</v>
      </c>
      <c r="FB16" s="145">
        <v>0</v>
      </c>
      <c r="FC16" s="145">
        <v>0</v>
      </c>
      <c r="FD16" s="145">
        <v>0</v>
      </c>
      <c r="FE16" s="145">
        <v>0</v>
      </c>
      <c r="FF16" s="145">
        <v>0</v>
      </c>
      <c r="FG16" s="145">
        <v>0</v>
      </c>
      <c r="FH16" s="145">
        <v>0</v>
      </c>
      <c r="FI16" s="145">
        <v>0</v>
      </c>
      <c r="FJ16" s="145">
        <v>0</v>
      </c>
      <c r="FK16" s="145">
        <v>0</v>
      </c>
      <c r="FL16" s="145">
        <v>0</v>
      </c>
      <c r="FM16" s="145">
        <v>0</v>
      </c>
      <c r="FN16" s="145">
        <v>0</v>
      </c>
      <c r="FO16" s="145">
        <v>0</v>
      </c>
      <c r="FP16" s="145">
        <v>0</v>
      </c>
      <c r="FQ16" s="145">
        <v>0</v>
      </c>
      <c r="FR16" s="145">
        <v>0</v>
      </c>
      <c r="FS16" s="145">
        <v>0</v>
      </c>
      <c r="FT16" s="145">
        <v>0</v>
      </c>
      <c r="FU16" s="145">
        <v>0</v>
      </c>
      <c r="FV16" s="145">
        <v>0</v>
      </c>
      <c r="FW16" s="145">
        <v>0</v>
      </c>
      <c r="FX16" s="143"/>
      <c r="FY16" s="146" t="str">
        <f>_xlfn.XLOOKUP($E16,'Key assumptions'!$B$112:$B$120,'Key assumptions'!$C$112:$C$120,0)</f>
        <v>Nominal</v>
      </c>
      <c r="FZ16" s="146" cm="1">
        <f t="array" ref="FZ16">IF($FY16=0,0,_xlfn.IFS($FY16='Key assumptions'!$C$120,_xlfn.XLOOKUP(LEFT(FZ$7,6),Inflation_Year,Inflation_NominaltoReal),TRUE,_xlfn.XLOOKUP($FY16,Inflation_Year,NominaltoReal)))</f>
        <v>1.0197075870962191</v>
      </c>
      <c r="GA16" s="146" cm="1">
        <f t="array" ref="GA16">IF($FY16=0,0,_xlfn.IFS($FY16='Key assumptions'!$C$120,_xlfn.XLOOKUP(LEFT(GA$7,6),Inflation_Year,Inflation_NominaltoReal),TRUE,_xlfn.XLOOKUP($FY16,Inflation_Year,NominaltoReal)))</f>
        <v>0.98700804022984445</v>
      </c>
      <c r="GB16" s="146" cm="1">
        <f t="array" ref="GB16">IF($FY16=0,0,_xlfn.IFS($FY16='Key assumptions'!$C$120,_xlfn.XLOOKUP(LEFT(GB$7,6),Inflation_Year,Inflation_NominaltoReal),TRUE,_xlfn.XLOOKUP($FY16,Inflation_Year,NominaltoReal)))</f>
        <v>0.96152830081941731</v>
      </c>
      <c r="GC16" s="146" cm="1">
        <f t="array" ref="GC16">IF($FY16=0,0,_xlfn.IFS($FY16='Key assumptions'!$C$120,_xlfn.XLOOKUP(LEFT(GC$7,6),Inflation_Year,Inflation_NominaltoReal),TRUE,_xlfn.XLOOKUP($FY16,Inflation_Year,NominaltoReal)))</f>
        <v>0.93670632415656829</v>
      </c>
      <c r="GD16" s="146" cm="1">
        <f t="array" ref="GD16">IF($FY16=0,0,_xlfn.IFS($FY16='Key assumptions'!$C$120,_xlfn.XLOOKUP(LEFT(GD$7,6),Inflation_Year,Inflation_NominaltoReal),TRUE,_xlfn.XLOOKUP($FY16,Inflation_Year,NominaltoReal)))</f>
        <v>0.91252513001143176</v>
      </c>
      <c r="GE16" s="146" cm="1">
        <f t="array" ref="GE16">IF($FY16=0,0,_xlfn.IFS($FY16='Key assumptions'!$C$120,_xlfn.XLOOKUP(LEFT(GE$7,6),Inflation_Year,Inflation_NominaltoReal),TRUE,_xlfn.XLOOKUP($FY16,Inflation_Year,NominaltoReal)))</f>
        <v>0.88896817650095872</v>
      </c>
      <c r="GF16" s="146" cm="1">
        <f t="array" ref="GF16">IF($FY16=0,0,_xlfn.IFS($FY16='Key assumptions'!$C$120,_xlfn.XLOOKUP(LEFT(GF$7,6),Inflation_Year,Inflation_NominaltoReal),TRUE,_xlfn.XLOOKUP($FY16,Inflation_Year,NominaltoReal)))</f>
        <v>0.86601934877293718</v>
      </c>
      <c r="GG16" s="143"/>
      <c r="GH16" s="145" cm="1">
        <f t="array" ref="GH16">SUMPRODUCT(--($CR$7:$FW$7&gt;=GH$5),--($CR$7:$FW$7&lt;=GH$6),$CR16:$FW16)*FZ16</f>
        <v>50985.379354810953</v>
      </c>
      <c r="GI16" s="145" cm="1">
        <f t="array" ref="GI16">SUMPRODUCT(--($CR$7:$FW$7&gt;=GI$5),--($CR$7:$FW$7&lt;=GI$6),$CR16:$FW16)*GA16</f>
        <v>0</v>
      </c>
      <c r="GJ16" s="145" cm="1">
        <f t="array" ref="GJ16">SUMPRODUCT(--($CR$7:$FW$7&gt;=GJ$5),--($CR$7:$FW$7&lt;=GJ$6),$CR16:$FW16)*GB16</f>
        <v>0</v>
      </c>
      <c r="GK16" s="145" cm="1">
        <f t="array" ref="GK16">SUMPRODUCT(--($CR$7:$FW$7&gt;=GK$5),--($CR$7:$FW$7&lt;=GK$6),$CR16:$FW16)*GC16</f>
        <v>0</v>
      </c>
      <c r="GL16" s="145" cm="1">
        <f t="array" ref="GL16">SUMPRODUCT(--($CR$7:$FW$7&gt;=GL$5),--($CR$7:$FW$7&lt;=GL$6),$CR16:$FW16)*GD16</f>
        <v>0</v>
      </c>
      <c r="GM16" s="145" cm="1">
        <f t="array" ref="GM16">SUMPRODUCT(--($CR$7:$FW$7&gt;=GM$5),--($CR$7:$FW$7&lt;=GM$6),$CR16:$FW16)*GE16</f>
        <v>0</v>
      </c>
      <c r="GN16" s="145" cm="1">
        <f t="array" ref="GN16">SUMPRODUCT(--($CR$7:$FW$7&gt;=GN$5),--($CR$7:$FW$7&lt;=GN$6),$CR16:$FW16)*GF16</f>
        <v>0</v>
      </c>
      <c r="GO16" s="145">
        <f t="shared" si="0"/>
        <v>50985.379354810953</v>
      </c>
      <c r="GP16" s="87"/>
      <c r="GR16" s="145" cm="1">
        <f t="array" ref="GR16">SUMPRODUCT(--($CR$7:$FW$7&gt;=GR$5),--($CR$7:$FW$7&lt;=GR$6),$CR16:$FW16)</f>
        <v>50000</v>
      </c>
    </row>
    <row r="17" spans="1:200" s="64" customFormat="1" x14ac:dyDescent="0.2">
      <c r="A17" s="65"/>
      <c r="B17" s="141" t="str">
        <v>Project Development</v>
      </c>
      <c r="C17" s="286" t="str">
        <v>c-i-c</v>
      </c>
      <c r="D17" s="141" t="str">
        <v>Non-labour</v>
      </c>
      <c r="E17" s="141" t="str">
        <v>$ Nominal</v>
      </c>
      <c r="F17" s="141">
        <v>0</v>
      </c>
      <c r="G17" s="141" t="str">
        <v/>
      </c>
      <c r="H17" s="142">
        <v>0</v>
      </c>
      <c r="I17" s="126">
        <v>760000</v>
      </c>
      <c r="J17" s="143">
        <v>0</v>
      </c>
      <c r="K17" s="144">
        <v>0</v>
      </c>
      <c r="L17" s="144">
        <v>0</v>
      </c>
      <c r="M17" s="144">
        <v>0</v>
      </c>
      <c r="N17" s="144">
        <v>0</v>
      </c>
      <c r="O17" s="144">
        <v>0</v>
      </c>
      <c r="P17" s="144">
        <v>0</v>
      </c>
      <c r="Q17" s="144">
        <v>0</v>
      </c>
      <c r="R17" s="144">
        <v>0</v>
      </c>
      <c r="S17" s="144">
        <v>0</v>
      </c>
      <c r="T17" s="144">
        <v>0</v>
      </c>
      <c r="U17" s="144">
        <v>0</v>
      </c>
      <c r="V17" s="144">
        <v>0</v>
      </c>
      <c r="W17" s="144">
        <v>0</v>
      </c>
      <c r="X17" s="144">
        <v>6.5789473684210523E-2</v>
      </c>
      <c r="Y17" s="144">
        <v>6.5789473684210523E-2</v>
      </c>
      <c r="Z17" s="144">
        <v>6.5789473684210523E-2</v>
      </c>
      <c r="AA17" s="144">
        <v>6.5789473684210523E-2</v>
      </c>
      <c r="AB17" s="144">
        <v>0.18684210526315789</v>
      </c>
      <c r="AC17" s="144">
        <v>0.18684210526315789</v>
      </c>
      <c r="AD17" s="144">
        <v>0.18684210526315789</v>
      </c>
      <c r="AE17" s="144">
        <v>0.1763157894736842</v>
      </c>
      <c r="AF17" s="144">
        <v>0</v>
      </c>
      <c r="AG17" s="144">
        <v>0</v>
      </c>
      <c r="AH17" s="144">
        <v>0</v>
      </c>
      <c r="AI17" s="144">
        <v>0</v>
      </c>
      <c r="AJ17" s="144">
        <v>0</v>
      </c>
      <c r="AK17" s="144">
        <v>0</v>
      </c>
      <c r="AL17" s="144">
        <v>0</v>
      </c>
      <c r="AM17" s="144">
        <v>0</v>
      </c>
      <c r="AN17" s="144">
        <v>0</v>
      </c>
      <c r="AO17" s="144">
        <v>0</v>
      </c>
      <c r="AP17" s="144">
        <v>0</v>
      </c>
      <c r="AQ17" s="144">
        <v>0</v>
      </c>
      <c r="AR17" s="144">
        <v>0</v>
      </c>
      <c r="AS17" s="144">
        <v>0</v>
      </c>
      <c r="AT17" s="144">
        <v>0</v>
      </c>
      <c r="AU17" s="144">
        <v>0</v>
      </c>
      <c r="AV17" s="144">
        <v>0</v>
      </c>
      <c r="AW17" s="144">
        <v>0</v>
      </c>
      <c r="AX17" s="144">
        <v>0</v>
      </c>
      <c r="AY17" s="144">
        <v>0</v>
      </c>
      <c r="AZ17" s="144">
        <v>0</v>
      </c>
      <c r="BA17" s="144">
        <v>0</v>
      </c>
      <c r="BB17" s="144">
        <v>0</v>
      </c>
      <c r="BC17" s="144">
        <v>0</v>
      </c>
      <c r="BD17" s="144">
        <v>0</v>
      </c>
      <c r="BE17" s="144">
        <v>0</v>
      </c>
      <c r="BF17" s="144">
        <v>0</v>
      </c>
      <c r="BG17" s="144">
        <v>0</v>
      </c>
      <c r="BH17" s="144">
        <v>0</v>
      </c>
      <c r="BI17" s="144">
        <v>0</v>
      </c>
      <c r="BJ17" s="144">
        <v>0</v>
      </c>
      <c r="BK17" s="144">
        <v>0</v>
      </c>
      <c r="BL17" s="144">
        <v>0</v>
      </c>
      <c r="BM17" s="144">
        <v>0</v>
      </c>
      <c r="BN17" s="144">
        <v>0</v>
      </c>
      <c r="BO17" s="144">
        <v>0</v>
      </c>
      <c r="BP17" s="144">
        <v>0</v>
      </c>
      <c r="BQ17" s="144">
        <v>0</v>
      </c>
      <c r="BR17" s="144">
        <v>0</v>
      </c>
      <c r="BS17" s="144">
        <v>0</v>
      </c>
      <c r="BT17" s="144">
        <v>0</v>
      </c>
      <c r="BU17" s="144">
        <v>0</v>
      </c>
      <c r="BV17" s="144">
        <v>0</v>
      </c>
      <c r="BW17" s="144">
        <v>0</v>
      </c>
      <c r="BX17" s="144">
        <v>0</v>
      </c>
      <c r="BY17" s="144">
        <v>0</v>
      </c>
      <c r="BZ17" s="144">
        <v>0</v>
      </c>
      <c r="CA17" s="144">
        <v>0</v>
      </c>
      <c r="CB17" s="144">
        <v>0</v>
      </c>
      <c r="CC17" s="144">
        <v>0</v>
      </c>
      <c r="CD17" s="144">
        <v>0</v>
      </c>
      <c r="CE17" s="144">
        <v>0</v>
      </c>
      <c r="CF17" s="144">
        <v>0</v>
      </c>
      <c r="CG17" s="144">
        <v>0</v>
      </c>
      <c r="CH17" s="144">
        <v>0</v>
      </c>
      <c r="CI17" s="144">
        <v>0</v>
      </c>
      <c r="CJ17" s="144">
        <v>0</v>
      </c>
      <c r="CK17" s="144">
        <v>0</v>
      </c>
      <c r="CL17" s="144">
        <v>0</v>
      </c>
      <c r="CM17" s="144">
        <v>0</v>
      </c>
      <c r="CN17" s="144">
        <v>0</v>
      </c>
      <c r="CO17" s="144">
        <v>0</v>
      </c>
      <c r="CP17" s="144">
        <v>0</v>
      </c>
      <c r="CQ17" s="143">
        <v>0</v>
      </c>
      <c r="CR17" s="145">
        <v>0</v>
      </c>
      <c r="CS17" s="145">
        <v>0</v>
      </c>
      <c r="CT17" s="145">
        <v>0</v>
      </c>
      <c r="CU17" s="145">
        <v>0</v>
      </c>
      <c r="CV17" s="145">
        <v>0</v>
      </c>
      <c r="CW17" s="145">
        <v>0</v>
      </c>
      <c r="CX17" s="145">
        <v>0</v>
      </c>
      <c r="CY17" s="145">
        <v>0</v>
      </c>
      <c r="CZ17" s="145">
        <v>0</v>
      </c>
      <c r="DA17" s="145">
        <v>0</v>
      </c>
      <c r="DB17" s="145">
        <v>0</v>
      </c>
      <c r="DC17" s="145">
        <v>0</v>
      </c>
      <c r="DD17" s="145">
        <v>0</v>
      </c>
      <c r="DE17" s="145">
        <v>50000</v>
      </c>
      <c r="DF17" s="145">
        <v>50000</v>
      </c>
      <c r="DG17" s="145">
        <v>50000</v>
      </c>
      <c r="DH17" s="145">
        <v>50000</v>
      </c>
      <c r="DI17" s="145">
        <v>142000</v>
      </c>
      <c r="DJ17" s="145">
        <v>142000</v>
      </c>
      <c r="DK17" s="145">
        <v>142000</v>
      </c>
      <c r="DL17" s="145">
        <v>134000</v>
      </c>
      <c r="DM17" s="145">
        <v>0</v>
      </c>
      <c r="DN17" s="145">
        <v>0</v>
      </c>
      <c r="DO17" s="145">
        <v>0</v>
      </c>
      <c r="DP17" s="145">
        <v>0</v>
      </c>
      <c r="DQ17" s="145">
        <v>0</v>
      </c>
      <c r="DR17" s="145">
        <v>0</v>
      </c>
      <c r="DS17" s="145">
        <v>0</v>
      </c>
      <c r="DT17" s="145">
        <v>0</v>
      </c>
      <c r="DU17" s="145">
        <v>0</v>
      </c>
      <c r="DV17" s="145">
        <v>0</v>
      </c>
      <c r="DW17" s="145">
        <v>0</v>
      </c>
      <c r="DX17" s="145">
        <v>0</v>
      </c>
      <c r="DY17" s="145">
        <v>0</v>
      </c>
      <c r="DZ17" s="145">
        <v>0</v>
      </c>
      <c r="EA17" s="145">
        <v>0</v>
      </c>
      <c r="EB17" s="145">
        <v>0</v>
      </c>
      <c r="EC17" s="145">
        <v>0</v>
      </c>
      <c r="ED17" s="145">
        <v>0</v>
      </c>
      <c r="EE17" s="145">
        <v>0</v>
      </c>
      <c r="EF17" s="145">
        <v>0</v>
      </c>
      <c r="EG17" s="145">
        <v>0</v>
      </c>
      <c r="EH17" s="145">
        <v>0</v>
      </c>
      <c r="EI17" s="145">
        <v>0</v>
      </c>
      <c r="EJ17" s="145">
        <v>0</v>
      </c>
      <c r="EK17" s="145">
        <v>0</v>
      </c>
      <c r="EL17" s="145">
        <v>0</v>
      </c>
      <c r="EM17" s="145">
        <v>0</v>
      </c>
      <c r="EN17" s="145">
        <v>0</v>
      </c>
      <c r="EO17" s="145">
        <v>0</v>
      </c>
      <c r="EP17" s="145">
        <v>0</v>
      </c>
      <c r="EQ17" s="145">
        <v>0</v>
      </c>
      <c r="ER17" s="145">
        <v>0</v>
      </c>
      <c r="ES17" s="145">
        <v>0</v>
      </c>
      <c r="ET17" s="145">
        <v>0</v>
      </c>
      <c r="EU17" s="145">
        <v>0</v>
      </c>
      <c r="EV17" s="145">
        <v>0</v>
      </c>
      <c r="EW17" s="145">
        <v>0</v>
      </c>
      <c r="EX17" s="145">
        <v>0</v>
      </c>
      <c r="EY17" s="145">
        <v>0</v>
      </c>
      <c r="EZ17" s="145">
        <v>0</v>
      </c>
      <c r="FA17" s="145">
        <v>0</v>
      </c>
      <c r="FB17" s="145">
        <v>0</v>
      </c>
      <c r="FC17" s="145">
        <v>0</v>
      </c>
      <c r="FD17" s="145">
        <v>0</v>
      </c>
      <c r="FE17" s="145">
        <v>0</v>
      </c>
      <c r="FF17" s="145">
        <v>0</v>
      </c>
      <c r="FG17" s="145">
        <v>0</v>
      </c>
      <c r="FH17" s="145">
        <v>0</v>
      </c>
      <c r="FI17" s="145">
        <v>0</v>
      </c>
      <c r="FJ17" s="145">
        <v>0</v>
      </c>
      <c r="FK17" s="145">
        <v>0</v>
      </c>
      <c r="FL17" s="145">
        <v>0</v>
      </c>
      <c r="FM17" s="145">
        <v>0</v>
      </c>
      <c r="FN17" s="145">
        <v>0</v>
      </c>
      <c r="FO17" s="145">
        <v>0</v>
      </c>
      <c r="FP17" s="145">
        <v>0</v>
      </c>
      <c r="FQ17" s="145">
        <v>0</v>
      </c>
      <c r="FR17" s="145">
        <v>0</v>
      </c>
      <c r="FS17" s="145">
        <v>0</v>
      </c>
      <c r="FT17" s="145">
        <v>0</v>
      </c>
      <c r="FU17" s="145">
        <v>0</v>
      </c>
      <c r="FV17" s="145">
        <v>0</v>
      </c>
      <c r="FW17" s="145">
        <v>0</v>
      </c>
      <c r="FX17" s="143"/>
      <c r="FY17" s="146" t="str">
        <f>_xlfn.XLOOKUP($E17,'Key assumptions'!$B$112:$B$120,'Key assumptions'!$C$112:$C$120,0)</f>
        <v>Nominal</v>
      </c>
      <c r="FZ17" s="146" cm="1">
        <f t="array" ref="FZ17">IF($FY17=0,0,_xlfn.IFS($FY17='Key assumptions'!$C$120,_xlfn.XLOOKUP(LEFT(FZ$7,6),Inflation_Year,Inflation_NominaltoReal),TRUE,_xlfn.XLOOKUP($FY17,Inflation_Year,NominaltoReal)))</f>
        <v>1.0197075870962191</v>
      </c>
      <c r="GA17" s="146" cm="1">
        <f t="array" ref="GA17">IF($FY17=0,0,_xlfn.IFS($FY17='Key assumptions'!$C$120,_xlfn.XLOOKUP(LEFT(GA$7,6),Inflation_Year,Inflation_NominaltoReal),TRUE,_xlfn.XLOOKUP($FY17,Inflation_Year,NominaltoReal)))</f>
        <v>0.98700804022984445</v>
      </c>
      <c r="GB17" s="146" cm="1">
        <f t="array" ref="GB17">IF($FY17=0,0,_xlfn.IFS($FY17='Key assumptions'!$C$120,_xlfn.XLOOKUP(LEFT(GB$7,6),Inflation_Year,Inflation_NominaltoReal),TRUE,_xlfn.XLOOKUP($FY17,Inflation_Year,NominaltoReal)))</f>
        <v>0.96152830081941731</v>
      </c>
      <c r="GC17" s="146" cm="1">
        <f t="array" ref="GC17">IF($FY17=0,0,_xlfn.IFS($FY17='Key assumptions'!$C$120,_xlfn.XLOOKUP(LEFT(GC$7,6),Inflation_Year,Inflation_NominaltoReal),TRUE,_xlfn.XLOOKUP($FY17,Inflation_Year,NominaltoReal)))</f>
        <v>0.93670632415656829</v>
      </c>
      <c r="GD17" s="146" cm="1">
        <f t="array" ref="GD17">IF($FY17=0,0,_xlfn.IFS($FY17='Key assumptions'!$C$120,_xlfn.XLOOKUP(LEFT(GD$7,6),Inflation_Year,Inflation_NominaltoReal),TRUE,_xlfn.XLOOKUP($FY17,Inflation_Year,NominaltoReal)))</f>
        <v>0.91252513001143176</v>
      </c>
      <c r="GE17" s="146" cm="1">
        <f t="array" ref="GE17">IF($FY17=0,0,_xlfn.IFS($FY17='Key assumptions'!$C$120,_xlfn.XLOOKUP(LEFT(GE$7,6),Inflation_Year,Inflation_NominaltoReal),TRUE,_xlfn.XLOOKUP($FY17,Inflation_Year,NominaltoReal)))</f>
        <v>0.88896817650095872</v>
      </c>
      <c r="GF17" s="146" cm="1">
        <f t="array" ref="GF17">IF($FY17=0,0,_xlfn.IFS($FY17='Key assumptions'!$C$120,_xlfn.XLOOKUP(LEFT(GF$7,6),Inflation_Year,Inflation_NominaltoReal),TRUE,_xlfn.XLOOKUP($FY17,Inflation_Year,NominaltoReal)))</f>
        <v>0.86601934877293718</v>
      </c>
      <c r="GG17" s="143"/>
      <c r="GH17" s="145" cm="1">
        <f t="array" ref="GH17">SUMPRODUCT(--($CR$7:$FW$7&gt;=GH$5),--($CR$7:$FW$7&lt;=GH$6),$CR17:$FW17)*FZ17</f>
        <v>774977.76619312656</v>
      </c>
      <c r="GI17" s="145" cm="1">
        <f t="array" ref="GI17">SUMPRODUCT(--($CR$7:$FW$7&gt;=GI$5),--($CR$7:$FW$7&lt;=GI$6),$CR17:$FW17)*GA17</f>
        <v>0</v>
      </c>
      <c r="GJ17" s="145" cm="1">
        <f t="array" ref="GJ17">SUMPRODUCT(--($CR$7:$FW$7&gt;=GJ$5),--($CR$7:$FW$7&lt;=GJ$6),$CR17:$FW17)*GB17</f>
        <v>0</v>
      </c>
      <c r="GK17" s="145" cm="1">
        <f t="array" ref="GK17">SUMPRODUCT(--($CR$7:$FW$7&gt;=GK$5),--($CR$7:$FW$7&lt;=GK$6),$CR17:$FW17)*GC17</f>
        <v>0</v>
      </c>
      <c r="GL17" s="145" cm="1">
        <f t="array" ref="GL17">SUMPRODUCT(--($CR$7:$FW$7&gt;=GL$5),--($CR$7:$FW$7&lt;=GL$6),$CR17:$FW17)*GD17</f>
        <v>0</v>
      </c>
      <c r="GM17" s="145" cm="1">
        <f t="array" ref="GM17">SUMPRODUCT(--($CR$7:$FW$7&gt;=GM$5),--($CR$7:$FW$7&lt;=GM$6),$CR17:$FW17)*GE17</f>
        <v>0</v>
      </c>
      <c r="GN17" s="145" cm="1">
        <f t="array" ref="GN17">SUMPRODUCT(--($CR$7:$FW$7&gt;=GN$5),--($CR$7:$FW$7&lt;=GN$6),$CR17:$FW17)*GF17</f>
        <v>0</v>
      </c>
      <c r="GO17" s="145">
        <f t="shared" si="0"/>
        <v>774977.76619312656</v>
      </c>
      <c r="GP17" s="87"/>
      <c r="GR17" s="145" cm="1">
        <f t="array" ref="GR17">SUMPRODUCT(--($CR$7:$FW$7&gt;=GR$5),--($CR$7:$FW$7&lt;=GR$6),$CR17:$FW17)</f>
        <v>342000</v>
      </c>
    </row>
    <row r="18" spans="1:200" s="64" customFormat="1" x14ac:dyDescent="0.2">
      <c r="A18" s="65"/>
      <c r="B18" s="141" t="str">
        <v>Other Support &amp; Corporate Roles</v>
      </c>
      <c r="C18" s="141" t="str">
        <v>Insurance - Newcastle</v>
      </c>
      <c r="D18" s="141" t="str">
        <v>Non-labour</v>
      </c>
      <c r="E18" s="141" t="str">
        <v>$ Nominal</v>
      </c>
      <c r="F18" s="141">
        <v>0</v>
      </c>
      <c r="G18" s="141" t="str">
        <v/>
      </c>
      <c r="H18" s="142">
        <v>0</v>
      </c>
      <c r="I18" s="126">
        <v>1504163.47</v>
      </c>
      <c r="J18" s="143">
        <v>0</v>
      </c>
      <c r="K18" s="144">
        <v>0</v>
      </c>
      <c r="L18" s="144">
        <v>0</v>
      </c>
      <c r="M18" s="144">
        <v>0</v>
      </c>
      <c r="N18" s="144">
        <v>0</v>
      </c>
      <c r="O18" s="144">
        <v>0</v>
      </c>
      <c r="P18" s="144">
        <v>0</v>
      </c>
      <c r="Q18" s="144">
        <v>0</v>
      </c>
      <c r="R18" s="144">
        <v>0</v>
      </c>
      <c r="S18" s="144">
        <v>0</v>
      </c>
      <c r="T18" s="144">
        <v>0</v>
      </c>
      <c r="U18" s="144">
        <v>0</v>
      </c>
      <c r="V18" s="144">
        <v>0</v>
      </c>
      <c r="W18" s="144">
        <v>0</v>
      </c>
      <c r="X18" s="144">
        <v>0</v>
      </c>
      <c r="Y18" s="144">
        <v>0</v>
      </c>
      <c r="Z18" s="144">
        <v>0</v>
      </c>
      <c r="AA18" s="144">
        <v>0</v>
      </c>
      <c r="AB18" s="144">
        <v>1</v>
      </c>
      <c r="AC18" s="144">
        <v>0</v>
      </c>
      <c r="AD18" s="144">
        <v>0</v>
      </c>
      <c r="AE18" s="144">
        <v>0</v>
      </c>
      <c r="AF18" s="144">
        <v>0</v>
      </c>
      <c r="AG18" s="144">
        <v>0</v>
      </c>
      <c r="AH18" s="144">
        <v>0</v>
      </c>
      <c r="AI18" s="144">
        <v>0</v>
      </c>
      <c r="AJ18" s="144">
        <v>0</v>
      </c>
      <c r="AK18" s="144">
        <v>0</v>
      </c>
      <c r="AL18" s="144">
        <v>0</v>
      </c>
      <c r="AM18" s="144">
        <v>0</v>
      </c>
      <c r="AN18" s="144">
        <v>0</v>
      </c>
      <c r="AO18" s="144">
        <v>0</v>
      </c>
      <c r="AP18" s="144">
        <v>0</v>
      </c>
      <c r="AQ18" s="144">
        <v>0</v>
      </c>
      <c r="AR18" s="144">
        <v>0</v>
      </c>
      <c r="AS18" s="144">
        <v>0</v>
      </c>
      <c r="AT18" s="144">
        <v>0</v>
      </c>
      <c r="AU18" s="144">
        <v>0</v>
      </c>
      <c r="AV18" s="144">
        <v>0</v>
      </c>
      <c r="AW18" s="144">
        <v>0</v>
      </c>
      <c r="AX18" s="144">
        <v>0</v>
      </c>
      <c r="AY18" s="144">
        <v>0</v>
      </c>
      <c r="AZ18" s="144">
        <v>0</v>
      </c>
      <c r="BA18" s="144">
        <v>0</v>
      </c>
      <c r="BB18" s="144">
        <v>0</v>
      </c>
      <c r="BC18" s="144">
        <v>0</v>
      </c>
      <c r="BD18" s="144">
        <v>0</v>
      </c>
      <c r="BE18" s="144">
        <v>0</v>
      </c>
      <c r="BF18" s="144">
        <v>0</v>
      </c>
      <c r="BG18" s="144">
        <v>0</v>
      </c>
      <c r="BH18" s="144">
        <v>0</v>
      </c>
      <c r="BI18" s="144">
        <v>0</v>
      </c>
      <c r="BJ18" s="144">
        <v>0</v>
      </c>
      <c r="BK18" s="144">
        <v>0</v>
      </c>
      <c r="BL18" s="144">
        <v>0</v>
      </c>
      <c r="BM18" s="144">
        <v>0</v>
      </c>
      <c r="BN18" s="144">
        <v>0</v>
      </c>
      <c r="BO18" s="144">
        <v>0</v>
      </c>
      <c r="BP18" s="144">
        <v>0</v>
      </c>
      <c r="BQ18" s="144">
        <v>0</v>
      </c>
      <c r="BR18" s="144">
        <v>0</v>
      </c>
      <c r="BS18" s="144">
        <v>0</v>
      </c>
      <c r="BT18" s="144">
        <v>0</v>
      </c>
      <c r="BU18" s="144">
        <v>0</v>
      </c>
      <c r="BV18" s="144">
        <v>0</v>
      </c>
      <c r="BW18" s="144">
        <v>0</v>
      </c>
      <c r="BX18" s="144">
        <v>0</v>
      </c>
      <c r="BY18" s="144">
        <v>0</v>
      </c>
      <c r="BZ18" s="144">
        <v>0</v>
      </c>
      <c r="CA18" s="144">
        <v>0</v>
      </c>
      <c r="CB18" s="144">
        <v>0</v>
      </c>
      <c r="CC18" s="144">
        <v>0</v>
      </c>
      <c r="CD18" s="144">
        <v>0</v>
      </c>
      <c r="CE18" s="144">
        <v>0</v>
      </c>
      <c r="CF18" s="144">
        <v>0</v>
      </c>
      <c r="CG18" s="144">
        <v>0</v>
      </c>
      <c r="CH18" s="144">
        <v>0</v>
      </c>
      <c r="CI18" s="144">
        <v>0</v>
      </c>
      <c r="CJ18" s="144">
        <v>0</v>
      </c>
      <c r="CK18" s="144">
        <v>0</v>
      </c>
      <c r="CL18" s="144">
        <v>0</v>
      </c>
      <c r="CM18" s="144">
        <v>0</v>
      </c>
      <c r="CN18" s="144">
        <v>0</v>
      </c>
      <c r="CO18" s="144">
        <v>0</v>
      </c>
      <c r="CP18" s="144">
        <v>0</v>
      </c>
      <c r="CQ18" s="143">
        <v>0</v>
      </c>
      <c r="CR18" s="145">
        <v>0</v>
      </c>
      <c r="CS18" s="145">
        <v>0</v>
      </c>
      <c r="CT18" s="145">
        <v>0</v>
      </c>
      <c r="CU18" s="145">
        <v>0</v>
      </c>
      <c r="CV18" s="145">
        <v>0</v>
      </c>
      <c r="CW18" s="145">
        <v>0</v>
      </c>
      <c r="CX18" s="145">
        <v>0</v>
      </c>
      <c r="CY18" s="145">
        <v>0</v>
      </c>
      <c r="CZ18" s="145">
        <v>0</v>
      </c>
      <c r="DA18" s="145">
        <v>0</v>
      </c>
      <c r="DB18" s="145">
        <v>0</v>
      </c>
      <c r="DC18" s="145">
        <v>0</v>
      </c>
      <c r="DD18" s="145">
        <v>0</v>
      </c>
      <c r="DE18" s="145">
        <v>0</v>
      </c>
      <c r="DF18" s="145">
        <v>0</v>
      </c>
      <c r="DG18" s="145">
        <v>0</v>
      </c>
      <c r="DH18" s="145">
        <v>0</v>
      </c>
      <c r="DI18" s="145">
        <v>1504163.47</v>
      </c>
      <c r="DJ18" s="145">
        <v>0</v>
      </c>
      <c r="DK18" s="145">
        <v>0</v>
      </c>
      <c r="DL18" s="145">
        <v>0</v>
      </c>
      <c r="DM18" s="145">
        <v>0</v>
      </c>
      <c r="DN18" s="145">
        <v>0</v>
      </c>
      <c r="DO18" s="145">
        <v>0</v>
      </c>
      <c r="DP18" s="145">
        <v>0</v>
      </c>
      <c r="DQ18" s="145">
        <v>0</v>
      </c>
      <c r="DR18" s="145">
        <v>0</v>
      </c>
      <c r="DS18" s="145">
        <v>0</v>
      </c>
      <c r="DT18" s="145">
        <v>0</v>
      </c>
      <c r="DU18" s="145">
        <v>0</v>
      </c>
      <c r="DV18" s="145">
        <v>0</v>
      </c>
      <c r="DW18" s="145">
        <v>0</v>
      </c>
      <c r="DX18" s="145">
        <v>0</v>
      </c>
      <c r="DY18" s="145">
        <v>0</v>
      </c>
      <c r="DZ18" s="145">
        <v>0</v>
      </c>
      <c r="EA18" s="145">
        <v>0</v>
      </c>
      <c r="EB18" s="145">
        <v>0</v>
      </c>
      <c r="EC18" s="145">
        <v>0</v>
      </c>
      <c r="ED18" s="145">
        <v>0</v>
      </c>
      <c r="EE18" s="145">
        <v>0</v>
      </c>
      <c r="EF18" s="145">
        <v>0</v>
      </c>
      <c r="EG18" s="145">
        <v>0</v>
      </c>
      <c r="EH18" s="145">
        <v>0</v>
      </c>
      <c r="EI18" s="145">
        <v>0</v>
      </c>
      <c r="EJ18" s="145">
        <v>0</v>
      </c>
      <c r="EK18" s="145">
        <v>0</v>
      </c>
      <c r="EL18" s="145">
        <v>0</v>
      </c>
      <c r="EM18" s="145">
        <v>0</v>
      </c>
      <c r="EN18" s="145">
        <v>0</v>
      </c>
      <c r="EO18" s="145">
        <v>0</v>
      </c>
      <c r="EP18" s="145">
        <v>0</v>
      </c>
      <c r="EQ18" s="145">
        <v>0</v>
      </c>
      <c r="ER18" s="145">
        <v>0</v>
      </c>
      <c r="ES18" s="145">
        <v>0</v>
      </c>
      <c r="ET18" s="145">
        <v>0</v>
      </c>
      <c r="EU18" s="145">
        <v>0</v>
      </c>
      <c r="EV18" s="145">
        <v>0</v>
      </c>
      <c r="EW18" s="145">
        <v>0</v>
      </c>
      <c r="EX18" s="145">
        <v>0</v>
      </c>
      <c r="EY18" s="145">
        <v>0</v>
      </c>
      <c r="EZ18" s="145">
        <v>0</v>
      </c>
      <c r="FA18" s="145">
        <v>0</v>
      </c>
      <c r="FB18" s="145">
        <v>0</v>
      </c>
      <c r="FC18" s="145">
        <v>0</v>
      </c>
      <c r="FD18" s="145">
        <v>0</v>
      </c>
      <c r="FE18" s="145">
        <v>0</v>
      </c>
      <c r="FF18" s="145">
        <v>0</v>
      </c>
      <c r="FG18" s="145">
        <v>0</v>
      </c>
      <c r="FH18" s="145">
        <v>0</v>
      </c>
      <c r="FI18" s="145">
        <v>0</v>
      </c>
      <c r="FJ18" s="145">
        <v>0</v>
      </c>
      <c r="FK18" s="145">
        <v>0</v>
      </c>
      <c r="FL18" s="145">
        <v>0</v>
      </c>
      <c r="FM18" s="145">
        <v>0</v>
      </c>
      <c r="FN18" s="145">
        <v>0</v>
      </c>
      <c r="FO18" s="145">
        <v>0</v>
      </c>
      <c r="FP18" s="145">
        <v>0</v>
      </c>
      <c r="FQ18" s="145">
        <v>0</v>
      </c>
      <c r="FR18" s="145">
        <v>0</v>
      </c>
      <c r="FS18" s="145">
        <v>0</v>
      </c>
      <c r="FT18" s="145">
        <v>0</v>
      </c>
      <c r="FU18" s="145">
        <v>0</v>
      </c>
      <c r="FV18" s="145">
        <v>0</v>
      </c>
      <c r="FW18" s="145">
        <v>0</v>
      </c>
      <c r="FX18" s="143"/>
      <c r="FY18" s="146" t="str">
        <f>_xlfn.XLOOKUP($E18,'Key assumptions'!$B$112:$B$120,'Key assumptions'!$C$112:$C$120,0)</f>
        <v>Nominal</v>
      </c>
      <c r="FZ18" s="146" cm="1">
        <f t="array" ref="FZ18">IF($FY18=0,0,_xlfn.IFS($FY18='Key assumptions'!$C$120,_xlfn.XLOOKUP(LEFT(FZ$7,6),Inflation_Year,Inflation_NominaltoReal),TRUE,_xlfn.XLOOKUP($FY18,Inflation_Year,NominaltoReal)))</f>
        <v>1.0197075870962191</v>
      </c>
      <c r="GA18" s="146" cm="1">
        <f t="array" ref="GA18">IF($FY18=0,0,_xlfn.IFS($FY18='Key assumptions'!$C$120,_xlfn.XLOOKUP(LEFT(GA$7,6),Inflation_Year,Inflation_NominaltoReal),TRUE,_xlfn.XLOOKUP($FY18,Inflation_Year,NominaltoReal)))</f>
        <v>0.98700804022984445</v>
      </c>
      <c r="GB18" s="146" cm="1">
        <f t="array" ref="GB18">IF($FY18=0,0,_xlfn.IFS($FY18='Key assumptions'!$C$120,_xlfn.XLOOKUP(LEFT(GB$7,6),Inflation_Year,Inflation_NominaltoReal),TRUE,_xlfn.XLOOKUP($FY18,Inflation_Year,NominaltoReal)))</f>
        <v>0.96152830081941731</v>
      </c>
      <c r="GC18" s="146" cm="1">
        <f t="array" ref="GC18">IF($FY18=0,0,_xlfn.IFS($FY18='Key assumptions'!$C$120,_xlfn.XLOOKUP(LEFT(GC$7,6),Inflation_Year,Inflation_NominaltoReal),TRUE,_xlfn.XLOOKUP($FY18,Inflation_Year,NominaltoReal)))</f>
        <v>0.93670632415656829</v>
      </c>
      <c r="GD18" s="146" cm="1">
        <f t="array" ref="GD18">IF($FY18=0,0,_xlfn.IFS($FY18='Key assumptions'!$C$120,_xlfn.XLOOKUP(LEFT(GD$7,6),Inflation_Year,Inflation_NominaltoReal),TRUE,_xlfn.XLOOKUP($FY18,Inflation_Year,NominaltoReal)))</f>
        <v>0.91252513001143176</v>
      </c>
      <c r="GE18" s="146" cm="1">
        <f t="array" ref="GE18">IF($FY18=0,0,_xlfn.IFS($FY18='Key assumptions'!$C$120,_xlfn.XLOOKUP(LEFT(GE$7,6),Inflation_Year,Inflation_NominaltoReal),TRUE,_xlfn.XLOOKUP($FY18,Inflation_Year,NominaltoReal)))</f>
        <v>0.88896817650095872</v>
      </c>
      <c r="GF18" s="146" cm="1">
        <f t="array" ref="GF18">IF($FY18=0,0,_xlfn.IFS($FY18='Key assumptions'!$C$120,_xlfn.XLOOKUP(LEFT(GF$7,6),Inflation_Year,Inflation_NominaltoReal),TRUE,_xlfn.XLOOKUP($FY18,Inflation_Year,NominaltoReal)))</f>
        <v>0.86601934877293718</v>
      </c>
      <c r="GG18" s="143"/>
      <c r="GH18" s="145" cm="1">
        <f t="array" ref="GH18">SUMPRODUCT(--($CR$7:$FW$7&gt;=GH$5),--($CR$7:$FW$7&lt;=GH$6),$CR18:$FW18)*FZ18</f>
        <v>1533806.9025919761</v>
      </c>
      <c r="GI18" s="145" cm="1">
        <f t="array" ref="GI18">SUMPRODUCT(--($CR$7:$FW$7&gt;=GI$5),--($CR$7:$FW$7&lt;=GI$6),$CR18:$FW18)*GA18</f>
        <v>0</v>
      </c>
      <c r="GJ18" s="145" cm="1">
        <f t="array" ref="GJ18">SUMPRODUCT(--($CR$7:$FW$7&gt;=GJ$5),--($CR$7:$FW$7&lt;=GJ$6),$CR18:$FW18)*GB18</f>
        <v>0</v>
      </c>
      <c r="GK18" s="145" cm="1">
        <f t="array" ref="GK18">SUMPRODUCT(--($CR$7:$FW$7&gt;=GK$5),--($CR$7:$FW$7&lt;=GK$6),$CR18:$FW18)*GC18</f>
        <v>0</v>
      </c>
      <c r="GL18" s="145" cm="1">
        <f t="array" ref="GL18">SUMPRODUCT(--($CR$7:$FW$7&gt;=GL$5),--($CR$7:$FW$7&lt;=GL$6),$CR18:$FW18)*GD18</f>
        <v>0</v>
      </c>
      <c r="GM18" s="145" cm="1">
        <f t="array" ref="GM18">SUMPRODUCT(--($CR$7:$FW$7&gt;=GM$5),--($CR$7:$FW$7&lt;=GM$6),$CR18:$FW18)*GE18</f>
        <v>0</v>
      </c>
      <c r="GN18" s="145" cm="1">
        <f t="array" ref="GN18">SUMPRODUCT(--($CR$7:$FW$7&gt;=GN$5),--($CR$7:$FW$7&lt;=GN$6),$CR18:$FW18)*GF18</f>
        <v>0</v>
      </c>
      <c r="GO18" s="145">
        <f t="shared" si="0"/>
        <v>1533806.9025919761</v>
      </c>
      <c r="GP18" s="87"/>
      <c r="GR18" s="145" cm="1">
        <f t="array" ref="GR18">SUMPRODUCT(--($CR$7:$FW$7&gt;=GR$5),--($CR$7:$FW$7&lt;=GR$6),$CR18:$FW18)</f>
        <v>1504163.47</v>
      </c>
    </row>
    <row r="19" spans="1:200" s="64" customFormat="1" x14ac:dyDescent="0.2">
      <c r="A19" s="65"/>
      <c r="B19" s="141" t="str">
        <v>Other Support &amp; Corporate Roles</v>
      </c>
      <c r="C19" s="141" t="str">
        <v>Insurance - Armidale</v>
      </c>
      <c r="D19" s="141" t="str">
        <v>Non-labour</v>
      </c>
      <c r="E19" s="141" t="str">
        <v>$ Nominal</v>
      </c>
      <c r="F19" s="141">
        <v>0</v>
      </c>
      <c r="G19" s="141" t="str">
        <v/>
      </c>
      <c r="H19" s="142">
        <v>0</v>
      </c>
      <c r="I19" s="126">
        <v>1504163.47</v>
      </c>
      <c r="J19" s="143">
        <v>0</v>
      </c>
      <c r="K19" s="144">
        <v>0</v>
      </c>
      <c r="L19" s="144">
        <v>0</v>
      </c>
      <c r="M19" s="144">
        <v>0</v>
      </c>
      <c r="N19" s="144">
        <v>0</v>
      </c>
      <c r="O19" s="144">
        <v>0</v>
      </c>
      <c r="P19" s="144">
        <v>0</v>
      </c>
      <c r="Q19" s="144">
        <v>0</v>
      </c>
      <c r="R19" s="144">
        <v>0</v>
      </c>
      <c r="S19" s="144">
        <v>0</v>
      </c>
      <c r="T19" s="144">
        <v>0</v>
      </c>
      <c r="U19" s="144">
        <v>0</v>
      </c>
      <c r="V19" s="144">
        <v>0</v>
      </c>
      <c r="W19" s="144">
        <v>0</v>
      </c>
      <c r="X19" s="144">
        <v>0</v>
      </c>
      <c r="Y19" s="144">
        <v>0</v>
      </c>
      <c r="Z19" s="144">
        <v>0</v>
      </c>
      <c r="AA19" s="144">
        <v>0</v>
      </c>
      <c r="AB19" s="144">
        <v>0</v>
      </c>
      <c r="AC19" s="144">
        <v>0</v>
      </c>
      <c r="AD19" s="144">
        <v>0</v>
      </c>
      <c r="AE19" s="144">
        <v>1</v>
      </c>
      <c r="AF19" s="144">
        <v>0</v>
      </c>
      <c r="AG19" s="144">
        <v>0</v>
      </c>
      <c r="AH19" s="144">
        <v>0</v>
      </c>
      <c r="AI19" s="144">
        <v>0</v>
      </c>
      <c r="AJ19" s="144">
        <v>0</v>
      </c>
      <c r="AK19" s="144">
        <v>0</v>
      </c>
      <c r="AL19" s="144">
        <v>0</v>
      </c>
      <c r="AM19" s="144">
        <v>0</v>
      </c>
      <c r="AN19" s="144">
        <v>0</v>
      </c>
      <c r="AO19" s="144">
        <v>0</v>
      </c>
      <c r="AP19" s="144">
        <v>0</v>
      </c>
      <c r="AQ19" s="144">
        <v>0</v>
      </c>
      <c r="AR19" s="144">
        <v>0</v>
      </c>
      <c r="AS19" s="144">
        <v>0</v>
      </c>
      <c r="AT19" s="144">
        <v>0</v>
      </c>
      <c r="AU19" s="144">
        <v>0</v>
      </c>
      <c r="AV19" s="144">
        <v>0</v>
      </c>
      <c r="AW19" s="144">
        <v>0</v>
      </c>
      <c r="AX19" s="144">
        <v>0</v>
      </c>
      <c r="AY19" s="144">
        <v>0</v>
      </c>
      <c r="AZ19" s="144">
        <v>0</v>
      </c>
      <c r="BA19" s="144">
        <v>0</v>
      </c>
      <c r="BB19" s="144">
        <v>0</v>
      </c>
      <c r="BC19" s="144">
        <v>0</v>
      </c>
      <c r="BD19" s="144">
        <v>0</v>
      </c>
      <c r="BE19" s="144">
        <v>0</v>
      </c>
      <c r="BF19" s="144">
        <v>0</v>
      </c>
      <c r="BG19" s="144">
        <v>0</v>
      </c>
      <c r="BH19" s="144">
        <v>0</v>
      </c>
      <c r="BI19" s="144">
        <v>0</v>
      </c>
      <c r="BJ19" s="144">
        <v>0</v>
      </c>
      <c r="BK19" s="144">
        <v>0</v>
      </c>
      <c r="BL19" s="144">
        <v>0</v>
      </c>
      <c r="BM19" s="144">
        <v>0</v>
      </c>
      <c r="BN19" s="144">
        <v>0</v>
      </c>
      <c r="BO19" s="144">
        <v>0</v>
      </c>
      <c r="BP19" s="144">
        <v>0</v>
      </c>
      <c r="BQ19" s="144">
        <v>0</v>
      </c>
      <c r="BR19" s="144">
        <v>0</v>
      </c>
      <c r="BS19" s="144">
        <v>0</v>
      </c>
      <c r="BT19" s="144">
        <v>0</v>
      </c>
      <c r="BU19" s="144">
        <v>0</v>
      </c>
      <c r="BV19" s="144">
        <v>0</v>
      </c>
      <c r="BW19" s="144">
        <v>0</v>
      </c>
      <c r="BX19" s="144">
        <v>0</v>
      </c>
      <c r="BY19" s="144">
        <v>0</v>
      </c>
      <c r="BZ19" s="144">
        <v>0</v>
      </c>
      <c r="CA19" s="144">
        <v>0</v>
      </c>
      <c r="CB19" s="144">
        <v>0</v>
      </c>
      <c r="CC19" s="144">
        <v>0</v>
      </c>
      <c r="CD19" s="144">
        <v>0</v>
      </c>
      <c r="CE19" s="144">
        <v>0</v>
      </c>
      <c r="CF19" s="144">
        <v>0</v>
      </c>
      <c r="CG19" s="144">
        <v>0</v>
      </c>
      <c r="CH19" s="144">
        <v>0</v>
      </c>
      <c r="CI19" s="144">
        <v>0</v>
      </c>
      <c r="CJ19" s="144">
        <v>0</v>
      </c>
      <c r="CK19" s="144">
        <v>0</v>
      </c>
      <c r="CL19" s="144">
        <v>0</v>
      </c>
      <c r="CM19" s="144">
        <v>0</v>
      </c>
      <c r="CN19" s="144">
        <v>0</v>
      </c>
      <c r="CO19" s="144">
        <v>0</v>
      </c>
      <c r="CP19" s="144">
        <v>0</v>
      </c>
      <c r="CQ19" s="143">
        <v>0</v>
      </c>
      <c r="CR19" s="145">
        <v>0</v>
      </c>
      <c r="CS19" s="145">
        <v>0</v>
      </c>
      <c r="CT19" s="145">
        <v>0</v>
      </c>
      <c r="CU19" s="145">
        <v>0</v>
      </c>
      <c r="CV19" s="145">
        <v>0</v>
      </c>
      <c r="CW19" s="145">
        <v>0</v>
      </c>
      <c r="CX19" s="145">
        <v>0</v>
      </c>
      <c r="CY19" s="145">
        <v>0</v>
      </c>
      <c r="CZ19" s="145">
        <v>0</v>
      </c>
      <c r="DA19" s="145">
        <v>0</v>
      </c>
      <c r="DB19" s="145">
        <v>0</v>
      </c>
      <c r="DC19" s="145">
        <v>0</v>
      </c>
      <c r="DD19" s="145">
        <v>0</v>
      </c>
      <c r="DE19" s="145">
        <v>0</v>
      </c>
      <c r="DF19" s="145">
        <v>0</v>
      </c>
      <c r="DG19" s="145">
        <v>0</v>
      </c>
      <c r="DH19" s="145">
        <v>0</v>
      </c>
      <c r="DI19" s="145">
        <v>0</v>
      </c>
      <c r="DJ19" s="145">
        <v>0</v>
      </c>
      <c r="DK19" s="145">
        <v>0</v>
      </c>
      <c r="DL19" s="145">
        <v>1504163.47</v>
      </c>
      <c r="DM19" s="145">
        <v>0</v>
      </c>
      <c r="DN19" s="145">
        <v>0</v>
      </c>
      <c r="DO19" s="145">
        <v>0</v>
      </c>
      <c r="DP19" s="145">
        <v>0</v>
      </c>
      <c r="DQ19" s="145">
        <v>0</v>
      </c>
      <c r="DR19" s="145">
        <v>0</v>
      </c>
      <c r="DS19" s="145">
        <v>0</v>
      </c>
      <c r="DT19" s="145">
        <v>0</v>
      </c>
      <c r="DU19" s="145">
        <v>0</v>
      </c>
      <c r="DV19" s="145">
        <v>0</v>
      </c>
      <c r="DW19" s="145">
        <v>0</v>
      </c>
      <c r="DX19" s="145">
        <v>0</v>
      </c>
      <c r="DY19" s="145">
        <v>0</v>
      </c>
      <c r="DZ19" s="145">
        <v>0</v>
      </c>
      <c r="EA19" s="145">
        <v>0</v>
      </c>
      <c r="EB19" s="145">
        <v>0</v>
      </c>
      <c r="EC19" s="145">
        <v>0</v>
      </c>
      <c r="ED19" s="145">
        <v>0</v>
      </c>
      <c r="EE19" s="145">
        <v>0</v>
      </c>
      <c r="EF19" s="145">
        <v>0</v>
      </c>
      <c r="EG19" s="145">
        <v>0</v>
      </c>
      <c r="EH19" s="145">
        <v>0</v>
      </c>
      <c r="EI19" s="145">
        <v>0</v>
      </c>
      <c r="EJ19" s="145">
        <v>0</v>
      </c>
      <c r="EK19" s="145">
        <v>0</v>
      </c>
      <c r="EL19" s="145">
        <v>0</v>
      </c>
      <c r="EM19" s="145">
        <v>0</v>
      </c>
      <c r="EN19" s="145">
        <v>0</v>
      </c>
      <c r="EO19" s="145">
        <v>0</v>
      </c>
      <c r="EP19" s="145">
        <v>0</v>
      </c>
      <c r="EQ19" s="145">
        <v>0</v>
      </c>
      <c r="ER19" s="145">
        <v>0</v>
      </c>
      <c r="ES19" s="145">
        <v>0</v>
      </c>
      <c r="ET19" s="145">
        <v>0</v>
      </c>
      <c r="EU19" s="145">
        <v>0</v>
      </c>
      <c r="EV19" s="145">
        <v>0</v>
      </c>
      <c r="EW19" s="145">
        <v>0</v>
      </c>
      <c r="EX19" s="145">
        <v>0</v>
      </c>
      <c r="EY19" s="145">
        <v>0</v>
      </c>
      <c r="EZ19" s="145">
        <v>0</v>
      </c>
      <c r="FA19" s="145">
        <v>0</v>
      </c>
      <c r="FB19" s="145">
        <v>0</v>
      </c>
      <c r="FC19" s="145">
        <v>0</v>
      </c>
      <c r="FD19" s="145">
        <v>0</v>
      </c>
      <c r="FE19" s="145">
        <v>0</v>
      </c>
      <c r="FF19" s="145">
        <v>0</v>
      </c>
      <c r="FG19" s="145">
        <v>0</v>
      </c>
      <c r="FH19" s="145">
        <v>0</v>
      </c>
      <c r="FI19" s="145">
        <v>0</v>
      </c>
      <c r="FJ19" s="145">
        <v>0</v>
      </c>
      <c r="FK19" s="145">
        <v>0</v>
      </c>
      <c r="FL19" s="145">
        <v>0</v>
      </c>
      <c r="FM19" s="145">
        <v>0</v>
      </c>
      <c r="FN19" s="145">
        <v>0</v>
      </c>
      <c r="FO19" s="145">
        <v>0</v>
      </c>
      <c r="FP19" s="145">
        <v>0</v>
      </c>
      <c r="FQ19" s="145">
        <v>0</v>
      </c>
      <c r="FR19" s="145">
        <v>0</v>
      </c>
      <c r="FS19" s="145">
        <v>0</v>
      </c>
      <c r="FT19" s="145">
        <v>0</v>
      </c>
      <c r="FU19" s="145">
        <v>0</v>
      </c>
      <c r="FV19" s="145">
        <v>0</v>
      </c>
      <c r="FW19" s="145">
        <v>0</v>
      </c>
      <c r="FX19" s="143"/>
      <c r="FY19" s="146" t="str">
        <f>_xlfn.XLOOKUP($E19,'Key assumptions'!$B$112:$B$120,'Key assumptions'!$C$112:$C$120,0)</f>
        <v>Nominal</v>
      </c>
      <c r="FZ19" s="146" cm="1">
        <f t="array" ref="FZ19">IF($FY19=0,0,_xlfn.IFS($FY19='Key assumptions'!$C$120,_xlfn.XLOOKUP(LEFT(FZ$7,6),Inflation_Year,Inflation_NominaltoReal),TRUE,_xlfn.XLOOKUP($FY19,Inflation_Year,NominaltoReal)))</f>
        <v>1.0197075870962191</v>
      </c>
      <c r="GA19" s="146" cm="1">
        <f t="array" ref="GA19">IF($FY19=0,0,_xlfn.IFS($FY19='Key assumptions'!$C$120,_xlfn.XLOOKUP(LEFT(GA$7,6),Inflation_Year,Inflation_NominaltoReal),TRUE,_xlfn.XLOOKUP($FY19,Inflation_Year,NominaltoReal)))</f>
        <v>0.98700804022984445</v>
      </c>
      <c r="GB19" s="146" cm="1">
        <f t="array" ref="GB19">IF($FY19=0,0,_xlfn.IFS($FY19='Key assumptions'!$C$120,_xlfn.XLOOKUP(LEFT(GB$7,6),Inflation_Year,Inflation_NominaltoReal),TRUE,_xlfn.XLOOKUP($FY19,Inflation_Year,NominaltoReal)))</f>
        <v>0.96152830081941731</v>
      </c>
      <c r="GC19" s="146" cm="1">
        <f t="array" ref="GC19">IF($FY19=0,0,_xlfn.IFS($FY19='Key assumptions'!$C$120,_xlfn.XLOOKUP(LEFT(GC$7,6),Inflation_Year,Inflation_NominaltoReal),TRUE,_xlfn.XLOOKUP($FY19,Inflation_Year,NominaltoReal)))</f>
        <v>0.93670632415656829</v>
      </c>
      <c r="GD19" s="146" cm="1">
        <f t="array" ref="GD19">IF($FY19=0,0,_xlfn.IFS($FY19='Key assumptions'!$C$120,_xlfn.XLOOKUP(LEFT(GD$7,6),Inflation_Year,Inflation_NominaltoReal),TRUE,_xlfn.XLOOKUP($FY19,Inflation_Year,NominaltoReal)))</f>
        <v>0.91252513001143176</v>
      </c>
      <c r="GE19" s="146" cm="1">
        <f t="array" ref="GE19">IF($FY19=0,0,_xlfn.IFS($FY19='Key assumptions'!$C$120,_xlfn.XLOOKUP(LEFT(GE$7,6),Inflation_Year,Inflation_NominaltoReal),TRUE,_xlfn.XLOOKUP($FY19,Inflation_Year,NominaltoReal)))</f>
        <v>0.88896817650095872</v>
      </c>
      <c r="GF19" s="146" cm="1">
        <f t="array" ref="GF19">IF($FY19=0,0,_xlfn.IFS($FY19='Key assumptions'!$C$120,_xlfn.XLOOKUP(LEFT(GF$7,6),Inflation_Year,Inflation_NominaltoReal),TRUE,_xlfn.XLOOKUP($FY19,Inflation_Year,NominaltoReal)))</f>
        <v>0.86601934877293718</v>
      </c>
      <c r="GG19" s="143"/>
      <c r="GH19" s="145" cm="1">
        <f t="array" ref="GH19">SUMPRODUCT(--($CR$7:$FW$7&gt;=GH$5),--($CR$7:$FW$7&lt;=GH$6),$CR19:$FW19)*FZ19</f>
        <v>1533806.9025919761</v>
      </c>
      <c r="GI19" s="145" cm="1">
        <f t="array" ref="GI19">SUMPRODUCT(--($CR$7:$FW$7&gt;=GI$5),--($CR$7:$FW$7&lt;=GI$6),$CR19:$FW19)*GA19</f>
        <v>0</v>
      </c>
      <c r="GJ19" s="145" cm="1">
        <f t="array" ref="GJ19">SUMPRODUCT(--($CR$7:$FW$7&gt;=GJ$5),--($CR$7:$FW$7&lt;=GJ$6),$CR19:$FW19)*GB19</f>
        <v>0</v>
      </c>
      <c r="GK19" s="145" cm="1">
        <f t="array" ref="GK19">SUMPRODUCT(--($CR$7:$FW$7&gt;=GK$5),--($CR$7:$FW$7&lt;=GK$6),$CR19:$FW19)*GC19</f>
        <v>0</v>
      </c>
      <c r="GL19" s="145" cm="1">
        <f t="array" ref="GL19">SUMPRODUCT(--($CR$7:$FW$7&gt;=GL$5),--($CR$7:$FW$7&lt;=GL$6),$CR19:$FW19)*GD19</f>
        <v>0</v>
      </c>
      <c r="GM19" s="145" cm="1">
        <f t="array" ref="GM19">SUMPRODUCT(--($CR$7:$FW$7&gt;=GM$5),--($CR$7:$FW$7&lt;=GM$6),$CR19:$FW19)*GE19</f>
        <v>0</v>
      </c>
      <c r="GN19" s="145" cm="1">
        <f t="array" ref="GN19">SUMPRODUCT(--($CR$7:$FW$7&gt;=GN$5),--($CR$7:$FW$7&lt;=GN$6),$CR19:$FW19)*GF19</f>
        <v>0</v>
      </c>
      <c r="GO19" s="145">
        <f t="shared" si="0"/>
        <v>1533806.9025919761</v>
      </c>
      <c r="GP19" s="87"/>
      <c r="GR19" s="145" cm="1">
        <f t="array" ref="GR19">SUMPRODUCT(--($CR$7:$FW$7&gt;=GR$5),--($CR$7:$FW$7&lt;=GR$6),$CR19:$FW19)</f>
        <v>0</v>
      </c>
    </row>
    <row r="20" spans="1:200" s="64" customFormat="1" x14ac:dyDescent="0.2">
      <c r="A20" s="65"/>
      <c r="B20" s="141" t="str">
        <v>Other Support &amp; Corporate Roles</v>
      </c>
      <c r="C20" s="141" t="str">
        <v>Insurance - Kemps Creek</v>
      </c>
      <c r="D20" s="141" t="str">
        <v>Non-labour</v>
      </c>
      <c r="E20" s="141" t="str">
        <v>$ Nominal</v>
      </c>
      <c r="F20" s="141">
        <v>0</v>
      </c>
      <c r="G20" s="141" t="str">
        <v/>
      </c>
      <c r="H20" s="142">
        <v>0</v>
      </c>
      <c r="I20" s="126">
        <v>1504163.47</v>
      </c>
      <c r="J20" s="143">
        <v>0</v>
      </c>
      <c r="K20" s="144">
        <v>0</v>
      </c>
      <c r="L20" s="144">
        <v>0</v>
      </c>
      <c r="M20" s="144">
        <v>0</v>
      </c>
      <c r="N20" s="144">
        <v>0</v>
      </c>
      <c r="O20" s="144">
        <v>0</v>
      </c>
      <c r="P20" s="144">
        <v>0</v>
      </c>
      <c r="Q20" s="144">
        <v>0</v>
      </c>
      <c r="R20" s="144">
        <v>0</v>
      </c>
      <c r="S20" s="144">
        <v>0</v>
      </c>
      <c r="T20" s="144">
        <v>0</v>
      </c>
      <c r="U20" s="144">
        <v>0</v>
      </c>
      <c r="V20" s="144">
        <v>0</v>
      </c>
      <c r="W20" s="144">
        <v>0</v>
      </c>
      <c r="X20" s="144">
        <v>0</v>
      </c>
      <c r="Y20" s="144">
        <v>0</v>
      </c>
      <c r="Z20" s="144">
        <v>0</v>
      </c>
      <c r="AA20" s="144">
        <v>0</v>
      </c>
      <c r="AB20" s="144">
        <v>0</v>
      </c>
      <c r="AC20" s="144">
        <v>0</v>
      </c>
      <c r="AD20" s="144">
        <v>0</v>
      </c>
      <c r="AE20" s="144">
        <v>0</v>
      </c>
      <c r="AF20" s="144">
        <v>0</v>
      </c>
      <c r="AG20" s="144">
        <v>0</v>
      </c>
      <c r="AH20" s="144">
        <v>0</v>
      </c>
      <c r="AI20" s="144">
        <v>1</v>
      </c>
      <c r="AJ20" s="144">
        <v>0</v>
      </c>
      <c r="AK20" s="144">
        <v>0</v>
      </c>
      <c r="AL20" s="144">
        <v>0</v>
      </c>
      <c r="AM20" s="144">
        <v>0</v>
      </c>
      <c r="AN20" s="144">
        <v>0</v>
      </c>
      <c r="AO20" s="144">
        <v>0</v>
      </c>
      <c r="AP20" s="144">
        <v>0</v>
      </c>
      <c r="AQ20" s="144">
        <v>0</v>
      </c>
      <c r="AR20" s="144">
        <v>0</v>
      </c>
      <c r="AS20" s="144">
        <v>0</v>
      </c>
      <c r="AT20" s="144">
        <v>0</v>
      </c>
      <c r="AU20" s="144">
        <v>0</v>
      </c>
      <c r="AV20" s="144">
        <v>0</v>
      </c>
      <c r="AW20" s="144">
        <v>0</v>
      </c>
      <c r="AX20" s="144">
        <v>0</v>
      </c>
      <c r="AY20" s="144">
        <v>0</v>
      </c>
      <c r="AZ20" s="144">
        <v>0</v>
      </c>
      <c r="BA20" s="144">
        <v>0</v>
      </c>
      <c r="BB20" s="144">
        <v>0</v>
      </c>
      <c r="BC20" s="144">
        <v>0</v>
      </c>
      <c r="BD20" s="144">
        <v>0</v>
      </c>
      <c r="BE20" s="144">
        <v>0</v>
      </c>
      <c r="BF20" s="144">
        <v>0</v>
      </c>
      <c r="BG20" s="144">
        <v>0</v>
      </c>
      <c r="BH20" s="144">
        <v>0</v>
      </c>
      <c r="BI20" s="144">
        <v>0</v>
      </c>
      <c r="BJ20" s="144">
        <v>0</v>
      </c>
      <c r="BK20" s="144">
        <v>0</v>
      </c>
      <c r="BL20" s="144">
        <v>0</v>
      </c>
      <c r="BM20" s="144">
        <v>0</v>
      </c>
      <c r="BN20" s="144">
        <v>0</v>
      </c>
      <c r="BO20" s="144">
        <v>0</v>
      </c>
      <c r="BP20" s="144">
        <v>0</v>
      </c>
      <c r="BQ20" s="144">
        <v>0</v>
      </c>
      <c r="BR20" s="144">
        <v>0</v>
      </c>
      <c r="BS20" s="144">
        <v>0</v>
      </c>
      <c r="BT20" s="144">
        <v>0</v>
      </c>
      <c r="BU20" s="144">
        <v>0</v>
      </c>
      <c r="BV20" s="144">
        <v>0</v>
      </c>
      <c r="BW20" s="144">
        <v>0</v>
      </c>
      <c r="BX20" s="144">
        <v>0</v>
      </c>
      <c r="BY20" s="144">
        <v>0</v>
      </c>
      <c r="BZ20" s="144">
        <v>0</v>
      </c>
      <c r="CA20" s="144">
        <v>0</v>
      </c>
      <c r="CB20" s="144">
        <v>0</v>
      </c>
      <c r="CC20" s="144">
        <v>0</v>
      </c>
      <c r="CD20" s="144">
        <v>0</v>
      </c>
      <c r="CE20" s="144">
        <v>0</v>
      </c>
      <c r="CF20" s="144">
        <v>0</v>
      </c>
      <c r="CG20" s="144">
        <v>0</v>
      </c>
      <c r="CH20" s="144">
        <v>0</v>
      </c>
      <c r="CI20" s="144">
        <v>0</v>
      </c>
      <c r="CJ20" s="144">
        <v>0</v>
      </c>
      <c r="CK20" s="144">
        <v>0</v>
      </c>
      <c r="CL20" s="144">
        <v>0</v>
      </c>
      <c r="CM20" s="144">
        <v>0</v>
      </c>
      <c r="CN20" s="144">
        <v>0</v>
      </c>
      <c r="CO20" s="144">
        <v>0</v>
      </c>
      <c r="CP20" s="144">
        <v>0</v>
      </c>
      <c r="CQ20" s="143">
        <v>0</v>
      </c>
      <c r="CR20" s="145">
        <v>0</v>
      </c>
      <c r="CS20" s="145">
        <v>0</v>
      </c>
      <c r="CT20" s="145">
        <v>0</v>
      </c>
      <c r="CU20" s="145">
        <v>0</v>
      </c>
      <c r="CV20" s="145">
        <v>0</v>
      </c>
      <c r="CW20" s="145">
        <v>0</v>
      </c>
      <c r="CX20" s="145">
        <v>0</v>
      </c>
      <c r="CY20" s="145">
        <v>0</v>
      </c>
      <c r="CZ20" s="145">
        <v>0</v>
      </c>
      <c r="DA20" s="145">
        <v>0</v>
      </c>
      <c r="DB20" s="145">
        <v>0</v>
      </c>
      <c r="DC20" s="145">
        <v>0</v>
      </c>
      <c r="DD20" s="145">
        <v>0</v>
      </c>
      <c r="DE20" s="145">
        <v>0</v>
      </c>
      <c r="DF20" s="145">
        <v>0</v>
      </c>
      <c r="DG20" s="145">
        <v>0</v>
      </c>
      <c r="DH20" s="145">
        <v>0</v>
      </c>
      <c r="DI20" s="145">
        <v>0</v>
      </c>
      <c r="DJ20" s="145">
        <v>0</v>
      </c>
      <c r="DK20" s="145">
        <v>0</v>
      </c>
      <c r="DL20" s="145">
        <v>0</v>
      </c>
      <c r="DM20" s="145">
        <v>0</v>
      </c>
      <c r="DN20" s="145">
        <v>0</v>
      </c>
      <c r="DO20" s="145">
        <v>0</v>
      </c>
      <c r="DP20" s="145">
        <v>1504163.47</v>
      </c>
      <c r="DQ20" s="145">
        <v>0</v>
      </c>
      <c r="DR20" s="145">
        <v>0</v>
      </c>
      <c r="DS20" s="145">
        <v>0</v>
      </c>
      <c r="DT20" s="145">
        <v>0</v>
      </c>
      <c r="DU20" s="145">
        <v>0</v>
      </c>
      <c r="DV20" s="145">
        <v>0</v>
      </c>
      <c r="DW20" s="145">
        <v>0</v>
      </c>
      <c r="DX20" s="145">
        <v>0</v>
      </c>
      <c r="DY20" s="145">
        <v>0</v>
      </c>
      <c r="DZ20" s="145">
        <v>0</v>
      </c>
      <c r="EA20" s="145">
        <v>0</v>
      </c>
      <c r="EB20" s="145">
        <v>0</v>
      </c>
      <c r="EC20" s="145">
        <v>0</v>
      </c>
      <c r="ED20" s="145">
        <v>0</v>
      </c>
      <c r="EE20" s="145">
        <v>0</v>
      </c>
      <c r="EF20" s="145">
        <v>0</v>
      </c>
      <c r="EG20" s="145">
        <v>0</v>
      </c>
      <c r="EH20" s="145">
        <v>0</v>
      </c>
      <c r="EI20" s="145">
        <v>0</v>
      </c>
      <c r="EJ20" s="145">
        <v>0</v>
      </c>
      <c r="EK20" s="145">
        <v>0</v>
      </c>
      <c r="EL20" s="145">
        <v>0</v>
      </c>
      <c r="EM20" s="145">
        <v>0</v>
      </c>
      <c r="EN20" s="145">
        <v>0</v>
      </c>
      <c r="EO20" s="145">
        <v>0</v>
      </c>
      <c r="EP20" s="145">
        <v>0</v>
      </c>
      <c r="EQ20" s="145">
        <v>0</v>
      </c>
      <c r="ER20" s="145">
        <v>0</v>
      </c>
      <c r="ES20" s="145">
        <v>0</v>
      </c>
      <c r="ET20" s="145">
        <v>0</v>
      </c>
      <c r="EU20" s="145">
        <v>0</v>
      </c>
      <c r="EV20" s="145">
        <v>0</v>
      </c>
      <c r="EW20" s="145">
        <v>0</v>
      </c>
      <c r="EX20" s="145">
        <v>0</v>
      </c>
      <c r="EY20" s="145">
        <v>0</v>
      </c>
      <c r="EZ20" s="145">
        <v>0</v>
      </c>
      <c r="FA20" s="145">
        <v>0</v>
      </c>
      <c r="FB20" s="145">
        <v>0</v>
      </c>
      <c r="FC20" s="145">
        <v>0</v>
      </c>
      <c r="FD20" s="145">
        <v>0</v>
      </c>
      <c r="FE20" s="145">
        <v>0</v>
      </c>
      <c r="FF20" s="145">
        <v>0</v>
      </c>
      <c r="FG20" s="145">
        <v>0</v>
      </c>
      <c r="FH20" s="145">
        <v>0</v>
      </c>
      <c r="FI20" s="145">
        <v>0</v>
      </c>
      <c r="FJ20" s="145">
        <v>0</v>
      </c>
      <c r="FK20" s="145">
        <v>0</v>
      </c>
      <c r="FL20" s="145">
        <v>0</v>
      </c>
      <c r="FM20" s="145">
        <v>0</v>
      </c>
      <c r="FN20" s="145">
        <v>0</v>
      </c>
      <c r="FO20" s="145">
        <v>0</v>
      </c>
      <c r="FP20" s="145">
        <v>0</v>
      </c>
      <c r="FQ20" s="145">
        <v>0</v>
      </c>
      <c r="FR20" s="145">
        <v>0</v>
      </c>
      <c r="FS20" s="145">
        <v>0</v>
      </c>
      <c r="FT20" s="145">
        <v>0</v>
      </c>
      <c r="FU20" s="145">
        <v>0</v>
      </c>
      <c r="FV20" s="145">
        <v>0</v>
      </c>
      <c r="FW20" s="145">
        <v>0</v>
      </c>
      <c r="FX20" s="143"/>
      <c r="FY20" s="146" t="str">
        <f>_xlfn.XLOOKUP($E20,'Key assumptions'!$B$112:$B$120,'Key assumptions'!$C$112:$C$120,0)</f>
        <v>Nominal</v>
      </c>
      <c r="FZ20" s="146" cm="1">
        <f t="array" ref="FZ20">IF($FY20=0,0,_xlfn.IFS($FY20='Key assumptions'!$C$120,_xlfn.XLOOKUP(LEFT(FZ$7,6),Inflation_Year,Inflation_NominaltoReal),TRUE,_xlfn.XLOOKUP($FY20,Inflation_Year,NominaltoReal)))</f>
        <v>1.0197075870962191</v>
      </c>
      <c r="GA20" s="146" cm="1">
        <f t="array" ref="GA20">IF($FY20=0,0,_xlfn.IFS($FY20='Key assumptions'!$C$120,_xlfn.XLOOKUP(LEFT(GA$7,6),Inflation_Year,Inflation_NominaltoReal),TRUE,_xlfn.XLOOKUP($FY20,Inflation_Year,NominaltoReal)))</f>
        <v>0.98700804022984445</v>
      </c>
      <c r="GB20" s="146" cm="1">
        <f t="array" ref="GB20">IF($FY20=0,0,_xlfn.IFS($FY20='Key assumptions'!$C$120,_xlfn.XLOOKUP(LEFT(GB$7,6),Inflation_Year,Inflation_NominaltoReal),TRUE,_xlfn.XLOOKUP($FY20,Inflation_Year,NominaltoReal)))</f>
        <v>0.96152830081941731</v>
      </c>
      <c r="GC20" s="146" cm="1">
        <f t="array" ref="GC20">IF($FY20=0,0,_xlfn.IFS($FY20='Key assumptions'!$C$120,_xlfn.XLOOKUP(LEFT(GC$7,6),Inflation_Year,Inflation_NominaltoReal),TRUE,_xlfn.XLOOKUP($FY20,Inflation_Year,NominaltoReal)))</f>
        <v>0.93670632415656829</v>
      </c>
      <c r="GD20" s="146" cm="1">
        <f t="array" ref="GD20">IF($FY20=0,0,_xlfn.IFS($FY20='Key assumptions'!$C$120,_xlfn.XLOOKUP(LEFT(GD$7,6),Inflation_Year,Inflation_NominaltoReal),TRUE,_xlfn.XLOOKUP($FY20,Inflation_Year,NominaltoReal)))</f>
        <v>0.91252513001143176</v>
      </c>
      <c r="GE20" s="146" cm="1">
        <f t="array" ref="GE20">IF($FY20=0,0,_xlfn.IFS($FY20='Key assumptions'!$C$120,_xlfn.XLOOKUP(LEFT(GE$7,6),Inflation_Year,Inflation_NominaltoReal),TRUE,_xlfn.XLOOKUP($FY20,Inflation_Year,NominaltoReal)))</f>
        <v>0.88896817650095872</v>
      </c>
      <c r="GF20" s="146" cm="1">
        <f t="array" ref="GF20">IF($FY20=0,0,_xlfn.IFS($FY20='Key assumptions'!$C$120,_xlfn.XLOOKUP(LEFT(GF$7,6),Inflation_Year,Inflation_NominaltoReal),TRUE,_xlfn.XLOOKUP($FY20,Inflation_Year,NominaltoReal)))</f>
        <v>0.86601934877293718</v>
      </c>
      <c r="GG20" s="143"/>
      <c r="GH20" s="145" cm="1">
        <f t="array" ref="GH20">SUMPRODUCT(--($CR$7:$FW$7&gt;=GH$5),--($CR$7:$FW$7&lt;=GH$6),$CR20:$FW20)*FZ20</f>
        <v>0</v>
      </c>
      <c r="GI20" s="145" cm="1">
        <f t="array" ref="GI20">SUMPRODUCT(--($CR$7:$FW$7&gt;=GI$5),--($CR$7:$FW$7&lt;=GI$6),$CR20:$FW20)*GA20</f>
        <v>1484621.4387100225</v>
      </c>
      <c r="GJ20" s="145" cm="1">
        <f t="array" ref="GJ20">SUMPRODUCT(--($CR$7:$FW$7&gt;=GJ$5),--($CR$7:$FW$7&lt;=GJ$6),$CR20:$FW20)*GB20</f>
        <v>0</v>
      </c>
      <c r="GK20" s="145" cm="1">
        <f t="array" ref="GK20">SUMPRODUCT(--($CR$7:$FW$7&gt;=GK$5),--($CR$7:$FW$7&lt;=GK$6),$CR20:$FW20)*GC20</f>
        <v>0</v>
      </c>
      <c r="GL20" s="145" cm="1">
        <f t="array" ref="GL20">SUMPRODUCT(--($CR$7:$FW$7&gt;=GL$5),--($CR$7:$FW$7&lt;=GL$6),$CR20:$FW20)*GD20</f>
        <v>0</v>
      </c>
      <c r="GM20" s="145" cm="1">
        <f t="array" ref="GM20">SUMPRODUCT(--($CR$7:$FW$7&gt;=GM$5),--($CR$7:$FW$7&lt;=GM$6),$CR20:$FW20)*GE20</f>
        <v>0</v>
      </c>
      <c r="GN20" s="145" cm="1">
        <f t="array" ref="GN20">SUMPRODUCT(--($CR$7:$FW$7&gt;=GN$5),--($CR$7:$FW$7&lt;=GN$6),$CR20:$FW20)*GF20</f>
        <v>0</v>
      </c>
      <c r="GO20" s="145">
        <f t="shared" si="0"/>
        <v>1484621.4387100225</v>
      </c>
      <c r="GP20" s="87"/>
      <c r="GR20" s="145" cm="1">
        <f t="array" ref="GR20">SUMPRODUCT(--($CR$7:$FW$7&gt;=GR$5),--($CR$7:$FW$7&lt;=GR$6),$CR20:$FW20)</f>
        <v>0</v>
      </c>
    </row>
    <row r="21" spans="1:200" s="64" customFormat="1" x14ac:dyDescent="0.2">
      <c r="A21" s="65"/>
      <c r="B21" s="141" t="str">
        <v>Other Support &amp; Corporate Roles</v>
      </c>
      <c r="C21" s="141" t="str">
        <v>Insurance - Wellington</v>
      </c>
      <c r="D21" s="141" t="str">
        <v>Non-labour</v>
      </c>
      <c r="E21" s="141" t="str">
        <v>$ Nominal</v>
      </c>
      <c r="F21" s="141">
        <v>0</v>
      </c>
      <c r="G21" s="141" t="str">
        <v/>
      </c>
      <c r="H21" s="142">
        <v>0</v>
      </c>
      <c r="I21" s="126">
        <v>1504163.47</v>
      </c>
      <c r="J21" s="143">
        <v>0</v>
      </c>
      <c r="K21" s="144">
        <v>0</v>
      </c>
      <c r="L21" s="144">
        <v>0</v>
      </c>
      <c r="M21" s="144">
        <v>0</v>
      </c>
      <c r="N21" s="144">
        <v>0</v>
      </c>
      <c r="O21" s="144">
        <v>0</v>
      </c>
      <c r="P21" s="144">
        <v>0</v>
      </c>
      <c r="Q21" s="144">
        <v>0</v>
      </c>
      <c r="R21" s="144">
        <v>0</v>
      </c>
      <c r="S21" s="144">
        <v>0</v>
      </c>
      <c r="T21" s="144">
        <v>0</v>
      </c>
      <c r="U21" s="144">
        <v>0</v>
      </c>
      <c r="V21" s="144">
        <v>0</v>
      </c>
      <c r="W21" s="144">
        <v>0</v>
      </c>
      <c r="X21" s="144">
        <v>0</v>
      </c>
      <c r="Y21" s="144">
        <v>0</v>
      </c>
      <c r="Z21" s="144">
        <v>0</v>
      </c>
      <c r="AA21" s="144">
        <v>0</v>
      </c>
      <c r="AB21" s="144">
        <v>1</v>
      </c>
      <c r="AC21" s="144">
        <v>0</v>
      </c>
      <c r="AD21" s="144">
        <v>0</v>
      </c>
      <c r="AE21" s="144">
        <v>0</v>
      </c>
      <c r="AF21" s="144">
        <v>0</v>
      </c>
      <c r="AG21" s="144">
        <v>0</v>
      </c>
      <c r="AH21" s="144">
        <v>0</v>
      </c>
      <c r="AI21" s="144">
        <v>0</v>
      </c>
      <c r="AJ21" s="144">
        <v>0</v>
      </c>
      <c r="AK21" s="144">
        <v>0</v>
      </c>
      <c r="AL21" s="144">
        <v>0</v>
      </c>
      <c r="AM21" s="144">
        <v>0</v>
      </c>
      <c r="AN21" s="144">
        <v>0</v>
      </c>
      <c r="AO21" s="144">
        <v>0</v>
      </c>
      <c r="AP21" s="144">
        <v>0</v>
      </c>
      <c r="AQ21" s="144">
        <v>0</v>
      </c>
      <c r="AR21" s="144">
        <v>0</v>
      </c>
      <c r="AS21" s="144">
        <v>0</v>
      </c>
      <c r="AT21" s="144">
        <v>0</v>
      </c>
      <c r="AU21" s="144">
        <v>0</v>
      </c>
      <c r="AV21" s="144">
        <v>0</v>
      </c>
      <c r="AW21" s="144">
        <v>0</v>
      </c>
      <c r="AX21" s="144">
        <v>0</v>
      </c>
      <c r="AY21" s="144">
        <v>0</v>
      </c>
      <c r="AZ21" s="144">
        <v>0</v>
      </c>
      <c r="BA21" s="144">
        <v>0</v>
      </c>
      <c r="BB21" s="144">
        <v>0</v>
      </c>
      <c r="BC21" s="144">
        <v>0</v>
      </c>
      <c r="BD21" s="144">
        <v>0</v>
      </c>
      <c r="BE21" s="144">
        <v>0</v>
      </c>
      <c r="BF21" s="144">
        <v>0</v>
      </c>
      <c r="BG21" s="144">
        <v>0</v>
      </c>
      <c r="BH21" s="144">
        <v>0</v>
      </c>
      <c r="BI21" s="144">
        <v>0</v>
      </c>
      <c r="BJ21" s="144">
        <v>0</v>
      </c>
      <c r="BK21" s="144">
        <v>0</v>
      </c>
      <c r="BL21" s="144">
        <v>0</v>
      </c>
      <c r="BM21" s="144">
        <v>0</v>
      </c>
      <c r="BN21" s="144">
        <v>0</v>
      </c>
      <c r="BO21" s="144">
        <v>0</v>
      </c>
      <c r="BP21" s="144">
        <v>0</v>
      </c>
      <c r="BQ21" s="144">
        <v>0</v>
      </c>
      <c r="BR21" s="144">
        <v>0</v>
      </c>
      <c r="BS21" s="144">
        <v>0</v>
      </c>
      <c r="BT21" s="144">
        <v>0</v>
      </c>
      <c r="BU21" s="144">
        <v>0</v>
      </c>
      <c r="BV21" s="144">
        <v>0</v>
      </c>
      <c r="BW21" s="144">
        <v>0</v>
      </c>
      <c r="BX21" s="144">
        <v>0</v>
      </c>
      <c r="BY21" s="144">
        <v>0</v>
      </c>
      <c r="BZ21" s="144">
        <v>0</v>
      </c>
      <c r="CA21" s="144">
        <v>0</v>
      </c>
      <c r="CB21" s="144">
        <v>0</v>
      </c>
      <c r="CC21" s="144">
        <v>0</v>
      </c>
      <c r="CD21" s="144">
        <v>0</v>
      </c>
      <c r="CE21" s="144">
        <v>0</v>
      </c>
      <c r="CF21" s="144">
        <v>0</v>
      </c>
      <c r="CG21" s="144">
        <v>0</v>
      </c>
      <c r="CH21" s="144">
        <v>0</v>
      </c>
      <c r="CI21" s="144">
        <v>0</v>
      </c>
      <c r="CJ21" s="144">
        <v>0</v>
      </c>
      <c r="CK21" s="144">
        <v>0</v>
      </c>
      <c r="CL21" s="144">
        <v>0</v>
      </c>
      <c r="CM21" s="144">
        <v>0</v>
      </c>
      <c r="CN21" s="144">
        <v>0</v>
      </c>
      <c r="CO21" s="144">
        <v>0</v>
      </c>
      <c r="CP21" s="144">
        <v>0</v>
      </c>
      <c r="CQ21" s="143">
        <v>0</v>
      </c>
      <c r="CR21" s="145">
        <v>0</v>
      </c>
      <c r="CS21" s="145">
        <v>0</v>
      </c>
      <c r="CT21" s="145">
        <v>0</v>
      </c>
      <c r="CU21" s="145">
        <v>0</v>
      </c>
      <c r="CV21" s="145">
        <v>0</v>
      </c>
      <c r="CW21" s="145">
        <v>0</v>
      </c>
      <c r="CX21" s="145">
        <v>0</v>
      </c>
      <c r="CY21" s="145">
        <v>0</v>
      </c>
      <c r="CZ21" s="145">
        <v>0</v>
      </c>
      <c r="DA21" s="145">
        <v>0</v>
      </c>
      <c r="DB21" s="145">
        <v>0</v>
      </c>
      <c r="DC21" s="145">
        <v>0</v>
      </c>
      <c r="DD21" s="145">
        <v>0</v>
      </c>
      <c r="DE21" s="145">
        <v>0</v>
      </c>
      <c r="DF21" s="145">
        <v>0</v>
      </c>
      <c r="DG21" s="145">
        <v>0</v>
      </c>
      <c r="DH21" s="145">
        <v>0</v>
      </c>
      <c r="DI21" s="145">
        <v>1504163.47</v>
      </c>
      <c r="DJ21" s="145">
        <v>0</v>
      </c>
      <c r="DK21" s="145">
        <v>0</v>
      </c>
      <c r="DL21" s="145">
        <v>0</v>
      </c>
      <c r="DM21" s="145">
        <v>0</v>
      </c>
      <c r="DN21" s="145">
        <v>0</v>
      </c>
      <c r="DO21" s="145">
        <v>0</v>
      </c>
      <c r="DP21" s="145">
        <v>0</v>
      </c>
      <c r="DQ21" s="145">
        <v>0</v>
      </c>
      <c r="DR21" s="145">
        <v>0</v>
      </c>
      <c r="DS21" s="145">
        <v>0</v>
      </c>
      <c r="DT21" s="145">
        <v>0</v>
      </c>
      <c r="DU21" s="145">
        <v>0</v>
      </c>
      <c r="DV21" s="145">
        <v>0</v>
      </c>
      <c r="DW21" s="145">
        <v>0</v>
      </c>
      <c r="DX21" s="145">
        <v>0</v>
      </c>
      <c r="DY21" s="145">
        <v>0</v>
      </c>
      <c r="DZ21" s="145">
        <v>0</v>
      </c>
      <c r="EA21" s="145">
        <v>0</v>
      </c>
      <c r="EB21" s="145">
        <v>0</v>
      </c>
      <c r="EC21" s="145">
        <v>0</v>
      </c>
      <c r="ED21" s="145">
        <v>0</v>
      </c>
      <c r="EE21" s="145">
        <v>0</v>
      </c>
      <c r="EF21" s="145">
        <v>0</v>
      </c>
      <c r="EG21" s="145">
        <v>0</v>
      </c>
      <c r="EH21" s="145">
        <v>0</v>
      </c>
      <c r="EI21" s="145">
        <v>0</v>
      </c>
      <c r="EJ21" s="145">
        <v>0</v>
      </c>
      <c r="EK21" s="145">
        <v>0</v>
      </c>
      <c r="EL21" s="145">
        <v>0</v>
      </c>
      <c r="EM21" s="145">
        <v>0</v>
      </c>
      <c r="EN21" s="145">
        <v>0</v>
      </c>
      <c r="EO21" s="145">
        <v>0</v>
      </c>
      <c r="EP21" s="145">
        <v>0</v>
      </c>
      <c r="EQ21" s="145">
        <v>0</v>
      </c>
      <c r="ER21" s="145">
        <v>0</v>
      </c>
      <c r="ES21" s="145">
        <v>0</v>
      </c>
      <c r="ET21" s="145">
        <v>0</v>
      </c>
      <c r="EU21" s="145">
        <v>0</v>
      </c>
      <c r="EV21" s="145">
        <v>0</v>
      </c>
      <c r="EW21" s="145">
        <v>0</v>
      </c>
      <c r="EX21" s="145">
        <v>0</v>
      </c>
      <c r="EY21" s="145">
        <v>0</v>
      </c>
      <c r="EZ21" s="145">
        <v>0</v>
      </c>
      <c r="FA21" s="145">
        <v>0</v>
      </c>
      <c r="FB21" s="145">
        <v>0</v>
      </c>
      <c r="FC21" s="145">
        <v>0</v>
      </c>
      <c r="FD21" s="145">
        <v>0</v>
      </c>
      <c r="FE21" s="145">
        <v>0</v>
      </c>
      <c r="FF21" s="145">
        <v>0</v>
      </c>
      <c r="FG21" s="145">
        <v>0</v>
      </c>
      <c r="FH21" s="145">
        <v>0</v>
      </c>
      <c r="FI21" s="145">
        <v>0</v>
      </c>
      <c r="FJ21" s="145">
        <v>0</v>
      </c>
      <c r="FK21" s="145">
        <v>0</v>
      </c>
      <c r="FL21" s="145">
        <v>0</v>
      </c>
      <c r="FM21" s="145">
        <v>0</v>
      </c>
      <c r="FN21" s="145">
        <v>0</v>
      </c>
      <c r="FO21" s="145">
        <v>0</v>
      </c>
      <c r="FP21" s="145">
        <v>0</v>
      </c>
      <c r="FQ21" s="145">
        <v>0</v>
      </c>
      <c r="FR21" s="145">
        <v>0</v>
      </c>
      <c r="FS21" s="145">
        <v>0</v>
      </c>
      <c r="FT21" s="145">
        <v>0</v>
      </c>
      <c r="FU21" s="145">
        <v>0</v>
      </c>
      <c r="FV21" s="145">
        <v>0</v>
      </c>
      <c r="FW21" s="145">
        <v>0</v>
      </c>
      <c r="FX21" s="143"/>
      <c r="FY21" s="146" t="str">
        <f>_xlfn.XLOOKUP($E21,'Key assumptions'!$B$112:$B$120,'Key assumptions'!$C$112:$C$120,0)</f>
        <v>Nominal</v>
      </c>
      <c r="FZ21" s="146" cm="1">
        <f t="array" ref="FZ21">IF($FY21=0,0,_xlfn.IFS($FY21='Key assumptions'!$C$120,_xlfn.XLOOKUP(LEFT(FZ$7,6),Inflation_Year,Inflation_NominaltoReal),TRUE,_xlfn.XLOOKUP($FY21,Inflation_Year,NominaltoReal)))</f>
        <v>1.0197075870962191</v>
      </c>
      <c r="GA21" s="146" cm="1">
        <f t="array" ref="GA21">IF($FY21=0,0,_xlfn.IFS($FY21='Key assumptions'!$C$120,_xlfn.XLOOKUP(LEFT(GA$7,6),Inflation_Year,Inflation_NominaltoReal),TRUE,_xlfn.XLOOKUP($FY21,Inflation_Year,NominaltoReal)))</f>
        <v>0.98700804022984445</v>
      </c>
      <c r="GB21" s="146" cm="1">
        <f t="array" ref="GB21">IF($FY21=0,0,_xlfn.IFS($FY21='Key assumptions'!$C$120,_xlfn.XLOOKUP(LEFT(GB$7,6),Inflation_Year,Inflation_NominaltoReal),TRUE,_xlfn.XLOOKUP($FY21,Inflation_Year,NominaltoReal)))</f>
        <v>0.96152830081941731</v>
      </c>
      <c r="GC21" s="146" cm="1">
        <f t="array" ref="GC21">IF($FY21=0,0,_xlfn.IFS($FY21='Key assumptions'!$C$120,_xlfn.XLOOKUP(LEFT(GC$7,6),Inflation_Year,Inflation_NominaltoReal),TRUE,_xlfn.XLOOKUP($FY21,Inflation_Year,NominaltoReal)))</f>
        <v>0.93670632415656829</v>
      </c>
      <c r="GD21" s="146" cm="1">
        <f t="array" ref="GD21">IF($FY21=0,0,_xlfn.IFS($FY21='Key assumptions'!$C$120,_xlfn.XLOOKUP(LEFT(GD$7,6),Inflation_Year,Inflation_NominaltoReal),TRUE,_xlfn.XLOOKUP($FY21,Inflation_Year,NominaltoReal)))</f>
        <v>0.91252513001143176</v>
      </c>
      <c r="GE21" s="146" cm="1">
        <f t="array" ref="GE21">IF($FY21=0,0,_xlfn.IFS($FY21='Key assumptions'!$C$120,_xlfn.XLOOKUP(LEFT(GE$7,6),Inflation_Year,Inflation_NominaltoReal),TRUE,_xlfn.XLOOKUP($FY21,Inflation_Year,NominaltoReal)))</f>
        <v>0.88896817650095872</v>
      </c>
      <c r="GF21" s="146" cm="1">
        <f t="array" ref="GF21">IF($FY21=0,0,_xlfn.IFS($FY21='Key assumptions'!$C$120,_xlfn.XLOOKUP(LEFT(GF$7,6),Inflation_Year,Inflation_NominaltoReal),TRUE,_xlfn.XLOOKUP($FY21,Inflation_Year,NominaltoReal)))</f>
        <v>0.86601934877293718</v>
      </c>
      <c r="GG21" s="143"/>
      <c r="GH21" s="145" cm="1">
        <f t="array" ref="GH21">SUMPRODUCT(--($CR$7:$FW$7&gt;=GH$5),--($CR$7:$FW$7&lt;=GH$6),$CR21:$FW21)*FZ21</f>
        <v>1533806.9025919761</v>
      </c>
      <c r="GI21" s="145" cm="1">
        <f t="array" ref="GI21">SUMPRODUCT(--($CR$7:$FW$7&gt;=GI$5),--($CR$7:$FW$7&lt;=GI$6),$CR21:$FW21)*GA21</f>
        <v>0</v>
      </c>
      <c r="GJ21" s="145" cm="1">
        <f t="array" ref="GJ21">SUMPRODUCT(--($CR$7:$FW$7&gt;=GJ$5),--($CR$7:$FW$7&lt;=GJ$6),$CR21:$FW21)*GB21</f>
        <v>0</v>
      </c>
      <c r="GK21" s="145" cm="1">
        <f t="array" ref="GK21">SUMPRODUCT(--($CR$7:$FW$7&gt;=GK$5),--($CR$7:$FW$7&lt;=GK$6),$CR21:$FW21)*GC21</f>
        <v>0</v>
      </c>
      <c r="GL21" s="145" cm="1">
        <f t="array" ref="GL21">SUMPRODUCT(--($CR$7:$FW$7&gt;=GL$5),--($CR$7:$FW$7&lt;=GL$6),$CR21:$FW21)*GD21</f>
        <v>0</v>
      </c>
      <c r="GM21" s="145" cm="1">
        <f t="array" ref="GM21">SUMPRODUCT(--($CR$7:$FW$7&gt;=GM$5),--($CR$7:$FW$7&lt;=GM$6),$CR21:$FW21)*GE21</f>
        <v>0</v>
      </c>
      <c r="GN21" s="145" cm="1">
        <f t="array" ref="GN21">SUMPRODUCT(--($CR$7:$FW$7&gt;=GN$5),--($CR$7:$FW$7&lt;=GN$6),$CR21:$FW21)*GF21</f>
        <v>0</v>
      </c>
      <c r="GO21" s="145">
        <f t="shared" si="0"/>
        <v>1533806.9025919761</v>
      </c>
      <c r="GP21" s="87"/>
      <c r="GR21" s="145" cm="1">
        <f t="array" ref="GR21">SUMPRODUCT(--($CR$7:$FW$7&gt;=GR$5),--($CR$7:$FW$7&lt;=GR$6),$CR21:$FW21)</f>
        <v>1504163.47</v>
      </c>
    </row>
    <row r="22" spans="1:200" s="64" customFormat="1" x14ac:dyDescent="0.2">
      <c r="A22" s="65"/>
      <c r="B22" s="141" t="str">
        <v>Other Support &amp; Corporate Roles</v>
      </c>
      <c r="C22" s="141" t="str">
        <v>Insurance - Darlington Point</v>
      </c>
      <c r="D22" s="141" t="str">
        <v>Non-labour</v>
      </c>
      <c r="E22" s="141" t="str">
        <v>$ Nominal</v>
      </c>
      <c r="F22" s="141">
        <v>0</v>
      </c>
      <c r="G22" s="141" t="str">
        <v/>
      </c>
      <c r="H22" s="142">
        <v>0</v>
      </c>
      <c r="I22" s="126">
        <v>1504163.47</v>
      </c>
      <c r="J22" s="143">
        <v>0</v>
      </c>
      <c r="K22" s="144">
        <v>0</v>
      </c>
      <c r="L22" s="144">
        <v>0</v>
      </c>
      <c r="M22" s="144">
        <v>0</v>
      </c>
      <c r="N22" s="144">
        <v>0</v>
      </c>
      <c r="O22" s="144">
        <v>0</v>
      </c>
      <c r="P22" s="144">
        <v>0</v>
      </c>
      <c r="Q22" s="144">
        <v>0</v>
      </c>
      <c r="R22" s="144">
        <v>0</v>
      </c>
      <c r="S22" s="144">
        <v>0</v>
      </c>
      <c r="T22" s="144">
        <v>0</v>
      </c>
      <c r="U22" s="144">
        <v>0</v>
      </c>
      <c r="V22" s="144">
        <v>0</v>
      </c>
      <c r="W22" s="144">
        <v>0</v>
      </c>
      <c r="X22" s="144">
        <v>0</v>
      </c>
      <c r="Y22" s="144">
        <v>0</v>
      </c>
      <c r="Z22" s="144">
        <v>0</v>
      </c>
      <c r="AA22" s="144">
        <v>0</v>
      </c>
      <c r="AB22" s="144">
        <v>0</v>
      </c>
      <c r="AC22" s="144">
        <v>0</v>
      </c>
      <c r="AD22" s="144">
        <v>0</v>
      </c>
      <c r="AE22" s="144">
        <v>1</v>
      </c>
      <c r="AF22" s="144">
        <v>0</v>
      </c>
      <c r="AG22" s="144">
        <v>0</v>
      </c>
      <c r="AH22" s="144">
        <v>0</v>
      </c>
      <c r="AI22" s="144">
        <v>0</v>
      </c>
      <c r="AJ22" s="144">
        <v>0</v>
      </c>
      <c r="AK22" s="144">
        <v>0</v>
      </c>
      <c r="AL22" s="144">
        <v>0</v>
      </c>
      <c r="AM22" s="144">
        <v>0</v>
      </c>
      <c r="AN22" s="144">
        <v>0</v>
      </c>
      <c r="AO22" s="144">
        <v>0</v>
      </c>
      <c r="AP22" s="144">
        <v>0</v>
      </c>
      <c r="AQ22" s="144">
        <v>0</v>
      </c>
      <c r="AR22" s="144">
        <v>0</v>
      </c>
      <c r="AS22" s="144">
        <v>0</v>
      </c>
      <c r="AT22" s="144">
        <v>0</v>
      </c>
      <c r="AU22" s="144">
        <v>0</v>
      </c>
      <c r="AV22" s="144">
        <v>0</v>
      </c>
      <c r="AW22" s="144">
        <v>0</v>
      </c>
      <c r="AX22" s="144">
        <v>0</v>
      </c>
      <c r="AY22" s="144">
        <v>0</v>
      </c>
      <c r="AZ22" s="144">
        <v>0</v>
      </c>
      <c r="BA22" s="144">
        <v>0</v>
      </c>
      <c r="BB22" s="144">
        <v>0</v>
      </c>
      <c r="BC22" s="144">
        <v>0</v>
      </c>
      <c r="BD22" s="144">
        <v>0</v>
      </c>
      <c r="BE22" s="144">
        <v>0</v>
      </c>
      <c r="BF22" s="144">
        <v>0</v>
      </c>
      <c r="BG22" s="144">
        <v>0</v>
      </c>
      <c r="BH22" s="144">
        <v>0</v>
      </c>
      <c r="BI22" s="144">
        <v>0</v>
      </c>
      <c r="BJ22" s="144">
        <v>0</v>
      </c>
      <c r="BK22" s="144">
        <v>0</v>
      </c>
      <c r="BL22" s="144">
        <v>0</v>
      </c>
      <c r="BM22" s="144">
        <v>0</v>
      </c>
      <c r="BN22" s="144">
        <v>0</v>
      </c>
      <c r="BO22" s="144">
        <v>0</v>
      </c>
      <c r="BP22" s="144">
        <v>0</v>
      </c>
      <c r="BQ22" s="144">
        <v>0</v>
      </c>
      <c r="BR22" s="144">
        <v>0</v>
      </c>
      <c r="BS22" s="144">
        <v>0</v>
      </c>
      <c r="BT22" s="144">
        <v>0</v>
      </c>
      <c r="BU22" s="144">
        <v>0</v>
      </c>
      <c r="BV22" s="144">
        <v>0</v>
      </c>
      <c r="BW22" s="144">
        <v>0</v>
      </c>
      <c r="BX22" s="144">
        <v>0</v>
      </c>
      <c r="BY22" s="144">
        <v>0</v>
      </c>
      <c r="BZ22" s="144">
        <v>0</v>
      </c>
      <c r="CA22" s="144">
        <v>0</v>
      </c>
      <c r="CB22" s="144">
        <v>0</v>
      </c>
      <c r="CC22" s="144">
        <v>0</v>
      </c>
      <c r="CD22" s="144">
        <v>0</v>
      </c>
      <c r="CE22" s="144">
        <v>0</v>
      </c>
      <c r="CF22" s="144">
        <v>0</v>
      </c>
      <c r="CG22" s="144">
        <v>0</v>
      </c>
      <c r="CH22" s="144">
        <v>0</v>
      </c>
      <c r="CI22" s="144">
        <v>0</v>
      </c>
      <c r="CJ22" s="144">
        <v>0</v>
      </c>
      <c r="CK22" s="144">
        <v>0</v>
      </c>
      <c r="CL22" s="144">
        <v>0</v>
      </c>
      <c r="CM22" s="144">
        <v>0</v>
      </c>
      <c r="CN22" s="144">
        <v>0</v>
      </c>
      <c r="CO22" s="144">
        <v>0</v>
      </c>
      <c r="CP22" s="144">
        <v>0</v>
      </c>
      <c r="CQ22" s="143">
        <v>0</v>
      </c>
      <c r="CR22" s="145">
        <v>0</v>
      </c>
      <c r="CS22" s="145">
        <v>0</v>
      </c>
      <c r="CT22" s="145">
        <v>0</v>
      </c>
      <c r="CU22" s="145">
        <v>0</v>
      </c>
      <c r="CV22" s="145">
        <v>0</v>
      </c>
      <c r="CW22" s="145">
        <v>0</v>
      </c>
      <c r="CX22" s="145">
        <v>0</v>
      </c>
      <c r="CY22" s="145">
        <v>0</v>
      </c>
      <c r="CZ22" s="145">
        <v>0</v>
      </c>
      <c r="DA22" s="145">
        <v>0</v>
      </c>
      <c r="DB22" s="145">
        <v>0</v>
      </c>
      <c r="DC22" s="145">
        <v>0</v>
      </c>
      <c r="DD22" s="145">
        <v>0</v>
      </c>
      <c r="DE22" s="145">
        <v>0</v>
      </c>
      <c r="DF22" s="145">
        <v>0</v>
      </c>
      <c r="DG22" s="145">
        <v>0</v>
      </c>
      <c r="DH22" s="145">
        <v>0</v>
      </c>
      <c r="DI22" s="145">
        <v>0</v>
      </c>
      <c r="DJ22" s="145">
        <v>0</v>
      </c>
      <c r="DK22" s="145">
        <v>0</v>
      </c>
      <c r="DL22" s="145">
        <v>1504163.47</v>
      </c>
      <c r="DM22" s="145">
        <v>0</v>
      </c>
      <c r="DN22" s="145">
        <v>0</v>
      </c>
      <c r="DO22" s="145">
        <v>0</v>
      </c>
      <c r="DP22" s="145">
        <v>0</v>
      </c>
      <c r="DQ22" s="145">
        <v>0</v>
      </c>
      <c r="DR22" s="145">
        <v>0</v>
      </c>
      <c r="DS22" s="145">
        <v>0</v>
      </c>
      <c r="DT22" s="145">
        <v>0</v>
      </c>
      <c r="DU22" s="145">
        <v>0</v>
      </c>
      <c r="DV22" s="145">
        <v>0</v>
      </c>
      <c r="DW22" s="145">
        <v>0</v>
      </c>
      <c r="DX22" s="145">
        <v>0</v>
      </c>
      <c r="DY22" s="145">
        <v>0</v>
      </c>
      <c r="DZ22" s="145">
        <v>0</v>
      </c>
      <c r="EA22" s="145">
        <v>0</v>
      </c>
      <c r="EB22" s="145">
        <v>0</v>
      </c>
      <c r="EC22" s="145">
        <v>0</v>
      </c>
      <c r="ED22" s="145">
        <v>0</v>
      </c>
      <c r="EE22" s="145">
        <v>0</v>
      </c>
      <c r="EF22" s="145">
        <v>0</v>
      </c>
      <c r="EG22" s="145">
        <v>0</v>
      </c>
      <c r="EH22" s="145">
        <v>0</v>
      </c>
      <c r="EI22" s="145">
        <v>0</v>
      </c>
      <c r="EJ22" s="145">
        <v>0</v>
      </c>
      <c r="EK22" s="145">
        <v>0</v>
      </c>
      <c r="EL22" s="145">
        <v>0</v>
      </c>
      <c r="EM22" s="145">
        <v>0</v>
      </c>
      <c r="EN22" s="145">
        <v>0</v>
      </c>
      <c r="EO22" s="145">
        <v>0</v>
      </c>
      <c r="EP22" s="145">
        <v>0</v>
      </c>
      <c r="EQ22" s="145">
        <v>0</v>
      </c>
      <c r="ER22" s="145">
        <v>0</v>
      </c>
      <c r="ES22" s="145">
        <v>0</v>
      </c>
      <c r="ET22" s="145">
        <v>0</v>
      </c>
      <c r="EU22" s="145">
        <v>0</v>
      </c>
      <c r="EV22" s="145">
        <v>0</v>
      </c>
      <c r="EW22" s="145">
        <v>0</v>
      </c>
      <c r="EX22" s="145">
        <v>0</v>
      </c>
      <c r="EY22" s="145">
        <v>0</v>
      </c>
      <c r="EZ22" s="145">
        <v>0</v>
      </c>
      <c r="FA22" s="145">
        <v>0</v>
      </c>
      <c r="FB22" s="145">
        <v>0</v>
      </c>
      <c r="FC22" s="145">
        <v>0</v>
      </c>
      <c r="FD22" s="145">
        <v>0</v>
      </c>
      <c r="FE22" s="145">
        <v>0</v>
      </c>
      <c r="FF22" s="145">
        <v>0</v>
      </c>
      <c r="FG22" s="145">
        <v>0</v>
      </c>
      <c r="FH22" s="145">
        <v>0</v>
      </c>
      <c r="FI22" s="145">
        <v>0</v>
      </c>
      <c r="FJ22" s="145">
        <v>0</v>
      </c>
      <c r="FK22" s="145">
        <v>0</v>
      </c>
      <c r="FL22" s="145">
        <v>0</v>
      </c>
      <c r="FM22" s="145">
        <v>0</v>
      </c>
      <c r="FN22" s="145">
        <v>0</v>
      </c>
      <c r="FO22" s="145">
        <v>0</v>
      </c>
      <c r="FP22" s="145">
        <v>0</v>
      </c>
      <c r="FQ22" s="145">
        <v>0</v>
      </c>
      <c r="FR22" s="145">
        <v>0</v>
      </c>
      <c r="FS22" s="145">
        <v>0</v>
      </c>
      <c r="FT22" s="145">
        <v>0</v>
      </c>
      <c r="FU22" s="145">
        <v>0</v>
      </c>
      <c r="FV22" s="145">
        <v>0</v>
      </c>
      <c r="FW22" s="145">
        <v>0</v>
      </c>
      <c r="FX22" s="143"/>
      <c r="FY22" s="146" t="str">
        <f>_xlfn.XLOOKUP($E22,'Key assumptions'!$B$112:$B$120,'Key assumptions'!$C$112:$C$120,0)</f>
        <v>Nominal</v>
      </c>
      <c r="FZ22" s="146" cm="1">
        <f t="array" ref="FZ22">IF($FY22=0,0,_xlfn.IFS($FY22='Key assumptions'!$C$120,_xlfn.XLOOKUP(LEFT(FZ$7,6),Inflation_Year,Inflation_NominaltoReal),TRUE,_xlfn.XLOOKUP($FY22,Inflation_Year,NominaltoReal)))</f>
        <v>1.0197075870962191</v>
      </c>
      <c r="GA22" s="146" cm="1">
        <f t="array" ref="GA22">IF($FY22=0,0,_xlfn.IFS($FY22='Key assumptions'!$C$120,_xlfn.XLOOKUP(LEFT(GA$7,6),Inflation_Year,Inflation_NominaltoReal),TRUE,_xlfn.XLOOKUP($FY22,Inflation_Year,NominaltoReal)))</f>
        <v>0.98700804022984445</v>
      </c>
      <c r="GB22" s="146" cm="1">
        <f t="array" ref="GB22">IF($FY22=0,0,_xlfn.IFS($FY22='Key assumptions'!$C$120,_xlfn.XLOOKUP(LEFT(GB$7,6),Inflation_Year,Inflation_NominaltoReal),TRUE,_xlfn.XLOOKUP($FY22,Inflation_Year,NominaltoReal)))</f>
        <v>0.96152830081941731</v>
      </c>
      <c r="GC22" s="146" cm="1">
        <f t="array" ref="GC22">IF($FY22=0,0,_xlfn.IFS($FY22='Key assumptions'!$C$120,_xlfn.XLOOKUP(LEFT(GC$7,6),Inflation_Year,Inflation_NominaltoReal),TRUE,_xlfn.XLOOKUP($FY22,Inflation_Year,NominaltoReal)))</f>
        <v>0.93670632415656829</v>
      </c>
      <c r="GD22" s="146" cm="1">
        <f t="array" ref="GD22">IF($FY22=0,0,_xlfn.IFS($FY22='Key assumptions'!$C$120,_xlfn.XLOOKUP(LEFT(GD$7,6),Inflation_Year,Inflation_NominaltoReal),TRUE,_xlfn.XLOOKUP($FY22,Inflation_Year,NominaltoReal)))</f>
        <v>0.91252513001143176</v>
      </c>
      <c r="GE22" s="146" cm="1">
        <f t="array" ref="GE22">IF($FY22=0,0,_xlfn.IFS($FY22='Key assumptions'!$C$120,_xlfn.XLOOKUP(LEFT(GE$7,6),Inflation_Year,Inflation_NominaltoReal),TRUE,_xlfn.XLOOKUP($FY22,Inflation_Year,NominaltoReal)))</f>
        <v>0.88896817650095872</v>
      </c>
      <c r="GF22" s="146" cm="1">
        <f t="array" ref="GF22">IF($FY22=0,0,_xlfn.IFS($FY22='Key assumptions'!$C$120,_xlfn.XLOOKUP(LEFT(GF$7,6),Inflation_Year,Inflation_NominaltoReal),TRUE,_xlfn.XLOOKUP($FY22,Inflation_Year,NominaltoReal)))</f>
        <v>0.86601934877293718</v>
      </c>
      <c r="GG22" s="143"/>
      <c r="GH22" s="145" cm="1">
        <f t="array" ref="GH22">SUMPRODUCT(--($CR$7:$FW$7&gt;=GH$5),--($CR$7:$FW$7&lt;=GH$6),$CR22:$FW22)*FZ22</f>
        <v>1533806.9025919761</v>
      </c>
      <c r="GI22" s="145" cm="1">
        <f t="array" ref="GI22">SUMPRODUCT(--($CR$7:$FW$7&gt;=GI$5),--($CR$7:$FW$7&lt;=GI$6),$CR22:$FW22)*GA22</f>
        <v>0</v>
      </c>
      <c r="GJ22" s="145" cm="1">
        <f t="array" ref="GJ22">SUMPRODUCT(--($CR$7:$FW$7&gt;=GJ$5),--($CR$7:$FW$7&lt;=GJ$6),$CR22:$FW22)*GB22</f>
        <v>0</v>
      </c>
      <c r="GK22" s="145" cm="1">
        <f t="array" ref="GK22">SUMPRODUCT(--($CR$7:$FW$7&gt;=GK$5),--($CR$7:$FW$7&lt;=GK$6),$CR22:$FW22)*GC22</f>
        <v>0</v>
      </c>
      <c r="GL22" s="145" cm="1">
        <f t="array" ref="GL22">SUMPRODUCT(--($CR$7:$FW$7&gt;=GL$5),--($CR$7:$FW$7&lt;=GL$6),$CR22:$FW22)*GD22</f>
        <v>0</v>
      </c>
      <c r="GM22" s="145" cm="1">
        <f t="array" ref="GM22">SUMPRODUCT(--($CR$7:$FW$7&gt;=GM$5),--($CR$7:$FW$7&lt;=GM$6),$CR22:$FW22)*GE22</f>
        <v>0</v>
      </c>
      <c r="GN22" s="145" cm="1">
        <f t="array" ref="GN22">SUMPRODUCT(--($CR$7:$FW$7&gt;=GN$5),--($CR$7:$FW$7&lt;=GN$6),$CR22:$FW22)*GF22</f>
        <v>0</v>
      </c>
      <c r="GO22" s="145">
        <f t="shared" si="0"/>
        <v>1533806.9025919761</v>
      </c>
      <c r="GP22" s="87"/>
      <c r="GR22" s="145" cm="1">
        <f t="array" ref="GR22">SUMPRODUCT(--($CR$7:$FW$7&gt;=GR$5),--($CR$7:$FW$7&lt;=GR$6),$CR22:$FW22)</f>
        <v>0</v>
      </c>
    </row>
    <row r="23" spans="1:200" s="64" customFormat="1" x14ac:dyDescent="0.2">
      <c r="A23" s="65"/>
      <c r="B23" s="141" t="str">
        <v>Other Support &amp; Corporate Roles</v>
      </c>
      <c r="C23" s="141" t="str">
        <v>Products and Public Liability Insurance</v>
      </c>
      <c r="D23" s="141" t="str">
        <v>Non-labour</v>
      </c>
      <c r="E23" s="141" t="str">
        <v>$ Nominal</v>
      </c>
      <c r="F23" s="141">
        <v>0</v>
      </c>
      <c r="G23" s="141" t="str">
        <v/>
      </c>
      <c r="H23" s="142">
        <v>0</v>
      </c>
      <c r="I23" s="126">
        <v>1263850</v>
      </c>
      <c r="J23" s="143">
        <v>0</v>
      </c>
      <c r="K23" s="144">
        <v>0</v>
      </c>
      <c r="L23" s="144">
        <v>0</v>
      </c>
      <c r="M23" s="144">
        <v>0</v>
      </c>
      <c r="N23" s="144">
        <v>0</v>
      </c>
      <c r="O23" s="144">
        <v>0</v>
      </c>
      <c r="P23" s="144">
        <v>0</v>
      </c>
      <c r="Q23" s="144">
        <v>0</v>
      </c>
      <c r="R23" s="144">
        <v>0</v>
      </c>
      <c r="S23" s="144">
        <v>0</v>
      </c>
      <c r="T23" s="144">
        <v>0</v>
      </c>
      <c r="U23" s="144">
        <v>0</v>
      </c>
      <c r="V23" s="144">
        <v>0</v>
      </c>
      <c r="W23" s="144">
        <v>0</v>
      </c>
      <c r="X23" s="144">
        <v>0</v>
      </c>
      <c r="Y23" s="144">
        <v>0</v>
      </c>
      <c r="Z23" s="144">
        <v>0</v>
      </c>
      <c r="AA23" s="144">
        <v>0</v>
      </c>
      <c r="AB23" s="144">
        <v>1</v>
      </c>
      <c r="AC23" s="144">
        <v>0</v>
      </c>
      <c r="AD23" s="144">
        <v>0</v>
      </c>
      <c r="AE23" s="144">
        <v>0</v>
      </c>
      <c r="AF23" s="144">
        <v>0</v>
      </c>
      <c r="AG23" s="144">
        <v>0</v>
      </c>
      <c r="AH23" s="144">
        <v>0</v>
      </c>
      <c r="AI23" s="144">
        <v>0</v>
      </c>
      <c r="AJ23" s="144">
        <v>0</v>
      </c>
      <c r="AK23" s="144">
        <v>0</v>
      </c>
      <c r="AL23" s="144">
        <v>0</v>
      </c>
      <c r="AM23" s="144">
        <v>0</v>
      </c>
      <c r="AN23" s="144">
        <v>0</v>
      </c>
      <c r="AO23" s="144">
        <v>0</v>
      </c>
      <c r="AP23" s="144">
        <v>0</v>
      </c>
      <c r="AQ23" s="144">
        <v>0</v>
      </c>
      <c r="AR23" s="144">
        <v>0</v>
      </c>
      <c r="AS23" s="144">
        <v>0</v>
      </c>
      <c r="AT23" s="144">
        <v>0</v>
      </c>
      <c r="AU23" s="144">
        <v>0</v>
      </c>
      <c r="AV23" s="144">
        <v>0</v>
      </c>
      <c r="AW23" s="144">
        <v>0</v>
      </c>
      <c r="AX23" s="144">
        <v>0</v>
      </c>
      <c r="AY23" s="144">
        <v>0</v>
      </c>
      <c r="AZ23" s="144">
        <v>0</v>
      </c>
      <c r="BA23" s="144">
        <v>0</v>
      </c>
      <c r="BB23" s="144">
        <v>0</v>
      </c>
      <c r="BC23" s="144">
        <v>0</v>
      </c>
      <c r="BD23" s="144">
        <v>0</v>
      </c>
      <c r="BE23" s="144">
        <v>0</v>
      </c>
      <c r="BF23" s="144">
        <v>0</v>
      </c>
      <c r="BG23" s="144">
        <v>0</v>
      </c>
      <c r="BH23" s="144">
        <v>0</v>
      </c>
      <c r="BI23" s="144">
        <v>0</v>
      </c>
      <c r="BJ23" s="144">
        <v>0</v>
      </c>
      <c r="BK23" s="144">
        <v>0</v>
      </c>
      <c r="BL23" s="144">
        <v>0</v>
      </c>
      <c r="BM23" s="144">
        <v>0</v>
      </c>
      <c r="BN23" s="144">
        <v>0</v>
      </c>
      <c r="BO23" s="144">
        <v>0</v>
      </c>
      <c r="BP23" s="144">
        <v>0</v>
      </c>
      <c r="BQ23" s="144">
        <v>0</v>
      </c>
      <c r="BR23" s="144">
        <v>0</v>
      </c>
      <c r="BS23" s="144">
        <v>0</v>
      </c>
      <c r="BT23" s="144">
        <v>0</v>
      </c>
      <c r="BU23" s="144">
        <v>0</v>
      </c>
      <c r="BV23" s="144">
        <v>0</v>
      </c>
      <c r="BW23" s="144">
        <v>0</v>
      </c>
      <c r="BX23" s="144">
        <v>0</v>
      </c>
      <c r="BY23" s="144">
        <v>0</v>
      </c>
      <c r="BZ23" s="144">
        <v>0</v>
      </c>
      <c r="CA23" s="144">
        <v>0</v>
      </c>
      <c r="CB23" s="144">
        <v>0</v>
      </c>
      <c r="CC23" s="144">
        <v>0</v>
      </c>
      <c r="CD23" s="144">
        <v>0</v>
      </c>
      <c r="CE23" s="144">
        <v>0</v>
      </c>
      <c r="CF23" s="144">
        <v>0</v>
      </c>
      <c r="CG23" s="144">
        <v>0</v>
      </c>
      <c r="CH23" s="144">
        <v>0</v>
      </c>
      <c r="CI23" s="144">
        <v>0</v>
      </c>
      <c r="CJ23" s="144">
        <v>0</v>
      </c>
      <c r="CK23" s="144">
        <v>0</v>
      </c>
      <c r="CL23" s="144">
        <v>0</v>
      </c>
      <c r="CM23" s="144">
        <v>0</v>
      </c>
      <c r="CN23" s="144">
        <v>0</v>
      </c>
      <c r="CO23" s="144">
        <v>0</v>
      </c>
      <c r="CP23" s="144">
        <v>0</v>
      </c>
      <c r="CQ23" s="143">
        <v>0</v>
      </c>
      <c r="CR23" s="145">
        <v>0</v>
      </c>
      <c r="CS23" s="145">
        <v>0</v>
      </c>
      <c r="CT23" s="145">
        <v>0</v>
      </c>
      <c r="CU23" s="145">
        <v>0</v>
      </c>
      <c r="CV23" s="145">
        <v>0</v>
      </c>
      <c r="CW23" s="145">
        <v>0</v>
      </c>
      <c r="CX23" s="145">
        <v>0</v>
      </c>
      <c r="CY23" s="145">
        <v>0</v>
      </c>
      <c r="CZ23" s="145">
        <v>0</v>
      </c>
      <c r="DA23" s="145">
        <v>0</v>
      </c>
      <c r="DB23" s="145">
        <v>0</v>
      </c>
      <c r="DC23" s="145">
        <v>0</v>
      </c>
      <c r="DD23" s="145">
        <v>0</v>
      </c>
      <c r="DE23" s="145">
        <v>0</v>
      </c>
      <c r="DF23" s="145">
        <v>0</v>
      </c>
      <c r="DG23" s="145">
        <v>0</v>
      </c>
      <c r="DH23" s="145">
        <v>0</v>
      </c>
      <c r="DI23" s="145">
        <v>1263850</v>
      </c>
      <c r="DJ23" s="145">
        <v>0</v>
      </c>
      <c r="DK23" s="145">
        <v>0</v>
      </c>
      <c r="DL23" s="145">
        <v>0</v>
      </c>
      <c r="DM23" s="145">
        <v>0</v>
      </c>
      <c r="DN23" s="145">
        <v>0</v>
      </c>
      <c r="DO23" s="145">
        <v>0</v>
      </c>
      <c r="DP23" s="145">
        <v>0</v>
      </c>
      <c r="DQ23" s="145">
        <v>0</v>
      </c>
      <c r="DR23" s="145">
        <v>0</v>
      </c>
      <c r="DS23" s="145">
        <v>0</v>
      </c>
      <c r="DT23" s="145">
        <v>0</v>
      </c>
      <c r="DU23" s="145">
        <v>0</v>
      </c>
      <c r="DV23" s="145">
        <v>0</v>
      </c>
      <c r="DW23" s="145">
        <v>0</v>
      </c>
      <c r="DX23" s="145">
        <v>0</v>
      </c>
      <c r="DY23" s="145">
        <v>0</v>
      </c>
      <c r="DZ23" s="145">
        <v>0</v>
      </c>
      <c r="EA23" s="145">
        <v>0</v>
      </c>
      <c r="EB23" s="145">
        <v>0</v>
      </c>
      <c r="EC23" s="145">
        <v>0</v>
      </c>
      <c r="ED23" s="145">
        <v>0</v>
      </c>
      <c r="EE23" s="145">
        <v>0</v>
      </c>
      <c r="EF23" s="145">
        <v>0</v>
      </c>
      <c r="EG23" s="145">
        <v>0</v>
      </c>
      <c r="EH23" s="145">
        <v>0</v>
      </c>
      <c r="EI23" s="145">
        <v>0</v>
      </c>
      <c r="EJ23" s="145">
        <v>0</v>
      </c>
      <c r="EK23" s="145">
        <v>0</v>
      </c>
      <c r="EL23" s="145">
        <v>0</v>
      </c>
      <c r="EM23" s="145">
        <v>0</v>
      </c>
      <c r="EN23" s="145">
        <v>0</v>
      </c>
      <c r="EO23" s="145">
        <v>0</v>
      </c>
      <c r="EP23" s="145">
        <v>0</v>
      </c>
      <c r="EQ23" s="145">
        <v>0</v>
      </c>
      <c r="ER23" s="145">
        <v>0</v>
      </c>
      <c r="ES23" s="145">
        <v>0</v>
      </c>
      <c r="ET23" s="145">
        <v>0</v>
      </c>
      <c r="EU23" s="145">
        <v>0</v>
      </c>
      <c r="EV23" s="145">
        <v>0</v>
      </c>
      <c r="EW23" s="145">
        <v>0</v>
      </c>
      <c r="EX23" s="145">
        <v>0</v>
      </c>
      <c r="EY23" s="145">
        <v>0</v>
      </c>
      <c r="EZ23" s="145">
        <v>0</v>
      </c>
      <c r="FA23" s="145">
        <v>0</v>
      </c>
      <c r="FB23" s="145">
        <v>0</v>
      </c>
      <c r="FC23" s="145">
        <v>0</v>
      </c>
      <c r="FD23" s="145">
        <v>0</v>
      </c>
      <c r="FE23" s="145">
        <v>0</v>
      </c>
      <c r="FF23" s="145">
        <v>0</v>
      </c>
      <c r="FG23" s="145">
        <v>0</v>
      </c>
      <c r="FH23" s="145">
        <v>0</v>
      </c>
      <c r="FI23" s="145">
        <v>0</v>
      </c>
      <c r="FJ23" s="145">
        <v>0</v>
      </c>
      <c r="FK23" s="145">
        <v>0</v>
      </c>
      <c r="FL23" s="145">
        <v>0</v>
      </c>
      <c r="FM23" s="145">
        <v>0</v>
      </c>
      <c r="FN23" s="145">
        <v>0</v>
      </c>
      <c r="FO23" s="145">
        <v>0</v>
      </c>
      <c r="FP23" s="145">
        <v>0</v>
      </c>
      <c r="FQ23" s="145">
        <v>0</v>
      </c>
      <c r="FR23" s="145">
        <v>0</v>
      </c>
      <c r="FS23" s="145">
        <v>0</v>
      </c>
      <c r="FT23" s="145">
        <v>0</v>
      </c>
      <c r="FU23" s="145">
        <v>0</v>
      </c>
      <c r="FV23" s="145">
        <v>0</v>
      </c>
      <c r="FW23" s="145">
        <v>0</v>
      </c>
      <c r="FX23" s="143"/>
      <c r="FY23" s="146" t="str">
        <f>_xlfn.XLOOKUP($E23,'Key assumptions'!$B$112:$B$120,'Key assumptions'!$C$112:$C$120,0)</f>
        <v>Nominal</v>
      </c>
      <c r="FZ23" s="146" cm="1">
        <f t="array" ref="FZ23">IF($FY23=0,0,_xlfn.IFS($FY23='Key assumptions'!$C$120,_xlfn.XLOOKUP(LEFT(FZ$7,6),Inflation_Year,Inflation_NominaltoReal),TRUE,_xlfn.XLOOKUP($FY23,Inflation_Year,NominaltoReal)))</f>
        <v>1.0197075870962191</v>
      </c>
      <c r="GA23" s="146" cm="1">
        <f t="array" ref="GA23">IF($FY23=0,0,_xlfn.IFS($FY23='Key assumptions'!$C$120,_xlfn.XLOOKUP(LEFT(GA$7,6),Inflation_Year,Inflation_NominaltoReal),TRUE,_xlfn.XLOOKUP($FY23,Inflation_Year,NominaltoReal)))</f>
        <v>0.98700804022984445</v>
      </c>
      <c r="GB23" s="146" cm="1">
        <f t="array" ref="GB23">IF($FY23=0,0,_xlfn.IFS($FY23='Key assumptions'!$C$120,_xlfn.XLOOKUP(LEFT(GB$7,6),Inflation_Year,Inflation_NominaltoReal),TRUE,_xlfn.XLOOKUP($FY23,Inflation_Year,NominaltoReal)))</f>
        <v>0.96152830081941731</v>
      </c>
      <c r="GC23" s="146" cm="1">
        <f t="array" ref="GC23">IF($FY23=0,0,_xlfn.IFS($FY23='Key assumptions'!$C$120,_xlfn.XLOOKUP(LEFT(GC$7,6),Inflation_Year,Inflation_NominaltoReal),TRUE,_xlfn.XLOOKUP($FY23,Inflation_Year,NominaltoReal)))</f>
        <v>0.93670632415656829</v>
      </c>
      <c r="GD23" s="146" cm="1">
        <f t="array" ref="GD23">IF($FY23=0,0,_xlfn.IFS($FY23='Key assumptions'!$C$120,_xlfn.XLOOKUP(LEFT(GD$7,6),Inflation_Year,Inflation_NominaltoReal),TRUE,_xlfn.XLOOKUP($FY23,Inflation_Year,NominaltoReal)))</f>
        <v>0.91252513001143176</v>
      </c>
      <c r="GE23" s="146" cm="1">
        <f t="array" ref="GE23">IF($FY23=0,0,_xlfn.IFS($FY23='Key assumptions'!$C$120,_xlfn.XLOOKUP(LEFT(GE$7,6),Inflation_Year,Inflation_NominaltoReal),TRUE,_xlfn.XLOOKUP($FY23,Inflation_Year,NominaltoReal)))</f>
        <v>0.88896817650095872</v>
      </c>
      <c r="GF23" s="146" cm="1">
        <f t="array" ref="GF23">IF($FY23=0,0,_xlfn.IFS($FY23='Key assumptions'!$C$120,_xlfn.XLOOKUP(LEFT(GF$7,6),Inflation_Year,Inflation_NominaltoReal),TRUE,_xlfn.XLOOKUP($FY23,Inflation_Year,NominaltoReal)))</f>
        <v>0.86601934877293718</v>
      </c>
      <c r="GG23" s="143"/>
      <c r="GH23" s="145" cm="1">
        <f t="array" ref="GH23">SUMPRODUCT(--($CR$7:$FW$7&gt;=GH$5),--($CR$7:$FW$7&lt;=GH$6),$CR23:$FW23)*FZ23</f>
        <v>1288757.4339515564</v>
      </c>
      <c r="GI23" s="145" cm="1">
        <f t="array" ref="GI23">SUMPRODUCT(--($CR$7:$FW$7&gt;=GI$5),--($CR$7:$FW$7&lt;=GI$6),$CR23:$FW23)*GA23</f>
        <v>0</v>
      </c>
      <c r="GJ23" s="145" cm="1">
        <f t="array" ref="GJ23">SUMPRODUCT(--($CR$7:$FW$7&gt;=GJ$5),--($CR$7:$FW$7&lt;=GJ$6),$CR23:$FW23)*GB23</f>
        <v>0</v>
      </c>
      <c r="GK23" s="145" cm="1">
        <f t="array" ref="GK23">SUMPRODUCT(--($CR$7:$FW$7&gt;=GK$5),--($CR$7:$FW$7&lt;=GK$6),$CR23:$FW23)*GC23</f>
        <v>0</v>
      </c>
      <c r="GL23" s="145" cm="1">
        <f t="array" ref="GL23">SUMPRODUCT(--($CR$7:$FW$7&gt;=GL$5),--($CR$7:$FW$7&lt;=GL$6),$CR23:$FW23)*GD23</f>
        <v>0</v>
      </c>
      <c r="GM23" s="145" cm="1">
        <f t="array" ref="GM23">SUMPRODUCT(--($CR$7:$FW$7&gt;=GM$5),--($CR$7:$FW$7&lt;=GM$6),$CR23:$FW23)*GE23</f>
        <v>0</v>
      </c>
      <c r="GN23" s="145" cm="1">
        <f t="array" ref="GN23">SUMPRODUCT(--($CR$7:$FW$7&gt;=GN$5),--($CR$7:$FW$7&lt;=GN$6),$CR23:$FW23)*GF23</f>
        <v>0</v>
      </c>
      <c r="GO23" s="145">
        <f t="shared" si="0"/>
        <v>1288757.4339515564</v>
      </c>
      <c r="GP23" s="87"/>
      <c r="GR23" s="145" cm="1">
        <f t="array" ref="GR23">SUMPRODUCT(--($CR$7:$FW$7&gt;=GR$5),--($CR$7:$FW$7&lt;=GR$6),$CR23:$FW23)</f>
        <v>1263850</v>
      </c>
    </row>
    <row r="24" spans="1:200" s="64" customFormat="1" x14ac:dyDescent="0.2">
      <c r="A24" s="65"/>
      <c r="B24" s="141" t="str">
        <v>Other Support &amp; Corporate Roles</v>
      </c>
      <c r="C24" s="141" t="str">
        <v>Insurance Brokers Fee</v>
      </c>
      <c r="D24" s="141" t="str">
        <v>Non-labour</v>
      </c>
      <c r="E24" s="141" t="str">
        <v>$ Nominal</v>
      </c>
      <c r="F24" s="141">
        <v>0</v>
      </c>
      <c r="G24" s="141" t="str">
        <v/>
      </c>
      <c r="H24" s="142">
        <v>0</v>
      </c>
      <c r="I24" s="126">
        <v>337500</v>
      </c>
      <c r="J24" s="143">
        <v>0</v>
      </c>
      <c r="K24" s="144">
        <v>0</v>
      </c>
      <c r="L24" s="144">
        <v>0</v>
      </c>
      <c r="M24" s="144">
        <v>0</v>
      </c>
      <c r="N24" s="144">
        <v>0</v>
      </c>
      <c r="O24" s="144">
        <v>0</v>
      </c>
      <c r="P24" s="144">
        <v>0</v>
      </c>
      <c r="Q24" s="144">
        <v>0</v>
      </c>
      <c r="R24" s="144">
        <v>0</v>
      </c>
      <c r="S24" s="144">
        <v>0</v>
      </c>
      <c r="T24" s="144">
        <v>0</v>
      </c>
      <c r="U24" s="144">
        <v>0</v>
      </c>
      <c r="V24" s="144">
        <v>0</v>
      </c>
      <c r="W24" s="144">
        <v>0</v>
      </c>
      <c r="X24" s="144">
        <v>0</v>
      </c>
      <c r="Y24" s="144">
        <v>0</v>
      </c>
      <c r="Z24" s="144">
        <v>0</v>
      </c>
      <c r="AA24" s="144">
        <v>0</v>
      </c>
      <c r="AB24" s="144">
        <v>1</v>
      </c>
      <c r="AC24" s="144">
        <v>0</v>
      </c>
      <c r="AD24" s="144">
        <v>0</v>
      </c>
      <c r="AE24" s="144">
        <v>0</v>
      </c>
      <c r="AF24" s="144">
        <v>0</v>
      </c>
      <c r="AG24" s="144">
        <v>0</v>
      </c>
      <c r="AH24" s="144">
        <v>0</v>
      </c>
      <c r="AI24" s="144">
        <v>0</v>
      </c>
      <c r="AJ24" s="144">
        <v>0</v>
      </c>
      <c r="AK24" s="144">
        <v>0</v>
      </c>
      <c r="AL24" s="144">
        <v>0</v>
      </c>
      <c r="AM24" s="144">
        <v>0</v>
      </c>
      <c r="AN24" s="144">
        <v>0</v>
      </c>
      <c r="AO24" s="144">
        <v>0</v>
      </c>
      <c r="AP24" s="144">
        <v>0</v>
      </c>
      <c r="AQ24" s="144">
        <v>0</v>
      </c>
      <c r="AR24" s="144">
        <v>0</v>
      </c>
      <c r="AS24" s="144">
        <v>0</v>
      </c>
      <c r="AT24" s="144">
        <v>0</v>
      </c>
      <c r="AU24" s="144">
        <v>0</v>
      </c>
      <c r="AV24" s="144">
        <v>0</v>
      </c>
      <c r="AW24" s="144">
        <v>0</v>
      </c>
      <c r="AX24" s="144">
        <v>0</v>
      </c>
      <c r="AY24" s="144">
        <v>0</v>
      </c>
      <c r="AZ24" s="144">
        <v>0</v>
      </c>
      <c r="BA24" s="144">
        <v>0</v>
      </c>
      <c r="BB24" s="144">
        <v>0</v>
      </c>
      <c r="BC24" s="144">
        <v>0</v>
      </c>
      <c r="BD24" s="144">
        <v>0</v>
      </c>
      <c r="BE24" s="144">
        <v>0</v>
      </c>
      <c r="BF24" s="144">
        <v>0</v>
      </c>
      <c r="BG24" s="144">
        <v>0</v>
      </c>
      <c r="BH24" s="144">
        <v>0</v>
      </c>
      <c r="BI24" s="144">
        <v>0</v>
      </c>
      <c r="BJ24" s="144">
        <v>0</v>
      </c>
      <c r="BK24" s="144">
        <v>0</v>
      </c>
      <c r="BL24" s="144">
        <v>0</v>
      </c>
      <c r="BM24" s="144">
        <v>0</v>
      </c>
      <c r="BN24" s="144">
        <v>0</v>
      </c>
      <c r="BO24" s="144">
        <v>0</v>
      </c>
      <c r="BP24" s="144">
        <v>0</v>
      </c>
      <c r="BQ24" s="144">
        <v>0</v>
      </c>
      <c r="BR24" s="144">
        <v>0</v>
      </c>
      <c r="BS24" s="144">
        <v>0</v>
      </c>
      <c r="BT24" s="144">
        <v>0</v>
      </c>
      <c r="BU24" s="144">
        <v>0</v>
      </c>
      <c r="BV24" s="144">
        <v>0</v>
      </c>
      <c r="BW24" s="144">
        <v>0</v>
      </c>
      <c r="BX24" s="144">
        <v>0</v>
      </c>
      <c r="BY24" s="144">
        <v>0</v>
      </c>
      <c r="BZ24" s="144">
        <v>0</v>
      </c>
      <c r="CA24" s="144">
        <v>0</v>
      </c>
      <c r="CB24" s="144">
        <v>0</v>
      </c>
      <c r="CC24" s="144">
        <v>0</v>
      </c>
      <c r="CD24" s="144">
        <v>0</v>
      </c>
      <c r="CE24" s="144">
        <v>0</v>
      </c>
      <c r="CF24" s="144">
        <v>0</v>
      </c>
      <c r="CG24" s="144">
        <v>0</v>
      </c>
      <c r="CH24" s="144">
        <v>0</v>
      </c>
      <c r="CI24" s="144">
        <v>0</v>
      </c>
      <c r="CJ24" s="144">
        <v>0</v>
      </c>
      <c r="CK24" s="144">
        <v>0</v>
      </c>
      <c r="CL24" s="144">
        <v>0</v>
      </c>
      <c r="CM24" s="144">
        <v>0</v>
      </c>
      <c r="CN24" s="144">
        <v>0</v>
      </c>
      <c r="CO24" s="144">
        <v>0</v>
      </c>
      <c r="CP24" s="144">
        <v>0</v>
      </c>
      <c r="CQ24" s="143">
        <v>0</v>
      </c>
      <c r="CR24" s="145">
        <v>0</v>
      </c>
      <c r="CS24" s="145">
        <v>0</v>
      </c>
      <c r="CT24" s="145">
        <v>0</v>
      </c>
      <c r="CU24" s="145">
        <v>0</v>
      </c>
      <c r="CV24" s="145">
        <v>0</v>
      </c>
      <c r="CW24" s="145">
        <v>0</v>
      </c>
      <c r="CX24" s="145">
        <v>0</v>
      </c>
      <c r="CY24" s="145">
        <v>0</v>
      </c>
      <c r="CZ24" s="145">
        <v>0</v>
      </c>
      <c r="DA24" s="145">
        <v>0</v>
      </c>
      <c r="DB24" s="145">
        <v>0</v>
      </c>
      <c r="DC24" s="145">
        <v>0</v>
      </c>
      <c r="DD24" s="145">
        <v>0</v>
      </c>
      <c r="DE24" s="145">
        <v>0</v>
      </c>
      <c r="DF24" s="145">
        <v>0</v>
      </c>
      <c r="DG24" s="145">
        <v>0</v>
      </c>
      <c r="DH24" s="145">
        <v>0</v>
      </c>
      <c r="DI24" s="145">
        <v>337500</v>
      </c>
      <c r="DJ24" s="145">
        <v>0</v>
      </c>
      <c r="DK24" s="145">
        <v>0</v>
      </c>
      <c r="DL24" s="145">
        <v>0</v>
      </c>
      <c r="DM24" s="145">
        <v>0</v>
      </c>
      <c r="DN24" s="145">
        <v>0</v>
      </c>
      <c r="DO24" s="145">
        <v>0</v>
      </c>
      <c r="DP24" s="145">
        <v>0</v>
      </c>
      <c r="DQ24" s="145">
        <v>0</v>
      </c>
      <c r="DR24" s="145">
        <v>0</v>
      </c>
      <c r="DS24" s="145">
        <v>0</v>
      </c>
      <c r="DT24" s="145">
        <v>0</v>
      </c>
      <c r="DU24" s="145">
        <v>0</v>
      </c>
      <c r="DV24" s="145">
        <v>0</v>
      </c>
      <c r="DW24" s="145">
        <v>0</v>
      </c>
      <c r="DX24" s="145">
        <v>0</v>
      </c>
      <c r="DY24" s="145">
        <v>0</v>
      </c>
      <c r="DZ24" s="145">
        <v>0</v>
      </c>
      <c r="EA24" s="145">
        <v>0</v>
      </c>
      <c r="EB24" s="145">
        <v>0</v>
      </c>
      <c r="EC24" s="145">
        <v>0</v>
      </c>
      <c r="ED24" s="145">
        <v>0</v>
      </c>
      <c r="EE24" s="145">
        <v>0</v>
      </c>
      <c r="EF24" s="145">
        <v>0</v>
      </c>
      <c r="EG24" s="145">
        <v>0</v>
      </c>
      <c r="EH24" s="145">
        <v>0</v>
      </c>
      <c r="EI24" s="145">
        <v>0</v>
      </c>
      <c r="EJ24" s="145">
        <v>0</v>
      </c>
      <c r="EK24" s="145">
        <v>0</v>
      </c>
      <c r="EL24" s="145">
        <v>0</v>
      </c>
      <c r="EM24" s="145">
        <v>0</v>
      </c>
      <c r="EN24" s="145">
        <v>0</v>
      </c>
      <c r="EO24" s="145">
        <v>0</v>
      </c>
      <c r="EP24" s="145">
        <v>0</v>
      </c>
      <c r="EQ24" s="145">
        <v>0</v>
      </c>
      <c r="ER24" s="145">
        <v>0</v>
      </c>
      <c r="ES24" s="145">
        <v>0</v>
      </c>
      <c r="ET24" s="145">
        <v>0</v>
      </c>
      <c r="EU24" s="145">
        <v>0</v>
      </c>
      <c r="EV24" s="145">
        <v>0</v>
      </c>
      <c r="EW24" s="145">
        <v>0</v>
      </c>
      <c r="EX24" s="145">
        <v>0</v>
      </c>
      <c r="EY24" s="145">
        <v>0</v>
      </c>
      <c r="EZ24" s="145">
        <v>0</v>
      </c>
      <c r="FA24" s="145">
        <v>0</v>
      </c>
      <c r="FB24" s="145">
        <v>0</v>
      </c>
      <c r="FC24" s="145">
        <v>0</v>
      </c>
      <c r="FD24" s="145">
        <v>0</v>
      </c>
      <c r="FE24" s="145">
        <v>0</v>
      </c>
      <c r="FF24" s="145">
        <v>0</v>
      </c>
      <c r="FG24" s="145">
        <v>0</v>
      </c>
      <c r="FH24" s="145">
        <v>0</v>
      </c>
      <c r="FI24" s="145">
        <v>0</v>
      </c>
      <c r="FJ24" s="145">
        <v>0</v>
      </c>
      <c r="FK24" s="145">
        <v>0</v>
      </c>
      <c r="FL24" s="145">
        <v>0</v>
      </c>
      <c r="FM24" s="145">
        <v>0</v>
      </c>
      <c r="FN24" s="145">
        <v>0</v>
      </c>
      <c r="FO24" s="145">
        <v>0</v>
      </c>
      <c r="FP24" s="145">
        <v>0</v>
      </c>
      <c r="FQ24" s="145">
        <v>0</v>
      </c>
      <c r="FR24" s="145">
        <v>0</v>
      </c>
      <c r="FS24" s="145">
        <v>0</v>
      </c>
      <c r="FT24" s="145">
        <v>0</v>
      </c>
      <c r="FU24" s="145">
        <v>0</v>
      </c>
      <c r="FV24" s="145">
        <v>0</v>
      </c>
      <c r="FW24" s="145">
        <v>0</v>
      </c>
      <c r="FX24" s="143"/>
      <c r="FY24" s="146" t="str">
        <f>_xlfn.XLOOKUP($E24,'Key assumptions'!$B$112:$B$120,'Key assumptions'!$C$112:$C$120,0)</f>
        <v>Nominal</v>
      </c>
      <c r="FZ24" s="146" cm="1">
        <f t="array" ref="FZ24">IF($FY24=0,0,_xlfn.IFS($FY24='Key assumptions'!$C$120,_xlfn.XLOOKUP(LEFT(FZ$7,6),Inflation_Year,Inflation_NominaltoReal),TRUE,_xlfn.XLOOKUP($FY24,Inflation_Year,NominaltoReal)))</f>
        <v>1.0197075870962191</v>
      </c>
      <c r="GA24" s="146" cm="1">
        <f t="array" ref="GA24">IF($FY24=0,0,_xlfn.IFS($FY24='Key assumptions'!$C$120,_xlfn.XLOOKUP(LEFT(GA$7,6),Inflation_Year,Inflation_NominaltoReal),TRUE,_xlfn.XLOOKUP($FY24,Inflation_Year,NominaltoReal)))</f>
        <v>0.98700804022984445</v>
      </c>
      <c r="GB24" s="146" cm="1">
        <f t="array" ref="GB24">IF($FY24=0,0,_xlfn.IFS($FY24='Key assumptions'!$C$120,_xlfn.XLOOKUP(LEFT(GB$7,6),Inflation_Year,Inflation_NominaltoReal),TRUE,_xlfn.XLOOKUP($FY24,Inflation_Year,NominaltoReal)))</f>
        <v>0.96152830081941731</v>
      </c>
      <c r="GC24" s="146" cm="1">
        <f t="array" ref="GC24">IF($FY24=0,0,_xlfn.IFS($FY24='Key assumptions'!$C$120,_xlfn.XLOOKUP(LEFT(GC$7,6),Inflation_Year,Inflation_NominaltoReal),TRUE,_xlfn.XLOOKUP($FY24,Inflation_Year,NominaltoReal)))</f>
        <v>0.93670632415656829</v>
      </c>
      <c r="GD24" s="146" cm="1">
        <f t="array" ref="GD24">IF($FY24=0,0,_xlfn.IFS($FY24='Key assumptions'!$C$120,_xlfn.XLOOKUP(LEFT(GD$7,6),Inflation_Year,Inflation_NominaltoReal),TRUE,_xlfn.XLOOKUP($FY24,Inflation_Year,NominaltoReal)))</f>
        <v>0.91252513001143176</v>
      </c>
      <c r="GE24" s="146" cm="1">
        <f t="array" ref="GE24">IF($FY24=0,0,_xlfn.IFS($FY24='Key assumptions'!$C$120,_xlfn.XLOOKUP(LEFT(GE$7,6),Inflation_Year,Inflation_NominaltoReal),TRUE,_xlfn.XLOOKUP($FY24,Inflation_Year,NominaltoReal)))</f>
        <v>0.88896817650095872</v>
      </c>
      <c r="GF24" s="146" cm="1">
        <f t="array" ref="GF24">IF($FY24=0,0,_xlfn.IFS($FY24='Key assumptions'!$C$120,_xlfn.XLOOKUP(LEFT(GF$7,6),Inflation_Year,Inflation_NominaltoReal),TRUE,_xlfn.XLOOKUP($FY24,Inflation_Year,NominaltoReal)))</f>
        <v>0.86601934877293718</v>
      </c>
      <c r="GG24" s="143"/>
      <c r="GH24" s="145" cm="1">
        <f t="array" ref="GH24">SUMPRODUCT(--($CR$7:$FW$7&gt;=GH$5),--($CR$7:$FW$7&lt;=GH$6),$CR24:$FW24)*FZ24</f>
        <v>344151.31064497394</v>
      </c>
      <c r="GI24" s="145" cm="1">
        <f t="array" ref="GI24">SUMPRODUCT(--($CR$7:$FW$7&gt;=GI$5),--($CR$7:$FW$7&lt;=GI$6),$CR24:$FW24)*GA24</f>
        <v>0</v>
      </c>
      <c r="GJ24" s="145" cm="1">
        <f t="array" ref="GJ24">SUMPRODUCT(--($CR$7:$FW$7&gt;=GJ$5),--($CR$7:$FW$7&lt;=GJ$6),$CR24:$FW24)*GB24</f>
        <v>0</v>
      </c>
      <c r="GK24" s="145" cm="1">
        <f t="array" ref="GK24">SUMPRODUCT(--($CR$7:$FW$7&gt;=GK$5),--($CR$7:$FW$7&lt;=GK$6),$CR24:$FW24)*GC24</f>
        <v>0</v>
      </c>
      <c r="GL24" s="145" cm="1">
        <f t="array" ref="GL24">SUMPRODUCT(--($CR$7:$FW$7&gt;=GL$5),--($CR$7:$FW$7&lt;=GL$6),$CR24:$FW24)*GD24</f>
        <v>0</v>
      </c>
      <c r="GM24" s="145" cm="1">
        <f t="array" ref="GM24">SUMPRODUCT(--($CR$7:$FW$7&gt;=GM$5),--($CR$7:$FW$7&lt;=GM$6),$CR24:$FW24)*GE24</f>
        <v>0</v>
      </c>
      <c r="GN24" s="145" cm="1">
        <f t="array" ref="GN24">SUMPRODUCT(--($CR$7:$FW$7&gt;=GN$5),--($CR$7:$FW$7&lt;=GN$6),$CR24:$FW24)*GF24</f>
        <v>0</v>
      </c>
      <c r="GO24" s="145">
        <f t="shared" si="0"/>
        <v>344151.31064497394</v>
      </c>
      <c r="GP24" s="87"/>
      <c r="GR24" s="145" cm="1">
        <f t="array" ref="GR24">SUMPRODUCT(--($CR$7:$FW$7&gt;=GR$5),--($CR$7:$FW$7&lt;=GR$6),$CR24:$FW24)</f>
        <v>337500</v>
      </c>
    </row>
    <row r="25" spans="1:200" s="64" customFormat="1" x14ac:dyDescent="0.2">
      <c r="A25" s="65"/>
      <c r="B25" s="141" t="str">
        <v>Regulatory Approvals</v>
      </c>
      <c r="C25" s="286" t="str">
        <v>c-i-c</v>
      </c>
      <c r="D25" s="141" t="str">
        <v>Non-labour</v>
      </c>
      <c r="E25" s="141" t="str">
        <v>$ Nominal</v>
      </c>
      <c r="F25" s="141">
        <v>0</v>
      </c>
      <c r="G25" s="141" t="str">
        <v/>
      </c>
      <c r="H25" s="142">
        <v>0</v>
      </c>
      <c r="I25" s="126">
        <v>70000</v>
      </c>
      <c r="J25" s="143">
        <v>0</v>
      </c>
      <c r="K25" s="144">
        <v>0</v>
      </c>
      <c r="L25" s="144">
        <v>0</v>
      </c>
      <c r="M25" s="144">
        <v>0</v>
      </c>
      <c r="N25" s="144">
        <v>0</v>
      </c>
      <c r="O25" s="144">
        <v>0</v>
      </c>
      <c r="P25" s="144">
        <v>0</v>
      </c>
      <c r="Q25" s="144">
        <v>0</v>
      </c>
      <c r="R25" s="144">
        <v>0</v>
      </c>
      <c r="S25" s="144">
        <v>0</v>
      </c>
      <c r="T25" s="144">
        <v>0</v>
      </c>
      <c r="U25" s="144">
        <v>0</v>
      </c>
      <c r="V25" s="144">
        <v>0</v>
      </c>
      <c r="W25" s="144">
        <v>0</v>
      </c>
      <c r="X25" s="144">
        <v>0.5714285714285714</v>
      </c>
      <c r="Y25" s="144">
        <v>0.14285714285714285</v>
      </c>
      <c r="Z25" s="144">
        <v>0.2857142857142857</v>
      </c>
      <c r="AA25" s="144">
        <v>0</v>
      </c>
      <c r="AB25" s="144">
        <v>0</v>
      </c>
      <c r="AC25" s="144">
        <v>0</v>
      </c>
      <c r="AD25" s="144">
        <v>0</v>
      </c>
      <c r="AE25" s="144">
        <v>0</v>
      </c>
      <c r="AF25" s="144">
        <v>0</v>
      </c>
      <c r="AG25" s="144">
        <v>0</v>
      </c>
      <c r="AH25" s="144">
        <v>0</v>
      </c>
      <c r="AI25" s="144">
        <v>0</v>
      </c>
      <c r="AJ25" s="144">
        <v>0</v>
      </c>
      <c r="AK25" s="144">
        <v>0</v>
      </c>
      <c r="AL25" s="144">
        <v>0</v>
      </c>
      <c r="AM25" s="144">
        <v>0</v>
      </c>
      <c r="AN25" s="144">
        <v>0</v>
      </c>
      <c r="AO25" s="144">
        <v>0</v>
      </c>
      <c r="AP25" s="144">
        <v>0</v>
      </c>
      <c r="AQ25" s="144">
        <v>0</v>
      </c>
      <c r="AR25" s="144">
        <v>0</v>
      </c>
      <c r="AS25" s="144">
        <v>0</v>
      </c>
      <c r="AT25" s="144">
        <v>0</v>
      </c>
      <c r="AU25" s="144">
        <v>0</v>
      </c>
      <c r="AV25" s="144">
        <v>0</v>
      </c>
      <c r="AW25" s="144">
        <v>0</v>
      </c>
      <c r="AX25" s="144">
        <v>0</v>
      </c>
      <c r="AY25" s="144">
        <v>0</v>
      </c>
      <c r="AZ25" s="144">
        <v>0</v>
      </c>
      <c r="BA25" s="144">
        <v>0</v>
      </c>
      <c r="BB25" s="144">
        <v>0</v>
      </c>
      <c r="BC25" s="144">
        <v>0</v>
      </c>
      <c r="BD25" s="144">
        <v>0</v>
      </c>
      <c r="BE25" s="144">
        <v>0</v>
      </c>
      <c r="BF25" s="144">
        <v>0</v>
      </c>
      <c r="BG25" s="144">
        <v>0</v>
      </c>
      <c r="BH25" s="144">
        <v>0</v>
      </c>
      <c r="BI25" s="144">
        <v>0</v>
      </c>
      <c r="BJ25" s="144">
        <v>0</v>
      </c>
      <c r="BK25" s="144">
        <v>0</v>
      </c>
      <c r="BL25" s="144">
        <v>0</v>
      </c>
      <c r="BM25" s="144">
        <v>0</v>
      </c>
      <c r="BN25" s="144">
        <v>0</v>
      </c>
      <c r="BO25" s="144">
        <v>0</v>
      </c>
      <c r="BP25" s="144">
        <v>0</v>
      </c>
      <c r="BQ25" s="144">
        <v>0</v>
      </c>
      <c r="BR25" s="144">
        <v>0</v>
      </c>
      <c r="BS25" s="144">
        <v>0</v>
      </c>
      <c r="BT25" s="144">
        <v>0</v>
      </c>
      <c r="BU25" s="144">
        <v>0</v>
      </c>
      <c r="BV25" s="144">
        <v>0</v>
      </c>
      <c r="BW25" s="144">
        <v>0</v>
      </c>
      <c r="BX25" s="144">
        <v>0</v>
      </c>
      <c r="BY25" s="144">
        <v>0</v>
      </c>
      <c r="BZ25" s="144">
        <v>0</v>
      </c>
      <c r="CA25" s="144">
        <v>0</v>
      </c>
      <c r="CB25" s="144">
        <v>0</v>
      </c>
      <c r="CC25" s="144">
        <v>0</v>
      </c>
      <c r="CD25" s="144">
        <v>0</v>
      </c>
      <c r="CE25" s="144">
        <v>0</v>
      </c>
      <c r="CF25" s="144">
        <v>0</v>
      </c>
      <c r="CG25" s="144">
        <v>0</v>
      </c>
      <c r="CH25" s="144">
        <v>0</v>
      </c>
      <c r="CI25" s="144">
        <v>0</v>
      </c>
      <c r="CJ25" s="144">
        <v>0</v>
      </c>
      <c r="CK25" s="144">
        <v>0</v>
      </c>
      <c r="CL25" s="144">
        <v>0</v>
      </c>
      <c r="CM25" s="144">
        <v>0</v>
      </c>
      <c r="CN25" s="144">
        <v>0</v>
      </c>
      <c r="CO25" s="144">
        <v>0</v>
      </c>
      <c r="CP25" s="144">
        <v>0</v>
      </c>
      <c r="CQ25" s="143">
        <v>0</v>
      </c>
      <c r="CR25" s="145">
        <v>0</v>
      </c>
      <c r="CS25" s="145">
        <v>0</v>
      </c>
      <c r="CT25" s="145">
        <v>0</v>
      </c>
      <c r="CU25" s="145">
        <v>0</v>
      </c>
      <c r="CV25" s="145">
        <v>0</v>
      </c>
      <c r="CW25" s="145">
        <v>0</v>
      </c>
      <c r="CX25" s="145">
        <v>0</v>
      </c>
      <c r="CY25" s="145">
        <v>0</v>
      </c>
      <c r="CZ25" s="145">
        <v>0</v>
      </c>
      <c r="DA25" s="145">
        <v>0</v>
      </c>
      <c r="DB25" s="145">
        <v>0</v>
      </c>
      <c r="DC25" s="145">
        <v>0</v>
      </c>
      <c r="DD25" s="145">
        <v>0</v>
      </c>
      <c r="DE25" s="145">
        <v>40000</v>
      </c>
      <c r="DF25" s="145">
        <v>10000</v>
      </c>
      <c r="DG25" s="145">
        <v>20000</v>
      </c>
      <c r="DH25" s="145">
        <v>0</v>
      </c>
      <c r="DI25" s="145">
        <v>0</v>
      </c>
      <c r="DJ25" s="145">
        <v>0</v>
      </c>
      <c r="DK25" s="145">
        <v>0</v>
      </c>
      <c r="DL25" s="145">
        <v>0</v>
      </c>
      <c r="DM25" s="145">
        <v>0</v>
      </c>
      <c r="DN25" s="145">
        <v>0</v>
      </c>
      <c r="DO25" s="145">
        <v>0</v>
      </c>
      <c r="DP25" s="145">
        <v>0</v>
      </c>
      <c r="DQ25" s="145">
        <v>0</v>
      </c>
      <c r="DR25" s="145">
        <v>0</v>
      </c>
      <c r="DS25" s="145">
        <v>0</v>
      </c>
      <c r="DT25" s="145">
        <v>0</v>
      </c>
      <c r="DU25" s="145">
        <v>0</v>
      </c>
      <c r="DV25" s="145">
        <v>0</v>
      </c>
      <c r="DW25" s="145">
        <v>0</v>
      </c>
      <c r="DX25" s="145">
        <v>0</v>
      </c>
      <c r="DY25" s="145">
        <v>0</v>
      </c>
      <c r="DZ25" s="145">
        <v>0</v>
      </c>
      <c r="EA25" s="145">
        <v>0</v>
      </c>
      <c r="EB25" s="145">
        <v>0</v>
      </c>
      <c r="EC25" s="145">
        <v>0</v>
      </c>
      <c r="ED25" s="145">
        <v>0</v>
      </c>
      <c r="EE25" s="145">
        <v>0</v>
      </c>
      <c r="EF25" s="145">
        <v>0</v>
      </c>
      <c r="EG25" s="145">
        <v>0</v>
      </c>
      <c r="EH25" s="145">
        <v>0</v>
      </c>
      <c r="EI25" s="145">
        <v>0</v>
      </c>
      <c r="EJ25" s="145">
        <v>0</v>
      </c>
      <c r="EK25" s="145">
        <v>0</v>
      </c>
      <c r="EL25" s="145">
        <v>0</v>
      </c>
      <c r="EM25" s="145">
        <v>0</v>
      </c>
      <c r="EN25" s="145">
        <v>0</v>
      </c>
      <c r="EO25" s="145">
        <v>0</v>
      </c>
      <c r="EP25" s="145">
        <v>0</v>
      </c>
      <c r="EQ25" s="145">
        <v>0</v>
      </c>
      <c r="ER25" s="145">
        <v>0</v>
      </c>
      <c r="ES25" s="145">
        <v>0</v>
      </c>
      <c r="ET25" s="145">
        <v>0</v>
      </c>
      <c r="EU25" s="145">
        <v>0</v>
      </c>
      <c r="EV25" s="145">
        <v>0</v>
      </c>
      <c r="EW25" s="145">
        <v>0</v>
      </c>
      <c r="EX25" s="145">
        <v>0</v>
      </c>
      <c r="EY25" s="145">
        <v>0</v>
      </c>
      <c r="EZ25" s="145">
        <v>0</v>
      </c>
      <c r="FA25" s="145">
        <v>0</v>
      </c>
      <c r="FB25" s="145">
        <v>0</v>
      </c>
      <c r="FC25" s="145">
        <v>0</v>
      </c>
      <c r="FD25" s="145">
        <v>0</v>
      </c>
      <c r="FE25" s="145">
        <v>0</v>
      </c>
      <c r="FF25" s="145">
        <v>0</v>
      </c>
      <c r="FG25" s="145">
        <v>0</v>
      </c>
      <c r="FH25" s="145">
        <v>0</v>
      </c>
      <c r="FI25" s="145">
        <v>0</v>
      </c>
      <c r="FJ25" s="145">
        <v>0</v>
      </c>
      <c r="FK25" s="145">
        <v>0</v>
      </c>
      <c r="FL25" s="145">
        <v>0</v>
      </c>
      <c r="FM25" s="145">
        <v>0</v>
      </c>
      <c r="FN25" s="145">
        <v>0</v>
      </c>
      <c r="FO25" s="145">
        <v>0</v>
      </c>
      <c r="FP25" s="145">
        <v>0</v>
      </c>
      <c r="FQ25" s="145">
        <v>0</v>
      </c>
      <c r="FR25" s="145">
        <v>0</v>
      </c>
      <c r="FS25" s="145">
        <v>0</v>
      </c>
      <c r="FT25" s="145">
        <v>0</v>
      </c>
      <c r="FU25" s="145">
        <v>0</v>
      </c>
      <c r="FV25" s="145">
        <v>0</v>
      </c>
      <c r="FW25" s="145">
        <v>0</v>
      </c>
      <c r="FX25" s="143"/>
      <c r="FY25" s="146" t="str">
        <f>_xlfn.XLOOKUP($E25,'Key assumptions'!$B$112:$B$120,'Key assumptions'!$C$112:$C$120,0)</f>
        <v>Nominal</v>
      </c>
      <c r="FZ25" s="146" cm="1">
        <f t="array" ref="FZ25">IF($FY25=0,0,_xlfn.IFS($FY25='Key assumptions'!$C$120,_xlfn.XLOOKUP(LEFT(FZ$7,6),Inflation_Year,Inflation_NominaltoReal),TRUE,_xlfn.XLOOKUP($FY25,Inflation_Year,NominaltoReal)))</f>
        <v>1.0197075870962191</v>
      </c>
      <c r="GA25" s="146" cm="1">
        <f t="array" ref="GA25">IF($FY25=0,0,_xlfn.IFS($FY25='Key assumptions'!$C$120,_xlfn.XLOOKUP(LEFT(GA$7,6),Inflation_Year,Inflation_NominaltoReal),TRUE,_xlfn.XLOOKUP($FY25,Inflation_Year,NominaltoReal)))</f>
        <v>0.98700804022984445</v>
      </c>
      <c r="GB25" s="146" cm="1">
        <f t="array" ref="GB25">IF($FY25=0,0,_xlfn.IFS($FY25='Key assumptions'!$C$120,_xlfn.XLOOKUP(LEFT(GB$7,6),Inflation_Year,Inflation_NominaltoReal),TRUE,_xlfn.XLOOKUP($FY25,Inflation_Year,NominaltoReal)))</f>
        <v>0.96152830081941731</v>
      </c>
      <c r="GC25" s="146" cm="1">
        <f t="array" ref="GC25">IF($FY25=0,0,_xlfn.IFS($FY25='Key assumptions'!$C$120,_xlfn.XLOOKUP(LEFT(GC$7,6),Inflation_Year,Inflation_NominaltoReal),TRUE,_xlfn.XLOOKUP($FY25,Inflation_Year,NominaltoReal)))</f>
        <v>0.93670632415656829</v>
      </c>
      <c r="GD25" s="146" cm="1">
        <f t="array" ref="GD25">IF($FY25=0,0,_xlfn.IFS($FY25='Key assumptions'!$C$120,_xlfn.XLOOKUP(LEFT(GD$7,6),Inflation_Year,Inflation_NominaltoReal),TRUE,_xlfn.XLOOKUP($FY25,Inflation_Year,NominaltoReal)))</f>
        <v>0.91252513001143176</v>
      </c>
      <c r="GE25" s="146" cm="1">
        <f t="array" ref="GE25">IF($FY25=0,0,_xlfn.IFS($FY25='Key assumptions'!$C$120,_xlfn.XLOOKUP(LEFT(GE$7,6),Inflation_Year,Inflation_NominaltoReal),TRUE,_xlfn.XLOOKUP($FY25,Inflation_Year,NominaltoReal)))</f>
        <v>0.88896817650095872</v>
      </c>
      <c r="GF25" s="146" cm="1">
        <f t="array" ref="GF25">IF($FY25=0,0,_xlfn.IFS($FY25='Key assumptions'!$C$120,_xlfn.XLOOKUP(LEFT(GF$7,6),Inflation_Year,Inflation_NominaltoReal),TRUE,_xlfn.XLOOKUP($FY25,Inflation_Year,NominaltoReal)))</f>
        <v>0.86601934877293718</v>
      </c>
      <c r="GG25" s="143"/>
      <c r="GH25" s="145" cm="1">
        <f t="array" ref="GH25">SUMPRODUCT(--($CR$7:$FW$7&gt;=GH$5),--($CR$7:$FW$7&lt;=GH$6),$CR25:$FW25)*FZ25</f>
        <v>71379.531096735343</v>
      </c>
      <c r="GI25" s="145" cm="1">
        <f t="array" ref="GI25">SUMPRODUCT(--($CR$7:$FW$7&gt;=GI$5),--($CR$7:$FW$7&lt;=GI$6),$CR25:$FW25)*GA25</f>
        <v>0</v>
      </c>
      <c r="GJ25" s="145" cm="1">
        <f t="array" ref="GJ25">SUMPRODUCT(--($CR$7:$FW$7&gt;=GJ$5),--($CR$7:$FW$7&lt;=GJ$6),$CR25:$FW25)*GB25</f>
        <v>0</v>
      </c>
      <c r="GK25" s="145" cm="1">
        <f t="array" ref="GK25">SUMPRODUCT(--($CR$7:$FW$7&gt;=GK$5),--($CR$7:$FW$7&lt;=GK$6),$CR25:$FW25)*GC25</f>
        <v>0</v>
      </c>
      <c r="GL25" s="145" cm="1">
        <f t="array" ref="GL25">SUMPRODUCT(--($CR$7:$FW$7&gt;=GL$5),--($CR$7:$FW$7&lt;=GL$6),$CR25:$FW25)*GD25</f>
        <v>0</v>
      </c>
      <c r="GM25" s="145" cm="1">
        <f t="array" ref="GM25">SUMPRODUCT(--($CR$7:$FW$7&gt;=GM$5),--($CR$7:$FW$7&lt;=GM$6),$CR25:$FW25)*GE25</f>
        <v>0</v>
      </c>
      <c r="GN25" s="145" cm="1">
        <f t="array" ref="GN25">SUMPRODUCT(--($CR$7:$FW$7&gt;=GN$5),--($CR$7:$FW$7&lt;=GN$6),$CR25:$FW25)*GF25</f>
        <v>0</v>
      </c>
      <c r="GO25" s="145">
        <f t="shared" si="0"/>
        <v>71379.531096735343</v>
      </c>
      <c r="GP25" s="87"/>
      <c r="GR25" s="145" cm="1">
        <f t="array" ref="GR25">SUMPRODUCT(--($CR$7:$FW$7&gt;=GR$5),--($CR$7:$FW$7&lt;=GR$6),$CR25:$FW25)</f>
        <v>70000</v>
      </c>
    </row>
    <row r="26" spans="1:200" s="64" customFormat="1" x14ac:dyDescent="0.2">
      <c r="A26" s="65"/>
      <c r="B26" s="141" t="str">
        <v>Regulatory Approvals</v>
      </c>
      <c r="C26" s="286" t="str">
        <v>c-i-c</v>
      </c>
      <c r="D26" s="141" t="str">
        <v>Non-labour</v>
      </c>
      <c r="E26" s="141" t="str">
        <v>$ Nominal</v>
      </c>
      <c r="F26" s="141">
        <v>0</v>
      </c>
      <c r="G26" s="141" t="str">
        <v/>
      </c>
      <c r="H26" s="142">
        <v>0</v>
      </c>
      <c r="I26" s="126">
        <v>250000</v>
      </c>
      <c r="J26" s="143">
        <v>0</v>
      </c>
      <c r="K26" s="144">
        <v>0</v>
      </c>
      <c r="L26" s="144">
        <v>0</v>
      </c>
      <c r="M26" s="144">
        <v>0</v>
      </c>
      <c r="N26" s="144">
        <v>0</v>
      </c>
      <c r="O26" s="144">
        <v>0</v>
      </c>
      <c r="P26" s="144">
        <v>0</v>
      </c>
      <c r="Q26" s="144">
        <v>0</v>
      </c>
      <c r="R26" s="144">
        <v>0</v>
      </c>
      <c r="S26" s="144">
        <v>0</v>
      </c>
      <c r="T26" s="144">
        <v>0</v>
      </c>
      <c r="U26" s="144">
        <v>0</v>
      </c>
      <c r="V26" s="144">
        <v>0</v>
      </c>
      <c r="W26" s="144">
        <v>0</v>
      </c>
      <c r="X26" s="144">
        <v>0.4</v>
      </c>
      <c r="Y26" s="144">
        <v>0.4</v>
      </c>
      <c r="Z26" s="144">
        <v>0.2</v>
      </c>
      <c r="AA26" s="144">
        <v>0</v>
      </c>
      <c r="AB26" s="144">
        <v>0</v>
      </c>
      <c r="AC26" s="144">
        <v>0</v>
      </c>
      <c r="AD26" s="144">
        <v>0</v>
      </c>
      <c r="AE26" s="144">
        <v>0</v>
      </c>
      <c r="AF26" s="144">
        <v>0</v>
      </c>
      <c r="AG26" s="144">
        <v>0</v>
      </c>
      <c r="AH26" s="144">
        <v>0</v>
      </c>
      <c r="AI26" s="144">
        <v>0</v>
      </c>
      <c r="AJ26" s="144">
        <v>0</v>
      </c>
      <c r="AK26" s="144">
        <v>0</v>
      </c>
      <c r="AL26" s="144">
        <v>0</v>
      </c>
      <c r="AM26" s="144">
        <v>0</v>
      </c>
      <c r="AN26" s="144">
        <v>0</v>
      </c>
      <c r="AO26" s="144">
        <v>0</v>
      </c>
      <c r="AP26" s="144">
        <v>0</v>
      </c>
      <c r="AQ26" s="144">
        <v>0</v>
      </c>
      <c r="AR26" s="144">
        <v>0</v>
      </c>
      <c r="AS26" s="144">
        <v>0</v>
      </c>
      <c r="AT26" s="144">
        <v>0</v>
      </c>
      <c r="AU26" s="144">
        <v>0</v>
      </c>
      <c r="AV26" s="144">
        <v>0</v>
      </c>
      <c r="AW26" s="144">
        <v>0</v>
      </c>
      <c r="AX26" s="144">
        <v>0</v>
      </c>
      <c r="AY26" s="144">
        <v>0</v>
      </c>
      <c r="AZ26" s="144">
        <v>0</v>
      </c>
      <c r="BA26" s="144">
        <v>0</v>
      </c>
      <c r="BB26" s="144">
        <v>0</v>
      </c>
      <c r="BC26" s="144">
        <v>0</v>
      </c>
      <c r="BD26" s="144">
        <v>0</v>
      </c>
      <c r="BE26" s="144">
        <v>0</v>
      </c>
      <c r="BF26" s="144">
        <v>0</v>
      </c>
      <c r="BG26" s="144">
        <v>0</v>
      </c>
      <c r="BH26" s="144">
        <v>0</v>
      </c>
      <c r="BI26" s="144">
        <v>0</v>
      </c>
      <c r="BJ26" s="144">
        <v>0</v>
      </c>
      <c r="BK26" s="144">
        <v>0</v>
      </c>
      <c r="BL26" s="144">
        <v>0</v>
      </c>
      <c r="BM26" s="144">
        <v>0</v>
      </c>
      <c r="BN26" s="144">
        <v>0</v>
      </c>
      <c r="BO26" s="144">
        <v>0</v>
      </c>
      <c r="BP26" s="144">
        <v>0</v>
      </c>
      <c r="BQ26" s="144">
        <v>0</v>
      </c>
      <c r="BR26" s="144">
        <v>0</v>
      </c>
      <c r="BS26" s="144">
        <v>0</v>
      </c>
      <c r="BT26" s="144">
        <v>0</v>
      </c>
      <c r="BU26" s="144">
        <v>0</v>
      </c>
      <c r="BV26" s="144">
        <v>0</v>
      </c>
      <c r="BW26" s="144">
        <v>0</v>
      </c>
      <c r="BX26" s="144">
        <v>0</v>
      </c>
      <c r="BY26" s="144">
        <v>0</v>
      </c>
      <c r="BZ26" s="144">
        <v>0</v>
      </c>
      <c r="CA26" s="144">
        <v>0</v>
      </c>
      <c r="CB26" s="144">
        <v>0</v>
      </c>
      <c r="CC26" s="144">
        <v>0</v>
      </c>
      <c r="CD26" s="144">
        <v>0</v>
      </c>
      <c r="CE26" s="144">
        <v>0</v>
      </c>
      <c r="CF26" s="144">
        <v>0</v>
      </c>
      <c r="CG26" s="144">
        <v>0</v>
      </c>
      <c r="CH26" s="144">
        <v>0</v>
      </c>
      <c r="CI26" s="144">
        <v>0</v>
      </c>
      <c r="CJ26" s="144">
        <v>0</v>
      </c>
      <c r="CK26" s="144">
        <v>0</v>
      </c>
      <c r="CL26" s="144">
        <v>0</v>
      </c>
      <c r="CM26" s="144">
        <v>0</v>
      </c>
      <c r="CN26" s="144">
        <v>0</v>
      </c>
      <c r="CO26" s="144">
        <v>0</v>
      </c>
      <c r="CP26" s="144">
        <v>0</v>
      </c>
      <c r="CQ26" s="143">
        <v>0</v>
      </c>
      <c r="CR26" s="145">
        <v>0</v>
      </c>
      <c r="CS26" s="145">
        <v>0</v>
      </c>
      <c r="CT26" s="145">
        <v>0</v>
      </c>
      <c r="CU26" s="145">
        <v>0</v>
      </c>
      <c r="CV26" s="145">
        <v>0</v>
      </c>
      <c r="CW26" s="145">
        <v>0</v>
      </c>
      <c r="CX26" s="145">
        <v>0</v>
      </c>
      <c r="CY26" s="145">
        <v>0</v>
      </c>
      <c r="CZ26" s="145">
        <v>0</v>
      </c>
      <c r="DA26" s="145">
        <v>0</v>
      </c>
      <c r="DB26" s="145">
        <v>0</v>
      </c>
      <c r="DC26" s="145">
        <v>0</v>
      </c>
      <c r="DD26" s="145">
        <v>0</v>
      </c>
      <c r="DE26" s="145">
        <v>100000</v>
      </c>
      <c r="DF26" s="145">
        <v>100000</v>
      </c>
      <c r="DG26" s="145">
        <v>50000</v>
      </c>
      <c r="DH26" s="145">
        <v>0</v>
      </c>
      <c r="DI26" s="145">
        <v>0</v>
      </c>
      <c r="DJ26" s="145">
        <v>0</v>
      </c>
      <c r="DK26" s="145">
        <v>0</v>
      </c>
      <c r="DL26" s="145">
        <v>0</v>
      </c>
      <c r="DM26" s="145">
        <v>0</v>
      </c>
      <c r="DN26" s="145">
        <v>0</v>
      </c>
      <c r="DO26" s="145">
        <v>0</v>
      </c>
      <c r="DP26" s="145">
        <v>0</v>
      </c>
      <c r="DQ26" s="145">
        <v>0</v>
      </c>
      <c r="DR26" s="145">
        <v>0</v>
      </c>
      <c r="DS26" s="145">
        <v>0</v>
      </c>
      <c r="DT26" s="145">
        <v>0</v>
      </c>
      <c r="DU26" s="145">
        <v>0</v>
      </c>
      <c r="DV26" s="145">
        <v>0</v>
      </c>
      <c r="DW26" s="145">
        <v>0</v>
      </c>
      <c r="DX26" s="145">
        <v>0</v>
      </c>
      <c r="DY26" s="145">
        <v>0</v>
      </c>
      <c r="DZ26" s="145">
        <v>0</v>
      </c>
      <c r="EA26" s="145">
        <v>0</v>
      </c>
      <c r="EB26" s="145">
        <v>0</v>
      </c>
      <c r="EC26" s="145">
        <v>0</v>
      </c>
      <c r="ED26" s="145">
        <v>0</v>
      </c>
      <c r="EE26" s="145">
        <v>0</v>
      </c>
      <c r="EF26" s="145">
        <v>0</v>
      </c>
      <c r="EG26" s="145">
        <v>0</v>
      </c>
      <c r="EH26" s="145">
        <v>0</v>
      </c>
      <c r="EI26" s="145">
        <v>0</v>
      </c>
      <c r="EJ26" s="145">
        <v>0</v>
      </c>
      <c r="EK26" s="145">
        <v>0</v>
      </c>
      <c r="EL26" s="145">
        <v>0</v>
      </c>
      <c r="EM26" s="145">
        <v>0</v>
      </c>
      <c r="EN26" s="145">
        <v>0</v>
      </c>
      <c r="EO26" s="145">
        <v>0</v>
      </c>
      <c r="EP26" s="145">
        <v>0</v>
      </c>
      <c r="EQ26" s="145">
        <v>0</v>
      </c>
      <c r="ER26" s="145">
        <v>0</v>
      </c>
      <c r="ES26" s="145">
        <v>0</v>
      </c>
      <c r="ET26" s="145">
        <v>0</v>
      </c>
      <c r="EU26" s="145">
        <v>0</v>
      </c>
      <c r="EV26" s="145">
        <v>0</v>
      </c>
      <c r="EW26" s="145">
        <v>0</v>
      </c>
      <c r="EX26" s="145">
        <v>0</v>
      </c>
      <c r="EY26" s="145">
        <v>0</v>
      </c>
      <c r="EZ26" s="145">
        <v>0</v>
      </c>
      <c r="FA26" s="145">
        <v>0</v>
      </c>
      <c r="FB26" s="145">
        <v>0</v>
      </c>
      <c r="FC26" s="145">
        <v>0</v>
      </c>
      <c r="FD26" s="145">
        <v>0</v>
      </c>
      <c r="FE26" s="145">
        <v>0</v>
      </c>
      <c r="FF26" s="145">
        <v>0</v>
      </c>
      <c r="FG26" s="145">
        <v>0</v>
      </c>
      <c r="FH26" s="145">
        <v>0</v>
      </c>
      <c r="FI26" s="145">
        <v>0</v>
      </c>
      <c r="FJ26" s="145">
        <v>0</v>
      </c>
      <c r="FK26" s="145">
        <v>0</v>
      </c>
      <c r="FL26" s="145">
        <v>0</v>
      </c>
      <c r="FM26" s="145">
        <v>0</v>
      </c>
      <c r="FN26" s="145">
        <v>0</v>
      </c>
      <c r="FO26" s="145">
        <v>0</v>
      </c>
      <c r="FP26" s="145">
        <v>0</v>
      </c>
      <c r="FQ26" s="145">
        <v>0</v>
      </c>
      <c r="FR26" s="145">
        <v>0</v>
      </c>
      <c r="FS26" s="145">
        <v>0</v>
      </c>
      <c r="FT26" s="145">
        <v>0</v>
      </c>
      <c r="FU26" s="145">
        <v>0</v>
      </c>
      <c r="FV26" s="145">
        <v>0</v>
      </c>
      <c r="FW26" s="145">
        <v>0</v>
      </c>
      <c r="FX26" s="143"/>
      <c r="FY26" s="146" t="str">
        <f>_xlfn.XLOOKUP($E26,'Key assumptions'!$B$112:$B$120,'Key assumptions'!$C$112:$C$120,0)</f>
        <v>Nominal</v>
      </c>
      <c r="FZ26" s="146" cm="1">
        <f t="array" ref="FZ26">IF($FY26=0,0,_xlfn.IFS($FY26='Key assumptions'!$C$120,_xlfn.XLOOKUP(LEFT(FZ$7,6),Inflation_Year,Inflation_NominaltoReal),TRUE,_xlfn.XLOOKUP($FY26,Inflation_Year,NominaltoReal)))</f>
        <v>1.0197075870962191</v>
      </c>
      <c r="GA26" s="146" cm="1">
        <f t="array" ref="GA26">IF($FY26=0,0,_xlfn.IFS($FY26='Key assumptions'!$C$120,_xlfn.XLOOKUP(LEFT(GA$7,6),Inflation_Year,Inflation_NominaltoReal),TRUE,_xlfn.XLOOKUP($FY26,Inflation_Year,NominaltoReal)))</f>
        <v>0.98700804022984445</v>
      </c>
      <c r="GB26" s="146" cm="1">
        <f t="array" ref="GB26">IF($FY26=0,0,_xlfn.IFS($FY26='Key assumptions'!$C$120,_xlfn.XLOOKUP(LEFT(GB$7,6),Inflation_Year,Inflation_NominaltoReal),TRUE,_xlfn.XLOOKUP($FY26,Inflation_Year,NominaltoReal)))</f>
        <v>0.96152830081941731</v>
      </c>
      <c r="GC26" s="146" cm="1">
        <f t="array" ref="GC26">IF($FY26=0,0,_xlfn.IFS($FY26='Key assumptions'!$C$120,_xlfn.XLOOKUP(LEFT(GC$7,6),Inflation_Year,Inflation_NominaltoReal),TRUE,_xlfn.XLOOKUP($FY26,Inflation_Year,NominaltoReal)))</f>
        <v>0.93670632415656829</v>
      </c>
      <c r="GD26" s="146" cm="1">
        <f t="array" ref="GD26">IF($FY26=0,0,_xlfn.IFS($FY26='Key assumptions'!$C$120,_xlfn.XLOOKUP(LEFT(GD$7,6),Inflation_Year,Inflation_NominaltoReal),TRUE,_xlfn.XLOOKUP($FY26,Inflation_Year,NominaltoReal)))</f>
        <v>0.91252513001143176</v>
      </c>
      <c r="GE26" s="146" cm="1">
        <f t="array" ref="GE26">IF($FY26=0,0,_xlfn.IFS($FY26='Key assumptions'!$C$120,_xlfn.XLOOKUP(LEFT(GE$7,6),Inflation_Year,Inflation_NominaltoReal),TRUE,_xlfn.XLOOKUP($FY26,Inflation_Year,NominaltoReal)))</f>
        <v>0.88896817650095872</v>
      </c>
      <c r="GF26" s="146" cm="1">
        <f t="array" ref="GF26">IF($FY26=0,0,_xlfn.IFS($FY26='Key assumptions'!$C$120,_xlfn.XLOOKUP(LEFT(GF$7,6),Inflation_Year,Inflation_NominaltoReal),TRUE,_xlfn.XLOOKUP($FY26,Inflation_Year,NominaltoReal)))</f>
        <v>0.86601934877293718</v>
      </c>
      <c r="GG26" s="143"/>
      <c r="GH26" s="145" cm="1">
        <f t="array" ref="GH26">SUMPRODUCT(--($CR$7:$FW$7&gt;=GH$5),--($CR$7:$FW$7&lt;=GH$6),$CR26:$FW26)*FZ26</f>
        <v>254926.89677405477</v>
      </c>
      <c r="GI26" s="145" cm="1">
        <f t="array" ref="GI26">SUMPRODUCT(--($CR$7:$FW$7&gt;=GI$5),--($CR$7:$FW$7&lt;=GI$6),$CR26:$FW26)*GA26</f>
        <v>0</v>
      </c>
      <c r="GJ26" s="145" cm="1">
        <f t="array" ref="GJ26">SUMPRODUCT(--($CR$7:$FW$7&gt;=GJ$5),--($CR$7:$FW$7&lt;=GJ$6),$CR26:$FW26)*GB26</f>
        <v>0</v>
      </c>
      <c r="GK26" s="145" cm="1">
        <f t="array" ref="GK26">SUMPRODUCT(--($CR$7:$FW$7&gt;=GK$5),--($CR$7:$FW$7&lt;=GK$6),$CR26:$FW26)*GC26</f>
        <v>0</v>
      </c>
      <c r="GL26" s="145" cm="1">
        <f t="array" ref="GL26">SUMPRODUCT(--($CR$7:$FW$7&gt;=GL$5),--($CR$7:$FW$7&lt;=GL$6),$CR26:$FW26)*GD26</f>
        <v>0</v>
      </c>
      <c r="GM26" s="145" cm="1">
        <f t="array" ref="GM26">SUMPRODUCT(--($CR$7:$FW$7&gt;=GM$5),--($CR$7:$FW$7&lt;=GM$6),$CR26:$FW26)*GE26</f>
        <v>0</v>
      </c>
      <c r="GN26" s="145" cm="1">
        <f t="array" ref="GN26">SUMPRODUCT(--($CR$7:$FW$7&gt;=GN$5),--($CR$7:$FW$7&lt;=GN$6),$CR26:$FW26)*GF26</f>
        <v>0</v>
      </c>
      <c r="GO26" s="145">
        <f t="shared" si="0"/>
        <v>254926.89677405477</v>
      </c>
      <c r="GP26" s="87"/>
      <c r="GR26" s="145" cm="1">
        <f t="array" ref="GR26">SUMPRODUCT(--($CR$7:$FW$7&gt;=GR$5),--($CR$7:$FW$7&lt;=GR$6),$CR26:$FW26)</f>
        <v>250000</v>
      </c>
    </row>
    <row r="27" spans="1:200" s="64" customFormat="1" x14ac:dyDescent="0.2">
      <c r="A27" s="65"/>
      <c r="B27" s="141" t="str">
        <v>Regulatory Approvals</v>
      </c>
      <c r="C27" s="286" t="str">
        <v>c-i-c</v>
      </c>
      <c r="D27" s="141" t="str">
        <v>Non-labour</v>
      </c>
      <c r="E27" s="141" t="str">
        <v>$ Nominal</v>
      </c>
      <c r="F27" s="141">
        <v>0</v>
      </c>
      <c r="G27" s="141" t="str">
        <v/>
      </c>
      <c r="H27" s="142">
        <v>0</v>
      </c>
      <c r="I27" s="126">
        <v>70000</v>
      </c>
      <c r="J27" s="143">
        <v>0</v>
      </c>
      <c r="K27" s="144">
        <v>0</v>
      </c>
      <c r="L27" s="144">
        <v>0</v>
      </c>
      <c r="M27" s="144">
        <v>0</v>
      </c>
      <c r="N27" s="144">
        <v>0</v>
      </c>
      <c r="O27" s="144">
        <v>0</v>
      </c>
      <c r="P27" s="144">
        <v>0</v>
      </c>
      <c r="Q27" s="144">
        <v>0</v>
      </c>
      <c r="R27" s="144">
        <v>0</v>
      </c>
      <c r="S27" s="144">
        <v>0</v>
      </c>
      <c r="T27" s="144">
        <v>0</v>
      </c>
      <c r="U27" s="144">
        <v>0</v>
      </c>
      <c r="V27" s="144">
        <v>0</v>
      </c>
      <c r="W27" s="144">
        <v>0</v>
      </c>
      <c r="X27" s="144">
        <v>0.5</v>
      </c>
      <c r="Y27" s="144">
        <v>0.5</v>
      </c>
      <c r="Z27" s="144">
        <v>0</v>
      </c>
      <c r="AA27" s="144">
        <v>0</v>
      </c>
      <c r="AB27" s="144">
        <v>0</v>
      </c>
      <c r="AC27" s="144">
        <v>0</v>
      </c>
      <c r="AD27" s="144">
        <v>0</v>
      </c>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v>0</v>
      </c>
      <c r="AT27" s="144">
        <v>0</v>
      </c>
      <c r="AU27" s="144">
        <v>0</v>
      </c>
      <c r="AV27" s="144">
        <v>0</v>
      </c>
      <c r="AW27" s="144">
        <v>0</v>
      </c>
      <c r="AX27" s="144">
        <v>0</v>
      </c>
      <c r="AY27" s="144">
        <v>0</v>
      </c>
      <c r="AZ27" s="144">
        <v>0</v>
      </c>
      <c r="BA27" s="144">
        <v>0</v>
      </c>
      <c r="BB27" s="144">
        <v>0</v>
      </c>
      <c r="BC27" s="144">
        <v>0</v>
      </c>
      <c r="BD27" s="144">
        <v>0</v>
      </c>
      <c r="BE27" s="144">
        <v>0</v>
      </c>
      <c r="BF27" s="144">
        <v>0</v>
      </c>
      <c r="BG27" s="144">
        <v>0</v>
      </c>
      <c r="BH27" s="144">
        <v>0</v>
      </c>
      <c r="BI27" s="144">
        <v>0</v>
      </c>
      <c r="BJ27" s="144">
        <v>0</v>
      </c>
      <c r="BK27" s="144">
        <v>0</v>
      </c>
      <c r="BL27" s="144">
        <v>0</v>
      </c>
      <c r="BM27" s="144">
        <v>0</v>
      </c>
      <c r="BN27" s="144">
        <v>0</v>
      </c>
      <c r="BO27" s="144">
        <v>0</v>
      </c>
      <c r="BP27" s="144">
        <v>0</v>
      </c>
      <c r="BQ27" s="144">
        <v>0</v>
      </c>
      <c r="BR27" s="144">
        <v>0</v>
      </c>
      <c r="BS27" s="144">
        <v>0</v>
      </c>
      <c r="BT27" s="144">
        <v>0</v>
      </c>
      <c r="BU27" s="144">
        <v>0</v>
      </c>
      <c r="BV27" s="144">
        <v>0</v>
      </c>
      <c r="BW27" s="144">
        <v>0</v>
      </c>
      <c r="BX27" s="144">
        <v>0</v>
      </c>
      <c r="BY27" s="144">
        <v>0</v>
      </c>
      <c r="BZ27" s="144">
        <v>0</v>
      </c>
      <c r="CA27" s="144">
        <v>0</v>
      </c>
      <c r="CB27" s="144">
        <v>0</v>
      </c>
      <c r="CC27" s="144">
        <v>0</v>
      </c>
      <c r="CD27" s="144">
        <v>0</v>
      </c>
      <c r="CE27" s="144">
        <v>0</v>
      </c>
      <c r="CF27" s="144">
        <v>0</v>
      </c>
      <c r="CG27" s="144">
        <v>0</v>
      </c>
      <c r="CH27" s="144">
        <v>0</v>
      </c>
      <c r="CI27" s="144">
        <v>0</v>
      </c>
      <c r="CJ27" s="144">
        <v>0</v>
      </c>
      <c r="CK27" s="144">
        <v>0</v>
      </c>
      <c r="CL27" s="144">
        <v>0</v>
      </c>
      <c r="CM27" s="144">
        <v>0</v>
      </c>
      <c r="CN27" s="144">
        <v>0</v>
      </c>
      <c r="CO27" s="144">
        <v>0</v>
      </c>
      <c r="CP27" s="144">
        <v>0</v>
      </c>
      <c r="CQ27" s="143">
        <v>0</v>
      </c>
      <c r="CR27" s="145">
        <v>0</v>
      </c>
      <c r="CS27" s="145">
        <v>0</v>
      </c>
      <c r="CT27" s="145">
        <v>0</v>
      </c>
      <c r="CU27" s="145">
        <v>0</v>
      </c>
      <c r="CV27" s="145">
        <v>0</v>
      </c>
      <c r="CW27" s="145">
        <v>0</v>
      </c>
      <c r="CX27" s="145">
        <v>0</v>
      </c>
      <c r="CY27" s="145">
        <v>0</v>
      </c>
      <c r="CZ27" s="145">
        <v>0</v>
      </c>
      <c r="DA27" s="145">
        <v>0</v>
      </c>
      <c r="DB27" s="145">
        <v>0</v>
      </c>
      <c r="DC27" s="145">
        <v>0</v>
      </c>
      <c r="DD27" s="145">
        <v>0</v>
      </c>
      <c r="DE27" s="145">
        <v>35000</v>
      </c>
      <c r="DF27" s="145">
        <v>35000</v>
      </c>
      <c r="DG27" s="145">
        <v>0</v>
      </c>
      <c r="DH27" s="145">
        <v>0</v>
      </c>
      <c r="DI27" s="145">
        <v>0</v>
      </c>
      <c r="DJ27" s="145">
        <v>0</v>
      </c>
      <c r="DK27" s="145">
        <v>0</v>
      </c>
      <c r="DL27" s="145">
        <v>0</v>
      </c>
      <c r="DM27" s="145">
        <v>0</v>
      </c>
      <c r="DN27" s="145">
        <v>0</v>
      </c>
      <c r="DO27" s="145">
        <v>0</v>
      </c>
      <c r="DP27" s="145">
        <v>0</v>
      </c>
      <c r="DQ27" s="145">
        <v>0</v>
      </c>
      <c r="DR27" s="145">
        <v>0</v>
      </c>
      <c r="DS27" s="145">
        <v>0</v>
      </c>
      <c r="DT27" s="145">
        <v>0</v>
      </c>
      <c r="DU27" s="145">
        <v>0</v>
      </c>
      <c r="DV27" s="145">
        <v>0</v>
      </c>
      <c r="DW27" s="145">
        <v>0</v>
      </c>
      <c r="DX27" s="145">
        <v>0</v>
      </c>
      <c r="DY27" s="145">
        <v>0</v>
      </c>
      <c r="DZ27" s="145">
        <v>0</v>
      </c>
      <c r="EA27" s="145">
        <v>0</v>
      </c>
      <c r="EB27" s="145">
        <v>0</v>
      </c>
      <c r="EC27" s="145">
        <v>0</v>
      </c>
      <c r="ED27" s="145">
        <v>0</v>
      </c>
      <c r="EE27" s="145">
        <v>0</v>
      </c>
      <c r="EF27" s="145">
        <v>0</v>
      </c>
      <c r="EG27" s="145">
        <v>0</v>
      </c>
      <c r="EH27" s="145">
        <v>0</v>
      </c>
      <c r="EI27" s="145">
        <v>0</v>
      </c>
      <c r="EJ27" s="145">
        <v>0</v>
      </c>
      <c r="EK27" s="145">
        <v>0</v>
      </c>
      <c r="EL27" s="145">
        <v>0</v>
      </c>
      <c r="EM27" s="145">
        <v>0</v>
      </c>
      <c r="EN27" s="145">
        <v>0</v>
      </c>
      <c r="EO27" s="145">
        <v>0</v>
      </c>
      <c r="EP27" s="145">
        <v>0</v>
      </c>
      <c r="EQ27" s="145">
        <v>0</v>
      </c>
      <c r="ER27" s="145">
        <v>0</v>
      </c>
      <c r="ES27" s="145">
        <v>0</v>
      </c>
      <c r="ET27" s="145">
        <v>0</v>
      </c>
      <c r="EU27" s="145">
        <v>0</v>
      </c>
      <c r="EV27" s="145">
        <v>0</v>
      </c>
      <c r="EW27" s="145">
        <v>0</v>
      </c>
      <c r="EX27" s="145">
        <v>0</v>
      </c>
      <c r="EY27" s="145">
        <v>0</v>
      </c>
      <c r="EZ27" s="145">
        <v>0</v>
      </c>
      <c r="FA27" s="145">
        <v>0</v>
      </c>
      <c r="FB27" s="145">
        <v>0</v>
      </c>
      <c r="FC27" s="145">
        <v>0</v>
      </c>
      <c r="FD27" s="145">
        <v>0</v>
      </c>
      <c r="FE27" s="145">
        <v>0</v>
      </c>
      <c r="FF27" s="145">
        <v>0</v>
      </c>
      <c r="FG27" s="145">
        <v>0</v>
      </c>
      <c r="FH27" s="145">
        <v>0</v>
      </c>
      <c r="FI27" s="145">
        <v>0</v>
      </c>
      <c r="FJ27" s="145">
        <v>0</v>
      </c>
      <c r="FK27" s="145">
        <v>0</v>
      </c>
      <c r="FL27" s="145">
        <v>0</v>
      </c>
      <c r="FM27" s="145">
        <v>0</v>
      </c>
      <c r="FN27" s="145">
        <v>0</v>
      </c>
      <c r="FO27" s="145">
        <v>0</v>
      </c>
      <c r="FP27" s="145">
        <v>0</v>
      </c>
      <c r="FQ27" s="145">
        <v>0</v>
      </c>
      <c r="FR27" s="145">
        <v>0</v>
      </c>
      <c r="FS27" s="145">
        <v>0</v>
      </c>
      <c r="FT27" s="145">
        <v>0</v>
      </c>
      <c r="FU27" s="145">
        <v>0</v>
      </c>
      <c r="FV27" s="145">
        <v>0</v>
      </c>
      <c r="FW27" s="145">
        <v>0</v>
      </c>
      <c r="FX27" s="143"/>
      <c r="FY27" s="146" t="str">
        <f>_xlfn.XLOOKUP($E27,'Key assumptions'!$B$112:$B$120,'Key assumptions'!$C$112:$C$120,0)</f>
        <v>Nominal</v>
      </c>
      <c r="FZ27" s="146" cm="1">
        <f t="array" ref="FZ27">IF($FY27=0,0,_xlfn.IFS($FY27='Key assumptions'!$C$120,_xlfn.XLOOKUP(LEFT(FZ$7,6),Inflation_Year,Inflation_NominaltoReal),TRUE,_xlfn.XLOOKUP($FY27,Inflation_Year,NominaltoReal)))</f>
        <v>1.0197075870962191</v>
      </c>
      <c r="GA27" s="146" cm="1">
        <f t="array" ref="GA27">IF($FY27=0,0,_xlfn.IFS($FY27='Key assumptions'!$C$120,_xlfn.XLOOKUP(LEFT(GA$7,6),Inflation_Year,Inflation_NominaltoReal),TRUE,_xlfn.XLOOKUP($FY27,Inflation_Year,NominaltoReal)))</f>
        <v>0.98700804022984445</v>
      </c>
      <c r="GB27" s="146" cm="1">
        <f t="array" ref="GB27">IF($FY27=0,0,_xlfn.IFS($FY27='Key assumptions'!$C$120,_xlfn.XLOOKUP(LEFT(GB$7,6),Inflation_Year,Inflation_NominaltoReal),TRUE,_xlfn.XLOOKUP($FY27,Inflation_Year,NominaltoReal)))</f>
        <v>0.96152830081941731</v>
      </c>
      <c r="GC27" s="146" cm="1">
        <f t="array" ref="GC27">IF($FY27=0,0,_xlfn.IFS($FY27='Key assumptions'!$C$120,_xlfn.XLOOKUP(LEFT(GC$7,6),Inflation_Year,Inflation_NominaltoReal),TRUE,_xlfn.XLOOKUP($FY27,Inflation_Year,NominaltoReal)))</f>
        <v>0.93670632415656829</v>
      </c>
      <c r="GD27" s="146" cm="1">
        <f t="array" ref="GD27">IF($FY27=0,0,_xlfn.IFS($FY27='Key assumptions'!$C$120,_xlfn.XLOOKUP(LEFT(GD$7,6),Inflation_Year,Inflation_NominaltoReal),TRUE,_xlfn.XLOOKUP($FY27,Inflation_Year,NominaltoReal)))</f>
        <v>0.91252513001143176</v>
      </c>
      <c r="GE27" s="146" cm="1">
        <f t="array" ref="GE27">IF($FY27=0,0,_xlfn.IFS($FY27='Key assumptions'!$C$120,_xlfn.XLOOKUP(LEFT(GE$7,6),Inflation_Year,Inflation_NominaltoReal),TRUE,_xlfn.XLOOKUP($FY27,Inflation_Year,NominaltoReal)))</f>
        <v>0.88896817650095872</v>
      </c>
      <c r="GF27" s="146" cm="1">
        <f t="array" ref="GF27">IF($FY27=0,0,_xlfn.IFS($FY27='Key assumptions'!$C$120,_xlfn.XLOOKUP(LEFT(GF$7,6),Inflation_Year,Inflation_NominaltoReal),TRUE,_xlfn.XLOOKUP($FY27,Inflation_Year,NominaltoReal)))</f>
        <v>0.86601934877293718</v>
      </c>
      <c r="GG27" s="143"/>
      <c r="GH27" s="145" cm="1">
        <f t="array" ref="GH27">SUMPRODUCT(--($CR$7:$FW$7&gt;=GH$5),--($CR$7:$FW$7&lt;=GH$6),$CR27:$FW27)*FZ27</f>
        <v>71379.531096735343</v>
      </c>
      <c r="GI27" s="145" cm="1">
        <f t="array" ref="GI27">SUMPRODUCT(--($CR$7:$FW$7&gt;=GI$5),--($CR$7:$FW$7&lt;=GI$6),$CR27:$FW27)*GA27</f>
        <v>0</v>
      </c>
      <c r="GJ27" s="145" cm="1">
        <f t="array" ref="GJ27">SUMPRODUCT(--($CR$7:$FW$7&gt;=GJ$5),--($CR$7:$FW$7&lt;=GJ$6),$CR27:$FW27)*GB27</f>
        <v>0</v>
      </c>
      <c r="GK27" s="145" cm="1">
        <f t="array" ref="GK27">SUMPRODUCT(--($CR$7:$FW$7&gt;=GK$5),--($CR$7:$FW$7&lt;=GK$6),$CR27:$FW27)*GC27</f>
        <v>0</v>
      </c>
      <c r="GL27" s="145" cm="1">
        <f t="array" ref="GL27">SUMPRODUCT(--($CR$7:$FW$7&gt;=GL$5),--($CR$7:$FW$7&lt;=GL$6),$CR27:$FW27)*GD27</f>
        <v>0</v>
      </c>
      <c r="GM27" s="145" cm="1">
        <f t="array" ref="GM27">SUMPRODUCT(--($CR$7:$FW$7&gt;=GM$5),--($CR$7:$FW$7&lt;=GM$6),$CR27:$FW27)*GE27</f>
        <v>0</v>
      </c>
      <c r="GN27" s="145" cm="1">
        <f t="array" ref="GN27">SUMPRODUCT(--($CR$7:$FW$7&gt;=GN$5),--($CR$7:$FW$7&lt;=GN$6),$CR27:$FW27)*GF27</f>
        <v>0</v>
      </c>
      <c r="GO27" s="145">
        <f t="shared" si="0"/>
        <v>71379.531096735343</v>
      </c>
      <c r="GP27" s="87"/>
      <c r="GR27" s="145" cm="1">
        <f t="array" ref="GR27">SUMPRODUCT(--($CR$7:$FW$7&gt;=GR$5),--($CR$7:$FW$7&lt;=GR$6),$CR27:$FW27)</f>
        <v>70000</v>
      </c>
    </row>
    <row r="28" spans="1:200" s="64" customFormat="1" x14ac:dyDescent="0.2">
      <c r="A28" s="65"/>
      <c r="B28" s="141" t="str">
        <v>Other Support &amp; Corporate Roles</v>
      </c>
      <c r="C28" s="286" t="str">
        <v>c-i-c</v>
      </c>
      <c r="D28" s="141" t="str">
        <v>Non-labour</v>
      </c>
      <c r="E28" s="141" t="str">
        <v>$ Nominal</v>
      </c>
      <c r="F28" s="141">
        <v>0</v>
      </c>
      <c r="G28" s="141" t="str">
        <v/>
      </c>
      <c r="H28" s="142">
        <v>0</v>
      </c>
      <c r="I28" s="126">
        <v>440000</v>
      </c>
      <c r="J28" s="143">
        <v>0</v>
      </c>
      <c r="K28" s="144">
        <v>0</v>
      </c>
      <c r="L28" s="144">
        <v>0</v>
      </c>
      <c r="M28" s="144">
        <v>0</v>
      </c>
      <c r="N28" s="144">
        <v>0</v>
      </c>
      <c r="O28" s="144">
        <v>0</v>
      </c>
      <c r="P28" s="144">
        <v>0</v>
      </c>
      <c r="Q28" s="144">
        <v>0</v>
      </c>
      <c r="R28" s="144">
        <v>0</v>
      </c>
      <c r="S28" s="144">
        <v>0</v>
      </c>
      <c r="T28" s="144">
        <v>0</v>
      </c>
      <c r="U28" s="144">
        <v>0</v>
      </c>
      <c r="V28" s="144">
        <v>0</v>
      </c>
      <c r="W28" s="144">
        <v>0</v>
      </c>
      <c r="X28" s="144">
        <v>0.34090909090909088</v>
      </c>
      <c r="Y28" s="144">
        <v>0.34090909090909088</v>
      </c>
      <c r="Z28" s="144">
        <v>1.1363636363636364E-2</v>
      </c>
      <c r="AA28" s="144">
        <v>1.1363636363636364E-2</v>
      </c>
      <c r="AB28" s="144">
        <v>1.1363636363636364E-2</v>
      </c>
      <c r="AC28" s="144">
        <v>1.1363636363636364E-2</v>
      </c>
      <c r="AD28" s="144">
        <v>1.1363636363636364E-2</v>
      </c>
      <c r="AE28" s="144">
        <v>1.1363636363636364E-2</v>
      </c>
      <c r="AF28" s="144">
        <v>1.1363636363636364E-2</v>
      </c>
      <c r="AG28" s="144">
        <v>1.1363636363636364E-2</v>
      </c>
      <c r="AH28" s="144">
        <v>1.1363636363636364E-2</v>
      </c>
      <c r="AI28" s="144">
        <v>1.1363636363636364E-2</v>
      </c>
      <c r="AJ28" s="144">
        <v>1.1363636363636364E-2</v>
      </c>
      <c r="AK28" s="144">
        <v>1.1363636363636364E-2</v>
      </c>
      <c r="AL28" s="144">
        <v>1.1363636363636364E-2</v>
      </c>
      <c r="AM28" s="144">
        <v>1.1363636363636364E-2</v>
      </c>
      <c r="AN28" s="144">
        <v>1.1363636363636364E-2</v>
      </c>
      <c r="AO28" s="144">
        <v>1.1363636363636364E-2</v>
      </c>
      <c r="AP28" s="144">
        <v>1.1363636363636364E-2</v>
      </c>
      <c r="AQ28" s="144">
        <v>1.1363636363636364E-2</v>
      </c>
      <c r="AR28" s="144">
        <v>1.1363636363636364E-2</v>
      </c>
      <c r="AS28" s="144">
        <v>1.1363636363636364E-2</v>
      </c>
      <c r="AT28" s="144">
        <v>1.1363636363636364E-2</v>
      </c>
      <c r="AU28" s="144">
        <v>1.1363636363636364E-2</v>
      </c>
      <c r="AV28" s="144">
        <v>1.1363636363636364E-2</v>
      </c>
      <c r="AW28" s="144">
        <v>1.1363636363636364E-2</v>
      </c>
      <c r="AX28" s="144">
        <v>1.1363636363636364E-2</v>
      </c>
      <c r="AY28" s="144">
        <v>1.1363636363636364E-2</v>
      </c>
      <c r="AZ28" s="144">
        <v>1.1363636363636364E-2</v>
      </c>
      <c r="BA28" s="144">
        <v>1.1363636363636364E-2</v>
      </c>
      <c r="BB28" s="144">
        <v>0</v>
      </c>
      <c r="BC28" s="144">
        <v>0</v>
      </c>
      <c r="BD28" s="144">
        <v>0</v>
      </c>
      <c r="BE28" s="144">
        <v>0</v>
      </c>
      <c r="BF28" s="144">
        <v>0</v>
      </c>
      <c r="BG28" s="144">
        <v>0</v>
      </c>
      <c r="BH28" s="144">
        <v>0</v>
      </c>
      <c r="BI28" s="144">
        <v>0</v>
      </c>
      <c r="BJ28" s="144">
        <v>0</v>
      </c>
      <c r="BK28" s="144">
        <v>0</v>
      </c>
      <c r="BL28" s="144">
        <v>0</v>
      </c>
      <c r="BM28" s="144">
        <v>0</v>
      </c>
      <c r="BN28" s="144">
        <v>0</v>
      </c>
      <c r="BO28" s="144">
        <v>0</v>
      </c>
      <c r="BP28" s="144">
        <v>0</v>
      </c>
      <c r="BQ28" s="144">
        <v>0</v>
      </c>
      <c r="BR28" s="144">
        <v>0</v>
      </c>
      <c r="BS28" s="144">
        <v>0</v>
      </c>
      <c r="BT28" s="144">
        <v>0</v>
      </c>
      <c r="BU28" s="144">
        <v>0</v>
      </c>
      <c r="BV28" s="144">
        <v>0</v>
      </c>
      <c r="BW28" s="144">
        <v>0</v>
      </c>
      <c r="BX28" s="144">
        <v>0</v>
      </c>
      <c r="BY28" s="144">
        <v>0</v>
      </c>
      <c r="BZ28" s="144">
        <v>0</v>
      </c>
      <c r="CA28" s="144">
        <v>0</v>
      </c>
      <c r="CB28" s="144">
        <v>0</v>
      </c>
      <c r="CC28" s="144">
        <v>0</v>
      </c>
      <c r="CD28" s="144">
        <v>0</v>
      </c>
      <c r="CE28" s="144">
        <v>0</v>
      </c>
      <c r="CF28" s="144">
        <v>0</v>
      </c>
      <c r="CG28" s="144">
        <v>0</v>
      </c>
      <c r="CH28" s="144">
        <v>0</v>
      </c>
      <c r="CI28" s="144">
        <v>0</v>
      </c>
      <c r="CJ28" s="144">
        <v>0</v>
      </c>
      <c r="CK28" s="144">
        <v>0</v>
      </c>
      <c r="CL28" s="144">
        <v>0</v>
      </c>
      <c r="CM28" s="144">
        <v>0</v>
      </c>
      <c r="CN28" s="144">
        <v>0</v>
      </c>
      <c r="CO28" s="144">
        <v>0</v>
      </c>
      <c r="CP28" s="144">
        <v>0</v>
      </c>
      <c r="CQ28" s="143">
        <v>0</v>
      </c>
      <c r="CR28" s="145">
        <v>0</v>
      </c>
      <c r="CS28" s="145">
        <v>0</v>
      </c>
      <c r="CT28" s="145">
        <v>0</v>
      </c>
      <c r="CU28" s="145">
        <v>0</v>
      </c>
      <c r="CV28" s="145">
        <v>0</v>
      </c>
      <c r="CW28" s="145">
        <v>0</v>
      </c>
      <c r="CX28" s="145">
        <v>0</v>
      </c>
      <c r="CY28" s="145">
        <v>0</v>
      </c>
      <c r="CZ28" s="145">
        <v>0</v>
      </c>
      <c r="DA28" s="145">
        <v>0</v>
      </c>
      <c r="DB28" s="145">
        <v>0</v>
      </c>
      <c r="DC28" s="145">
        <v>0</v>
      </c>
      <c r="DD28" s="145">
        <v>0</v>
      </c>
      <c r="DE28" s="145">
        <v>150000</v>
      </c>
      <c r="DF28" s="145">
        <v>150000</v>
      </c>
      <c r="DG28" s="145">
        <v>5000</v>
      </c>
      <c r="DH28" s="145">
        <v>5000</v>
      </c>
      <c r="DI28" s="145">
        <v>5000</v>
      </c>
      <c r="DJ28" s="145">
        <v>5000</v>
      </c>
      <c r="DK28" s="145">
        <v>5000</v>
      </c>
      <c r="DL28" s="145">
        <v>5000</v>
      </c>
      <c r="DM28" s="145">
        <v>5000</v>
      </c>
      <c r="DN28" s="145">
        <v>5000</v>
      </c>
      <c r="DO28" s="145">
        <v>5000</v>
      </c>
      <c r="DP28" s="145">
        <v>5000</v>
      </c>
      <c r="DQ28" s="145">
        <v>5000</v>
      </c>
      <c r="DR28" s="145">
        <v>5000</v>
      </c>
      <c r="DS28" s="145">
        <v>5000</v>
      </c>
      <c r="DT28" s="145">
        <v>5000</v>
      </c>
      <c r="DU28" s="145">
        <v>5000</v>
      </c>
      <c r="DV28" s="145">
        <v>5000</v>
      </c>
      <c r="DW28" s="145">
        <v>5000</v>
      </c>
      <c r="DX28" s="145">
        <v>5000</v>
      </c>
      <c r="DY28" s="145">
        <v>5000</v>
      </c>
      <c r="DZ28" s="145">
        <v>5000</v>
      </c>
      <c r="EA28" s="145">
        <v>5000</v>
      </c>
      <c r="EB28" s="145">
        <v>5000</v>
      </c>
      <c r="EC28" s="145">
        <v>5000</v>
      </c>
      <c r="ED28" s="145">
        <v>5000</v>
      </c>
      <c r="EE28" s="145">
        <v>5000</v>
      </c>
      <c r="EF28" s="145">
        <v>5000</v>
      </c>
      <c r="EG28" s="145">
        <v>5000</v>
      </c>
      <c r="EH28" s="145">
        <v>5000</v>
      </c>
      <c r="EI28" s="145">
        <v>0</v>
      </c>
      <c r="EJ28" s="145">
        <v>0</v>
      </c>
      <c r="EK28" s="145">
        <v>0</v>
      </c>
      <c r="EL28" s="145">
        <v>0</v>
      </c>
      <c r="EM28" s="145">
        <v>0</v>
      </c>
      <c r="EN28" s="145">
        <v>0</v>
      </c>
      <c r="EO28" s="145">
        <v>0</v>
      </c>
      <c r="EP28" s="145">
        <v>0</v>
      </c>
      <c r="EQ28" s="145">
        <v>0</v>
      </c>
      <c r="ER28" s="145">
        <v>0</v>
      </c>
      <c r="ES28" s="145">
        <v>0</v>
      </c>
      <c r="ET28" s="145">
        <v>0</v>
      </c>
      <c r="EU28" s="145">
        <v>0</v>
      </c>
      <c r="EV28" s="145">
        <v>0</v>
      </c>
      <c r="EW28" s="145">
        <v>0</v>
      </c>
      <c r="EX28" s="145">
        <v>0</v>
      </c>
      <c r="EY28" s="145">
        <v>0</v>
      </c>
      <c r="EZ28" s="145">
        <v>0</v>
      </c>
      <c r="FA28" s="145">
        <v>0</v>
      </c>
      <c r="FB28" s="145">
        <v>0</v>
      </c>
      <c r="FC28" s="145">
        <v>0</v>
      </c>
      <c r="FD28" s="145">
        <v>0</v>
      </c>
      <c r="FE28" s="145">
        <v>0</v>
      </c>
      <c r="FF28" s="145">
        <v>0</v>
      </c>
      <c r="FG28" s="145">
        <v>0</v>
      </c>
      <c r="FH28" s="145">
        <v>0</v>
      </c>
      <c r="FI28" s="145">
        <v>0</v>
      </c>
      <c r="FJ28" s="145">
        <v>0</v>
      </c>
      <c r="FK28" s="145">
        <v>0</v>
      </c>
      <c r="FL28" s="145">
        <v>0</v>
      </c>
      <c r="FM28" s="145">
        <v>0</v>
      </c>
      <c r="FN28" s="145">
        <v>0</v>
      </c>
      <c r="FO28" s="145">
        <v>0</v>
      </c>
      <c r="FP28" s="145">
        <v>0</v>
      </c>
      <c r="FQ28" s="145">
        <v>0</v>
      </c>
      <c r="FR28" s="145">
        <v>0</v>
      </c>
      <c r="FS28" s="145">
        <v>0</v>
      </c>
      <c r="FT28" s="145">
        <v>0</v>
      </c>
      <c r="FU28" s="145">
        <v>0</v>
      </c>
      <c r="FV28" s="145">
        <v>0</v>
      </c>
      <c r="FW28" s="145">
        <v>0</v>
      </c>
      <c r="FX28" s="143"/>
      <c r="FY28" s="146" t="str">
        <f>_xlfn.XLOOKUP($E28,'Key assumptions'!$B$112:$B$120,'Key assumptions'!$C$112:$C$120,0)</f>
        <v>Nominal</v>
      </c>
      <c r="FZ28" s="146" cm="1">
        <f t="array" ref="FZ28">IF($FY28=0,0,_xlfn.IFS($FY28='Key assumptions'!$C$120,_xlfn.XLOOKUP(LEFT(FZ$7,6),Inflation_Year,Inflation_NominaltoReal),TRUE,_xlfn.XLOOKUP($FY28,Inflation_Year,NominaltoReal)))</f>
        <v>1.0197075870962191</v>
      </c>
      <c r="GA28" s="146" cm="1">
        <f t="array" ref="GA28">IF($FY28=0,0,_xlfn.IFS($FY28='Key assumptions'!$C$120,_xlfn.XLOOKUP(LEFT(GA$7,6),Inflation_Year,Inflation_NominaltoReal),TRUE,_xlfn.XLOOKUP($FY28,Inflation_Year,NominaltoReal)))</f>
        <v>0.98700804022984445</v>
      </c>
      <c r="GB28" s="146" cm="1">
        <f t="array" ref="GB28">IF($FY28=0,0,_xlfn.IFS($FY28='Key assumptions'!$C$120,_xlfn.XLOOKUP(LEFT(GB$7,6),Inflation_Year,Inflation_NominaltoReal),TRUE,_xlfn.XLOOKUP($FY28,Inflation_Year,NominaltoReal)))</f>
        <v>0.96152830081941731</v>
      </c>
      <c r="GC28" s="146" cm="1">
        <f t="array" ref="GC28">IF($FY28=0,0,_xlfn.IFS($FY28='Key assumptions'!$C$120,_xlfn.XLOOKUP(LEFT(GC$7,6),Inflation_Year,Inflation_NominaltoReal),TRUE,_xlfn.XLOOKUP($FY28,Inflation_Year,NominaltoReal)))</f>
        <v>0.93670632415656829</v>
      </c>
      <c r="GD28" s="146" cm="1">
        <f t="array" ref="GD28">IF($FY28=0,0,_xlfn.IFS($FY28='Key assumptions'!$C$120,_xlfn.XLOOKUP(LEFT(GD$7,6),Inflation_Year,Inflation_NominaltoReal),TRUE,_xlfn.XLOOKUP($FY28,Inflation_Year,NominaltoReal)))</f>
        <v>0.91252513001143176</v>
      </c>
      <c r="GE28" s="146" cm="1">
        <f t="array" ref="GE28">IF($FY28=0,0,_xlfn.IFS($FY28='Key assumptions'!$C$120,_xlfn.XLOOKUP(LEFT(GE$7,6),Inflation_Year,Inflation_NominaltoReal),TRUE,_xlfn.XLOOKUP($FY28,Inflation_Year,NominaltoReal)))</f>
        <v>0.88896817650095872</v>
      </c>
      <c r="GF28" s="146" cm="1">
        <f t="array" ref="GF28">IF($FY28=0,0,_xlfn.IFS($FY28='Key assumptions'!$C$120,_xlfn.XLOOKUP(LEFT(GF$7,6),Inflation_Year,Inflation_NominaltoReal),TRUE,_xlfn.XLOOKUP($FY28,Inflation_Year,NominaltoReal)))</f>
        <v>0.86601934877293718</v>
      </c>
      <c r="GG28" s="143"/>
      <c r="GH28" s="145" cm="1">
        <f t="array" ref="GH28">SUMPRODUCT(--($CR$7:$FW$7&gt;=GH$5),--($CR$7:$FW$7&lt;=GH$6),$CR28:$FW28)*FZ28</f>
        <v>336503.5037417523</v>
      </c>
      <c r="GI28" s="145" cm="1">
        <f t="array" ref="GI28">SUMPRODUCT(--($CR$7:$FW$7&gt;=GI$5),--($CR$7:$FW$7&lt;=GI$6),$CR28:$FW28)*GA28</f>
        <v>59220.482413790669</v>
      </c>
      <c r="GJ28" s="145" cm="1">
        <f t="array" ref="GJ28">SUMPRODUCT(--($CR$7:$FW$7&gt;=GJ$5),--($CR$7:$FW$7&lt;=GJ$6),$CR28:$FW28)*GB28</f>
        <v>48076.415040970867</v>
      </c>
      <c r="GK28" s="145" cm="1">
        <f t="array" ref="GK28">SUMPRODUCT(--($CR$7:$FW$7&gt;=GK$5),--($CR$7:$FW$7&lt;=GK$6),$CR28:$FW28)*GC28</f>
        <v>0</v>
      </c>
      <c r="GL28" s="145" cm="1">
        <f t="array" ref="GL28">SUMPRODUCT(--($CR$7:$FW$7&gt;=GL$5),--($CR$7:$FW$7&lt;=GL$6),$CR28:$FW28)*GD28</f>
        <v>0</v>
      </c>
      <c r="GM28" s="145" cm="1">
        <f t="array" ref="GM28">SUMPRODUCT(--($CR$7:$FW$7&gt;=GM$5),--($CR$7:$FW$7&lt;=GM$6),$CR28:$FW28)*GE28</f>
        <v>0</v>
      </c>
      <c r="GN28" s="145" cm="1">
        <f t="array" ref="GN28">SUMPRODUCT(--($CR$7:$FW$7&gt;=GN$5),--($CR$7:$FW$7&lt;=GN$6),$CR28:$FW28)*GF28</f>
        <v>0</v>
      </c>
      <c r="GO28" s="145">
        <f t="shared" si="0"/>
        <v>443800.40119651379</v>
      </c>
      <c r="GP28" s="87"/>
      <c r="GR28" s="145" cm="1">
        <f t="array" ref="GR28">SUMPRODUCT(--($CR$7:$FW$7&gt;=GR$5),--($CR$7:$FW$7&lt;=GR$6),$CR28:$FW28)</f>
        <v>315000</v>
      </c>
    </row>
    <row r="29" spans="1:200" s="64" customFormat="1" x14ac:dyDescent="0.2">
      <c r="A29" s="65"/>
      <c r="B29" s="141" t="str">
        <v>Other Support &amp; Corporate Roles</v>
      </c>
      <c r="C29" s="141" t="str">
        <v>Assurance Gate - External</v>
      </c>
      <c r="D29" s="141" t="str">
        <v>Non-labour</v>
      </c>
      <c r="E29" s="141" t="str">
        <v>$ Nominal</v>
      </c>
      <c r="F29" s="141">
        <v>0</v>
      </c>
      <c r="G29" s="141" t="str">
        <v/>
      </c>
      <c r="H29" s="142">
        <v>0</v>
      </c>
      <c r="I29" s="126">
        <v>230000</v>
      </c>
      <c r="J29" s="143">
        <v>0</v>
      </c>
      <c r="K29" s="144">
        <v>0</v>
      </c>
      <c r="L29" s="144">
        <v>0</v>
      </c>
      <c r="M29" s="144">
        <v>0</v>
      </c>
      <c r="N29" s="144">
        <v>0</v>
      </c>
      <c r="O29" s="144">
        <v>0</v>
      </c>
      <c r="P29" s="144">
        <v>0</v>
      </c>
      <c r="Q29" s="144">
        <v>0</v>
      </c>
      <c r="R29" s="144">
        <v>0</v>
      </c>
      <c r="S29" s="144">
        <v>0</v>
      </c>
      <c r="T29" s="144">
        <v>0</v>
      </c>
      <c r="U29" s="144">
        <v>0</v>
      </c>
      <c r="V29" s="144">
        <v>0</v>
      </c>
      <c r="W29" s="144">
        <v>0</v>
      </c>
      <c r="X29" s="144">
        <v>0</v>
      </c>
      <c r="Y29" s="144">
        <v>0.21739130434782608</v>
      </c>
      <c r="Z29" s="144">
        <v>0.21739130434782608</v>
      </c>
      <c r="AA29" s="144">
        <v>0</v>
      </c>
      <c r="AB29" s="144">
        <v>0</v>
      </c>
      <c r="AC29" s="144">
        <v>0</v>
      </c>
      <c r="AD29" s="144">
        <v>0</v>
      </c>
      <c r="AE29" s="144">
        <v>0</v>
      </c>
      <c r="AF29" s="144">
        <v>0</v>
      </c>
      <c r="AG29" s="144">
        <v>0</v>
      </c>
      <c r="AH29" s="144">
        <v>0</v>
      </c>
      <c r="AI29" s="144">
        <v>0</v>
      </c>
      <c r="AJ29" s="144">
        <v>0</v>
      </c>
      <c r="AK29" s="144">
        <v>0</v>
      </c>
      <c r="AL29" s="144">
        <v>0</v>
      </c>
      <c r="AM29" s="144">
        <v>0</v>
      </c>
      <c r="AN29" s="144">
        <v>0</v>
      </c>
      <c r="AO29" s="144">
        <v>0</v>
      </c>
      <c r="AP29" s="144">
        <v>0</v>
      </c>
      <c r="AQ29" s="144">
        <v>0</v>
      </c>
      <c r="AR29" s="144">
        <v>0</v>
      </c>
      <c r="AS29" s="144">
        <v>0</v>
      </c>
      <c r="AT29" s="144">
        <v>0</v>
      </c>
      <c r="AU29" s="144">
        <v>0</v>
      </c>
      <c r="AV29" s="144">
        <v>0.2608695652173913</v>
      </c>
      <c r="AW29" s="144">
        <v>0.30434782608695654</v>
      </c>
      <c r="AX29" s="144">
        <v>0</v>
      </c>
      <c r="AY29" s="144">
        <v>0</v>
      </c>
      <c r="AZ29" s="144">
        <v>0</v>
      </c>
      <c r="BA29" s="144">
        <v>0</v>
      </c>
      <c r="BB29" s="144">
        <v>0</v>
      </c>
      <c r="BC29" s="144">
        <v>0</v>
      </c>
      <c r="BD29" s="144">
        <v>0</v>
      </c>
      <c r="BE29" s="144">
        <v>0</v>
      </c>
      <c r="BF29" s="144">
        <v>0</v>
      </c>
      <c r="BG29" s="144">
        <v>0</v>
      </c>
      <c r="BH29" s="144">
        <v>0</v>
      </c>
      <c r="BI29" s="144">
        <v>0</v>
      </c>
      <c r="BJ29" s="144">
        <v>0</v>
      </c>
      <c r="BK29" s="144">
        <v>0</v>
      </c>
      <c r="BL29" s="144">
        <v>0</v>
      </c>
      <c r="BM29" s="144">
        <v>0</v>
      </c>
      <c r="BN29" s="144">
        <v>0</v>
      </c>
      <c r="BO29" s="144">
        <v>0</v>
      </c>
      <c r="BP29" s="144">
        <v>0</v>
      </c>
      <c r="BQ29" s="144">
        <v>0</v>
      </c>
      <c r="BR29" s="144">
        <v>0</v>
      </c>
      <c r="BS29" s="144">
        <v>0</v>
      </c>
      <c r="BT29" s="144">
        <v>0</v>
      </c>
      <c r="BU29" s="144">
        <v>0</v>
      </c>
      <c r="BV29" s="144">
        <v>0</v>
      </c>
      <c r="BW29" s="144">
        <v>0</v>
      </c>
      <c r="BX29" s="144">
        <v>0</v>
      </c>
      <c r="BY29" s="144">
        <v>0</v>
      </c>
      <c r="BZ29" s="144">
        <v>0</v>
      </c>
      <c r="CA29" s="144">
        <v>0</v>
      </c>
      <c r="CB29" s="144">
        <v>0</v>
      </c>
      <c r="CC29" s="144">
        <v>0</v>
      </c>
      <c r="CD29" s="144">
        <v>0</v>
      </c>
      <c r="CE29" s="144">
        <v>0</v>
      </c>
      <c r="CF29" s="144">
        <v>0</v>
      </c>
      <c r="CG29" s="144">
        <v>0</v>
      </c>
      <c r="CH29" s="144">
        <v>0</v>
      </c>
      <c r="CI29" s="144">
        <v>0</v>
      </c>
      <c r="CJ29" s="144">
        <v>0</v>
      </c>
      <c r="CK29" s="144">
        <v>0</v>
      </c>
      <c r="CL29" s="144">
        <v>0</v>
      </c>
      <c r="CM29" s="144">
        <v>0</v>
      </c>
      <c r="CN29" s="144">
        <v>0</v>
      </c>
      <c r="CO29" s="144">
        <v>0</v>
      </c>
      <c r="CP29" s="144">
        <v>0</v>
      </c>
      <c r="CQ29" s="143">
        <v>0</v>
      </c>
      <c r="CR29" s="145">
        <v>0</v>
      </c>
      <c r="CS29" s="145">
        <v>0</v>
      </c>
      <c r="CT29" s="145">
        <v>0</v>
      </c>
      <c r="CU29" s="145">
        <v>0</v>
      </c>
      <c r="CV29" s="145">
        <v>0</v>
      </c>
      <c r="CW29" s="145">
        <v>0</v>
      </c>
      <c r="CX29" s="145">
        <v>0</v>
      </c>
      <c r="CY29" s="145">
        <v>0</v>
      </c>
      <c r="CZ29" s="145">
        <v>0</v>
      </c>
      <c r="DA29" s="145">
        <v>0</v>
      </c>
      <c r="DB29" s="145">
        <v>0</v>
      </c>
      <c r="DC29" s="145">
        <v>0</v>
      </c>
      <c r="DD29" s="145">
        <v>0</v>
      </c>
      <c r="DE29" s="145">
        <v>0</v>
      </c>
      <c r="DF29" s="145">
        <v>50000</v>
      </c>
      <c r="DG29" s="145">
        <v>50000</v>
      </c>
      <c r="DH29" s="145">
        <v>0</v>
      </c>
      <c r="DI29" s="145">
        <v>0</v>
      </c>
      <c r="DJ29" s="145">
        <v>0</v>
      </c>
      <c r="DK29" s="145">
        <v>0</v>
      </c>
      <c r="DL29" s="145">
        <v>0</v>
      </c>
      <c r="DM29" s="145">
        <v>0</v>
      </c>
      <c r="DN29" s="145">
        <v>0</v>
      </c>
      <c r="DO29" s="145">
        <v>0</v>
      </c>
      <c r="DP29" s="145">
        <v>0</v>
      </c>
      <c r="DQ29" s="145">
        <v>0</v>
      </c>
      <c r="DR29" s="145">
        <v>0</v>
      </c>
      <c r="DS29" s="145">
        <v>0</v>
      </c>
      <c r="DT29" s="145">
        <v>0</v>
      </c>
      <c r="DU29" s="145">
        <v>0</v>
      </c>
      <c r="DV29" s="145">
        <v>0</v>
      </c>
      <c r="DW29" s="145">
        <v>0</v>
      </c>
      <c r="DX29" s="145">
        <v>0</v>
      </c>
      <c r="DY29" s="145">
        <v>0</v>
      </c>
      <c r="DZ29" s="145">
        <v>0</v>
      </c>
      <c r="EA29" s="145">
        <v>0</v>
      </c>
      <c r="EB29" s="145">
        <v>0</v>
      </c>
      <c r="EC29" s="145">
        <v>60000</v>
      </c>
      <c r="ED29" s="145">
        <v>70000</v>
      </c>
      <c r="EE29" s="145">
        <v>0</v>
      </c>
      <c r="EF29" s="145">
        <v>0</v>
      </c>
      <c r="EG29" s="145">
        <v>0</v>
      </c>
      <c r="EH29" s="145">
        <v>0</v>
      </c>
      <c r="EI29" s="145">
        <v>0</v>
      </c>
      <c r="EJ29" s="145">
        <v>0</v>
      </c>
      <c r="EK29" s="145">
        <v>0</v>
      </c>
      <c r="EL29" s="145">
        <v>0</v>
      </c>
      <c r="EM29" s="145">
        <v>0</v>
      </c>
      <c r="EN29" s="145">
        <v>0</v>
      </c>
      <c r="EO29" s="145">
        <v>0</v>
      </c>
      <c r="EP29" s="145">
        <v>0</v>
      </c>
      <c r="EQ29" s="145">
        <v>0</v>
      </c>
      <c r="ER29" s="145">
        <v>0</v>
      </c>
      <c r="ES29" s="145">
        <v>0</v>
      </c>
      <c r="ET29" s="145">
        <v>0</v>
      </c>
      <c r="EU29" s="145">
        <v>0</v>
      </c>
      <c r="EV29" s="145">
        <v>0</v>
      </c>
      <c r="EW29" s="145">
        <v>0</v>
      </c>
      <c r="EX29" s="145">
        <v>0</v>
      </c>
      <c r="EY29" s="145">
        <v>0</v>
      </c>
      <c r="EZ29" s="145">
        <v>0</v>
      </c>
      <c r="FA29" s="145">
        <v>0</v>
      </c>
      <c r="FB29" s="145">
        <v>0</v>
      </c>
      <c r="FC29" s="145">
        <v>0</v>
      </c>
      <c r="FD29" s="145">
        <v>0</v>
      </c>
      <c r="FE29" s="145">
        <v>0</v>
      </c>
      <c r="FF29" s="145">
        <v>0</v>
      </c>
      <c r="FG29" s="145">
        <v>0</v>
      </c>
      <c r="FH29" s="145">
        <v>0</v>
      </c>
      <c r="FI29" s="145">
        <v>0</v>
      </c>
      <c r="FJ29" s="145">
        <v>0</v>
      </c>
      <c r="FK29" s="145">
        <v>0</v>
      </c>
      <c r="FL29" s="145">
        <v>0</v>
      </c>
      <c r="FM29" s="145">
        <v>0</v>
      </c>
      <c r="FN29" s="145">
        <v>0</v>
      </c>
      <c r="FO29" s="145">
        <v>0</v>
      </c>
      <c r="FP29" s="145">
        <v>0</v>
      </c>
      <c r="FQ29" s="145">
        <v>0</v>
      </c>
      <c r="FR29" s="145">
        <v>0</v>
      </c>
      <c r="FS29" s="145">
        <v>0</v>
      </c>
      <c r="FT29" s="145">
        <v>0</v>
      </c>
      <c r="FU29" s="145">
        <v>0</v>
      </c>
      <c r="FV29" s="145">
        <v>0</v>
      </c>
      <c r="FW29" s="145">
        <v>0</v>
      </c>
      <c r="FX29" s="143"/>
      <c r="FY29" s="146" t="str">
        <f>_xlfn.XLOOKUP($E29,'Key assumptions'!$B$112:$B$120,'Key assumptions'!$C$112:$C$120,0)</f>
        <v>Nominal</v>
      </c>
      <c r="FZ29" s="146" cm="1">
        <f t="array" ref="FZ29">IF($FY29=0,0,_xlfn.IFS($FY29='Key assumptions'!$C$120,_xlfn.XLOOKUP(LEFT(FZ$7,6),Inflation_Year,Inflation_NominaltoReal),TRUE,_xlfn.XLOOKUP($FY29,Inflation_Year,NominaltoReal)))</f>
        <v>1.0197075870962191</v>
      </c>
      <c r="GA29" s="146" cm="1">
        <f t="array" ref="GA29">IF($FY29=0,0,_xlfn.IFS($FY29='Key assumptions'!$C$120,_xlfn.XLOOKUP(LEFT(GA$7,6),Inflation_Year,Inflation_NominaltoReal),TRUE,_xlfn.XLOOKUP($FY29,Inflation_Year,NominaltoReal)))</f>
        <v>0.98700804022984445</v>
      </c>
      <c r="GB29" s="146" cm="1">
        <f t="array" ref="GB29">IF($FY29=0,0,_xlfn.IFS($FY29='Key assumptions'!$C$120,_xlfn.XLOOKUP(LEFT(GB$7,6),Inflation_Year,Inflation_NominaltoReal),TRUE,_xlfn.XLOOKUP($FY29,Inflation_Year,NominaltoReal)))</f>
        <v>0.96152830081941731</v>
      </c>
      <c r="GC29" s="146" cm="1">
        <f t="array" ref="GC29">IF($FY29=0,0,_xlfn.IFS($FY29='Key assumptions'!$C$120,_xlfn.XLOOKUP(LEFT(GC$7,6),Inflation_Year,Inflation_NominaltoReal),TRUE,_xlfn.XLOOKUP($FY29,Inflation_Year,NominaltoReal)))</f>
        <v>0.93670632415656829</v>
      </c>
      <c r="GD29" s="146" cm="1">
        <f t="array" ref="GD29">IF($FY29=0,0,_xlfn.IFS($FY29='Key assumptions'!$C$120,_xlfn.XLOOKUP(LEFT(GD$7,6),Inflation_Year,Inflation_NominaltoReal),TRUE,_xlfn.XLOOKUP($FY29,Inflation_Year,NominaltoReal)))</f>
        <v>0.91252513001143176</v>
      </c>
      <c r="GE29" s="146" cm="1">
        <f t="array" ref="GE29">IF($FY29=0,0,_xlfn.IFS($FY29='Key assumptions'!$C$120,_xlfn.XLOOKUP(LEFT(GE$7,6),Inflation_Year,Inflation_NominaltoReal),TRUE,_xlfn.XLOOKUP($FY29,Inflation_Year,NominaltoReal)))</f>
        <v>0.88896817650095872</v>
      </c>
      <c r="GF29" s="146" cm="1">
        <f t="array" ref="GF29">IF($FY29=0,0,_xlfn.IFS($FY29='Key assumptions'!$C$120,_xlfn.XLOOKUP(LEFT(GF$7,6),Inflation_Year,Inflation_NominaltoReal),TRUE,_xlfn.XLOOKUP($FY29,Inflation_Year,NominaltoReal)))</f>
        <v>0.86601934877293718</v>
      </c>
      <c r="GG29" s="143"/>
      <c r="GH29" s="145" cm="1">
        <f t="array" ref="GH29">SUMPRODUCT(--($CR$7:$FW$7&gt;=GH$5),--($CR$7:$FW$7&lt;=GH$6),$CR29:$FW29)*FZ29</f>
        <v>101970.75870962191</v>
      </c>
      <c r="GI29" s="145" cm="1">
        <f t="array" ref="GI29">SUMPRODUCT(--($CR$7:$FW$7&gt;=GI$5),--($CR$7:$FW$7&lt;=GI$6),$CR29:$FW29)*GA29</f>
        <v>0</v>
      </c>
      <c r="GJ29" s="145" cm="1">
        <f t="array" ref="GJ29">SUMPRODUCT(--($CR$7:$FW$7&gt;=GJ$5),--($CR$7:$FW$7&lt;=GJ$6),$CR29:$FW29)*GB29</f>
        <v>124998.67910652426</v>
      </c>
      <c r="GK29" s="145" cm="1">
        <f t="array" ref="GK29">SUMPRODUCT(--($CR$7:$FW$7&gt;=GK$5),--($CR$7:$FW$7&lt;=GK$6),$CR29:$FW29)*GC29</f>
        <v>0</v>
      </c>
      <c r="GL29" s="145" cm="1">
        <f t="array" ref="GL29">SUMPRODUCT(--($CR$7:$FW$7&gt;=GL$5),--($CR$7:$FW$7&lt;=GL$6),$CR29:$FW29)*GD29</f>
        <v>0</v>
      </c>
      <c r="GM29" s="145" cm="1">
        <f t="array" ref="GM29">SUMPRODUCT(--($CR$7:$FW$7&gt;=GM$5),--($CR$7:$FW$7&lt;=GM$6),$CR29:$FW29)*GE29</f>
        <v>0</v>
      </c>
      <c r="GN29" s="145" cm="1">
        <f t="array" ref="GN29">SUMPRODUCT(--($CR$7:$FW$7&gt;=GN$5),--($CR$7:$FW$7&lt;=GN$6),$CR29:$FW29)*GF29</f>
        <v>0</v>
      </c>
      <c r="GO29" s="145">
        <f t="shared" si="0"/>
        <v>226969.43781614618</v>
      </c>
      <c r="GP29" s="87"/>
      <c r="GR29" s="145" cm="1">
        <f t="array" ref="GR29">SUMPRODUCT(--($CR$7:$FW$7&gt;=GR$5),--($CR$7:$FW$7&lt;=GR$6),$CR29:$FW29)</f>
        <v>100000</v>
      </c>
    </row>
    <row r="30" spans="1:200" s="64" customFormat="1" x14ac:dyDescent="0.2">
      <c r="A30" s="65"/>
      <c r="B30" s="141" t="str">
        <v>Other Support &amp; Corporate Roles</v>
      </c>
      <c r="C30" s="141" t="str">
        <v>Overarching Business Costs</v>
      </c>
      <c r="D30" s="141" t="str">
        <v>Non-labour</v>
      </c>
      <c r="E30" s="141" t="str">
        <v>$ Nominal</v>
      </c>
      <c r="F30" s="141">
        <v>0</v>
      </c>
      <c r="G30" s="141" t="str">
        <v/>
      </c>
      <c r="H30" s="142">
        <v>0</v>
      </c>
      <c r="I30" s="126">
        <v>7287758.0034106616</v>
      </c>
      <c r="J30" s="143">
        <v>0</v>
      </c>
      <c r="K30" s="144">
        <v>0</v>
      </c>
      <c r="L30" s="144">
        <v>0</v>
      </c>
      <c r="M30" s="144">
        <v>0</v>
      </c>
      <c r="N30" s="144">
        <v>0</v>
      </c>
      <c r="O30" s="144">
        <v>0</v>
      </c>
      <c r="P30" s="144">
        <v>0</v>
      </c>
      <c r="Q30" s="144">
        <v>0</v>
      </c>
      <c r="R30" s="144">
        <v>0</v>
      </c>
      <c r="S30" s="144">
        <v>0</v>
      </c>
      <c r="T30" s="144">
        <v>0</v>
      </c>
      <c r="U30" s="144">
        <v>0</v>
      </c>
      <c r="V30" s="144">
        <v>0</v>
      </c>
      <c r="W30" s="144">
        <v>0</v>
      </c>
      <c r="X30" s="144">
        <v>5.2026467683174836E-2</v>
      </c>
      <c r="Y30" s="144">
        <v>2.4165973462576935E-2</v>
      </c>
      <c r="Z30" s="144">
        <v>2.4165973462576935E-2</v>
      </c>
      <c r="AA30" s="144">
        <v>2.1200813008578182E-2</v>
      </c>
      <c r="AB30" s="144">
        <v>2.1200813008578182E-2</v>
      </c>
      <c r="AC30" s="144">
        <v>2.1200813008578182E-2</v>
      </c>
      <c r="AD30" s="144">
        <v>2.1200813008578182E-2</v>
      </c>
      <c r="AE30" s="144">
        <v>2.1200813008578182E-2</v>
      </c>
      <c r="AF30" s="144">
        <v>2.1200813008578182E-2</v>
      </c>
      <c r="AG30" s="144">
        <v>2.2044545413676387E-2</v>
      </c>
      <c r="AH30" s="144">
        <v>2.2044545413676387E-2</v>
      </c>
      <c r="AI30" s="144">
        <v>2.6037364763422662E-2</v>
      </c>
      <c r="AJ30" s="144">
        <v>2.6037364763422662E-2</v>
      </c>
      <c r="AK30" s="144">
        <v>2.6037364763422662E-2</v>
      </c>
      <c r="AL30" s="144">
        <v>2.6037364763422662E-2</v>
      </c>
      <c r="AM30" s="144">
        <v>2.6037364763422662E-2</v>
      </c>
      <c r="AN30" s="144">
        <v>2.6037364763422662E-2</v>
      </c>
      <c r="AO30" s="144">
        <v>2.6037364763422662E-2</v>
      </c>
      <c r="AP30" s="144">
        <v>2.6037364763422662E-2</v>
      </c>
      <c r="AQ30" s="144">
        <v>2.6037364763422662E-2</v>
      </c>
      <c r="AR30" s="144">
        <v>2.6037364763422662E-2</v>
      </c>
      <c r="AS30" s="144">
        <v>3.0657130072523311E-2</v>
      </c>
      <c r="AT30" s="144">
        <v>3.363975683123839E-2</v>
      </c>
      <c r="AU30" s="144">
        <v>3.363975683123839E-2</v>
      </c>
      <c r="AV30" s="144">
        <v>3.363975683123839E-2</v>
      </c>
      <c r="AW30" s="144">
        <v>3.363975683123839E-2</v>
      </c>
      <c r="AX30" s="144">
        <v>3.363975683123839E-2</v>
      </c>
      <c r="AY30" s="144">
        <v>3.363975683123839E-2</v>
      </c>
      <c r="AZ30" s="144">
        <v>3.363975683123839E-2</v>
      </c>
      <c r="BA30" s="144">
        <v>3.363975683123839E-2</v>
      </c>
      <c r="BB30" s="144">
        <v>3.363975683123839E-2</v>
      </c>
      <c r="BC30" s="144">
        <v>3.363975683123839E-2</v>
      </c>
      <c r="BD30" s="144">
        <v>3.363975683123839E-2</v>
      </c>
      <c r="BE30" s="144">
        <v>3.363975683123839E-2</v>
      </c>
      <c r="BF30" s="144">
        <v>3.363975683123839E-2</v>
      </c>
      <c r="BG30" s="144">
        <v>0</v>
      </c>
      <c r="BH30" s="144">
        <v>0</v>
      </c>
      <c r="BI30" s="144">
        <v>0</v>
      </c>
      <c r="BJ30" s="144">
        <v>0</v>
      </c>
      <c r="BK30" s="144">
        <v>0</v>
      </c>
      <c r="BL30" s="144">
        <v>0</v>
      </c>
      <c r="BM30" s="144">
        <v>0</v>
      </c>
      <c r="BN30" s="144">
        <v>0</v>
      </c>
      <c r="BO30" s="144">
        <v>0</v>
      </c>
      <c r="BP30" s="144">
        <v>0</v>
      </c>
      <c r="BQ30" s="144">
        <v>0</v>
      </c>
      <c r="BR30" s="144">
        <v>0</v>
      </c>
      <c r="BS30" s="144">
        <v>0</v>
      </c>
      <c r="BT30" s="144">
        <v>0</v>
      </c>
      <c r="BU30" s="144">
        <v>0</v>
      </c>
      <c r="BV30" s="144">
        <v>0</v>
      </c>
      <c r="BW30" s="144">
        <v>0</v>
      </c>
      <c r="BX30" s="144">
        <v>0</v>
      </c>
      <c r="BY30" s="144">
        <v>0</v>
      </c>
      <c r="BZ30" s="144">
        <v>0</v>
      </c>
      <c r="CA30" s="144">
        <v>0</v>
      </c>
      <c r="CB30" s="144">
        <v>0</v>
      </c>
      <c r="CC30" s="144">
        <v>0</v>
      </c>
      <c r="CD30" s="144">
        <v>0</v>
      </c>
      <c r="CE30" s="144">
        <v>0</v>
      </c>
      <c r="CF30" s="144">
        <v>0</v>
      </c>
      <c r="CG30" s="144">
        <v>0</v>
      </c>
      <c r="CH30" s="144">
        <v>0</v>
      </c>
      <c r="CI30" s="144">
        <v>0</v>
      </c>
      <c r="CJ30" s="144">
        <v>0</v>
      </c>
      <c r="CK30" s="144">
        <v>0</v>
      </c>
      <c r="CL30" s="144">
        <v>0</v>
      </c>
      <c r="CM30" s="144">
        <v>0</v>
      </c>
      <c r="CN30" s="144">
        <v>0</v>
      </c>
      <c r="CO30" s="144">
        <v>0</v>
      </c>
      <c r="CP30" s="144">
        <v>0</v>
      </c>
      <c r="CQ30" s="143">
        <v>0</v>
      </c>
      <c r="CR30" s="145">
        <v>0</v>
      </c>
      <c r="CS30" s="145">
        <v>0</v>
      </c>
      <c r="CT30" s="145">
        <v>0</v>
      </c>
      <c r="CU30" s="145">
        <v>0</v>
      </c>
      <c r="CV30" s="145">
        <v>0</v>
      </c>
      <c r="CW30" s="145">
        <v>0</v>
      </c>
      <c r="CX30" s="145">
        <v>0</v>
      </c>
      <c r="CY30" s="145">
        <v>0</v>
      </c>
      <c r="CZ30" s="145">
        <v>0</v>
      </c>
      <c r="DA30" s="145">
        <v>0</v>
      </c>
      <c r="DB30" s="145">
        <v>0</v>
      </c>
      <c r="DC30" s="145">
        <v>0</v>
      </c>
      <c r="DD30" s="145">
        <v>0</v>
      </c>
      <c r="DE30" s="145">
        <v>379156.30624724354</v>
      </c>
      <c r="DF30" s="145">
        <v>176115.76651210472</v>
      </c>
      <c r="DG30" s="145">
        <v>176115.76651210472</v>
      </c>
      <c r="DH30" s="145">
        <v>154506.39468207851</v>
      </c>
      <c r="DI30" s="145">
        <v>154506.39468207851</v>
      </c>
      <c r="DJ30" s="145">
        <v>154506.39468207851</v>
      </c>
      <c r="DK30" s="145">
        <v>154506.39468207851</v>
      </c>
      <c r="DL30" s="145">
        <v>154506.39468207851</v>
      </c>
      <c r="DM30" s="145">
        <v>154506.39468207851</v>
      </c>
      <c r="DN30" s="145">
        <v>160655.31227006987</v>
      </c>
      <c r="DO30" s="145">
        <v>160655.31227006987</v>
      </c>
      <c r="DP30" s="145">
        <v>189754.01344235626</v>
      </c>
      <c r="DQ30" s="145">
        <v>189754.01344235626</v>
      </c>
      <c r="DR30" s="145">
        <v>189754.01344235626</v>
      </c>
      <c r="DS30" s="145">
        <v>189754.01344235626</v>
      </c>
      <c r="DT30" s="145">
        <v>189754.01344235626</v>
      </c>
      <c r="DU30" s="145">
        <v>189754.01344235626</v>
      </c>
      <c r="DV30" s="145">
        <v>189754.01344235626</v>
      </c>
      <c r="DW30" s="145">
        <v>189754.01344235626</v>
      </c>
      <c r="DX30" s="145">
        <v>189754.01344235626</v>
      </c>
      <c r="DY30" s="145">
        <v>189754.01344235626</v>
      </c>
      <c r="DZ30" s="145">
        <v>223421.74504763345</v>
      </c>
      <c r="EA30" s="145">
        <v>245158.40707964604</v>
      </c>
      <c r="EB30" s="145">
        <v>245158.40707964604</v>
      </c>
      <c r="EC30" s="145">
        <v>245158.40707964604</v>
      </c>
      <c r="ED30" s="145">
        <v>245158.40707964604</v>
      </c>
      <c r="EE30" s="145">
        <v>245158.40707964604</v>
      </c>
      <c r="EF30" s="145">
        <v>245158.40707964604</v>
      </c>
      <c r="EG30" s="145">
        <v>245158.40707964604</v>
      </c>
      <c r="EH30" s="145">
        <v>245158.40707964604</v>
      </c>
      <c r="EI30" s="145">
        <v>245158.40707964604</v>
      </c>
      <c r="EJ30" s="145">
        <v>245158.40707964604</v>
      </c>
      <c r="EK30" s="145">
        <v>245158.40707964604</v>
      </c>
      <c r="EL30" s="145">
        <v>245158.40707964604</v>
      </c>
      <c r="EM30" s="145">
        <v>245158.40707964604</v>
      </c>
      <c r="EN30" s="145">
        <v>0</v>
      </c>
      <c r="EO30" s="145">
        <v>0</v>
      </c>
      <c r="EP30" s="145">
        <v>0</v>
      </c>
      <c r="EQ30" s="145">
        <v>0</v>
      </c>
      <c r="ER30" s="145">
        <v>0</v>
      </c>
      <c r="ES30" s="145">
        <v>0</v>
      </c>
      <c r="ET30" s="145">
        <v>0</v>
      </c>
      <c r="EU30" s="145">
        <v>0</v>
      </c>
      <c r="EV30" s="145">
        <v>0</v>
      </c>
      <c r="EW30" s="145">
        <v>0</v>
      </c>
      <c r="EX30" s="145">
        <v>0</v>
      </c>
      <c r="EY30" s="145">
        <v>0</v>
      </c>
      <c r="EZ30" s="145">
        <v>0</v>
      </c>
      <c r="FA30" s="145">
        <v>0</v>
      </c>
      <c r="FB30" s="145">
        <v>0</v>
      </c>
      <c r="FC30" s="145">
        <v>0</v>
      </c>
      <c r="FD30" s="145">
        <v>0</v>
      </c>
      <c r="FE30" s="145">
        <v>0</v>
      </c>
      <c r="FF30" s="145">
        <v>0</v>
      </c>
      <c r="FG30" s="145">
        <v>0</v>
      </c>
      <c r="FH30" s="145">
        <v>0</v>
      </c>
      <c r="FI30" s="145">
        <v>0</v>
      </c>
      <c r="FJ30" s="145">
        <v>0</v>
      </c>
      <c r="FK30" s="145">
        <v>0</v>
      </c>
      <c r="FL30" s="145">
        <v>0</v>
      </c>
      <c r="FM30" s="145">
        <v>0</v>
      </c>
      <c r="FN30" s="145">
        <v>0</v>
      </c>
      <c r="FO30" s="145">
        <v>0</v>
      </c>
      <c r="FP30" s="145">
        <v>0</v>
      </c>
      <c r="FQ30" s="145">
        <v>0</v>
      </c>
      <c r="FR30" s="145">
        <v>0</v>
      </c>
      <c r="FS30" s="145">
        <v>0</v>
      </c>
      <c r="FT30" s="145">
        <v>0</v>
      </c>
      <c r="FU30" s="145">
        <v>0</v>
      </c>
      <c r="FV30" s="145">
        <v>0</v>
      </c>
      <c r="FW30" s="145">
        <v>0</v>
      </c>
      <c r="FX30" s="143"/>
      <c r="FY30" s="146" t="str">
        <f>_xlfn.XLOOKUP($E30,'Key assumptions'!$B$112:$B$120,'Key assumptions'!$C$112:$C$120,0)</f>
        <v>Nominal</v>
      </c>
      <c r="FZ30" s="146" cm="1">
        <f t="array" ref="FZ30">IF($FY30=0,0,_xlfn.IFS($FY30='Key assumptions'!$C$120,_xlfn.XLOOKUP(LEFT(FZ$7,6),Inflation_Year,Inflation_NominaltoReal),TRUE,_xlfn.XLOOKUP($FY30,Inflation_Year,NominaltoReal)))</f>
        <v>1.0197075870962191</v>
      </c>
      <c r="GA30" s="146" cm="1">
        <f t="array" ref="GA30">IF($FY30=0,0,_xlfn.IFS($FY30='Key assumptions'!$C$120,_xlfn.XLOOKUP(LEFT(GA$7,6),Inflation_Year,Inflation_NominaltoReal),TRUE,_xlfn.XLOOKUP($FY30,Inflation_Year,NominaltoReal)))</f>
        <v>0.98700804022984445</v>
      </c>
      <c r="GB30" s="146" cm="1">
        <f t="array" ref="GB30">IF($FY30=0,0,_xlfn.IFS($FY30='Key assumptions'!$C$120,_xlfn.XLOOKUP(LEFT(GB$7,6),Inflation_Year,Inflation_NominaltoReal),TRUE,_xlfn.XLOOKUP($FY30,Inflation_Year,NominaltoReal)))</f>
        <v>0.96152830081941731</v>
      </c>
      <c r="GC30" s="146" cm="1">
        <f t="array" ref="GC30">IF($FY30=0,0,_xlfn.IFS($FY30='Key assumptions'!$C$120,_xlfn.XLOOKUP(LEFT(GC$7,6),Inflation_Year,Inflation_NominaltoReal),TRUE,_xlfn.XLOOKUP($FY30,Inflation_Year,NominaltoReal)))</f>
        <v>0.93670632415656829</v>
      </c>
      <c r="GD30" s="146" cm="1">
        <f t="array" ref="GD30">IF($FY30=0,0,_xlfn.IFS($FY30='Key assumptions'!$C$120,_xlfn.XLOOKUP(LEFT(GD$7,6),Inflation_Year,Inflation_NominaltoReal),TRUE,_xlfn.XLOOKUP($FY30,Inflation_Year,NominaltoReal)))</f>
        <v>0.91252513001143176</v>
      </c>
      <c r="GE30" s="146" cm="1">
        <f t="array" ref="GE30">IF($FY30=0,0,_xlfn.IFS($FY30='Key assumptions'!$C$120,_xlfn.XLOOKUP(LEFT(GE$7,6),Inflation_Year,Inflation_NominaltoReal),TRUE,_xlfn.XLOOKUP($FY30,Inflation_Year,NominaltoReal)))</f>
        <v>0.88896817650095872</v>
      </c>
      <c r="GF30" s="146" cm="1">
        <f t="array" ref="GF30">IF($FY30=0,0,_xlfn.IFS($FY30='Key assumptions'!$C$120,_xlfn.XLOOKUP(LEFT(GF$7,6),Inflation_Year,Inflation_NominaltoReal),TRUE,_xlfn.XLOOKUP($FY30,Inflation_Year,NominaltoReal)))</f>
        <v>0.86601934877293718</v>
      </c>
      <c r="GG30" s="143"/>
      <c r="GH30" s="145" cm="1">
        <f t="array" ref="GH30">SUMPRODUCT(--($CR$7:$FW$7&gt;=GH$5),--($CR$7:$FW$7&lt;=GH$6),$CR30:$FW30)*FZ30</f>
        <v>1533558.4433760028</v>
      </c>
      <c r="GI30" s="145" cm="1">
        <f t="array" ref="GI30">SUMPRODUCT(--($CR$7:$FW$7&gt;=GI$5),--($CR$7:$FW$7&lt;=GI$6),$CR30:$FW30)*GA30</f>
        <v>2155233.8560519158</v>
      </c>
      <c r="GJ30" s="145" cm="1">
        <f t="array" ref="GJ30">SUMPRODUCT(--($CR$7:$FW$7&gt;=GJ$5),--($CR$7:$FW$7&lt;=GJ$6),$CR30:$FW30)*GB30</f>
        <v>2754547.6509095244</v>
      </c>
      <c r="GK30" s="145" cm="1">
        <f t="array" ref="GK30">SUMPRODUCT(--($CR$7:$FW$7&gt;=GK$5),--($CR$7:$FW$7&lt;=GK$6),$CR30:$FW30)*GC30</f>
        <v>688924.29099496454</v>
      </c>
      <c r="GL30" s="145" cm="1">
        <f t="array" ref="GL30">SUMPRODUCT(--($CR$7:$FW$7&gt;=GL$5),--($CR$7:$FW$7&lt;=GL$6),$CR30:$FW30)*GD30</f>
        <v>0</v>
      </c>
      <c r="GM30" s="145" cm="1">
        <f t="array" ref="GM30">SUMPRODUCT(--($CR$7:$FW$7&gt;=GM$5),--($CR$7:$FW$7&lt;=GM$6),$CR30:$FW30)*GE30</f>
        <v>0</v>
      </c>
      <c r="GN30" s="145" cm="1">
        <f t="array" ref="GN30">SUMPRODUCT(--($CR$7:$FW$7&gt;=GN$5),--($CR$7:$FW$7&lt;=GN$6),$CR30:$FW30)*GF30</f>
        <v>0</v>
      </c>
      <c r="GO30" s="145">
        <f t="shared" si="0"/>
        <v>7132264.241332408</v>
      </c>
      <c r="GP30" s="87"/>
      <c r="GR30" s="145" cm="1">
        <f t="array" ref="GR30">SUMPRODUCT(--($CR$7:$FW$7&gt;=GR$5),--($CR$7:$FW$7&lt;=GR$6),$CR30:$FW30)</f>
        <v>1040400.62863561</v>
      </c>
    </row>
    <row r="31" spans="1:200" s="64" customFormat="1" x14ac:dyDescent="0.2">
      <c r="A31" s="65"/>
      <c r="B31" s="141" t="str">
        <v>Other Support &amp; Corporate Roles</v>
      </c>
      <c r="C31" s="141" t="str">
        <v>Overarching Business Costs</v>
      </c>
      <c r="D31" s="141" t="str">
        <v>Non-labour</v>
      </c>
      <c r="E31" s="141" t="str">
        <v>$ Nominal</v>
      </c>
      <c r="F31" s="141">
        <v>0</v>
      </c>
      <c r="G31" s="141" t="str">
        <v/>
      </c>
      <c r="H31" s="142">
        <v>0</v>
      </c>
      <c r="I31" s="126">
        <v>1702000</v>
      </c>
      <c r="J31" s="143">
        <v>0</v>
      </c>
      <c r="K31" s="144">
        <v>0</v>
      </c>
      <c r="L31" s="144">
        <v>0</v>
      </c>
      <c r="M31" s="144">
        <v>0</v>
      </c>
      <c r="N31" s="144">
        <v>0</v>
      </c>
      <c r="O31" s="144">
        <v>0</v>
      </c>
      <c r="P31" s="144">
        <v>0</v>
      </c>
      <c r="Q31" s="144">
        <v>0</v>
      </c>
      <c r="R31" s="144">
        <v>0</v>
      </c>
      <c r="S31" s="144">
        <v>0</v>
      </c>
      <c r="T31" s="144">
        <v>0</v>
      </c>
      <c r="U31" s="144">
        <v>0</v>
      </c>
      <c r="V31" s="144">
        <v>0</v>
      </c>
      <c r="W31" s="144">
        <v>0</v>
      </c>
      <c r="X31" s="144">
        <v>2.7027027027027029E-2</v>
      </c>
      <c r="Y31" s="144">
        <v>2.7027027027027029E-2</v>
      </c>
      <c r="Z31" s="144">
        <v>2.7027027027027029E-2</v>
      </c>
      <c r="AA31" s="144">
        <v>2.7027027027027029E-2</v>
      </c>
      <c r="AB31" s="144">
        <v>2.7027027027027029E-2</v>
      </c>
      <c r="AC31" s="144">
        <v>2.7027027027027029E-2</v>
      </c>
      <c r="AD31" s="144">
        <v>2.7027027027027029E-2</v>
      </c>
      <c r="AE31" s="144">
        <v>2.7027027027027029E-2</v>
      </c>
      <c r="AF31" s="144">
        <v>2.7027027027027029E-2</v>
      </c>
      <c r="AG31" s="144">
        <v>2.7027027027027029E-2</v>
      </c>
      <c r="AH31" s="144">
        <v>2.7027027027027029E-2</v>
      </c>
      <c r="AI31" s="144">
        <v>2.7027027027027029E-2</v>
      </c>
      <c r="AJ31" s="144">
        <v>2.7027027027027029E-2</v>
      </c>
      <c r="AK31" s="144">
        <v>2.7027027027027029E-2</v>
      </c>
      <c r="AL31" s="144">
        <v>2.7027027027027029E-2</v>
      </c>
      <c r="AM31" s="144">
        <v>2.7027027027027029E-2</v>
      </c>
      <c r="AN31" s="144">
        <v>2.7027027027027029E-2</v>
      </c>
      <c r="AO31" s="144">
        <v>2.7027027027027029E-2</v>
      </c>
      <c r="AP31" s="144">
        <v>2.7027027027027029E-2</v>
      </c>
      <c r="AQ31" s="144">
        <v>2.7027027027027029E-2</v>
      </c>
      <c r="AR31" s="144">
        <v>2.7027027027027029E-2</v>
      </c>
      <c r="AS31" s="144">
        <v>2.7027027027027029E-2</v>
      </c>
      <c r="AT31" s="144">
        <v>2.7027027027027029E-2</v>
      </c>
      <c r="AU31" s="144">
        <v>2.7027027027027029E-2</v>
      </c>
      <c r="AV31" s="144">
        <v>2.7027027027027029E-2</v>
      </c>
      <c r="AW31" s="144">
        <v>2.7027027027027029E-2</v>
      </c>
      <c r="AX31" s="144">
        <v>2.7027027027027029E-2</v>
      </c>
      <c r="AY31" s="144">
        <v>2.7027027027027029E-2</v>
      </c>
      <c r="AZ31" s="144">
        <v>2.7027027027027029E-2</v>
      </c>
      <c r="BA31" s="144">
        <v>2.7027027027027029E-2</v>
      </c>
      <c r="BB31" s="144">
        <v>2.7027027027027029E-2</v>
      </c>
      <c r="BC31" s="144">
        <v>2.7027027027027029E-2</v>
      </c>
      <c r="BD31" s="144">
        <v>2.7027027027027029E-2</v>
      </c>
      <c r="BE31" s="144">
        <v>2.7027027027027029E-2</v>
      </c>
      <c r="BF31" s="144">
        <v>2.7027027027027029E-2</v>
      </c>
      <c r="BG31" s="144">
        <v>2.7027027027027029E-2</v>
      </c>
      <c r="BH31" s="144">
        <v>2.7027027027027029E-2</v>
      </c>
      <c r="BI31" s="144">
        <v>0</v>
      </c>
      <c r="BJ31" s="144">
        <v>0</v>
      </c>
      <c r="BK31" s="144">
        <v>0</v>
      </c>
      <c r="BL31" s="144">
        <v>0</v>
      </c>
      <c r="BM31" s="144">
        <v>0</v>
      </c>
      <c r="BN31" s="144">
        <v>0</v>
      </c>
      <c r="BO31" s="144">
        <v>0</v>
      </c>
      <c r="BP31" s="144">
        <v>0</v>
      </c>
      <c r="BQ31" s="144">
        <v>0</v>
      </c>
      <c r="BR31" s="144">
        <v>0</v>
      </c>
      <c r="BS31" s="144">
        <v>0</v>
      </c>
      <c r="BT31" s="144">
        <v>0</v>
      </c>
      <c r="BU31" s="144">
        <v>0</v>
      </c>
      <c r="BV31" s="144">
        <v>0</v>
      </c>
      <c r="BW31" s="144">
        <v>0</v>
      </c>
      <c r="BX31" s="144">
        <v>0</v>
      </c>
      <c r="BY31" s="144">
        <v>0</v>
      </c>
      <c r="BZ31" s="144">
        <v>0</v>
      </c>
      <c r="CA31" s="144">
        <v>0</v>
      </c>
      <c r="CB31" s="144">
        <v>0</v>
      </c>
      <c r="CC31" s="144">
        <v>0</v>
      </c>
      <c r="CD31" s="144">
        <v>0</v>
      </c>
      <c r="CE31" s="144">
        <v>0</v>
      </c>
      <c r="CF31" s="144">
        <v>0</v>
      </c>
      <c r="CG31" s="144">
        <v>0</v>
      </c>
      <c r="CH31" s="144">
        <v>0</v>
      </c>
      <c r="CI31" s="144">
        <v>0</v>
      </c>
      <c r="CJ31" s="144">
        <v>0</v>
      </c>
      <c r="CK31" s="144">
        <v>0</v>
      </c>
      <c r="CL31" s="144">
        <v>0</v>
      </c>
      <c r="CM31" s="144">
        <v>0</v>
      </c>
      <c r="CN31" s="144">
        <v>0</v>
      </c>
      <c r="CO31" s="144">
        <v>0</v>
      </c>
      <c r="CP31" s="144">
        <v>0</v>
      </c>
      <c r="CQ31" s="143">
        <v>0</v>
      </c>
      <c r="CR31" s="145">
        <v>0</v>
      </c>
      <c r="CS31" s="145">
        <v>0</v>
      </c>
      <c r="CT31" s="145">
        <v>0</v>
      </c>
      <c r="CU31" s="145">
        <v>0</v>
      </c>
      <c r="CV31" s="145">
        <v>0</v>
      </c>
      <c r="CW31" s="145">
        <v>0</v>
      </c>
      <c r="CX31" s="145">
        <v>0</v>
      </c>
      <c r="CY31" s="145">
        <v>0</v>
      </c>
      <c r="CZ31" s="145">
        <v>0</v>
      </c>
      <c r="DA31" s="145">
        <v>0</v>
      </c>
      <c r="DB31" s="145">
        <v>0</v>
      </c>
      <c r="DC31" s="145">
        <v>0</v>
      </c>
      <c r="DD31" s="145">
        <v>0</v>
      </c>
      <c r="DE31" s="145">
        <v>46000</v>
      </c>
      <c r="DF31" s="145">
        <v>46000</v>
      </c>
      <c r="DG31" s="145">
        <v>46000</v>
      </c>
      <c r="DH31" s="145">
        <v>46000</v>
      </c>
      <c r="DI31" s="145">
        <v>46000</v>
      </c>
      <c r="DJ31" s="145">
        <v>46000</v>
      </c>
      <c r="DK31" s="145">
        <v>46000</v>
      </c>
      <c r="DL31" s="145">
        <v>46000</v>
      </c>
      <c r="DM31" s="145">
        <v>46000</v>
      </c>
      <c r="DN31" s="145">
        <v>46000</v>
      </c>
      <c r="DO31" s="145">
        <v>46000</v>
      </c>
      <c r="DP31" s="145">
        <v>46000</v>
      </c>
      <c r="DQ31" s="145">
        <v>46000</v>
      </c>
      <c r="DR31" s="145">
        <v>46000</v>
      </c>
      <c r="DS31" s="145">
        <v>46000</v>
      </c>
      <c r="DT31" s="145">
        <v>46000</v>
      </c>
      <c r="DU31" s="145">
        <v>46000</v>
      </c>
      <c r="DV31" s="145">
        <v>46000</v>
      </c>
      <c r="DW31" s="145">
        <v>46000</v>
      </c>
      <c r="DX31" s="145">
        <v>46000</v>
      </c>
      <c r="DY31" s="145">
        <v>46000</v>
      </c>
      <c r="DZ31" s="145">
        <v>46000</v>
      </c>
      <c r="EA31" s="145">
        <v>46000</v>
      </c>
      <c r="EB31" s="145">
        <v>46000</v>
      </c>
      <c r="EC31" s="145">
        <v>46000</v>
      </c>
      <c r="ED31" s="145">
        <v>46000</v>
      </c>
      <c r="EE31" s="145">
        <v>46000</v>
      </c>
      <c r="EF31" s="145">
        <v>46000</v>
      </c>
      <c r="EG31" s="145">
        <v>46000</v>
      </c>
      <c r="EH31" s="145">
        <v>46000</v>
      </c>
      <c r="EI31" s="145">
        <v>46000</v>
      </c>
      <c r="EJ31" s="145">
        <v>46000</v>
      </c>
      <c r="EK31" s="145">
        <v>46000</v>
      </c>
      <c r="EL31" s="145">
        <v>46000</v>
      </c>
      <c r="EM31" s="145">
        <v>46000</v>
      </c>
      <c r="EN31" s="145">
        <v>46000</v>
      </c>
      <c r="EO31" s="145">
        <v>46000</v>
      </c>
      <c r="EP31" s="145">
        <v>0</v>
      </c>
      <c r="EQ31" s="145">
        <v>0</v>
      </c>
      <c r="ER31" s="145">
        <v>0</v>
      </c>
      <c r="ES31" s="145">
        <v>0</v>
      </c>
      <c r="ET31" s="145">
        <v>0</v>
      </c>
      <c r="EU31" s="145">
        <v>0</v>
      </c>
      <c r="EV31" s="145">
        <v>0</v>
      </c>
      <c r="EW31" s="145">
        <v>0</v>
      </c>
      <c r="EX31" s="145">
        <v>0</v>
      </c>
      <c r="EY31" s="145">
        <v>0</v>
      </c>
      <c r="EZ31" s="145">
        <v>0</v>
      </c>
      <c r="FA31" s="145">
        <v>0</v>
      </c>
      <c r="FB31" s="145">
        <v>0</v>
      </c>
      <c r="FC31" s="145">
        <v>0</v>
      </c>
      <c r="FD31" s="145">
        <v>0</v>
      </c>
      <c r="FE31" s="145">
        <v>0</v>
      </c>
      <c r="FF31" s="145">
        <v>0</v>
      </c>
      <c r="FG31" s="145">
        <v>0</v>
      </c>
      <c r="FH31" s="145">
        <v>0</v>
      </c>
      <c r="FI31" s="145">
        <v>0</v>
      </c>
      <c r="FJ31" s="145">
        <v>0</v>
      </c>
      <c r="FK31" s="145">
        <v>0</v>
      </c>
      <c r="FL31" s="145">
        <v>0</v>
      </c>
      <c r="FM31" s="145">
        <v>0</v>
      </c>
      <c r="FN31" s="145">
        <v>0</v>
      </c>
      <c r="FO31" s="145">
        <v>0</v>
      </c>
      <c r="FP31" s="145">
        <v>0</v>
      </c>
      <c r="FQ31" s="145">
        <v>0</v>
      </c>
      <c r="FR31" s="145">
        <v>0</v>
      </c>
      <c r="FS31" s="145">
        <v>0</v>
      </c>
      <c r="FT31" s="145">
        <v>0</v>
      </c>
      <c r="FU31" s="145">
        <v>0</v>
      </c>
      <c r="FV31" s="145">
        <v>0</v>
      </c>
      <c r="FW31" s="145">
        <v>0</v>
      </c>
      <c r="FX31" s="143"/>
      <c r="FY31" s="146" t="str">
        <f>_xlfn.XLOOKUP($E31,'Key assumptions'!$B$112:$B$120,'Key assumptions'!$C$112:$C$120,0)</f>
        <v>Nominal</v>
      </c>
      <c r="FZ31" s="146" cm="1">
        <f t="array" ref="FZ31">IF($FY31=0,0,_xlfn.IFS($FY31='Key assumptions'!$C$120,_xlfn.XLOOKUP(LEFT(FZ$7,6),Inflation_Year,Inflation_NominaltoReal),TRUE,_xlfn.XLOOKUP($FY31,Inflation_Year,NominaltoReal)))</f>
        <v>1.0197075870962191</v>
      </c>
      <c r="GA31" s="146" cm="1">
        <f t="array" ref="GA31">IF($FY31=0,0,_xlfn.IFS($FY31='Key assumptions'!$C$120,_xlfn.XLOOKUP(LEFT(GA$7,6),Inflation_Year,Inflation_NominaltoReal),TRUE,_xlfn.XLOOKUP($FY31,Inflation_Year,NominaltoReal)))</f>
        <v>0.98700804022984445</v>
      </c>
      <c r="GB31" s="146" cm="1">
        <f t="array" ref="GB31">IF($FY31=0,0,_xlfn.IFS($FY31='Key assumptions'!$C$120,_xlfn.XLOOKUP(LEFT(GB$7,6),Inflation_Year,Inflation_NominaltoReal),TRUE,_xlfn.XLOOKUP($FY31,Inflation_Year,NominaltoReal)))</f>
        <v>0.96152830081941731</v>
      </c>
      <c r="GC31" s="146" cm="1">
        <f t="array" ref="GC31">IF($FY31=0,0,_xlfn.IFS($FY31='Key assumptions'!$C$120,_xlfn.XLOOKUP(LEFT(GC$7,6),Inflation_Year,Inflation_NominaltoReal),TRUE,_xlfn.XLOOKUP($FY31,Inflation_Year,NominaltoReal)))</f>
        <v>0.93670632415656829</v>
      </c>
      <c r="GD31" s="146" cm="1">
        <f t="array" ref="GD31">IF($FY31=0,0,_xlfn.IFS($FY31='Key assumptions'!$C$120,_xlfn.XLOOKUP(LEFT(GD$7,6),Inflation_Year,Inflation_NominaltoReal),TRUE,_xlfn.XLOOKUP($FY31,Inflation_Year,NominaltoReal)))</f>
        <v>0.91252513001143176</v>
      </c>
      <c r="GE31" s="146" cm="1">
        <f t="array" ref="GE31">IF($FY31=0,0,_xlfn.IFS($FY31='Key assumptions'!$C$120,_xlfn.XLOOKUP(LEFT(GE$7,6),Inflation_Year,Inflation_NominaltoReal),TRUE,_xlfn.XLOOKUP($FY31,Inflation_Year,NominaltoReal)))</f>
        <v>0.88896817650095872</v>
      </c>
      <c r="GF31" s="146" cm="1">
        <f t="array" ref="GF31">IF($FY31=0,0,_xlfn.IFS($FY31='Key assumptions'!$C$120,_xlfn.XLOOKUP(LEFT(GF$7,6),Inflation_Year,Inflation_NominaltoReal),TRUE,_xlfn.XLOOKUP($FY31,Inflation_Year,NominaltoReal)))</f>
        <v>0.86601934877293718</v>
      </c>
      <c r="GG31" s="143"/>
      <c r="GH31" s="145" cm="1">
        <f t="array" ref="GH31">SUMPRODUCT(--($CR$7:$FW$7&gt;=GH$5),--($CR$7:$FW$7&lt;=GH$6),$CR31:$FW31)*FZ31</f>
        <v>375252.39205140865</v>
      </c>
      <c r="GI31" s="145" cm="1">
        <f t="array" ref="GI31">SUMPRODUCT(--($CR$7:$FW$7&gt;=GI$5),--($CR$7:$FW$7&lt;=GI$6),$CR31:$FW31)*GA31</f>
        <v>544828.43820687418</v>
      </c>
      <c r="GJ31" s="145" cm="1">
        <f t="array" ref="GJ31">SUMPRODUCT(--($CR$7:$FW$7&gt;=GJ$5),--($CR$7:$FW$7&lt;=GJ$6),$CR31:$FW31)*GB31</f>
        <v>530763.6220523183</v>
      </c>
      <c r="GK31" s="145" cm="1">
        <f t="array" ref="GK31">SUMPRODUCT(--($CR$7:$FW$7&gt;=GK$5),--($CR$7:$FW$7&lt;=GK$6),$CR31:$FW31)*GC31</f>
        <v>215442.45455601072</v>
      </c>
      <c r="GL31" s="145" cm="1">
        <f t="array" ref="GL31">SUMPRODUCT(--($CR$7:$FW$7&gt;=GL$5),--($CR$7:$FW$7&lt;=GL$6),$CR31:$FW31)*GD31</f>
        <v>0</v>
      </c>
      <c r="GM31" s="145" cm="1">
        <f t="array" ref="GM31">SUMPRODUCT(--($CR$7:$FW$7&gt;=GM$5),--($CR$7:$FW$7&lt;=GM$6),$CR31:$FW31)*GE31</f>
        <v>0</v>
      </c>
      <c r="GN31" s="145" cm="1">
        <f t="array" ref="GN31">SUMPRODUCT(--($CR$7:$FW$7&gt;=GN$5),--($CR$7:$FW$7&lt;=GN$6),$CR31:$FW31)*GF31</f>
        <v>0</v>
      </c>
      <c r="GO31" s="145">
        <f t="shared" si="0"/>
        <v>1666286.9068666119</v>
      </c>
      <c r="GP31" s="87"/>
      <c r="GR31" s="145" cm="1">
        <f t="array" ref="GR31">SUMPRODUCT(--($CR$7:$FW$7&gt;=GR$5),--($CR$7:$FW$7&lt;=GR$6),$CR31:$FW31)</f>
        <v>230000</v>
      </c>
    </row>
    <row r="32" spans="1:200" s="64" customFormat="1" x14ac:dyDescent="0.2">
      <c r="A32" s="65"/>
      <c r="B32" s="141" t="str">
        <v>Fleet</v>
      </c>
      <c r="C32" s="141" t="str">
        <v>Quarterly Vehicle Cost</v>
      </c>
      <c r="D32" s="141" t="str">
        <v>Non-labour</v>
      </c>
      <c r="E32" s="141" t="str">
        <v>$ Nominal</v>
      </c>
      <c r="F32" s="141">
        <v>0</v>
      </c>
      <c r="G32" s="141" t="str">
        <v/>
      </c>
      <c r="H32" s="142">
        <v>0</v>
      </c>
      <c r="I32" s="126">
        <v>30000</v>
      </c>
      <c r="J32" s="143">
        <v>0</v>
      </c>
      <c r="K32" s="144">
        <v>0</v>
      </c>
      <c r="L32" s="144">
        <v>0</v>
      </c>
      <c r="M32" s="144">
        <v>0</v>
      </c>
      <c r="N32" s="144">
        <v>0</v>
      </c>
      <c r="O32" s="144">
        <v>0</v>
      </c>
      <c r="P32" s="144">
        <v>0</v>
      </c>
      <c r="Q32" s="144">
        <v>0</v>
      </c>
      <c r="R32" s="144">
        <v>0</v>
      </c>
      <c r="S32" s="144">
        <v>0</v>
      </c>
      <c r="T32" s="144">
        <v>0</v>
      </c>
      <c r="U32" s="144">
        <v>0</v>
      </c>
      <c r="V32" s="144">
        <v>0</v>
      </c>
      <c r="W32" s="144">
        <v>0</v>
      </c>
      <c r="X32" s="144">
        <v>0</v>
      </c>
      <c r="Y32" s="144">
        <v>0</v>
      </c>
      <c r="Z32" s="144">
        <v>0</v>
      </c>
      <c r="AA32" s="144">
        <v>0</v>
      </c>
      <c r="AB32" s="144">
        <v>0</v>
      </c>
      <c r="AC32" s="144">
        <v>0</v>
      </c>
      <c r="AD32" s="144">
        <v>0</v>
      </c>
      <c r="AE32" s="144">
        <v>0</v>
      </c>
      <c r="AF32" s="144">
        <v>0</v>
      </c>
      <c r="AG32" s="144">
        <v>0</v>
      </c>
      <c r="AH32" s="144">
        <v>0</v>
      </c>
      <c r="AI32" s="144">
        <v>0</v>
      </c>
      <c r="AJ32" s="144">
        <v>0</v>
      </c>
      <c r="AK32" s="144">
        <v>0.5</v>
      </c>
      <c r="AL32" s="144">
        <v>0</v>
      </c>
      <c r="AM32" s="144">
        <v>0</v>
      </c>
      <c r="AN32" s="144">
        <v>0.5</v>
      </c>
      <c r="AO32" s="144">
        <v>0</v>
      </c>
      <c r="AP32" s="144">
        <v>0</v>
      </c>
      <c r="AQ32" s="144">
        <v>0</v>
      </c>
      <c r="AR32" s="144">
        <v>0</v>
      </c>
      <c r="AS32" s="144">
        <v>0</v>
      </c>
      <c r="AT32" s="144">
        <v>0</v>
      </c>
      <c r="AU32" s="144">
        <v>0</v>
      </c>
      <c r="AV32" s="144">
        <v>0</v>
      </c>
      <c r="AW32" s="144">
        <v>0</v>
      </c>
      <c r="AX32" s="144">
        <v>0</v>
      </c>
      <c r="AY32" s="144">
        <v>0</v>
      </c>
      <c r="AZ32" s="144">
        <v>0</v>
      </c>
      <c r="BA32" s="144">
        <v>0</v>
      </c>
      <c r="BB32" s="144">
        <v>0</v>
      </c>
      <c r="BC32" s="144">
        <v>0</v>
      </c>
      <c r="BD32" s="144">
        <v>0</v>
      </c>
      <c r="BE32" s="144">
        <v>0</v>
      </c>
      <c r="BF32" s="144">
        <v>0</v>
      </c>
      <c r="BG32" s="144">
        <v>0</v>
      </c>
      <c r="BH32" s="144">
        <v>0</v>
      </c>
      <c r="BI32" s="144">
        <v>0</v>
      </c>
      <c r="BJ32" s="144">
        <v>0</v>
      </c>
      <c r="BK32" s="144">
        <v>0</v>
      </c>
      <c r="BL32" s="144">
        <v>0</v>
      </c>
      <c r="BM32" s="144">
        <v>0</v>
      </c>
      <c r="BN32" s="144">
        <v>0</v>
      </c>
      <c r="BO32" s="144">
        <v>0</v>
      </c>
      <c r="BP32" s="144">
        <v>0</v>
      </c>
      <c r="BQ32" s="144">
        <v>0</v>
      </c>
      <c r="BR32" s="144">
        <v>0</v>
      </c>
      <c r="BS32" s="144">
        <v>0</v>
      </c>
      <c r="BT32" s="144">
        <v>0</v>
      </c>
      <c r="BU32" s="144">
        <v>0</v>
      </c>
      <c r="BV32" s="144">
        <v>0</v>
      </c>
      <c r="BW32" s="144">
        <v>0</v>
      </c>
      <c r="BX32" s="144">
        <v>0</v>
      </c>
      <c r="BY32" s="144">
        <v>0</v>
      </c>
      <c r="BZ32" s="144">
        <v>0</v>
      </c>
      <c r="CA32" s="144">
        <v>0</v>
      </c>
      <c r="CB32" s="144">
        <v>0</v>
      </c>
      <c r="CC32" s="144">
        <v>0</v>
      </c>
      <c r="CD32" s="144">
        <v>0</v>
      </c>
      <c r="CE32" s="144">
        <v>0</v>
      </c>
      <c r="CF32" s="144">
        <v>0</v>
      </c>
      <c r="CG32" s="144">
        <v>0</v>
      </c>
      <c r="CH32" s="144">
        <v>0</v>
      </c>
      <c r="CI32" s="144">
        <v>0</v>
      </c>
      <c r="CJ32" s="144">
        <v>0</v>
      </c>
      <c r="CK32" s="144">
        <v>0</v>
      </c>
      <c r="CL32" s="144">
        <v>0</v>
      </c>
      <c r="CM32" s="144">
        <v>0</v>
      </c>
      <c r="CN32" s="144">
        <v>0</v>
      </c>
      <c r="CO32" s="144">
        <v>0</v>
      </c>
      <c r="CP32" s="144">
        <v>0</v>
      </c>
      <c r="CQ32" s="143">
        <v>0</v>
      </c>
      <c r="CR32" s="145">
        <v>0</v>
      </c>
      <c r="CS32" s="145">
        <v>0</v>
      </c>
      <c r="CT32" s="145">
        <v>0</v>
      </c>
      <c r="CU32" s="145">
        <v>0</v>
      </c>
      <c r="CV32" s="145">
        <v>0</v>
      </c>
      <c r="CW32" s="145">
        <v>0</v>
      </c>
      <c r="CX32" s="145">
        <v>0</v>
      </c>
      <c r="CY32" s="145">
        <v>0</v>
      </c>
      <c r="CZ32" s="145">
        <v>0</v>
      </c>
      <c r="DA32" s="145">
        <v>0</v>
      </c>
      <c r="DB32" s="145">
        <v>0</v>
      </c>
      <c r="DC32" s="145">
        <v>0</v>
      </c>
      <c r="DD32" s="145">
        <v>0</v>
      </c>
      <c r="DE32" s="145">
        <v>0</v>
      </c>
      <c r="DF32" s="145">
        <v>0</v>
      </c>
      <c r="DG32" s="145">
        <v>0</v>
      </c>
      <c r="DH32" s="145">
        <v>0</v>
      </c>
      <c r="DI32" s="145">
        <v>0</v>
      </c>
      <c r="DJ32" s="145">
        <v>0</v>
      </c>
      <c r="DK32" s="145">
        <v>0</v>
      </c>
      <c r="DL32" s="145">
        <v>0</v>
      </c>
      <c r="DM32" s="145">
        <v>0</v>
      </c>
      <c r="DN32" s="145">
        <v>0</v>
      </c>
      <c r="DO32" s="145">
        <v>0</v>
      </c>
      <c r="DP32" s="145">
        <v>0</v>
      </c>
      <c r="DQ32" s="145">
        <v>0</v>
      </c>
      <c r="DR32" s="145">
        <v>15000</v>
      </c>
      <c r="DS32" s="145">
        <v>0</v>
      </c>
      <c r="DT32" s="145">
        <v>0</v>
      </c>
      <c r="DU32" s="145">
        <v>15000</v>
      </c>
      <c r="DV32" s="145">
        <v>0</v>
      </c>
      <c r="DW32" s="145">
        <v>0</v>
      </c>
      <c r="DX32" s="145">
        <v>0</v>
      </c>
      <c r="DY32" s="145">
        <v>0</v>
      </c>
      <c r="DZ32" s="145">
        <v>0</v>
      </c>
      <c r="EA32" s="145">
        <v>0</v>
      </c>
      <c r="EB32" s="145">
        <v>0</v>
      </c>
      <c r="EC32" s="145">
        <v>0</v>
      </c>
      <c r="ED32" s="145">
        <v>0</v>
      </c>
      <c r="EE32" s="145">
        <v>0</v>
      </c>
      <c r="EF32" s="145">
        <v>0</v>
      </c>
      <c r="EG32" s="145">
        <v>0</v>
      </c>
      <c r="EH32" s="145">
        <v>0</v>
      </c>
      <c r="EI32" s="145">
        <v>0</v>
      </c>
      <c r="EJ32" s="145">
        <v>0</v>
      </c>
      <c r="EK32" s="145">
        <v>0</v>
      </c>
      <c r="EL32" s="145">
        <v>0</v>
      </c>
      <c r="EM32" s="145">
        <v>0</v>
      </c>
      <c r="EN32" s="145">
        <v>0</v>
      </c>
      <c r="EO32" s="145">
        <v>0</v>
      </c>
      <c r="EP32" s="145">
        <v>0</v>
      </c>
      <c r="EQ32" s="145">
        <v>0</v>
      </c>
      <c r="ER32" s="145">
        <v>0</v>
      </c>
      <c r="ES32" s="145">
        <v>0</v>
      </c>
      <c r="ET32" s="145">
        <v>0</v>
      </c>
      <c r="EU32" s="145">
        <v>0</v>
      </c>
      <c r="EV32" s="145">
        <v>0</v>
      </c>
      <c r="EW32" s="145">
        <v>0</v>
      </c>
      <c r="EX32" s="145">
        <v>0</v>
      </c>
      <c r="EY32" s="145">
        <v>0</v>
      </c>
      <c r="EZ32" s="145">
        <v>0</v>
      </c>
      <c r="FA32" s="145">
        <v>0</v>
      </c>
      <c r="FB32" s="145">
        <v>0</v>
      </c>
      <c r="FC32" s="145">
        <v>0</v>
      </c>
      <c r="FD32" s="145">
        <v>0</v>
      </c>
      <c r="FE32" s="145">
        <v>0</v>
      </c>
      <c r="FF32" s="145">
        <v>0</v>
      </c>
      <c r="FG32" s="145">
        <v>0</v>
      </c>
      <c r="FH32" s="145">
        <v>0</v>
      </c>
      <c r="FI32" s="145">
        <v>0</v>
      </c>
      <c r="FJ32" s="145">
        <v>0</v>
      </c>
      <c r="FK32" s="145">
        <v>0</v>
      </c>
      <c r="FL32" s="145">
        <v>0</v>
      </c>
      <c r="FM32" s="145">
        <v>0</v>
      </c>
      <c r="FN32" s="145">
        <v>0</v>
      </c>
      <c r="FO32" s="145">
        <v>0</v>
      </c>
      <c r="FP32" s="145">
        <v>0</v>
      </c>
      <c r="FQ32" s="145">
        <v>0</v>
      </c>
      <c r="FR32" s="145">
        <v>0</v>
      </c>
      <c r="FS32" s="145">
        <v>0</v>
      </c>
      <c r="FT32" s="145">
        <v>0</v>
      </c>
      <c r="FU32" s="145">
        <v>0</v>
      </c>
      <c r="FV32" s="145">
        <v>0</v>
      </c>
      <c r="FW32" s="145">
        <v>0</v>
      </c>
      <c r="FX32" s="143"/>
      <c r="FY32" s="146" t="str">
        <f>_xlfn.XLOOKUP($E32,'Key assumptions'!$B$112:$B$120,'Key assumptions'!$C$112:$C$120,0)</f>
        <v>Nominal</v>
      </c>
      <c r="FZ32" s="146" cm="1">
        <f t="array" ref="FZ32">IF($FY32=0,0,_xlfn.IFS($FY32='Key assumptions'!$C$120,_xlfn.XLOOKUP(LEFT(FZ$7,6),Inflation_Year,Inflation_NominaltoReal),TRUE,_xlfn.XLOOKUP($FY32,Inflation_Year,NominaltoReal)))</f>
        <v>1.0197075870962191</v>
      </c>
      <c r="GA32" s="146" cm="1">
        <f t="array" ref="GA32">IF($FY32=0,0,_xlfn.IFS($FY32='Key assumptions'!$C$120,_xlfn.XLOOKUP(LEFT(GA$7,6),Inflation_Year,Inflation_NominaltoReal),TRUE,_xlfn.XLOOKUP($FY32,Inflation_Year,NominaltoReal)))</f>
        <v>0.98700804022984445</v>
      </c>
      <c r="GB32" s="146" cm="1">
        <f t="array" ref="GB32">IF($FY32=0,0,_xlfn.IFS($FY32='Key assumptions'!$C$120,_xlfn.XLOOKUP(LEFT(GB$7,6),Inflation_Year,Inflation_NominaltoReal),TRUE,_xlfn.XLOOKUP($FY32,Inflation_Year,NominaltoReal)))</f>
        <v>0.96152830081941731</v>
      </c>
      <c r="GC32" s="146" cm="1">
        <f t="array" ref="GC32">IF($FY32=0,0,_xlfn.IFS($FY32='Key assumptions'!$C$120,_xlfn.XLOOKUP(LEFT(GC$7,6),Inflation_Year,Inflation_NominaltoReal),TRUE,_xlfn.XLOOKUP($FY32,Inflation_Year,NominaltoReal)))</f>
        <v>0.93670632415656829</v>
      </c>
      <c r="GD32" s="146" cm="1">
        <f t="array" ref="GD32">IF($FY32=0,0,_xlfn.IFS($FY32='Key assumptions'!$C$120,_xlfn.XLOOKUP(LEFT(GD$7,6),Inflation_Year,Inflation_NominaltoReal),TRUE,_xlfn.XLOOKUP($FY32,Inflation_Year,NominaltoReal)))</f>
        <v>0.91252513001143176</v>
      </c>
      <c r="GE32" s="146" cm="1">
        <f t="array" ref="GE32">IF($FY32=0,0,_xlfn.IFS($FY32='Key assumptions'!$C$120,_xlfn.XLOOKUP(LEFT(GE$7,6),Inflation_Year,Inflation_NominaltoReal),TRUE,_xlfn.XLOOKUP($FY32,Inflation_Year,NominaltoReal)))</f>
        <v>0.88896817650095872</v>
      </c>
      <c r="GF32" s="146" cm="1">
        <f t="array" ref="GF32">IF($FY32=0,0,_xlfn.IFS($FY32='Key assumptions'!$C$120,_xlfn.XLOOKUP(LEFT(GF$7,6),Inflation_Year,Inflation_NominaltoReal),TRUE,_xlfn.XLOOKUP($FY32,Inflation_Year,NominaltoReal)))</f>
        <v>0.86601934877293718</v>
      </c>
      <c r="GG32" s="143"/>
      <c r="GH32" s="145" cm="1">
        <f t="array" ref="GH32">SUMPRODUCT(--($CR$7:$FW$7&gt;=GH$5),--($CR$7:$FW$7&lt;=GH$6),$CR32:$FW32)*FZ32</f>
        <v>0</v>
      </c>
      <c r="GI32" s="145" cm="1">
        <f t="array" ref="GI32">SUMPRODUCT(--($CR$7:$FW$7&gt;=GI$5),--($CR$7:$FW$7&lt;=GI$6),$CR32:$FW32)*GA32</f>
        <v>29610.241206895334</v>
      </c>
      <c r="GJ32" s="145" cm="1">
        <f t="array" ref="GJ32">SUMPRODUCT(--($CR$7:$FW$7&gt;=GJ$5),--($CR$7:$FW$7&lt;=GJ$6),$CR32:$FW32)*GB32</f>
        <v>0</v>
      </c>
      <c r="GK32" s="145" cm="1">
        <f t="array" ref="GK32">SUMPRODUCT(--($CR$7:$FW$7&gt;=GK$5),--($CR$7:$FW$7&lt;=GK$6),$CR32:$FW32)*GC32</f>
        <v>0</v>
      </c>
      <c r="GL32" s="145" cm="1">
        <f t="array" ref="GL32">SUMPRODUCT(--($CR$7:$FW$7&gt;=GL$5),--($CR$7:$FW$7&lt;=GL$6),$CR32:$FW32)*GD32</f>
        <v>0</v>
      </c>
      <c r="GM32" s="145" cm="1">
        <f t="array" ref="GM32">SUMPRODUCT(--($CR$7:$FW$7&gt;=GM$5),--($CR$7:$FW$7&lt;=GM$6),$CR32:$FW32)*GE32</f>
        <v>0</v>
      </c>
      <c r="GN32" s="145" cm="1">
        <f t="array" ref="GN32">SUMPRODUCT(--($CR$7:$FW$7&gt;=GN$5),--($CR$7:$FW$7&lt;=GN$6),$CR32:$FW32)*GF32</f>
        <v>0</v>
      </c>
      <c r="GO32" s="145">
        <f t="shared" si="0"/>
        <v>29610.241206895334</v>
      </c>
      <c r="GP32" s="87"/>
      <c r="GR32" s="145" cm="1">
        <f t="array" ref="GR32">SUMPRODUCT(--($CR$7:$FW$7&gt;=GR$5),--($CR$7:$FW$7&lt;=GR$6),$CR32:$FW32)</f>
        <v>0</v>
      </c>
    </row>
    <row r="33" spans="1:200" s="64" customFormat="1" x14ac:dyDescent="0.2">
      <c r="A33" s="65"/>
      <c r="B33" s="141" t="str">
        <v>Fleet</v>
      </c>
      <c r="C33" s="141" t="str">
        <v>Quarterly Vehicle Cost</v>
      </c>
      <c r="D33" s="141" t="str">
        <v>Non-labour</v>
      </c>
      <c r="E33" s="141" t="str">
        <v>$ Nominal</v>
      </c>
      <c r="F33" s="141">
        <v>0</v>
      </c>
      <c r="G33" s="141" t="str">
        <v/>
      </c>
      <c r="H33" s="142">
        <v>0</v>
      </c>
      <c r="I33" s="126">
        <v>15000</v>
      </c>
      <c r="J33" s="143">
        <v>0</v>
      </c>
      <c r="K33" s="144">
        <v>0</v>
      </c>
      <c r="L33" s="144">
        <v>0</v>
      </c>
      <c r="M33" s="144">
        <v>0</v>
      </c>
      <c r="N33" s="144">
        <v>0</v>
      </c>
      <c r="O33" s="144">
        <v>0</v>
      </c>
      <c r="P33" s="144">
        <v>0</v>
      </c>
      <c r="Q33" s="144">
        <v>0</v>
      </c>
      <c r="R33" s="144">
        <v>0</v>
      </c>
      <c r="S33" s="144">
        <v>0</v>
      </c>
      <c r="T33" s="144">
        <v>0</v>
      </c>
      <c r="U33" s="144">
        <v>0</v>
      </c>
      <c r="V33" s="144">
        <v>0</v>
      </c>
      <c r="W33" s="144">
        <v>0</v>
      </c>
      <c r="X33" s="144">
        <v>0</v>
      </c>
      <c r="Y33" s="144">
        <v>0</v>
      </c>
      <c r="Z33" s="144">
        <v>0</v>
      </c>
      <c r="AA33" s="144">
        <v>0</v>
      </c>
      <c r="AB33" s="144">
        <v>0</v>
      </c>
      <c r="AC33" s="144">
        <v>0</v>
      </c>
      <c r="AD33" s="144">
        <v>0</v>
      </c>
      <c r="AE33" s="144">
        <v>0</v>
      </c>
      <c r="AF33" s="144">
        <v>0</v>
      </c>
      <c r="AG33" s="144">
        <v>0</v>
      </c>
      <c r="AH33" s="144">
        <v>0</v>
      </c>
      <c r="AI33" s="144">
        <v>0</v>
      </c>
      <c r="AJ33" s="144">
        <v>0</v>
      </c>
      <c r="AK33" s="144">
        <v>0</v>
      </c>
      <c r="AL33" s="144">
        <v>0</v>
      </c>
      <c r="AM33" s="144">
        <v>0</v>
      </c>
      <c r="AN33" s="144">
        <v>1</v>
      </c>
      <c r="AO33" s="144">
        <v>0</v>
      </c>
      <c r="AP33" s="144">
        <v>0</v>
      </c>
      <c r="AQ33" s="144">
        <v>0</v>
      </c>
      <c r="AR33" s="144">
        <v>0</v>
      </c>
      <c r="AS33" s="144">
        <v>0</v>
      </c>
      <c r="AT33" s="144">
        <v>0</v>
      </c>
      <c r="AU33" s="144">
        <v>0</v>
      </c>
      <c r="AV33" s="144">
        <v>0</v>
      </c>
      <c r="AW33" s="144">
        <v>0</v>
      </c>
      <c r="AX33" s="144">
        <v>0</v>
      </c>
      <c r="AY33" s="144">
        <v>0</v>
      </c>
      <c r="AZ33" s="144">
        <v>0</v>
      </c>
      <c r="BA33" s="144">
        <v>0</v>
      </c>
      <c r="BB33" s="144">
        <v>0</v>
      </c>
      <c r="BC33" s="144">
        <v>0</v>
      </c>
      <c r="BD33" s="144">
        <v>0</v>
      </c>
      <c r="BE33" s="144">
        <v>0</v>
      </c>
      <c r="BF33" s="144">
        <v>0</v>
      </c>
      <c r="BG33" s="144">
        <v>0</v>
      </c>
      <c r="BH33" s="144">
        <v>0</v>
      </c>
      <c r="BI33" s="144">
        <v>0</v>
      </c>
      <c r="BJ33" s="144">
        <v>0</v>
      </c>
      <c r="BK33" s="144">
        <v>0</v>
      </c>
      <c r="BL33" s="144">
        <v>0</v>
      </c>
      <c r="BM33" s="144">
        <v>0</v>
      </c>
      <c r="BN33" s="144">
        <v>0</v>
      </c>
      <c r="BO33" s="144">
        <v>0</v>
      </c>
      <c r="BP33" s="144">
        <v>0</v>
      </c>
      <c r="BQ33" s="144">
        <v>0</v>
      </c>
      <c r="BR33" s="144">
        <v>0</v>
      </c>
      <c r="BS33" s="144">
        <v>0</v>
      </c>
      <c r="BT33" s="144">
        <v>0</v>
      </c>
      <c r="BU33" s="144">
        <v>0</v>
      </c>
      <c r="BV33" s="144">
        <v>0</v>
      </c>
      <c r="BW33" s="144">
        <v>0</v>
      </c>
      <c r="BX33" s="144">
        <v>0</v>
      </c>
      <c r="BY33" s="144">
        <v>0</v>
      </c>
      <c r="BZ33" s="144">
        <v>0</v>
      </c>
      <c r="CA33" s="144">
        <v>0</v>
      </c>
      <c r="CB33" s="144">
        <v>0</v>
      </c>
      <c r="CC33" s="144">
        <v>0</v>
      </c>
      <c r="CD33" s="144">
        <v>0</v>
      </c>
      <c r="CE33" s="144">
        <v>0</v>
      </c>
      <c r="CF33" s="144">
        <v>0</v>
      </c>
      <c r="CG33" s="144">
        <v>0</v>
      </c>
      <c r="CH33" s="144">
        <v>0</v>
      </c>
      <c r="CI33" s="144">
        <v>0</v>
      </c>
      <c r="CJ33" s="144">
        <v>0</v>
      </c>
      <c r="CK33" s="144">
        <v>0</v>
      </c>
      <c r="CL33" s="144">
        <v>0</v>
      </c>
      <c r="CM33" s="144">
        <v>0</v>
      </c>
      <c r="CN33" s="144">
        <v>0</v>
      </c>
      <c r="CO33" s="144">
        <v>0</v>
      </c>
      <c r="CP33" s="144">
        <v>0</v>
      </c>
      <c r="CQ33" s="143">
        <v>0</v>
      </c>
      <c r="CR33" s="145">
        <v>0</v>
      </c>
      <c r="CS33" s="145">
        <v>0</v>
      </c>
      <c r="CT33" s="145">
        <v>0</v>
      </c>
      <c r="CU33" s="145">
        <v>0</v>
      </c>
      <c r="CV33" s="145">
        <v>0</v>
      </c>
      <c r="CW33" s="145">
        <v>0</v>
      </c>
      <c r="CX33" s="145">
        <v>0</v>
      </c>
      <c r="CY33" s="145">
        <v>0</v>
      </c>
      <c r="CZ33" s="145">
        <v>0</v>
      </c>
      <c r="DA33" s="145">
        <v>0</v>
      </c>
      <c r="DB33" s="145">
        <v>0</v>
      </c>
      <c r="DC33" s="145">
        <v>0</v>
      </c>
      <c r="DD33" s="145">
        <v>0</v>
      </c>
      <c r="DE33" s="145">
        <v>0</v>
      </c>
      <c r="DF33" s="145">
        <v>0</v>
      </c>
      <c r="DG33" s="145">
        <v>0</v>
      </c>
      <c r="DH33" s="145">
        <v>0</v>
      </c>
      <c r="DI33" s="145">
        <v>0</v>
      </c>
      <c r="DJ33" s="145">
        <v>0</v>
      </c>
      <c r="DK33" s="145">
        <v>0</v>
      </c>
      <c r="DL33" s="145">
        <v>0</v>
      </c>
      <c r="DM33" s="145">
        <v>0</v>
      </c>
      <c r="DN33" s="145">
        <v>0</v>
      </c>
      <c r="DO33" s="145">
        <v>0</v>
      </c>
      <c r="DP33" s="145">
        <v>0</v>
      </c>
      <c r="DQ33" s="145">
        <v>0</v>
      </c>
      <c r="DR33" s="145">
        <v>0</v>
      </c>
      <c r="DS33" s="145">
        <v>0</v>
      </c>
      <c r="DT33" s="145">
        <v>0</v>
      </c>
      <c r="DU33" s="145">
        <v>15000</v>
      </c>
      <c r="DV33" s="145">
        <v>0</v>
      </c>
      <c r="DW33" s="145">
        <v>0</v>
      </c>
      <c r="DX33" s="145">
        <v>0</v>
      </c>
      <c r="DY33" s="145">
        <v>0</v>
      </c>
      <c r="DZ33" s="145">
        <v>0</v>
      </c>
      <c r="EA33" s="145">
        <v>0</v>
      </c>
      <c r="EB33" s="145">
        <v>0</v>
      </c>
      <c r="EC33" s="145">
        <v>0</v>
      </c>
      <c r="ED33" s="145">
        <v>0</v>
      </c>
      <c r="EE33" s="145">
        <v>0</v>
      </c>
      <c r="EF33" s="145">
        <v>0</v>
      </c>
      <c r="EG33" s="145">
        <v>0</v>
      </c>
      <c r="EH33" s="145">
        <v>0</v>
      </c>
      <c r="EI33" s="145">
        <v>0</v>
      </c>
      <c r="EJ33" s="145">
        <v>0</v>
      </c>
      <c r="EK33" s="145">
        <v>0</v>
      </c>
      <c r="EL33" s="145">
        <v>0</v>
      </c>
      <c r="EM33" s="145">
        <v>0</v>
      </c>
      <c r="EN33" s="145">
        <v>0</v>
      </c>
      <c r="EO33" s="145">
        <v>0</v>
      </c>
      <c r="EP33" s="145">
        <v>0</v>
      </c>
      <c r="EQ33" s="145">
        <v>0</v>
      </c>
      <c r="ER33" s="145">
        <v>0</v>
      </c>
      <c r="ES33" s="145">
        <v>0</v>
      </c>
      <c r="ET33" s="145">
        <v>0</v>
      </c>
      <c r="EU33" s="145">
        <v>0</v>
      </c>
      <c r="EV33" s="145">
        <v>0</v>
      </c>
      <c r="EW33" s="145">
        <v>0</v>
      </c>
      <c r="EX33" s="145">
        <v>0</v>
      </c>
      <c r="EY33" s="145">
        <v>0</v>
      </c>
      <c r="EZ33" s="145">
        <v>0</v>
      </c>
      <c r="FA33" s="145">
        <v>0</v>
      </c>
      <c r="FB33" s="145">
        <v>0</v>
      </c>
      <c r="FC33" s="145">
        <v>0</v>
      </c>
      <c r="FD33" s="145">
        <v>0</v>
      </c>
      <c r="FE33" s="145">
        <v>0</v>
      </c>
      <c r="FF33" s="145">
        <v>0</v>
      </c>
      <c r="FG33" s="145">
        <v>0</v>
      </c>
      <c r="FH33" s="145">
        <v>0</v>
      </c>
      <c r="FI33" s="145">
        <v>0</v>
      </c>
      <c r="FJ33" s="145">
        <v>0</v>
      </c>
      <c r="FK33" s="145">
        <v>0</v>
      </c>
      <c r="FL33" s="145">
        <v>0</v>
      </c>
      <c r="FM33" s="145">
        <v>0</v>
      </c>
      <c r="FN33" s="145">
        <v>0</v>
      </c>
      <c r="FO33" s="145">
        <v>0</v>
      </c>
      <c r="FP33" s="145">
        <v>0</v>
      </c>
      <c r="FQ33" s="145">
        <v>0</v>
      </c>
      <c r="FR33" s="145">
        <v>0</v>
      </c>
      <c r="FS33" s="145">
        <v>0</v>
      </c>
      <c r="FT33" s="145">
        <v>0</v>
      </c>
      <c r="FU33" s="145">
        <v>0</v>
      </c>
      <c r="FV33" s="145">
        <v>0</v>
      </c>
      <c r="FW33" s="145">
        <v>0</v>
      </c>
      <c r="FX33" s="143"/>
      <c r="FY33" s="146" t="str">
        <f>_xlfn.XLOOKUP($E33,'Key assumptions'!$B$112:$B$120,'Key assumptions'!$C$112:$C$120,0)</f>
        <v>Nominal</v>
      </c>
      <c r="FZ33" s="146" cm="1">
        <f t="array" ref="FZ33">IF($FY33=0,0,_xlfn.IFS($FY33='Key assumptions'!$C$120,_xlfn.XLOOKUP(LEFT(FZ$7,6),Inflation_Year,Inflation_NominaltoReal),TRUE,_xlfn.XLOOKUP($FY33,Inflation_Year,NominaltoReal)))</f>
        <v>1.0197075870962191</v>
      </c>
      <c r="GA33" s="146" cm="1">
        <f t="array" ref="GA33">IF($FY33=0,0,_xlfn.IFS($FY33='Key assumptions'!$C$120,_xlfn.XLOOKUP(LEFT(GA$7,6),Inflation_Year,Inflation_NominaltoReal),TRUE,_xlfn.XLOOKUP($FY33,Inflation_Year,NominaltoReal)))</f>
        <v>0.98700804022984445</v>
      </c>
      <c r="GB33" s="146" cm="1">
        <f t="array" ref="GB33">IF($FY33=0,0,_xlfn.IFS($FY33='Key assumptions'!$C$120,_xlfn.XLOOKUP(LEFT(GB$7,6),Inflation_Year,Inflation_NominaltoReal),TRUE,_xlfn.XLOOKUP($FY33,Inflation_Year,NominaltoReal)))</f>
        <v>0.96152830081941731</v>
      </c>
      <c r="GC33" s="146" cm="1">
        <f t="array" ref="GC33">IF($FY33=0,0,_xlfn.IFS($FY33='Key assumptions'!$C$120,_xlfn.XLOOKUP(LEFT(GC$7,6),Inflation_Year,Inflation_NominaltoReal),TRUE,_xlfn.XLOOKUP($FY33,Inflation_Year,NominaltoReal)))</f>
        <v>0.93670632415656829</v>
      </c>
      <c r="GD33" s="146" cm="1">
        <f t="array" ref="GD33">IF($FY33=0,0,_xlfn.IFS($FY33='Key assumptions'!$C$120,_xlfn.XLOOKUP(LEFT(GD$7,6),Inflation_Year,Inflation_NominaltoReal),TRUE,_xlfn.XLOOKUP($FY33,Inflation_Year,NominaltoReal)))</f>
        <v>0.91252513001143176</v>
      </c>
      <c r="GE33" s="146" cm="1">
        <f t="array" ref="GE33">IF($FY33=0,0,_xlfn.IFS($FY33='Key assumptions'!$C$120,_xlfn.XLOOKUP(LEFT(GE$7,6),Inflation_Year,Inflation_NominaltoReal),TRUE,_xlfn.XLOOKUP($FY33,Inflation_Year,NominaltoReal)))</f>
        <v>0.88896817650095872</v>
      </c>
      <c r="GF33" s="146" cm="1">
        <f t="array" ref="GF33">IF($FY33=0,0,_xlfn.IFS($FY33='Key assumptions'!$C$120,_xlfn.XLOOKUP(LEFT(GF$7,6),Inflation_Year,Inflation_NominaltoReal),TRUE,_xlfn.XLOOKUP($FY33,Inflation_Year,NominaltoReal)))</f>
        <v>0.86601934877293718</v>
      </c>
      <c r="GG33" s="143"/>
      <c r="GH33" s="145" cm="1">
        <f t="array" ref="GH33">SUMPRODUCT(--($CR$7:$FW$7&gt;=GH$5),--($CR$7:$FW$7&lt;=GH$6),$CR33:$FW33)*FZ33</f>
        <v>0</v>
      </c>
      <c r="GI33" s="145" cm="1">
        <f t="array" ref="GI33">SUMPRODUCT(--($CR$7:$FW$7&gt;=GI$5),--($CR$7:$FW$7&lt;=GI$6),$CR33:$FW33)*GA33</f>
        <v>14805.120603447667</v>
      </c>
      <c r="GJ33" s="145" cm="1">
        <f t="array" ref="GJ33">SUMPRODUCT(--($CR$7:$FW$7&gt;=GJ$5),--($CR$7:$FW$7&lt;=GJ$6),$CR33:$FW33)*GB33</f>
        <v>0</v>
      </c>
      <c r="GK33" s="145" cm="1">
        <f t="array" ref="GK33">SUMPRODUCT(--($CR$7:$FW$7&gt;=GK$5),--($CR$7:$FW$7&lt;=GK$6),$CR33:$FW33)*GC33</f>
        <v>0</v>
      </c>
      <c r="GL33" s="145" cm="1">
        <f t="array" ref="GL33">SUMPRODUCT(--($CR$7:$FW$7&gt;=GL$5),--($CR$7:$FW$7&lt;=GL$6),$CR33:$FW33)*GD33</f>
        <v>0</v>
      </c>
      <c r="GM33" s="145" cm="1">
        <f t="array" ref="GM33">SUMPRODUCT(--($CR$7:$FW$7&gt;=GM$5),--($CR$7:$FW$7&lt;=GM$6),$CR33:$FW33)*GE33</f>
        <v>0</v>
      </c>
      <c r="GN33" s="145" cm="1">
        <f t="array" ref="GN33">SUMPRODUCT(--($CR$7:$FW$7&gt;=GN$5),--($CR$7:$FW$7&lt;=GN$6),$CR33:$FW33)*GF33</f>
        <v>0</v>
      </c>
      <c r="GO33" s="145">
        <f t="shared" si="0"/>
        <v>14805.120603447667</v>
      </c>
      <c r="GP33" s="87"/>
      <c r="GR33" s="145" cm="1">
        <f t="array" ref="GR33">SUMPRODUCT(--($CR$7:$FW$7&gt;=GR$5),--($CR$7:$FW$7&lt;=GR$6),$CR33:$FW33)</f>
        <v>0</v>
      </c>
    </row>
    <row r="34" spans="1:200" s="64" customFormat="1" x14ac:dyDescent="0.2">
      <c r="A34" s="65"/>
      <c r="B34" s="141" t="str">
        <v>Fleet</v>
      </c>
      <c r="C34" s="141" t="str">
        <v>Excavator Costs for KCR</v>
      </c>
      <c r="D34" s="141" t="str">
        <v>Non-labour</v>
      </c>
      <c r="E34" s="141" t="str">
        <v>$ Nominal</v>
      </c>
      <c r="F34" s="141">
        <v>0</v>
      </c>
      <c r="G34" s="141" t="str">
        <v/>
      </c>
      <c r="H34" s="142">
        <v>0</v>
      </c>
      <c r="I34" s="126">
        <v>9300</v>
      </c>
      <c r="J34" s="143">
        <v>0</v>
      </c>
      <c r="K34" s="144">
        <v>0</v>
      </c>
      <c r="L34" s="144">
        <v>0</v>
      </c>
      <c r="M34" s="144">
        <v>0</v>
      </c>
      <c r="N34" s="144">
        <v>0</v>
      </c>
      <c r="O34" s="144">
        <v>0</v>
      </c>
      <c r="P34" s="144">
        <v>0</v>
      </c>
      <c r="Q34" s="144">
        <v>0</v>
      </c>
      <c r="R34" s="144">
        <v>0</v>
      </c>
      <c r="S34" s="144">
        <v>0</v>
      </c>
      <c r="T34" s="144">
        <v>0</v>
      </c>
      <c r="U34" s="144">
        <v>0</v>
      </c>
      <c r="V34" s="144">
        <v>0</v>
      </c>
      <c r="W34" s="144">
        <v>0</v>
      </c>
      <c r="X34" s="144">
        <v>0</v>
      </c>
      <c r="Y34" s="144">
        <v>0.30107526881720431</v>
      </c>
      <c r="Z34" s="144">
        <v>0.13978494623655913</v>
      </c>
      <c r="AA34" s="144">
        <v>0.13978494623655913</v>
      </c>
      <c r="AB34" s="144">
        <v>0.13978494623655913</v>
      </c>
      <c r="AC34" s="144">
        <v>0.13978494623655913</v>
      </c>
      <c r="AD34" s="144">
        <v>0.13978494623655913</v>
      </c>
      <c r="AE34" s="144">
        <v>0</v>
      </c>
      <c r="AF34" s="144">
        <v>0</v>
      </c>
      <c r="AG34" s="144">
        <v>0</v>
      </c>
      <c r="AH34" s="144">
        <v>0</v>
      </c>
      <c r="AI34" s="144">
        <v>0</v>
      </c>
      <c r="AJ34" s="144">
        <v>0</v>
      </c>
      <c r="AK34" s="144">
        <v>0</v>
      </c>
      <c r="AL34" s="144">
        <v>0</v>
      </c>
      <c r="AM34" s="144">
        <v>0</v>
      </c>
      <c r="AN34" s="144">
        <v>0</v>
      </c>
      <c r="AO34" s="144">
        <v>0</v>
      </c>
      <c r="AP34" s="144">
        <v>0</v>
      </c>
      <c r="AQ34" s="144">
        <v>0</v>
      </c>
      <c r="AR34" s="144">
        <v>0</v>
      </c>
      <c r="AS34" s="144">
        <v>0</v>
      </c>
      <c r="AT34" s="144">
        <v>0</v>
      </c>
      <c r="AU34" s="144">
        <v>0</v>
      </c>
      <c r="AV34" s="144">
        <v>0</v>
      </c>
      <c r="AW34" s="144">
        <v>0</v>
      </c>
      <c r="AX34" s="144">
        <v>0</v>
      </c>
      <c r="AY34" s="144">
        <v>0</v>
      </c>
      <c r="AZ34" s="144">
        <v>0</v>
      </c>
      <c r="BA34" s="144">
        <v>0</v>
      </c>
      <c r="BB34" s="144">
        <v>0</v>
      </c>
      <c r="BC34" s="144">
        <v>0</v>
      </c>
      <c r="BD34" s="144">
        <v>0</v>
      </c>
      <c r="BE34" s="144">
        <v>0</v>
      </c>
      <c r="BF34" s="144">
        <v>0</v>
      </c>
      <c r="BG34" s="144">
        <v>0</v>
      </c>
      <c r="BH34" s="144">
        <v>0</v>
      </c>
      <c r="BI34" s="144">
        <v>0</v>
      </c>
      <c r="BJ34" s="144">
        <v>0</v>
      </c>
      <c r="BK34" s="144">
        <v>0</v>
      </c>
      <c r="BL34" s="144">
        <v>0</v>
      </c>
      <c r="BM34" s="144">
        <v>0</v>
      </c>
      <c r="BN34" s="144">
        <v>0</v>
      </c>
      <c r="BO34" s="144">
        <v>0</v>
      </c>
      <c r="BP34" s="144">
        <v>0</v>
      </c>
      <c r="BQ34" s="144">
        <v>0</v>
      </c>
      <c r="BR34" s="144">
        <v>0</v>
      </c>
      <c r="BS34" s="144">
        <v>0</v>
      </c>
      <c r="BT34" s="144">
        <v>0</v>
      </c>
      <c r="BU34" s="144">
        <v>0</v>
      </c>
      <c r="BV34" s="144">
        <v>0</v>
      </c>
      <c r="BW34" s="144">
        <v>0</v>
      </c>
      <c r="BX34" s="144">
        <v>0</v>
      </c>
      <c r="BY34" s="144">
        <v>0</v>
      </c>
      <c r="BZ34" s="144">
        <v>0</v>
      </c>
      <c r="CA34" s="144">
        <v>0</v>
      </c>
      <c r="CB34" s="144">
        <v>0</v>
      </c>
      <c r="CC34" s="144">
        <v>0</v>
      </c>
      <c r="CD34" s="144">
        <v>0</v>
      </c>
      <c r="CE34" s="144">
        <v>0</v>
      </c>
      <c r="CF34" s="144">
        <v>0</v>
      </c>
      <c r="CG34" s="144">
        <v>0</v>
      </c>
      <c r="CH34" s="144">
        <v>0</v>
      </c>
      <c r="CI34" s="144">
        <v>0</v>
      </c>
      <c r="CJ34" s="144">
        <v>0</v>
      </c>
      <c r="CK34" s="144">
        <v>0</v>
      </c>
      <c r="CL34" s="144">
        <v>0</v>
      </c>
      <c r="CM34" s="144">
        <v>0</v>
      </c>
      <c r="CN34" s="144">
        <v>0</v>
      </c>
      <c r="CO34" s="144">
        <v>0</v>
      </c>
      <c r="CP34" s="144">
        <v>0</v>
      </c>
      <c r="CQ34" s="143">
        <v>0</v>
      </c>
      <c r="CR34" s="145">
        <v>0</v>
      </c>
      <c r="CS34" s="145">
        <v>0</v>
      </c>
      <c r="CT34" s="145">
        <v>0</v>
      </c>
      <c r="CU34" s="145">
        <v>0</v>
      </c>
      <c r="CV34" s="145">
        <v>0</v>
      </c>
      <c r="CW34" s="145">
        <v>0</v>
      </c>
      <c r="CX34" s="145">
        <v>0</v>
      </c>
      <c r="CY34" s="145">
        <v>0</v>
      </c>
      <c r="CZ34" s="145">
        <v>0</v>
      </c>
      <c r="DA34" s="145">
        <v>0</v>
      </c>
      <c r="DB34" s="145">
        <v>0</v>
      </c>
      <c r="DC34" s="145">
        <v>0</v>
      </c>
      <c r="DD34" s="145">
        <v>0</v>
      </c>
      <c r="DE34" s="145">
        <v>0</v>
      </c>
      <c r="DF34" s="145">
        <v>2800</v>
      </c>
      <c r="DG34" s="145">
        <v>1300</v>
      </c>
      <c r="DH34" s="145">
        <v>1300</v>
      </c>
      <c r="DI34" s="145">
        <v>1300</v>
      </c>
      <c r="DJ34" s="145">
        <v>1300</v>
      </c>
      <c r="DK34" s="145">
        <v>1300</v>
      </c>
      <c r="DL34" s="145">
        <v>0</v>
      </c>
      <c r="DM34" s="145">
        <v>0</v>
      </c>
      <c r="DN34" s="145">
        <v>0</v>
      </c>
      <c r="DO34" s="145">
        <v>0</v>
      </c>
      <c r="DP34" s="145">
        <v>0</v>
      </c>
      <c r="DQ34" s="145">
        <v>0</v>
      </c>
      <c r="DR34" s="145">
        <v>0</v>
      </c>
      <c r="DS34" s="145">
        <v>0</v>
      </c>
      <c r="DT34" s="145">
        <v>0</v>
      </c>
      <c r="DU34" s="145">
        <v>0</v>
      </c>
      <c r="DV34" s="145">
        <v>0</v>
      </c>
      <c r="DW34" s="145">
        <v>0</v>
      </c>
      <c r="DX34" s="145">
        <v>0</v>
      </c>
      <c r="DY34" s="145">
        <v>0</v>
      </c>
      <c r="DZ34" s="145">
        <v>0</v>
      </c>
      <c r="EA34" s="145">
        <v>0</v>
      </c>
      <c r="EB34" s="145">
        <v>0</v>
      </c>
      <c r="EC34" s="145">
        <v>0</v>
      </c>
      <c r="ED34" s="145">
        <v>0</v>
      </c>
      <c r="EE34" s="145">
        <v>0</v>
      </c>
      <c r="EF34" s="145">
        <v>0</v>
      </c>
      <c r="EG34" s="145">
        <v>0</v>
      </c>
      <c r="EH34" s="145">
        <v>0</v>
      </c>
      <c r="EI34" s="145">
        <v>0</v>
      </c>
      <c r="EJ34" s="145">
        <v>0</v>
      </c>
      <c r="EK34" s="145">
        <v>0</v>
      </c>
      <c r="EL34" s="145">
        <v>0</v>
      </c>
      <c r="EM34" s="145">
        <v>0</v>
      </c>
      <c r="EN34" s="145">
        <v>0</v>
      </c>
      <c r="EO34" s="145">
        <v>0</v>
      </c>
      <c r="EP34" s="145">
        <v>0</v>
      </c>
      <c r="EQ34" s="145">
        <v>0</v>
      </c>
      <c r="ER34" s="145">
        <v>0</v>
      </c>
      <c r="ES34" s="145">
        <v>0</v>
      </c>
      <c r="ET34" s="145">
        <v>0</v>
      </c>
      <c r="EU34" s="145">
        <v>0</v>
      </c>
      <c r="EV34" s="145">
        <v>0</v>
      </c>
      <c r="EW34" s="145">
        <v>0</v>
      </c>
      <c r="EX34" s="145">
        <v>0</v>
      </c>
      <c r="EY34" s="145">
        <v>0</v>
      </c>
      <c r="EZ34" s="145">
        <v>0</v>
      </c>
      <c r="FA34" s="145">
        <v>0</v>
      </c>
      <c r="FB34" s="145">
        <v>0</v>
      </c>
      <c r="FC34" s="145">
        <v>0</v>
      </c>
      <c r="FD34" s="145">
        <v>0</v>
      </c>
      <c r="FE34" s="145">
        <v>0</v>
      </c>
      <c r="FF34" s="145">
        <v>0</v>
      </c>
      <c r="FG34" s="145">
        <v>0</v>
      </c>
      <c r="FH34" s="145">
        <v>0</v>
      </c>
      <c r="FI34" s="145">
        <v>0</v>
      </c>
      <c r="FJ34" s="145">
        <v>0</v>
      </c>
      <c r="FK34" s="145">
        <v>0</v>
      </c>
      <c r="FL34" s="145">
        <v>0</v>
      </c>
      <c r="FM34" s="145">
        <v>0</v>
      </c>
      <c r="FN34" s="145">
        <v>0</v>
      </c>
      <c r="FO34" s="145">
        <v>0</v>
      </c>
      <c r="FP34" s="145">
        <v>0</v>
      </c>
      <c r="FQ34" s="145">
        <v>0</v>
      </c>
      <c r="FR34" s="145">
        <v>0</v>
      </c>
      <c r="FS34" s="145">
        <v>0</v>
      </c>
      <c r="FT34" s="145">
        <v>0</v>
      </c>
      <c r="FU34" s="145">
        <v>0</v>
      </c>
      <c r="FV34" s="145">
        <v>0</v>
      </c>
      <c r="FW34" s="145">
        <v>0</v>
      </c>
      <c r="FX34" s="143"/>
      <c r="FY34" s="146" t="str">
        <f>_xlfn.XLOOKUP($E34,'Key assumptions'!$B$112:$B$120,'Key assumptions'!$C$112:$C$120,0)</f>
        <v>Nominal</v>
      </c>
      <c r="FZ34" s="146" cm="1">
        <f t="array" ref="FZ34">IF($FY34=0,0,_xlfn.IFS($FY34='Key assumptions'!$C$120,_xlfn.XLOOKUP(LEFT(FZ$7,6),Inflation_Year,Inflation_NominaltoReal),TRUE,_xlfn.XLOOKUP($FY34,Inflation_Year,NominaltoReal)))</f>
        <v>1.0197075870962191</v>
      </c>
      <c r="GA34" s="146" cm="1">
        <f t="array" ref="GA34">IF($FY34=0,0,_xlfn.IFS($FY34='Key assumptions'!$C$120,_xlfn.XLOOKUP(LEFT(GA$7,6),Inflation_Year,Inflation_NominaltoReal),TRUE,_xlfn.XLOOKUP($FY34,Inflation_Year,NominaltoReal)))</f>
        <v>0.98700804022984445</v>
      </c>
      <c r="GB34" s="146" cm="1">
        <f t="array" ref="GB34">IF($FY34=0,0,_xlfn.IFS($FY34='Key assumptions'!$C$120,_xlfn.XLOOKUP(LEFT(GB$7,6),Inflation_Year,Inflation_NominaltoReal),TRUE,_xlfn.XLOOKUP($FY34,Inflation_Year,NominaltoReal)))</f>
        <v>0.96152830081941731</v>
      </c>
      <c r="GC34" s="146" cm="1">
        <f t="array" ref="GC34">IF($FY34=0,0,_xlfn.IFS($FY34='Key assumptions'!$C$120,_xlfn.XLOOKUP(LEFT(GC$7,6),Inflation_Year,Inflation_NominaltoReal),TRUE,_xlfn.XLOOKUP($FY34,Inflation_Year,NominaltoReal)))</f>
        <v>0.93670632415656829</v>
      </c>
      <c r="GD34" s="146" cm="1">
        <f t="array" ref="GD34">IF($FY34=0,0,_xlfn.IFS($FY34='Key assumptions'!$C$120,_xlfn.XLOOKUP(LEFT(GD$7,6),Inflation_Year,Inflation_NominaltoReal),TRUE,_xlfn.XLOOKUP($FY34,Inflation_Year,NominaltoReal)))</f>
        <v>0.91252513001143176</v>
      </c>
      <c r="GE34" s="146" cm="1">
        <f t="array" ref="GE34">IF($FY34=0,0,_xlfn.IFS($FY34='Key assumptions'!$C$120,_xlfn.XLOOKUP(LEFT(GE$7,6),Inflation_Year,Inflation_NominaltoReal),TRUE,_xlfn.XLOOKUP($FY34,Inflation_Year,NominaltoReal)))</f>
        <v>0.88896817650095872</v>
      </c>
      <c r="GF34" s="146" cm="1">
        <f t="array" ref="GF34">IF($FY34=0,0,_xlfn.IFS($FY34='Key assumptions'!$C$120,_xlfn.XLOOKUP(LEFT(GF$7,6),Inflation_Year,Inflation_NominaltoReal),TRUE,_xlfn.XLOOKUP($FY34,Inflation_Year,NominaltoReal)))</f>
        <v>0.86601934877293718</v>
      </c>
      <c r="GG34" s="143"/>
      <c r="GH34" s="145" cm="1">
        <f t="array" ref="GH34">SUMPRODUCT(--($CR$7:$FW$7&gt;=GH$5),--($CR$7:$FW$7&lt;=GH$6),$CR34:$FW34)*FZ34</f>
        <v>9483.2805599948369</v>
      </c>
      <c r="GI34" s="145" cm="1">
        <f t="array" ref="GI34">SUMPRODUCT(--($CR$7:$FW$7&gt;=GI$5),--($CR$7:$FW$7&lt;=GI$6),$CR34:$FW34)*GA34</f>
        <v>0</v>
      </c>
      <c r="GJ34" s="145" cm="1">
        <f t="array" ref="GJ34">SUMPRODUCT(--($CR$7:$FW$7&gt;=GJ$5),--($CR$7:$FW$7&lt;=GJ$6),$CR34:$FW34)*GB34</f>
        <v>0</v>
      </c>
      <c r="GK34" s="145" cm="1">
        <f t="array" ref="GK34">SUMPRODUCT(--($CR$7:$FW$7&gt;=GK$5),--($CR$7:$FW$7&lt;=GK$6),$CR34:$FW34)*GC34</f>
        <v>0</v>
      </c>
      <c r="GL34" s="145" cm="1">
        <f t="array" ref="GL34">SUMPRODUCT(--($CR$7:$FW$7&gt;=GL$5),--($CR$7:$FW$7&lt;=GL$6),$CR34:$FW34)*GD34</f>
        <v>0</v>
      </c>
      <c r="GM34" s="145" cm="1">
        <f t="array" ref="GM34">SUMPRODUCT(--($CR$7:$FW$7&gt;=GM$5),--($CR$7:$FW$7&lt;=GM$6),$CR34:$FW34)*GE34</f>
        <v>0</v>
      </c>
      <c r="GN34" s="145" cm="1">
        <f t="array" ref="GN34">SUMPRODUCT(--($CR$7:$FW$7&gt;=GN$5),--($CR$7:$FW$7&lt;=GN$6),$CR34:$FW34)*GF34</f>
        <v>0</v>
      </c>
      <c r="GO34" s="145">
        <f t="shared" si="0"/>
        <v>9483.2805599948369</v>
      </c>
      <c r="GP34" s="87"/>
      <c r="GR34" s="145" cm="1">
        <f t="array" ref="GR34">SUMPRODUCT(--($CR$7:$FW$7&gt;=GR$5),--($CR$7:$FW$7&lt;=GR$6),$CR34:$FW34)</f>
        <v>6700</v>
      </c>
    </row>
    <row r="35" spans="1:200" s="64" customFormat="1" x14ac:dyDescent="0.2">
      <c r="A35" s="65"/>
      <c r="B35" s="141"/>
      <c r="C35" s="141"/>
      <c r="D35" s="141"/>
      <c r="E35" s="141"/>
      <c r="F35" s="141"/>
      <c r="G35" s="141"/>
      <c r="H35" s="142"/>
      <c r="I35" s="126"/>
      <c r="J35" s="143"/>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3"/>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145"/>
      <c r="EV35" s="145"/>
      <c r="EW35" s="145"/>
      <c r="EX35" s="145"/>
      <c r="EY35" s="145"/>
      <c r="EZ35" s="145"/>
      <c r="FA35" s="145"/>
      <c r="FB35" s="145"/>
      <c r="FC35" s="145"/>
      <c r="FD35" s="145"/>
      <c r="FE35" s="145"/>
      <c r="FF35" s="145"/>
      <c r="FG35" s="145"/>
      <c r="FH35" s="145"/>
      <c r="FI35" s="145"/>
      <c r="FJ35" s="145"/>
      <c r="FK35" s="145"/>
      <c r="FL35" s="145"/>
      <c r="FM35" s="145"/>
      <c r="FN35" s="145"/>
      <c r="FO35" s="145"/>
      <c r="FP35" s="145"/>
      <c r="FQ35" s="145"/>
      <c r="FR35" s="145"/>
      <c r="FS35" s="145"/>
      <c r="FT35" s="145"/>
      <c r="FU35" s="145"/>
      <c r="FV35" s="145"/>
      <c r="FW35" s="145"/>
      <c r="FX35" s="143"/>
      <c r="FY35" s="146">
        <f>_xlfn.XLOOKUP($E35,'Key assumptions'!$B$112:$B$120,'Key assumptions'!$C$112:$C$120,0)</f>
        <v>0</v>
      </c>
      <c r="FZ35" s="146" cm="1">
        <f t="array" ref="FZ35">IF($FY35=0,0,_xlfn.IFS($FY35='Key assumptions'!$C$120,_xlfn.XLOOKUP(LEFT(FZ$7,6),Inflation_Year,Inflation_NominaltoReal),TRUE,_xlfn.XLOOKUP($FY35,Inflation_Year,NominaltoReal)))</f>
        <v>0</v>
      </c>
      <c r="GA35" s="146" cm="1">
        <f t="array" ref="GA35">IF($FY35=0,0,_xlfn.IFS($FY35='Key assumptions'!$C$120,_xlfn.XLOOKUP(LEFT(GA$7,6),Inflation_Year,Inflation_NominaltoReal),TRUE,_xlfn.XLOOKUP($FY35,Inflation_Year,NominaltoReal)))</f>
        <v>0</v>
      </c>
      <c r="GB35" s="146" cm="1">
        <f t="array" ref="GB35">IF($FY35=0,0,_xlfn.IFS($FY35='Key assumptions'!$C$120,_xlfn.XLOOKUP(LEFT(GB$7,6),Inflation_Year,Inflation_NominaltoReal),TRUE,_xlfn.XLOOKUP($FY35,Inflation_Year,NominaltoReal)))</f>
        <v>0</v>
      </c>
      <c r="GC35" s="146" cm="1">
        <f t="array" ref="GC35">IF($FY35=0,0,_xlfn.IFS($FY35='Key assumptions'!$C$120,_xlfn.XLOOKUP(LEFT(GC$7,6),Inflation_Year,Inflation_NominaltoReal),TRUE,_xlfn.XLOOKUP($FY35,Inflation_Year,NominaltoReal)))</f>
        <v>0</v>
      </c>
      <c r="GD35" s="146" cm="1">
        <f t="array" ref="GD35">IF($FY35=0,0,_xlfn.IFS($FY35='Key assumptions'!$C$120,_xlfn.XLOOKUP(LEFT(GD$7,6),Inflation_Year,Inflation_NominaltoReal),TRUE,_xlfn.XLOOKUP($FY35,Inflation_Year,NominaltoReal)))</f>
        <v>0</v>
      </c>
      <c r="GE35" s="146" cm="1">
        <f t="array" ref="GE35">IF($FY35=0,0,_xlfn.IFS($FY35='Key assumptions'!$C$120,_xlfn.XLOOKUP(LEFT(GE$7,6),Inflation_Year,Inflation_NominaltoReal),TRUE,_xlfn.XLOOKUP($FY35,Inflation_Year,NominaltoReal)))</f>
        <v>0</v>
      </c>
      <c r="GF35" s="146" cm="1">
        <f t="array" ref="GF35">IF($FY35=0,0,_xlfn.IFS($FY35='Key assumptions'!$C$120,_xlfn.XLOOKUP(LEFT(GF$7,6),Inflation_Year,Inflation_NominaltoReal),TRUE,_xlfn.XLOOKUP($FY35,Inflation_Year,NominaltoReal)))</f>
        <v>0</v>
      </c>
      <c r="GG35" s="143"/>
      <c r="GH35" s="145" cm="1">
        <f t="array" ref="GH35">SUMPRODUCT(--($CR$7:$FW$7&gt;=GH$5),--($CR$7:$FW$7&lt;=GH$6),$CR35:$FW35)*FZ35</f>
        <v>0</v>
      </c>
      <c r="GI35" s="145" cm="1">
        <f t="array" ref="GI35">SUMPRODUCT(--($CR$7:$FW$7&gt;=GI$5),--($CR$7:$FW$7&lt;=GI$6),$CR35:$FW35)*GA35</f>
        <v>0</v>
      </c>
      <c r="GJ35" s="145" cm="1">
        <f t="array" ref="GJ35">SUMPRODUCT(--($CR$7:$FW$7&gt;=GJ$5),--($CR$7:$FW$7&lt;=GJ$6),$CR35:$FW35)*GB35</f>
        <v>0</v>
      </c>
      <c r="GK35" s="145" cm="1">
        <f t="array" ref="GK35">SUMPRODUCT(--($CR$7:$FW$7&gt;=GK$5),--($CR$7:$FW$7&lt;=GK$6),$CR35:$FW35)*GC35</f>
        <v>0</v>
      </c>
      <c r="GL35" s="145" cm="1">
        <f t="array" ref="GL35">SUMPRODUCT(--($CR$7:$FW$7&gt;=GL$5),--($CR$7:$FW$7&lt;=GL$6),$CR35:$FW35)*GD35</f>
        <v>0</v>
      </c>
      <c r="GM35" s="145" cm="1">
        <f t="array" ref="GM35">SUMPRODUCT(--($CR$7:$FW$7&gt;=GM$5),--($CR$7:$FW$7&lt;=GM$6),$CR35:$FW35)*GE35</f>
        <v>0</v>
      </c>
      <c r="GN35" s="145" cm="1">
        <f t="array" ref="GN35">SUMPRODUCT(--($CR$7:$FW$7&gt;=GN$5),--($CR$7:$FW$7&lt;=GN$6),$CR35:$FW35)*GF35</f>
        <v>0</v>
      </c>
      <c r="GO35" s="145">
        <f t="shared" si="0"/>
        <v>0</v>
      </c>
      <c r="GP35" s="87"/>
      <c r="GR35" s="145" cm="1">
        <f t="array" ref="GR35">SUMPRODUCT(--($CR$7:$FW$7&gt;=GR$5),--($CR$7:$FW$7&lt;=GR$6),$CR35:$FW35)</f>
        <v>0</v>
      </c>
    </row>
    <row r="36" spans="1:200" s="64" customFormat="1" ht="12.95" customHeight="1" x14ac:dyDescent="0.2">
      <c r="A36" s="65"/>
      <c r="B36" s="141"/>
      <c r="C36" s="141"/>
      <c r="D36" s="141"/>
      <c r="E36" s="141"/>
      <c r="F36" s="141"/>
      <c r="G36" s="141"/>
      <c r="H36" s="142"/>
      <c r="I36" s="126"/>
      <c r="J36" s="143"/>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3"/>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3"/>
      <c r="FY36" s="146">
        <f>_xlfn.XLOOKUP($E36,'Key assumptions'!$B$112:$B$120,'Key assumptions'!$C$112:$C$120,0)</f>
        <v>0</v>
      </c>
      <c r="FZ36" s="146" cm="1">
        <f t="array" ref="FZ36">IF($FY36=0,0,_xlfn.IFS($FY36='Key assumptions'!$C$120,_xlfn.XLOOKUP(LEFT(FZ$7,6),Inflation_Year,Inflation_NominaltoReal),TRUE,_xlfn.XLOOKUP($FY36,Inflation_Year,NominaltoReal)))</f>
        <v>0</v>
      </c>
      <c r="GA36" s="146" cm="1">
        <f t="array" ref="GA36">IF($FY36=0,0,_xlfn.IFS($FY36='Key assumptions'!$C$120,_xlfn.XLOOKUP(LEFT(GA$7,6),Inflation_Year,Inflation_NominaltoReal),TRUE,_xlfn.XLOOKUP($FY36,Inflation_Year,NominaltoReal)))</f>
        <v>0</v>
      </c>
      <c r="GB36" s="146" cm="1">
        <f t="array" ref="GB36">IF($FY36=0,0,_xlfn.IFS($FY36='Key assumptions'!$C$120,_xlfn.XLOOKUP(LEFT(GB$7,6),Inflation_Year,Inflation_NominaltoReal),TRUE,_xlfn.XLOOKUP($FY36,Inflation_Year,NominaltoReal)))</f>
        <v>0</v>
      </c>
      <c r="GC36" s="146" cm="1">
        <f t="array" ref="GC36">IF($FY36=0,0,_xlfn.IFS($FY36='Key assumptions'!$C$120,_xlfn.XLOOKUP(LEFT(GC$7,6),Inflation_Year,Inflation_NominaltoReal),TRUE,_xlfn.XLOOKUP($FY36,Inflation_Year,NominaltoReal)))</f>
        <v>0</v>
      </c>
      <c r="GD36" s="146" cm="1">
        <f t="array" ref="GD36">IF($FY36=0,0,_xlfn.IFS($FY36='Key assumptions'!$C$120,_xlfn.XLOOKUP(LEFT(GD$7,6),Inflation_Year,Inflation_NominaltoReal),TRUE,_xlfn.XLOOKUP($FY36,Inflation_Year,NominaltoReal)))</f>
        <v>0</v>
      </c>
      <c r="GE36" s="146" cm="1">
        <f t="array" ref="GE36">IF($FY36=0,0,_xlfn.IFS($FY36='Key assumptions'!$C$120,_xlfn.XLOOKUP(LEFT(GE$7,6),Inflation_Year,Inflation_NominaltoReal),TRUE,_xlfn.XLOOKUP($FY36,Inflation_Year,NominaltoReal)))</f>
        <v>0</v>
      </c>
      <c r="GF36" s="146" cm="1">
        <f t="array" ref="GF36">IF($FY36=0,0,_xlfn.IFS($FY36='Key assumptions'!$C$120,_xlfn.XLOOKUP(LEFT(GF$7,6),Inflation_Year,Inflation_NominaltoReal),TRUE,_xlfn.XLOOKUP($FY36,Inflation_Year,NominaltoReal)))</f>
        <v>0</v>
      </c>
      <c r="GG36" s="143"/>
      <c r="GH36" s="145" cm="1">
        <f t="array" ref="GH36">SUMPRODUCT(--($CR$7:$FW$7&gt;=GH$5),--($CR$7:$FW$7&lt;=GH$6),$CR36:$FW36)*FZ36</f>
        <v>0</v>
      </c>
      <c r="GI36" s="145" cm="1">
        <f t="array" ref="GI36">SUMPRODUCT(--($CR$7:$FW$7&gt;=GI$5),--($CR$7:$FW$7&lt;=GI$6),$CR36:$FW36)*GA36</f>
        <v>0</v>
      </c>
      <c r="GJ36" s="145" cm="1">
        <f t="array" ref="GJ36">SUMPRODUCT(--($CR$7:$FW$7&gt;=GJ$5),--($CR$7:$FW$7&lt;=GJ$6),$CR36:$FW36)*GB36</f>
        <v>0</v>
      </c>
      <c r="GK36" s="145" cm="1">
        <f t="array" ref="GK36">SUMPRODUCT(--($CR$7:$FW$7&gt;=GK$5),--($CR$7:$FW$7&lt;=GK$6),$CR36:$FW36)*GC36</f>
        <v>0</v>
      </c>
      <c r="GL36" s="145" cm="1">
        <f t="array" ref="GL36">SUMPRODUCT(--($CR$7:$FW$7&gt;=GL$5),--($CR$7:$FW$7&lt;=GL$6),$CR36:$FW36)*GD36</f>
        <v>0</v>
      </c>
      <c r="GM36" s="145" cm="1">
        <f t="array" ref="GM36">SUMPRODUCT(--($CR$7:$FW$7&gt;=GM$5),--($CR$7:$FW$7&lt;=GM$6),$CR36:$FW36)*GE36</f>
        <v>0</v>
      </c>
      <c r="GN36" s="145" cm="1">
        <f t="array" ref="GN36">SUMPRODUCT(--($CR$7:$FW$7&gt;=GN$5),--($CR$7:$FW$7&lt;=GN$6),$CR36:$FW36)*GF36</f>
        <v>0</v>
      </c>
      <c r="GO36" s="145">
        <f t="shared" si="0"/>
        <v>0</v>
      </c>
      <c r="GP36" s="87"/>
      <c r="GR36" s="145" cm="1">
        <f t="array" ref="GR36">SUMPRODUCT(--($CR$7:$FW$7&gt;=GR$5),--($CR$7:$FW$7&lt;=GR$6),$CR36:$FW36)</f>
        <v>0</v>
      </c>
    </row>
    <row r="37" spans="1:200" x14ac:dyDescent="0.2">
      <c r="B37" s="141"/>
      <c r="C37" s="141"/>
      <c r="D37" s="141"/>
      <c r="E37" s="141"/>
      <c r="F37" s="141"/>
      <c r="G37" s="141"/>
      <c r="H37" s="142"/>
      <c r="I37" s="126"/>
      <c r="J37" s="143"/>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3"/>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3"/>
      <c r="FY37" s="146">
        <f>_xlfn.XLOOKUP($E37,'Key assumptions'!$B$112:$B$120,'Key assumptions'!$C$112:$C$120,0)</f>
        <v>0</v>
      </c>
      <c r="FZ37" s="146" cm="1">
        <f t="array" ref="FZ37">IF($FY37=0,0,_xlfn.IFS($FY37='Key assumptions'!$C$120,_xlfn.XLOOKUP(LEFT(FZ$7,6),Inflation_Year,Inflation_NominaltoReal),TRUE,_xlfn.XLOOKUP($FY37,Inflation_Year,NominaltoReal)))</f>
        <v>0</v>
      </c>
      <c r="GA37" s="146" cm="1">
        <f t="array" ref="GA37">IF($FY37=0,0,_xlfn.IFS($FY37='Key assumptions'!$C$120,_xlfn.XLOOKUP(LEFT(GA$7,6),Inflation_Year,Inflation_NominaltoReal),TRUE,_xlfn.XLOOKUP($FY37,Inflation_Year,NominaltoReal)))</f>
        <v>0</v>
      </c>
      <c r="GB37" s="146" cm="1">
        <f t="array" ref="GB37">IF($FY37=0,0,_xlfn.IFS($FY37='Key assumptions'!$C$120,_xlfn.XLOOKUP(LEFT(GB$7,6),Inflation_Year,Inflation_NominaltoReal),TRUE,_xlfn.XLOOKUP($FY37,Inflation_Year,NominaltoReal)))</f>
        <v>0</v>
      </c>
      <c r="GC37" s="146" cm="1">
        <f t="array" ref="GC37">IF($FY37=0,0,_xlfn.IFS($FY37='Key assumptions'!$C$120,_xlfn.XLOOKUP(LEFT(GC$7,6),Inflation_Year,Inflation_NominaltoReal),TRUE,_xlfn.XLOOKUP($FY37,Inflation_Year,NominaltoReal)))</f>
        <v>0</v>
      </c>
      <c r="GD37" s="146" cm="1">
        <f t="array" ref="GD37">IF($FY37=0,0,_xlfn.IFS($FY37='Key assumptions'!$C$120,_xlfn.XLOOKUP(LEFT(GD$7,6),Inflation_Year,Inflation_NominaltoReal),TRUE,_xlfn.XLOOKUP($FY37,Inflation_Year,NominaltoReal)))</f>
        <v>0</v>
      </c>
      <c r="GE37" s="146" cm="1">
        <f t="array" ref="GE37">IF($FY37=0,0,_xlfn.IFS($FY37='Key assumptions'!$C$120,_xlfn.XLOOKUP(LEFT(GE$7,6),Inflation_Year,Inflation_NominaltoReal),TRUE,_xlfn.XLOOKUP($FY37,Inflation_Year,NominaltoReal)))</f>
        <v>0</v>
      </c>
      <c r="GF37" s="146" cm="1">
        <f t="array" ref="GF37">IF($FY37=0,0,_xlfn.IFS($FY37='Key assumptions'!$C$120,_xlfn.XLOOKUP(LEFT(GF$7,6),Inflation_Year,Inflation_NominaltoReal),TRUE,_xlfn.XLOOKUP($FY37,Inflation_Year,NominaltoReal)))</f>
        <v>0</v>
      </c>
      <c r="GG37" s="143"/>
      <c r="GH37" s="145" cm="1">
        <f t="array" ref="GH37">SUMPRODUCT(--($CR$7:$FW$7&gt;=GH$5),--($CR$7:$FW$7&lt;=GH$6),$CR37:$FW37)*FZ37</f>
        <v>0</v>
      </c>
      <c r="GI37" s="145" cm="1">
        <f t="array" ref="GI37">SUMPRODUCT(--($CR$7:$FW$7&gt;=GI$5),--($CR$7:$FW$7&lt;=GI$6),$CR37:$FW37)*GA37</f>
        <v>0</v>
      </c>
      <c r="GJ37" s="145" cm="1">
        <f t="array" ref="GJ37">SUMPRODUCT(--($CR$7:$FW$7&gt;=GJ$5),--($CR$7:$FW$7&lt;=GJ$6),$CR37:$FW37)*GB37</f>
        <v>0</v>
      </c>
      <c r="GK37" s="145" cm="1">
        <f t="array" ref="GK37">SUMPRODUCT(--($CR$7:$FW$7&gt;=GK$5),--($CR$7:$FW$7&lt;=GK$6),$CR37:$FW37)*GC37</f>
        <v>0</v>
      </c>
      <c r="GL37" s="145" cm="1">
        <f t="array" ref="GL37">SUMPRODUCT(--($CR$7:$FW$7&gt;=GL$5),--($CR$7:$FW$7&lt;=GL$6),$CR37:$FW37)*GD37</f>
        <v>0</v>
      </c>
      <c r="GM37" s="145" cm="1">
        <f t="array" ref="GM37">SUMPRODUCT(--($CR$7:$FW$7&gt;=GM$5),--($CR$7:$FW$7&lt;=GM$6),$CR37:$FW37)*GE37</f>
        <v>0</v>
      </c>
      <c r="GN37" s="145" cm="1">
        <f t="array" ref="GN37">SUMPRODUCT(--($CR$7:$FW$7&gt;=GN$5),--($CR$7:$FW$7&lt;=GN$6),$CR37:$FW37)*GF37</f>
        <v>0</v>
      </c>
      <c r="GO37" s="145">
        <f t="shared" si="0"/>
        <v>0</v>
      </c>
      <c r="GP37" s="87"/>
      <c r="GR37" s="145" cm="1">
        <f t="array" ref="GR37">SUMPRODUCT(--($CR$7:$FW$7&gt;=GR$5),--($CR$7:$FW$7&lt;=GR$6),$CR37:$FW37)</f>
        <v>0</v>
      </c>
    </row>
    <row r="38" spans="1:200" x14ac:dyDescent="0.2">
      <c r="B38" s="141"/>
      <c r="C38" s="141"/>
      <c r="D38" s="141"/>
      <c r="E38" s="141"/>
      <c r="F38" s="141"/>
      <c r="G38" s="141"/>
      <c r="H38" s="142"/>
      <c r="I38" s="126"/>
      <c r="J38" s="143"/>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3"/>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3"/>
      <c r="FY38" s="146">
        <f>_xlfn.XLOOKUP($E38,'Key assumptions'!$B$112:$B$120,'Key assumptions'!$C$112:$C$120,0)</f>
        <v>0</v>
      </c>
      <c r="FZ38" s="146" cm="1">
        <f t="array" ref="FZ38">IF($FY38=0,0,_xlfn.IFS($FY38='Key assumptions'!$C$120,_xlfn.XLOOKUP(LEFT(FZ$7,6),Inflation_Year,Inflation_NominaltoReal),TRUE,_xlfn.XLOOKUP($FY38,Inflation_Year,NominaltoReal)))</f>
        <v>0</v>
      </c>
      <c r="GA38" s="146" cm="1">
        <f t="array" ref="GA38">IF($FY38=0,0,_xlfn.IFS($FY38='Key assumptions'!$C$120,_xlfn.XLOOKUP(LEFT(GA$7,6),Inflation_Year,Inflation_NominaltoReal),TRUE,_xlfn.XLOOKUP($FY38,Inflation_Year,NominaltoReal)))</f>
        <v>0</v>
      </c>
      <c r="GB38" s="146" cm="1">
        <f t="array" ref="GB38">IF($FY38=0,0,_xlfn.IFS($FY38='Key assumptions'!$C$120,_xlfn.XLOOKUP(LEFT(GB$7,6),Inflation_Year,Inflation_NominaltoReal),TRUE,_xlfn.XLOOKUP($FY38,Inflation_Year,NominaltoReal)))</f>
        <v>0</v>
      </c>
      <c r="GC38" s="146" cm="1">
        <f t="array" ref="GC38">IF($FY38=0,0,_xlfn.IFS($FY38='Key assumptions'!$C$120,_xlfn.XLOOKUP(LEFT(GC$7,6),Inflation_Year,Inflation_NominaltoReal),TRUE,_xlfn.XLOOKUP($FY38,Inflation_Year,NominaltoReal)))</f>
        <v>0</v>
      </c>
      <c r="GD38" s="146" cm="1">
        <f t="array" ref="GD38">IF($FY38=0,0,_xlfn.IFS($FY38='Key assumptions'!$C$120,_xlfn.XLOOKUP(LEFT(GD$7,6),Inflation_Year,Inflation_NominaltoReal),TRUE,_xlfn.XLOOKUP($FY38,Inflation_Year,NominaltoReal)))</f>
        <v>0</v>
      </c>
      <c r="GE38" s="146" cm="1">
        <f t="array" ref="GE38">IF($FY38=0,0,_xlfn.IFS($FY38='Key assumptions'!$C$120,_xlfn.XLOOKUP(LEFT(GE$7,6),Inflation_Year,Inflation_NominaltoReal),TRUE,_xlfn.XLOOKUP($FY38,Inflation_Year,NominaltoReal)))</f>
        <v>0</v>
      </c>
      <c r="GF38" s="146" cm="1">
        <f t="array" ref="GF38">IF($FY38=0,0,_xlfn.IFS($FY38='Key assumptions'!$C$120,_xlfn.XLOOKUP(LEFT(GF$7,6),Inflation_Year,Inflation_NominaltoReal),TRUE,_xlfn.XLOOKUP($FY38,Inflation_Year,NominaltoReal)))</f>
        <v>0</v>
      </c>
      <c r="GG38" s="143"/>
      <c r="GH38" s="145" cm="1">
        <f t="array" ref="GH38">SUMPRODUCT(--($CR$7:$FW$7&gt;=GH$5),--($CR$7:$FW$7&lt;=GH$6),$CR38:$FW38)*FZ38</f>
        <v>0</v>
      </c>
      <c r="GI38" s="145" cm="1">
        <f t="array" ref="GI38">SUMPRODUCT(--($CR$7:$FW$7&gt;=GI$5),--($CR$7:$FW$7&lt;=GI$6),$CR38:$FW38)*GA38</f>
        <v>0</v>
      </c>
      <c r="GJ38" s="145" cm="1">
        <f t="array" ref="GJ38">SUMPRODUCT(--($CR$7:$FW$7&gt;=GJ$5),--($CR$7:$FW$7&lt;=GJ$6),$CR38:$FW38)*GB38</f>
        <v>0</v>
      </c>
      <c r="GK38" s="145" cm="1">
        <f t="array" ref="GK38">SUMPRODUCT(--($CR$7:$FW$7&gt;=GK$5),--($CR$7:$FW$7&lt;=GK$6),$CR38:$FW38)*GC38</f>
        <v>0</v>
      </c>
      <c r="GL38" s="145" cm="1">
        <f t="array" ref="GL38">SUMPRODUCT(--($CR$7:$FW$7&gt;=GL$5),--($CR$7:$FW$7&lt;=GL$6),$CR38:$FW38)*GD38</f>
        <v>0</v>
      </c>
      <c r="GM38" s="145" cm="1">
        <f t="array" ref="GM38">SUMPRODUCT(--($CR$7:$FW$7&gt;=GM$5),--($CR$7:$FW$7&lt;=GM$6),$CR38:$FW38)*GE38</f>
        <v>0</v>
      </c>
      <c r="GN38" s="145" cm="1">
        <f t="array" ref="GN38">SUMPRODUCT(--($CR$7:$FW$7&gt;=GN$5),--($CR$7:$FW$7&lt;=GN$6),$CR38:$FW38)*GF38</f>
        <v>0</v>
      </c>
      <c r="GO38" s="145">
        <f t="shared" si="0"/>
        <v>0</v>
      </c>
      <c r="GP38" s="87"/>
      <c r="GR38" s="145" cm="1">
        <f t="array" ref="GR38">SUMPRODUCT(--($CR$7:$FW$7&gt;=GR$5),--($CR$7:$FW$7&lt;=GR$6),$CR38:$FW38)</f>
        <v>0</v>
      </c>
    </row>
    <row r="39" spans="1:200" x14ac:dyDescent="0.2">
      <c r="B39" s="141"/>
      <c r="C39" s="141"/>
      <c r="D39" s="141"/>
      <c r="E39" s="141"/>
      <c r="F39" s="141"/>
      <c r="G39" s="141"/>
      <c r="H39" s="142"/>
      <c r="I39" s="126"/>
      <c r="J39" s="143"/>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3"/>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3"/>
      <c r="FY39" s="146">
        <f>_xlfn.XLOOKUP($E39,'Key assumptions'!$B$112:$B$120,'Key assumptions'!$C$112:$C$120,0)</f>
        <v>0</v>
      </c>
      <c r="FZ39" s="146" cm="1">
        <f t="array" ref="FZ39">IF($FY39=0,0,_xlfn.IFS($FY39='Key assumptions'!$C$120,_xlfn.XLOOKUP(LEFT(FZ$7,6),Inflation_Year,Inflation_NominaltoReal),TRUE,_xlfn.XLOOKUP($FY39,Inflation_Year,NominaltoReal)))</f>
        <v>0</v>
      </c>
      <c r="GA39" s="146" cm="1">
        <f t="array" ref="GA39">IF($FY39=0,0,_xlfn.IFS($FY39='Key assumptions'!$C$120,_xlfn.XLOOKUP(LEFT(GA$7,6),Inflation_Year,Inflation_NominaltoReal),TRUE,_xlfn.XLOOKUP($FY39,Inflation_Year,NominaltoReal)))</f>
        <v>0</v>
      </c>
      <c r="GB39" s="146" cm="1">
        <f t="array" ref="GB39">IF($FY39=0,0,_xlfn.IFS($FY39='Key assumptions'!$C$120,_xlfn.XLOOKUP(LEFT(GB$7,6),Inflation_Year,Inflation_NominaltoReal),TRUE,_xlfn.XLOOKUP($FY39,Inflation_Year,NominaltoReal)))</f>
        <v>0</v>
      </c>
      <c r="GC39" s="146" cm="1">
        <f t="array" ref="GC39">IF($FY39=0,0,_xlfn.IFS($FY39='Key assumptions'!$C$120,_xlfn.XLOOKUP(LEFT(GC$7,6),Inflation_Year,Inflation_NominaltoReal),TRUE,_xlfn.XLOOKUP($FY39,Inflation_Year,NominaltoReal)))</f>
        <v>0</v>
      </c>
      <c r="GD39" s="146" cm="1">
        <f t="array" ref="GD39">IF($FY39=0,0,_xlfn.IFS($FY39='Key assumptions'!$C$120,_xlfn.XLOOKUP(LEFT(GD$7,6),Inflation_Year,Inflation_NominaltoReal),TRUE,_xlfn.XLOOKUP($FY39,Inflation_Year,NominaltoReal)))</f>
        <v>0</v>
      </c>
      <c r="GE39" s="146" cm="1">
        <f t="array" ref="GE39">IF($FY39=0,0,_xlfn.IFS($FY39='Key assumptions'!$C$120,_xlfn.XLOOKUP(LEFT(GE$7,6),Inflation_Year,Inflation_NominaltoReal),TRUE,_xlfn.XLOOKUP($FY39,Inflation_Year,NominaltoReal)))</f>
        <v>0</v>
      </c>
      <c r="GF39" s="146" cm="1">
        <f t="array" ref="GF39">IF($FY39=0,0,_xlfn.IFS($FY39='Key assumptions'!$C$120,_xlfn.XLOOKUP(LEFT(GF$7,6),Inflation_Year,Inflation_NominaltoReal),TRUE,_xlfn.XLOOKUP($FY39,Inflation_Year,NominaltoReal)))</f>
        <v>0</v>
      </c>
      <c r="GG39" s="143"/>
      <c r="GH39" s="145" cm="1">
        <f t="array" ref="GH39">SUMPRODUCT(--($CR$7:$FW$7&gt;=GH$5),--($CR$7:$FW$7&lt;=GH$6),$CR39:$FW39)*FZ39</f>
        <v>0</v>
      </c>
      <c r="GI39" s="145" cm="1">
        <f t="array" ref="GI39">SUMPRODUCT(--($CR$7:$FW$7&gt;=GI$5),--($CR$7:$FW$7&lt;=GI$6),$CR39:$FW39)*GA39</f>
        <v>0</v>
      </c>
      <c r="GJ39" s="145" cm="1">
        <f t="array" ref="GJ39">SUMPRODUCT(--($CR$7:$FW$7&gt;=GJ$5),--($CR$7:$FW$7&lt;=GJ$6),$CR39:$FW39)*GB39</f>
        <v>0</v>
      </c>
      <c r="GK39" s="145" cm="1">
        <f t="array" ref="GK39">SUMPRODUCT(--($CR$7:$FW$7&gt;=GK$5),--($CR$7:$FW$7&lt;=GK$6),$CR39:$FW39)*GC39</f>
        <v>0</v>
      </c>
      <c r="GL39" s="145" cm="1">
        <f t="array" ref="GL39">SUMPRODUCT(--($CR$7:$FW$7&gt;=GL$5),--($CR$7:$FW$7&lt;=GL$6),$CR39:$FW39)*GD39</f>
        <v>0</v>
      </c>
      <c r="GM39" s="145" cm="1">
        <f t="array" ref="GM39">SUMPRODUCT(--($CR$7:$FW$7&gt;=GM$5),--($CR$7:$FW$7&lt;=GM$6),$CR39:$FW39)*GE39</f>
        <v>0</v>
      </c>
      <c r="GN39" s="145" cm="1">
        <f t="array" ref="GN39">SUMPRODUCT(--($CR$7:$FW$7&gt;=GN$5),--($CR$7:$FW$7&lt;=GN$6),$CR39:$FW39)*GF39</f>
        <v>0</v>
      </c>
      <c r="GO39" s="145">
        <f t="shared" si="0"/>
        <v>0</v>
      </c>
      <c r="GP39" s="87"/>
      <c r="GR39" s="145" cm="1">
        <f t="array" ref="GR39">SUMPRODUCT(--($CR$7:$FW$7&gt;=GR$5),--($CR$7:$FW$7&lt;=GR$6),$CR39:$FW39)</f>
        <v>0</v>
      </c>
    </row>
    <row r="40" spans="1:200" x14ac:dyDescent="0.2">
      <c r="B40" s="141"/>
      <c r="C40" s="141"/>
      <c r="D40" s="141"/>
      <c r="E40" s="141"/>
      <c r="F40" s="141"/>
      <c r="G40" s="141"/>
      <c r="H40" s="142"/>
      <c r="I40" s="126"/>
      <c r="J40" s="143"/>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3"/>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c r="EE40" s="145"/>
      <c r="EF40" s="145"/>
      <c r="EG40" s="145"/>
      <c r="EH40" s="145"/>
      <c r="EI40" s="145"/>
      <c r="EJ40" s="145"/>
      <c r="EK40" s="145"/>
      <c r="EL40" s="145"/>
      <c r="EM40" s="145"/>
      <c r="EN40" s="145"/>
      <c r="EO40" s="145"/>
      <c r="EP40" s="145"/>
      <c r="EQ40" s="145"/>
      <c r="ER40" s="145"/>
      <c r="ES40" s="145"/>
      <c r="ET40" s="145"/>
      <c r="EU40" s="145"/>
      <c r="EV40" s="145"/>
      <c r="EW40" s="145"/>
      <c r="EX40" s="145"/>
      <c r="EY40" s="145"/>
      <c r="EZ40" s="145"/>
      <c r="FA40" s="145"/>
      <c r="FB40" s="145"/>
      <c r="FC40" s="145"/>
      <c r="FD40" s="145"/>
      <c r="FE40" s="145"/>
      <c r="FF40" s="145"/>
      <c r="FG40" s="145"/>
      <c r="FH40" s="145"/>
      <c r="FI40" s="145"/>
      <c r="FJ40" s="145"/>
      <c r="FK40" s="145"/>
      <c r="FL40" s="145"/>
      <c r="FM40" s="145"/>
      <c r="FN40" s="145"/>
      <c r="FO40" s="145"/>
      <c r="FP40" s="145"/>
      <c r="FQ40" s="145"/>
      <c r="FR40" s="145"/>
      <c r="FS40" s="145"/>
      <c r="FT40" s="145"/>
      <c r="FU40" s="145"/>
      <c r="FV40" s="145"/>
      <c r="FW40" s="145"/>
      <c r="FX40" s="143"/>
      <c r="FY40" s="146">
        <f>_xlfn.XLOOKUP($E40,'Key assumptions'!$B$112:$B$120,'Key assumptions'!$C$112:$C$120,0)</f>
        <v>0</v>
      </c>
      <c r="FZ40" s="146" cm="1">
        <f t="array" ref="FZ40">IF($FY40=0,0,_xlfn.IFS($FY40='Key assumptions'!$C$120,_xlfn.XLOOKUP(LEFT(FZ$7,6),Inflation_Year,Inflation_NominaltoReal),TRUE,_xlfn.XLOOKUP($FY40,Inflation_Year,NominaltoReal)))</f>
        <v>0</v>
      </c>
      <c r="GA40" s="146" cm="1">
        <f t="array" ref="GA40">IF($FY40=0,0,_xlfn.IFS($FY40='Key assumptions'!$C$120,_xlfn.XLOOKUP(LEFT(GA$7,6),Inflation_Year,Inflation_NominaltoReal),TRUE,_xlfn.XLOOKUP($FY40,Inflation_Year,NominaltoReal)))</f>
        <v>0</v>
      </c>
      <c r="GB40" s="146" cm="1">
        <f t="array" ref="GB40">IF($FY40=0,0,_xlfn.IFS($FY40='Key assumptions'!$C$120,_xlfn.XLOOKUP(LEFT(GB$7,6),Inflation_Year,Inflation_NominaltoReal),TRUE,_xlfn.XLOOKUP($FY40,Inflation_Year,NominaltoReal)))</f>
        <v>0</v>
      </c>
      <c r="GC40" s="146" cm="1">
        <f t="array" ref="GC40">IF($FY40=0,0,_xlfn.IFS($FY40='Key assumptions'!$C$120,_xlfn.XLOOKUP(LEFT(GC$7,6),Inflation_Year,Inflation_NominaltoReal),TRUE,_xlfn.XLOOKUP($FY40,Inflation_Year,NominaltoReal)))</f>
        <v>0</v>
      </c>
      <c r="GD40" s="146" cm="1">
        <f t="array" ref="GD40">IF($FY40=0,0,_xlfn.IFS($FY40='Key assumptions'!$C$120,_xlfn.XLOOKUP(LEFT(GD$7,6),Inflation_Year,Inflation_NominaltoReal),TRUE,_xlfn.XLOOKUP($FY40,Inflation_Year,NominaltoReal)))</f>
        <v>0</v>
      </c>
      <c r="GE40" s="146" cm="1">
        <f t="array" ref="GE40">IF($FY40=0,0,_xlfn.IFS($FY40='Key assumptions'!$C$120,_xlfn.XLOOKUP(LEFT(GE$7,6),Inflation_Year,Inflation_NominaltoReal),TRUE,_xlfn.XLOOKUP($FY40,Inflation_Year,NominaltoReal)))</f>
        <v>0</v>
      </c>
      <c r="GF40" s="146" cm="1">
        <f t="array" ref="GF40">IF($FY40=0,0,_xlfn.IFS($FY40='Key assumptions'!$C$120,_xlfn.XLOOKUP(LEFT(GF$7,6),Inflation_Year,Inflation_NominaltoReal),TRUE,_xlfn.XLOOKUP($FY40,Inflation_Year,NominaltoReal)))</f>
        <v>0</v>
      </c>
      <c r="GG40" s="143"/>
      <c r="GH40" s="145" cm="1">
        <f t="array" ref="GH40">SUMPRODUCT(--($CR$7:$FW$7&gt;=GH$5),--($CR$7:$FW$7&lt;=GH$6),$CR40:$FW40)*FZ40</f>
        <v>0</v>
      </c>
      <c r="GI40" s="145" cm="1">
        <f t="array" ref="GI40">SUMPRODUCT(--($CR$7:$FW$7&gt;=GI$5),--($CR$7:$FW$7&lt;=GI$6),$CR40:$FW40)*GA40</f>
        <v>0</v>
      </c>
      <c r="GJ40" s="145" cm="1">
        <f t="array" ref="GJ40">SUMPRODUCT(--($CR$7:$FW$7&gt;=GJ$5),--($CR$7:$FW$7&lt;=GJ$6),$CR40:$FW40)*GB40</f>
        <v>0</v>
      </c>
      <c r="GK40" s="145" cm="1">
        <f t="array" ref="GK40">SUMPRODUCT(--($CR$7:$FW$7&gt;=GK$5),--($CR$7:$FW$7&lt;=GK$6),$CR40:$FW40)*GC40</f>
        <v>0</v>
      </c>
      <c r="GL40" s="145" cm="1">
        <f t="array" ref="GL40">SUMPRODUCT(--($CR$7:$FW$7&gt;=GL$5),--($CR$7:$FW$7&lt;=GL$6),$CR40:$FW40)*GD40</f>
        <v>0</v>
      </c>
      <c r="GM40" s="145" cm="1">
        <f t="array" ref="GM40">SUMPRODUCT(--($CR$7:$FW$7&gt;=GM$5),--($CR$7:$FW$7&lt;=GM$6),$CR40:$FW40)*GE40</f>
        <v>0</v>
      </c>
      <c r="GN40" s="145" cm="1">
        <f t="array" ref="GN40">SUMPRODUCT(--($CR$7:$FW$7&gt;=GN$5),--($CR$7:$FW$7&lt;=GN$6),$CR40:$FW40)*GF40</f>
        <v>0</v>
      </c>
      <c r="GO40" s="145">
        <f t="shared" si="0"/>
        <v>0</v>
      </c>
      <c r="GP40" s="87"/>
      <c r="GR40" s="145" cm="1">
        <f t="array" ref="GR40">SUMPRODUCT(--($CR$7:$FW$7&gt;=GR$5),--($CR$7:$FW$7&lt;=GR$6),$CR40:$FW40)</f>
        <v>0</v>
      </c>
    </row>
    <row r="41" spans="1:200" x14ac:dyDescent="0.2">
      <c r="B41" s="141"/>
      <c r="C41" s="141"/>
      <c r="D41" s="141"/>
      <c r="E41" s="141"/>
      <c r="F41" s="141"/>
      <c r="G41" s="141"/>
      <c r="H41" s="142"/>
      <c r="I41" s="126"/>
      <c r="J41" s="143"/>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3"/>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c r="ER41" s="145"/>
      <c r="ES41" s="145"/>
      <c r="ET41" s="145"/>
      <c r="EU41" s="145"/>
      <c r="EV41" s="145"/>
      <c r="EW41" s="145"/>
      <c r="EX41" s="145"/>
      <c r="EY41" s="145"/>
      <c r="EZ41" s="145"/>
      <c r="FA41" s="145"/>
      <c r="FB41" s="145"/>
      <c r="FC41" s="145"/>
      <c r="FD41" s="145"/>
      <c r="FE41" s="145"/>
      <c r="FF41" s="145"/>
      <c r="FG41" s="145"/>
      <c r="FH41" s="145"/>
      <c r="FI41" s="145"/>
      <c r="FJ41" s="145"/>
      <c r="FK41" s="145"/>
      <c r="FL41" s="145"/>
      <c r="FM41" s="145"/>
      <c r="FN41" s="145"/>
      <c r="FO41" s="145"/>
      <c r="FP41" s="145"/>
      <c r="FQ41" s="145"/>
      <c r="FR41" s="145"/>
      <c r="FS41" s="145"/>
      <c r="FT41" s="145"/>
      <c r="FU41" s="145"/>
      <c r="FV41" s="145"/>
      <c r="FW41" s="145"/>
      <c r="FX41" s="143"/>
      <c r="FY41" s="146">
        <f>_xlfn.XLOOKUP($E41,'Key assumptions'!$B$112:$B$120,'Key assumptions'!$C$112:$C$120,0)</f>
        <v>0</v>
      </c>
      <c r="FZ41" s="146" cm="1">
        <f t="array" ref="FZ41">IF($FY41=0,0,_xlfn.IFS($FY41='Key assumptions'!$C$120,_xlfn.XLOOKUP(LEFT(FZ$7,6),Inflation_Year,Inflation_NominaltoReal),TRUE,_xlfn.XLOOKUP($FY41,Inflation_Year,NominaltoReal)))</f>
        <v>0</v>
      </c>
      <c r="GA41" s="146" cm="1">
        <f t="array" ref="GA41">IF($FY41=0,0,_xlfn.IFS($FY41='Key assumptions'!$C$120,_xlfn.XLOOKUP(LEFT(GA$7,6),Inflation_Year,Inflation_NominaltoReal),TRUE,_xlfn.XLOOKUP($FY41,Inflation_Year,NominaltoReal)))</f>
        <v>0</v>
      </c>
      <c r="GB41" s="146" cm="1">
        <f t="array" ref="GB41">IF($FY41=0,0,_xlfn.IFS($FY41='Key assumptions'!$C$120,_xlfn.XLOOKUP(LEFT(GB$7,6),Inflation_Year,Inflation_NominaltoReal),TRUE,_xlfn.XLOOKUP($FY41,Inflation_Year,NominaltoReal)))</f>
        <v>0</v>
      </c>
      <c r="GC41" s="146" cm="1">
        <f t="array" ref="GC41">IF($FY41=0,0,_xlfn.IFS($FY41='Key assumptions'!$C$120,_xlfn.XLOOKUP(LEFT(GC$7,6),Inflation_Year,Inflation_NominaltoReal),TRUE,_xlfn.XLOOKUP($FY41,Inflation_Year,NominaltoReal)))</f>
        <v>0</v>
      </c>
      <c r="GD41" s="146" cm="1">
        <f t="array" ref="GD41">IF($FY41=0,0,_xlfn.IFS($FY41='Key assumptions'!$C$120,_xlfn.XLOOKUP(LEFT(GD$7,6),Inflation_Year,Inflation_NominaltoReal),TRUE,_xlfn.XLOOKUP($FY41,Inflation_Year,NominaltoReal)))</f>
        <v>0</v>
      </c>
      <c r="GE41" s="146" cm="1">
        <f t="array" ref="GE41">IF($FY41=0,0,_xlfn.IFS($FY41='Key assumptions'!$C$120,_xlfn.XLOOKUP(LEFT(GE$7,6),Inflation_Year,Inflation_NominaltoReal),TRUE,_xlfn.XLOOKUP($FY41,Inflation_Year,NominaltoReal)))</f>
        <v>0</v>
      </c>
      <c r="GF41" s="146" cm="1">
        <f t="array" ref="GF41">IF($FY41=0,0,_xlfn.IFS($FY41='Key assumptions'!$C$120,_xlfn.XLOOKUP(LEFT(GF$7,6),Inflation_Year,Inflation_NominaltoReal),TRUE,_xlfn.XLOOKUP($FY41,Inflation_Year,NominaltoReal)))</f>
        <v>0</v>
      </c>
      <c r="GG41" s="143"/>
      <c r="GH41" s="145" cm="1">
        <f t="array" ref="GH41">SUMPRODUCT(--($CR$7:$FW$7&gt;=GH$5),--($CR$7:$FW$7&lt;=GH$6),$CR41:$FW41)*FZ41</f>
        <v>0</v>
      </c>
      <c r="GI41" s="145" cm="1">
        <f t="array" ref="GI41">SUMPRODUCT(--($CR$7:$FW$7&gt;=GI$5),--($CR$7:$FW$7&lt;=GI$6),$CR41:$FW41)*GA41</f>
        <v>0</v>
      </c>
      <c r="GJ41" s="145" cm="1">
        <f t="array" ref="GJ41">SUMPRODUCT(--($CR$7:$FW$7&gt;=GJ$5),--($CR$7:$FW$7&lt;=GJ$6),$CR41:$FW41)*GB41</f>
        <v>0</v>
      </c>
      <c r="GK41" s="145" cm="1">
        <f t="array" ref="GK41">SUMPRODUCT(--($CR$7:$FW$7&gt;=GK$5),--($CR$7:$FW$7&lt;=GK$6),$CR41:$FW41)*GC41</f>
        <v>0</v>
      </c>
      <c r="GL41" s="145" cm="1">
        <f t="array" ref="GL41">SUMPRODUCT(--($CR$7:$FW$7&gt;=GL$5),--($CR$7:$FW$7&lt;=GL$6),$CR41:$FW41)*GD41</f>
        <v>0</v>
      </c>
      <c r="GM41" s="145" cm="1">
        <f t="array" ref="GM41">SUMPRODUCT(--($CR$7:$FW$7&gt;=GM$5),--($CR$7:$FW$7&lt;=GM$6),$CR41:$FW41)*GE41</f>
        <v>0</v>
      </c>
      <c r="GN41" s="145" cm="1">
        <f t="array" ref="GN41">SUMPRODUCT(--($CR$7:$FW$7&gt;=GN$5),--($CR$7:$FW$7&lt;=GN$6),$CR41:$FW41)*GF41</f>
        <v>0</v>
      </c>
      <c r="GO41" s="145">
        <f t="shared" si="0"/>
        <v>0</v>
      </c>
      <c r="GP41" s="87"/>
      <c r="GR41" s="145" cm="1">
        <f t="array" ref="GR41">SUMPRODUCT(--($CR$7:$FW$7&gt;=GR$5),--($CR$7:$FW$7&lt;=GR$6),$CR41:$FW41)</f>
        <v>0</v>
      </c>
    </row>
    <row r="42" spans="1:200" x14ac:dyDescent="0.2">
      <c r="B42" s="141"/>
      <c r="C42" s="141"/>
      <c r="D42" s="141"/>
      <c r="E42" s="141"/>
      <c r="F42" s="141"/>
      <c r="G42" s="141"/>
      <c r="H42" s="142"/>
      <c r="I42" s="126"/>
      <c r="J42" s="143"/>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3"/>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c r="EE42" s="145"/>
      <c r="EF42" s="145"/>
      <c r="EG42" s="145"/>
      <c r="EH42" s="145"/>
      <c r="EI42" s="145"/>
      <c r="EJ42" s="145"/>
      <c r="EK42" s="145"/>
      <c r="EL42" s="145"/>
      <c r="EM42" s="145"/>
      <c r="EN42" s="145"/>
      <c r="EO42" s="145"/>
      <c r="EP42" s="145"/>
      <c r="EQ42" s="145"/>
      <c r="ER42" s="145"/>
      <c r="ES42" s="145"/>
      <c r="ET42" s="145"/>
      <c r="EU42" s="145"/>
      <c r="EV42" s="145"/>
      <c r="EW42" s="145"/>
      <c r="EX42" s="145"/>
      <c r="EY42" s="145"/>
      <c r="EZ42" s="145"/>
      <c r="FA42" s="145"/>
      <c r="FB42" s="145"/>
      <c r="FC42" s="145"/>
      <c r="FD42" s="145"/>
      <c r="FE42" s="145"/>
      <c r="FF42" s="145"/>
      <c r="FG42" s="145"/>
      <c r="FH42" s="145"/>
      <c r="FI42" s="145"/>
      <c r="FJ42" s="145"/>
      <c r="FK42" s="145"/>
      <c r="FL42" s="145"/>
      <c r="FM42" s="145"/>
      <c r="FN42" s="145"/>
      <c r="FO42" s="145"/>
      <c r="FP42" s="145"/>
      <c r="FQ42" s="145"/>
      <c r="FR42" s="145"/>
      <c r="FS42" s="145"/>
      <c r="FT42" s="145"/>
      <c r="FU42" s="145"/>
      <c r="FV42" s="145"/>
      <c r="FW42" s="145"/>
      <c r="FX42" s="143"/>
      <c r="FY42" s="146">
        <f>_xlfn.XLOOKUP($E42,'Key assumptions'!$B$112:$B$120,'Key assumptions'!$C$112:$C$120,0)</f>
        <v>0</v>
      </c>
      <c r="FZ42" s="146" cm="1">
        <f t="array" ref="FZ42">IF($FY42=0,0,_xlfn.IFS($FY42='Key assumptions'!$C$120,_xlfn.XLOOKUP(LEFT(FZ$7,6),Inflation_Year,Inflation_NominaltoReal),TRUE,_xlfn.XLOOKUP($FY42,Inflation_Year,NominaltoReal)))</f>
        <v>0</v>
      </c>
      <c r="GA42" s="146" cm="1">
        <f t="array" ref="GA42">IF($FY42=0,0,_xlfn.IFS($FY42='Key assumptions'!$C$120,_xlfn.XLOOKUP(LEFT(GA$7,6),Inflation_Year,Inflation_NominaltoReal),TRUE,_xlfn.XLOOKUP($FY42,Inflation_Year,NominaltoReal)))</f>
        <v>0</v>
      </c>
      <c r="GB42" s="146" cm="1">
        <f t="array" ref="GB42">IF($FY42=0,0,_xlfn.IFS($FY42='Key assumptions'!$C$120,_xlfn.XLOOKUP(LEFT(GB$7,6),Inflation_Year,Inflation_NominaltoReal),TRUE,_xlfn.XLOOKUP($FY42,Inflation_Year,NominaltoReal)))</f>
        <v>0</v>
      </c>
      <c r="GC42" s="146" cm="1">
        <f t="array" ref="GC42">IF($FY42=0,0,_xlfn.IFS($FY42='Key assumptions'!$C$120,_xlfn.XLOOKUP(LEFT(GC$7,6),Inflation_Year,Inflation_NominaltoReal),TRUE,_xlfn.XLOOKUP($FY42,Inflation_Year,NominaltoReal)))</f>
        <v>0</v>
      </c>
      <c r="GD42" s="146" cm="1">
        <f t="array" ref="GD42">IF($FY42=0,0,_xlfn.IFS($FY42='Key assumptions'!$C$120,_xlfn.XLOOKUP(LEFT(GD$7,6),Inflation_Year,Inflation_NominaltoReal),TRUE,_xlfn.XLOOKUP($FY42,Inflation_Year,NominaltoReal)))</f>
        <v>0</v>
      </c>
      <c r="GE42" s="146" cm="1">
        <f t="array" ref="GE42">IF($FY42=0,0,_xlfn.IFS($FY42='Key assumptions'!$C$120,_xlfn.XLOOKUP(LEFT(GE$7,6),Inflation_Year,Inflation_NominaltoReal),TRUE,_xlfn.XLOOKUP($FY42,Inflation_Year,NominaltoReal)))</f>
        <v>0</v>
      </c>
      <c r="GF42" s="146" cm="1">
        <f t="array" ref="GF42">IF($FY42=0,0,_xlfn.IFS($FY42='Key assumptions'!$C$120,_xlfn.XLOOKUP(LEFT(GF$7,6),Inflation_Year,Inflation_NominaltoReal),TRUE,_xlfn.XLOOKUP($FY42,Inflation_Year,NominaltoReal)))</f>
        <v>0</v>
      </c>
      <c r="GG42" s="143"/>
      <c r="GH42" s="145" cm="1">
        <f t="array" ref="GH42">SUMPRODUCT(--($CR$7:$FW$7&gt;=GH$5),--($CR$7:$FW$7&lt;=GH$6),$CR42:$FW42)*FZ42</f>
        <v>0</v>
      </c>
      <c r="GI42" s="145" cm="1">
        <f t="array" ref="GI42">SUMPRODUCT(--($CR$7:$FW$7&gt;=GI$5),--($CR$7:$FW$7&lt;=GI$6),$CR42:$FW42)*GA42</f>
        <v>0</v>
      </c>
      <c r="GJ42" s="145" cm="1">
        <f t="array" ref="GJ42">SUMPRODUCT(--($CR$7:$FW$7&gt;=GJ$5),--($CR$7:$FW$7&lt;=GJ$6),$CR42:$FW42)*GB42</f>
        <v>0</v>
      </c>
      <c r="GK42" s="145" cm="1">
        <f t="array" ref="GK42">SUMPRODUCT(--($CR$7:$FW$7&gt;=GK$5),--($CR$7:$FW$7&lt;=GK$6),$CR42:$FW42)*GC42</f>
        <v>0</v>
      </c>
      <c r="GL42" s="145" cm="1">
        <f t="array" ref="GL42">SUMPRODUCT(--($CR$7:$FW$7&gt;=GL$5),--($CR$7:$FW$7&lt;=GL$6),$CR42:$FW42)*GD42</f>
        <v>0</v>
      </c>
      <c r="GM42" s="145" cm="1">
        <f t="array" ref="GM42">SUMPRODUCT(--($CR$7:$FW$7&gt;=GM$5),--($CR$7:$FW$7&lt;=GM$6),$CR42:$FW42)*GE42</f>
        <v>0</v>
      </c>
      <c r="GN42" s="145" cm="1">
        <f t="array" ref="GN42">SUMPRODUCT(--($CR$7:$FW$7&gt;=GN$5),--($CR$7:$FW$7&lt;=GN$6),$CR42:$FW42)*GF42</f>
        <v>0</v>
      </c>
      <c r="GO42" s="145">
        <f t="shared" si="0"/>
        <v>0</v>
      </c>
      <c r="GP42" s="87"/>
      <c r="GR42" s="145" cm="1">
        <f t="array" ref="GR42">SUMPRODUCT(--($CR$7:$FW$7&gt;=GR$5),--($CR$7:$FW$7&lt;=GR$6),$CR42:$FW42)</f>
        <v>0</v>
      </c>
    </row>
    <row r="43" spans="1:200" x14ac:dyDescent="0.2">
      <c r="B43" s="141"/>
      <c r="C43" s="141"/>
      <c r="D43" s="141"/>
      <c r="E43" s="141"/>
      <c r="F43" s="141"/>
      <c r="G43" s="141"/>
      <c r="H43" s="142"/>
      <c r="I43" s="126"/>
      <c r="J43" s="143"/>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3"/>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3"/>
      <c r="FY43" s="146">
        <f>_xlfn.XLOOKUP($E43,'Key assumptions'!$B$112:$B$120,'Key assumptions'!$C$112:$C$120,0)</f>
        <v>0</v>
      </c>
      <c r="FZ43" s="146" cm="1">
        <f t="array" ref="FZ43">IF($FY43=0,0,_xlfn.IFS($FY43='Key assumptions'!$C$120,_xlfn.XLOOKUP(LEFT(FZ$7,6),Inflation_Year,Inflation_NominaltoReal),TRUE,_xlfn.XLOOKUP($FY43,Inflation_Year,NominaltoReal)))</f>
        <v>0</v>
      </c>
      <c r="GA43" s="146" cm="1">
        <f t="array" ref="GA43">IF($FY43=0,0,_xlfn.IFS($FY43='Key assumptions'!$C$120,_xlfn.XLOOKUP(LEFT(GA$7,6),Inflation_Year,Inflation_NominaltoReal),TRUE,_xlfn.XLOOKUP($FY43,Inflation_Year,NominaltoReal)))</f>
        <v>0</v>
      </c>
      <c r="GB43" s="146" cm="1">
        <f t="array" ref="GB43">IF($FY43=0,0,_xlfn.IFS($FY43='Key assumptions'!$C$120,_xlfn.XLOOKUP(LEFT(GB$7,6),Inflation_Year,Inflation_NominaltoReal),TRUE,_xlfn.XLOOKUP($FY43,Inflation_Year,NominaltoReal)))</f>
        <v>0</v>
      </c>
      <c r="GC43" s="146" cm="1">
        <f t="array" ref="GC43">IF($FY43=0,0,_xlfn.IFS($FY43='Key assumptions'!$C$120,_xlfn.XLOOKUP(LEFT(GC$7,6),Inflation_Year,Inflation_NominaltoReal),TRUE,_xlfn.XLOOKUP($FY43,Inflation_Year,NominaltoReal)))</f>
        <v>0</v>
      </c>
      <c r="GD43" s="146" cm="1">
        <f t="array" ref="GD43">IF($FY43=0,0,_xlfn.IFS($FY43='Key assumptions'!$C$120,_xlfn.XLOOKUP(LEFT(GD$7,6),Inflation_Year,Inflation_NominaltoReal),TRUE,_xlfn.XLOOKUP($FY43,Inflation_Year,NominaltoReal)))</f>
        <v>0</v>
      </c>
      <c r="GE43" s="146" cm="1">
        <f t="array" ref="GE43">IF($FY43=0,0,_xlfn.IFS($FY43='Key assumptions'!$C$120,_xlfn.XLOOKUP(LEFT(GE$7,6),Inflation_Year,Inflation_NominaltoReal),TRUE,_xlfn.XLOOKUP($FY43,Inflation_Year,NominaltoReal)))</f>
        <v>0</v>
      </c>
      <c r="GF43" s="146" cm="1">
        <f t="array" ref="GF43">IF($FY43=0,0,_xlfn.IFS($FY43='Key assumptions'!$C$120,_xlfn.XLOOKUP(LEFT(GF$7,6),Inflation_Year,Inflation_NominaltoReal),TRUE,_xlfn.XLOOKUP($FY43,Inflation_Year,NominaltoReal)))</f>
        <v>0</v>
      </c>
      <c r="GG43" s="143"/>
      <c r="GH43" s="145" cm="1">
        <f t="array" ref="GH43">SUMPRODUCT(--($CR$7:$FW$7&gt;=GH$5),--($CR$7:$FW$7&lt;=GH$6),$CR43:$FW43)*FZ43</f>
        <v>0</v>
      </c>
      <c r="GI43" s="145" cm="1">
        <f t="array" ref="GI43">SUMPRODUCT(--($CR$7:$FW$7&gt;=GI$5),--($CR$7:$FW$7&lt;=GI$6),$CR43:$FW43)*GA43</f>
        <v>0</v>
      </c>
      <c r="GJ43" s="145" cm="1">
        <f t="array" ref="GJ43">SUMPRODUCT(--($CR$7:$FW$7&gt;=GJ$5),--($CR$7:$FW$7&lt;=GJ$6),$CR43:$FW43)*GB43</f>
        <v>0</v>
      </c>
      <c r="GK43" s="145" cm="1">
        <f t="array" ref="GK43">SUMPRODUCT(--($CR$7:$FW$7&gt;=GK$5),--($CR$7:$FW$7&lt;=GK$6),$CR43:$FW43)*GC43</f>
        <v>0</v>
      </c>
      <c r="GL43" s="145" cm="1">
        <f t="array" ref="GL43">SUMPRODUCT(--($CR$7:$FW$7&gt;=GL$5),--($CR$7:$FW$7&lt;=GL$6),$CR43:$FW43)*GD43</f>
        <v>0</v>
      </c>
      <c r="GM43" s="145" cm="1">
        <f t="array" ref="GM43">SUMPRODUCT(--($CR$7:$FW$7&gt;=GM$5),--($CR$7:$FW$7&lt;=GM$6),$CR43:$FW43)*GE43</f>
        <v>0</v>
      </c>
      <c r="GN43" s="145" cm="1">
        <f t="array" ref="GN43">SUMPRODUCT(--($CR$7:$FW$7&gt;=GN$5),--($CR$7:$FW$7&lt;=GN$6),$CR43:$FW43)*GF43</f>
        <v>0</v>
      </c>
      <c r="GO43" s="145">
        <f t="shared" si="0"/>
        <v>0</v>
      </c>
      <c r="GP43" s="87"/>
      <c r="GR43" s="145" cm="1">
        <f t="array" ref="GR43">SUMPRODUCT(--($CR$7:$FW$7&gt;=GR$5),--($CR$7:$FW$7&lt;=GR$6),$CR43:$FW43)</f>
        <v>0</v>
      </c>
    </row>
    <row r="44" spans="1:200" x14ac:dyDescent="0.2">
      <c r="B44" s="141"/>
      <c r="C44" s="141"/>
      <c r="D44" s="141"/>
      <c r="E44" s="141"/>
      <c r="F44" s="141"/>
      <c r="G44" s="141"/>
      <c r="H44" s="142"/>
      <c r="I44" s="126"/>
      <c r="J44" s="143"/>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3"/>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145"/>
      <c r="EH44" s="145"/>
      <c r="EI44" s="145"/>
      <c r="EJ44" s="145"/>
      <c r="EK44" s="145"/>
      <c r="EL44" s="145"/>
      <c r="EM44" s="145"/>
      <c r="EN44" s="145"/>
      <c r="EO44" s="145"/>
      <c r="EP44" s="145"/>
      <c r="EQ44" s="145"/>
      <c r="ER44" s="145"/>
      <c r="ES44" s="145"/>
      <c r="ET44" s="145"/>
      <c r="EU44" s="145"/>
      <c r="EV44" s="145"/>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3"/>
      <c r="FY44" s="146">
        <f>_xlfn.XLOOKUP($E44,'Key assumptions'!$B$112:$B$120,'Key assumptions'!$C$112:$C$120,0)</f>
        <v>0</v>
      </c>
      <c r="FZ44" s="146" cm="1">
        <f t="array" ref="FZ44">IF($FY44=0,0,_xlfn.IFS($FY44='Key assumptions'!$C$120,_xlfn.XLOOKUP(LEFT(FZ$7,6),Inflation_Year,Inflation_NominaltoReal),TRUE,_xlfn.XLOOKUP($FY44,Inflation_Year,NominaltoReal)))</f>
        <v>0</v>
      </c>
      <c r="GA44" s="146" cm="1">
        <f t="array" ref="GA44">IF($FY44=0,0,_xlfn.IFS($FY44='Key assumptions'!$C$120,_xlfn.XLOOKUP(LEFT(GA$7,6),Inflation_Year,Inflation_NominaltoReal),TRUE,_xlfn.XLOOKUP($FY44,Inflation_Year,NominaltoReal)))</f>
        <v>0</v>
      </c>
      <c r="GB44" s="146" cm="1">
        <f t="array" ref="GB44">IF($FY44=0,0,_xlfn.IFS($FY44='Key assumptions'!$C$120,_xlfn.XLOOKUP(LEFT(GB$7,6),Inflation_Year,Inflation_NominaltoReal),TRUE,_xlfn.XLOOKUP($FY44,Inflation_Year,NominaltoReal)))</f>
        <v>0</v>
      </c>
      <c r="GC44" s="146" cm="1">
        <f t="array" ref="GC44">IF($FY44=0,0,_xlfn.IFS($FY44='Key assumptions'!$C$120,_xlfn.XLOOKUP(LEFT(GC$7,6),Inflation_Year,Inflation_NominaltoReal),TRUE,_xlfn.XLOOKUP($FY44,Inflation_Year,NominaltoReal)))</f>
        <v>0</v>
      </c>
      <c r="GD44" s="146" cm="1">
        <f t="array" ref="GD44">IF($FY44=0,0,_xlfn.IFS($FY44='Key assumptions'!$C$120,_xlfn.XLOOKUP(LEFT(GD$7,6),Inflation_Year,Inflation_NominaltoReal),TRUE,_xlfn.XLOOKUP($FY44,Inflation_Year,NominaltoReal)))</f>
        <v>0</v>
      </c>
      <c r="GE44" s="146" cm="1">
        <f t="array" ref="GE44">IF($FY44=0,0,_xlfn.IFS($FY44='Key assumptions'!$C$120,_xlfn.XLOOKUP(LEFT(GE$7,6),Inflation_Year,Inflation_NominaltoReal),TRUE,_xlfn.XLOOKUP($FY44,Inflation_Year,NominaltoReal)))</f>
        <v>0</v>
      </c>
      <c r="GF44" s="146" cm="1">
        <f t="array" ref="GF44">IF($FY44=0,0,_xlfn.IFS($FY44='Key assumptions'!$C$120,_xlfn.XLOOKUP(LEFT(GF$7,6),Inflation_Year,Inflation_NominaltoReal),TRUE,_xlfn.XLOOKUP($FY44,Inflation_Year,NominaltoReal)))</f>
        <v>0</v>
      </c>
      <c r="GG44" s="143"/>
      <c r="GH44" s="145" cm="1">
        <f t="array" ref="GH44">SUMPRODUCT(--($CR$7:$FW$7&gt;=GH$5),--($CR$7:$FW$7&lt;=GH$6),$CR44:$FW44)*FZ44</f>
        <v>0</v>
      </c>
      <c r="GI44" s="145" cm="1">
        <f t="array" ref="GI44">SUMPRODUCT(--($CR$7:$FW$7&gt;=GI$5),--($CR$7:$FW$7&lt;=GI$6),$CR44:$FW44)*GA44</f>
        <v>0</v>
      </c>
      <c r="GJ44" s="145" cm="1">
        <f t="array" ref="GJ44">SUMPRODUCT(--($CR$7:$FW$7&gt;=GJ$5),--($CR$7:$FW$7&lt;=GJ$6),$CR44:$FW44)*GB44</f>
        <v>0</v>
      </c>
      <c r="GK44" s="145" cm="1">
        <f t="array" ref="GK44">SUMPRODUCT(--($CR$7:$FW$7&gt;=GK$5),--($CR$7:$FW$7&lt;=GK$6),$CR44:$FW44)*GC44</f>
        <v>0</v>
      </c>
      <c r="GL44" s="145" cm="1">
        <f t="array" ref="GL44">SUMPRODUCT(--($CR$7:$FW$7&gt;=GL$5),--($CR$7:$FW$7&lt;=GL$6),$CR44:$FW44)*GD44</f>
        <v>0</v>
      </c>
      <c r="GM44" s="145" cm="1">
        <f t="array" ref="GM44">SUMPRODUCT(--($CR$7:$FW$7&gt;=GM$5),--($CR$7:$FW$7&lt;=GM$6),$CR44:$FW44)*GE44</f>
        <v>0</v>
      </c>
      <c r="GN44" s="145" cm="1">
        <f t="array" ref="GN44">SUMPRODUCT(--($CR$7:$FW$7&gt;=GN$5),--($CR$7:$FW$7&lt;=GN$6),$CR44:$FW44)*GF44</f>
        <v>0</v>
      </c>
      <c r="GO44" s="145">
        <f t="shared" si="0"/>
        <v>0</v>
      </c>
      <c r="GP44" s="87"/>
      <c r="GR44" s="145" cm="1">
        <f t="array" ref="GR44">SUMPRODUCT(--($CR$7:$FW$7&gt;=GR$5),--($CR$7:$FW$7&lt;=GR$6),$CR44:$FW44)</f>
        <v>0</v>
      </c>
    </row>
    <row r="45" spans="1:200" x14ac:dyDescent="0.2">
      <c r="B45" s="141"/>
      <c r="C45" s="141"/>
      <c r="D45" s="141"/>
      <c r="E45" s="141"/>
      <c r="F45" s="141"/>
      <c r="G45" s="141"/>
      <c r="H45" s="142"/>
      <c r="I45" s="126"/>
      <c r="J45" s="143"/>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3"/>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5"/>
      <c r="EZ45" s="145"/>
      <c r="FA45" s="145"/>
      <c r="FB45" s="145"/>
      <c r="FC45" s="145"/>
      <c r="FD45" s="145"/>
      <c r="FE45" s="145"/>
      <c r="FF45" s="145"/>
      <c r="FG45" s="145"/>
      <c r="FH45" s="145"/>
      <c r="FI45" s="145"/>
      <c r="FJ45" s="145"/>
      <c r="FK45" s="145"/>
      <c r="FL45" s="145"/>
      <c r="FM45" s="145"/>
      <c r="FN45" s="145"/>
      <c r="FO45" s="145"/>
      <c r="FP45" s="145"/>
      <c r="FQ45" s="145"/>
      <c r="FR45" s="145"/>
      <c r="FS45" s="145"/>
      <c r="FT45" s="145"/>
      <c r="FU45" s="145"/>
      <c r="FV45" s="145"/>
      <c r="FW45" s="145"/>
      <c r="FX45" s="143"/>
      <c r="FY45" s="146">
        <f>_xlfn.XLOOKUP($E45,'Key assumptions'!$B$112:$B$120,'Key assumptions'!$C$112:$C$120,0)</f>
        <v>0</v>
      </c>
      <c r="FZ45" s="146" cm="1">
        <f t="array" ref="FZ45">IF($FY45=0,0,_xlfn.IFS($FY45='Key assumptions'!$C$120,_xlfn.XLOOKUP(LEFT(FZ$7,6),Inflation_Year,Inflation_NominaltoReal),TRUE,_xlfn.XLOOKUP($FY45,Inflation_Year,NominaltoReal)))</f>
        <v>0</v>
      </c>
      <c r="GA45" s="146" cm="1">
        <f t="array" ref="GA45">IF($FY45=0,0,_xlfn.IFS($FY45='Key assumptions'!$C$120,_xlfn.XLOOKUP(LEFT(GA$7,6),Inflation_Year,Inflation_NominaltoReal),TRUE,_xlfn.XLOOKUP($FY45,Inflation_Year,NominaltoReal)))</f>
        <v>0</v>
      </c>
      <c r="GB45" s="146" cm="1">
        <f t="array" ref="GB45">IF($FY45=0,0,_xlfn.IFS($FY45='Key assumptions'!$C$120,_xlfn.XLOOKUP(LEFT(GB$7,6),Inflation_Year,Inflation_NominaltoReal),TRUE,_xlfn.XLOOKUP($FY45,Inflation_Year,NominaltoReal)))</f>
        <v>0</v>
      </c>
      <c r="GC45" s="146" cm="1">
        <f t="array" ref="GC45">IF($FY45=0,0,_xlfn.IFS($FY45='Key assumptions'!$C$120,_xlfn.XLOOKUP(LEFT(GC$7,6),Inflation_Year,Inflation_NominaltoReal),TRUE,_xlfn.XLOOKUP($FY45,Inflation_Year,NominaltoReal)))</f>
        <v>0</v>
      </c>
      <c r="GD45" s="146" cm="1">
        <f t="array" ref="GD45">IF($FY45=0,0,_xlfn.IFS($FY45='Key assumptions'!$C$120,_xlfn.XLOOKUP(LEFT(GD$7,6),Inflation_Year,Inflation_NominaltoReal),TRUE,_xlfn.XLOOKUP($FY45,Inflation_Year,NominaltoReal)))</f>
        <v>0</v>
      </c>
      <c r="GE45" s="146" cm="1">
        <f t="array" ref="GE45">IF($FY45=0,0,_xlfn.IFS($FY45='Key assumptions'!$C$120,_xlfn.XLOOKUP(LEFT(GE$7,6),Inflation_Year,Inflation_NominaltoReal),TRUE,_xlfn.XLOOKUP($FY45,Inflation_Year,NominaltoReal)))</f>
        <v>0</v>
      </c>
      <c r="GF45" s="146" cm="1">
        <f t="array" ref="GF45">IF($FY45=0,0,_xlfn.IFS($FY45='Key assumptions'!$C$120,_xlfn.XLOOKUP(LEFT(GF$7,6),Inflation_Year,Inflation_NominaltoReal),TRUE,_xlfn.XLOOKUP($FY45,Inflation_Year,NominaltoReal)))</f>
        <v>0</v>
      </c>
      <c r="GG45" s="143"/>
      <c r="GH45" s="145" cm="1">
        <f t="array" ref="GH45">SUMPRODUCT(--($CR$7:$FW$7&gt;=GH$5),--($CR$7:$FW$7&lt;=GH$6),$CR45:$FW45)*FZ45</f>
        <v>0</v>
      </c>
      <c r="GI45" s="145" cm="1">
        <f t="array" ref="GI45">SUMPRODUCT(--($CR$7:$FW$7&gt;=GI$5),--($CR$7:$FW$7&lt;=GI$6),$CR45:$FW45)*GA45</f>
        <v>0</v>
      </c>
      <c r="GJ45" s="145" cm="1">
        <f t="array" ref="GJ45">SUMPRODUCT(--($CR$7:$FW$7&gt;=GJ$5),--($CR$7:$FW$7&lt;=GJ$6),$CR45:$FW45)*GB45</f>
        <v>0</v>
      </c>
      <c r="GK45" s="145" cm="1">
        <f t="array" ref="GK45">SUMPRODUCT(--($CR$7:$FW$7&gt;=GK$5),--($CR$7:$FW$7&lt;=GK$6),$CR45:$FW45)*GC45</f>
        <v>0</v>
      </c>
      <c r="GL45" s="145" cm="1">
        <f t="array" ref="GL45">SUMPRODUCT(--($CR$7:$FW$7&gt;=GL$5),--($CR$7:$FW$7&lt;=GL$6),$CR45:$FW45)*GD45</f>
        <v>0</v>
      </c>
      <c r="GM45" s="145" cm="1">
        <f t="array" ref="GM45">SUMPRODUCT(--($CR$7:$FW$7&gt;=GM$5),--($CR$7:$FW$7&lt;=GM$6),$CR45:$FW45)*GE45</f>
        <v>0</v>
      </c>
      <c r="GN45" s="145" cm="1">
        <f t="array" ref="GN45">SUMPRODUCT(--($CR$7:$FW$7&gt;=GN$5),--($CR$7:$FW$7&lt;=GN$6),$CR45:$FW45)*GF45</f>
        <v>0</v>
      </c>
      <c r="GO45" s="145">
        <f t="shared" si="0"/>
        <v>0</v>
      </c>
      <c r="GP45" s="87"/>
      <c r="GR45" s="145" cm="1">
        <f t="array" ref="GR45">SUMPRODUCT(--($CR$7:$FW$7&gt;=GR$5),--($CR$7:$FW$7&lt;=GR$6),$CR45:$FW45)</f>
        <v>0</v>
      </c>
    </row>
    <row r="46" spans="1:200" x14ac:dyDescent="0.2">
      <c r="B46" s="141"/>
      <c r="C46" s="141"/>
      <c r="D46" s="141"/>
      <c r="E46" s="141"/>
      <c r="F46" s="141"/>
      <c r="G46" s="141"/>
      <c r="H46" s="142"/>
      <c r="I46" s="126"/>
      <c r="J46" s="143"/>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3"/>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145"/>
      <c r="EH46" s="145"/>
      <c r="EI46" s="145"/>
      <c r="EJ46" s="145"/>
      <c r="EK46" s="145"/>
      <c r="EL46" s="145"/>
      <c r="EM46" s="145"/>
      <c r="EN46" s="145"/>
      <c r="EO46" s="145"/>
      <c r="EP46" s="145"/>
      <c r="EQ46" s="145"/>
      <c r="ER46" s="145"/>
      <c r="ES46" s="145"/>
      <c r="ET46" s="145"/>
      <c r="EU46" s="145"/>
      <c r="EV46" s="145"/>
      <c r="EW46" s="145"/>
      <c r="EX46" s="145"/>
      <c r="EY46" s="145"/>
      <c r="EZ46" s="145"/>
      <c r="FA46" s="145"/>
      <c r="FB46" s="145"/>
      <c r="FC46" s="145"/>
      <c r="FD46" s="145"/>
      <c r="FE46" s="145"/>
      <c r="FF46" s="145"/>
      <c r="FG46" s="145"/>
      <c r="FH46" s="145"/>
      <c r="FI46" s="145"/>
      <c r="FJ46" s="145"/>
      <c r="FK46" s="145"/>
      <c r="FL46" s="145"/>
      <c r="FM46" s="145"/>
      <c r="FN46" s="145"/>
      <c r="FO46" s="145"/>
      <c r="FP46" s="145"/>
      <c r="FQ46" s="145"/>
      <c r="FR46" s="145"/>
      <c r="FS46" s="145"/>
      <c r="FT46" s="145"/>
      <c r="FU46" s="145"/>
      <c r="FV46" s="145"/>
      <c r="FW46" s="145"/>
      <c r="FX46" s="143"/>
      <c r="FY46" s="146">
        <f>_xlfn.XLOOKUP($E46,'Key assumptions'!$B$112:$B$120,'Key assumptions'!$C$112:$C$120,0)</f>
        <v>0</v>
      </c>
      <c r="FZ46" s="146" cm="1">
        <f t="array" ref="FZ46">IF($FY46=0,0,_xlfn.IFS($FY46='Key assumptions'!$C$120,_xlfn.XLOOKUP(LEFT(FZ$7,6),Inflation_Year,Inflation_NominaltoReal),TRUE,_xlfn.XLOOKUP($FY46,Inflation_Year,NominaltoReal)))</f>
        <v>0</v>
      </c>
      <c r="GA46" s="146" cm="1">
        <f t="array" ref="GA46">IF($FY46=0,0,_xlfn.IFS($FY46='Key assumptions'!$C$120,_xlfn.XLOOKUP(LEFT(GA$7,6),Inflation_Year,Inflation_NominaltoReal),TRUE,_xlfn.XLOOKUP($FY46,Inflation_Year,NominaltoReal)))</f>
        <v>0</v>
      </c>
      <c r="GB46" s="146" cm="1">
        <f t="array" ref="GB46">IF($FY46=0,0,_xlfn.IFS($FY46='Key assumptions'!$C$120,_xlfn.XLOOKUP(LEFT(GB$7,6),Inflation_Year,Inflation_NominaltoReal),TRUE,_xlfn.XLOOKUP($FY46,Inflation_Year,NominaltoReal)))</f>
        <v>0</v>
      </c>
      <c r="GC46" s="146" cm="1">
        <f t="array" ref="GC46">IF($FY46=0,0,_xlfn.IFS($FY46='Key assumptions'!$C$120,_xlfn.XLOOKUP(LEFT(GC$7,6),Inflation_Year,Inflation_NominaltoReal),TRUE,_xlfn.XLOOKUP($FY46,Inflation_Year,NominaltoReal)))</f>
        <v>0</v>
      </c>
      <c r="GD46" s="146" cm="1">
        <f t="array" ref="GD46">IF($FY46=0,0,_xlfn.IFS($FY46='Key assumptions'!$C$120,_xlfn.XLOOKUP(LEFT(GD$7,6),Inflation_Year,Inflation_NominaltoReal),TRUE,_xlfn.XLOOKUP($FY46,Inflation_Year,NominaltoReal)))</f>
        <v>0</v>
      </c>
      <c r="GE46" s="146" cm="1">
        <f t="array" ref="GE46">IF($FY46=0,0,_xlfn.IFS($FY46='Key assumptions'!$C$120,_xlfn.XLOOKUP(LEFT(GE$7,6),Inflation_Year,Inflation_NominaltoReal),TRUE,_xlfn.XLOOKUP($FY46,Inflation_Year,NominaltoReal)))</f>
        <v>0</v>
      </c>
      <c r="GF46" s="146" cm="1">
        <f t="array" ref="GF46">IF($FY46=0,0,_xlfn.IFS($FY46='Key assumptions'!$C$120,_xlfn.XLOOKUP(LEFT(GF$7,6),Inflation_Year,Inflation_NominaltoReal),TRUE,_xlfn.XLOOKUP($FY46,Inflation_Year,NominaltoReal)))</f>
        <v>0</v>
      </c>
      <c r="GG46" s="143"/>
      <c r="GH46" s="145" cm="1">
        <f t="array" ref="GH46">SUMPRODUCT(--($CR$7:$FW$7&gt;=GH$5),--($CR$7:$FW$7&lt;=GH$6),$CR46:$FW46)*FZ46</f>
        <v>0</v>
      </c>
      <c r="GI46" s="145" cm="1">
        <f t="array" ref="GI46">SUMPRODUCT(--($CR$7:$FW$7&gt;=GI$5),--($CR$7:$FW$7&lt;=GI$6),$CR46:$FW46)*GA46</f>
        <v>0</v>
      </c>
      <c r="GJ46" s="145" cm="1">
        <f t="array" ref="GJ46">SUMPRODUCT(--($CR$7:$FW$7&gt;=GJ$5),--($CR$7:$FW$7&lt;=GJ$6),$CR46:$FW46)*GB46</f>
        <v>0</v>
      </c>
      <c r="GK46" s="145" cm="1">
        <f t="array" ref="GK46">SUMPRODUCT(--($CR$7:$FW$7&gt;=GK$5),--($CR$7:$FW$7&lt;=GK$6),$CR46:$FW46)*GC46</f>
        <v>0</v>
      </c>
      <c r="GL46" s="145" cm="1">
        <f t="array" ref="GL46">SUMPRODUCT(--($CR$7:$FW$7&gt;=GL$5),--($CR$7:$FW$7&lt;=GL$6),$CR46:$FW46)*GD46</f>
        <v>0</v>
      </c>
      <c r="GM46" s="145" cm="1">
        <f t="array" ref="GM46">SUMPRODUCT(--($CR$7:$FW$7&gt;=GM$5),--($CR$7:$FW$7&lt;=GM$6),$CR46:$FW46)*GE46</f>
        <v>0</v>
      </c>
      <c r="GN46" s="145" cm="1">
        <f t="array" ref="GN46">SUMPRODUCT(--($CR$7:$FW$7&gt;=GN$5),--($CR$7:$FW$7&lt;=GN$6),$CR46:$FW46)*GF46</f>
        <v>0</v>
      </c>
      <c r="GO46" s="145">
        <f t="shared" si="0"/>
        <v>0</v>
      </c>
      <c r="GP46" s="87"/>
      <c r="GR46" s="145" cm="1">
        <f t="array" ref="GR46">SUMPRODUCT(--($CR$7:$FW$7&gt;=GR$5),--($CR$7:$FW$7&lt;=GR$6),$CR46:$FW46)</f>
        <v>0</v>
      </c>
    </row>
    <row r="47" spans="1:200" x14ac:dyDescent="0.2">
      <c r="B47" s="141"/>
      <c r="C47" s="141"/>
      <c r="D47" s="141"/>
      <c r="E47" s="141"/>
      <c r="F47" s="141"/>
      <c r="G47" s="141"/>
      <c r="H47" s="142"/>
      <c r="I47" s="126"/>
      <c r="J47" s="143"/>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3"/>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3"/>
      <c r="FY47" s="146">
        <f>_xlfn.XLOOKUP($E47,'Key assumptions'!$B$112:$B$120,'Key assumptions'!$C$112:$C$120,0)</f>
        <v>0</v>
      </c>
      <c r="FZ47" s="146" cm="1">
        <f t="array" ref="FZ47">IF($FY47=0,0,_xlfn.IFS($FY47='Key assumptions'!$C$120,_xlfn.XLOOKUP(LEFT(FZ$7,6),Inflation_Year,Inflation_NominaltoReal),TRUE,_xlfn.XLOOKUP($FY47,Inflation_Year,NominaltoReal)))</f>
        <v>0</v>
      </c>
      <c r="GA47" s="146" cm="1">
        <f t="array" ref="GA47">IF($FY47=0,0,_xlfn.IFS($FY47='Key assumptions'!$C$120,_xlfn.XLOOKUP(LEFT(GA$7,6),Inflation_Year,Inflation_NominaltoReal),TRUE,_xlfn.XLOOKUP($FY47,Inflation_Year,NominaltoReal)))</f>
        <v>0</v>
      </c>
      <c r="GB47" s="146" cm="1">
        <f t="array" ref="GB47">IF($FY47=0,0,_xlfn.IFS($FY47='Key assumptions'!$C$120,_xlfn.XLOOKUP(LEFT(GB$7,6),Inflation_Year,Inflation_NominaltoReal),TRUE,_xlfn.XLOOKUP($FY47,Inflation_Year,NominaltoReal)))</f>
        <v>0</v>
      </c>
      <c r="GC47" s="146" cm="1">
        <f t="array" ref="GC47">IF($FY47=0,0,_xlfn.IFS($FY47='Key assumptions'!$C$120,_xlfn.XLOOKUP(LEFT(GC$7,6),Inflation_Year,Inflation_NominaltoReal),TRUE,_xlfn.XLOOKUP($FY47,Inflation_Year,NominaltoReal)))</f>
        <v>0</v>
      </c>
      <c r="GD47" s="146" cm="1">
        <f t="array" ref="GD47">IF($FY47=0,0,_xlfn.IFS($FY47='Key assumptions'!$C$120,_xlfn.XLOOKUP(LEFT(GD$7,6),Inflation_Year,Inflation_NominaltoReal),TRUE,_xlfn.XLOOKUP($FY47,Inflation_Year,NominaltoReal)))</f>
        <v>0</v>
      </c>
      <c r="GE47" s="146" cm="1">
        <f t="array" ref="GE47">IF($FY47=0,0,_xlfn.IFS($FY47='Key assumptions'!$C$120,_xlfn.XLOOKUP(LEFT(GE$7,6),Inflation_Year,Inflation_NominaltoReal),TRUE,_xlfn.XLOOKUP($FY47,Inflation_Year,NominaltoReal)))</f>
        <v>0</v>
      </c>
      <c r="GF47" s="146" cm="1">
        <f t="array" ref="GF47">IF($FY47=0,0,_xlfn.IFS($FY47='Key assumptions'!$C$120,_xlfn.XLOOKUP(LEFT(GF$7,6),Inflation_Year,Inflation_NominaltoReal),TRUE,_xlfn.XLOOKUP($FY47,Inflation_Year,NominaltoReal)))</f>
        <v>0</v>
      </c>
      <c r="GG47" s="143"/>
      <c r="GH47" s="145" cm="1">
        <f t="array" ref="GH47">SUMPRODUCT(--($CR$7:$FW$7&gt;=GH$5),--($CR$7:$FW$7&lt;=GH$6),$CR47:$FW47)*FZ47</f>
        <v>0</v>
      </c>
      <c r="GI47" s="145" cm="1">
        <f t="array" ref="GI47">SUMPRODUCT(--($CR$7:$FW$7&gt;=GI$5),--($CR$7:$FW$7&lt;=GI$6),$CR47:$FW47)*GA47</f>
        <v>0</v>
      </c>
      <c r="GJ47" s="145" cm="1">
        <f t="array" ref="GJ47">SUMPRODUCT(--($CR$7:$FW$7&gt;=GJ$5),--($CR$7:$FW$7&lt;=GJ$6),$CR47:$FW47)*GB47</f>
        <v>0</v>
      </c>
      <c r="GK47" s="145" cm="1">
        <f t="array" ref="GK47">SUMPRODUCT(--($CR$7:$FW$7&gt;=GK$5),--($CR$7:$FW$7&lt;=GK$6),$CR47:$FW47)*GC47</f>
        <v>0</v>
      </c>
      <c r="GL47" s="145" cm="1">
        <f t="array" ref="GL47">SUMPRODUCT(--($CR$7:$FW$7&gt;=GL$5),--($CR$7:$FW$7&lt;=GL$6),$CR47:$FW47)*GD47</f>
        <v>0</v>
      </c>
      <c r="GM47" s="145" cm="1">
        <f t="array" ref="GM47">SUMPRODUCT(--($CR$7:$FW$7&gt;=GM$5),--($CR$7:$FW$7&lt;=GM$6),$CR47:$FW47)*GE47</f>
        <v>0</v>
      </c>
      <c r="GN47" s="145" cm="1">
        <f t="array" ref="GN47">SUMPRODUCT(--($CR$7:$FW$7&gt;=GN$5),--($CR$7:$FW$7&lt;=GN$6),$CR47:$FW47)*GF47</f>
        <v>0</v>
      </c>
      <c r="GO47" s="145">
        <f t="shared" si="0"/>
        <v>0</v>
      </c>
      <c r="GP47" s="87"/>
      <c r="GR47" s="145" cm="1">
        <f t="array" ref="GR47">SUMPRODUCT(--($CR$7:$FW$7&gt;=GR$5),--($CR$7:$FW$7&lt;=GR$6),$CR47:$FW47)</f>
        <v>0</v>
      </c>
    </row>
    <row r="48" spans="1:200" x14ac:dyDescent="0.2">
      <c r="B48" s="141"/>
      <c r="C48" s="141"/>
      <c r="D48" s="141"/>
      <c r="E48" s="141"/>
      <c r="F48" s="141"/>
      <c r="G48" s="141"/>
      <c r="H48" s="142"/>
      <c r="I48" s="126"/>
      <c r="J48" s="143"/>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3"/>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3"/>
      <c r="FY48" s="146">
        <f>_xlfn.XLOOKUP($E48,'Key assumptions'!$B$112:$B$120,'Key assumptions'!$C$112:$C$120,0)</f>
        <v>0</v>
      </c>
      <c r="FZ48" s="146" cm="1">
        <f t="array" ref="FZ48">IF($FY48=0,0,_xlfn.IFS($FY48='Key assumptions'!$C$120,_xlfn.XLOOKUP(LEFT(FZ$7,6),Inflation_Year,Inflation_NominaltoReal),TRUE,_xlfn.XLOOKUP($FY48,Inflation_Year,NominaltoReal)))</f>
        <v>0</v>
      </c>
      <c r="GA48" s="146" cm="1">
        <f t="array" ref="GA48">IF($FY48=0,0,_xlfn.IFS($FY48='Key assumptions'!$C$120,_xlfn.XLOOKUP(LEFT(GA$7,6),Inflation_Year,Inflation_NominaltoReal),TRUE,_xlfn.XLOOKUP($FY48,Inflation_Year,NominaltoReal)))</f>
        <v>0</v>
      </c>
      <c r="GB48" s="146" cm="1">
        <f t="array" ref="GB48">IF($FY48=0,0,_xlfn.IFS($FY48='Key assumptions'!$C$120,_xlfn.XLOOKUP(LEFT(GB$7,6),Inflation_Year,Inflation_NominaltoReal),TRUE,_xlfn.XLOOKUP($FY48,Inflation_Year,NominaltoReal)))</f>
        <v>0</v>
      </c>
      <c r="GC48" s="146" cm="1">
        <f t="array" ref="GC48">IF($FY48=0,0,_xlfn.IFS($FY48='Key assumptions'!$C$120,_xlfn.XLOOKUP(LEFT(GC$7,6),Inflation_Year,Inflation_NominaltoReal),TRUE,_xlfn.XLOOKUP($FY48,Inflation_Year,NominaltoReal)))</f>
        <v>0</v>
      </c>
      <c r="GD48" s="146" cm="1">
        <f t="array" ref="GD48">IF($FY48=0,0,_xlfn.IFS($FY48='Key assumptions'!$C$120,_xlfn.XLOOKUP(LEFT(GD$7,6),Inflation_Year,Inflation_NominaltoReal),TRUE,_xlfn.XLOOKUP($FY48,Inflation_Year,NominaltoReal)))</f>
        <v>0</v>
      </c>
      <c r="GE48" s="146" cm="1">
        <f t="array" ref="GE48">IF($FY48=0,0,_xlfn.IFS($FY48='Key assumptions'!$C$120,_xlfn.XLOOKUP(LEFT(GE$7,6),Inflation_Year,Inflation_NominaltoReal),TRUE,_xlfn.XLOOKUP($FY48,Inflation_Year,NominaltoReal)))</f>
        <v>0</v>
      </c>
      <c r="GF48" s="146" cm="1">
        <f t="array" ref="GF48">IF($FY48=0,0,_xlfn.IFS($FY48='Key assumptions'!$C$120,_xlfn.XLOOKUP(LEFT(GF$7,6),Inflation_Year,Inflation_NominaltoReal),TRUE,_xlfn.XLOOKUP($FY48,Inflation_Year,NominaltoReal)))</f>
        <v>0</v>
      </c>
      <c r="GG48" s="143"/>
      <c r="GH48" s="145" cm="1">
        <f t="array" ref="GH48">SUMPRODUCT(--($CR$7:$FW$7&gt;=GH$5),--($CR$7:$FW$7&lt;=GH$6),$CR48:$FW48)*FZ48</f>
        <v>0</v>
      </c>
      <c r="GI48" s="145" cm="1">
        <f t="array" ref="GI48">SUMPRODUCT(--($CR$7:$FW$7&gt;=GI$5),--($CR$7:$FW$7&lt;=GI$6),$CR48:$FW48)*GA48</f>
        <v>0</v>
      </c>
      <c r="GJ48" s="145" cm="1">
        <f t="array" ref="GJ48">SUMPRODUCT(--($CR$7:$FW$7&gt;=GJ$5),--($CR$7:$FW$7&lt;=GJ$6),$CR48:$FW48)*GB48</f>
        <v>0</v>
      </c>
      <c r="GK48" s="145" cm="1">
        <f t="array" ref="GK48">SUMPRODUCT(--($CR$7:$FW$7&gt;=GK$5),--($CR$7:$FW$7&lt;=GK$6),$CR48:$FW48)*GC48</f>
        <v>0</v>
      </c>
      <c r="GL48" s="145" cm="1">
        <f t="array" ref="GL48">SUMPRODUCT(--($CR$7:$FW$7&gt;=GL$5),--($CR$7:$FW$7&lt;=GL$6),$CR48:$FW48)*GD48</f>
        <v>0</v>
      </c>
      <c r="GM48" s="145" cm="1">
        <f t="array" ref="GM48">SUMPRODUCT(--($CR$7:$FW$7&gt;=GM$5),--($CR$7:$FW$7&lt;=GM$6),$CR48:$FW48)*GE48</f>
        <v>0</v>
      </c>
      <c r="GN48" s="145" cm="1">
        <f t="array" ref="GN48">SUMPRODUCT(--($CR$7:$FW$7&gt;=GN$5),--($CR$7:$FW$7&lt;=GN$6),$CR48:$FW48)*GF48</f>
        <v>0</v>
      </c>
      <c r="GO48" s="145">
        <f t="shared" si="0"/>
        <v>0</v>
      </c>
      <c r="GP48" s="87"/>
      <c r="GR48" s="145" cm="1">
        <f t="array" ref="GR48">SUMPRODUCT(--($CR$7:$FW$7&gt;=GR$5),--($CR$7:$FW$7&lt;=GR$6),$CR48:$FW48)</f>
        <v>0</v>
      </c>
    </row>
    <row r="49" spans="2:200" x14ac:dyDescent="0.2">
      <c r="B49" s="141"/>
      <c r="C49" s="141"/>
      <c r="D49" s="141"/>
      <c r="E49" s="141"/>
      <c r="F49" s="141"/>
      <c r="G49" s="141"/>
      <c r="H49" s="142"/>
      <c r="I49" s="126"/>
      <c r="J49" s="143"/>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3"/>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3"/>
      <c r="FY49" s="146">
        <f>_xlfn.XLOOKUP($E49,'Key assumptions'!$B$112:$B$120,'Key assumptions'!$C$112:$C$120,0)</f>
        <v>0</v>
      </c>
      <c r="FZ49" s="146" cm="1">
        <f t="array" ref="FZ49">IF($FY49=0,0,_xlfn.IFS($FY49='Key assumptions'!$C$120,_xlfn.XLOOKUP(LEFT(FZ$7,6),Inflation_Year,Inflation_NominaltoReal),TRUE,_xlfn.XLOOKUP($FY49,Inflation_Year,NominaltoReal)))</f>
        <v>0</v>
      </c>
      <c r="GA49" s="146" cm="1">
        <f t="array" ref="GA49">IF($FY49=0,0,_xlfn.IFS($FY49='Key assumptions'!$C$120,_xlfn.XLOOKUP(LEFT(GA$7,6),Inflation_Year,Inflation_NominaltoReal),TRUE,_xlfn.XLOOKUP($FY49,Inflation_Year,NominaltoReal)))</f>
        <v>0</v>
      </c>
      <c r="GB49" s="146" cm="1">
        <f t="array" ref="GB49">IF($FY49=0,0,_xlfn.IFS($FY49='Key assumptions'!$C$120,_xlfn.XLOOKUP(LEFT(GB$7,6),Inflation_Year,Inflation_NominaltoReal),TRUE,_xlfn.XLOOKUP($FY49,Inflation_Year,NominaltoReal)))</f>
        <v>0</v>
      </c>
      <c r="GC49" s="146" cm="1">
        <f t="array" ref="GC49">IF($FY49=0,0,_xlfn.IFS($FY49='Key assumptions'!$C$120,_xlfn.XLOOKUP(LEFT(GC$7,6),Inflation_Year,Inflation_NominaltoReal),TRUE,_xlfn.XLOOKUP($FY49,Inflation_Year,NominaltoReal)))</f>
        <v>0</v>
      </c>
      <c r="GD49" s="146" cm="1">
        <f t="array" ref="GD49">IF($FY49=0,0,_xlfn.IFS($FY49='Key assumptions'!$C$120,_xlfn.XLOOKUP(LEFT(GD$7,6),Inflation_Year,Inflation_NominaltoReal),TRUE,_xlfn.XLOOKUP($FY49,Inflation_Year,NominaltoReal)))</f>
        <v>0</v>
      </c>
      <c r="GE49" s="146" cm="1">
        <f t="array" ref="GE49">IF($FY49=0,0,_xlfn.IFS($FY49='Key assumptions'!$C$120,_xlfn.XLOOKUP(LEFT(GE$7,6),Inflation_Year,Inflation_NominaltoReal),TRUE,_xlfn.XLOOKUP($FY49,Inflation_Year,NominaltoReal)))</f>
        <v>0</v>
      </c>
      <c r="GF49" s="146" cm="1">
        <f t="array" ref="GF49">IF($FY49=0,0,_xlfn.IFS($FY49='Key assumptions'!$C$120,_xlfn.XLOOKUP(LEFT(GF$7,6),Inflation_Year,Inflation_NominaltoReal),TRUE,_xlfn.XLOOKUP($FY49,Inflation_Year,NominaltoReal)))</f>
        <v>0</v>
      </c>
      <c r="GG49" s="143"/>
      <c r="GH49" s="145" cm="1">
        <f t="array" ref="GH49">SUMPRODUCT(--($CR$7:$FW$7&gt;=GH$5),--($CR$7:$FW$7&lt;=GH$6),$CR49:$FW49)*FZ49</f>
        <v>0</v>
      </c>
      <c r="GI49" s="145" cm="1">
        <f t="array" ref="GI49">SUMPRODUCT(--($CR$7:$FW$7&gt;=GI$5),--($CR$7:$FW$7&lt;=GI$6),$CR49:$FW49)*GA49</f>
        <v>0</v>
      </c>
      <c r="GJ49" s="145" cm="1">
        <f t="array" ref="GJ49">SUMPRODUCT(--($CR$7:$FW$7&gt;=GJ$5),--($CR$7:$FW$7&lt;=GJ$6),$CR49:$FW49)*GB49</f>
        <v>0</v>
      </c>
      <c r="GK49" s="145" cm="1">
        <f t="array" ref="GK49">SUMPRODUCT(--($CR$7:$FW$7&gt;=GK$5),--($CR$7:$FW$7&lt;=GK$6),$CR49:$FW49)*GC49</f>
        <v>0</v>
      </c>
      <c r="GL49" s="145" cm="1">
        <f t="array" ref="GL49">SUMPRODUCT(--($CR$7:$FW$7&gt;=GL$5),--($CR$7:$FW$7&lt;=GL$6),$CR49:$FW49)*GD49</f>
        <v>0</v>
      </c>
      <c r="GM49" s="145" cm="1">
        <f t="array" ref="GM49">SUMPRODUCT(--($CR$7:$FW$7&gt;=GM$5),--($CR$7:$FW$7&lt;=GM$6),$CR49:$FW49)*GE49</f>
        <v>0</v>
      </c>
      <c r="GN49" s="145" cm="1">
        <f t="array" ref="GN49">SUMPRODUCT(--($CR$7:$FW$7&gt;=GN$5),--($CR$7:$FW$7&lt;=GN$6),$CR49:$FW49)*GF49</f>
        <v>0</v>
      </c>
      <c r="GO49" s="145">
        <f t="shared" si="0"/>
        <v>0</v>
      </c>
      <c r="GP49" s="87"/>
      <c r="GR49" s="145" cm="1">
        <f t="array" ref="GR49">SUMPRODUCT(--($CR$7:$FW$7&gt;=GR$5),--($CR$7:$FW$7&lt;=GR$6),$CR49:$FW49)</f>
        <v>0</v>
      </c>
    </row>
    <row r="50" spans="2:200" x14ac:dyDescent="0.2">
      <c r="B50" s="141"/>
      <c r="C50" s="141"/>
      <c r="D50" s="141"/>
      <c r="E50" s="141"/>
      <c r="F50" s="141"/>
      <c r="G50" s="141"/>
      <c r="H50" s="142"/>
      <c r="I50" s="126"/>
      <c r="J50" s="143"/>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3"/>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3"/>
      <c r="FY50" s="146">
        <f>_xlfn.XLOOKUP($E50,'Key assumptions'!$B$112:$B$120,'Key assumptions'!$C$112:$C$120,0)</f>
        <v>0</v>
      </c>
      <c r="FZ50" s="146" cm="1">
        <f t="array" ref="FZ50">IF($FY50=0,0,_xlfn.IFS($FY50='Key assumptions'!$C$120,_xlfn.XLOOKUP(LEFT(FZ$7,6),Inflation_Year,Inflation_NominaltoReal),TRUE,_xlfn.XLOOKUP($FY50,Inflation_Year,NominaltoReal)))</f>
        <v>0</v>
      </c>
      <c r="GA50" s="146" cm="1">
        <f t="array" ref="GA50">IF($FY50=0,0,_xlfn.IFS($FY50='Key assumptions'!$C$120,_xlfn.XLOOKUP(LEFT(GA$7,6),Inflation_Year,Inflation_NominaltoReal),TRUE,_xlfn.XLOOKUP($FY50,Inflation_Year,NominaltoReal)))</f>
        <v>0</v>
      </c>
      <c r="GB50" s="146" cm="1">
        <f t="array" ref="GB50">IF($FY50=0,0,_xlfn.IFS($FY50='Key assumptions'!$C$120,_xlfn.XLOOKUP(LEFT(GB$7,6),Inflation_Year,Inflation_NominaltoReal),TRUE,_xlfn.XLOOKUP($FY50,Inflation_Year,NominaltoReal)))</f>
        <v>0</v>
      </c>
      <c r="GC50" s="146" cm="1">
        <f t="array" ref="GC50">IF($FY50=0,0,_xlfn.IFS($FY50='Key assumptions'!$C$120,_xlfn.XLOOKUP(LEFT(GC$7,6),Inflation_Year,Inflation_NominaltoReal),TRUE,_xlfn.XLOOKUP($FY50,Inflation_Year,NominaltoReal)))</f>
        <v>0</v>
      </c>
      <c r="GD50" s="146" cm="1">
        <f t="array" ref="GD50">IF($FY50=0,0,_xlfn.IFS($FY50='Key assumptions'!$C$120,_xlfn.XLOOKUP(LEFT(GD$7,6),Inflation_Year,Inflation_NominaltoReal),TRUE,_xlfn.XLOOKUP($FY50,Inflation_Year,NominaltoReal)))</f>
        <v>0</v>
      </c>
      <c r="GE50" s="146" cm="1">
        <f t="array" ref="GE50">IF($FY50=0,0,_xlfn.IFS($FY50='Key assumptions'!$C$120,_xlfn.XLOOKUP(LEFT(GE$7,6),Inflation_Year,Inflation_NominaltoReal),TRUE,_xlfn.XLOOKUP($FY50,Inflation_Year,NominaltoReal)))</f>
        <v>0</v>
      </c>
      <c r="GF50" s="146" cm="1">
        <f t="array" ref="GF50">IF($FY50=0,0,_xlfn.IFS($FY50='Key assumptions'!$C$120,_xlfn.XLOOKUP(LEFT(GF$7,6),Inflation_Year,Inflation_NominaltoReal),TRUE,_xlfn.XLOOKUP($FY50,Inflation_Year,NominaltoReal)))</f>
        <v>0</v>
      </c>
      <c r="GG50" s="143"/>
      <c r="GH50" s="145" cm="1">
        <f t="array" ref="GH50">SUMPRODUCT(--($CR$7:$FW$7&gt;=GH$5),--($CR$7:$FW$7&lt;=GH$6),$CR50:$FW50)*FZ50</f>
        <v>0</v>
      </c>
      <c r="GI50" s="145" cm="1">
        <f t="array" ref="GI50">SUMPRODUCT(--($CR$7:$FW$7&gt;=GI$5),--($CR$7:$FW$7&lt;=GI$6),$CR50:$FW50)*GA50</f>
        <v>0</v>
      </c>
      <c r="GJ50" s="145" cm="1">
        <f t="array" ref="GJ50">SUMPRODUCT(--($CR$7:$FW$7&gt;=GJ$5),--($CR$7:$FW$7&lt;=GJ$6),$CR50:$FW50)*GB50</f>
        <v>0</v>
      </c>
      <c r="GK50" s="145" cm="1">
        <f t="array" ref="GK50">SUMPRODUCT(--($CR$7:$FW$7&gt;=GK$5),--($CR$7:$FW$7&lt;=GK$6),$CR50:$FW50)*GC50</f>
        <v>0</v>
      </c>
      <c r="GL50" s="145" cm="1">
        <f t="array" ref="GL50">SUMPRODUCT(--($CR$7:$FW$7&gt;=GL$5),--($CR$7:$FW$7&lt;=GL$6),$CR50:$FW50)*GD50</f>
        <v>0</v>
      </c>
      <c r="GM50" s="145" cm="1">
        <f t="array" ref="GM50">SUMPRODUCT(--($CR$7:$FW$7&gt;=GM$5),--($CR$7:$FW$7&lt;=GM$6),$CR50:$FW50)*GE50</f>
        <v>0</v>
      </c>
      <c r="GN50" s="145" cm="1">
        <f t="array" ref="GN50">SUMPRODUCT(--($CR$7:$FW$7&gt;=GN$5),--($CR$7:$FW$7&lt;=GN$6),$CR50:$FW50)*GF50</f>
        <v>0</v>
      </c>
      <c r="GO50" s="145">
        <f t="shared" si="0"/>
        <v>0</v>
      </c>
      <c r="GP50" s="87"/>
      <c r="GR50" s="145" cm="1">
        <f t="array" ref="GR50">SUMPRODUCT(--($CR$7:$FW$7&gt;=GR$5),--($CR$7:$FW$7&lt;=GR$6),$CR50:$FW50)</f>
        <v>0</v>
      </c>
    </row>
    <row r="51" spans="2:200" x14ac:dyDescent="0.2">
      <c r="B51" s="141"/>
      <c r="C51" s="141"/>
      <c r="D51" s="141"/>
      <c r="E51" s="141"/>
      <c r="F51" s="141"/>
      <c r="G51" s="141"/>
      <c r="H51" s="142"/>
      <c r="I51" s="126"/>
      <c r="J51" s="143"/>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3"/>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c r="EE51" s="145"/>
      <c r="EF51" s="145"/>
      <c r="EG51" s="145"/>
      <c r="EH51" s="145"/>
      <c r="EI51" s="145"/>
      <c r="EJ51" s="145"/>
      <c r="EK51" s="145"/>
      <c r="EL51" s="145"/>
      <c r="EM51" s="145"/>
      <c r="EN51" s="145"/>
      <c r="EO51" s="145"/>
      <c r="EP51" s="145"/>
      <c r="EQ51" s="145"/>
      <c r="ER51" s="145"/>
      <c r="ES51" s="145"/>
      <c r="ET51" s="145"/>
      <c r="EU51" s="145"/>
      <c r="EV51" s="145"/>
      <c r="EW51" s="145"/>
      <c r="EX51" s="145"/>
      <c r="EY51" s="145"/>
      <c r="EZ51" s="145"/>
      <c r="FA51" s="145"/>
      <c r="FB51" s="145"/>
      <c r="FC51" s="145"/>
      <c r="FD51" s="145"/>
      <c r="FE51" s="145"/>
      <c r="FF51" s="145"/>
      <c r="FG51" s="145"/>
      <c r="FH51" s="145"/>
      <c r="FI51" s="145"/>
      <c r="FJ51" s="145"/>
      <c r="FK51" s="145"/>
      <c r="FL51" s="145"/>
      <c r="FM51" s="145"/>
      <c r="FN51" s="145"/>
      <c r="FO51" s="145"/>
      <c r="FP51" s="145"/>
      <c r="FQ51" s="145"/>
      <c r="FR51" s="145"/>
      <c r="FS51" s="145"/>
      <c r="FT51" s="145"/>
      <c r="FU51" s="145"/>
      <c r="FV51" s="145"/>
      <c r="FW51" s="145"/>
      <c r="FX51" s="143"/>
      <c r="FY51" s="146">
        <f>_xlfn.XLOOKUP($E51,'Key assumptions'!$B$112:$B$120,'Key assumptions'!$C$112:$C$120,0)</f>
        <v>0</v>
      </c>
      <c r="FZ51" s="146" cm="1">
        <f t="array" ref="FZ51">IF($FY51=0,0,_xlfn.IFS($FY51='Key assumptions'!$C$120,_xlfn.XLOOKUP(LEFT(FZ$7,6),Inflation_Year,Inflation_NominaltoReal),TRUE,_xlfn.XLOOKUP($FY51,Inflation_Year,NominaltoReal)))</f>
        <v>0</v>
      </c>
      <c r="GA51" s="146" cm="1">
        <f t="array" ref="GA51">IF($FY51=0,0,_xlfn.IFS($FY51='Key assumptions'!$C$120,_xlfn.XLOOKUP(LEFT(GA$7,6),Inflation_Year,Inflation_NominaltoReal),TRUE,_xlfn.XLOOKUP($FY51,Inflation_Year,NominaltoReal)))</f>
        <v>0</v>
      </c>
      <c r="GB51" s="146" cm="1">
        <f t="array" ref="GB51">IF($FY51=0,0,_xlfn.IFS($FY51='Key assumptions'!$C$120,_xlfn.XLOOKUP(LEFT(GB$7,6),Inflation_Year,Inflation_NominaltoReal),TRUE,_xlfn.XLOOKUP($FY51,Inflation_Year,NominaltoReal)))</f>
        <v>0</v>
      </c>
      <c r="GC51" s="146" cm="1">
        <f t="array" ref="GC51">IF($FY51=0,0,_xlfn.IFS($FY51='Key assumptions'!$C$120,_xlfn.XLOOKUP(LEFT(GC$7,6),Inflation_Year,Inflation_NominaltoReal),TRUE,_xlfn.XLOOKUP($FY51,Inflation_Year,NominaltoReal)))</f>
        <v>0</v>
      </c>
      <c r="GD51" s="146" cm="1">
        <f t="array" ref="GD51">IF($FY51=0,0,_xlfn.IFS($FY51='Key assumptions'!$C$120,_xlfn.XLOOKUP(LEFT(GD$7,6),Inflation_Year,Inflation_NominaltoReal),TRUE,_xlfn.XLOOKUP($FY51,Inflation_Year,NominaltoReal)))</f>
        <v>0</v>
      </c>
      <c r="GE51" s="146" cm="1">
        <f t="array" ref="GE51">IF($FY51=0,0,_xlfn.IFS($FY51='Key assumptions'!$C$120,_xlfn.XLOOKUP(LEFT(GE$7,6),Inflation_Year,Inflation_NominaltoReal),TRUE,_xlfn.XLOOKUP($FY51,Inflation_Year,NominaltoReal)))</f>
        <v>0</v>
      </c>
      <c r="GF51" s="146" cm="1">
        <f t="array" ref="GF51">IF($FY51=0,0,_xlfn.IFS($FY51='Key assumptions'!$C$120,_xlfn.XLOOKUP(LEFT(GF$7,6),Inflation_Year,Inflation_NominaltoReal),TRUE,_xlfn.XLOOKUP($FY51,Inflation_Year,NominaltoReal)))</f>
        <v>0</v>
      </c>
      <c r="GG51" s="143"/>
      <c r="GH51" s="145" cm="1">
        <f t="array" ref="GH51">SUMPRODUCT(--($CR$7:$FW$7&gt;=GH$5),--($CR$7:$FW$7&lt;=GH$6),$CR51:$FW51)*FZ51</f>
        <v>0</v>
      </c>
      <c r="GI51" s="145" cm="1">
        <f t="array" ref="GI51">SUMPRODUCT(--($CR$7:$FW$7&gt;=GI$5),--($CR$7:$FW$7&lt;=GI$6),$CR51:$FW51)*GA51</f>
        <v>0</v>
      </c>
      <c r="GJ51" s="145" cm="1">
        <f t="array" ref="GJ51">SUMPRODUCT(--($CR$7:$FW$7&gt;=GJ$5),--($CR$7:$FW$7&lt;=GJ$6),$CR51:$FW51)*GB51</f>
        <v>0</v>
      </c>
      <c r="GK51" s="145" cm="1">
        <f t="array" ref="GK51">SUMPRODUCT(--($CR$7:$FW$7&gt;=GK$5),--($CR$7:$FW$7&lt;=GK$6),$CR51:$FW51)*GC51</f>
        <v>0</v>
      </c>
      <c r="GL51" s="145" cm="1">
        <f t="array" ref="GL51">SUMPRODUCT(--($CR$7:$FW$7&gt;=GL$5),--($CR$7:$FW$7&lt;=GL$6),$CR51:$FW51)*GD51</f>
        <v>0</v>
      </c>
      <c r="GM51" s="145" cm="1">
        <f t="array" ref="GM51">SUMPRODUCT(--($CR$7:$FW$7&gt;=GM$5),--($CR$7:$FW$7&lt;=GM$6),$CR51:$FW51)*GE51</f>
        <v>0</v>
      </c>
      <c r="GN51" s="145" cm="1">
        <f t="array" ref="GN51">SUMPRODUCT(--($CR$7:$FW$7&gt;=GN$5),--($CR$7:$FW$7&lt;=GN$6),$CR51:$FW51)*GF51</f>
        <v>0</v>
      </c>
      <c r="GO51" s="145">
        <f t="shared" si="0"/>
        <v>0</v>
      </c>
      <c r="GP51" s="87"/>
      <c r="GR51" s="145" cm="1">
        <f t="array" ref="GR51">SUMPRODUCT(--($CR$7:$FW$7&gt;=GR$5),--($CR$7:$FW$7&lt;=GR$6),$CR51:$FW51)</f>
        <v>0</v>
      </c>
    </row>
    <row r="52" spans="2:200" x14ac:dyDescent="0.2">
      <c r="B52" s="141"/>
      <c r="C52" s="141"/>
      <c r="D52" s="141"/>
      <c r="E52" s="141"/>
      <c r="F52" s="141"/>
      <c r="G52" s="141"/>
      <c r="H52" s="142"/>
      <c r="I52" s="126"/>
      <c r="J52" s="143"/>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3"/>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c r="EE52" s="145"/>
      <c r="EF52" s="145"/>
      <c r="EG52" s="145"/>
      <c r="EH52" s="145"/>
      <c r="EI52" s="145"/>
      <c r="EJ52" s="145"/>
      <c r="EK52" s="145"/>
      <c r="EL52" s="145"/>
      <c r="EM52" s="145"/>
      <c r="EN52" s="145"/>
      <c r="EO52" s="145"/>
      <c r="EP52" s="145"/>
      <c r="EQ52" s="145"/>
      <c r="ER52" s="145"/>
      <c r="ES52" s="145"/>
      <c r="ET52" s="145"/>
      <c r="EU52" s="145"/>
      <c r="EV52" s="145"/>
      <c r="EW52" s="145"/>
      <c r="EX52" s="145"/>
      <c r="EY52" s="145"/>
      <c r="EZ52" s="145"/>
      <c r="FA52" s="145"/>
      <c r="FB52" s="145"/>
      <c r="FC52" s="145"/>
      <c r="FD52" s="145"/>
      <c r="FE52" s="145"/>
      <c r="FF52" s="145"/>
      <c r="FG52" s="145"/>
      <c r="FH52" s="145"/>
      <c r="FI52" s="145"/>
      <c r="FJ52" s="145"/>
      <c r="FK52" s="145"/>
      <c r="FL52" s="145"/>
      <c r="FM52" s="145"/>
      <c r="FN52" s="145"/>
      <c r="FO52" s="145"/>
      <c r="FP52" s="145"/>
      <c r="FQ52" s="145"/>
      <c r="FR52" s="145"/>
      <c r="FS52" s="145"/>
      <c r="FT52" s="145"/>
      <c r="FU52" s="145"/>
      <c r="FV52" s="145"/>
      <c r="FW52" s="145"/>
      <c r="FX52" s="143"/>
      <c r="FY52" s="146">
        <f>_xlfn.XLOOKUP($E52,'Key assumptions'!$B$112:$B$120,'Key assumptions'!$C$112:$C$120,0)</f>
        <v>0</v>
      </c>
      <c r="FZ52" s="146" cm="1">
        <f t="array" ref="FZ52">IF($FY52=0,0,_xlfn.IFS($FY52='Key assumptions'!$C$120,_xlfn.XLOOKUP(LEFT(FZ$7,6),Inflation_Year,Inflation_NominaltoReal),TRUE,_xlfn.XLOOKUP($FY52,Inflation_Year,NominaltoReal)))</f>
        <v>0</v>
      </c>
      <c r="GA52" s="146" cm="1">
        <f t="array" ref="GA52">IF($FY52=0,0,_xlfn.IFS($FY52='Key assumptions'!$C$120,_xlfn.XLOOKUP(LEFT(GA$7,6),Inflation_Year,Inflation_NominaltoReal),TRUE,_xlfn.XLOOKUP($FY52,Inflation_Year,NominaltoReal)))</f>
        <v>0</v>
      </c>
      <c r="GB52" s="146" cm="1">
        <f t="array" ref="GB52">IF($FY52=0,0,_xlfn.IFS($FY52='Key assumptions'!$C$120,_xlfn.XLOOKUP(LEFT(GB$7,6),Inflation_Year,Inflation_NominaltoReal),TRUE,_xlfn.XLOOKUP($FY52,Inflation_Year,NominaltoReal)))</f>
        <v>0</v>
      </c>
      <c r="GC52" s="146" cm="1">
        <f t="array" ref="GC52">IF($FY52=0,0,_xlfn.IFS($FY52='Key assumptions'!$C$120,_xlfn.XLOOKUP(LEFT(GC$7,6),Inflation_Year,Inflation_NominaltoReal),TRUE,_xlfn.XLOOKUP($FY52,Inflation_Year,NominaltoReal)))</f>
        <v>0</v>
      </c>
      <c r="GD52" s="146" cm="1">
        <f t="array" ref="GD52">IF($FY52=0,0,_xlfn.IFS($FY52='Key assumptions'!$C$120,_xlfn.XLOOKUP(LEFT(GD$7,6),Inflation_Year,Inflation_NominaltoReal),TRUE,_xlfn.XLOOKUP($FY52,Inflation_Year,NominaltoReal)))</f>
        <v>0</v>
      </c>
      <c r="GE52" s="146" cm="1">
        <f t="array" ref="GE52">IF($FY52=0,0,_xlfn.IFS($FY52='Key assumptions'!$C$120,_xlfn.XLOOKUP(LEFT(GE$7,6),Inflation_Year,Inflation_NominaltoReal),TRUE,_xlfn.XLOOKUP($FY52,Inflation_Year,NominaltoReal)))</f>
        <v>0</v>
      </c>
      <c r="GF52" s="146" cm="1">
        <f t="array" ref="GF52">IF($FY52=0,0,_xlfn.IFS($FY52='Key assumptions'!$C$120,_xlfn.XLOOKUP(LEFT(GF$7,6),Inflation_Year,Inflation_NominaltoReal),TRUE,_xlfn.XLOOKUP($FY52,Inflation_Year,NominaltoReal)))</f>
        <v>0</v>
      </c>
      <c r="GG52" s="143"/>
      <c r="GH52" s="145" cm="1">
        <f t="array" ref="GH52">SUMPRODUCT(--($CR$7:$FW$7&gt;=GH$5),--($CR$7:$FW$7&lt;=GH$6),$CR52:$FW52)*FZ52</f>
        <v>0</v>
      </c>
      <c r="GI52" s="145" cm="1">
        <f t="array" ref="GI52">SUMPRODUCT(--($CR$7:$FW$7&gt;=GI$5),--($CR$7:$FW$7&lt;=GI$6),$CR52:$FW52)*GA52</f>
        <v>0</v>
      </c>
      <c r="GJ52" s="145" cm="1">
        <f t="array" ref="GJ52">SUMPRODUCT(--($CR$7:$FW$7&gt;=GJ$5),--($CR$7:$FW$7&lt;=GJ$6),$CR52:$FW52)*GB52</f>
        <v>0</v>
      </c>
      <c r="GK52" s="145" cm="1">
        <f t="array" ref="GK52">SUMPRODUCT(--($CR$7:$FW$7&gt;=GK$5),--($CR$7:$FW$7&lt;=GK$6),$CR52:$FW52)*GC52</f>
        <v>0</v>
      </c>
      <c r="GL52" s="145" cm="1">
        <f t="array" ref="GL52">SUMPRODUCT(--($CR$7:$FW$7&gt;=GL$5),--($CR$7:$FW$7&lt;=GL$6),$CR52:$FW52)*GD52</f>
        <v>0</v>
      </c>
      <c r="GM52" s="145" cm="1">
        <f t="array" ref="GM52">SUMPRODUCT(--($CR$7:$FW$7&gt;=GM$5),--($CR$7:$FW$7&lt;=GM$6),$CR52:$FW52)*GE52</f>
        <v>0</v>
      </c>
      <c r="GN52" s="145" cm="1">
        <f t="array" ref="GN52">SUMPRODUCT(--($CR$7:$FW$7&gt;=GN$5),--($CR$7:$FW$7&lt;=GN$6),$CR52:$FW52)*GF52</f>
        <v>0</v>
      </c>
      <c r="GO52" s="145">
        <f t="shared" si="0"/>
        <v>0</v>
      </c>
      <c r="GP52" s="87"/>
      <c r="GR52" s="145" cm="1">
        <f t="array" ref="GR52">SUMPRODUCT(--($CR$7:$FW$7&gt;=GR$5),--($CR$7:$FW$7&lt;=GR$6),$CR52:$FW52)</f>
        <v>0</v>
      </c>
    </row>
    <row r="53" spans="2:200" x14ac:dyDescent="0.2">
      <c r="B53" s="141"/>
      <c r="C53" s="141"/>
      <c r="D53" s="141"/>
      <c r="E53" s="141"/>
      <c r="F53" s="141"/>
      <c r="G53" s="141"/>
      <c r="H53" s="142"/>
      <c r="I53" s="126"/>
      <c r="J53" s="143"/>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3"/>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c r="EE53" s="145"/>
      <c r="EF53" s="145"/>
      <c r="EG53" s="145"/>
      <c r="EH53" s="145"/>
      <c r="EI53" s="145"/>
      <c r="EJ53" s="145"/>
      <c r="EK53" s="145"/>
      <c r="EL53" s="145"/>
      <c r="EM53" s="145"/>
      <c r="EN53" s="145"/>
      <c r="EO53" s="145"/>
      <c r="EP53" s="145"/>
      <c r="EQ53" s="145"/>
      <c r="ER53" s="145"/>
      <c r="ES53" s="145"/>
      <c r="ET53" s="145"/>
      <c r="EU53" s="145"/>
      <c r="EV53" s="145"/>
      <c r="EW53" s="145"/>
      <c r="EX53" s="145"/>
      <c r="EY53" s="145"/>
      <c r="EZ53" s="145"/>
      <c r="FA53" s="145"/>
      <c r="FB53" s="145"/>
      <c r="FC53" s="145"/>
      <c r="FD53" s="145"/>
      <c r="FE53" s="145"/>
      <c r="FF53" s="145"/>
      <c r="FG53" s="145"/>
      <c r="FH53" s="145"/>
      <c r="FI53" s="145"/>
      <c r="FJ53" s="145"/>
      <c r="FK53" s="145"/>
      <c r="FL53" s="145"/>
      <c r="FM53" s="145"/>
      <c r="FN53" s="145"/>
      <c r="FO53" s="145"/>
      <c r="FP53" s="145"/>
      <c r="FQ53" s="145"/>
      <c r="FR53" s="145"/>
      <c r="FS53" s="145"/>
      <c r="FT53" s="145"/>
      <c r="FU53" s="145"/>
      <c r="FV53" s="145"/>
      <c r="FW53" s="145"/>
      <c r="FX53" s="143"/>
      <c r="FY53" s="146">
        <f>_xlfn.XLOOKUP($E53,'Key assumptions'!$B$112:$B$120,'Key assumptions'!$C$112:$C$120,0)</f>
        <v>0</v>
      </c>
      <c r="FZ53" s="146" cm="1">
        <f t="array" ref="FZ53">IF($FY53=0,0,_xlfn.IFS($FY53='Key assumptions'!$C$120,_xlfn.XLOOKUP(LEFT(FZ$7,6),Inflation_Year,Inflation_NominaltoReal),TRUE,_xlfn.XLOOKUP($FY53,Inflation_Year,NominaltoReal)))</f>
        <v>0</v>
      </c>
      <c r="GA53" s="146" cm="1">
        <f t="array" ref="GA53">IF($FY53=0,0,_xlfn.IFS($FY53='Key assumptions'!$C$120,_xlfn.XLOOKUP(LEFT(GA$7,6),Inflation_Year,Inflation_NominaltoReal),TRUE,_xlfn.XLOOKUP($FY53,Inflation_Year,NominaltoReal)))</f>
        <v>0</v>
      </c>
      <c r="GB53" s="146" cm="1">
        <f t="array" ref="GB53">IF($FY53=0,0,_xlfn.IFS($FY53='Key assumptions'!$C$120,_xlfn.XLOOKUP(LEFT(GB$7,6),Inflation_Year,Inflation_NominaltoReal),TRUE,_xlfn.XLOOKUP($FY53,Inflation_Year,NominaltoReal)))</f>
        <v>0</v>
      </c>
      <c r="GC53" s="146" cm="1">
        <f t="array" ref="GC53">IF($FY53=0,0,_xlfn.IFS($FY53='Key assumptions'!$C$120,_xlfn.XLOOKUP(LEFT(GC$7,6),Inflation_Year,Inflation_NominaltoReal),TRUE,_xlfn.XLOOKUP($FY53,Inflation_Year,NominaltoReal)))</f>
        <v>0</v>
      </c>
      <c r="GD53" s="146" cm="1">
        <f t="array" ref="GD53">IF($FY53=0,0,_xlfn.IFS($FY53='Key assumptions'!$C$120,_xlfn.XLOOKUP(LEFT(GD$7,6),Inflation_Year,Inflation_NominaltoReal),TRUE,_xlfn.XLOOKUP($FY53,Inflation_Year,NominaltoReal)))</f>
        <v>0</v>
      </c>
      <c r="GE53" s="146" cm="1">
        <f t="array" ref="GE53">IF($FY53=0,0,_xlfn.IFS($FY53='Key assumptions'!$C$120,_xlfn.XLOOKUP(LEFT(GE$7,6),Inflation_Year,Inflation_NominaltoReal),TRUE,_xlfn.XLOOKUP($FY53,Inflation_Year,NominaltoReal)))</f>
        <v>0</v>
      </c>
      <c r="GF53" s="146" cm="1">
        <f t="array" ref="GF53">IF($FY53=0,0,_xlfn.IFS($FY53='Key assumptions'!$C$120,_xlfn.XLOOKUP(LEFT(GF$7,6),Inflation_Year,Inflation_NominaltoReal),TRUE,_xlfn.XLOOKUP($FY53,Inflation_Year,NominaltoReal)))</f>
        <v>0</v>
      </c>
      <c r="GG53" s="143"/>
      <c r="GH53" s="145" cm="1">
        <f t="array" ref="GH53">SUMPRODUCT(--($CR$7:$FW$7&gt;=GH$5),--($CR$7:$FW$7&lt;=GH$6),$CR53:$FW53)*FZ53</f>
        <v>0</v>
      </c>
      <c r="GI53" s="145" cm="1">
        <f t="array" ref="GI53">SUMPRODUCT(--($CR$7:$FW$7&gt;=GI$5),--($CR$7:$FW$7&lt;=GI$6),$CR53:$FW53)*GA53</f>
        <v>0</v>
      </c>
      <c r="GJ53" s="145" cm="1">
        <f t="array" ref="GJ53">SUMPRODUCT(--($CR$7:$FW$7&gt;=GJ$5),--($CR$7:$FW$7&lt;=GJ$6),$CR53:$FW53)*GB53</f>
        <v>0</v>
      </c>
      <c r="GK53" s="145" cm="1">
        <f t="array" ref="GK53">SUMPRODUCT(--($CR$7:$FW$7&gt;=GK$5),--($CR$7:$FW$7&lt;=GK$6),$CR53:$FW53)*GC53</f>
        <v>0</v>
      </c>
      <c r="GL53" s="145" cm="1">
        <f t="array" ref="GL53">SUMPRODUCT(--($CR$7:$FW$7&gt;=GL$5),--($CR$7:$FW$7&lt;=GL$6),$CR53:$FW53)*GD53</f>
        <v>0</v>
      </c>
      <c r="GM53" s="145" cm="1">
        <f t="array" ref="GM53">SUMPRODUCT(--($CR$7:$FW$7&gt;=GM$5),--($CR$7:$FW$7&lt;=GM$6),$CR53:$FW53)*GE53</f>
        <v>0</v>
      </c>
      <c r="GN53" s="145" cm="1">
        <f t="array" ref="GN53">SUMPRODUCT(--($CR$7:$FW$7&gt;=GN$5),--($CR$7:$FW$7&lt;=GN$6),$CR53:$FW53)*GF53</f>
        <v>0</v>
      </c>
      <c r="GO53" s="145">
        <f t="shared" si="0"/>
        <v>0</v>
      </c>
      <c r="GP53" s="87"/>
      <c r="GR53" s="145" cm="1">
        <f t="array" ref="GR53">SUMPRODUCT(--($CR$7:$FW$7&gt;=GR$5),--($CR$7:$FW$7&lt;=GR$6),$CR53:$FW53)</f>
        <v>0</v>
      </c>
    </row>
    <row r="54" spans="2:200" x14ac:dyDescent="0.2">
      <c r="B54" s="141"/>
      <c r="C54" s="141"/>
      <c r="D54" s="141"/>
      <c r="E54" s="141"/>
      <c r="F54" s="141"/>
      <c r="G54" s="141"/>
      <c r="H54" s="142"/>
      <c r="I54" s="126"/>
      <c r="J54" s="143"/>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3"/>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c r="EE54" s="145"/>
      <c r="EF54" s="145"/>
      <c r="EG54" s="145"/>
      <c r="EH54" s="145"/>
      <c r="EI54" s="145"/>
      <c r="EJ54" s="145"/>
      <c r="EK54" s="145"/>
      <c r="EL54" s="145"/>
      <c r="EM54" s="145"/>
      <c r="EN54" s="145"/>
      <c r="EO54" s="145"/>
      <c r="EP54" s="145"/>
      <c r="EQ54" s="145"/>
      <c r="ER54" s="145"/>
      <c r="ES54" s="145"/>
      <c r="ET54" s="145"/>
      <c r="EU54" s="145"/>
      <c r="EV54" s="145"/>
      <c r="EW54" s="145"/>
      <c r="EX54" s="145"/>
      <c r="EY54" s="145"/>
      <c r="EZ54" s="145"/>
      <c r="FA54" s="145"/>
      <c r="FB54" s="145"/>
      <c r="FC54" s="145"/>
      <c r="FD54" s="145"/>
      <c r="FE54" s="145"/>
      <c r="FF54" s="145"/>
      <c r="FG54" s="145"/>
      <c r="FH54" s="145"/>
      <c r="FI54" s="145"/>
      <c r="FJ54" s="145"/>
      <c r="FK54" s="145"/>
      <c r="FL54" s="145"/>
      <c r="FM54" s="145"/>
      <c r="FN54" s="145"/>
      <c r="FO54" s="145"/>
      <c r="FP54" s="145"/>
      <c r="FQ54" s="145"/>
      <c r="FR54" s="145"/>
      <c r="FS54" s="145"/>
      <c r="FT54" s="145"/>
      <c r="FU54" s="145"/>
      <c r="FV54" s="145"/>
      <c r="FW54" s="145"/>
      <c r="FX54" s="143"/>
      <c r="FY54" s="146">
        <f>_xlfn.XLOOKUP($E54,'Key assumptions'!$B$112:$B$120,'Key assumptions'!$C$112:$C$120,0)</f>
        <v>0</v>
      </c>
      <c r="FZ54" s="146" cm="1">
        <f t="array" ref="FZ54">IF($FY54=0,0,_xlfn.IFS($FY54='Key assumptions'!$C$120,_xlfn.XLOOKUP(LEFT(FZ$7,6),Inflation_Year,Inflation_NominaltoReal),TRUE,_xlfn.XLOOKUP($FY54,Inflation_Year,NominaltoReal)))</f>
        <v>0</v>
      </c>
      <c r="GA54" s="146" cm="1">
        <f t="array" ref="GA54">IF($FY54=0,0,_xlfn.IFS($FY54='Key assumptions'!$C$120,_xlfn.XLOOKUP(LEFT(GA$7,6),Inflation_Year,Inflation_NominaltoReal),TRUE,_xlfn.XLOOKUP($FY54,Inflation_Year,NominaltoReal)))</f>
        <v>0</v>
      </c>
      <c r="GB54" s="146" cm="1">
        <f t="array" ref="GB54">IF($FY54=0,0,_xlfn.IFS($FY54='Key assumptions'!$C$120,_xlfn.XLOOKUP(LEFT(GB$7,6),Inflation_Year,Inflation_NominaltoReal),TRUE,_xlfn.XLOOKUP($FY54,Inflation_Year,NominaltoReal)))</f>
        <v>0</v>
      </c>
      <c r="GC54" s="146" cm="1">
        <f t="array" ref="GC54">IF($FY54=0,0,_xlfn.IFS($FY54='Key assumptions'!$C$120,_xlfn.XLOOKUP(LEFT(GC$7,6),Inflation_Year,Inflation_NominaltoReal),TRUE,_xlfn.XLOOKUP($FY54,Inflation_Year,NominaltoReal)))</f>
        <v>0</v>
      </c>
      <c r="GD54" s="146" cm="1">
        <f t="array" ref="GD54">IF($FY54=0,0,_xlfn.IFS($FY54='Key assumptions'!$C$120,_xlfn.XLOOKUP(LEFT(GD$7,6),Inflation_Year,Inflation_NominaltoReal),TRUE,_xlfn.XLOOKUP($FY54,Inflation_Year,NominaltoReal)))</f>
        <v>0</v>
      </c>
      <c r="GE54" s="146" cm="1">
        <f t="array" ref="GE54">IF($FY54=0,0,_xlfn.IFS($FY54='Key assumptions'!$C$120,_xlfn.XLOOKUP(LEFT(GE$7,6),Inflation_Year,Inflation_NominaltoReal),TRUE,_xlfn.XLOOKUP($FY54,Inflation_Year,NominaltoReal)))</f>
        <v>0</v>
      </c>
      <c r="GF54" s="146" cm="1">
        <f t="array" ref="GF54">IF($FY54=0,0,_xlfn.IFS($FY54='Key assumptions'!$C$120,_xlfn.XLOOKUP(LEFT(GF$7,6),Inflation_Year,Inflation_NominaltoReal),TRUE,_xlfn.XLOOKUP($FY54,Inflation_Year,NominaltoReal)))</f>
        <v>0</v>
      </c>
      <c r="GG54" s="143"/>
      <c r="GH54" s="145" cm="1">
        <f t="array" ref="GH54">SUMPRODUCT(--($CR$7:$FW$7&gt;=GH$5),--($CR$7:$FW$7&lt;=GH$6),$CR54:$FW54)*FZ54</f>
        <v>0</v>
      </c>
      <c r="GI54" s="145" cm="1">
        <f t="array" ref="GI54">SUMPRODUCT(--($CR$7:$FW$7&gt;=GI$5),--($CR$7:$FW$7&lt;=GI$6),$CR54:$FW54)*GA54</f>
        <v>0</v>
      </c>
      <c r="GJ54" s="145" cm="1">
        <f t="array" ref="GJ54">SUMPRODUCT(--($CR$7:$FW$7&gt;=GJ$5),--($CR$7:$FW$7&lt;=GJ$6),$CR54:$FW54)*GB54</f>
        <v>0</v>
      </c>
      <c r="GK54" s="145" cm="1">
        <f t="array" ref="GK54">SUMPRODUCT(--($CR$7:$FW$7&gt;=GK$5),--($CR$7:$FW$7&lt;=GK$6),$CR54:$FW54)*GC54</f>
        <v>0</v>
      </c>
      <c r="GL54" s="145" cm="1">
        <f t="array" ref="GL54">SUMPRODUCT(--($CR$7:$FW$7&gt;=GL$5),--($CR$7:$FW$7&lt;=GL$6),$CR54:$FW54)*GD54</f>
        <v>0</v>
      </c>
      <c r="GM54" s="145" cm="1">
        <f t="array" ref="GM54">SUMPRODUCT(--($CR$7:$FW$7&gt;=GM$5),--($CR$7:$FW$7&lt;=GM$6),$CR54:$FW54)*GE54</f>
        <v>0</v>
      </c>
      <c r="GN54" s="145" cm="1">
        <f t="array" ref="GN54">SUMPRODUCT(--($CR$7:$FW$7&gt;=GN$5),--($CR$7:$FW$7&lt;=GN$6),$CR54:$FW54)*GF54</f>
        <v>0</v>
      </c>
      <c r="GO54" s="145">
        <f t="shared" si="0"/>
        <v>0</v>
      </c>
      <c r="GP54" s="87"/>
      <c r="GR54" s="145" cm="1">
        <f t="array" ref="GR54">SUMPRODUCT(--($CR$7:$FW$7&gt;=GR$5),--($CR$7:$FW$7&lt;=GR$6),$CR54:$FW54)</f>
        <v>0</v>
      </c>
    </row>
    <row r="55" spans="2:200" x14ac:dyDescent="0.2">
      <c r="B55" s="141"/>
      <c r="C55" s="141"/>
      <c r="D55" s="141"/>
      <c r="E55" s="141"/>
      <c r="F55" s="141"/>
      <c r="G55" s="141"/>
      <c r="H55" s="142"/>
      <c r="I55" s="126"/>
      <c r="J55" s="143"/>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3"/>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c r="EE55" s="145"/>
      <c r="EF55" s="145"/>
      <c r="EG55" s="145"/>
      <c r="EH55" s="145"/>
      <c r="EI55" s="145"/>
      <c r="EJ55" s="145"/>
      <c r="EK55" s="145"/>
      <c r="EL55" s="145"/>
      <c r="EM55" s="145"/>
      <c r="EN55" s="145"/>
      <c r="EO55" s="145"/>
      <c r="EP55" s="145"/>
      <c r="EQ55" s="145"/>
      <c r="ER55" s="145"/>
      <c r="ES55" s="145"/>
      <c r="ET55" s="145"/>
      <c r="EU55" s="145"/>
      <c r="EV55" s="145"/>
      <c r="EW55" s="145"/>
      <c r="EX55" s="145"/>
      <c r="EY55" s="145"/>
      <c r="EZ55" s="145"/>
      <c r="FA55" s="145"/>
      <c r="FB55" s="145"/>
      <c r="FC55" s="145"/>
      <c r="FD55" s="145"/>
      <c r="FE55" s="145"/>
      <c r="FF55" s="145"/>
      <c r="FG55" s="145"/>
      <c r="FH55" s="145"/>
      <c r="FI55" s="145"/>
      <c r="FJ55" s="145"/>
      <c r="FK55" s="145"/>
      <c r="FL55" s="145"/>
      <c r="FM55" s="145"/>
      <c r="FN55" s="145"/>
      <c r="FO55" s="145"/>
      <c r="FP55" s="145"/>
      <c r="FQ55" s="145"/>
      <c r="FR55" s="145"/>
      <c r="FS55" s="145"/>
      <c r="FT55" s="145"/>
      <c r="FU55" s="145"/>
      <c r="FV55" s="145"/>
      <c r="FW55" s="145"/>
      <c r="FX55" s="143"/>
      <c r="FY55" s="146">
        <f>_xlfn.XLOOKUP($E55,'Key assumptions'!$B$112:$B$120,'Key assumptions'!$C$112:$C$120,0)</f>
        <v>0</v>
      </c>
      <c r="FZ55" s="146" cm="1">
        <f t="array" ref="FZ55">IF($FY55=0,0,_xlfn.IFS($FY55='Key assumptions'!$C$120,_xlfn.XLOOKUP(LEFT(FZ$7,6),Inflation_Year,Inflation_NominaltoReal),TRUE,_xlfn.XLOOKUP($FY55,Inflation_Year,NominaltoReal)))</f>
        <v>0</v>
      </c>
      <c r="GA55" s="146" cm="1">
        <f t="array" ref="GA55">IF($FY55=0,0,_xlfn.IFS($FY55='Key assumptions'!$C$120,_xlfn.XLOOKUP(LEFT(GA$7,6),Inflation_Year,Inflation_NominaltoReal),TRUE,_xlfn.XLOOKUP($FY55,Inflation_Year,NominaltoReal)))</f>
        <v>0</v>
      </c>
      <c r="GB55" s="146" cm="1">
        <f t="array" ref="GB55">IF($FY55=0,0,_xlfn.IFS($FY55='Key assumptions'!$C$120,_xlfn.XLOOKUP(LEFT(GB$7,6),Inflation_Year,Inflation_NominaltoReal),TRUE,_xlfn.XLOOKUP($FY55,Inflation_Year,NominaltoReal)))</f>
        <v>0</v>
      </c>
      <c r="GC55" s="146" cm="1">
        <f t="array" ref="GC55">IF($FY55=0,0,_xlfn.IFS($FY55='Key assumptions'!$C$120,_xlfn.XLOOKUP(LEFT(GC$7,6),Inflation_Year,Inflation_NominaltoReal),TRUE,_xlfn.XLOOKUP($FY55,Inflation_Year,NominaltoReal)))</f>
        <v>0</v>
      </c>
      <c r="GD55" s="146" cm="1">
        <f t="array" ref="GD55">IF($FY55=0,0,_xlfn.IFS($FY55='Key assumptions'!$C$120,_xlfn.XLOOKUP(LEFT(GD$7,6),Inflation_Year,Inflation_NominaltoReal),TRUE,_xlfn.XLOOKUP($FY55,Inflation_Year,NominaltoReal)))</f>
        <v>0</v>
      </c>
      <c r="GE55" s="146" cm="1">
        <f t="array" ref="GE55">IF($FY55=0,0,_xlfn.IFS($FY55='Key assumptions'!$C$120,_xlfn.XLOOKUP(LEFT(GE$7,6),Inflation_Year,Inflation_NominaltoReal),TRUE,_xlfn.XLOOKUP($FY55,Inflation_Year,NominaltoReal)))</f>
        <v>0</v>
      </c>
      <c r="GF55" s="146" cm="1">
        <f t="array" ref="GF55">IF($FY55=0,0,_xlfn.IFS($FY55='Key assumptions'!$C$120,_xlfn.XLOOKUP(LEFT(GF$7,6),Inflation_Year,Inflation_NominaltoReal),TRUE,_xlfn.XLOOKUP($FY55,Inflation_Year,NominaltoReal)))</f>
        <v>0</v>
      </c>
      <c r="GG55" s="143"/>
      <c r="GH55" s="145" cm="1">
        <f t="array" ref="GH55">SUMPRODUCT(--($CR$7:$FW$7&gt;=GH$5),--($CR$7:$FW$7&lt;=GH$6),$CR55:$FW55)*FZ55</f>
        <v>0</v>
      </c>
      <c r="GI55" s="145" cm="1">
        <f t="array" ref="GI55">SUMPRODUCT(--($CR$7:$FW$7&gt;=GI$5),--($CR$7:$FW$7&lt;=GI$6),$CR55:$FW55)*GA55</f>
        <v>0</v>
      </c>
      <c r="GJ55" s="145" cm="1">
        <f t="array" ref="GJ55">SUMPRODUCT(--($CR$7:$FW$7&gt;=GJ$5),--($CR$7:$FW$7&lt;=GJ$6),$CR55:$FW55)*GB55</f>
        <v>0</v>
      </c>
      <c r="GK55" s="145" cm="1">
        <f t="array" ref="GK55">SUMPRODUCT(--($CR$7:$FW$7&gt;=GK$5),--($CR$7:$FW$7&lt;=GK$6),$CR55:$FW55)*GC55</f>
        <v>0</v>
      </c>
      <c r="GL55" s="145" cm="1">
        <f t="array" ref="GL55">SUMPRODUCT(--($CR$7:$FW$7&gt;=GL$5),--($CR$7:$FW$7&lt;=GL$6),$CR55:$FW55)*GD55</f>
        <v>0</v>
      </c>
      <c r="GM55" s="145" cm="1">
        <f t="array" ref="GM55">SUMPRODUCT(--($CR$7:$FW$7&gt;=GM$5),--($CR$7:$FW$7&lt;=GM$6),$CR55:$FW55)*GE55</f>
        <v>0</v>
      </c>
      <c r="GN55" s="145" cm="1">
        <f t="array" ref="GN55">SUMPRODUCT(--($CR$7:$FW$7&gt;=GN$5),--($CR$7:$FW$7&lt;=GN$6),$CR55:$FW55)*GF55</f>
        <v>0</v>
      </c>
      <c r="GO55" s="145">
        <f t="shared" si="0"/>
        <v>0</v>
      </c>
      <c r="GP55" s="87"/>
      <c r="GR55" s="145" cm="1">
        <f t="array" ref="GR55">SUMPRODUCT(--($CR$7:$FW$7&gt;=GR$5),--($CR$7:$FW$7&lt;=GR$6),$CR55:$FW55)</f>
        <v>0</v>
      </c>
    </row>
    <row r="56" spans="2:200" x14ac:dyDescent="0.2">
      <c r="B56" s="141"/>
      <c r="C56" s="141"/>
      <c r="D56" s="141"/>
      <c r="E56" s="141"/>
      <c r="F56" s="141"/>
      <c r="G56" s="141"/>
      <c r="H56" s="142"/>
      <c r="I56" s="126"/>
      <c r="J56" s="143"/>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3"/>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c r="EE56" s="145"/>
      <c r="EF56" s="145"/>
      <c r="EG56" s="145"/>
      <c r="EH56" s="145"/>
      <c r="EI56" s="145"/>
      <c r="EJ56" s="145"/>
      <c r="EK56" s="145"/>
      <c r="EL56" s="145"/>
      <c r="EM56" s="145"/>
      <c r="EN56" s="145"/>
      <c r="EO56" s="145"/>
      <c r="EP56" s="145"/>
      <c r="EQ56" s="145"/>
      <c r="ER56" s="145"/>
      <c r="ES56" s="145"/>
      <c r="ET56" s="145"/>
      <c r="EU56" s="145"/>
      <c r="EV56" s="145"/>
      <c r="EW56" s="145"/>
      <c r="EX56" s="145"/>
      <c r="EY56" s="145"/>
      <c r="EZ56" s="145"/>
      <c r="FA56" s="145"/>
      <c r="FB56" s="145"/>
      <c r="FC56" s="145"/>
      <c r="FD56" s="145"/>
      <c r="FE56" s="145"/>
      <c r="FF56" s="145"/>
      <c r="FG56" s="145"/>
      <c r="FH56" s="145"/>
      <c r="FI56" s="145"/>
      <c r="FJ56" s="145"/>
      <c r="FK56" s="145"/>
      <c r="FL56" s="145"/>
      <c r="FM56" s="145"/>
      <c r="FN56" s="145"/>
      <c r="FO56" s="145"/>
      <c r="FP56" s="145"/>
      <c r="FQ56" s="145"/>
      <c r="FR56" s="145"/>
      <c r="FS56" s="145"/>
      <c r="FT56" s="145"/>
      <c r="FU56" s="145"/>
      <c r="FV56" s="145"/>
      <c r="FW56" s="145"/>
      <c r="FX56" s="143"/>
      <c r="FY56" s="146">
        <f>_xlfn.XLOOKUP($E56,'Key assumptions'!$B$112:$B$120,'Key assumptions'!$C$112:$C$120,0)</f>
        <v>0</v>
      </c>
      <c r="FZ56" s="146" cm="1">
        <f t="array" ref="FZ56">IF($FY56=0,0,_xlfn.IFS($FY56='Key assumptions'!$C$120,_xlfn.XLOOKUP(LEFT(FZ$7,6),Inflation_Year,Inflation_NominaltoReal),TRUE,_xlfn.XLOOKUP($FY56,Inflation_Year,NominaltoReal)))</f>
        <v>0</v>
      </c>
      <c r="GA56" s="146" cm="1">
        <f t="array" ref="GA56">IF($FY56=0,0,_xlfn.IFS($FY56='Key assumptions'!$C$120,_xlfn.XLOOKUP(LEFT(GA$7,6),Inflation_Year,Inflation_NominaltoReal),TRUE,_xlfn.XLOOKUP($FY56,Inflation_Year,NominaltoReal)))</f>
        <v>0</v>
      </c>
      <c r="GB56" s="146" cm="1">
        <f t="array" ref="GB56">IF($FY56=0,0,_xlfn.IFS($FY56='Key assumptions'!$C$120,_xlfn.XLOOKUP(LEFT(GB$7,6),Inflation_Year,Inflation_NominaltoReal),TRUE,_xlfn.XLOOKUP($FY56,Inflation_Year,NominaltoReal)))</f>
        <v>0</v>
      </c>
      <c r="GC56" s="146" cm="1">
        <f t="array" ref="GC56">IF($FY56=0,0,_xlfn.IFS($FY56='Key assumptions'!$C$120,_xlfn.XLOOKUP(LEFT(GC$7,6),Inflation_Year,Inflation_NominaltoReal),TRUE,_xlfn.XLOOKUP($FY56,Inflation_Year,NominaltoReal)))</f>
        <v>0</v>
      </c>
      <c r="GD56" s="146" cm="1">
        <f t="array" ref="GD56">IF($FY56=0,0,_xlfn.IFS($FY56='Key assumptions'!$C$120,_xlfn.XLOOKUP(LEFT(GD$7,6),Inflation_Year,Inflation_NominaltoReal),TRUE,_xlfn.XLOOKUP($FY56,Inflation_Year,NominaltoReal)))</f>
        <v>0</v>
      </c>
      <c r="GE56" s="146" cm="1">
        <f t="array" ref="GE56">IF($FY56=0,0,_xlfn.IFS($FY56='Key assumptions'!$C$120,_xlfn.XLOOKUP(LEFT(GE$7,6),Inflation_Year,Inflation_NominaltoReal),TRUE,_xlfn.XLOOKUP($FY56,Inflation_Year,NominaltoReal)))</f>
        <v>0</v>
      </c>
      <c r="GF56" s="146" cm="1">
        <f t="array" ref="GF56">IF($FY56=0,0,_xlfn.IFS($FY56='Key assumptions'!$C$120,_xlfn.XLOOKUP(LEFT(GF$7,6),Inflation_Year,Inflation_NominaltoReal),TRUE,_xlfn.XLOOKUP($FY56,Inflation_Year,NominaltoReal)))</f>
        <v>0</v>
      </c>
      <c r="GG56" s="143"/>
      <c r="GH56" s="145" cm="1">
        <f t="array" ref="GH56">SUMPRODUCT(--($CR$7:$FW$7&gt;=GH$5),--($CR$7:$FW$7&lt;=GH$6),$CR56:$FW56)*FZ56</f>
        <v>0</v>
      </c>
      <c r="GI56" s="145" cm="1">
        <f t="array" ref="GI56">SUMPRODUCT(--($CR$7:$FW$7&gt;=GI$5),--($CR$7:$FW$7&lt;=GI$6),$CR56:$FW56)*GA56</f>
        <v>0</v>
      </c>
      <c r="GJ56" s="145" cm="1">
        <f t="array" ref="GJ56">SUMPRODUCT(--($CR$7:$FW$7&gt;=GJ$5),--($CR$7:$FW$7&lt;=GJ$6),$CR56:$FW56)*GB56</f>
        <v>0</v>
      </c>
      <c r="GK56" s="145" cm="1">
        <f t="array" ref="GK56">SUMPRODUCT(--($CR$7:$FW$7&gt;=GK$5),--($CR$7:$FW$7&lt;=GK$6),$CR56:$FW56)*GC56</f>
        <v>0</v>
      </c>
      <c r="GL56" s="145" cm="1">
        <f t="array" ref="GL56">SUMPRODUCT(--($CR$7:$FW$7&gt;=GL$5),--($CR$7:$FW$7&lt;=GL$6),$CR56:$FW56)*GD56</f>
        <v>0</v>
      </c>
      <c r="GM56" s="145" cm="1">
        <f t="array" ref="GM56">SUMPRODUCT(--($CR$7:$FW$7&gt;=GM$5),--($CR$7:$FW$7&lt;=GM$6),$CR56:$FW56)*GE56</f>
        <v>0</v>
      </c>
      <c r="GN56" s="145" cm="1">
        <f t="array" ref="GN56">SUMPRODUCT(--($CR$7:$FW$7&gt;=GN$5),--($CR$7:$FW$7&lt;=GN$6),$CR56:$FW56)*GF56</f>
        <v>0</v>
      </c>
      <c r="GO56" s="145">
        <f t="shared" si="0"/>
        <v>0</v>
      </c>
      <c r="GP56" s="87"/>
      <c r="GR56" s="145" cm="1">
        <f t="array" ref="GR56">SUMPRODUCT(--($CR$7:$FW$7&gt;=GR$5),--($CR$7:$FW$7&lt;=GR$6),$CR56:$FW56)</f>
        <v>0</v>
      </c>
    </row>
    <row r="57" spans="2:200" x14ac:dyDescent="0.2">
      <c r="B57" s="141"/>
      <c r="C57" s="141"/>
      <c r="D57" s="141"/>
      <c r="E57" s="141"/>
      <c r="F57" s="141"/>
      <c r="G57" s="141"/>
      <c r="H57" s="142"/>
      <c r="I57" s="126"/>
      <c r="J57" s="143"/>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3"/>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c r="EE57" s="145"/>
      <c r="EF57" s="145"/>
      <c r="EG57" s="145"/>
      <c r="EH57" s="145"/>
      <c r="EI57" s="145"/>
      <c r="EJ57" s="145"/>
      <c r="EK57" s="145"/>
      <c r="EL57" s="145"/>
      <c r="EM57" s="145"/>
      <c r="EN57" s="145"/>
      <c r="EO57" s="145"/>
      <c r="EP57" s="145"/>
      <c r="EQ57" s="145"/>
      <c r="ER57" s="145"/>
      <c r="ES57" s="145"/>
      <c r="ET57" s="145"/>
      <c r="EU57" s="145"/>
      <c r="EV57" s="145"/>
      <c r="EW57" s="145"/>
      <c r="EX57" s="145"/>
      <c r="EY57" s="145"/>
      <c r="EZ57" s="145"/>
      <c r="FA57" s="145"/>
      <c r="FB57" s="145"/>
      <c r="FC57" s="145"/>
      <c r="FD57" s="145"/>
      <c r="FE57" s="145"/>
      <c r="FF57" s="145"/>
      <c r="FG57" s="145"/>
      <c r="FH57" s="145"/>
      <c r="FI57" s="145"/>
      <c r="FJ57" s="145"/>
      <c r="FK57" s="145"/>
      <c r="FL57" s="145"/>
      <c r="FM57" s="145"/>
      <c r="FN57" s="145"/>
      <c r="FO57" s="145"/>
      <c r="FP57" s="145"/>
      <c r="FQ57" s="145"/>
      <c r="FR57" s="145"/>
      <c r="FS57" s="145"/>
      <c r="FT57" s="145"/>
      <c r="FU57" s="145"/>
      <c r="FV57" s="145"/>
      <c r="FW57" s="145"/>
      <c r="FX57" s="143"/>
      <c r="FY57" s="146">
        <f>_xlfn.XLOOKUP($E57,'Key assumptions'!$B$112:$B$120,'Key assumptions'!$C$112:$C$120,0)</f>
        <v>0</v>
      </c>
      <c r="FZ57" s="146" cm="1">
        <f t="array" ref="FZ57">IF($FY57=0,0,_xlfn.IFS($FY57='Key assumptions'!$C$120,_xlfn.XLOOKUP(LEFT(FZ$7,6),Inflation_Year,Inflation_NominaltoReal),TRUE,_xlfn.XLOOKUP($FY57,Inflation_Year,NominaltoReal)))</f>
        <v>0</v>
      </c>
      <c r="GA57" s="146" cm="1">
        <f t="array" ref="GA57">IF($FY57=0,0,_xlfn.IFS($FY57='Key assumptions'!$C$120,_xlfn.XLOOKUP(LEFT(GA$7,6),Inflation_Year,Inflation_NominaltoReal),TRUE,_xlfn.XLOOKUP($FY57,Inflation_Year,NominaltoReal)))</f>
        <v>0</v>
      </c>
      <c r="GB57" s="146" cm="1">
        <f t="array" ref="GB57">IF($FY57=0,0,_xlfn.IFS($FY57='Key assumptions'!$C$120,_xlfn.XLOOKUP(LEFT(GB$7,6),Inflation_Year,Inflation_NominaltoReal),TRUE,_xlfn.XLOOKUP($FY57,Inflation_Year,NominaltoReal)))</f>
        <v>0</v>
      </c>
      <c r="GC57" s="146" cm="1">
        <f t="array" ref="GC57">IF($FY57=0,0,_xlfn.IFS($FY57='Key assumptions'!$C$120,_xlfn.XLOOKUP(LEFT(GC$7,6),Inflation_Year,Inflation_NominaltoReal),TRUE,_xlfn.XLOOKUP($FY57,Inflation_Year,NominaltoReal)))</f>
        <v>0</v>
      </c>
      <c r="GD57" s="146" cm="1">
        <f t="array" ref="GD57">IF($FY57=0,0,_xlfn.IFS($FY57='Key assumptions'!$C$120,_xlfn.XLOOKUP(LEFT(GD$7,6),Inflation_Year,Inflation_NominaltoReal),TRUE,_xlfn.XLOOKUP($FY57,Inflation_Year,NominaltoReal)))</f>
        <v>0</v>
      </c>
      <c r="GE57" s="146" cm="1">
        <f t="array" ref="GE57">IF($FY57=0,0,_xlfn.IFS($FY57='Key assumptions'!$C$120,_xlfn.XLOOKUP(LEFT(GE$7,6),Inflation_Year,Inflation_NominaltoReal),TRUE,_xlfn.XLOOKUP($FY57,Inflation_Year,NominaltoReal)))</f>
        <v>0</v>
      </c>
      <c r="GF57" s="146" cm="1">
        <f t="array" ref="GF57">IF($FY57=0,0,_xlfn.IFS($FY57='Key assumptions'!$C$120,_xlfn.XLOOKUP(LEFT(GF$7,6),Inflation_Year,Inflation_NominaltoReal),TRUE,_xlfn.XLOOKUP($FY57,Inflation_Year,NominaltoReal)))</f>
        <v>0</v>
      </c>
      <c r="GG57" s="143"/>
      <c r="GH57" s="145" cm="1">
        <f t="array" ref="GH57">SUMPRODUCT(--($CR$7:$FW$7&gt;=GH$5),--($CR$7:$FW$7&lt;=GH$6),$CR57:$FW57)*FZ57</f>
        <v>0</v>
      </c>
      <c r="GI57" s="145" cm="1">
        <f t="array" ref="GI57">SUMPRODUCT(--($CR$7:$FW$7&gt;=GI$5),--($CR$7:$FW$7&lt;=GI$6),$CR57:$FW57)*GA57</f>
        <v>0</v>
      </c>
      <c r="GJ57" s="145" cm="1">
        <f t="array" ref="GJ57">SUMPRODUCT(--($CR$7:$FW$7&gt;=GJ$5),--($CR$7:$FW$7&lt;=GJ$6),$CR57:$FW57)*GB57</f>
        <v>0</v>
      </c>
      <c r="GK57" s="145" cm="1">
        <f t="array" ref="GK57">SUMPRODUCT(--($CR$7:$FW$7&gt;=GK$5),--($CR$7:$FW$7&lt;=GK$6),$CR57:$FW57)*GC57</f>
        <v>0</v>
      </c>
      <c r="GL57" s="145" cm="1">
        <f t="array" ref="GL57">SUMPRODUCT(--($CR$7:$FW$7&gt;=GL$5),--($CR$7:$FW$7&lt;=GL$6),$CR57:$FW57)*GD57</f>
        <v>0</v>
      </c>
      <c r="GM57" s="145" cm="1">
        <f t="array" ref="GM57">SUMPRODUCT(--($CR$7:$FW$7&gt;=GM$5),--($CR$7:$FW$7&lt;=GM$6),$CR57:$FW57)*GE57</f>
        <v>0</v>
      </c>
      <c r="GN57" s="145" cm="1">
        <f t="array" ref="GN57">SUMPRODUCT(--($CR$7:$FW$7&gt;=GN$5),--($CR$7:$FW$7&lt;=GN$6),$CR57:$FW57)*GF57</f>
        <v>0</v>
      </c>
      <c r="GO57" s="145">
        <f t="shared" si="0"/>
        <v>0</v>
      </c>
      <c r="GP57" s="87"/>
      <c r="GR57" s="145" cm="1">
        <f t="array" ref="GR57">SUMPRODUCT(--($CR$7:$FW$7&gt;=GR$5),--($CR$7:$FW$7&lt;=GR$6),$CR57:$FW57)</f>
        <v>0</v>
      </c>
    </row>
    <row r="58" spans="2:200" x14ac:dyDescent="0.2">
      <c r="B58" s="141"/>
      <c r="C58" s="141"/>
      <c r="D58" s="141"/>
      <c r="E58" s="141"/>
      <c r="F58" s="141"/>
      <c r="G58" s="141"/>
      <c r="H58" s="142"/>
      <c r="I58" s="126"/>
      <c r="J58" s="143"/>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3"/>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c r="EE58" s="145"/>
      <c r="EF58" s="145"/>
      <c r="EG58" s="145"/>
      <c r="EH58" s="145"/>
      <c r="EI58" s="145"/>
      <c r="EJ58" s="145"/>
      <c r="EK58" s="145"/>
      <c r="EL58" s="145"/>
      <c r="EM58" s="145"/>
      <c r="EN58" s="145"/>
      <c r="EO58" s="145"/>
      <c r="EP58" s="145"/>
      <c r="EQ58" s="145"/>
      <c r="ER58" s="145"/>
      <c r="ES58" s="145"/>
      <c r="ET58" s="145"/>
      <c r="EU58" s="145"/>
      <c r="EV58" s="145"/>
      <c r="EW58" s="145"/>
      <c r="EX58" s="145"/>
      <c r="EY58" s="145"/>
      <c r="EZ58" s="145"/>
      <c r="FA58" s="145"/>
      <c r="FB58" s="145"/>
      <c r="FC58" s="145"/>
      <c r="FD58" s="145"/>
      <c r="FE58" s="145"/>
      <c r="FF58" s="145"/>
      <c r="FG58" s="145"/>
      <c r="FH58" s="145"/>
      <c r="FI58" s="145"/>
      <c r="FJ58" s="145"/>
      <c r="FK58" s="145"/>
      <c r="FL58" s="145"/>
      <c r="FM58" s="145"/>
      <c r="FN58" s="145"/>
      <c r="FO58" s="145"/>
      <c r="FP58" s="145"/>
      <c r="FQ58" s="145"/>
      <c r="FR58" s="145"/>
      <c r="FS58" s="145"/>
      <c r="FT58" s="145"/>
      <c r="FU58" s="145"/>
      <c r="FV58" s="145"/>
      <c r="FW58" s="145"/>
      <c r="FX58" s="143"/>
      <c r="FY58" s="146">
        <f>_xlfn.XLOOKUP($E58,'Key assumptions'!$B$112:$B$120,'Key assumptions'!$C$112:$C$120,0)</f>
        <v>0</v>
      </c>
      <c r="FZ58" s="146" cm="1">
        <f t="array" ref="FZ58">IF($FY58=0,0,_xlfn.IFS($FY58='Key assumptions'!$C$120,_xlfn.XLOOKUP(LEFT(FZ$7,6),Inflation_Year,Inflation_NominaltoReal),TRUE,_xlfn.XLOOKUP($FY58,Inflation_Year,NominaltoReal)))</f>
        <v>0</v>
      </c>
      <c r="GA58" s="146" cm="1">
        <f t="array" ref="GA58">IF($FY58=0,0,_xlfn.IFS($FY58='Key assumptions'!$C$120,_xlfn.XLOOKUP(LEFT(GA$7,6),Inflation_Year,Inflation_NominaltoReal),TRUE,_xlfn.XLOOKUP($FY58,Inflation_Year,NominaltoReal)))</f>
        <v>0</v>
      </c>
      <c r="GB58" s="146" cm="1">
        <f t="array" ref="GB58">IF($FY58=0,0,_xlfn.IFS($FY58='Key assumptions'!$C$120,_xlfn.XLOOKUP(LEFT(GB$7,6),Inflation_Year,Inflation_NominaltoReal),TRUE,_xlfn.XLOOKUP($FY58,Inflation_Year,NominaltoReal)))</f>
        <v>0</v>
      </c>
      <c r="GC58" s="146" cm="1">
        <f t="array" ref="GC58">IF($FY58=0,0,_xlfn.IFS($FY58='Key assumptions'!$C$120,_xlfn.XLOOKUP(LEFT(GC$7,6),Inflation_Year,Inflation_NominaltoReal),TRUE,_xlfn.XLOOKUP($FY58,Inflation_Year,NominaltoReal)))</f>
        <v>0</v>
      </c>
      <c r="GD58" s="146" cm="1">
        <f t="array" ref="GD58">IF($FY58=0,0,_xlfn.IFS($FY58='Key assumptions'!$C$120,_xlfn.XLOOKUP(LEFT(GD$7,6),Inflation_Year,Inflation_NominaltoReal),TRUE,_xlfn.XLOOKUP($FY58,Inflation_Year,NominaltoReal)))</f>
        <v>0</v>
      </c>
      <c r="GE58" s="146" cm="1">
        <f t="array" ref="GE58">IF($FY58=0,0,_xlfn.IFS($FY58='Key assumptions'!$C$120,_xlfn.XLOOKUP(LEFT(GE$7,6),Inflation_Year,Inflation_NominaltoReal),TRUE,_xlfn.XLOOKUP($FY58,Inflation_Year,NominaltoReal)))</f>
        <v>0</v>
      </c>
      <c r="GF58" s="146" cm="1">
        <f t="array" ref="GF58">IF($FY58=0,0,_xlfn.IFS($FY58='Key assumptions'!$C$120,_xlfn.XLOOKUP(LEFT(GF$7,6),Inflation_Year,Inflation_NominaltoReal),TRUE,_xlfn.XLOOKUP($FY58,Inflation_Year,NominaltoReal)))</f>
        <v>0</v>
      </c>
      <c r="GG58" s="143"/>
      <c r="GH58" s="145" cm="1">
        <f t="array" ref="GH58">SUMPRODUCT(--($CR$7:$FW$7&gt;=GH$5),--($CR$7:$FW$7&lt;=GH$6),$CR58:$FW58)*FZ58</f>
        <v>0</v>
      </c>
      <c r="GI58" s="145" cm="1">
        <f t="array" ref="GI58">SUMPRODUCT(--($CR$7:$FW$7&gt;=GI$5),--($CR$7:$FW$7&lt;=GI$6),$CR58:$FW58)*GA58</f>
        <v>0</v>
      </c>
      <c r="GJ58" s="145" cm="1">
        <f t="array" ref="GJ58">SUMPRODUCT(--($CR$7:$FW$7&gt;=GJ$5),--($CR$7:$FW$7&lt;=GJ$6),$CR58:$FW58)*GB58</f>
        <v>0</v>
      </c>
      <c r="GK58" s="145" cm="1">
        <f t="array" ref="GK58">SUMPRODUCT(--($CR$7:$FW$7&gt;=GK$5),--($CR$7:$FW$7&lt;=GK$6),$CR58:$FW58)*GC58</f>
        <v>0</v>
      </c>
      <c r="GL58" s="145" cm="1">
        <f t="array" ref="GL58">SUMPRODUCT(--($CR$7:$FW$7&gt;=GL$5),--($CR$7:$FW$7&lt;=GL$6),$CR58:$FW58)*GD58</f>
        <v>0</v>
      </c>
      <c r="GM58" s="145" cm="1">
        <f t="array" ref="GM58">SUMPRODUCT(--($CR$7:$FW$7&gt;=GM$5),--($CR$7:$FW$7&lt;=GM$6),$CR58:$FW58)*GE58</f>
        <v>0</v>
      </c>
      <c r="GN58" s="145" cm="1">
        <f t="array" ref="GN58">SUMPRODUCT(--($CR$7:$FW$7&gt;=GN$5),--($CR$7:$FW$7&lt;=GN$6),$CR58:$FW58)*GF58</f>
        <v>0</v>
      </c>
      <c r="GO58" s="145">
        <f t="shared" si="0"/>
        <v>0</v>
      </c>
      <c r="GP58" s="87"/>
      <c r="GR58" s="145" cm="1">
        <f t="array" ref="GR58">SUMPRODUCT(--($CR$7:$FW$7&gt;=GR$5),--($CR$7:$FW$7&lt;=GR$6),$CR58:$FW58)</f>
        <v>0</v>
      </c>
    </row>
    <row r="59" spans="2:200" x14ac:dyDescent="0.2">
      <c r="B59" s="141"/>
      <c r="C59" s="141"/>
      <c r="D59" s="141"/>
      <c r="E59" s="141"/>
      <c r="F59" s="141"/>
      <c r="G59" s="141"/>
      <c r="H59" s="142"/>
      <c r="I59" s="126"/>
      <c r="J59" s="143"/>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3"/>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3"/>
      <c r="FY59" s="146">
        <f>_xlfn.XLOOKUP($E59,'Key assumptions'!$B$112:$B$120,'Key assumptions'!$C$112:$C$120,0)</f>
        <v>0</v>
      </c>
      <c r="FZ59" s="146" cm="1">
        <f t="array" ref="FZ59">IF($FY59=0,0,_xlfn.IFS($FY59='Key assumptions'!$C$120,_xlfn.XLOOKUP(LEFT(FZ$7,6),Inflation_Year,Inflation_NominaltoReal),TRUE,_xlfn.XLOOKUP($FY59,Inflation_Year,NominaltoReal)))</f>
        <v>0</v>
      </c>
      <c r="GA59" s="146" cm="1">
        <f t="array" ref="GA59">IF($FY59=0,0,_xlfn.IFS($FY59='Key assumptions'!$C$120,_xlfn.XLOOKUP(LEFT(GA$7,6),Inflation_Year,Inflation_NominaltoReal),TRUE,_xlfn.XLOOKUP($FY59,Inflation_Year,NominaltoReal)))</f>
        <v>0</v>
      </c>
      <c r="GB59" s="146" cm="1">
        <f t="array" ref="GB59">IF($FY59=0,0,_xlfn.IFS($FY59='Key assumptions'!$C$120,_xlfn.XLOOKUP(LEFT(GB$7,6),Inflation_Year,Inflation_NominaltoReal),TRUE,_xlfn.XLOOKUP($FY59,Inflation_Year,NominaltoReal)))</f>
        <v>0</v>
      </c>
      <c r="GC59" s="146" cm="1">
        <f t="array" ref="GC59">IF($FY59=0,0,_xlfn.IFS($FY59='Key assumptions'!$C$120,_xlfn.XLOOKUP(LEFT(GC$7,6),Inflation_Year,Inflation_NominaltoReal),TRUE,_xlfn.XLOOKUP($FY59,Inflation_Year,NominaltoReal)))</f>
        <v>0</v>
      </c>
      <c r="GD59" s="146" cm="1">
        <f t="array" ref="GD59">IF($FY59=0,0,_xlfn.IFS($FY59='Key assumptions'!$C$120,_xlfn.XLOOKUP(LEFT(GD$7,6),Inflation_Year,Inflation_NominaltoReal),TRUE,_xlfn.XLOOKUP($FY59,Inflation_Year,NominaltoReal)))</f>
        <v>0</v>
      </c>
      <c r="GE59" s="146" cm="1">
        <f t="array" ref="GE59">IF($FY59=0,0,_xlfn.IFS($FY59='Key assumptions'!$C$120,_xlfn.XLOOKUP(LEFT(GE$7,6),Inflation_Year,Inflation_NominaltoReal),TRUE,_xlfn.XLOOKUP($FY59,Inflation_Year,NominaltoReal)))</f>
        <v>0</v>
      </c>
      <c r="GF59" s="146" cm="1">
        <f t="array" ref="GF59">IF($FY59=0,0,_xlfn.IFS($FY59='Key assumptions'!$C$120,_xlfn.XLOOKUP(LEFT(GF$7,6),Inflation_Year,Inflation_NominaltoReal),TRUE,_xlfn.XLOOKUP($FY59,Inflation_Year,NominaltoReal)))</f>
        <v>0</v>
      </c>
      <c r="GG59" s="143"/>
      <c r="GH59" s="145" cm="1">
        <f t="array" ref="GH59">SUMPRODUCT(--($CR$7:$FW$7&gt;=GH$5),--($CR$7:$FW$7&lt;=GH$6),$CR59:$FW59)*FZ59</f>
        <v>0</v>
      </c>
      <c r="GI59" s="145" cm="1">
        <f t="array" ref="GI59">SUMPRODUCT(--($CR$7:$FW$7&gt;=GI$5),--($CR$7:$FW$7&lt;=GI$6),$CR59:$FW59)*GA59</f>
        <v>0</v>
      </c>
      <c r="GJ59" s="145" cm="1">
        <f t="array" ref="GJ59">SUMPRODUCT(--($CR$7:$FW$7&gt;=GJ$5),--($CR$7:$FW$7&lt;=GJ$6),$CR59:$FW59)*GB59</f>
        <v>0</v>
      </c>
      <c r="GK59" s="145" cm="1">
        <f t="array" ref="GK59">SUMPRODUCT(--($CR$7:$FW$7&gt;=GK$5),--($CR$7:$FW$7&lt;=GK$6),$CR59:$FW59)*GC59</f>
        <v>0</v>
      </c>
      <c r="GL59" s="145" cm="1">
        <f t="array" ref="GL59">SUMPRODUCT(--($CR$7:$FW$7&gt;=GL$5),--($CR$7:$FW$7&lt;=GL$6),$CR59:$FW59)*GD59</f>
        <v>0</v>
      </c>
      <c r="GM59" s="145" cm="1">
        <f t="array" ref="GM59">SUMPRODUCT(--($CR$7:$FW$7&gt;=GM$5),--($CR$7:$FW$7&lt;=GM$6),$CR59:$FW59)*GE59</f>
        <v>0</v>
      </c>
      <c r="GN59" s="145" cm="1">
        <f t="array" ref="GN59">SUMPRODUCT(--($CR$7:$FW$7&gt;=GN$5),--($CR$7:$FW$7&lt;=GN$6),$CR59:$FW59)*GF59</f>
        <v>0</v>
      </c>
      <c r="GO59" s="145">
        <f t="shared" si="0"/>
        <v>0</v>
      </c>
      <c r="GP59" s="87"/>
      <c r="GR59" s="145" cm="1">
        <f t="array" ref="GR59">SUMPRODUCT(--($CR$7:$FW$7&gt;=GR$5),--($CR$7:$FW$7&lt;=GR$6),$CR59:$FW59)</f>
        <v>0</v>
      </c>
    </row>
    <row r="60" spans="2:200" x14ac:dyDescent="0.2">
      <c r="B60" s="141"/>
      <c r="C60" s="141"/>
      <c r="D60" s="141"/>
      <c r="E60" s="141"/>
      <c r="F60" s="141"/>
      <c r="G60" s="141"/>
      <c r="H60" s="142"/>
      <c r="I60" s="126"/>
      <c r="J60" s="143"/>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3"/>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3"/>
      <c r="FY60" s="146">
        <f>_xlfn.XLOOKUP($E60,'Key assumptions'!$B$112:$B$120,'Key assumptions'!$C$112:$C$120,0)</f>
        <v>0</v>
      </c>
      <c r="FZ60" s="146" cm="1">
        <f t="array" ref="FZ60">IF($FY60=0,0,_xlfn.IFS($FY60='Key assumptions'!$C$120,_xlfn.XLOOKUP(LEFT(FZ$7,6),Inflation_Year,Inflation_NominaltoReal),TRUE,_xlfn.XLOOKUP($FY60,Inflation_Year,NominaltoReal)))</f>
        <v>0</v>
      </c>
      <c r="GA60" s="146" cm="1">
        <f t="array" ref="GA60">IF($FY60=0,0,_xlfn.IFS($FY60='Key assumptions'!$C$120,_xlfn.XLOOKUP(LEFT(GA$7,6),Inflation_Year,Inflation_NominaltoReal),TRUE,_xlfn.XLOOKUP($FY60,Inflation_Year,NominaltoReal)))</f>
        <v>0</v>
      </c>
      <c r="GB60" s="146" cm="1">
        <f t="array" ref="GB60">IF($FY60=0,0,_xlfn.IFS($FY60='Key assumptions'!$C$120,_xlfn.XLOOKUP(LEFT(GB$7,6),Inflation_Year,Inflation_NominaltoReal),TRUE,_xlfn.XLOOKUP($FY60,Inflation_Year,NominaltoReal)))</f>
        <v>0</v>
      </c>
      <c r="GC60" s="146" cm="1">
        <f t="array" ref="GC60">IF($FY60=0,0,_xlfn.IFS($FY60='Key assumptions'!$C$120,_xlfn.XLOOKUP(LEFT(GC$7,6),Inflation_Year,Inflation_NominaltoReal),TRUE,_xlfn.XLOOKUP($FY60,Inflation_Year,NominaltoReal)))</f>
        <v>0</v>
      </c>
      <c r="GD60" s="146" cm="1">
        <f t="array" ref="GD60">IF($FY60=0,0,_xlfn.IFS($FY60='Key assumptions'!$C$120,_xlfn.XLOOKUP(LEFT(GD$7,6),Inflation_Year,Inflation_NominaltoReal),TRUE,_xlfn.XLOOKUP($FY60,Inflation_Year,NominaltoReal)))</f>
        <v>0</v>
      </c>
      <c r="GE60" s="146" cm="1">
        <f t="array" ref="GE60">IF($FY60=0,0,_xlfn.IFS($FY60='Key assumptions'!$C$120,_xlfn.XLOOKUP(LEFT(GE$7,6),Inflation_Year,Inflation_NominaltoReal),TRUE,_xlfn.XLOOKUP($FY60,Inflation_Year,NominaltoReal)))</f>
        <v>0</v>
      </c>
      <c r="GF60" s="146" cm="1">
        <f t="array" ref="GF60">IF($FY60=0,0,_xlfn.IFS($FY60='Key assumptions'!$C$120,_xlfn.XLOOKUP(LEFT(GF$7,6),Inflation_Year,Inflation_NominaltoReal),TRUE,_xlfn.XLOOKUP($FY60,Inflation_Year,NominaltoReal)))</f>
        <v>0</v>
      </c>
      <c r="GG60" s="143"/>
      <c r="GH60" s="145" cm="1">
        <f t="array" ref="GH60">SUMPRODUCT(--($CR$7:$FW$7&gt;=GH$5),--($CR$7:$FW$7&lt;=GH$6),$CR60:$FW60)*FZ60</f>
        <v>0</v>
      </c>
      <c r="GI60" s="145" cm="1">
        <f t="array" ref="GI60">SUMPRODUCT(--($CR$7:$FW$7&gt;=GI$5),--($CR$7:$FW$7&lt;=GI$6),$CR60:$FW60)*GA60</f>
        <v>0</v>
      </c>
      <c r="GJ60" s="145" cm="1">
        <f t="array" ref="GJ60">SUMPRODUCT(--($CR$7:$FW$7&gt;=GJ$5),--($CR$7:$FW$7&lt;=GJ$6),$CR60:$FW60)*GB60</f>
        <v>0</v>
      </c>
      <c r="GK60" s="145" cm="1">
        <f t="array" ref="GK60">SUMPRODUCT(--($CR$7:$FW$7&gt;=GK$5),--($CR$7:$FW$7&lt;=GK$6),$CR60:$FW60)*GC60</f>
        <v>0</v>
      </c>
      <c r="GL60" s="145" cm="1">
        <f t="array" ref="GL60">SUMPRODUCT(--($CR$7:$FW$7&gt;=GL$5),--($CR$7:$FW$7&lt;=GL$6),$CR60:$FW60)*GD60</f>
        <v>0</v>
      </c>
      <c r="GM60" s="145" cm="1">
        <f t="array" ref="GM60">SUMPRODUCT(--($CR$7:$FW$7&gt;=GM$5),--($CR$7:$FW$7&lt;=GM$6),$CR60:$FW60)*GE60</f>
        <v>0</v>
      </c>
      <c r="GN60" s="145" cm="1">
        <f t="array" ref="GN60">SUMPRODUCT(--($CR$7:$FW$7&gt;=GN$5),--($CR$7:$FW$7&lt;=GN$6),$CR60:$FW60)*GF60</f>
        <v>0</v>
      </c>
      <c r="GO60" s="145">
        <f t="shared" si="0"/>
        <v>0</v>
      </c>
      <c r="GP60" s="87"/>
      <c r="GR60" s="145" cm="1">
        <f t="array" ref="GR60">SUMPRODUCT(--($CR$7:$FW$7&gt;=GR$5),--($CR$7:$FW$7&lt;=GR$6),$CR60:$FW60)</f>
        <v>0</v>
      </c>
    </row>
    <row r="61" spans="2:200" x14ac:dyDescent="0.2">
      <c r="B61" s="141"/>
      <c r="C61" s="141"/>
      <c r="D61" s="141"/>
      <c r="E61" s="141"/>
      <c r="F61" s="141"/>
      <c r="G61" s="141"/>
      <c r="H61" s="142"/>
      <c r="I61" s="126"/>
      <c r="J61" s="143"/>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3"/>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3"/>
      <c r="FY61" s="146">
        <f>_xlfn.XLOOKUP($E61,'Key assumptions'!$B$112:$B$120,'Key assumptions'!$C$112:$C$120,0)</f>
        <v>0</v>
      </c>
      <c r="FZ61" s="146" cm="1">
        <f t="array" ref="FZ61">IF($FY61=0,0,_xlfn.IFS($FY61='Key assumptions'!$C$120,_xlfn.XLOOKUP(LEFT(FZ$7,6),Inflation_Year,Inflation_NominaltoReal),TRUE,_xlfn.XLOOKUP($FY61,Inflation_Year,NominaltoReal)))</f>
        <v>0</v>
      </c>
      <c r="GA61" s="146" cm="1">
        <f t="array" ref="GA61">IF($FY61=0,0,_xlfn.IFS($FY61='Key assumptions'!$C$120,_xlfn.XLOOKUP(LEFT(GA$7,6),Inflation_Year,Inflation_NominaltoReal),TRUE,_xlfn.XLOOKUP($FY61,Inflation_Year,NominaltoReal)))</f>
        <v>0</v>
      </c>
      <c r="GB61" s="146" cm="1">
        <f t="array" ref="GB61">IF($FY61=0,0,_xlfn.IFS($FY61='Key assumptions'!$C$120,_xlfn.XLOOKUP(LEFT(GB$7,6),Inflation_Year,Inflation_NominaltoReal),TRUE,_xlfn.XLOOKUP($FY61,Inflation_Year,NominaltoReal)))</f>
        <v>0</v>
      </c>
      <c r="GC61" s="146" cm="1">
        <f t="array" ref="GC61">IF($FY61=0,0,_xlfn.IFS($FY61='Key assumptions'!$C$120,_xlfn.XLOOKUP(LEFT(GC$7,6),Inflation_Year,Inflation_NominaltoReal),TRUE,_xlfn.XLOOKUP($FY61,Inflation_Year,NominaltoReal)))</f>
        <v>0</v>
      </c>
      <c r="GD61" s="146" cm="1">
        <f t="array" ref="GD61">IF($FY61=0,0,_xlfn.IFS($FY61='Key assumptions'!$C$120,_xlfn.XLOOKUP(LEFT(GD$7,6),Inflation_Year,Inflation_NominaltoReal),TRUE,_xlfn.XLOOKUP($FY61,Inflation_Year,NominaltoReal)))</f>
        <v>0</v>
      </c>
      <c r="GE61" s="146" cm="1">
        <f t="array" ref="GE61">IF($FY61=0,0,_xlfn.IFS($FY61='Key assumptions'!$C$120,_xlfn.XLOOKUP(LEFT(GE$7,6),Inflation_Year,Inflation_NominaltoReal),TRUE,_xlfn.XLOOKUP($FY61,Inflation_Year,NominaltoReal)))</f>
        <v>0</v>
      </c>
      <c r="GF61" s="146" cm="1">
        <f t="array" ref="GF61">IF($FY61=0,0,_xlfn.IFS($FY61='Key assumptions'!$C$120,_xlfn.XLOOKUP(LEFT(GF$7,6),Inflation_Year,Inflation_NominaltoReal),TRUE,_xlfn.XLOOKUP($FY61,Inflation_Year,NominaltoReal)))</f>
        <v>0</v>
      </c>
      <c r="GG61" s="143"/>
      <c r="GH61" s="145" cm="1">
        <f t="array" ref="GH61">SUMPRODUCT(--($CR$7:$FW$7&gt;=GH$5),--($CR$7:$FW$7&lt;=GH$6),$CR61:$FW61)*FZ61</f>
        <v>0</v>
      </c>
      <c r="GI61" s="145" cm="1">
        <f t="array" ref="GI61">SUMPRODUCT(--($CR$7:$FW$7&gt;=GI$5),--($CR$7:$FW$7&lt;=GI$6),$CR61:$FW61)*GA61</f>
        <v>0</v>
      </c>
      <c r="GJ61" s="145" cm="1">
        <f t="array" ref="GJ61">SUMPRODUCT(--($CR$7:$FW$7&gt;=GJ$5),--($CR$7:$FW$7&lt;=GJ$6),$CR61:$FW61)*GB61</f>
        <v>0</v>
      </c>
      <c r="GK61" s="145" cm="1">
        <f t="array" ref="GK61">SUMPRODUCT(--($CR$7:$FW$7&gt;=GK$5),--($CR$7:$FW$7&lt;=GK$6),$CR61:$FW61)*GC61</f>
        <v>0</v>
      </c>
      <c r="GL61" s="145" cm="1">
        <f t="array" ref="GL61">SUMPRODUCT(--($CR$7:$FW$7&gt;=GL$5),--($CR$7:$FW$7&lt;=GL$6),$CR61:$FW61)*GD61</f>
        <v>0</v>
      </c>
      <c r="GM61" s="145" cm="1">
        <f t="array" ref="GM61">SUMPRODUCT(--($CR$7:$FW$7&gt;=GM$5),--($CR$7:$FW$7&lt;=GM$6),$CR61:$FW61)*GE61</f>
        <v>0</v>
      </c>
      <c r="GN61" s="145" cm="1">
        <f t="array" ref="GN61">SUMPRODUCT(--($CR$7:$FW$7&gt;=GN$5),--($CR$7:$FW$7&lt;=GN$6),$CR61:$FW61)*GF61</f>
        <v>0</v>
      </c>
      <c r="GO61" s="145">
        <f t="shared" si="0"/>
        <v>0</v>
      </c>
      <c r="GP61" s="87"/>
      <c r="GR61" s="145" cm="1">
        <f t="array" ref="GR61">SUMPRODUCT(--($CR$7:$FW$7&gt;=GR$5),--($CR$7:$FW$7&lt;=GR$6),$CR61:$FW61)</f>
        <v>0</v>
      </c>
    </row>
    <row r="62" spans="2:200" x14ac:dyDescent="0.2">
      <c r="B62" s="141"/>
      <c r="C62" s="141"/>
      <c r="D62" s="141"/>
      <c r="E62" s="141"/>
      <c r="F62" s="141"/>
      <c r="G62" s="141"/>
      <c r="H62" s="142"/>
      <c r="I62" s="126"/>
      <c r="J62" s="143"/>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3"/>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3"/>
      <c r="FY62" s="146">
        <f>_xlfn.XLOOKUP($E62,'Key assumptions'!$B$112:$B$120,'Key assumptions'!$C$112:$C$120,0)</f>
        <v>0</v>
      </c>
      <c r="FZ62" s="146" cm="1">
        <f t="array" ref="FZ62">IF($FY62=0,0,_xlfn.IFS($FY62='Key assumptions'!$C$120,_xlfn.XLOOKUP(LEFT(FZ$7,6),Inflation_Year,Inflation_NominaltoReal),TRUE,_xlfn.XLOOKUP($FY62,Inflation_Year,NominaltoReal)))</f>
        <v>0</v>
      </c>
      <c r="GA62" s="146" cm="1">
        <f t="array" ref="GA62">IF($FY62=0,0,_xlfn.IFS($FY62='Key assumptions'!$C$120,_xlfn.XLOOKUP(LEFT(GA$7,6),Inflation_Year,Inflation_NominaltoReal),TRUE,_xlfn.XLOOKUP($FY62,Inflation_Year,NominaltoReal)))</f>
        <v>0</v>
      </c>
      <c r="GB62" s="146" cm="1">
        <f t="array" ref="GB62">IF($FY62=0,0,_xlfn.IFS($FY62='Key assumptions'!$C$120,_xlfn.XLOOKUP(LEFT(GB$7,6),Inflation_Year,Inflation_NominaltoReal),TRUE,_xlfn.XLOOKUP($FY62,Inflation_Year,NominaltoReal)))</f>
        <v>0</v>
      </c>
      <c r="GC62" s="146" cm="1">
        <f t="array" ref="GC62">IF($FY62=0,0,_xlfn.IFS($FY62='Key assumptions'!$C$120,_xlfn.XLOOKUP(LEFT(GC$7,6),Inflation_Year,Inflation_NominaltoReal),TRUE,_xlfn.XLOOKUP($FY62,Inflation_Year,NominaltoReal)))</f>
        <v>0</v>
      </c>
      <c r="GD62" s="146" cm="1">
        <f t="array" ref="GD62">IF($FY62=0,0,_xlfn.IFS($FY62='Key assumptions'!$C$120,_xlfn.XLOOKUP(LEFT(GD$7,6),Inflation_Year,Inflation_NominaltoReal),TRUE,_xlfn.XLOOKUP($FY62,Inflation_Year,NominaltoReal)))</f>
        <v>0</v>
      </c>
      <c r="GE62" s="146" cm="1">
        <f t="array" ref="GE62">IF($FY62=0,0,_xlfn.IFS($FY62='Key assumptions'!$C$120,_xlfn.XLOOKUP(LEFT(GE$7,6),Inflation_Year,Inflation_NominaltoReal),TRUE,_xlfn.XLOOKUP($FY62,Inflation_Year,NominaltoReal)))</f>
        <v>0</v>
      </c>
      <c r="GF62" s="146" cm="1">
        <f t="array" ref="GF62">IF($FY62=0,0,_xlfn.IFS($FY62='Key assumptions'!$C$120,_xlfn.XLOOKUP(LEFT(GF$7,6),Inflation_Year,Inflation_NominaltoReal),TRUE,_xlfn.XLOOKUP($FY62,Inflation_Year,NominaltoReal)))</f>
        <v>0</v>
      </c>
      <c r="GG62" s="143"/>
      <c r="GH62" s="145" cm="1">
        <f t="array" ref="GH62">SUMPRODUCT(--($CR$7:$FW$7&gt;=GH$5),--($CR$7:$FW$7&lt;=GH$6),$CR62:$FW62)*FZ62</f>
        <v>0</v>
      </c>
      <c r="GI62" s="145" cm="1">
        <f t="array" ref="GI62">SUMPRODUCT(--($CR$7:$FW$7&gt;=GI$5),--($CR$7:$FW$7&lt;=GI$6),$CR62:$FW62)*GA62</f>
        <v>0</v>
      </c>
      <c r="GJ62" s="145" cm="1">
        <f t="array" ref="GJ62">SUMPRODUCT(--($CR$7:$FW$7&gt;=GJ$5),--($CR$7:$FW$7&lt;=GJ$6),$CR62:$FW62)*GB62</f>
        <v>0</v>
      </c>
      <c r="GK62" s="145" cm="1">
        <f t="array" ref="GK62">SUMPRODUCT(--($CR$7:$FW$7&gt;=GK$5),--($CR$7:$FW$7&lt;=GK$6),$CR62:$FW62)*GC62</f>
        <v>0</v>
      </c>
      <c r="GL62" s="145" cm="1">
        <f t="array" ref="GL62">SUMPRODUCT(--($CR$7:$FW$7&gt;=GL$5),--($CR$7:$FW$7&lt;=GL$6),$CR62:$FW62)*GD62</f>
        <v>0</v>
      </c>
      <c r="GM62" s="145" cm="1">
        <f t="array" ref="GM62">SUMPRODUCT(--($CR$7:$FW$7&gt;=GM$5),--($CR$7:$FW$7&lt;=GM$6),$CR62:$FW62)*GE62</f>
        <v>0</v>
      </c>
      <c r="GN62" s="145" cm="1">
        <f t="array" ref="GN62">SUMPRODUCT(--($CR$7:$FW$7&gt;=GN$5),--($CR$7:$FW$7&lt;=GN$6),$CR62:$FW62)*GF62</f>
        <v>0</v>
      </c>
      <c r="GO62" s="145">
        <f t="shared" si="0"/>
        <v>0</v>
      </c>
      <c r="GP62" s="87"/>
      <c r="GR62" s="145" cm="1">
        <f t="array" ref="GR62">SUMPRODUCT(--($CR$7:$FW$7&gt;=GR$5),--($CR$7:$FW$7&lt;=GR$6),$CR62:$FW62)</f>
        <v>0</v>
      </c>
    </row>
    <row r="63" spans="2:200" x14ac:dyDescent="0.2">
      <c r="B63" s="141"/>
      <c r="C63" s="141"/>
      <c r="D63" s="141"/>
      <c r="E63" s="141"/>
      <c r="F63" s="141"/>
      <c r="G63" s="141"/>
      <c r="H63" s="142"/>
      <c r="I63" s="126"/>
      <c r="J63" s="143"/>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3"/>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3"/>
      <c r="FY63" s="146">
        <f>_xlfn.XLOOKUP($E63,'Key assumptions'!$B$112:$B$120,'Key assumptions'!$C$112:$C$120,0)</f>
        <v>0</v>
      </c>
      <c r="FZ63" s="146" cm="1">
        <f t="array" ref="FZ63">IF($FY63=0,0,_xlfn.IFS($FY63='Key assumptions'!$C$120,_xlfn.XLOOKUP(LEFT(FZ$7,6),Inflation_Year,Inflation_NominaltoReal),TRUE,_xlfn.XLOOKUP($FY63,Inflation_Year,NominaltoReal)))</f>
        <v>0</v>
      </c>
      <c r="GA63" s="146" cm="1">
        <f t="array" ref="GA63">IF($FY63=0,0,_xlfn.IFS($FY63='Key assumptions'!$C$120,_xlfn.XLOOKUP(LEFT(GA$7,6),Inflation_Year,Inflation_NominaltoReal),TRUE,_xlfn.XLOOKUP($FY63,Inflation_Year,NominaltoReal)))</f>
        <v>0</v>
      </c>
      <c r="GB63" s="146" cm="1">
        <f t="array" ref="GB63">IF($FY63=0,0,_xlfn.IFS($FY63='Key assumptions'!$C$120,_xlfn.XLOOKUP(LEFT(GB$7,6),Inflation_Year,Inflation_NominaltoReal),TRUE,_xlfn.XLOOKUP($FY63,Inflation_Year,NominaltoReal)))</f>
        <v>0</v>
      </c>
      <c r="GC63" s="146" cm="1">
        <f t="array" ref="GC63">IF($FY63=0,0,_xlfn.IFS($FY63='Key assumptions'!$C$120,_xlfn.XLOOKUP(LEFT(GC$7,6),Inflation_Year,Inflation_NominaltoReal),TRUE,_xlfn.XLOOKUP($FY63,Inflation_Year,NominaltoReal)))</f>
        <v>0</v>
      </c>
      <c r="GD63" s="146" cm="1">
        <f t="array" ref="GD63">IF($FY63=0,0,_xlfn.IFS($FY63='Key assumptions'!$C$120,_xlfn.XLOOKUP(LEFT(GD$7,6),Inflation_Year,Inflation_NominaltoReal),TRUE,_xlfn.XLOOKUP($FY63,Inflation_Year,NominaltoReal)))</f>
        <v>0</v>
      </c>
      <c r="GE63" s="146" cm="1">
        <f t="array" ref="GE63">IF($FY63=0,0,_xlfn.IFS($FY63='Key assumptions'!$C$120,_xlfn.XLOOKUP(LEFT(GE$7,6),Inflation_Year,Inflation_NominaltoReal),TRUE,_xlfn.XLOOKUP($FY63,Inflation_Year,NominaltoReal)))</f>
        <v>0</v>
      </c>
      <c r="GF63" s="146" cm="1">
        <f t="array" ref="GF63">IF($FY63=0,0,_xlfn.IFS($FY63='Key assumptions'!$C$120,_xlfn.XLOOKUP(LEFT(GF$7,6),Inflation_Year,Inflation_NominaltoReal),TRUE,_xlfn.XLOOKUP($FY63,Inflation_Year,NominaltoReal)))</f>
        <v>0</v>
      </c>
      <c r="GG63" s="143"/>
      <c r="GH63" s="145" cm="1">
        <f t="array" ref="GH63">SUMPRODUCT(--($CR$7:$FW$7&gt;=GH$5),--($CR$7:$FW$7&lt;=GH$6),$CR63:$FW63)*FZ63</f>
        <v>0</v>
      </c>
      <c r="GI63" s="145" cm="1">
        <f t="array" ref="GI63">SUMPRODUCT(--($CR$7:$FW$7&gt;=GI$5),--($CR$7:$FW$7&lt;=GI$6),$CR63:$FW63)*GA63</f>
        <v>0</v>
      </c>
      <c r="GJ63" s="145" cm="1">
        <f t="array" ref="GJ63">SUMPRODUCT(--($CR$7:$FW$7&gt;=GJ$5),--($CR$7:$FW$7&lt;=GJ$6),$CR63:$FW63)*GB63</f>
        <v>0</v>
      </c>
      <c r="GK63" s="145" cm="1">
        <f t="array" ref="GK63">SUMPRODUCT(--($CR$7:$FW$7&gt;=GK$5),--($CR$7:$FW$7&lt;=GK$6),$CR63:$FW63)*GC63</f>
        <v>0</v>
      </c>
      <c r="GL63" s="145" cm="1">
        <f t="array" ref="GL63">SUMPRODUCT(--($CR$7:$FW$7&gt;=GL$5),--($CR$7:$FW$7&lt;=GL$6),$CR63:$FW63)*GD63</f>
        <v>0</v>
      </c>
      <c r="GM63" s="145" cm="1">
        <f t="array" ref="GM63">SUMPRODUCT(--($CR$7:$FW$7&gt;=GM$5),--($CR$7:$FW$7&lt;=GM$6),$CR63:$FW63)*GE63</f>
        <v>0</v>
      </c>
      <c r="GN63" s="145" cm="1">
        <f t="array" ref="GN63">SUMPRODUCT(--($CR$7:$FW$7&gt;=GN$5),--($CR$7:$FW$7&lt;=GN$6),$CR63:$FW63)*GF63</f>
        <v>0</v>
      </c>
      <c r="GO63" s="145">
        <f t="shared" si="0"/>
        <v>0</v>
      </c>
      <c r="GP63" s="87"/>
      <c r="GR63" s="145" cm="1">
        <f t="array" ref="GR63">SUMPRODUCT(--($CR$7:$FW$7&gt;=GR$5),--($CR$7:$FW$7&lt;=GR$6),$CR63:$FW63)</f>
        <v>0</v>
      </c>
    </row>
    <row r="64" spans="2:200" x14ac:dyDescent="0.2">
      <c r="B64" s="141"/>
      <c r="C64" s="141"/>
      <c r="D64" s="141"/>
      <c r="E64" s="141"/>
      <c r="F64" s="141"/>
      <c r="G64" s="141"/>
      <c r="H64" s="142"/>
      <c r="I64" s="126"/>
      <c r="J64" s="143"/>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3"/>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3"/>
      <c r="FY64" s="146">
        <f>_xlfn.XLOOKUP($E64,'Key assumptions'!$B$112:$B$120,'Key assumptions'!$C$112:$C$120,0)</f>
        <v>0</v>
      </c>
      <c r="FZ64" s="146" cm="1">
        <f t="array" ref="FZ64">IF($FY64=0,0,_xlfn.IFS($FY64='Key assumptions'!$C$120,_xlfn.XLOOKUP(LEFT(FZ$7,6),Inflation_Year,Inflation_NominaltoReal),TRUE,_xlfn.XLOOKUP($FY64,Inflation_Year,NominaltoReal)))</f>
        <v>0</v>
      </c>
      <c r="GA64" s="146" cm="1">
        <f t="array" ref="GA64">IF($FY64=0,0,_xlfn.IFS($FY64='Key assumptions'!$C$120,_xlfn.XLOOKUP(LEFT(GA$7,6),Inflation_Year,Inflation_NominaltoReal),TRUE,_xlfn.XLOOKUP($FY64,Inflation_Year,NominaltoReal)))</f>
        <v>0</v>
      </c>
      <c r="GB64" s="146" cm="1">
        <f t="array" ref="GB64">IF($FY64=0,0,_xlfn.IFS($FY64='Key assumptions'!$C$120,_xlfn.XLOOKUP(LEFT(GB$7,6),Inflation_Year,Inflation_NominaltoReal),TRUE,_xlfn.XLOOKUP($FY64,Inflation_Year,NominaltoReal)))</f>
        <v>0</v>
      </c>
      <c r="GC64" s="146" cm="1">
        <f t="array" ref="GC64">IF($FY64=0,0,_xlfn.IFS($FY64='Key assumptions'!$C$120,_xlfn.XLOOKUP(LEFT(GC$7,6),Inflation_Year,Inflation_NominaltoReal),TRUE,_xlfn.XLOOKUP($FY64,Inflation_Year,NominaltoReal)))</f>
        <v>0</v>
      </c>
      <c r="GD64" s="146" cm="1">
        <f t="array" ref="GD64">IF($FY64=0,0,_xlfn.IFS($FY64='Key assumptions'!$C$120,_xlfn.XLOOKUP(LEFT(GD$7,6),Inflation_Year,Inflation_NominaltoReal),TRUE,_xlfn.XLOOKUP($FY64,Inflation_Year,NominaltoReal)))</f>
        <v>0</v>
      </c>
      <c r="GE64" s="146" cm="1">
        <f t="array" ref="GE64">IF($FY64=0,0,_xlfn.IFS($FY64='Key assumptions'!$C$120,_xlfn.XLOOKUP(LEFT(GE$7,6),Inflation_Year,Inflation_NominaltoReal),TRUE,_xlfn.XLOOKUP($FY64,Inflation_Year,NominaltoReal)))</f>
        <v>0</v>
      </c>
      <c r="GF64" s="146" cm="1">
        <f t="array" ref="GF64">IF($FY64=0,0,_xlfn.IFS($FY64='Key assumptions'!$C$120,_xlfn.XLOOKUP(LEFT(GF$7,6),Inflation_Year,Inflation_NominaltoReal),TRUE,_xlfn.XLOOKUP($FY64,Inflation_Year,NominaltoReal)))</f>
        <v>0</v>
      </c>
      <c r="GG64" s="143"/>
      <c r="GH64" s="145" cm="1">
        <f t="array" ref="GH64">SUMPRODUCT(--($CR$7:$FW$7&gt;=GH$5),--($CR$7:$FW$7&lt;=GH$6),$CR64:$FW64)*FZ64</f>
        <v>0</v>
      </c>
      <c r="GI64" s="145" cm="1">
        <f t="array" ref="GI64">SUMPRODUCT(--($CR$7:$FW$7&gt;=GI$5),--($CR$7:$FW$7&lt;=GI$6),$CR64:$FW64)*GA64</f>
        <v>0</v>
      </c>
      <c r="GJ64" s="145" cm="1">
        <f t="array" ref="GJ64">SUMPRODUCT(--($CR$7:$FW$7&gt;=GJ$5),--($CR$7:$FW$7&lt;=GJ$6),$CR64:$FW64)*GB64</f>
        <v>0</v>
      </c>
      <c r="GK64" s="145" cm="1">
        <f t="array" ref="GK64">SUMPRODUCT(--($CR$7:$FW$7&gt;=GK$5),--($CR$7:$FW$7&lt;=GK$6),$CR64:$FW64)*GC64</f>
        <v>0</v>
      </c>
      <c r="GL64" s="145" cm="1">
        <f t="array" ref="GL64">SUMPRODUCT(--($CR$7:$FW$7&gt;=GL$5),--($CR$7:$FW$7&lt;=GL$6),$CR64:$FW64)*GD64</f>
        <v>0</v>
      </c>
      <c r="GM64" s="145" cm="1">
        <f t="array" ref="GM64">SUMPRODUCT(--($CR$7:$FW$7&gt;=GM$5),--($CR$7:$FW$7&lt;=GM$6),$CR64:$FW64)*GE64</f>
        <v>0</v>
      </c>
      <c r="GN64" s="145" cm="1">
        <f t="array" ref="GN64">SUMPRODUCT(--($CR$7:$FW$7&gt;=GN$5),--($CR$7:$FW$7&lt;=GN$6),$CR64:$FW64)*GF64</f>
        <v>0</v>
      </c>
      <c r="GO64" s="145">
        <f t="shared" si="0"/>
        <v>0</v>
      </c>
      <c r="GP64" s="87"/>
      <c r="GR64" s="145" cm="1">
        <f t="array" ref="GR64">SUMPRODUCT(--($CR$7:$FW$7&gt;=GR$5),--($CR$7:$FW$7&lt;=GR$6),$CR64:$FW64)</f>
        <v>0</v>
      </c>
    </row>
    <row r="65" spans="2:200" x14ac:dyDescent="0.2">
      <c r="B65" s="141"/>
      <c r="C65" s="141"/>
      <c r="D65" s="141"/>
      <c r="E65" s="141"/>
      <c r="F65" s="141"/>
      <c r="G65" s="141"/>
      <c r="H65" s="142"/>
      <c r="I65" s="126"/>
      <c r="J65" s="143"/>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3"/>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3"/>
      <c r="FY65" s="146">
        <f>_xlfn.XLOOKUP($E65,'Key assumptions'!$B$112:$B$120,'Key assumptions'!$C$112:$C$120,0)</f>
        <v>0</v>
      </c>
      <c r="FZ65" s="146" cm="1">
        <f t="array" ref="FZ65">IF($FY65=0,0,_xlfn.IFS($FY65='Key assumptions'!$C$120,_xlfn.XLOOKUP(LEFT(FZ$7,6),Inflation_Year,Inflation_NominaltoReal),TRUE,_xlfn.XLOOKUP($FY65,Inflation_Year,NominaltoReal)))</f>
        <v>0</v>
      </c>
      <c r="GA65" s="146" cm="1">
        <f t="array" ref="GA65">IF($FY65=0,0,_xlfn.IFS($FY65='Key assumptions'!$C$120,_xlfn.XLOOKUP(LEFT(GA$7,6),Inflation_Year,Inflation_NominaltoReal),TRUE,_xlfn.XLOOKUP($FY65,Inflation_Year,NominaltoReal)))</f>
        <v>0</v>
      </c>
      <c r="GB65" s="146" cm="1">
        <f t="array" ref="GB65">IF($FY65=0,0,_xlfn.IFS($FY65='Key assumptions'!$C$120,_xlfn.XLOOKUP(LEFT(GB$7,6),Inflation_Year,Inflation_NominaltoReal),TRUE,_xlfn.XLOOKUP($FY65,Inflation_Year,NominaltoReal)))</f>
        <v>0</v>
      </c>
      <c r="GC65" s="146" cm="1">
        <f t="array" ref="GC65">IF($FY65=0,0,_xlfn.IFS($FY65='Key assumptions'!$C$120,_xlfn.XLOOKUP(LEFT(GC$7,6),Inflation_Year,Inflation_NominaltoReal),TRUE,_xlfn.XLOOKUP($FY65,Inflation_Year,NominaltoReal)))</f>
        <v>0</v>
      </c>
      <c r="GD65" s="146" cm="1">
        <f t="array" ref="GD65">IF($FY65=0,0,_xlfn.IFS($FY65='Key assumptions'!$C$120,_xlfn.XLOOKUP(LEFT(GD$7,6),Inflation_Year,Inflation_NominaltoReal),TRUE,_xlfn.XLOOKUP($FY65,Inflation_Year,NominaltoReal)))</f>
        <v>0</v>
      </c>
      <c r="GE65" s="146" cm="1">
        <f t="array" ref="GE65">IF($FY65=0,0,_xlfn.IFS($FY65='Key assumptions'!$C$120,_xlfn.XLOOKUP(LEFT(GE$7,6),Inflation_Year,Inflation_NominaltoReal),TRUE,_xlfn.XLOOKUP($FY65,Inflation_Year,NominaltoReal)))</f>
        <v>0</v>
      </c>
      <c r="GF65" s="146" cm="1">
        <f t="array" ref="GF65">IF($FY65=0,0,_xlfn.IFS($FY65='Key assumptions'!$C$120,_xlfn.XLOOKUP(LEFT(GF$7,6),Inflation_Year,Inflation_NominaltoReal),TRUE,_xlfn.XLOOKUP($FY65,Inflation_Year,NominaltoReal)))</f>
        <v>0</v>
      </c>
      <c r="GG65" s="143"/>
      <c r="GH65" s="145" cm="1">
        <f t="array" ref="GH65">SUMPRODUCT(--($CR$7:$FW$7&gt;=GH$5),--($CR$7:$FW$7&lt;=GH$6),$CR65:$FW65)*FZ65</f>
        <v>0</v>
      </c>
      <c r="GI65" s="145" cm="1">
        <f t="array" ref="GI65">SUMPRODUCT(--($CR$7:$FW$7&gt;=GI$5),--($CR$7:$FW$7&lt;=GI$6),$CR65:$FW65)*GA65</f>
        <v>0</v>
      </c>
      <c r="GJ65" s="145" cm="1">
        <f t="array" ref="GJ65">SUMPRODUCT(--($CR$7:$FW$7&gt;=GJ$5),--($CR$7:$FW$7&lt;=GJ$6),$CR65:$FW65)*GB65</f>
        <v>0</v>
      </c>
      <c r="GK65" s="145" cm="1">
        <f t="array" ref="GK65">SUMPRODUCT(--($CR$7:$FW$7&gt;=GK$5),--($CR$7:$FW$7&lt;=GK$6),$CR65:$FW65)*GC65</f>
        <v>0</v>
      </c>
      <c r="GL65" s="145" cm="1">
        <f t="array" ref="GL65">SUMPRODUCT(--($CR$7:$FW$7&gt;=GL$5),--($CR$7:$FW$7&lt;=GL$6),$CR65:$FW65)*GD65</f>
        <v>0</v>
      </c>
      <c r="GM65" s="145" cm="1">
        <f t="array" ref="GM65">SUMPRODUCT(--($CR$7:$FW$7&gt;=GM$5),--($CR$7:$FW$7&lt;=GM$6),$CR65:$FW65)*GE65</f>
        <v>0</v>
      </c>
      <c r="GN65" s="145" cm="1">
        <f t="array" ref="GN65">SUMPRODUCT(--($CR$7:$FW$7&gt;=GN$5),--($CR$7:$FW$7&lt;=GN$6),$CR65:$FW65)*GF65</f>
        <v>0</v>
      </c>
      <c r="GO65" s="145">
        <f t="shared" si="0"/>
        <v>0</v>
      </c>
      <c r="GP65" s="87"/>
      <c r="GR65" s="145" cm="1">
        <f t="array" ref="GR65">SUMPRODUCT(--($CR$7:$FW$7&gt;=GR$5),--($CR$7:$FW$7&lt;=GR$6),$CR65:$FW65)</f>
        <v>0</v>
      </c>
    </row>
    <row r="66" spans="2:200" x14ac:dyDescent="0.2">
      <c r="B66" s="141"/>
      <c r="C66" s="141"/>
      <c r="D66" s="141"/>
      <c r="E66" s="141"/>
      <c r="F66" s="141"/>
      <c r="G66" s="141"/>
      <c r="H66" s="142"/>
      <c r="I66" s="126"/>
      <c r="J66" s="143"/>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3"/>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3"/>
      <c r="FY66" s="146">
        <f>_xlfn.XLOOKUP($E66,'Key assumptions'!$B$112:$B$120,'Key assumptions'!$C$112:$C$120,0)</f>
        <v>0</v>
      </c>
      <c r="FZ66" s="146" cm="1">
        <f t="array" ref="FZ66">IF($FY66=0,0,_xlfn.IFS($FY66='Key assumptions'!$C$120,_xlfn.XLOOKUP(LEFT(FZ$7,6),Inflation_Year,Inflation_NominaltoReal),TRUE,_xlfn.XLOOKUP($FY66,Inflation_Year,NominaltoReal)))</f>
        <v>0</v>
      </c>
      <c r="GA66" s="146" cm="1">
        <f t="array" ref="GA66">IF($FY66=0,0,_xlfn.IFS($FY66='Key assumptions'!$C$120,_xlfn.XLOOKUP(LEFT(GA$7,6),Inflation_Year,Inflation_NominaltoReal),TRUE,_xlfn.XLOOKUP($FY66,Inflation_Year,NominaltoReal)))</f>
        <v>0</v>
      </c>
      <c r="GB66" s="146" cm="1">
        <f t="array" ref="GB66">IF($FY66=0,0,_xlfn.IFS($FY66='Key assumptions'!$C$120,_xlfn.XLOOKUP(LEFT(GB$7,6),Inflation_Year,Inflation_NominaltoReal),TRUE,_xlfn.XLOOKUP($FY66,Inflation_Year,NominaltoReal)))</f>
        <v>0</v>
      </c>
      <c r="GC66" s="146" cm="1">
        <f t="array" ref="GC66">IF($FY66=0,0,_xlfn.IFS($FY66='Key assumptions'!$C$120,_xlfn.XLOOKUP(LEFT(GC$7,6),Inflation_Year,Inflation_NominaltoReal),TRUE,_xlfn.XLOOKUP($FY66,Inflation_Year,NominaltoReal)))</f>
        <v>0</v>
      </c>
      <c r="GD66" s="146" cm="1">
        <f t="array" ref="GD66">IF($FY66=0,0,_xlfn.IFS($FY66='Key assumptions'!$C$120,_xlfn.XLOOKUP(LEFT(GD$7,6),Inflation_Year,Inflation_NominaltoReal),TRUE,_xlfn.XLOOKUP($FY66,Inflation_Year,NominaltoReal)))</f>
        <v>0</v>
      </c>
      <c r="GE66" s="146" cm="1">
        <f t="array" ref="GE66">IF($FY66=0,0,_xlfn.IFS($FY66='Key assumptions'!$C$120,_xlfn.XLOOKUP(LEFT(GE$7,6),Inflation_Year,Inflation_NominaltoReal),TRUE,_xlfn.XLOOKUP($FY66,Inflation_Year,NominaltoReal)))</f>
        <v>0</v>
      </c>
      <c r="GF66" s="146" cm="1">
        <f t="array" ref="GF66">IF($FY66=0,0,_xlfn.IFS($FY66='Key assumptions'!$C$120,_xlfn.XLOOKUP(LEFT(GF$7,6),Inflation_Year,Inflation_NominaltoReal),TRUE,_xlfn.XLOOKUP($FY66,Inflation_Year,NominaltoReal)))</f>
        <v>0</v>
      </c>
      <c r="GG66" s="143"/>
      <c r="GH66" s="145" cm="1">
        <f t="array" ref="GH66">SUMPRODUCT(--($CR$7:$FW$7&gt;=GH$5),--($CR$7:$FW$7&lt;=GH$6),$CR66:$FW66)*FZ66</f>
        <v>0</v>
      </c>
      <c r="GI66" s="145" cm="1">
        <f t="array" ref="GI66">SUMPRODUCT(--($CR$7:$FW$7&gt;=GI$5),--($CR$7:$FW$7&lt;=GI$6),$CR66:$FW66)*GA66</f>
        <v>0</v>
      </c>
      <c r="GJ66" s="145" cm="1">
        <f t="array" ref="GJ66">SUMPRODUCT(--($CR$7:$FW$7&gt;=GJ$5),--($CR$7:$FW$7&lt;=GJ$6),$CR66:$FW66)*GB66</f>
        <v>0</v>
      </c>
      <c r="GK66" s="145" cm="1">
        <f t="array" ref="GK66">SUMPRODUCT(--($CR$7:$FW$7&gt;=GK$5),--($CR$7:$FW$7&lt;=GK$6),$CR66:$FW66)*GC66</f>
        <v>0</v>
      </c>
      <c r="GL66" s="145" cm="1">
        <f t="array" ref="GL66">SUMPRODUCT(--($CR$7:$FW$7&gt;=GL$5),--($CR$7:$FW$7&lt;=GL$6),$CR66:$FW66)*GD66</f>
        <v>0</v>
      </c>
      <c r="GM66" s="145" cm="1">
        <f t="array" ref="GM66">SUMPRODUCT(--($CR$7:$FW$7&gt;=GM$5),--($CR$7:$FW$7&lt;=GM$6),$CR66:$FW66)*GE66</f>
        <v>0</v>
      </c>
      <c r="GN66" s="145" cm="1">
        <f t="array" ref="GN66">SUMPRODUCT(--($CR$7:$FW$7&gt;=GN$5),--($CR$7:$FW$7&lt;=GN$6),$CR66:$FW66)*GF66</f>
        <v>0</v>
      </c>
      <c r="GO66" s="145">
        <f t="shared" si="0"/>
        <v>0</v>
      </c>
      <c r="GP66" s="87"/>
      <c r="GR66" s="145" cm="1">
        <f t="array" ref="GR66">SUMPRODUCT(--($CR$7:$FW$7&gt;=GR$5),--($CR$7:$FW$7&lt;=GR$6),$CR66:$FW66)</f>
        <v>0</v>
      </c>
    </row>
    <row r="67" spans="2:200" x14ac:dyDescent="0.2">
      <c r="B67" s="141"/>
      <c r="C67" s="141"/>
      <c r="D67" s="141"/>
      <c r="E67" s="141"/>
      <c r="F67" s="141"/>
      <c r="G67" s="141"/>
      <c r="H67" s="142"/>
      <c r="I67" s="126"/>
      <c r="J67" s="143"/>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3"/>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3"/>
      <c r="FY67" s="146">
        <f>_xlfn.XLOOKUP($E67,'Key assumptions'!$B$112:$B$120,'Key assumptions'!$C$112:$C$120,0)</f>
        <v>0</v>
      </c>
      <c r="FZ67" s="146" cm="1">
        <f t="array" ref="FZ67">IF($FY67=0,0,_xlfn.IFS($FY67='Key assumptions'!$C$120,_xlfn.XLOOKUP(LEFT(FZ$7,6),Inflation_Year,Inflation_NominaltoReal),TRUE,_xlfn.XLOOKUP($FY67,Inflation_Year,NominaltoReal)))</f>
        <v>0</v>
      </c>
      <c r="GA67" s="146" cm="1">
        <f t="array" ref="GA67">IF($FY67=0,0,_xlfn.IFS($FY67='Key assumptions'!$C$120,_xlfn.XLOOKUP(LEFT(GA$7,6),Inflation_Year,Inflation_NominaltoReal),TRUE,_xlfn.XLOOKUP($FY67,Inflation_Year,NominaltoReal)))</f>
        <v>0</v>
      </c>
      <c r="GB67" s="146" cm="1">
        <f t="array" ref="GB67">IF($FY67=0,0,_xlfn.IFS($FY67='Key assumptions'!$C$120,_xlfn.XLOOKUP(LEFT(GB$7,6),Inflation_Year,Inflation_NominaltoReal),TRUE,_xlfn.XLOOKUP($FY67,Inflation_Year,NominaltoReal)))</f>
        <v>0</v>
      </c>
      <c r="GC67" s="146" cm="1">
        <f t="array" ref="GC67">IF($FY67=0,0,_xlfn.IFS($FY67='Key assumptions'!$C$120,_xlfn.XLOOKUP(LEFT(GC$7,6),Inflation_Year,Inflation_NominaltoReal),TRUE,_xlfn.XLOOKUP($FY67,Inflation_Year,NominaltoReal)))</f>
        <v>0</v>
      </c>
      <c r="GD67" s="146" cm="1">
        <f t="array" ref="GD67">IF($FY67=0,0,_xlfn.IFS($FY67='Key assumptions'!$C$120,_xlfn.XLOOKUP(LEFT(GD$7,6),Inflation_Year,Inflation_NominaltoReal),TRUE,_xlfn.XLOOKUP($FY67,Inflation_Year,NominaltoReal)))</f>
        <v>0</v>
      </c>
      <c r="GE67" s="146" cm="1">
        <f t="array" ref="GE67">IF($FY67=0,0,_xlfn.IFS($FY67='Key assumptions'!$C$120,_xlfn.XLOOKUP(LEFT(GE$7,6),Inflation_Year,Inflation_NominaltoReal),TRUE,_xlfn.XLOOKUP($FY67,Inflation_Year,NominaltoReal)))</f>
        <v>0</v>
      </c>
      <c r="GF67" s="146" cm="1">
        <f t="array" ref="GF67">IF($FY67=0,0,_xlfn.IFS($FY67='Key assumptions'!$C$120,_xlfn.XLOOKUP(LEFT(GF$7,6),Inflation_Year,Inflation_NominaltoReal),TRUE,_xlfn.XLOOKUP($FY67,Inflation_Year,NominaltoReal)))</f>
        <v>0</v>
      </c>
      <c r="GG67" s="143"/>
      <c r="GH67" s="145" cm="1">
        <f t="array" ref="GH67">SUMPRODUCT(--($CR$7:$FW$7&gt;=GH$5),--($CR$7:$FW$7&lt;=GH$6),$CR67:$FW67)*FZ67</f>
        <v>0</v>
      </c>
      <c r="GI67" s="145" cm="1">
        <f t="array" ref="GI67">SUMPRODUCT(--($CR$7:$FW$7&gt;=GI$5),--($CR$7:$FW$7&lt;=GI$6),$CR67:$FW67)*GA67</f>
        <v>0</v>
      </c>
      <c r="GJ67" s="145" cm="1">
        <f t="array" ref="GJ67">SUMPRODUCT(--($CR$7:$FW$7&gt;=GJ$5),--($CR$7:$FW$7&lt;=GJ$6),$CR67:$FW67)*GB67</f>
        <v>0</v>
      </c>
      <c r="GK67" s="145" cm="1">
        <f t="array" ref="GK67">SUMPRODUCT(--($CR$7:$FW$7&gt;=GK$5),--($CR$7:$FW$7&lt;=GK$6),$CR67:$FW67)*GC67</f>
        <v>0</v>
      </c>
      <c r="GL67" s="145" cm="1">
        <f t="array" ref="GL67">SUMPRODUCT(--($CR$7:$FW$7&gt;=GL$5),--($CR$7:$FW$7&lt;=GL$6),$CR67:$FW67)*GD67</f>
        <v>0</v>
      </c>
      <c r="GM67" s="145" cm="1">
        <f t="array" ref="GM67">SUMPRODUCT(--($CR$7:$FW$7&gt;=GM$5),--($CR$7:$FW$7&lt;=GM$6),$CR67:$FW67)*GE67</f>
        <v>0</v>
      </c>
      <c r="GN67" s="145" cm="1">
        <f t="array" ref="GN67">SUMPRODUCT(--($CR$7:$FW$7&gt;=GN$5),--($CR$7:$FW$7&lt;=GN$6),$CR67:$FW67)*GF67</f>
        <v>0</v>
      </c>
      <c r="GO67" s="145">
        <f t="shared" si="0"/>
        <v>0</v>
      </c>
      <c r="GP67" s="87"/>
      <c r="GR67" s="145" cm="1">
        <f t="array" ref="GR67">SUMPRODUCT(--($CR$7:$FW$7&gt;=GR$5),--($CR$7:$FW$7&lt;=GR$6),$CR67:$FW67)</f>
        <v>0</v>
      </c>
    </row>
    <row r="68" spans="2:200" x14ac:dyDescent="0.2">
      <c r="B68" s="141"/>
      <c r="C68" s="141"/>
      <c r="D68" s="141"/>
      <c r="E68" s="141"/>
      <c r="F68" s="141"/>
      <c r="G68" s="141"/>
      <c r="H68" s="142"/>
      <c r="I68" s="126"/>
      <c r="J68" s="143"/>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3"/>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c r="EE68" s="145"/>
      <c r="EF68" s="145"/>
      <c r="EG68" s="145"/>
      <c r="EH68" s="145"/>
      <c r="EI68" s="145"/>
      <c r="EJ68" s="145"/>
      <c r="EK68" s="145"/>
      <c r="EL68" s="145"/>
      <c r="EM68" s="145"/>
      <c r="EN68" s="145"/>
      <c r="EO68" s="145"/>
      <c r="EP68" s="145"/>
      <c r="EQ68" s="145"/>
      <c r="ER68" s="145"/>
      <c r="ES68" s="145"/>
      <c r="ET68" s="145"/>
      <c r="EU68" s="145"/>
      <c r="EV68" s="145"/>
      <c r="EW68" s="145"/>
      <c r="EX68" s="145"/>
      <c r="EY68" s="145"/>
      <c r="EZ68" s="145"/>
      <c r="FA68" s="145"/>
      <c r="FB68" s="145"/>
      <c r="FC68" s="145"/>
      <c r="FD68" s="145"/>
      <c r="FE68" s="145"/>
      <c r="FF68" s="145"/>
      <c r="FG68" s="145"/>
      <c r="FH68" s="145"/>
      <c r="FI68" s="145"/>
      <c r="FJ68" s="145"/>
      <c r="FK68" s="145"/>
      <c r="FL68" s="145"/>
      <c r="FM68" s="145"/>
      <c r="FN68" s="145"/>
      <c r="FO68" s="145"/>
      <c r="FP68" s="145"/>
      <c r="FQ68" s="145"/>
      <c r="FR68" s="145"/>
      <c r="FS68" s="145"/>
      <c r="FT68" s="145"/>
      <c r="FU68" s="145"/>
      <c r="FV68" s="145"/>
      <c r="FW68" s="145"/>
      <c r="FX68" s="143"/>
      <c r="FY68" s="146">
        <f>_xlfn.XLOOKUP($E68,'Key assumptions'!$B$112:$B$120,'Key assumptions'!$C$112:$C$120,0)</f>
        <v>0</v>
      </c>
      <c r="FZ68" s="146" cm="1">
        <f t="array" ref="FZ68">IF($FY68=0,0,_xlfn.IFS($FY68='Key assumptions'!$C$120,_xlfn.XLOOKUP(LEFT(FZ$7,6),Inflation_Year,Inflation_NominaltoReal),TRUE,_xlfn.XLOOKUP($FY68,Inflation_Year,NominaltoReal)))</f>
        <v>0</v>
      </c>
      <c r="GA68" s="146" cm="1">
        <f t="array" ref="GA68">IF($FY68=0,0,_xlfn.IFS($FY68='Key assumptions'!$C$120,_xlfn.XLOOKUP(LEFT(GA$7,6),Inflation_Year,Inflation_NominaltoReal),TRUE,_xlfn.XLOOKUP($FY68,Inflation_Year,NominaltoReal)))</f>
        <v>0</v>
      </c>
      <c r="GB68" s="146" cm="1">
        <f t="array" ref="GB68">IF($FY68=0,0,_xlfn.IFS($FY68='Key assumptions'!$C$120,_xlfn.XLOOKUP(LEFT(GB$7,6),Inflation_Year,Inflation_NominaltoReal),TRUE,_xlfn.XLOOKUP($FY68,Inflation_Year,NominaltoReal)))</f>
        <v>0</v>
      </c>
      <c r="GC68" s="146" cm="1">
        <f t="array" ref="GC68">IF($FY68=0,0,_xlfn.IFS($FY68='Key assumptions'!$C$120,_xlfn.XLOOKUP(LEFT(GC$7,6),Inflation_Year,Inflation_NominaltoReal),TRUE,_xlfn.XLOOKUP($FY68,Inflation_Year,NominaltoReal)))</f>
        <v>0</v>
      </c>
      <c r="GD68" s="146" cm="1">
        <f t="array" ref="GD68">IF($FY68=0,0,_xlfn.IFS($FY68='Key assumptions'!$C$120,_xlfn.XLOOKUP(LEFT(GD$7,6),Inflation_Year,Inflation_NominaltoReal),TRUE,_xlfn.XLOOKUP($FY68,Inflation_Year,NominaltoReal)))</f>
        <v>0</v>
      </c>
      <c r="GE68" s="146" cm="1">
        <f t="array" ref="GE68">IF($FY68=0,0,_xlfn.IFS($FY68='Key assumptions'!$C$120,_xlfn.XLOOKUP(LEFT(GE$7,6),Inflation_Year,Inflation_NominaltoReal),TRUE,_xlfn.XLOOKUP($FY68,Inflation_Year,NominaltoReal)))</f>
        <v>0</v>
      </c>
      <c r="GF68" s="146" cm="1">
        <f t="array" ref="GF68">IF($FY68=0,0,_xlfn.IFS($FY68='Key assumptions'!$C$120,_xlfn.XLOOKUP(LEFT(GF$7,6),Inflation_Year,Inflation_NominaltoReal),TRUE,_xlfn.XLOOKUP($FY68,Inflation_Year,NominaltoReal)))</f>
        <v>0</v>
      </c>
      <c r="GG68" s="143"/>
      <c r="GH68" s="145" cm="1">
        <f t="array" ref="GH68">SUMPRODUCT(--($CR$7:$FW$7&gt;=GH$5),--($CR$7:$FW$7&lt;=GH$6),$CR68:$FW68)*FZ68</f>
        <v>0</v>
      </c>
      <c r="GI68" s="145" cm="1">
        <f t="array" ref="GI68">SUMPRODUCT(--($CR$7:$FW$7&gt;=GI$5),--($CR$7:$FW$7&lt;=GI$6),$CR68:$FW68)*GA68</f>
        <v>0</v>
      </c>
      <c r="GJ68" s="145" cm="1">
        <f t="array" ref="GJ68">SUMPRODUCT(--($CR$7:$FW$7&gt;=GJ$5),--($CR$7:$FW$7&lt;=GJ$6),$CR68:$FW68)*GB68</f>
        <v>0</v>
      </c>
      <c r="GK68" s="145" cm="1">
        <f t="array" ref="GK68">SUMPRODUCT(--($CR$7:$FW$7&gt;=GK$5),--($CR$7:$FW$7&lt;=GK$6),$CR68:$FW68)*GC68</f>
        <v>0</v>
      </c>
      <c r="GL68" s="145" cm="1">
        <f t="array" ref="GL68">SUMPRODUCT(--($CR$7:$FW$7&gt;=GL$5),--($CR$7:$FW$7&lt;=GL$6),$CR68:$FW68)*GD68</f>
        <v>0</v>
      </c>
      <c r="GM68" s="145" cm="1">
        <f t="array" ref="GM68">SUMPRODUCT(--($CR$7:$FW$7&gt;=GM$5),--($CR$7:$FW$7&lt;=GM$6),$CR68:$FW68)*GE68</f>
        <v>0</v>
      </c>
      <c r="GN68" s="145" cm="1">
        <f t="array" ref="GN68">SUMPRODUCT(--($CR$7:$FW$7&gt;=GN$5),--($CR$7:$FW$7&lt;=GN$6),$CR68:$FW68)*GF68</f>
        <v>0</v>
      </c>
      <c r="GO68" s="145">
        <f t="shared" si="0"/>
        <v>0</v>
      </c>
      <c r="GP68" s="87"/>
      <c r="GR68" s="145" cm="1">
        <f t="array" ref="GR68">SUMPRODUCT(--($CR$7:$FW$7&gt;=GR$5),--($CR$7:$FW$7&lt;=GR$6),$CR68:$FW68)</f>
        <v>0</v>
      </c>
    </row>
    <row r="69" spans="2:200" x14ac:dyDescent="0.2">
      <c r="B69" s="141"/>
      <c r="C69" s="141"/>
      <c r="D69" s="141"/>
      <c r="E69" s="141"/>
      <c r="F69" s="141"/>
      <c r="G69" s="141"/>
      <c r="H69" s="142"/>
      <c r="I69" s="126"/>
      <c r="J69" s="143"/>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3"/>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3"/>
      <c r="FY69" s="146">
        <f>_xlfn.XLOOKUP($E69,'Key assumptions'!$B$112:$B$120,'Key assumptions'!$C$112:$C$120,0)</f>
        <v>0</v>
      </c>
      <c r="FZ69" s="146" cm="1">
        <f t="array" ref="FZ69">IF($FY69=0,0,_xlfn.IFS($FY69='Key assumptions'!$C$120,_xlfn.XLOOKUP(LEFT(FZ$7,6),Inflation_Year,Inflation_NominaltoReal),TRUE,_xlfn.XLOOKUP($FY69,Inflation_Year,NominaltoReal)))</f>
        <v>0</v>
      </c>
      <c r="GA69" s="146" cm="1">
        <f t="array" ref="GA69">IF($FY69=0,0,_xlfn.IFS($FY69='Key assumptions'!$C$120,_xlfn.XLOOKUP(LEFT(GA$7,6),Inflation_Year,Inflation_NominaltoReal),TRUE,_xlfn.XLOOKUP($FY69,Inflation_Year,NominaltoReal)))</f>
        <v>0</v>
      </c>
      <c r="GB69" s="146" cm="1">
        <f t="array" ref="GB69">IF($FY69=0,0,_xlfn.IFS($FY69='Key assumptions'!$C$120,_xlfn.XLOOKUP(LEFT(GB$7,6),Inflation_Year,Inflation_NominaltoReal),TRUE,_xlfn.XLOOKUP($FY69,Inflation_Year,NominaltoReal)))</f>
        <v>0</v>
      </c>
      <c r="GC69" s="146" cm="1">
        <f t="array" ref="GC69">IF($FY69=0,0,_xlfn.IFS($FY69='Key assumptions'!$C$120,_xlfn.XLOOKUP(LEFT(GC$7,6),Inflation_Year,Inflation_NominaltoReal),TRUE,_xlfn.XLOOKUP($FY69,Inflation_Year,NominaltoReal)))</f>
        <v>0</v>
      </c>
      <c r="GD69" s="146" cm="1">
        <f t="array" ref="GD69">IF($FY69=0,0,_xlfn.IFS($FY69='Key assumptions'!$C$120,_xlfn.XLOOKUP(LEFT(GD$7,6),Inflation_Year,Inflation_NominaltoReal),TRUE,_xlfn.XLOOKUP($FY69,Inflation_Year,NominaltoReal)))</f>
        <v>0</v>
      </c>
      <c r="GE69" s="146" cm="1">
        <f t="array" ref="GE69">IF($FY69=0,0,_xlfn.IFS($FY69='Key assumptions'!$C$120,_xlfn.XLOOKUP(LEFT(GE$7,6),Inflation_Year,Inflation_NominaltoReal),TRUE,_xlfn.XLOOKUP($FY69,Inflation_Year,NominaltoReal)))</f>
        <v>0</v>
      </c>
      <c r="GF69" s="146" cm="1">
        <f t="array" ref="GF69">IF($FY69=0,0,_xlfn.IFS($FY69='Key assumptions'!$C$120,_xlfn.XLOOKUP(LEFT(GF$7,6),Inflation_Year,Inflation_NominaltoReal),TRUE,_xlfn.XLOOKUP($FY69,Inflation_Year,NominaltoReal)))</f>
        <v>0</v>
      </c>
      <c r="GG69" s="143"/>
      <c r="GH69" s="145" cm="1">
        <f t="array" ref="GH69">SUMPRODUCT(--($CR$7:$FW$7&gt;=GH$5),--($CR$7:$FW$7&lt;=GH$6),$CR69:$FW69)*FZ69</f>
        <v>0</v>
      </c>
      <c r="GI69" s="145" cm="1">
        <f t="array" ref="GI69">SUMPRODUCT(--($CR$7:$FW$7&gt;=GI$5),--($CR$7:$FW$7&lt;=GI$6),$CR69:$FW69)*GA69</f>
        <v>0</v>
      </c>
      <c r="GJ69" s="145" cm="1">
        <f t="array" ref="GJ69">SUMPRODUCT(--($CR$7:$FW$7&gt;=GJ$5),--($CR$7:$FW$7&lt;=GJ$6),$CR69:$FW69)*GB69</f>
        <v>0</v>
      </c>
      <c r="GK69" s="145" cm="1">
        <f t="array" ref="GK69">SUMPRODUCT(--($CR$7:$FW$7&gt;=GK$5),--($CR$7:$FW$7&lt;=GK$6),$CR69:$FW69)*GC69</f>
        <v>0</v>
      </c>
      <c r="GL69" s="145" cm="1">
        <f t="array" ref="GL69">SUMPRODUCT(--($CR$7:$FW$7&gt;=GL$5),--($CR$7:$FW$7&lt;=GL$6),$CR69:$FW69)*GD69</f>
        <v>0</v>
      </c>
      <c r="GM69" s="145" cm="1">
        <f t="array" ref="GM69">SUMPRODUCT(--($CR$7:$FW$7&gt;=GM$5),--($CR$7:$FW$7&lt;=GM$6),$CR69:$FW69)*GE69</f>
        <v>0</v>
      </c>
      <c r="GN69" s="145" cm="1">
        <f t="array" ref="GN69">SUMPRODUCT(--($CR$7:$FW$7&gt;=GN$5),--($CR$7:$FW$7&lt;=GN$6),$CR69:$FW69)*GF69</f>
        <v>0</v>
      </c>
      <c r="GO69" s="145">
        <f t="shared" si="0"/>
        <v>0</v>
      </c>
      <c r="GP69" s="87"/>
      <c r="GR69" s="145" cm="1">
        <f t="array" ref="GR69">SUMPRODUCT(--($CR$7:$FW$7&gt;=GR$5),--($CR$7:$FW$7&lt;=GR$6),$CR69:$FW69)</f>
        <v>0</v>
      </c>
    </row>
    <row r="70" spans="2:200" x14ac:dyDescent="0.2">
      <c r="B70" s="141"/>
      <c r="C70" s="141"/>
      <c r="D70" s="141"/>
      <c r="E70" s="141"/>
      <c r="F70" s="141"/>
      <c r="G70" s="141"/>
      <c r="H70" s="142"/>
      <c r="I70" s="126"/>
      <c r="J70" s="143"/>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3"/>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3"/>
      <c r="FY70" s="146">
        <f>_xlfn.XLOOKUP($E70,'Key assumptions'!$B$112:$B$120,'Key assumptions'!$C$112:$C$120,0)</f>
        <v>0</v>
      </c>
      <c r="FZ70" s="146" cm="1">
        <f t="array" ref="FZ70">IF($FY70=0,0,_xlfn.IFS($FY70='Key assumptions'!$C$120,_xlfn.XLOOKUP(LEFT(FZ$7,6),Inflation_Year,Inflation_NominaltoReal),TRUE,_xlfn.XLOOKUP($FY70,Inflation_Year,NominaltoReal)))</f>
        <v>0</v>
      </c>
      <c r="GA70" s="146" cm="1">
        <f t="array" ref="GA70">IF($FY70=0,0,_xlfn.IFS($FY70='Key assumptions'!$C$120,_xlfn.XLOOKUP(LEFT(GA$7,6),Inflation_Year,Inflation_NominaltoReal),TRUE,_xlfn.XLOOKUP($FY70,Inflation_Year,NominaltoReal)))</f>
        <v>0</v>
      </c>
      <c r="GB70" s="146" cm="1">
        <f t="array" ref="GB70">IF($FY70=0,0,_xlfn.IFS($FY70='Key assumptions'!$C$120,_xlfn.XLOOKUP(LEFT(GB$7,6),Inflation_Year,Inflation_NominaltoReal),TRUE,_xlfn.XLOOKUP($FY70,Inflation_Year,NominaltoReal)))</f>
        <v>0</v>
      </c>
      <c r="GC70" s="146" cm="1">
        <f t="array" ref="GC70">IF($FY70=0,0,_xlfn.IFS($FY70='Key assumptions'!$C$120,_xlfn.XLOOKUP(LEFT(GC$7,6),Inflation_Year,Inflation_NominaltoReal),TRUE,_xlfn.XLOOKUP($FY70,Inflation_Year,NominaltoReal)))</f>
        <v>0</v>
      </c>
      <c r="GD70" s="146" cm="1">
        <f t="array" ref="GD70">IF($FY70=0,0,_xlfn.IFS($FY70='Key assumptions'!$C$120,_xlfn.XLOOKUP(LEFT(GD$7,6),Inflation_Year,Inflation_NominaltoReal),TRUE,_xlfn.XLOOKUP($FY70,Inflation_Year,NominaltoReal)))</f>
        <v>0</v>
      </c>
      <c r="GE70" s="146" cm="1">
        <f t="array" ref="GE70">IF($FY70=0,0,_xlfn.IFS($FY70='Key assumptions'!$C$120,_xlfn.XLOOKUP(LEFT(GE$7,6),Inflation_Year,Inflation_NominaltoReal),TRUE,_xlfn.XLOOKUP($FY70,Inflation_Year,NominaltoReal)))</f>
        <v>0</v>
      </c>
      <c r="GF70" s="146" cm="1">
        <f t="array" ref="GF70">IF($FY70=0,0,_xlfn.IFS($FY70='Key assumptions'!$C$120,_xlfn.XLOOKUP(LEFT(GF$7,6),Inflation_Year,Inflation_NominaltoReal),TRUE,_xlfn.XLOOKUP($FY70,Inflation_Year,NominaltoReal)))</f>
        <v>0</v>
      </c>
      <c r="GG70" s="143"/>
      <c r="GH70" s="145" cm="1">
        <f t="array" ref="GH70">SUMPRODUCT(--($CR$7:$FW$7&gt;=GH$5),--($CR$7:$FW$7&lt;=GH$6),$CR70:$FW70)*FZ70</f>
        <v>0</v>
      </c>
      <c r="GI70" s="145" cm="1">
        <f t="array" ref="GI70">SUMPRODUCT(--($CR$7:$FW$7&gt;=GI$5),--($CR$7:$FW$7&lt;=GI$6),$CR70:$FW70)*GA70</f>
        <v>0</v>
      </c>
      <c r="GJ70" s="145" cm="1">
        <f t="array" ref="GJ70">SUMPRODUCT(--($CR$7:$FW$7&gt;=GJ$5),--($CR$7:$FW$7&lt;=GJ$6),$CR70:$FW70)*GB70</f>
        <v>0</v>
      </c>
      <c r="GK70" s="145" cm="1">
        <f t="array" ref="GK70">SUMPRODUCT(--($CR$7:$FW$7&gt;=GK$5),--($CR$7:$FW$7&lt;=GK$6),$CR70:$FW70)*GC70</f>
        <v>0</v>
      </c>
      <c r="GL70" s="145" cm="1">
        <f t="array" ref="GL70">SUMPRODUCT(--($CR$7:$FW$7&gt;=GL$5),--($CR$7:$FW$7&lt;=GL$6),$CR70:$FW70)*GD70</f>
        <v>0</v>
      </c>
      <c r="GM70" s="145" cm="1">
        <f t="array" ref="GM70">SUMPRODUCT(--($CR$7:$FW$7&gt;=GM$5),--($CR$7:$FW$7&lt;=GM$6),$CR70:$FW70)*GE70</f>
        <v>0</v>
      </c>
      <c r="GN70" s="145" cm="1">
        <f t="array" ref="GN70">SUMPRODUCT(--($CR$7:$FW$7&gt;=GN$5),--($CR$7:$FW$7&lt;=GN$6),$CR70:$FW70)*GF70</f>
        <v>0</v>
      </c>
      <c r="GO70" s="145">
        <f t="shared" si="0"/>
        <v>0</v>
      </c>
      <c r="GP70" s="87"/>
      <c r="GR70" s="145" cm="1">
        <f t="array" ref="GR70">SUMPRODUCT(--($CR$7:$FW$7&gt;=GR$5),--($CR$7:$FW$7&lt;=GR$6),$CR70:$FW70)</f>
        <v>0</v>
      </c>
    </row>
    <row r="71" spans="2:200" x14ac:dyDescent="0.2">
      <c r="B71" s="141"/>
      <c r="C71" s="141"/>
      <c r="D71" s="141"/>
      <c r="E71" s="141"/>
      <c r="F71" s="141"/>
      <c r="G71" s="141"/>
      <c r="H71" s="142"/>
      <c r="I71" s="126"/>
      <c r="J71" s="143"/>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3"/>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145"/>
      <c r="EK71" s="145"/>
      <c r="EL71" s="145"/>
      <c r="EM71" s="145"/>
      <c r="EN71" s="145"/>
      <c r="EO71" s="145"/>
      <c r="EP71" s="145"/>
      <c r="EQ71" s="145"/>
      <c r="ER71" s="145"/>
      <c r="ES71" s="145"/>
      <c r="ET71" s="145"/>
      <c r="EU71" s="145"/>
      <c r="EV71" s="145"/>
      <c r="EW71" s="145"/>
      <c r="EX71" s="145"/>
      <c r="EY71" s="145"/>
      <c r="EZ71" s="145"/>
      <c r="FA71" s="145"/>
      <c r="FB71" s="145"/>
      <c r="FC71" s="145"/>
      <c r="FD71" s="145"/>
      <c r="FE71" s="145"/>
      <c r="FF71" s="145"/>
      <c r="FG71" s="145"/>
      <c r="FH71" s="145"/>
      <c r="FI71" s="145"/>
      <c r="FJ71" s="145"/>
      <c r="FK71" s="145"/>
      <c r="FL71" s="145"/>
      <c r="FM71" s="145"/>
      <c r="FN71" s="145"/>
      <c r="FO71" s="145"/>
      <c r="FP71" s="145"/>
      <c r="FQ71" s="145"/>
      <c r="FR71" s="145"/>
      <c r="FS71" s="145"/>
      <c r="FT71" s="145"/>
      <c r="FU71" s="145"/>
      <c r="FV71" s="145"/>
      <c r="FW71" s="145"/>
      <c r="FX71" s="143"/>
      <c r="FY71" s="146">
        <f>_xlfn.XLOOKUP($E71,'Key assumptions'!$B$112:$B$120,'Key assumptions'!$C$112:$C$120,0)</f>
        <v>0</v>
      </c>
      <c r="FZ71" s="146" cm="1">
        <f t="array" ref="FZ71">IF($FY71=0,0,_xlfn.IFS($FY71='Key assumptions'!$C$120,_xlfn.XLOOKUP(LEFT(FZ$7,6),Inflation_Year,Inflation_NominaltoReal),TRUE,_xlfn.XLOOKUP($FY71,Inflation_Year,NominaltoReal)))</f>
        <v>0</v>
      </c>
      <c r="GA71" s="146" cm="1">
        <f t="array" ref="GA71">IF($FY71=0,0,_xlfn.IFS($FY71='Key assumptions'!$C$120,_xlfn.XLOOKUP(LEFT(GA$7,6),Inflation_Year,Inflation_NominaltoReal),TRUE,_xlfn.XLOOKUP($FY71,Inflation_Year,NominaltoReal)))</f>
        <v>0</v>
      </c>
      <c r="GB71" s="146" cm="1">
        <f t="array" ref="GB71">IF($FY71=0,0,_xlfn.IFS($FY71='Key assumptions'!$C$120,_xlfn.XLOOKUP(LEFT(GB$7,6),Inflation_Year,Inflation_NominaltoReal),TRUE,_xlfn.XLOOKUP($FY71,Inflation_Year,NominaltoReal)))</f>
        <v>0</v>
      </c>
      <c r="GC71" s="146" cm="1">
        <f t="array" ref="GC71">IF($FY71=0,0,_xlfn.IFS($FY71='Key assumptions'!$C$120,_xlfn.XLOOKUP(LEFT(GC$7,6),Inflation_Year,Inflation_NominaltoReal),TRUE,_xlfn.XLOOKUP($FY71,Inflation_Year,NominaltoReal)))</f>
        <v>0</v>
      </c>
      <c r="GD71" s="146" cm="1">
        <f t="array" ref="GD71">IF($FY71=0,0,_xlfn.IFS($FY71='Key assumptions'!$C$120,_xlfn.XLOOKUP(LEFT(GD$7,6),Inflation_Year,Inflation_NominaltoReal),TRUE,_xlfn.XLOOKUP($FY71,Inflation_Year,NominaltoReal)))</f>
        <v>0</v>
      </c>
      <c r="GE71" s="146" cm="1">
        <f t="array" ref="GE71">IF($FY71=0,0,_xlfn.IFS($FY71='Key assumptions'!$C$120,_xlfn.XLOOKUP(LEFT(GE$7,6),Inflation_Year,Inflation_NominaltoReal),TRUE,_xlfn.XLOOKUP($FY71,Inflation_Year,NominaltoReal)))</f>
        <v>0</v>
      </c>
      <c r="GF71" s="146" cm="1">
        <f t="array" ref="GF71">IF($FY71=0,0,_xlfn.IFS($FY71='Key assumptions'!$C$120,_xlfn.XLOOKUP(LEFT(GF$7,6),Inflation_Year,Inflation_NominaltoReal),TRUE,_xlfn.XLOOKUP($FY71,Inflation_Year,NominaltoReal)))</f>
        <v>0</v>
      </c>
      <c r="GG71" s="143"/>
      <c r="GH71" s="145" cm="1">
        <f t="array" ref="GH71">SUMPRODUCT(--($CR$7:$FW$7&gt;=GH$5),--($CR$7:$FW$7&lt;=GH$6),$CR71:$FW71)*FZ71</f>
        <v>0</v>
      </c>
      <c r="GI71" s="145" cm="1">
        <f t="array" ref="GI71">SUMPRODUCT(--($CR$7:$FW$7&gt;=GI$5),--($CR$7:$FW$7&lt;=GI$6),$CR71:$FW71)*GA71</f>
        <v>0</v>
      </c>
      <c r="GJ71" s="145" cm="1">
        <f t="array" ref="GJ71">SUMPRODUCT(--($CR$7:$FW$7&gt;=GJ$5),--($CR$7:$FW$7&lt;=GJ$6),$CR71:$FW71)*GB71</f>
        <v>0</v>
      </c>
      <c r="GK71" s="145" cm="1">
        <f t="array" ref="GK71">SUMPRODUCT(--($CR$7:$FW$7&gt;=GK$5),--($CR$7:$FW$7&lt;=GK$6),$CR71:$FW71)*GC71</f>
        <v>0</v>
      </c>
      <c r="GL71" s="145" cm="1">
        <f t="array" ref="GL71">SUMPRODUCT(--($CR$7:$FW$7&gt;=GL$5),--($CR$7:$FW$7&lt;=GL$6),$CR71:$FW71)*GD71</f>
        <v>0</v>
      </c>
      <c r="GM71" s="145" cm="1">
        <f t="array" ref="GM71">SUMPRODUCT(--($CR$7:$FW$7&gt;=GM$5),--($CR$7:$FW$7&lt;=GM$6),$CR71:$FW71)*GE71</f>
        <v>0</v>
      </c>
      <c r="GN71" s="145" cm="1">
        <f t="array" ref="GN71">SUMPRODUCT(--($CR$7:$FW$7&gt;=GN$5),--($CR$7:$FW$7&lt;=GN$6),$CR71:$FW71)*GF71</f>
        <v>0</v>
      </c>
      <c r="GO71" s="145">
        <f t="shared" si="0"/>
        <v>0</v>
      </c>
      <c r="GP71" s="87"/>
      <c r="GR71" s="145" cm="1">
        <f t="array" ref="GR71">SUMPRODUCT(--($CR$7:$FW$7&gt;=GR$5),--($CR$7:$FW$7&lt;=GR$6),$CR71:$FW71)</f>
        <v>0</v>
      </c>
    </row>
    <row r="72" spans="2:200" x14ac:dyDescent="0.2">
      <c r="B72" s="141"/>
      <c r="C72" s="141"/>
      <c r="D72" s="141"/>
      <c r="E72" s="141"/>
      <c r="F72" s="141"/>
      <c r="G72" s="141"/>
      <c r="H72" s="142"/>
      <c r="I72" s="126"/>
      <c r="J72" s="143"/>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3"/>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145"/>
      <c r="EK72" s="145"/>
      <c r="EL72" s="145"/>
      <c r="EM72" s="145"/>
      <c r="EN72" s="145"/>
      <c r="EO72" s="145"/>
      <c r="EP72" s="145"/>
      <c r="EQ72" s="145"/>
      <c r="ER72" s="145"/>
      <c r="ES72" s="145"/>
      <c r="ET72" s="145"/>
      <c r="EU72" s="145"/>
      <c r="EV72" s="145"/>
      <c r="EW72" s="145"/>
      <c r="EX72" s="145"/>
      <c r="EY72" s="145"/>
      <c r="EZ72" s="145"/>
      <c r="FA72" s="145"/>
      <c r="FB72" s="145"/>
      <c r="FC72" s="145"/>
      <c r="FD72" s="145"/>
      <c r="FE72" s="145"/>
      <c r="FF72" s="145"/>
      <c r="FG72" s="145"/>
      <c r="FH72" s="145"/>
      <c r="FI72" s="145"/>
      <c r="FJ72" s="145"/>
      <c r="FK72" s="145"/>
      <c r="FL72" s="145"/>
      <c r="FM72" s="145"/>
      <c r="FN72" s="145"/>
      <c r="FO72" s="145"/>
      <c r="FP72" s="145"/>
      <c r="FQ72" s="145"/>
      <c r="FR72" s="145"/>
      <c r="FS72" s="145"/>
      <c r="FT72" s="145"/>
      <c r="FU72" s="145"/>
      <c r="FV72" s="145"/>
      <c r="FW72" s="145"/>
      <c r="FX72" s="143"/>
      <c r="FY72" s="146">
        <f>_xlfn.XLOOKUP($E72,'Key assumptions'!$B$112:$B$120,'Key assumptions'!$C$112:$C$120,0)</f>
        <v>0</v>
      </c>
      <c r="FZ72" s="146" cm="1">
        <f t="array" ref="FZ72">IF($FY72=0,0,_xlfn.IFS($FY72='Key assumptions'!$C$120,_xlfn.XLOOKUP(LEFT(FZ$7,6),Inflation_Year,Inflation_NominaltoReal),TRUE,_xlfn.XLOOKUP($FY72,Inflation_Year,NominaltoReal)))</f>
        <v>0</v>
      </c>
      <c r="GA72" s="146" cm="1">
        <f t="array" ref="GA72">IF($FY72=0,0,_xlfn.IFS($FY72='Key assumptions'!$C$120,_xlfn.XLOOKUP(LEFT(GA$7,6),Inflation_Year,Inflation_NominaltoReal),TRUE,_xlfn.XLOOKUP($FY72,Inflation_Year,NominaltoReal)))</f>
        <v>0</v>
      </c>
      <c r="GB72" s="146" cm="1">
        <f t="array" ref="GB72">IF($FY72=0,0,_xlfn.IFS($FY72='Key assumptions'!$C$120,_xlfn.XLOOKUP(LEFT(GB$7,6),Inflation_Year,Inflation_NominaltoReal),TRUE,_xlfn.XLOOKUP($FY72,Inflation_Year,NominaltoReal)))</f>
        <v>0</v>
      </c>
      <c r="GC72" s="146" cm="1">
        <f t="array" ref="GC72">IF($FY72=0,0,_xlfn.IFS($FY72='Key assumptions'!$C$120,_xlfn.XLOOKUP(LEFT(GC$7,6),Inflation_Year,Inflation_NominaltoReal),TRUE,_xlfn.XLOOKUP($FY72,Inflation_Year,NominaltoReal)))</f>
        <v>0</v>
      </c>
      <c r="GD72" s="146" cm="1">
        <f t="array" ref="GD72">IF($FY72=0,0,_xlfn.IFS($FY72='Key assumptions'!$C$120,_xlfn.XLOOKUP(LEFT(GD$7,6),Inflation_Year,Inflation_NominaltoReal),TRUE,_xlfn.XLOOKUP($FY72,Inflation_Year,NominaltoReal)))</f>
        <v>0</v>
      </c>
      <c r="GE72" s="146" cm="1">
        <f t="array" ref="GE72">IF($FY72=0,0,_xlfn.IFS($FY72='Key assumptions'!$C$120,_xlfn.XLOOKUP(LEFT(GE$7,6),Inflation_Year,Inflation_NominaltoReal),TRUE,_xlfn.XLOOKUP($FY72,Inflation_Year,NominaltoReal)))</f>
        <v>0</v>
      </c>
      <c r="GF72" s="146" cm="1">
        <f t="array" ref="GF72">IF($FY72=0,0,_xlfn.IFS($FY72='Key assumptions'!$C$120,_xlfn.XLOOKUP(LEFT(GF$7,6),Inflation_Year,Inflation_NominaltoReal),TRUE,_xlfn.XLOOKUP($FY72,Inflation_Year,NominaltoReal)))</f>
        <v>0</v>
      </c>
      <c r="GG72" s="143"/>
      <c r="GH72" s="145" cm="1">
        <f t="array" ref="GH72">SUMPRODUCT(--($CR$7:$FW$7&gt;=GH$5),--($CR$7:$FW$7&lt;=GH$6),$CR72:$FW72)*FZ72</f>
        <v>0</v>
      </c>
      <c r="GI72" s="145" cm="1">
        <f t="array" ref="GI72">SUMPRODUCT(--($CR$7:$FW$7&gt;=GI$5),--($CR$7:$FW$7&lt;=GI$6),$CR72:$FW72)*GA72</f>
        <v>0</v>
      </c>
      <c r="GJ72" s="145" cm="1">
        <f t="array" ref="GJ72">SUMPRODUCT(--($CR$7:$FW$7&gt;=GJ$5),--($CR$7:$FW$7&lt;=GJ$6),$CR72:$FW72)*GB72</f>
        <v>0</v>
      </c>
      <c r="GK72" s="145" cm="1">
        <f t="array" ref="GK72">SUMPRODUCT(--($CR$7:$FW$7&gt;=GK$5),--($CR$7:$FW$7&lt;=GK$6),$CR72:$FW72)*GC72</f>
        <v>0</v>
      </c>
      <c r="GL72" s="145" cm="1">
        <f t="array" ref="GL72">SUMPRODUCT(--($CR$7:$FW$7&gt;=GL$5),--($CR$7:$FW$7&lt;=GL$6),$CR72:$FW72)*GD72</f>
        <v>0</v>
      </c>
      <c r="GM72" s="145" cm="1">
        <f t="array" ref="GM72">SUMPRODUCT(--($CR$7:$FW$7&gt;=GM$5),--($CR$7:$FW$7&lt;=GM$6),$CR72:$FW72)*GE72</f>
        <v>0</v>
      </c>
      <c r="GN72" s="145" cm="1">
        <f t="array" ref="GN72">SUMPRODUCT(--($CR$7:$FW$7&gt;=GN$5),--($CR$7:$FW$7&lt;=GN$6),$CR72:$FW72)*GF72</f>
        <v>0</v>
      </c>
      <c r="GO72" s="145">
        <f t="shared" ref="GO72:GO135" si="1">SUM(GH72:GN72)</f>
        <v>0</v>
      </c>
      <c r="GP72" s="87"/>
      <c r="GR72" s="145" cm="1">
        <f t="array" ref="GR72">SUMPRODUCT(--($CR$7:$FW$7&gt;=GR$5),--($CR$7:$FW$7&lt;=GR$6),$CR72:$FW72)</f>
        <v>0</v>
      </c>
    </row>
    <row r="73" spans="2:200" x14ac:dyDescent="0.2">
      <c r="B73" s="141"/>
      <c r="C73" s="141"/>
      <c r="D73" s="141"/>
      <c r="E73" s="141"/>
      <c r="F73" s="141"/>
      <c r="G73" s="141"/>
      <c r="H73" s="142"/>
      <c r="I73" s="126"/>
      <c r="J73" s="143"/>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3"/>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145"/>
      <c r="EK73" s="145"/>
      <c r="EL73" s="145"/>
      <c r="EM73" s="145"/>
      <c r="EN73" s="145"/>
      <c r="EO73" s="145"/>
      <c r="EP73" s="145"/>
      <c r="EQ73" s="145"/>
      <c r="ER73" s="145"/>
      <c r="ES73" s="145"/>
      <c r="ET73" s="145"/>
      <c r="EU73" s="145"/>
      <c r="EV73" s="145"/>
      <c r="EW73" s="145"/>
      <c r="EX73" s="145"/>
      <c r="EY73" s="145"/>
      <c r="EZ73" s="145"/>
      <c r="FA73" s="145"/>
      <c r="FB73" s="145"/>
      <c r="FC73" s="145"/>
      <c r="FD73" s="145"/>
      <c r="FE73" s="145"/>
      <c r="FF73" s="145"/>
      <c r="FG73" s="145"/>
      <c r="FH73" s="145"/>
      <c r="FI73" s="145"/>
      <c r="FJ73" s="145"/>
      <c r="FK73" s="145"/>
      <c r="FL73" s="145"/>
      <c r="FM73" s="145"/>
      <c r="FN73" s="145"/>
      <c r="FO73" s="145"/>
      <c r="FP73" s="145"/>
      <c r="FQ73" s="145"/>
      <c r="FR73" s="145"/>
      <c r="FS73" s="145"/>
      <c r="FT73" s="145"/>
      <c r="FU73" s="145"/>
      <c r="FV73" s="145"/>
      <c r="FW73" s="145"/>
      <c r="FX73" s="143"/>
      <c r="FY73" s="146">
        <f>_xlfn.XLOOKUP($E73,'Key assumptions'!$B$112:$B$120,'Key assumptions'!$C$112:$C$120,0)</f>
        <v>0</v>
      </c>
      <c r="FZ73" s="146" cm="1">
        <f t="array" ref="FZ73">IF($FY73=0,0,_xlfn.IFS($FY73='Key assumptions'!$C$120,_xlfn.XLOOKUP(LEFT(FZ$7,6),Inflation_Year,Inflation_NominaltoReal),TRUE,_xlfn.XLOOKUP($FY73,Inflation_Year,NominaltoReal)))</f>
        <v>0</v>
      </c>
      <c r="GA73" s="146" cm="1">
        <f t="array" ref="GA73">IF($FY73=0,0,_xlfn.IFS($FY73='Key assumptions'!$C$120,_xlfn.XLOOKUP(LEFT(GA$7,6),Inflation_Year,Inflation_NominaltoReal),TRUE,_xlfn.XLOOKUP($FY73,Inflation_Year,NominaltoReal)))</f>
        <v>0</v>
      </c>
      <c r="GB73" s="146" cm="1">
        <f t="array" ref="GB73">IF($FY73=0,0,_xlfn.IFS($FY73='Key assumptions'!$C$120,_xlfn.XLOOKUP(LEFT(GB$7,6),Inflation_Year,Inflation_NominaltoReal),TRUE,_xlfn.XLOOKUP($FY73,Inflation_Year,NominaltoReal)))</f>
        <v>0</v>
      </c>
      <c r="GC73" s="146" cm="1">
        <f t="array" ref="GC73">IF($FY73=0,0,_xlfn.IFS($FY73='Key assumptions'!$C$120,_xlfn.XLOOKUP(LEFT(GC$7,6),Inflation_Year,Inflation_NominaltoReal),TRUE,_xlfn.XLOOKUP($FY73,Inflation_Year,NominaltoReal)))</f>
        <v>0</v>
      </c>
      <c r="GD73" s="146" cm="1">
        <f t="array" ref="GD73">IF($FY73=0,0,_xlfn.IFS($FY73='Key assumptions'!$C$120,_xlfn.XLOOKUP(LEFT(GD$7,6),Inflation_Year,Inflation_NominaltoReal),TRUE,_xlfn.XLOOKUP($FY73,Inflation_Year,NominaltoReal)))</f>
        <v>0</v>
      </c>
      <c r="GE73" s="146" cm="1">
        <f t="array" ref="GE73">IF($FY73=0,0,_xlfn.IFS($FY73='Key assumptions'!$C$120,_xlfn.XLOOKUP(LEFT(GE$7,6),Inflation_Year,Inflation_NominaltoReal),TRUE,_xlfn.XLOOKUP($FY73,Inflation_Year,NominaltoReal)))</f>
        <v>0</v>
      </c>
      <c r="GF73" s="146" cm="1">
        <f t="array" ref="GF73">IF($FY73=0,0,_xlfn.IFS($FY73='Key assumptions'!$C$120,_xlfn.XLOOKUP(LEFT(GF$7,6),Inflation_Year,Inflation_NominaltoReal),TRUE,_xlfn.XLOOKUP($FY73,Inflation_Year,NominaltoReal)))</f>
        <v>0</v>
      </c>
      <c r="GG73" s="143"/>
      <c r="GH73" s="145" cm="1">
        <f t="array" ref="GH73">SUMPRODUCT(--($CR$7:$FW$7&gt;=GH$5),--($CR$7:$FW$7&lt;=GH$6),$CR73:$FW73)*FZ73</f>
        <v>0</v>
      </c>
      <c r="GI73" s="145" cm="1">
        <f t="array" ref="GI73">SUMPRODUCT(--($CR$7:$FW$7&gt;=GI$5),--($CR$7:$FW$7&lt;=GI$6),$CR73:$FW73)*GA73</f>
        <v>0</v>
      </c>
      <c r="GJ73" s="145" cm="1">
        <f t="array" ref="GJ73">SUMPRODUCT(--($CR$7:$FW$7&gt;=GJ$5),--($CR$7:$FW$7&lt;=GJ$6),$CR73:$FW73)*GB73</f>
        <v>0</v>
      </c>
      <c r="GK73" s="145" cm="1">
        <f t="array" ref="GK73">SUMPRODUCT(--($CR$7:$FW$7&gt;=GK$5),--($CR$7:$FW$7&lt;=GK$6),$CR73:$FW73)*GC73</f>
        <v>0</v>
      </c>
      <c r="GL73" s="145" cm="1">
        <f t="array" ref="GL73">SUMPRODUCT(--($CR$7:$FW$7&gt;=GL$5),--($CR$7:$FW$7&lt;=GL$6),$CR73:$FW73)*GD73</f>
        <v>0</v>
      </c>
      <c r="GM73" s="145" cm="1">
        <f t="array" ref="GM73">SUMPRODUCT(--($CR$7:$FW$7&gt;=GM$5),--($CR$7:$FW$7&lt;=GM$6),$CR73:$FW73)*GE73</f>
        <v>0</v>
      </c>
      <c r="GN73" s="145" cm="1">
        <f t="array" ref="GN73">SUMPRODUCT(--($CR$7:$FW$7&gt;=GN$5),--($CR$7:$FW$7&lt;=GN$6),$CR73:$FW73)*GF73</f>
        <v>0</v>
      </c>
      <c r="GO73" s="145">
        <f t="shared" si="1"/>
        <v>0</v>
      </c>
      <c r="GP73" s="87"/>
      <c r="GR73" s="145" cm="1">
        <f t="array" ref="GR73">SUMPRODUCT(--($CR$7:$FW$7&gt;=GR$5),--($CR$7:$FW$7&lt;=GR$6),$CR73:$FW73)</f>
        <v>0</v>
      </c>
    </row>
    <row r="74" spans="2:200" x14ac:dyDescent="0.2">
      <c r="B74" s="141"/>
      <c r="C74" s="141"/>
      <c r="D74" s="141"/>
      <c r="E74" s="141"/>
      <c r="F74" s="141"/>
      <c r="G74" s="141"/>
      <c r="H74" s="142"/>
      <c r="I74" s="126"/>
      <c r="J74" s="143"/>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3"/>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3"/>
      <c r="FY74" s="146">
        <f>_xlfn.XLOOKUP($E74,'Key assumptions'!$B$112:$B$120,'Key assumptions'!$C$112:$C$120,0)</f>
        <v>0</v>
      </c>
      <c r="FZ74" s="146" cm="1">
        <f t="array" ref="FZ74">IF($FY74=0,0,_xlfn.IFS($FY74='Key assumptions'!$C$120,_xlfn.XLOOKUP(LEFT(FZ$7,6),Inflation_Year,Inflation_NominaltoReal),TRUE,_xlfn.XLOOKUP($FY74,Inflation_Year,NominaltoReal)))</f>
        <v>0</v>
      </c>
      <c r="GA74" s="146" cm="1">
        <f t="array" ref="GA74">IF($FY74=0,0,_xlfn.IFS($FY74='Key assumptions'!$C$120,_xlfn.XLOOKUP(LEFT(GA$7,6),Inflation_Year,Inflation_NominaltoReal),TRUE,_xlfn.XLOOKUP($FY74,Inflation_Year,NominaltoReal)))</f>
        <v>0</v>
      </c>
      <c r="GB74" s="146" cm="1">
        <f t="array" ref="GB74">IF($FY74=0,0,_xlfn.IFS($FY74='Key assumptions'!$C$120,_xlfn.XLOOKUP(LEFT(GB$7,6),Inflation_Year,Inflation_NominaltoReal),TRUE,_xlfn.XLOOKUP($FY74,Inflation_Year,NominaltoReal)))</f>
        <v>0</v>
      </c>
      <c r="GC74" s="146" cm="1">
        <f t="array" ref="GC74">IF($FY74=0,0,_xlfn.IFS($FY74='Key assumptions'!$C$120,_xlfn.XLOOKUP(LEFT(GC$7,6),Inflation_Year,Inflation_NominaltoReal),TRUE,_xlfn.XLOOKUP($FY74,Inflation_Year,NominaltoReal)))</f>
        <v>0</v>
      </c>
      <c r="GD74" s="146" cm="1">
        <f t="array" ref="GD74">IF($FY74=0,0,_xlfn.IFS($FY74='Key assumptions'!$C$120,_xlfn.XLOOKUP(LEFT(GD$7,6),Inflation_Year,Inflation_NominaltoReal),TRUE,_xlfn.XLOOKUP($FY74,Inflation_Year,NominaltoReal)))</f>
        <v>0</v>
      </c>
      <c r="GE74" s="146" cm="1">
        <f t="array" ref="GE74">IF($FY74=0,0,_xlfn.IFS($FY74='Key assumptions'!$C$120,_xlfn.XLOOKUP(LEFT(GE$7,6),Inflation_Year,Inflation_NominaltoReal),TRUE,_xlfn.XLOOKUP($FY74,Inflation_Year,NominaltoReal)))</f>
        <v>0</v>
      </c>
      <c r="GF74" s="146" cm="1">
        <f t="array" ref="GF74">IF($FY74=0,0,_xlfn.IFS($FY74='Key assumptions'!$C$120,_xlfn.XLOOKUP(LEFT(GF$7,6),Inflation_Year,Inflation_NominaltoReal),TRUE,_xlfn.XLOOKUP($FY74,Inflation_Year,NominaltoReal)))</f>
        <v>0</v>
      </c>
      <c r="GG74" s="143"/>
      <c r="GH74" s="145" cm="1">
        <f t="array" ref="GH74">SUMPRODUCT(--($CR$7:$FW$7&gt;=GH$5),--($CR$7:$FW$7&lt;=GH$6),$CR74:$FW74)*FZ74</f>
        <v>0</v>
      </c>
      <c r="GI74" s="145" cm="1">
        <f t="array" ref="GI74">SUMPRODUCT(--($CR$7:$FW$7&gt;=GI$5),--($CR$7:$FW$7&lt;=GI$6),$CR74:$FW74)*GA74</f>
        <v>0</v>
      </c>
      <c r="GJ74" s="145" cm="1">
        <f t="array" ref="GJ74">SUMPRODUCT(--($CR$7:$FW$7&gt;=GJ$5),--($CR$7:$FW$7&lt;=GJ$6),$CR74:$FW74)*GB74</f>
        <v>0</v>
      </c>
      <c r="GK74" s="145" cm="1">
        <f t="array" ref="GK74">SUMPRODUCT(--($CR$7:$FW$7&gt;=GK$5),--($CR$7:$FW$7&lt;=GK$6),$CR74:$FW74)*GC74</f>
        <v>0</v>
      </c>
      <c r="GL74" s="145" cm="1">
        <f t="array" ref="GL74">SUMPRODUCT(--($CR$7:$FW$7&gt;=GL$5),--($CR$7:$FW$7&lt;=GL$6),$CR74:$FW74)*GD74</f>
        <v>0</v>
      </c>
      <c r="GM74" s="145" cm="1">
        <f t="array" ref="GM74">SUMPRODUCT(--($CR$7:$FW$7&gt;=GM$5),--($CR$7:$FW$7&lt;=GM$6),$CR74:$FW74)*GE74</f>
        <v>0</v>
      </c>
      <c r="GN74" s="145" cm="1">
        <f t="array" ref="GN74">SUMPRODUCT(--($CR$7:$FW$7&gt;=GN$5),--($CR$7:$FW$7&lt;=GN$6),$CR74:$FW74)*GF74</f>
        <v>0</v>
      </c>
      <c r="GO74" s="145">
        <f t="shared" si="1"/>
        <v>0</v>
      </c>
      <c r="GP74" s="87"/>
      <c r="GR74" s="145" cm="1">
        <f t="array" ref="GR74">SUMPRODUCT(--($CR$7:$FW$7&gt;=GR$5),--($CR$7:$FW$7&lt;=GR$6),$CR74:$FW74)</f>
        <v>0</v>
      </c>
    </row>
    <row r="75" spans="2:200" x14ac:dyDescent="0.2">
      <c r="B75" s="141"/>
      <c r="C75" s="141"/>
      <c r="D75" s="141"/>
      <c r="E75" s="141"/>
      <c r="F75" s="141"/>
      <c r="G75" s="141"/>
      <c r="H75" s="142"/>
      <c r="I75" s="126"/>
      <c r="J75" s="143"/>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3"/>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145"/>
      <c r="EH75" s="145"/>
      <c r="EI75" s="145"/>
      <c r="EJ75" s="145"/>
      <c r="EK75" s="145"/>
      <c r="EL75" s="145"/>
      <c r="EM75" s="145"/>
      <c r="EN75" s="145"/>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3"/>
      <c r="FY75" s="146">
        <f>_xlfn.XLOOKUP($E75,'Key assumptions'!$B$112:$B$120,'Key assumptions'!$C$112:$C$120,0)</f>
        <v>0</v>
      </c>
      <c r="FZ75" s="146" cm="1">
        <f t="array" ref="FZ75">IF($FY75=0,0,_xlfn.IFS($FY75='Key assumptions'!$C$120,_xlfn.XLOOKUP(LEFT(FZ$7,6),Inflation_Year,Inflation_NominaltoReal),TRUE,_xlfn.XLOOKUP($FY75,Inflation_Year,NominaltoReal)))</f>
        <v>0</v>
      </c>
      <c r="GA75" s="146" cm="1">
        <f t="array" ref="GA75">IF($FY75=0,0,_xlfn.IFS($FY75='Key assumptions'!$C$120,_xlfn.XLOOKUP(LEFT(GA$7,6),Inflation_Year,Inflation_NominaltoReal),TRUE,_xlfn.XLOOKUP($FY75,Inflation_Year,NominaltoReal)))</f>
        <v>0</v>
      </c>
      <c r="GB75" s="146" cm="1">
        <f t="array" ref="GB75">IF($FY75=0,0,_xlfn.IFS($FY75='Key assumptions'!$C$120,_xlfn.XLOOKUP(LEFT(GB$7,6),Inflation_Year,Inflation_NominaltoReal),TRUE,_xlfn.XLOOKUP($FY75,Inflation_Year,NominaltoReal)))</f>
        <v>0</v>
      </c>
      <c r="GC75" s="146" cm="1">
        <f t="array" ref="GC75">IF($FY75=0,0,_xlfn.IFS($FY75='Key assumptions'!$C$120,_xlfn.XLOOKUP(LEFT(GC$7,6),Inflation_Year,Inflation_NominaltoReal),TRUE,_xlfn.XLOOKUP($FY75,Inflation_Year,NominaltoReal)))</f>
        <v>0</v>
      </c>
      <c r="GD75" s="146" cm="1">
        <f t="array" ref="GD75">IF($FY75=0,0,_xlfn.IFS($FY75='Key assumptions'!$C$120,_xlfn.XLOOKUP(LEFT(GD$7,6),Inflation_Year,Inflation_NominaltoReal),TRUE,_xlfn.XLOOKUP($FY75,Inflation_Year,NominaltoReal)))</f>
        <v>0</v>
      </c>
      <c r="GE75" s="146" cm="1">
        <f t="array" ref="GE75">IF($FY75=0,0,_xlfn.IFS($FY75='Key assumptions'!$C$120,_xlfn.XLOOKUP(LEFT(GE$7,6),Inflation_Year,Inflation_NominaltoReal),TRUE,_xlfn.XLOOKUP($FY75,Inflation_Year,NominaltoReal)))</f>
        <v>0</v>
      </c>
      <c r="GF75" s="146" cm="1">
        <f t="array" ref="GF75">IF($FY75=0,0,_xlfn.IFS($FY75='Key assumptions'!$C$120,_xlfn.XLOOKUP(LEFT(GF$7,6),Inflation_Year,Inflation_NominaltoReal),TRUE,_xlfn.XLOOKUP($FY75,Inflation_Year,NominaltoReal)))</f>
        <v>0</v>
      </c>
      <c r="GG75" s="143"/>
      <c r="GH75" s="145" cm="1">
        <f t="array" ref="GH75">SUMPRODUCT(--($CR$7:$FW$7&gt;=GH$5),--($CR$7:$FW$7&lt;=GH$6),$CR75:$FW75)*FZ75</f>
        <v>0</v>
      </c>
      <c r="GI75" s="145" cm="1">
        <f t="array" ref="GI75">SUMPRODUCT(--($CR$7:$FW$7&gt;=GI$5),--($CR$7:$FW$7&lt;=GI$6),$CR75:$FW75)*GA75</f>
        <v>0</v>
      </c>
      <c r="GJ75" s="145" cm="1">
        <f t="array" ref="GJ75">SUMPRODUCT(--($CR$7:$FW$7&gt;=GJ$5),--($CR$7:$FW$7&lt;=GJ$6),$CR75:$FW75)*GB75</f>
        <v>0</v>
      </c>
      <c r="GK75" s="145" cm="1">
        <f t="array" ref="GK75">SUMPRODUCT(--($CR$7:$FW$7&gt;=GK$5),--($CR$7:$FW$7&lt;=GK$6),$CR75:$FW75)*GC75</f>
        <v>0</v>
      </c>
      <c r="GL75" s="145" cm="1">
        <f t="array" ref="GL75">SUMPRODUCT(--($CR$7:$FW$7&gt;=GL$5),--($CR$7:$FW$7&lt;=GL$6),$CR75:$FW75)*GD75</f>
        <v>0</v>
      </c>
      <c r="GM75" s="145" cm="1">
        <f t="array" ref="GM75">SUMPRODUCT(--($CR$7:$FW$7&gt;=GM$5),--($CR$7:$FW$7&lt;=GM$6),$CR75:$FW75)*GE75</f>
        <v>0</v>
      </c>
      <c r="GN75" s="145" cm="1">
        <f t="array" ref="GN75">SUMPRODUCT(--($CR$7:$FW$7&gt;=GN$5),--($CR$7:$FW$7&lt;=GN$6),$CR75:$FW75)*GF75</f>
        <v>0</v>
      </c>
      <c r="GO75" s="145">
        <f t="shared" si="1"/>
        <v>0</v>
      </c>
      <c r="GP75" s="87"/>
      <c r="GR75" s="145" cm="1">
        <f t="array" ref="GR75">SUMPRODUCT(--($CR$7:$FW$7&gt;=GR$5),--($CR$7:$FW$7&lt;=GR$6),$CR75:$FW75)</f>
        <v>0</v>
      </c>
    </row>
    <row r="76" spans="2:200" x14ac:dyDescent="0.2">
      <c r="B76" s="141"/>
      <c r="C76" s="141"/>
      <c r="D76" s="141"/>
      <c r="E76" s="141"/>
      <c r="F76" s="141"/>
      <c r="G76" s="141"/>
      <c r="H76" s="142"/>
      <c r="I76" s="126"/>
      <c r="J76" s="143"/>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3"/>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c r="EE76" s="145"/>
      <c r="EF76" s="145"/>
      <c r="EG76" s="145"/>
      <c r="EH76" s="145"/>
      <c r="EI76" s="145"/>
      <c r="EJ76" s="145"/>
      <c r="EK76" s="145"/>
      <c r="EL76" s="145"/>
      <c r="EM76" s="145"/>
      <c r="EN76" s="145"/>
      <c r="EO76" s="145"/>
      <c r="EP76" s="145"/>
      <c r="EQ76" s="145"/>
      <c r="ER76" s="145"/>
      <c r="ES76" s="145"/>
      <c r="ET76" s="145"/>
      <c r="EU76" s="145"/>
      <c r="EV76" s="145"/>
      <c r="EW76" s="145"/>
      <c r="EX76" s="145"/>
      <c r="EY76" s="145"/>
      <c r="EZ76" s="145"/>
      <c r="FA76" s="145"/>
      <c r="FB76" s="145"/>
      <c r="FC76" s="145"/>
      <c r="FD76" s="145"/>
      <c r="FE76" s="145"/>
      <c r="FF76" s="145"/>
      <c r="FG76" s="145"/>
      <c r="FH76" s="145"/>
      <c r="FI76" s="145"/>
      <c r="FJ76" s="145"/>
      <c r="FK76" s="145"/>
      <c r="FL76" s="145"/>
      <c r="FM76" s="145"/>
      <c r="FN76" s="145"/>
      <c r="FO76" s="145"/>
      <c r="FP76" s="145"/>
      <c r="FQ76" s="145"/>
      <c r="FR76" s="145"/>
      <c r="FS76" s="145"/>
      <c r="FT76" s="145"/>
      <c r="FU76" s="145"/>
      <c r="FV76" s="145"/>
      <c r="FW76" s="145"/>
      <c r="FX76" s="143"/>
      <c r="FY76" s="146">
        <f>_xlfn.XLOOKUP($E76,'Key assumptions'!$B$112:$B$120,'Key assumptions'!$C$112:$C$120,0)</f>
        <v>0</v>
      </c>
      <c r="FZ76" s="146" cm="1">
        <f t="array" ref="FZ76">IF($FY76=0,0,_xlfn.IFS($FY76='Key assumptions'!$C$120,_xlfn.XLOOKUP(LEFT(FZ$7,6),Inflation_Year,Inflation_NominaltoReal),TRUE,_xlfn.XLOOKUP($FY76,Inflation_Year,NominaltoReal)))</f>
        <v>0</v>
      </c>
      <c r="GA76" s="146" cm="1">
        <f t="array" ref="GA76">IF($FY76=0,0,_xlfn.IFS($FY76='Key assumptions'!$C$120,_xlfn.XLOOKUP(LEFT(GA$7,6),Inflation_Year,Inflation_NominaltoReal),TRUE,_xlfn.XLOOKUP($FY76,Inflation_Year,NominaltoReal)))</f>
        <v>0</v>
      </c>
      <c r="GB76" s="146" cm="1">
        <f t="array" ref="GB76">IF($FY76=0,0,_xlfn.IFS($FY76='Key assumptions'!$C$120,_xlfn.XLOOKUP(LEFT(GB$7,6),Inflation_Year,Inflation_NominaltoReal),TRUE,_xlfn.XLOOKUP($FY76,Inflation_Year,NominaltoReal)))</f>
        <v>0</v>
      </c>
      <c r="GC76" s="146" cm="1">
        <f t="array" ref="GC76">IF($FY76=0,0,_xlfn.IFS($FY76='Key assumptions'!$C$120,_xlfn.XLOOKUP(LEFT(GC$7,6),Inflation_Year,Inflation_NominaltoReal),TRUE,_xlfn.XLOOKUP($FY76,Inflation_Year,NominaltoReal)))</f>
        <v>0</v>
      </c>
      <c r="GD76" s="146" cm="1">
        <f t="array" ref="GD76">IF($FY76=0,0,_xlfn.IFS($FY76='Key assumptions'!$C$120,_xlfn.XLOOKUP(LEFT(GD$7,6),Inflation_Year,Inflation_NominaltoReal),TRUE,_xlfn.XLOOKUP($FY76,Inflation_Year,NominaltoReal)))</f>
        <v>0</v>
      </c>
      <c r="GE76" s="146" cm="1">
        <f t="array" ref="GE76">IF($FY76=0,0,_xlfn.IFS($FY76='Key assumptions'!$C$120,_xlfn.XLOOKUP(LEFT(GE$7,6),Inflation_Year,Inflation_NominaltoReal),TRUE,_xlfn.XLOOKUP($FY76,Inflation_Year,NominaltoReal)))</f>
        <v>0</v>
      </c>
      <c r="GF76" s="146" cm="1">
        <f t="array" ref="GF76">IF($FY76=0,0,_xlfn.IFS($FY76='Key assumptions'!$C$120,_xlfn.XLOOKUP(LEFT(GF$7,6),Inflation_Year,Inflation_NominaltoReal),TRUE,_xlfn.XLOOKUP($FY76,Inflation_Year,NominaltoReal)))</f>
        <v>0</v>
      </c>
      <c r="GG76" s="143"/>
      <c r="GH76" s="145" cm="1">
        <f t="array" ref="GH76">SUMPRODUCT(--($CR$7:$FW$7&gt;=GH$5),--($CR$7:$FW$7&lt;=GH$6),$CR76:$FW76)*FZ76</f>
        <v>0</v>
      </c>
      <c r="GI76" s="145" cm="1">
        <f t="array" ref="GI76">SUMPRODUCT(--($CR$7:$FW$7&gt;=GI$5),--($CR$7:$FW$7&lt;=GI$6),$CR76:$FW76)*GA76</f>
        <v>0</v>
      </c>
      <c r="GJ76" s="145" cm="1">
        <f t="array" ref="GJ76">SUMPRODUCT(--($CR$7:$FW$7&gt;=GJ$5),--($CR$7:$FW$7&lt;=GJ$6),$CR76:$FW76)*GB76</f>
        <v>0</v>
      </c>
      <c r="GK76" s="145" cm="1">
        <f t="array" ref="GK76">SUMPRODUCT(--($CR$7:$FW$7&gt;=GK$5),--($CR$7:$FW$7&lt;=GK$6),$CR76:$FW76)*GC76</f>
        <v>0</v>
      </c>
      <c r="GL76" s="145" cm="1">
        <f t="array" ref="GL76">SUMPRODUCT(--($CR$7:$FW$7&gt;=GL$5),--($CR$7:$FW$7&lt;=GL$6),$CR76:$FW76)*GD76</f>
        <v>0</v>
      </c>
      <c r="GM76" s="145" cm="1">
        <f t="array" ref="GM76">SUMPRODUCT(--($CR$7:$FW$7&gt;=GM$5),--($CR$7:$FW$7&lt;=GM$6),$CR76:$FW76)*GE76</f>
        <v>0</v>
      </c>
      <c r="GN76" s="145" cm="1">
        <f t="array" ref="GN76">SUMPRODUCT(--($CR$7:$FW$7&gt;=GN$5),--($CR$7:$FW$7&lt;=GN$6),$CR76:$FW76)*GF76</f>
        <v>0</v>
      </c>
      <c r="GO76" s="145">
        <f t="shared" si="1"/>
        <v>0</v>
      </c>
      <c r="GP76" s="87"/>
      <c r="GR76" s="145" cm="1">
        <f t="array" ref="GR76">SUMPRODUCT(--($CR$7:$FW$7&gt;=GR$5),--($CR$7:$FW$7&lt;=GR$6),$CR76:$FW76)</f>
        <v>0</v>
      </c>
    </row>
    <row r="77" spans="2:200" x14ac:dyDescent="0.2">
      <c r="B77" s="141"/>
      <c r="C77" s="141"/>
      <c r="D77" s="141"/>
      <c r="E77" s="141"/>
      <c r="F77" s="141"/>
      <c r="G77" s="141"/>
      <c r="H77" s="142"/>
      <c r="I77" s="126"/>
      <c r="J77" s="143"/>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3"/>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c r="EE77" s="145"/>
      <c r="EF77" s="145"/>
      <c r="EG77" s="145"/>
      <c r="EH77" s="145"/>
      <c r="EI77" s="145"/>
      <c r="EJ77" s="145"/>
      <c r="EK77" s="145"/>
      <c r="EL77" s="145"/>
      <c r="EM77" s="145"/>
      <c r="EN77" s="145"/>
      <c r="EO77" s="145"/>
      <c r="EP77" s="145"/>
      <c r="EQ77" s="145"/>
      <c r="ER77" s="145"/>
      <c r="ES77" s="145"/>
      <c r="ET77" s="145"/>
      <c r="EU77" s="145"/>
      <c r="EV77" s="145"/>
      <c r="EW77" s="145"/>
      <c r="EX77" s="145"/>
      <c r="EY77" s="145"/>
      <c r="EZ77" s="145"/>
      <c r="FA77" s="145"/>
      <c r="FB77" s="145"/>
      <c r="FC77" s="145"/>
      <c r="FD77" s="145"/>
      <c r="FE77" s="145"/>
      <c r="FF77" s="145"/>
      <c r="FG77" s="145"/>
      <c r="FH77" s="145"/>
      <c r="FI77" s="145"/>
      <c r="FJ77" s="145"/>
      <c r="FK77" s="145"/>
      <c r="FL77" s="145"/>
      <c r="FM77" s="145"/>
      <c r="FN77" s="145"/>
      <c r="FO77" s="145"/>
      <c r="FP77" s="145"/>
      <c r="FQ77" s="145"/>
      <c r="FR77" s="145"/>
      <c r="FS77" s="145"/>
      <c r="FT77" s="145"/>
      <c r="FU77" s="145"/>
      <c r="FV77" s="145"/>
      <c r="FW77" s="145"/>
      <c r="FX77" s="143"/>
      <c r="FY77" s="146">
        <f>_xlfn.XLOOKUP($E77,'Key assumptions'!$B$112:$B$120,'Key assumptions'!$C$112:$C$120,0)</f>
        <v>0</v>
      </c>
      <c r="FZ77" s="146" cm="1">
        <f t="array" ref="FZ77">IF($FY77=0,0,_xlfn.IFS($FY77='Key assumptions'!$C$120,_xlfn.XLOOKUP(LEFT(FZ$7,6),Inflation_Year,Inflation_NominaltoReal),TRUE,_xlfn.XLOOKUP($FY77,Inflation_Year,NominaltoReal)))</f>
        <v>0</v>
      </c>
      <c r="GA77" s="146" cm="1">
        <f t="array" ref="GA77">IF($FY77=0,0,_xlfn.IFS($FY77='Key assumptions'!$C$120,_xlfn.XLOOKUP(LEFT(GA$7,6),Inflation_Year,Inflation_NominaltoReal),TRUE,_xlfn.XLOOKUP($FY77,Inflation_Year,NominaltoReal)))</f>
        <v>0</v>
      </c>
      <c r="GB77" s="146" cm="1">
        <f t="array" ref="GB77">IF($FY77=0,0,_xlfn.IFS($FY77='Key assumptions'!$C$120,_xlfn.XLOOKUP(LEFT(GB$7,6),Inflation_Year,Inflation_NominaltoReal),TRUE,_xlfn.XLOOKUP($FY77,Inflation_Year,NominaltoReal)))</f>
        <v>0</v>
      </c>
      <c r="GC77" s="146" cm="1">
        <f t="array" ref="GC77">IF($FY77=0,0,_xlfn.IFS($FY77='Key assumptions'!$C$120,_xlfn.XLOOKUP(LEFT(GC$7,6),Inflation_Year,Inflation_NominaltoReal),TRUE,_xlfn.XLOOKUP($FY77,Inflation_Year,NominaltoReal)))</f>
        <v>0</v>
      </c>
      <c r="GD77" s="146" cm="1">
        <f t="array" ref="GD77">IF($FY77=0,0,_xlfn.IFS($FY77='Key assumptions'!$C$120,_xlfn.XLOOKUP(LEFT(GD$7,6),Inflation_Year,Inflation_NominaltoReal),TRUE,_xlfn.XLOOKUP($FY77,Inflation_Year,NominaltoReal)))</f>
        <v>0</v>
      </c>
      <c r="GE77" s="146" cm="1">
        <f t="array" ref="GE77">IF($FY77=0,0,_xlfn.IFS($FY77='Key assumptions'!$C$120,_xlfn.XLOOKUP(LEFT(GE$7,6),Inflation_Year,Inflation_NominaltoReal),TRUE,_xlfn.XLOOKUP($FY77,Inflation_Year,NominaltoReal)))</f>
        <v>0</v>
      </c>
      <c r="GF77" s="146" cm="1">
        <f t="array" ref="GF77">IF($FY77=0,0,_xlfn.IFS($FY77='Key assumptions'!$C$120,_xlfn.XLOOKUP(LEFT(GF$7,6),Inflation_Year,Inflation_NominaltoReal),TRUE,_xlfn.XLOOKUP($FY77,Inflation_Year,NominaltoReal)))</f>
        <v>0</v>
      </c>
      <c r="GG77" s="143"/>
      <c r="GH77" s="145" cm="1">
        <f t="array" ref="GH77">SUMPRODUCT(--($CR$7:$FW$7&gt;=GH$5),--($CR$7:$FW$7&lt;=GH$6),$CR77:$FW77)*FZ77</f>
        <v>0</v>
      </c>
      <c r="GI77" s="145" cm="1">
        <f t="array" ref="GI77">SUMPRODUCT(--($CR$7:$FW$7&gt;=GI$5),--($CR$7:$FW$7&lt;=GI$6),$CR77:$FW77)*GA77</f>
        <v>0</v>
      </c>
      <c r="GJ77" s="145" cm="1">
        <f t="array" ref="GJ77">SUMPRODUCT(--($CR$7:$FW$7&gt;=GJ$5),--($CR$7:$FW$7&lt;=GJ$6),$CR77:$FW77)*GB77</f>
        <v>0</v>
      </c>
      <c r="GK77" s="145" cm="1">
        <f t="array" ref="GK77">SUMPRODUCT(--($CR$7:$FW$7&gt;=GK$5),--($CR$7:$FW$7&lt;=GK$6),$CR77:$FW77)*GC77</f>
        <v>0</v>
      </c>
      <c r="GL77" s="145" cm="1">
        <f t="array" ref="GL77">SUMPRODUCT(--($CR$7:$FW$7&gt;=GL$5),--($CR$7:$FW$7&lt;=GL$6),$CR77:$FW77)*GD77</f>
        <v>0</v>
      </c>
      <c r="GM77" s="145" cm="1">
        <f t="array" ref="GM77">SUMPRODUCT(--($CR$7:$FW$7&gt;=GM$5),--($CR$7:$FW$7&lt;=GM$6),$CR77:$FW77)*GE77</f>
        <v>0</v>
      </c>
      <c r="GN77" s="145" cm="1">
        <f t="array" ref="GN77">SUMPRODUCT(--($CR$7:$FW$7&gt;=GN$5),--($CR$7:$FW$7&lt;=GN$6),$CR77:$FW77)*GF77</f>
        <v>0</v>
      </c>
      <c r="GO77" s="145">
        <f t="shared" si="1"/>
        <v>0</v>
      </c>
      <c r="GP77" s="87"/>
      <c r="GR77" s="145" cm="1">
        <f t="array" ref="GR77">SUMPRODUCT(--($CR$7:$FW$7&gt;=GR$5),--($CR$7:$FW$7&lt;=GR$6),$CR77:$FW77)</f>
        <v>0</v>
      </c>
    </row>
    <row r="78" spans="2:200" x14ac:dyDescent="0.2">
      <c r="B78" s="141"/>
      <c r="C78" s="141"/>
      <c r="D78" s="141"/>
      <c r="E78" s="141"/>
      <c r="F78" s="141"/>
      <c r="G78" s="141"/>
      <c r="H78" s="142"/>
      <c r="I78" s="126"/>
      <c r="J78" s="143"/>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3"/>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c r="EE78" s="145"/>
      <c r="EF78" s="145"/>
      <c r="EG78" s="145"/>
      <c r="EH78" s="145"/>
      <c r="EI78" s="145"/>
      <c r="EJ78" s="145"/>
      <c r="EK78" s="145"/>
      <c r="EL78" s="145"/>
      <c r="EM78" s="145"/>
      <c r="EN78" s="145"/>
      <c r="EO78" s="145"/>
      <c r="EP78" s="145"/>
      <c r="EQ78" s="145"/>
      <c r="ER78" s="145"/>
      <c r="ES78" s="145"/>
      <c r="ET78" s="145"/>
      <c r="EU78" s="145"/>
      <c r="EV78" s="145"/>
      <c r="EW78" s="145"/>
      <c r="EX78" s="145"/>
      <c r="EY78" s="145"/>
      <c r="EZ78" s="145"/>
      <c r="FA78" s="145"/>
      <c r="FB78" s="145"/>
      <c r="FC78" s="145"/>
      <c r="FD78" s="145"/>
      <c r="FE78" s="145"/>
      <c r="FF78" s="145"/>
      <c r="FG78" s="145"/>
      <c r="FH78" s="145"/>
      <c r="FI78" s="145"/>
      <c r="FJ78" s="145"/>
      <c r="FK78" s="145"/>
      <c r="FL78" s="145"/>
      <c r="FM78" s="145"/>
      <c r="FN78" s="145"/>
      <c r="FO78" s="145"/>
      <c r="FP78" s="145"/>
      <c r="FQ78" s="145"/>
      <c r="FR78" s="145"/>
      <c r="FS78" s="145"/>
      <c r="FT78" s="145"/>
      <c r="FU78" s="145"/>
      <c r="FV78" s="145"/>
      <c r="FW78" s="145"/>
      <c r="FX78" s="143"/>
      <c r="FY78" s="146">
        <f>_xlfn.XLOOKUP($E78,'Key assumptions'!$B$112:$B$120,'Key assumptions'!$C$112:$C$120,0)</f>
        <v>0</v>
      </c>
      <c r="FZ78" s="146" cm="1">
        <f t="array" ref="FZ78">IF($FY78=0,0,_xlfn.IFS($FY78='Key assumptions'!$C$120,_xlfn.XLOOKUP(LEFT(FZ$7,6),Inflation_Year,Inflation_NominaltoReal),TRUE,_xlfn.XLOOKUP($FY78,Inflation_Year,NominaltoReal)))</f>
        <v>0</v>
      </c>
      <c r="GA78" s="146" cm="1">
        <f t="array" ref="GA78">IF($FY78=0,0,_xlfn.IFS($FY78='Key assumptions'!$C$120,_xlfn.XLOOKUP(LEFT(GA$7,6),Inflation_Year,Inflation_NominaltoReal),TRUE,_xlfn.XLOOKUP($FY78,Inflation_Year,NominaltoReal)))</f>
        <v>0</v>
      </c>
      <c r="GB78" s="146" cm="1">
        <f t="array" ref="GB78">IF($FY78=0,0,_xlfn.IFS($FY78='Key assumptions'!$C$120,_xlfn.XLOOKUP(LEFT(GB$7,6),Inflation_Year,Inflation_NominaltoReal),TRUE,_xlfn.XLOOKUP($FY78,Inflation_Year,NominaltoReal)))</f>
        <v>0</v>
      </c>
      <c r="GC78" s="146" cm="1">
        <f t="array" ref="GC78">IF($FY78=0,0,_xlfn.IFS($FY78='Key assumptions'!$C$120,_xlfn.XLOOKUP(LEFT(GC$7,6),Inflation_Year,Inflation_NominaltoReal),TRUE,_xlfn.XLOOKUP($FY78,Inflation_Year,NominaltoReal)))</f>
        <v>0</v>
      </c>
      <c r="GD78" s="146" cm="1">
        <f t="array" ref="GD78">IF($FY78=0,0,_xlfn.IFS($FY78='Key assumptions'!$C$120,_xlfn.XLOOKUP(LEFT(GD$7,6),Inflation_Year,Inflation_NominaltoReal),TRUE,_xlfn.XLOOKUP($FY78,Inflation_Year,NominaltoReal)))</f>
        <v>0</v>
      </c>
      <c r="GE78" s="146" cm="1">
        <f t="array" ref="GE78">IF($FY78=0,0,_xlfn.IFS($FY78='Key assumptions'!$C$120,_xlfn.XLOOKUP(LEFT(GE$7,6),Inflation_Year,Inflation_NominaltoReal),TRUE,_xlfn.XLOOKUP($FY78,Inflation_Year,NominaltoReal)))</f>
        <v>0</v>
      </c>
      <c r="GF78" s="146" cm="1">
        <f t="array" ref="GF78">IF($FY78=0,0,_xlfn.IFS($FY78='Key assumptions'!$C$120,_xlfn.XLOOKUP(LEFT(GF$7,6),Inflation_Year,Inflation_NominaltoReal),TRUE,_xlfn.XLOOKUP($FY78,Inflation_Year,NominaltoReal)))</f>
        <v>0</v>
      </c>
      <c r="GG78" s="143"/>
      <c r="GH78" s="145" cm="1">
        <f t="array" ref="GH78">SUMPRODUCT(--($CR$7:$FW$7&gt;=GH$5),--($CR$7:$FW$7&lt;=GH$6),$CR78:$FW78)*FZ78</f>
        <v>0</v>
      </c>
      <c r="GI78" s="145" cm="1">
        <f t="array" ref="GI78">SUMPRODUCT(--($CR$7:$FW$7&gt;=GI$5),--($CR$7:$FW$7&lt;=GI$6),$CR78:$FW78)*GA78</f>
        <v>0</v>
      </c>
      <c r="GJ78" s="145" cm="1">
        <f t="array" ref="GJ78">SUMPRODUCT(--($CR$7:$FW$7&gt;=GJ$5),--($CR$7:$FW$7&lt;=GJ$6),$CR78:$FW78)*GB78</f>
        <v>0</v>
      </c>
      <c r="GK78" s="145" cm="1">
        <f t="array" ref="GK78">SUMPRODUCT(--($CR$7:$FW$7&gt;=GK$5),--($CR$7:$FW$7&lt;=GK$6),$CR78:$FW78)*GC78</f>
        <v>0</v>
      </c>
      <c r="GL78" s="145" cm="1">
        <f t="array" ref="GL78">SUMPRODUCT(--($CR$7:$FW$7&gt;=GL$5),--($CR$7:$FW$7&lt;=GL$6),$CR78:$FW78)*GD78</f>
        <v>0</v>
      </c>
      <c r="GM78" s="145" cm="1">
        <f t="array" ref="GM78">SUMPRODUCT(--($CR$7:$FW$7&gt;=GM$5),--($CR$7:$FW$7&lt;=GM$6),$CR78:$FW78)*GE78</f>
        <v>0</v>
      </c>
      <c r="GN78" s="145" cm="1">
        <f t="array" ref="GN78">SUMPRODUCT(--($CR$7:$FW$7&gt;=GN$5),--($CR$7:$FW$7&lt;=GN$6),$CR78:$FW78)*GF78</f>
        <v>0</v>
      </c>
      <c r="GO78" s="145">
        <f t="shared" si="1"/>
        <v>0</v>
      </c>
      <c r="GP78" s="87"/>
      <c r="GR78" s="145" cm="1">
        <f t="array" ref="GR78">SUMPRODUCT(--($CR$7:$FW$7&gt;=GR$5),--($CR$7:$FW$7&lt;=GR$6),$CR78:$FW78)</f>
        <v>0</v>
      </c>
    </row>
    <row r="79" spans="2:200" x14ac:dyDescent="0.2">
      <c r="B79" s="141"/>
      <c r="C79" s="141"/>
      <c r="D79" s="141"/>
      <c r="E79" s="141"/>
      <c r="F79" s="141"/>
      <c r="G79" s="141"/>
      <c r="H79" s="142"/>
      <c r="I79" s="126"/>
      <c r="J79" s="143"/>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3"/>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c r="EE79" s="145"/>
      <c r="EF79" s="145"/>
      <c r="EG79" s="145"/>
      <c r="EH79" s="145"/>
      <c r="EI79" s="145"/>
      <c r="EJ79" s="145"/>
      <c r="EK79" s="145"/>
      <c r="EL79" s="145"/>
      <c r="EM79" s="145"/>
      <c r="EN79" s="145"/>
      <c r="EO79" s="145"/>
      <c r="EP79" s="145"/>
      <c r="EQ79" s="145"/>
      <c r="ER79" s="145"/>
      <c r="ES79" s="145"/>
      <c r="ET79" s="145"/>
      <c r="EU79" s="145"/>
      <c r="EV79" s="145"/>
      <c r="EW79" s="145"/>
      <c r="EX79" s="145"/>
      <c r="EY79" s="145"/>
      <c r="EZ79" s="145"/>
      <c r="FA79" s="145"/>
      <c r="FB79" s="145"/>
      <c r="FC79" s="145"/>
      <c r="FD79" s="145"/>
      <c r="FE79" s="145"/>
      <c r="FF79" s="145"/>
      <c r="FG79" s="145"/>
      <c r="FH79" s="145"/>
      <c r="FI79" s="145"/>
      <c r="FJ79" s="145"/>
      <c r="FK79" s="145"/>
      <c r="FL79" s="145"/>
      <c r="FM79" s="145"/>
      <c r="FN79" s="145"/>
      <c r="FO79" s="145"/>
      <c r="FP79" s="145"/>
      <c r="FQ79" s="145"/>
      <c r="FR79" s="145"/>
      <c r="FS79" s="145"/>
      <c r="FT79" s="145"/>
      <c r="FU79" s="145"/>
      <c r="FV79" s="145"/>
      <c r="FW79" s="145"/>
      <c r="FX79" s="143"/>
      <c r="FY79" s="146">
        <f>_xlfn.XLOOKUP($E79,'Key assumptions'!$B$112:$B$120,'Key assumptions'!$C$112:$C$120,0)</f>
        <v>0</v>
      </c>
      <c r="FZ79" s="146" cm="1">
        <f t="array" ref="FZ79">IF($FY79=0,0,_xlfn.IFS($FY79='Key assumptions'!$C$120,_xlfn.XLOOKUP(LEFT(FZ$7,6),Inflation_Year,Inflation_NominaltoReal),TRUE,_xlfn.XLOOKUP($FY79,Inflation_Year,NominaltoReal)))</f>
        <v>0</v>
      </c>
      <c r="GA79" s="146" cm="1">
        <f t="array" ref="GA79">IF($FY79=0,0,_xlfn.IFS($FY79='Key assumptions'!$C$120,_xlfn.XLOOKUP(LEFT(GA$7,6),Inflation_Year,Inflation_NominaltoReal),TRUE,_xlfn.XLOOKUP($FY79,Inflation_Year,NominaltoReal)))</f>
        <v>0</v>
      </c>
      <c r="GB79" s="146" cm="1">
        <f t="array" ref="GB79">IF($FY79=0,0,_xlfn.IFS($FY79='Key assumptions'!$C$120,_xlfn.XLOOKUP(LEFT(GB$7,6),Inflation_Year,Inflation_NominaltoReal),TRUE,_xlfn.XLOOKUP($FY79,Inflation_Year,NominaltoReal)))</f>
        <v>0</v>
      </c>
      <c r="GC79" s="146" cm="1">
        <f t="array" ref="GC79">IF($FY79=0,0,_xlfn.IFS($FY79='Key assumptions'!$C$120,_xlfn.XLOOKUP(LEFT(GC$7,6),Inflation_Year,Inflation_NominaltoReal),TRUE,_xlfn.XLOOKUP($FY79,Inflation_Year,NominaltoReal)))</f>
        <v>0</v>
      </c>
      <c r="GD79" s="146" cm="1">
        <f t="array" ref="GD79">IF($FY79=0,0,_xlfn.IFS($FY79='Key assumptions'!$C$120,_xlfn.XLOOKUP(LEFT(GD$7,6),Inflation_Year,Inflation_NominaltoReal),TRUE,_xlfn.XLOOKUP($FY79,Inflation_Year,NominaltoReal)))</f>
        <v>0</v>
      </c>
      <c r="GE79" s="146" cm="1">
        <f t="array" ref="GE79">IF($FY79=0,0,_xlfn.IFS($FY79='Key assumptions'!$C$120,_xlfn.XLOOKUP(LEFT(GE$7,6),Inflation_Year,Inflation_NominaltoReal),TRUE,_xlfn.XLOOKUP($FY79,Inflation_Year,NominaltoReal)))</f>
        <v>0</v>
      </c>
      <c r="GF79" s="146" cm="1">
        <f t="array" ref="GF79">IF($FY79=0,0,_xlfn.IFS($FY79='Key assumptions'!$C$120,_xlfn.XLOOKUP(LEFT(GF$7,6),Inflation_Year,Inflation_NominaltoReal),TRUE,_xlfn.XLOOKUP($FY79,Inflation_Year,NominaltoReal)))</f>
        <v>0</v>
      </c>
      <c r="GG79" s="143"/>
      <c r="GH79" s="145" cm="1">
        <f t="array" ref="GH79">SUMPRODUCT(--($CR$7:$FW$7&gt;=GH$5),--($CR$7:$FW$7&lt;=GH$6),$CR79:$FW79)*FZ79</f>
        <v>0</v>
      </c>
      <c r="GI79" s="145" cm="1">
        <f t="array" ref="GI79">SUMPRODUCT(--($CR$7:$FW$7&gt;=GI$5),--($CR$7:$FW$7&lt;=GI$6),$CR79:$FW79)*GA79</f>
        <v>0</v>
      </c>
      <c r="GJ79" s="145" cm="1">
        <f t="array" ref="GJ79">SUMPRODUCT(--($CR$7:$FW$7&gt;=GJ$5),--($CR$7:$FW$7&lt;=GJ$6),$CR79:$FW79)*GB79</f>
        <v>0</v>
      </c>
      <c r="GK79" s="145" cm="1">
        <f t="array" ref="GK79">SUMPRODUCT(--($CR$7:$FW$7&gt;=GK$5),--($CR$7:$FW$7&lt;=GK$6),$CR79:$FW79)*GC79</f>
        <v>0</v>
      </c>
      <c r="GL79" s="145" cm="1">
        <f t="array" ref="GL79">SUMPRODUCT(--($CR$7:$FW$7&gt;=GL$5),--($CR$7:$FW$7&lt;=GL$6),$CR79:$FW79)*GD79</f>
        <v>0</v>
      </c>
      <c r="GM79" s="145" cm="1">
        <f t="array" ref="GM79">SUMPRODUCT(--($CR$7:$FW$7&gt;=GM$5),--($CR$7:$FW$7&lt;=GM$6),$CR79:$FW79)*GE79</f>
        <v>0</v>
      </c>
      <c r="GN79" s="145" cm="1">
        <f t="array" ref="GN79">SUMPRODUCT(--($CR$7:$FW$7&gt;=GN$5),--($CR$7:$FW$7&lt;=GN$6),$CR79:$FW79)*GF79</f>
        <v>0</v>
      </c>
      <c r="GO79" s="145">
        <f t="shared" si="1"/>
        <v>0</v>
      </c>
      <c r="GP79" s="87"/>
      <c r="GR79" s="145" cm="1">
        <f t="array" ref="GR79">SUMPRODUCT(--($CR$7:$FW$7&gt;=GR$5),--($CR$7:$FW$7&lt;=GR$6),$CR79:$FW79)</f>
        <v>0</v>
      </c>
    </row>
    <row r="80" spans="2:200" x14ac:dyDescent="0.2">
      <c r="B80" s="141"/>
      <c r="C80" s="141"/>
      <c r="D80" s="141"/>
      <c r="E80" s="141"/>
      <c r="F80" s="141"/>
      <c r="G80" s="141"/>
      <c r="H80" s="142"/>
      <c r="I80" s="126"/>
      <c r="J80" s="143"/>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3"/>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c r="EE80" s="145"/>
      <c r="EF80" s="145"/>
      <c r="EG80" s="145"/>
      <c r="EH80" s="145"/>
      <c r="EI80" s="145"/>
      <c r="EJ80" s="145"/>
      <c r="EK80" s="145"/>
      <c r="EL80" s="145"/>
      <c r="EM80" s="145"/>
      <c r="EN80" s="145"/>
      <c r="EO80" s="145"/>
      <c r="EP80" s="145"/>
      <c r="EQ80" s="145"/>
      <c r="ER80" s="145"/>
      <c r="ES80" s="145"/>
      <c r="ET80" s="145"/>
      <c r="EU80" s="145"/>
      <c r="EV80" s="145"/>
      <c r="EW80" s="145"/>
      <c r="EX80" s="145"/>
      <c r="EY80" s="145"/>
      <c r="EZ80" s="145"/>
      <c r="FA80" s="145"/>
      <c r="FB80" s="145"/>
      <c r="FC80" s="145"/>
      <c r="FD80" s="145"/>
      <c r="FE80" s="145"/>
      <c r="FF80" s="145"/>
      <c r="FG80" s="145"/>
      <c r="FH80" s="145"/>
      <c r="FI80" s="145"/>
      <c r="FJ80" s="145"/>
      <c r="FK80" s="145"/>
      <c r="FL80" s="145"/>
      <c r="FM80" s="145"/>
      <c r="FN80" s="145"/>
      <c r="FO80" s="145"/>
      <c r="FP80" s="145"/>
      <c r="FQ80" s="145"/>
      <c r="FR80" s="145"/>
      <c r="FS80" s="145"/>
      <c r="FT80" s="145"/>
      <c r="FU80" s="145"/>
      <c r="FV80" s="145"/>
      <c r="FW80" s="145"/>
      <c r="FX80" s="143"/>
      <c r="FY80" s="146">
        <f>_xlfn.XLOOKUP($E80,'Key assumptions'!$B$112:$B$120,'Key assumptions'!$C$112:$C$120,0)</f>
        <v>0</v>
      </c>
      <c r="FZ80" s="146" cm="1">
        <f t="array" ref="FZ80">IF($FY80=0,0,_xlfn.IFS($FY80='Key assumptions'!$C$120,_xlfn.XLOOKUP(LEFT(FZ$7,6),Inflation_Year,Inflation_NominaltoReal),TRUE,_xlfn.XLOOKUP($FY80,Inflation_Year,NominaltoReal)))</f>
        <v>0</v>
      </c>
      <c r="GA80" s="146" cm="1">
        <f t="array" ref="GA80">IF($FY80=0,0,_xlfn.IFS($FY80='Key assumptions'!$C$120,_xlfn.XLOOKUP(LEFT(GA$7,6),Inflation_Year,Inflation_NominaltoReal),TRUE,_xlfn.XLOOKUP($FY80,Inflation_Year,NominaltoReal)))</f>
        <v>0</v>
      </c>
      <c r="GB80" s="146" cm="1">
        <f t="array" ref="GB80">IF($FY80=0,0,_xlfn.IFS($FY80='Key assumptions'!$C$120,_xlfn.XLOOKUP(LEFT(GB$7,6),Inflation_Year,Inflation_NominaltoReal),TRUE,_xlfn.XLOOKUP($FY80,Inflation_Year,NominaltoReal)))</f>
        <v>0</v>
      </c>
      <c r="GC80" s="146" cm="1">
        <f t="array" ref="GC80">IF($FY80=0,0,_xlfn.IFS($FY80='Key assumptions'!$C$120,_xlfn.XLOOKUP(LEFT(GC$7,6),Inflation_Year,Inflation_NominaltoReal),TRUE,_xlfn.XLOOKUP($FY80,Inflation_Year,NominaltoReal)))</f>
        <v>0</v>
      </c>
      <c r="GD80" s="146" cm="1">
        <f t="array" ref="GD80">IF($FY80=0,0,_xlfn.IFS($FY80='Key assumptions'!$C$120,_xlfn.XLOOKUP(LEFT(GD$7,6),Inflation_Year,Inflation_NominaltoReal),TRUE,_xlfn.XLOOKUP($FY80,Inflation_Year,NominaltoReal)))</f>
        <v>0</v>
      </c>
      <c r="GE80" s="146" cm="1">
        <f t="array" ref="GE80">IF($FY80=0,0,_xlfn.IFS($FY80='Key assumptions'!$C$120,_xlfn.XLOOKUP(LEFT(GE$7,6),Inflation_Year,Inflation_NominaltoReal),TRUE,_xlfn.XLOOKUP($FY80,Inflation_Year,NominaltoReal)))</f>
        <v>0</v>
      </c>
      <c r="GF80" s="146" cm="1">
        <f t="array" ref="GF80">IF($FY80=0,0,_xlfn.IFS($FY80='Key assumptions'!$C$120,_xlfn.XLOOKUP(LEFT(GF$7,6),Inflation_Year,Inflation_NominaltoReal),TRUE,_xlfn.XLOOKUP($FY80,Inflation_Year,NominaltoReal)))</f>
        <v>0</v>
      </c>
      <c r="GG80" s="143"/>
      <c r="GH80" s="145" cm="1">
        <f t="array" ref="GH80">SUMPRODUCT(--($CR$7:$FW$7&gt;=GH$5),--($CR$7:$FW$7&lt;=GH$6),$CR80:$FW80)*FZ80</f>
        <v>0</v>
      </c>
      <c r="GI80" s="145" cm="1">
        <f t="array" ref="GI80">SUMPRODUCT(--($CR$7:$FW$7&gt;=GI$5),--($CR$7:$FW$7&lt;=GI$6),$CR80:$FW80)*GA80</f>
        <v>0</v>
      </c>
      <c r="GJ80" s="145" cm="1">
        <f t="array" ref="GJ80">SUMPRODUCT(--($CR$7:$FW$7&gt;=GJ$5),--($CR$7:$FW$7&lt;=GJ$6),$CR80:$FW80)*GB80</f>
        <v>0</v>
      </c>
      <c r="GK80" s="145" cm="1">
        <f t="array" ref="GK80">SUMPRODUCT(--($CR$7:$FW$7&gt;=GK$5),--($CR$7:$FW$7&lt;=GK$6),$CR80:$FW80)*GC80</f>
        <v>0</v>
      </c>
      <c r="GL80" s="145" cm="1">
        <f t="array" ref="GL80">SUMPRODUCT(--($CR$7:$FW$7&gt;=GL$5),--($CR$7:$FW$7&lt;=GL$6),$CR80:$FW80)*GD80</f>
        <v>0</v>
      </c>
      <c r="GM80" s="145" cm="1">
        <f t="array" ref="GM80">SUMPRODUCT(--($CR$7:$FW$7&gt;=GM$5),--($CR$7:$FW$7&lt;=GM$6),$CR80:$FW80)*GE80</f>
        <v>0</v>
      </c>
      <c r="GN80" s="145" cm="1">
        <f t="array" ref="GN80">SUMPRODUCT(--($CR$7:$FW$7&gt;=GN$5),--($CR$7:$FW$7&lt;=GN$6),$CR80:$FW80)*GF80</f>
        <v>0</v>
      </c>
      <c r="GO80" s="145">
        <f t="shared" si="1"/>
        <v>0</v>
      </c>
      <c r="GP80" s="87"/>
      <c r="GR80" s="145" cm="1">
        <f t="array" ref="GR80">SUMPRODUCT(--($CR$7:$FW$7&gt;=GR$5),--($CR$7:$FW$7&lt;=GR$6),$CR80:$FW80)</f>
        <v>0</v>
      </c>
    </row>
    <row r="81" spans="2:200" x14ac:dyDescent="0.2">
      <c r="B81" s="141"/>
      <c r="C81" s="141"/>
      <c r="D81" s="141"/>
      <c r="E81" s="141"/>
      <c r="F81" s="141"/>
      <c r="G81" s="141"/>
      <c r="H81" s="142"/>
      <c r="I81" s="126"/>
      <c r="J81" s="143"/>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3"/>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145"/>
      <c r="EH81" s="145"/>
      <c r="EI81" s="145"/>
      <c r="EJ81" s="145"/>
      <c r="EK81" s="145"/>
      <c r="EL81" s="145"/>
      <c r="EM81" s="145"/>
      <c r="EN81" s="145"/>
      <c r="EO81" s="145"/>
      <c r="EP81" s="145"/>
      <c r="EQ81" s="145"/>
      <c r="ER81" s="145"/>
      <c r="ES81" s="145"/>
      <c r="ET81" s="145"/>
      <c r="EU81" s="145"/>
      <c r="EV81" s="145"/>
      <c r="EW81" s="145"/>
      <c r="EX81" s="145"/>
      <c r="EY81" s="145"/>
      <c r="EZ81" s="145"/>
      <c r="FA81" s="145"/>
      <c r="FB81" s="145"/>
      <c r="FC81" s="145"/>
      <c r="FD81" s="145"/>
      <c r="FE81" s="145"/>
      <c r="FF81" s="145"/>
      <c r="FG81" s="145"/>
      <c r="FH81" s="145"/>
      <c r="FI81" s="145"/>
      <c r="FJ81" s="145"/>
      <c r="FK81" s="145"/>
      <c r="FL81" s="145"/>
      <c r="FM81" s="145"/>
      <c r="FN81" s="145"/>
      <c r="FO81" s="145"/>
      <c r="FP81" s="145"/>
      <c r="FQ81" s="145"/>
      <c r="FR81" s="145"/>
      <c r="FS81" s="145"/>
      <c r="FT81" s="145"/>
      <c r="FU81" s="145"/>
      <c r="FV81" s="145"/>
      <c r="FW81" s="145"/>
      <c r="FX81" s="143"/>
      <c r="FY81" s="146">
        <f>_xlfn.XLOOKUP($E81,'Key assumptions'!$B$112:$B$120,'Key assumptions'!$C$112:$C$120,0)</f>
        <v>0</v>
      </c>
      <c r="FZ81" s="146" cm="1">
        <f t="array" ref="FZ81">IF($FY81=0,0,_xlfn.IFS($FY81='Key assumptions'!$C$120,_xlfn.XLOOKUP(LEFT(FZ$7,6),Inflation_Year,Inflation_NominaltoReal),TRUE,_xlfn.XLOOKUP($FY81,Inflation_Year,NominaltoReal)))</f>
        <v>0</v>
      </c>
      <c r="GA81" s="146" cm="1">
        <f t="array" ref="GA81">IF($FY81=0,0,_xlfn.IFS($FY81='Key assumptions'!$C$120,_xlfn.XLOOKUP(LEFT(GA$7,6),Inflation_Year,Inflation_NominaltoReal),TRUE,_xlfn.XLOOKUP($FY81,Inflation_Year,NominaltoReal)))</f>
        <v>0</v>
      </c>
      <c r="GB81" s="146" cm="1">
        <f t="array" ref="GB81">IF($FY81=0,0,_xlfn.IFS($FY81='Key assumptions'!$C$120,_xlfn.XLOOKUP(LEFT(GB$7,6),Inflation_Year,Inflation_NominaltoReal),TRUE,_xlfn.XLOOKUP($FY81,Inflation_Year,NominaltoReal)))</f>
        <v>0</v>
      </c>
      <c r="GC81" s="146" cm="1">
        <f t="array" ref="GC81">IF($FY81=0,0,_xlfn.IFS($FY81='Key assumptions'!$C$120,_xlfn.XLOOKUP(LEFT(GC$7,6),Inflation_Year,Inflation_NominaltoReal),TRUE,_xlfn.XLOOKUP($FY81,Inflation_Year,NominaltoReal)))</f>
        <v>0</v>
      </c>
      <c r="GD81" s="146" cm="1">
        <f t="array" ref="GD81">IF($FY81=0,0,_xlfn.IFS($FY81='Key assumptions'!$C$120,_xlfn.XLOOKUP(LEFT(GD$7,6),Inflation_Year,Inflation_NominaltoReal),TRUE,_xlfn.XLOOKUP($FY81,Inflation_Year,NominaltoReal)))</f>
        <v>0</v>
      </c>
      <c r="GE81" s="146" cm="1">
        <f t="array" ref="GE81">IF($FY81=0,0,_xlfn.IFS($FY81='Key assumptions'!$C$120,_xlfn.XLOOKUP(LEFT(GE$7,6),Inflation_Year,Inflation_NominaltoReal),TRUE,_xlfn.XLOOKUP($FY81,Inflation_Year,NominaltoReal)))</f>
        <v>0</v>
      </c>
      <c r="GF81" s="146" cm="1">
        <f t="array" ref="GF81">IF($FY81=0,0,_xlfn.IFS($FY81='Key assumptions'!$C$120,_xlfn.XLOOKUP(LEFT(GF$7,6),Inflation_Year,Inflation_NominaltoReal),TRUE,_xlfn.XLOOKUP($FY81,Inflation_Year,NominaltoReal)))</f>
        <v>0</v>
      </c>
      <c r="GG81" s="143"/>
      <c r="GH81" s="145" cm="1">
        <f t="array" ref="GH81">SUMPRODUCT(--($CR$7:$FW$7&gt;=GH$5),--($CR$7:$FW$7&lt;=GH$6),$CR81:$FW81)*FZ81</f>
        <v>0</v>
      </c>
      <c r="GI81" s="145" cm="1">
        <f t="array" ref="GI81">SUMPRODUCT(--($CR$7:$FW$7&gt;=GI$5),--($CR$7:$FW$7&lt;=GI$6),$CR81:$FW81)*GA81</f>
        <v>0</v>
      </c>
      <c r="GJ81" s="145" cm="1">
        <f t="array" ref="GJ81">SUMPRODUCT(--($CR$7:$FW$7&gt;=GJ$5),--($CR$7:$FW$7&lt;=GJ$6),$CR81:$FW81)*GB81</f>
        <v>0</v>
      </c>
      <c r="GK81" s="145" cm="1">
        <f t="array" ref="GK81">SUMPRODUCT(--($CR$7:$FW$7&gt;=GK$5),--($CR$7:$FW$7&lt;=GK$6),$CR81:$FW81)*GC81</f>
        <v>0</v>
      </c>
      <c r="GL81" s="145" cm="1">
        <f t="array" ref="GL81">SUMPRODUCT(--($CR$7:$FW$7&gt;=GL$5),--($CR$7:$FW$7&lt;=GL$6),$CR81:$FW81)*GD81</f>
        <v>0</v>
      </c>
      <c r="GM81" s="145" cm="1">
        <f t="array" ref="GM81">SUMPRODUCT(--($CR$7:$FW$7&gt;=GM$5),--($CR$7:$FW$7&lt;=GM$6),$CR81:$FW81)*GE81</f>
        <v>0</v>
      </c>
      <c r="GN81" s="145" cm="1">
        <f t="array" ref="GN81">SUMPRODUCT(--($CR$7:$FW$7&gt;=GN$5),--($CR$7:$FW$7&lt;=GN$6),$CR81:$FW81)*GF81</f>
        <v>0</v>
      </c>
      <c r="GO81" s="145">
        <f t="shared" si="1"/>
        <v>0</v>
      </c>
      <c r="GP81" s="87"/>
      <c r="GR81" s="145" cm="1">
        <f t="array" ref="GR81">SUMPRODUCT(--($CR$7:$FW$7&gt;=GR$5),--($CR$7:$FW$7&lt;=GR$6),$CR81:$FW81)</f>
        <v>0</v>
      </c>
    </row>
    <row r="82" spans="2:200" x14ac:dyDescent="0.2">
      <c r="B82" s="141"/>
      <c r="C82" s="141"/>
      <c r="D82" s="141"/>
      <c r="E82" s="141"/>
      <c r="F82" s="141"/>
      <c r="G82" s="141"/>
      <c r="H82" s="142"/>
      <c r="I82" s="126"/>
      <c r="J82" s="143"/>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3"/>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c r="EE82" s="145"/>
      <c r="EF82" s="145"/>
      <c r="EG82" s="145"/>
      <c r="EH82" s="145"/>
      <c r="EI82" s="145"/>
      <c r="EJ82" s="145"/>
      <c r="EK82" s="145"/>
      <c r="EL82" s="145"/>
      <c r="EM82" s="145"/>
      <c r="EN82" s="145"/>
      <c r="EO82" s="145"/>
      <c r="EP82" s="145"/>
      <c r="EQ82" s="145"/>
      <c r="ER82" s="145"/>
      <c r="ES82" s="145"/>
      <c r="ET82" s="145"/>
      <c r="EU82" s="145"/>
      <c r="EV82" s="145"/>
      <c r="EW82" s="145"/>
      <c r="EX82" s="145"/>
      <c r="EY82" s="145"/>
      <c r="EZ82" s="145"/>
      <c r="FA82" s="145"/>
      <c r="FB82" s="145"/>
      <c r="FC82" s="145"/>
      <c r="FD82" s="145"/>
      <c r="FE82" s="145"/>
      <c r="FF82" s="145"/>
      <c r="FG82" s="145"/>
      <c r="FH82" s="145"/>
      <c r="FI82" s="145"/>
      <c r="FJ82" s="145"/>
      <c r="FK82" s="145"/>
      <c r="FL82" s="145"/>
      <c r="FM82" s="145"/>
      <c r="FN82" s="145"/>
      <c r="FO82" s="145"/>
      <c r="FP82" s="145"/>
      <c r="FQ82" s="145"/>
      <c r="FR82" s="145"/>
      <c r="FS82" s="145"/>
      <c r="FT82" s="145"/>
      <c r="FU82" s="145"/>
      <c r="FV82" s="145"/>
      <c r="FW82" s="145"/>
      <c r="FX82" s="143"/>
      <c r="FY82" s="146">
        <f>_xlfn.XLOOKUP($E82,'Key assumptions'!$B$112:$B$120,'Key assumptions'!$C$112:$C$120,0)</f>
        <v>0</v>
      </c>
      <c r="FZ82" s="146" cm="1">
        <f t="array" ref="FZ82">IF($FY82=0,0,_xlfn.IFS($FY82='Key assumptions'!$C$120,_xlfn.XLOOKUP(LEFT(FZ$7,6),Inflation_Year,Inflation_NominaltoReal),TRUE,_xlfn.XLOOKUP($FY82,Inflation_Year,NominaltoReal)))</f>
        <v>0</v>
      </c>
      <c r="GA82" s="146" cm="1">
        <f t="array" ref="GA82">IF($FY82=0,0,_xlfn.IFS($FY82='Key assumptions'!$C$120,_xlfn.XLOOKUP(LEFT(GA$7,6),Inflation_Year,Inflation_NominaltoReal),TRUE,_xlfn.XLOOKUP($FY82,Inflation_Year,NominaltoReal)))</f>
        <v>0</v>
      </c>
      <c r="GB82" s="146" cm="1">
        <f t="array" ref="GB82">IF($FY82=0,0,_xlfn.IFS($FY82='Key assumptions'!$C$120,_xlfn.XLOOKUP(LEFT(GB$7,6),Inflation_Year,Inflation_NominaltoReal),TRUE,_xlfn.XLOOKUP($FY82,Inflation_Year,NominaltoReal)))</f>
        <v>0</v>
      </c>
      <c r="GC82" s="146" cm="1">
        <f t="array" ref="GC82">IF($FY82=0,0,_xlfn.IFS($FY82='Key assumptions'!$C$120,_xlfn.XLOOKUP(LEFT(GC$7,6),Inflation_Year,Inflation_NominaltoReal),TRUE,_xlfn.XLOOKUP($FY82,Inflation_Year,NominaltoReal)))</f>
        <v>0</v>
      </c>
      <c r="GD82" s="146" cm="1">
        <f t="array" ref="GD82">IF($FY82=0,0,_xlfn.IFS($FY82='Key assumptions'!$C$120,_xlfn.XLOOKUP(LEFT(GD$7,6),Inflation_Year,Inflation_NominaltoReal),TRUE,_xlfn.XLOOKUP($FY82,Inflation_Year,NominaltoReal)))</f>
        <v>0</v>
      </c>
      <c r="GE82" s="146" cm="1">
        <f t="array" ref="GE82">IF($FY82=0,0,_xlfn.IFS($FY82='Key assumptions'!$C$120,_xlfn.XLOOKUP(LEFT(GE$7,6),Inflation_Year,Inflation_NominaltoReal),TRUE,_xlfn.XLOOKUP($FY82,Inflation_Year,NominaltoReal)))</f>
        <v>0</v>
      </c>
      <c r="GF82" s="146" cm="1">
        <f t="array" ref="GF82">IF($FY82=0,0,_xlfn.IFS($FY82='Key assumptions'!$C$120,_xlfn.XLOOKUP(LEFT(GF$7,6),Inflation_Year,Inflation_NominaltoReal),TRUE,_xlfn.XLOOKUP($FY82,Inflation_Year,NominaltoReal)))</f>
        <v>0</v>
      </c>
      <c r="GG82" s="143"/>
      <c r="GH82" s="145" cm="1">
        <f t="array" ref="GH82">SUMPRODUCT(--($CR$7:$FW$7&gt;=GH$5),--($CR$7:$FW$7&lt;=GH$6),$CR82:$FW82)*FZ82</f>
        <v>0</v>
      </c>
      <c r="GI82" s="145" cm="1">
        <f t="array" ref="GI82">SUMPRODUCT(--($CR$7:$FW$7&gt;=GI$5),--($CR$7:$FW$7&lt;=GI$6),$CR82:$FW82)*GA82</f>
        <v>0</v>
      </c>
      <c r="GJ82" s="145" cm="1">
        <f t="array" ref="GJ82">SUMPRODUCT(--($CR$7:$FW$7&gt;=GJ$5),--($CR$7:$FW$7&lt;=GJ$6),$CR82:$FW82)*GB82</f>
        <v>0</v>
      </c>
      <c r="GK82" s="145" cm="1">
        <f t="array" ref="GK82">SUMPRODUCT(--($CR$7:$FW$7&gt;=GK$5),--($CR$7:$FW$7&lt;=GK$6),$CR82:$FW82)*GC82</f>
        <v>0</v>
      </c>
      <c r="GL82" s="145" cm="1">
        <f t="array" ref="GL82">SUMPRODUCT(--($CR$7:$FW$7&gt;=GL$5),--($CR$7:$FW$7&lt;=GL$6),$CR82:$FW82)*GD82</f>
        <v>0</v>
      </c>
      <c r="GM82" s="145" cm="1">
        <f t="array" ref="GM82">SUMPRODUCT(--($CR$7:$FW$7&gt;=GM$5),--($CR$7:$FW$7&lt;=GM$6),$CR82:$FW82)*GE82</f>
        <v>0</v>
      </c>
      <c r="GN82" s="145" cm="1">
        <f t="array" ref="GN82">SUMPRODUCT(--($CR$7:$FW$7&gt;=GN$5),--($CR$7:$FW$7&lt;=GN$6),$CR82:$FW82)*GF82</f>
        <v>0</v>
      </c>
      <c r="GO82" s="145">
        <f t="shared" si="1"/>
        <v>0</v>
      </c>
      <c r="GP82" s="87"/>
      <c r="GR82" s="145" cm="1">
        <f t="array" ref="GR82">SUMPRODUCT(--($CR$7:$FW$7&gt;=GR$5),--($CR$7:$FW$7&lt;=GR$6),$CR82:$FW82)</f>
        <v>0</v>
      </c>
    </row>
    <row r="83" spans="2:200" x14ac:dyDescent="0.2">
      <c r="B83" s="141"/>
      <c r="C83" s="141"/>
      <c r="D83" s="141"/>
      <c r="E83" s="141"/>
      <c r="F83" s="141"/>
      <c r="G83" s="141"/>
      <c r="H83" s="142"/>
      <c r="I83" s="126"/>
      <c r="J83" s="143"/>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3"/>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c r="EE83" s="145"/>
      <c r="EF83" s="145"/>
      <c r="EG83" s="145"/>
      <c r="EH83" s="145"/>
      <c r="EI83" s="145"/>
      <c r="EJ83" s="145"/>
      <c r="EK83" s="145"/>
      <c r="EL83" s="145"/>
      <c r="EM83" s="145"/>
      <c r="EN83" s="145"/>
      <c r="EO83" s="145"/>
      <c r="EP83" s="145"/>
      <c r="EQ83" s="145"/>
      <c r="ER83" s="145"/>
      <c r="ES83" s="145"/>
      <c r="ET83" s="145"/>
      <c r="EU83" s="145"/>
      <c r="EV83" s="145"/>
      <c r="EW83" s="145"/>
      <c r="EX83" s="145"/>
      <c r="EY83" s="145"/>
      <c r="EZ83" s="145"/>
      <c r="FA83" s="145"/>
      <c r="FB83" s="145"/>
      <c r="FC83" s="145"/>
      <c r="FD83" s="145"/>
      <c r="FE83" s="145"/>
      <c r="FF83" s="145"/>
      <c r="FG83" s="145"/>
      <c r="FH83" s="145"/>
      <c r="FI83" s="145"/>
      <c r="FJ83" s="145"/>
      <c r="FK83" s="145"/>
      <c r="FL83" s="145"/>
      <c r="FM83" s="145"/>
      <c r="FN83" s="145"/>
      <c r="FO83" s="145"/>
      <c r="FP83" s="145"/>
      <c r="FQ83" s="145"/>
      <c r="FR83" s="145"/>
      <c r="FS83" s="145"/>
      <c r="FT83" s="145"/>
      <c r="FU83" s="145"/>
      <c r="FV83" s="145"/>
      <c r="FW83" s="145"/>
      <c r="FX83" s="143"/>
      <c r="FY83" s="146">
        <f>_xlfn.XLOOKUP($E83,'Key assumptions'!$B$112:$B$120,'Key assumptions'!$C$112:$C$120,0)</f>
        <v>0</v>
      </c>
      <c r="FZ83" s="146" cm="1">
        <f t="array" ref="FZ83">IF($FY83=0,0,_xlfn.IFS($FY83='Key assumptions'!$C$120,_xlfn.XLOOKUP(LEFT(FZ$7,6),Inflation_Year,Inflation_NominaltoReal),TRUE,_xlfn.XLOOKUP($FY83,Inflation_Year,NominaltoReal)))</f>
        <v>0</v>
      </c>
      <c r="GA83" s="146" cm="1">
        <f t="array" ref="GA83">IF($FY83=0,0,_xlfn.IFS($FY83='Key assumptions'!$C$120,_xlfn.XLOOKUP(LEFT(GA$7,6),Inflation_Year,Inflation_NominaltoReal),TRUE,_xlfn.XLOOKUP($FY83,Inflation_Year,NominaltoReal)))</f>
        <v>0</v>
      </c>
      <c r="GB83" s="146" cm="1">
        <f t="array" ref="GB83">IF($FY83=0,0,_xlfn.IFS($FY83='Key assumptions'!$C$120,_xlfn.XLOOKUP(LEFT(GB$7,6),Inflation_Year,Inflation_NominaltoReal),TRUE,_xlfn.XLOOKUP($FY83,Inflation_Year,NominaltoReal)))</f>
        <v>0</v>
      </c>
      <c r="GC83" s="146" cm="1">
        <f t="array" ref="GC83">IF($FY83=0,0,_xlfn.IFS($FY83='Key assumptions'!$C$120,_xlfn.XLOOKUP(LEFT(GC$7,6),Inflation_Year,Inflation_NominaltoReal),TRUE,_xlfn.XLOOKUP($FY83,Inflation_Year,NominaltoReal)))</f>
        <v>0</v>
      </c>
      <c r="GD83" s="146" cm="1">
        <f t="array" ref="GD83">IF($FY83=0,0,_xlfn.IFS($FY83='Key assumptions'!$C$120,_xlfn.XLOOKUP(LEFT(GD$7,6),Inflation_Year,Inflation_NominaltoReal),TRUE,_xlfn.XLOOKUP($FY83,Inflation_Year,NominaltoReal)))</f>
        <v>0</v>
      </c>
      <c r="GE83" s="146" cm="1">
        <f t="array" ref="GE83">IF($FY83=0,0,_xlfn.IFS($FY83='Key assumptions'!$C$120,_xlfn.XLOOKUP(LEFT(GE$7,6),Inflation_Year,Inflation_NominaltoReal),TRUE,_xlfn.XLOOKUP($FY83,Inflation_Year,NominaltoReal)))</f>
        <v>0</v>
      </c>
      <c r="GF83" s="146" cm="1">
        <f t="array" ref="GF83">IF($FY83=0,0,_xlfn.IFS($FY83='Key assumptions'!$C$120,_xlfn.XLOOKUP(LEFT(GF$7,6),Inflation_Year,Inflation_NominaltoReal),TRUE,_xlfn.XLOOKUP($FY83,Inflation_Year,NominaltoReal)))</f>
        <v>0</v>
      </c>
      <c r="GG83" s="143"/>
      <c r="GH83" s="145" cm="1">
        <f t="array" ref="GH83">SUMPRODUCT(--($CR$7:$FW$7&gt;=GH$5),--($CR$7:$FW$7&lt;=GH$6),$CR83:$FW83)*FZ83</f>
        <v>0</v>
      </c>
      <c r="GI83" s="145" cm="1">
        <f t="array" ref="GI83">SUMPRODUCT(--($CR$7:$FW$7&gt;=GI$5),--($CR$7:$FW$7&lt;=GI$6),$CR83:$FW83)*GA83</f>
        <v>0</v>
      </c>
      <c r="GJ83" s="145" cm="1">
        <f t="array" ref="GJ83">SUMPRODUCT(--($CR$7:$FW$7&gt;=GJ$5),--($CR$7:$FW$7&lt;=GJ$6),$CR83:$FW83)*GB83</f>
        <v>0</v>
      </c>
      <c r="GK83" s="145" cm="1">
        <f t="array" ref="GK83">SUMPRODUCT(--($CR$7:$FW$7&gt;=GK$5),--($CR$7:$FW$7&lt;=GK$6),$CR83:$FW83)*GC83</f>
        <v>0</v>
      </c>
      <c r="GL83" s="145" cm="1">
        <f t="array" ref="GL83">SUMPRODUCT(--($CR$7:$FW$7&gt;=GL$5),--($CR$7:$FW$7&lt;=GL$6),$CR83:$FW83)*GD83</f>
        <v>0</v>
      </c>
      <c r="GM83" s="145" cm="1">
        <f t="array" ref="GM83">SUMPRODUCT(--($CR$7:$FW$7&gt;=GM$5),--($CR$7:$FW$7&lt;=GM$6),$CR83:$FW83)*GE83</f>
        <v>0</v>
      </c>
      <c r="GN83" s="145" cm="1">
        <f t="array" ref="GN83">SUMPRODUCT(--($CR$7:$FW$7&gt;=GN$5),--($CR$7:$FW$7&lt;=GN$6),$CR83:$FW83)*GF83</f>
        <v>0</v>
      </c>
      <c r="GO83" s="145">
        <f t="shared" si="1"/>
        <v>0</v>
      </c>
      <c r="GP83" s="87"/>
      <c r="GR83" s="145" cm="1">
        <f t="array" ref="GR83">SUMPRODUCT(--($CR$7:$FW$7&gt;=GR$5),--($CR$7:$FW$7&lt;=GR$6),$CR83:$FW83)</f>
        <v>0</v>
      </c>
    </row>
    <row r="84" spans="2:200" x14ac:dyDescent="0.2">
      <c r="B84" s="141"/>
      <c r="C84" s="141"/>
      <c r="D84" s="141"/>
      <c r="E84" s="141"/>
      <c r="F84" s="141"/>
      <c r="G84" s="141"/>
      <c r="H84" s="142"/>
      <c r="I84" s="126"/>
      <c r="J84" s="143"/>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3"/>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c r="EE84" s="145"/>
      <c r="EF84" s="145"/>
      <c r="EG84" s="145"/>
      <c r="EH84" s="145"/>
      <c r="EI84" s="145"/>
      <c r="EJ84" s="145"/>
      <c r="EK84" s="145"/>
      <c r="EL84" s="145"/>
      <c r="EM84" s="145"/>
      <c r="EN84" s="145"/>
      <c r="EO84" s="145"/>
      <c r="EP84" s="145"/>
      <c r="EQ84" s="145"/>
      <c r="ER84" s="145"/>
      <c r="ES84" s="145"/>
      <c r="ET84" s="145"/>
      <c r="EU84" s="145"/>
      <c r="EV84" s="145"/>
      <c r="EW84" s="145"/>
      <c r="EX84" s="145"/>
      <c r="EY84" s="145"/>
      <c r="EZ84" s="145"/>
      <c r="FA84" s="145"/>
      <c r="FB84" s="145"/>
      <c r="FC84" s="145"/>
      <c r="FD84" s="145"/>
      <c r="FE84" s="145"/>
      <c r="FF84" s="145"/>
      <c r="FG84" s="145"/>
      <c r="FH84" s="145"/>
      <c r="FI84" s="145"/>
      <c r="FJ84" s="145"/>
      <c r="FK84" s="145"/>
      <c r="FL84" s="145"/>
      <c r="FM84" s="145"/>
      <c r="FN84" s="145"/>
      <c r="FO84" s="145"/>
      <c r="FP84" s="145"/>
      <c r="FQ84" s="145"/>
      <c r="FR84" s="145"/>
      <c r="FS84" s="145"/>
      <c r="FT84" s="145"/>
      <c r="FU84" s="145"/>
      <c r="FV84" s="145"/>
      <c r="FW84" s="145"/>
      <c r="FX84" s="143"/>
      <c r="FY84" s="146">
        <f>_xlfn.XLOOKUP($E84,'Key assumptions'!$B$112:$B$120,'Key assumptions'!$C$112:$C$120,0)</f>
        <v>0</v>
      </c>
      <c r="FZ84" s="146" cm="1">
        <f t="array" ref="FZ84">IF($FY84=0,0,_xlfn.IFS($FY84='Key assumptions'!$C$120,_xlfn.XLOOKUP(LEFT(FZ$7,6),Inflation_Year,Inflation_NominaltoReal),TRUE,_xlfn.XLOOKUP($FY84,Inflation_Year,NominaltoReal)))</f>
        <v>0</v>
      </c>
      <c r="GA84" s="146" cm="1">
        <f t="array" ref="GA84">IF($FY84=0,0,_xlfn.IFS($FY84='Key assumptions'!$C$120,_xlfn.XLOOKUP(LEFT(GA$7,6),Inflation_Year,Inflation_NominaltoReal),TRUE,_xlfn.XLOOKUP($FY84,Inflation_Year,NominaltoReal)))</f>
        <v>0</v>
      </c>
      <c r="GB84" s="146" cm="1">
        <f t="array" ref="GB84">IF($FY84=0,0,_xlfn.IFS($FY84='Key assumptions'!$C$120,_xlfn.XLOOKUP(LEFT(GB$7,6),Inflation_Year,Inflation_NominaltoReal),TRUE,_xlfn.XLOOKUP($FY84,Inflation_Year,NominaltoReal)))</f>
        <v>0</v>
      </c>
      <c r="GC84" s="146" cm="1">
        <f t="array" ref="GC84">IF($FY84=0,0,_xlfn.IFS($FY84='Key assumptions'!$C$120,_xlfn.XLOOKUP(LEFT(GC$7,6),Inflation_Year,Inflation_NominaltoReal),TRUE,_xlfn.XLOOKUP($FY84,Inflation_Year,NominaltoReal)))</f>
        <v>0</v>
      </c>
      <c r="GD84" s="146" cm="1">
        <f t="array" ref="GD84">IF($FY84=0,0,_xlfn.IFS($FY84='Key assumptions'!$C$120,_xlfn.XLOOKUP(LEFT(GD$7,6),Inflation_Year,Inflation_NominaltoReal),TRUE,_xlfn.XLOOKUP($FY84,Inflation_Year,NominaltoReal)))</f>
        <v>0</v>
      </c>
      <c r="GE84" s="146" cm="1">
        <f t="array" ref="GE84">IF($FY84=0,0,_xlfn.IFS($FY84='Key assumptions'!$C$120,_xlfn.XLOOKUP(LEFT(GE$7,6),Inflation_Year,Inflation_NominaltoReal),TRUE,_xlfn.XLOOKUP($FY84,Inflation_Year,NominaltoReal)))</f>
        <v>0</v>
      </c>
      <c r="GF84" s="146" cm="1">
        <f t="array" ref="GF84">IF($FY84=0,0,_xlfn.IFS($FY84='Key assumptions'!$C$120,_xlfn.XLOOKUP(LEFT(GF$7,6),Inflation_Year,Inflation_NominaltoReal),TRUE,_xlfn.XLOOKUP($FY84,Inflation_Year,NominaltoReal)))</f>
        <v>0</v>
      </c>
      <c r="GG84" s="143"/>
      <c r="GH84" s="145" cm="1">
        <f t="array" ref="GH84">SUMPRODUCT(--($CR$7:$FW$7&gt;=GH$5),--($CR$7:$FW$7&lt;=GH$6),$CR84:$FW84)*FZ84</f>
        <v>0</v>
      </c>
      <c r="GI84" s="145" cm="1">
        <f t="array" ref="GI84">SUMPRODUCT(--($CR$7:$FW$7&gt;=GI$5),--($CR$7:$FW$7&lt;=GI$6),$CR84:$FW84)*GA84</f>
        <v>0</v>
      </c>
      <c r="GJ84" s="145" cm="1">
        <f t="array" ref="GJ84">SUMPRODUCT(--($CR$7:$FW$7&gt;=GJ$5),--($CR$7:$FW$7&lt;=GJ$6),$CR84:$FW84)*GB84</f>
        <v>0</v>
      </c>
      <c r="GK84" s="145" cm="1">
        <f t="array" ref="GK84">SUMPRODUCT(--($CR$7:$FW$7&gt;=GK$5),--($CR$7:$FW$7&lt;=GK$6),$CR84:$FW84)*GC84</f>
        <v>0</v>
      </c>
      <c r="GL84" s="145" cm="1">
        <f t="array" ref="GL84">SUMPRODUCT(--($CR$7:$FW$7&gt;=GL$5),--($CR$7:$FW$7&lt;=GL$6),$CR84:$FW84)*GD84</f>
        <v>0</v>
      </c>
      <c r="GM84" s="145" cm="1">
        <f t="array" ref="GM84">SUMPRODUCT(--($CR$7:$FW$7&gt;=GM$5),--($CR$7:$FW$7&lt;=GM$6),$CR84:$FW84)*GE84</f>
        <v>0</v>
      </c>
      <c r="GN84" s="145" cm="1">
        <f t="array" ref="GN84">SUMPRODUCT(--($CR$7:$FW$7&gt;=GN$5),--($CR$7:$FW$7&lt;=GN$6),$CR84:$FW84)*GF84</f>
        <v>0</v>
      </c>
      <c r="GO84" s="145">
        <f t="shared" si="1"/>
        <v>0</v>
      </c>
      <c r="GP84" s="87"/>
      <c r="GR84" s="145" cm="1">
        <f t="array" ref="GR84">SUMPRODUCT(--($CR$7:$FW$7&gt;=GR$5),--($CR$7:$FW$7&lt;=GR$6),$CR84:$FW84)</f>
        <v>0</v>
      </c>
    </row>
    <row r="85" spans="2:200" x14ac:dyDescent="0.2">
      <c r="B85" s="141"/>
      <c r="C85" s="141"/>
      <c r="D85" s="141"/>
      <c r="E85" s="141"/>
      <c r="F85" s="141"/>
      <c r="G85" s="141"/>
      <c r="H85" s="142"/>
      <c r="I85" s="126"/>
      <c r="J85" s="143"/>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3"/>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c r="EE85" s="145"/>
      <c r="EF85" s="145"/>
      <c r="EG85" s="145"/>
      <c r="EH85" s="145"/>
      <c r="EI85" s="145"/>
      <c r="EJ85" s="145"/>
      <c r="EK85" s="145"/>
      <c r="EL85" s="145"/>
      <c r="EM85" s="145"/>
      <c r="EN85" s="145"/>
      <c r="EO85" s="145"/>
      <c r="EP85" s="145"/>
      <c r="EQ85" s="145"/>
      <c r="ER85" s="145"/>
      <c r="ES85" s="145"/>
      <c r="ET85" s="145"/>
      <c r="EU85" s="145"/>
      <c r="EV85" s="145"/>
      <c r="EW85" s="145"/>
      <c r="EX85" s="145"/>
      <c r="EY85" s="145"/>
      <c r="EZ85" s="145"/>
      <c r="FA85" s="145"/>
      <c r="FB85" s="145"/>
      <c r="FC85" s="145"/>
      <c r="FD85" s="145"/>
      <c r="FE85" s="145"/>
      <c r="FF85" s="145"/>
      <c r="FG85" s="145"/>
      <c r="FH85" s="145"/>
      <c r="FI85" s="145"/>
      <c r="FJ85" s="145"/>
      <c r="FK85" s="145"/>
      <c r="FL85" s="145"/>
      <c r="FM85" s="145"/>
      <c r="FN85" s="145"/>
      <c r="FO85" s="145"/>
      <c r="FP85" s="145"/>
      <c r="FQ85" s="145"/>
      <c r="FR85" s="145"/>
      <c r="FS85" s="145"/>
      <c r="FT85" s="145"/>
      <c r="FU85" s="145"/>
      <c r="FV85" s="145"/>
      <c r="FW85" s="145"/>
      <c r="FX85" s="143"/>
      <c r="FY85" s="146">
        <f>_xlfn.XLOOKUP($E85,'Key assumptions'!$B$112:$B$120,'Key assumptions'!$C$112:$C$120,0)</f>
        <v>0</v>
      </c>
      <c r="FZ85" s="146" cm="1">
        <f t="array" ref="FZ85">IF($FY85=0,0,_xlfn.IFS($FY85='Key assumptions'!$C$120,_xlfn.XLOOKUP(LEFT(FZ$7,6),Inflation_Year,Inflation_NominaltoReal),TRUE,_xlfn.XLOOKUP($FY85,Inflation_Year,NominaltoReal)))</f>
        <v>0</v>
      </c>
      <c r="GA85" s="146" cm="1">
        <f t="array" ref="GA85">IF($FY85=0,0,_xlfn.IFS($FY85='Key assumptions'!$C$120,_xlfn.XLOOKUP(LEFT(GA$7,6),Inflation_Year,Inflation_NominaltoReal),TRUE,_xlfn.XLOOKUP($FY85,Inflation_Year,NominaltoReal)))</f>
        <v>0</v>
      </c>
      <c r="GB85" s="146" cm="1">
        <f t="array" ref="GB85">IF($FY85=0,0,_xlfn.IFS($FY85='Key assumptions'!$C$120,_xlfn.XLOOKUP(LEFT(GB$7,6),Inflation_Year,Inflation_NominaltoReal),TRUE,_xlfn.XLOOKUP($FY85,Inflation_Year,NominaltoReal)))</f>
        <v>0</v>
      </c>
      <c r="GC85" s="146" cm="1">
        <f t="array" ref="GC85">IF($FY85=0,0,_xlfn.IFS($FY85='Key assumptions'!$C$120,_xlfn.XLOOKUP(LEFT(GC$7,6),Inflation_Year,Inflation_NominaltoReal),TRUE,_xlfn.XLOOKUP($FY85,Inflation_Year,NominaltoReal)))</f>
        <v>0</v>
      </c>
      <c r="GD85" s="146" cm="1">
        <f t="array" ref="GD85">IF($FY85=0,0,_xlfn.IFS($FY85='Key assumptions'!$C$120,_xlfn.XLOOKUP(LEFT(GD$7,6),Inflation_Year,Inflation_NominaltoReal),TRUE,_xlfn.XLOOKUP($FY85,Inflation_Year,NominaltoReal)))</f>
        <v>0</v>
      </c>
      <c r="GE85" s="146" cm="1">
        <f t="array" ref="GE85">IF($FY85=0,0,_xlfn.IFS($FY85='Key assumptions'!$C$120,_xlfn.XLOOKUP(LEFT(GE$7,6),Inflation_Year,Inflation_NominaltoReal),TRUE,_xlfn.XLOOKUP($FY85,Inflation_Year,NominaltoReal)))</f>
        <v>0</v>
      </c>
      <c r="GF85" s="146" cm="1">
        <f t="array" ref="GF85">IF($FY85=0,0,_xlfn.IFS($FY85='Key assumptions'!$C$120,_xlfn.XLOOKUP(LEFT(GF$7,6),Inflation_Year,Inflation_NominaltoReal),TRUE,_xlfn.XLOOKUP($FY85,Inflation_Year,NominaltoReal)))</f>
        <v>0</v>
      </c>
      <c r="GG85" s="143"/>
      <c r="GH85" s="145" cm="1">
        <f t="array" ref="GH85">SUMPRODUCT(--($CR$7:$FW$7&gt;=GH$5),--($CR$7:$FW$7&lt;=GH$6),$CR85:$FW85)*FZ85</f>
        <v>0</v>
      </c>
      <c r="GI85" s="145" cm="1">
        <f t="array" ref="GI85">SUMPRODUCT(--($CR$7:$FW$7&gt;=GI$5),--($CR$7:$FW$7&lt;=GI$6),$CR85:$FW85)*GA85</f>
        <v>0</v>
      </c>
      <c r="GJ85" s="145" cm="1">
        <f t="array" ref="GJ85">SUMPRODUCT(--($CR$7:$FW$7&gt;=GJ$5),--($CR$7:$FW$7&lt;=GJ$6),$CR85:$FW85)*GB85</f>
        <v>0</v>
      </c>
      <c r="GK85" s="145" cm="1">
        <f t="array" ref="GK85">SUMPRODUCT(--($CR$7:$FW$7&gt;=GK$5),--($CR$7:$FW$7&lt;=GK$6),$CR85:$FW85)*GC85</f>
        <v>0</v>
      </c>
      <c r="GL85" s="145" cm="1">
        <f t="array" ref="GL85">SUMPRODUCT(--($CR$7:$FW$7&gt;=GL$5),--($CR$7:$FW$7&lt;=GL$6),$CR85:$FW85)*GD85</f>
        <v>0</v>
      </c>
      <c r="GM85" s="145" cm="1">
        <f t="array" ref="GM85">SUMPRODUCT(--($CR$7:$FW$7&gt;=GM$5),--($CR$7:$FW$7&lt;=GM$6),$CR85:$FW85)*GE85</f>
        <v>0</v>
      </c>
      <c r="GN85" s="145" cm="1">
        <f t="array" ref="GN85">SUMPRODUCT(--($CR$7:$FW$7&gt;=GN$5),--($CR$7:$FW$7&lt;=GN$6),$CR85:$FW85)*GF85</f>
        <v>0</v>
      </c>
      <c r="GO85" s="145">
        <f t="shared" si="1"/>
        <v>0</v>
      </c>
      <c r="GP85" s="87"/>
      <c r="GR85" s="145" cm="1">
        <f t="array" ref="GR85">SUMPRODUCT(--($CR$7:$FW$7&gt;=GR$5),--($CR$7:$FW$7&lt;=GR$6),$CR85:$FW85)</f>
        <v>0</v>
      </c>
    </row>
    <row r="86" spans="2:200" x14ac:dyDescent="0.2">
      <c r="B86" s="141"/>
      <c r="C86" s="141"/>
      <c r="D86" s="141"/>
      <c r="E86" s="141"/>
      <c r="F86" s="141"/>
      <c r="G86" s="141"/>
      <c r="H86" s="142"/>
      <c r="I86" s="126"/>
      <c r="J86" s="143"/>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3"/>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c r="EE86" s="145"/>
      <c r="EF86" s="145"/>
      <c r="EG86" s="145"/>
      <c r="EH86" s="145"/>
      <c r="EI86" s="145"/>
      <c r="EJ86" s="145"/>
      <c r="EK86" s="145"/>
      <c r="EL86" s="145"/>
      <c r="EM86" s="145"/>
      <c r="EN86" s="145"/>
      <c r="EO86" s="145"/>
      <c r="EP86" s="145"/>
      <c r="EQ86" s="145"/>
      <c r="ER86" s="145"/>
      <c r="ES86" s="145"/>
      <c r="ET86" s="145"/>
      <c r="EU86" s="145"/>
      <c r="EV86" s="145"/>
      <c r="EW86" s="145"/>
      <c r="EX86" s="145"/>
      <c r="EY86" s="145"/>
      <c r="EZ86" s="145"/>
      <c r="FA86" s="145"/>
      <c r="FB86" s="145"/>
      <c r="FC86" s="145"/>
      <c r="FD86" s="145"/>
      <c r="FE86" s="145"/>
      <c r="FF86" s="145"/>
      <c r="FG86" s="145"/>
      <c r="FH86" s="145"/>
      <c r="FI86" s="145"/>
      <c r="FJ86" s="145"/>
      <c r="FK86" s="145"/>
      <c r="FL86" s="145"/>
      <c r="FM86" s="145"/>
      <c r="FN86" s="145"/>
      <c r="FO86" s="145"/>
      <c r="FP86" s="145"/>
      <c r="FQ86" s="145"/>
      <c r="FR86" s="145"/>
      <c r="FS86" s="145"/>
      <c r="FT86" s="145"/>
      <c r="FU86" s="145"/>
      <c r="FV86" s="145"/>
      <c r="FW86" s="145"/>
      <c r="FX86" s="143"/>
      <c r="FY86" s="146">
        <f>_xlfn.XLOOKUP($E86,'Key assumptions'!$B$112:$B$120,'Key assumptions'!$C$112:$C$120,0)</f>
        <v>0</v>
      </c>
      <c r="FZ86" s="146" cm="1">
        <f t="array" ref="FZ86">IF($FY86=0,0,_xlfn.IFS($FY86='Key assumptions'!$C$120,_xlfn.XLOOKUP(LEFT(FZ$7,6),Inflation_Year,Inflation_NominaltoReal),TRUE,_xlfn.XLOOKUP($FY86,Inflation_Year,NominaltoReal)))</f>
        <v>0</v>
      </c>
      <c r="GA86" s="146" cm="1">
        <f t="array" ref="GA86">IF($FY86=0,0,_xlfn.IFS($FY86='Key assumptions'!$C$120,_xlfn.XLOOKUP(LEFT(GA$7,6),Inflation_Year,Inflation_NominaltoReal),TRUE,_xlfn.XLOOKUP($FY86,Inflation_Year,NominaltoReal)))</f>
        <v>0</v>
      </c>
      <c r="GB86" s="146" cm="1">
        <f t="array" ref="GB86">IF($FY86=0,0,_xlfn.IFS($FY86='Key assumptions'!$C$120,_xlfn.XLOOKUP(LEFT(GB$7,6),Inflation_Year,Inflation_NominaltoReal),TRUE,_xlfn.XLOOKUP($FY86,Inflation_Year,NominaltoReal)))</f>
        <v>0</v>
      </c>
      <c r="GC86" s="146" cm="1">
        <f t="array" ref="GC86">IF($FY86=0,0,_xlfn.IFS($FY86='Key assumptions'!$C$120,_xlfn.XLOOKUP(LEFT(GC$7,6),Inflation_Year,Inflation_NominaltoReal),TRUE,_xlfn.XLOOKUP($FY86,Inflation_Year,NominaltoReal)))</f>
        <v>0</v>
      </c>
      <c r="GD86" s="146" cm="1">
        <f t="array" ref="GD86">IF($FY86=0,0,_xlfn.IFS($FY86='Key assumptions'!$C$120,_xlfn.XLOOKUP(LEFT(GD$7,6),Inflation_Year,Inflation_NominaltoReal),TRUE,_xlfn.XLOOKUP($FY86,Inflation_Year,NominaltoReal)))</f>
        <v>0</v>
      </c>
      <c r="GE86" s="146" cm="1">
        <f t="array" ref="GE86">IF($FY86=0,0,_xlfn.IFS($FY86='Key assumptions'!$C$120,_xlfn.XLOOKUP(LEFT(GE$7,6),Inflation_Year,Inflation_NominaltoReal),TRUE,_xlfn.XLOOKUP($FY86,Inflation_Year,NominaltoReal)))</f>
        <v>0</v>
      </c>
      <c r="GF86" s="146" cm="1">
        <f t="array" ref="GF86">IF($FY86=0,0,_xlfn.IFS($FY86='Key assumptions'!$C$120,_xlfn.XLOOKUP(LEFT(GF$7,6),Inflation_Year,Inflation_NominaltoReal),TRUE,_xlfn.XLOOKUP($FY86,Inflation_Year,NominaltoReal)))</f>
        <v>0</v>
      </c>
      <c r="GG86" s="143"/>
      <c r="GH86" s="145" cm="1">
        <f t="array" ref="GH86">SUMPRODUCT(--($CR$7:$FW$7&gt;=GH$5),--($CR$7:$FW$7&lt;=GH$6),$CR86:$FW86)*FZ86</f>
        <v>0</v>
      </c>
      <c r="GI86" s="145" cm="1">
        <f t="array" ref="GI86">SUMPRODUCT(--($CR$7:$FW$7&gt;=GI$5),--($CR$7:$FW$7&lt;=GI$6),$CR86:$FW86)*GA86</f>
        <v>0</v>
      </c>
      <c r="GJ86" s="145" cm="1">
        <f t="array" ref="GJ86">SUMPRODUCT(--($CR$7:$FW$7&gt;=GJ$5),--($CR$7:$FW$7&lt;=GJ$6),$CR86:$FW86)*GB86</f>
        <v>0</v>
      </c>
      <c r="GK86" s="145" cm="1">
        <f t="array" ref="GK86">SUMPRODUCT(--($CR$7:$FW$7&gt;=GK$5),--($CR$7:$FW$7&lt;=GK$6),$CR86:$FW86)*GC86</f>
        <v>0</v>
      </c>
      <c r="GL86" s="145" cm="1">
        <f t="array" ref="GL86">SUMPRODUCT(--($CR$7:$FW$7&gt;=GL$5),--($CR$7:$FW$7&lt;=GL$6),$CR86:$FW86)*GD86</f>
        <v>0</v>
      </c>
      <c r="GM86" s="145" cm="1">
        <f t="array" ref="GM86">SUMPRODUCT(--($CR$7:$FW$7&gt;=GM$5),--($CR$7:$FW$7&lt;=GM$6),$CR86:$FW86)*GE86</f>
        <v>0</v>
      </c>
      <c r="GN86" s="145" cm="1">
        <f t="array" ref="GN86">SUMPRODUCT(--($CR$7:$FW$7&gt;=GN$5),--($CR$7:$FW$7&lt;=GN$6),$CR86:$FW86)*GF86</f>
        <v>0</v>
      </c>
      <c r="GO86" s="145">
        <f t="shared" si="1"/>
        <v>0</v>
      </c>
      <c r="GP86" s="87"/>
      <c r="GR86" s="145" cm="1">
        <f t="array" ref="GR86">SUMPRODUCT(--($CR$7:$FW$7&gt;=GR$5),--($CR$7:$FW$7&lt;=GR$6),$CR86:$FW86)</f>
        <v>0</v>
      </c>
    </row>
    <row r="87" spans="2:200" x14ac:dyDescent="0.2">
      <c r="B87" s="141"/>
      <c r="C87" s="141"/>
      <c r="D87" s="141"/>
      <c r="E87" s="141"/>
      <c r="F87" s="141"/>
      <c r="G87" s="141"/>
      <c r="H87" s="142"/>
      <c r="I87" s="126"/>
      <c r="J87" s="143"/>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3"/>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c r="EE87" s="145"/>
      <c r="EF87" s="145"/>
      <c r="EG87" s="145"/>
      <c r="EH87" s="145"/>
      <c r="EI87" s="145"/>
      <c r="EJ87" s="145"/>
      <c r="EK87" s="145"/>
      <c r="EL87" s="145"/>
      <c r="EM87" s="145"/>
      <c r="EN87" s="145"/>
      <c r="EO87" s="145"/>
      <c r="EP87" s="145"/>
      <c r="EQ87" s="145"/>
      <c r="ER87" s="145"/>
      <c r="ES87" s="145"/>
      <c r="ET87" s="145"/>
      <c r="EU87" s="145"/>
      <c r="EV87" s="145"/>
      <c r="EW87" s="145"/>
      <c r="EX87" s="145"/>
      <c r="EY87" s="145"/>
      <c r="EZ87" s="145"/>
      <c r="FA87" s="145"/>
      <c r="FB87" s="145"/>
      <c r="FC87" s="145"/>
      <c r="FD87" s="145"/>
      <c r="FE87" s="145"/>
      <c r="FF87" s="145"/>
      <c r="FG87" s="145"/>
      <c r="FH87" s="145"/>
      <c r="FI87" s="145"/>
      <c r="FJ87" s="145"/>
      <c r="FK87" s="145"/>
      <c r="FL87" s="145"/>
      <c r="FM87" s="145"/>
      <c r="FN87" s="145"/>
      <c r="FO87" s="145"/>
      <c r="FP87" s="145"/>
      <c r="FQ87" s="145"/>
      <c r="FR87" s="145"/>
      <c r="FS87" s="145"/>
      <c r="FT87" s="145"/>
      <c r="FU87" s="145"/>
      <c r="FV87" s="145"/>
      <c r="FW87" s="145"/>
      <c r="FX87" s="143"/>
      <c r="FY87" s="146">
        <f>_xlfn.XLOOKUP($E87,'Key assumptions'!$B$112:$B$120,'Key assumptions'!$C$112:$C$120,0)</f>
        <v>0</v>
      </c>
      <c r="FZ87" s="146" cm="1">
        <f t="array" ref="FZ87">IF($FY87=0,0,_xlfn.IFS($FY87='Key assumptions'!$C$120,_xlfn.XLOOKUP(LEFT(FZ$7,6),Inflation_Year,Inflation_NominaltoReal),TRUE,_xlfn.XLOOKUP($FY87,Inflation_Year,NominaltoReal)))</f>
        <v>0</v>
      </c>
      <c r="GA87" s="146" cm="1">
        <f t="array" ref="GA87">IF($FY87=0,0,_xlfn.IFS($FY87='Key assumptions'!$C$120,_xlfn.XLOOKUP(LEFT(GA$7,6),Inflation_Year,Inflation_NominaltoReal),TRUE,_xlfn.XLOOKUP($FY87,Inflation_Year,NominaltoReal)))</f>
        <v>0</v>
      </c>
      <c r="GB87" s="146" cm="1">
        <f t="array" ref="GB87">IF($FY87=0,0,_xlfn.IFS($FY87='Key assumptions'!$C$120,_xlfn.XLOOKUP(LEFT(GB$7,6),Inflation_Year,Inflation_NominaltoReal),TRUE,_xlfn.XLOOKUP($FY87,Inflation_Year,NominaltoReal)))</f>
        <v>0</v>
      </c>
      <c r="GC87" s="146" cm="1">
        <f t="array" ref="GC87">IF($FY87=0,0,_xlfn.IFS($FY87='Key assumptions'!$C$120,_xlfn.XLOOKUP(LEFT(GC$7,6),Inflation_Year,Inflation_NominaltoReal),TRUE,_xlfn.XLOOKUP($FY87,Inflation_Year,NominaltoReal)))</f>
        <v>0</v>
      </c>
      <c r="GD87" s="146" cm="1">
        <f t="array" ref="GD87">IF($FY87=0,0,_xlfn.IFS($FY87='Key assumptions'!$C$120,_xlfn.XLOOKUP(LEFT(GD$7,6),Inflation_Year,Inflation_NominaltoReal),TRUE,_xlfn.XLOOKUP($FY87,Inflation_Year,NominaltoReal)))</f>
        <v>0</v>
      </c>
      <c r="GE87" s="146" cm="1">
        <f t="array" ref="GE87">IF($FY87=0,0,_xlfn.IFS($FY87='Key assumptions'!$C$120,_xlfn.XLOOKUP(LEFT(GE$7,6),Inflation_Year,Inflation_NominaltoReal),TRUE,_xlfn.XLOOKUP($FY87,Inflation_Year,NominaltoReal)))</f>
        <v>0</v>
      </c>
      <c r="GF87" s="146" cm="1">
        <f t="array" ref="GF87">IF($FY87=0,0,_xlfn.IFS($FY87='Key assumptions'!$C$120,_xlfn.XLOOKUP(LEFT(GF$7,6),Inflation_Year,Inflation_NominaltoReal),TRUE,_xlfn.XLOOKUP($FY87,Inflation_Year,NominaltoReal)))</f>
        <v>0</v>
      </c>
      <c r="GG87" s="143"/>
      <c r="GH87" s="145" cm="1">
        <f t="array" ref="GH87">SUMPRODUCT(--($CR$7:$FW$7&gt;=GH$5),--($CR$7:$FW$7&lt;=GH$6),$CR87:$FW87)*FZ87</f>
        <v>0</v>
      </c>
      <c r="GI87" s="145" cm="1">
        <f t="array" ref="GI87">SUMPRODUCT(--($CR$7:$FW$7&gt;=GI$5),--($CR$7:$FW$7&lt;=GI$6),$CR87:$FW87)*GA87</f>
        <v>0</v>
      </c>
      <c r="GJ87" s="145" cm="1">
        <f t="array" ref="GJ87">SUMPRODUCT(--($CR$7:$FW$7&gt;=GJ$5),--($CR$7:$FW$7&lt;=GJ$6),$CR87:$FW87)*GB87</f>
        <v>0</v>
      </c>
      <c r="GK87" s="145" cm="1">
        <f t="array" ref="GK87">SUMPRODUCT(--($CR$7:$FW$7&gt;=GK$5),--($CR$7:$FW$7&lt;=GK$6),$CR87:$FW87)*GC87</f>
        <v>0</v>
      </c>
      <c r="GL87" s="145" cm="1">
        <f t="array" ref="GL87">SUMPRODUCT(--($CR$7:$FW$7&gt;=GL$5),--($CR$7:$FW$7&lt;=GL$6),$CR87:$FW87)*GD87</f>
        <v>0</v>
      </c>
      <c r="GM87" s="145" cm="1">
        <f t="array" ref="GM87">SUMPRODUCT(--($CR$7:$FW$7&gt;=GM$5),--($CR$7:$FW$7&lt;=GM$6),$CR87:$FW87)*GE87</f>
        <v>0</v>
      </c>
      <c r="GN87" s="145" cm="1">
        <f t="array" ref="GN87">SUMPRODUCT(--($CR$7:$FW$7&gt;=GN$5),--($CR$7:$FW$7&lt;=GN$6),$CR87:$FW87)*GF87</f>
        <v>0</v>
      </c>
      <c r="GO87" s="145">
        <f t="shared" si="1"/>
        <v>0</v>
      </c>
      <c r="GP87" s="87"/>
      <c r="GR87" s="145" cm="1">
        <f t="array" ref="GR87">SUMPRODUCT(--($CR$7:$FW$7&gt;=GR$5),--($CR$7:$FW$7&lt;=GR$6),$CR87:$FW87)</f>
        <v>0</v>
      </c>
    </row>
    <row r="88" spans="2:200" x14ac:dyDescent="0.2">
      <c r="B88" s="141"/>
      <c r="C88" s="141"/>
      <c r="D88" s="141"/>
      <c r="E88" s="141"/>
      <c r="F88" s="141"/>
      <c r="G88" s="141"/>
      <c r="H88" s="142"/>
      <c r="I88" s="126"/>
      <c r="J88" s="143"/>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3"/>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c r="EE88" s="145"/>
      <c r="EF88" s="145"/>
      <c r="EG88" s="145"/>
      <c r="EH88" s="145"/>
      <c r="EI88" s="145"/>
      <c r="EJ88" s="145"/>
      <c r="EK88" s="145"/>
      <c r="EL88" s="145"/>
      <c r="EM88" s="145"/>
      <c r="EN88" s="145"/>
      <c r="EO88" s="145"/>
      <c r="EP88" s="145"/>
      <c r="EQ88" s="145"/>
      <c r="ER88" s="145"/>
      <c r="ES88" s="145"/>
      <c r="ET88" s="145"/>
      <c r="EU88" s="145"/>
      <c r="EV88" s="145"/>
      <c r="EW88" s="145"/>
      <c r="EX88" s="145"/>
      <c r="EY88" s="145"/>
      <c r="EZ88" s="145"/>
      <c r="FA88" s="145"/>
      <c r="FB88" s="145"/>
      <c r="FC88" s="145"/>
      <c r="FD88" s="145"/>
      <c r="FE88" s="145"/>
      <c r="FF88" s="145"/>
      <c r="FG88" s="145"/>
      <c r="FH88" s="145"/>
      <c r="FI88" s="145"/>
      <c r="FJ88" s="145"/>
      <c r="FK88" s="145"/>
      <c r="FL88" s="145"/>
      <c r="FM88" s="145"/>
      <c r="FN88" s="145"/>
      <c r="FO88" s="145"/>
      <c r="FP88" s="145"/>
      <c r="FQ88" s="145"/>
      <c r="FR88" s="145"/>
      <c r="FS88" s="145"/>
      <c r="FT88" s="145"/>
      <c r="FU88" s="145"/>
      <c r="FV88" s="145"/>
      <c r="FW88" s="145"/>
      <c r="FX88" s="143"/>
      <c r="FY88" s="146">
        <f>_xlfn.XLOOKUP($E88,'Key assumptions'!$B$112:$B$120,'Key assumptions'!$C$112:$C$120,0)</f>
        <v>0</v>
      </c>
      <c r="FZ88" s="146" cm="1">
        <f t="array" ref="FZ88">IF($FY88=0,0,_xlfn.IFS($FY88='Key assumptions'!$C$120,_xlfn.XLOOKUP(LEFT(FZ$7,6),Inflation_Year,Inflation_NominaltoReal),TRUE,_xlfn.XLOOKUP($FY88,Inflation_Year,NominaltoReal)))</f>
        <v>0</v>
      </c>
      <c r="GA88" s="146" cm="1">
        <f t="array" ref="GA88">IF($FY88=0,0,_xlfn.IFS($FY88='Key assumptions'!$C$120,_xlfn.XLOOKUP(LEFT(GA$7,6),Inflation_Year,Inflation_NominaltoReal),TRUE,_xlfn.XLOOKUP($FY88,Inflation_Year,NominaltoReal)))</f>
        <v>0</v>
      </c>
      <c r="GB88" s="146" cm="1">
        <f t="array" ref="GB88">IF($FY88=0,0,_xlfn.IFS($FY88='Key assumptions'!$C$120,_xlfn.XLOOKUP(LEFT(GB$7,6),Inflation_Year,Inflation_NominaltoReal),TRUE,_xlfn.XLOOKUP($FY88,Inflation_Year,NominaltoReal)))</f>
        <v>0</v>
      </c>
      <c r="GC88" s="146" cm="1">
        <f t="array" ref="GC88">IF($FY88=0,0,_xlfn.IFS($FY88='Key assumptions'!$C$120,_xlfn.XLOOKUP(LEFT(GC$7,6),Inflation_Year,Inflation_NominaltoReal),TRUE,_xlfn.XLOOKUP($FY88,Inflation_Year,NominaltoReal)))</f>
        <v>0</v>
      </c>
      <c r="GD88" s="146" cm="1">
        <f t="array" ref="GD88">IF($FY88=0,0,_xlfn.IFS($FY88='Key assumptions'!$C$120,_xlfn.XLOOKUP(LEFT(GD$7,6),Inflation_Year,Inflation_NominaltoReal),TRUE,_xlfn.XLOOKUP($FY88,Inflation_Year,NominaltoReal)))</f>
        <v>0</v>
      </c>
      <c r="GE88" s="146" cm="1">
        <f t="array" ref="GE88">IF($FY88=0,0,_xlfn.IFS($FY88='Key assumptions'!$C$120,_xlfn.XLOOKUP(LEFT(GE$7,6),Inflation_Year,Inflation_NominaltoReal),TRUE,_xlfn.XLOOKUP($FY88,Inflation_Year,NominaltoReal)))</f>
        <v>0</v>
      </c>
      <c r="GF88" s="146" cm="1">
        <f t="array" ref="GF88">IF($FY88=0,0,_xlfn.IFS($FY88='Key assumptions'!$C$120,_xlfn.XLOOKUP(LEFT(GF$7,6),Inflation_Year,Inflation_NominaltoReal),TRUE,_xlfn.XLOOKUP($FY88,Inflation_Year,NominaltoReal)))</f>
        <v>0</v>
      </c>
      <c r="GG88" s="143"/>
      <c r="GH88" s="145" cm="1">
        <f t="array" ref="GH88">SUMPRODUCT(--($CR$7:$FW$7&gt;=GH$5),--($CR$7:$FW$7&lt;=GH$6),$CR88:$FW88)*FZ88</f>
        <v>0</v>
      </c>
      <c r="GI88" s="145" cm="1">
        <f t="array" ref="GI88">SUMPRODUCT(--($CR$7:$FW$7&gt;=GI$5),--($CR$7:$FW$7&lt;=GI$6),$CR88:$FW88)*GA88</f>
        <v>0</v>
      </c>
      <c r="GJ88" s="145" cm="1">
        <f t="array" ref="GJ88">SUMPRODUCT(--($CR$7:$FW$7&gt;=GJ$5),--($CR$7:$FW$7&lt;=GJ$6),$CR88:$FW88)*GB88</f>
        <v>0</v>
      </c>
      <c r="GK88" s="145" cm="1">
        <f t="array" ref="GK88">SUMPRODUCT(--($CR$7:$FW$7&gt;=GK$5),--($CR$7:$FW$7&lt;=GK$6),$CR88:$FW88)*GC88</f>
        <v>0</v>
      </c>
      <c r="GL88" s="145" cm="1">
        <f t="array" ref="GL88">SUMPRODUCT(--($CR$7:$FW$7&gt;=GL$5),--($CR$7:$FW$7&lt;=GL$6),$CR88:$FW88)*GD88</f>
        <v>0</v>
      </c>
      <c r="GM88" s="145" cm="1">
        <f t="array" ref="GM88">SUMPRODUCT(--($CR$7:$FW$7&gt;=GM$5),--($CR$7:$FW$7&lt;=GM$6),$CR88:$FW88)*GE88</f>
        <v>0</v>
      </c>
      <c r="GN88" s="145" cm="1">
        <f t="array" ref="GN88">SUMPRODUCT(--($CR$7:$FW$7&gt;=GN$5),--($CR$7:$FW$7&lt;=GN$6),$CR88:$FW88)*GF88</f>
        <v>0</v>
      </c>
      <c r="GO88" s="145">
        <f t="shared" si="1"/>
        <v>0</v>
      </c>
      <c r="GP88" s="87"/>
      <c r="GR88" s="145" cm="1">
        <f t="array" ref="GR88">SUMPRODUCT(--($CR$7:$FW$7&gt;=GR$5),--($CR$7:$FW$7&lt;=GR$6),$CR88:$FW88)</f>
        <v>0</v>
      </c>
    </row>
    <row r="89" spans="2:200" x14ac:dyDescent="0.2">
      <c r="B89" s="141"/>
      <c r="C89" s="141"/>
      <c r="D89" s="141"/>
      <c r="E89" s="141"/>
      <c r="F89" s="141"/>
      <c r="G89" s="141"/>
      <c r="H89" s="142"/>
      <c r="I89" s="126"/>
      <c r="J89" s="143"/>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3"/>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c r="EE89" s="145"/>
      <c r="EF89" s="145"/>
      <c r="EG89" s="145"/>
      <c r="EH89" s="145"/>
      <c r="EI89" s="145"/>
      <c r="EJ89" s="145"/>
      <c r="EK89" s="145"/>
      <c r="EL89" s="145"/>
      <c r="EM89" s="145"/>
      <c r="EN89" s="145"/>
      <c r="EO89" s="145"/>
      <c r="EP89" s="145"/>
      <c r="EQ89" s="145"/>
      <c r="ER89" s="145"/>
      <c r="ES89" s="145"/>
      <c r="ET89" s="145"/>
      <c r="EU89" s="145"/>
      <c r="EV89" s="145"/>
      <c r="EW89" s="145"/>
      <c r="EX89" s="145"/>
      <c r="EY89" s="145"/>
      <c r="EZ89" s="145"/>
      <c r="FA89" s="145"/>
      <c r="FB89" s="145"/>
      <c r="FC89" s="145"/>
      <c r="FD89" s="145"/>
      <c r="FE89" s="145"/>
      <c r="FF89" s="145"/>
      <c r="FG89" s="145"/>
      <c r="FH89" s="145"/>
      <c r="FI89" s="145"/>
      <c r="FJ89" s="145"/>
      <c r="FK89" s="145"/>
      <c r="FL89" s="145"/>
      <c r="FM89" s="145"/>
      <c r="FN89" s="145"/>
      <c r="FO89" s="145"/>
      <c r="FP89" s="145"/>
      <c r="FQ89" s="145"/>
      <c r="FR89" s="145"/>
      <c r="FS89" s="145"/>
      <c r="FT89" s="145"/>
      <c r="FU89" s="145"/>
      <c r="FV89" s="145"/>
      <c r="FW89" s="145"/>
      <c r="FX89" s="143"/>
      <c r="FY89" s="146">
        <f>_xlfn.XLOOKUP($E89,'Key assumptions'!$B$112:$B$120,'Key assumptions'!$C$112:$C$120,0)</f>
        <v>0</v>
      </c>
      <c r="FZ89" s="146" cm="1">
        <f t="array" ref="FZ89">IF($FY89=0,0,_xlfn.IFS($FY89='Key assumptions'!$C$120,_xlfn.XLOOKUP(LEFT(FZ$7,6),Inflation_Year,Inflation_NominaltoReal),TRUE,_xlfn.XLOOKUP($FY89,Inflation_Year,NominaltoReal)))</f>
        <v>0</v>
      </c>
      <c r="GA89" s="146" cm="1">
        <f t="array" ref="GA89">IF($FY89=0,0,_xlfn.IFS($FY89='Key assumptions'!$C$120,_xlfn.XLOOKUP(LEFT(GA$7,6),Inflation_Year,Inflation_NominaltoReal),TRUE,_xlfn.XLOOKUP($FY89,Inflation_Year,NominaltoReal)))</f>
        <v>0</v>
      </c>
      <c r="GB89" s="146" cm="1">
        <f t="array" ref="GB89">IF($FY89=0,0,_xlfn.IFS($FY89='Key assumptions'!$C$120,_xlfn.XLOOKUP(LEFT(GB$7,6),Inflation_Year,Inflation_NominaltoReal),TRUE,_xlfn.XLOOKUP($FY89,Inflation_Year,NominaltoReal)))</f>
        <v>0</v>
      </c>
      <c r="GC89" s="146" cm="1">
        <f t="array" ref="GC89">IF($FY89=0,0,_xlfn.IFS($FY89='Key assumptions'!$C$120,_xlfn.XLOOKUP(LEFT(GC$7,6),Inflation_Year,Inflation_NominaltoReal),TRUE,_xlfn.XLOOKUP($FY89,Inflation_Year,NominaltoReal)))</f>
        <v>0</v>
      </c>
      <c r="GD89" s="146" cm="1">
        <f t="array" ref="GD89">IF($FY89=0,0,_xlfn.IFS($FY89='Key assumptions'!$C$120,_xlfn.XLOOKUP(LEFT(GD$7,6),Inflation_Year,Inflation_NominaltoReal),TRUE,_xlfn.XLOOKUP($FY89,Inflation_Year,NominaltoReal)))</f>
        <v>0</v>
      </c>
      <c r="GE89" s="146" cm="1">
        <f t="array" ref="GE89">IF($FY89=0,0,_xlfn.IFS($FY89='Key assumptions'!$C$120,_xlfn.XLOOKUP(LEFT(GE$7,6),Inflation_Year,Inflation_NominaltoReal),TRUE,_xlfn.XLOOKUP($FY89,Inflation_Year,NominaltoReal)))</f>
        <v>0</v>
      </c>
      <c r="GF89" s="146" cm="1">
        <f t="array" ref="GF89">IF($FY89=0,0,_xlfn.IFS($FY89='Key assumptions'!$C$120,_xlfn.XLOOKUP(LEFT(GF$7,6),Inflation_Year,Inflation_NominaltoReal),TRUE,_xlfn.XLOOKUP($FY89,Inflation_Year,NominaltoReal)))</f>
        <v>0</v>
      </c>
      <c r="GG89" s="143"/>
      <c r="GH89" s="145" cm="1">
        <f t="array" ref="GH89">SUMPRODUCT(--($CR$7:$FW$7&gt;=GH$5),--($CR$7:$FW$7&lt;=GH$6),$CR89:$FW89)*FZ89</f>
        <v>0</v>
      </c>
      <c r="GI89" s="145" cm="1">
        <f t="array" ref="GI89">SUMPRODUCT(--($CR$7:$FW$7&gt;=GI$5),--($CR$7:$FW$7&lt;=GI$6),$CR89:$FW89)*GA89</f>
        <v>0</v>
      </c>
      <c r="GJ89" s="145" cm="1">
        <f t="array" ref="GJ89">SUMPRODUCT(--($CR$7:$FW$7&gt;=GJ$5),--($CR$7:$FW$7&lt;=GJ$6),$CR89:$FW89)*GB89</f>
        <v>0</v>
      </c>
      <c r="GK89" s="145" cm="1">
        <f t="array" ref="GK89">SUMPRODUCT(--($CR$7:$FW$7&gt;=GK$5),--($CR$7:$FW$7&lt;=GK$6),$CR89:$FW89)*GC89</f>
        <v>0</v>
      </c>
      <c r="GL89" s="145" cm="1">
        <f t="array" ref="GL89">SUMPRODUCT(--($CR$7:$FW$7&gt;=GL$5),--($CR$7:$FW$7&lt;=GL$6),$CR89:$FW89)*GD89</f>
        <v>0</v>
      </c>
      <c r="GM89" s="145" cm="1">
        <f t="array" ref="GM89">SUMPRODUCT(--($CR$7:$FW$7&gt;=GM$5),--($CR$7:$FW$7&lt;=GM$6),$CR89:$FW89)*GE89</f>
        <v>0</v>
      </c>
      <c r="GN89" s="145" cm="1">
        <f t="array" ref="GN89">SUMPRODUCT(--($CR$7:$FW$7&gt;=GN$5),--($CR$7:$FW$7&lt;=GN$6),$CR89:$FW89)*GF89</f>
        <v>0</v>
      </c>
      <c r="GO89" s="145">
        <f t="shared" si="1"/>
        <v>0</v>
      </c>
      <c r="GP89" s="87"/>
      <c r="GR89" s="145" cm="1">
        <f t="array" ref="GR89">SUMPRODUCT(--($CR$7:$FW$7&gt;=GR$5),--($CR$7:$FW$7&lt;=GR$6),$CR89:$FW89)</f>
        <v>0</v>
      </c>
    </row>
    <row r="90" spans="2:200" x14ac:dyDescent="0.2">
      <c r="B90" s="141"/>
      <c r="C90" s="141"/>
      <c r="D90" s="141"/>
      <c r="E90" s="141"/>
      <c r="F90" s="141"/>
      <c r="G90" s="141"/>
      <c r="H90" s="142"/>
      <c r="I90" s="126"/>
      <c r="J90" s="143"/>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3"/>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c r="EE90" s="145"/>
      <c r="EF90" s="145"/>
      <c r="EG90" s="145"/>
      <c r="EH90" s="145"/>
      <c r="EI90" s="145"/>
      <c r="EJ90" s="145"/>
      <c r="EK90" s="145"/>
      <c r="EL90" s="145"/>
      <c r="EM90" s="145"/>
      <c r="EN90" s="145"/>
      <c r="EO90" s="145"/>
      <c r="EP90" s="145"/>
      <c r="EQ90" s="145"/>
      <c r="ER90" s="145"/>
      <c r="ES90" s="145"/>
      <c r="ET90" s="145"/>
      <c r="EU90" s="145"/>
      <c r="EV90" s="145"/>
      <c r="EW90" s="145"/>
      <c r="EX90" s="145"/>
      <c r="EY90" s="145"/>
      <c r="EZ90" s="145"/>
      <c r="FA90" s="145"/>
      <c r="FB90" s="145"/>
      <c r="FC90" s="145"/>
      <c r="FD90" s="145"/>
      <c r="FE90" s="145"/>
      <c r="FF90" s="145"/>
      <c r="FG90" s="145"/>
      <c r="FH90" s="145"/>
      <c r="FI90" s="145"/>
      <c r="FJ90" s="145"/>
      <c r="FK90" s="145"/>
      <c r="FL90" s="145"/>
      <c r="FM90" s="145"/>
      <c r="FN90" s="145"/>
      <c r="FO90" s="145"/>
      <c r="FP90" s="145"/>
      <c r="FQ90" s="145"/>
      <c r="FR90" s="145"/>
      <c r="FS90" s="145"/>
      <c r="FT90" s="145"/>
      <c r="FU90" s="145"/>
      <c r="FV90" s="145"/>
      <c r="FW90" s="145"/>
      <c r="FX90" s="143"/>
      <c r="FY90" s="146">
        <f>_xlfn.XLOOKUP($E90,'Key assumptions'!$B$112:$B$120,'Key assumptions'!$C$112:$C$120,0)</f>
        <v>0</v>
      </c>
      <c r="FZ90" s="146" cm="1">
        <f t="array" ref="FZ90">IF($FY90=0,0,_xlfn.IFS($FY90='Key assumptions'!$C$120,_xlfn.XLOOKUP(LEFT(FZ$7,6),Inflation_Year,Inflation_NominaltoReal),TRUE,_xlfn.XLOOKUP($FY90,Inflation_Year,NominaltoReal)))</f>
        <v>0</v>
      </c>
      <c r="GA90" s="146" cm="1">
        <f t="array" ref="GA90">IF($FY90=0,0,_xlfn.IFS($FY90='Key assumptions'!$C$120,_xlfn.XLOOKUP(LEFT(GA$7,6),Inflation_Year,Inflation_NominaltoReal),TRUE,_xlfn.XLOOKUP($FY90,Inflation_Year,NominaltoReal)))</f>
        <v>0</v>
      </c>
      <c r="GB90" s="146" cm="1">
        <f t="array" ref="GB90">IF($FY90=0,0,_xlfn.IFS($FY90='Key assumptions'!$C$120,_xlfn.XLOOKUP(LEFT(GB$7,6),Inflation_Year,Inflation_NominaltoReal),TRUE,_xlfn.XLOOKUP($FY90,Inflation_Year,NominaltoReal)))</f>
        <v>0</v>
      </c>
      <c r="GC90" s="146" cm="1">
        <f t="array" ref="GC90">IF($FY90=0,0,_xlfn.IFS($FY90='Key assumptions'!$C$120,_xlfn.XLOOKUP(LEFT(GC$7,6),Inflation_Year,Inflation_NominaltoReal),TRUE,_xlfn.XLOOKUP($FY90,Inflation_Year,NominaltoReal)))</f>
        <v>0</v>
      </c>
      <c r="GD90" s="146" cm="1">
        <f t="array" ref="GD90">IF($FY90=0,0,_xlfn.IFS($FY90='Key assumptions'!$C$120,_xlfn.XLOOKUP(LEFT(GD$7,6),Inflation_Year,Inflation_NominaltoReal),TRUE,_xlfn.XLOOKUP($FY90,Inflation_Year,NominaltoReal)))</f>
        <v>0</v>
      </c>
      <c r="GE90" s="146" cm="1">
        <f t="array" ref="GE90">IF($FY90=0,0,_xlfn.IFS($FY90='Key assumptions'!$C$120,_xlfn.XLOOKUP(LEFT(GE$7,6),Inflation_Year,Inflation_NominaltoReal),TRUE,_xlfn.XLOOKUP($FY90,Inflation_Year,NominaltoReal)))</f>
        <v>0</v>
      </c>
      <c r="GF90" s="146" cm="1">
        <f t="array" ref="GF90">IF($FY90=0,0,_xlfn.IFS($FY90='Key assumptions'!$C$120,_xlfn.XLOOKUP(LEFT(GF$7,6),Inflation_Year,Inflation_NominaltoReal),TRUE,_xlfn.XLOOKUP($FY90,Inflation_Year,NominaltoReal)))</f>
        <v>0</v>
      </c>
      <c r="GG90" s="143"/>
      <c r="GH90" s="145" cm="1">
        <f t="array" ref="GH90">SUMPRODUCT(--($CR$7:$FW$7&gt;=GH$5),--($CR$7:$FW$7&lt;=GH$6),$CR90:$FW90)*FZ90</f>
        <v>0</v>
      </c>
      <c r="GI90" s="145" cm="1">
        <f t="array" ref="GI90">SUMPRODUCT(--($CR$7:$FW$7&gt;=GI$5),--($CR$7:$FW$7&lt;=GI$6),$CR90:$FW90)*GA90</f>
        <v>0</v>
      </c>
      <c r="GJ90" s="145" cm="1">
        <f t="array" ref="GJ90">SUMPRODUCT(--($CR$7:$FW$7&gt;=GJ$5),--($CR$7:$FW$7&lt;=GJ$6),$CR90:$FW90)*GB90</f>
        <v>0</v>
      </c>
      <c r="GK90" s="145" cm="1">
        <f t="array" ref="GK90">SUMPRODUCT(--($CR$7:$FW$7&gt;=GK$5),--($CR$7:$FW$7&lt;=GK$6),$CR90:$FW90)*GC90</f>
        <v>0</v>
      </c>
      <c r="GL90" s="145" cm="1">
        <f t="array" ref="GL90">SUMPRODUCT(--($CR$7:$FW$7&gt;=GL$5),--($CR$7:$FW$7&lt;=GL$6),$CR90:$FW90)*GD90</f>
        <v>0</v>
      </c>
      <c r="GM90" s="145" cm="1">
        <f t="array" ref="GM90">SUMPRODUCT(--($CR$7:$FW$7&gt;=GM$5),--($CR$7:$FW$7&lt;=GM$6),$CR90:$FW90)*GE90</f>
        <v>0</v>
      </c>
      <c r="GN90" s="145" cm="1">
        <f t="array" ref="GN90">SUMPRODUCT(--($CR$7:$FW$7&gt;=GN$5),--($CR$7:$FW$7&lt;=GN$6),$CR90:$FW90)*GF90</f>
        <v>0</v>
      </c>
      <c r="GO90" s="145">
        <f t="shared" si="1"/>
        <v>0</v>
      </c>
      <c r="GP90" s="87"/>
      <c r="GR90" s="145" cm="1">
        <f t="array" ref="GR90">SUMPRODUCT(--($CR$7:$FW$7&gt;=GR$5),--($CR$7:$FW$7&lt;=GR$6),$CR90:$FW90)</f>
        <v>0</v>
      </c>
    </row>
    <row r="91" spans="2:200" x14ac:dyDescent="0.2">
      <c r="B91" s="141"/>
      <c r="C91" s="141"/>
      <c r="D91" s="141"/>
      <c r="E91" s="141"/>
      <c r="F91" s="141"/>
      <c r="G91" s="141"/>
      <c r="H91" s="142"/>
      <c r="I91" s="126"/>
      <c r="J91" s="143"/>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3"/>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c r="EE91" s="145"/>
      <c r="EF91" s="145"/>
      <c r="EG91" s="145"/>
      <c r="EH91" s="145"/>
      <c r="EI91" s="145"/>
      <c r="EJ91" s="145"/>
      <c r="EK91" s="145"/>
      <c r="EL91" s="145"/>
      <c r="EM91" s="145"/>
      <c r="EN91" s="145"/>
      <c r="EO91" s="145"/>
      <c r="EP91" s="145"/>
      <c r="EQ91" s="145"/>
      <c r="ER91" s="145"/>
      <c r="ES91" s="145"/>
      <c r="ET91" s="145"/>
      <c r="EU91" s="145"/>
      <c r="EV91" s="145"/>
      <c r="EW91" s="145"/>
      <c r="EX91" s="145"/>
      <c r="EY91" s="145"/>
      <c r="EZ91" s="145"/>
      <c r="FA91" s="145"/>
      <c r="FB91" s="145"/>
      <c r="FC91" s="145"/>
      <c r="FD91" s="145"/>
      <c r="FE91" s="145"/>
      <c r="FF91" s="145"/>
      <c r="FG91" s="145"/>
      <c r="FH91" s="145"/>
      <c r="FI91" s="145"/>
      <c r="FJ91" s="145"/>
      <c r="FK91" s="145"/>
      <c r="FL91" s="145"/>
      <c r="FM91" s="145"/>
      <c r="FN91" s="145"/>
      <c r="FO91" s="145"/>
      <c r="FP91" s="145"/>
      <c r="FQ91" s="145"/>
      <c r="FR91" s="145"/>
      <c r="FS91" s="145"/>
      <c r="FT91" s="145"/>
      <c r="FU91" s="145"/>
      <c r="FV91" s="145"/>
      <c r="FW91" s="145"/>
      <c r="FX91" s="143"/>
      <c r="FY91" s="146">
        <f>_xlfn.XLOOKUP($E91,'Key assumptions'!$B$112:$B$120,'Key assumptions'!$C$112:$C$120,0)</f>
        <v>0</v>
      </c>
      <c r="FZ91" s="146" cm="1">
        <f t="array" ref="FZ91">IF($FY91=0,0,_xlfn.IFS($FY91='Key assumptions'!$C$120,_xlfn.XLOOKUP(LEFT(FZ$7,6),Inflation_Year,Inflation_NominaltoReal),TRUE,_xlfn.XLOOKUP($FY91,Inflation_Year,NominaltoReal)))</f>
        <v>0</v>
      </c>
      <c r="GA91" s="146" cm="1">
        <f t="array" ref="GA91">IF($FY91=0,0,_xlfn.IFS($FY91='Key assumptions'!$C$120,_xlfn.XLOOKUP(LEFT(GA$7,6),Inflation_Year,Inflation_NominaltoReal),TRUE,_xlfn.XLOOKUP($FY91,Inflation_Year,NominaltoReal)))</f>
        <v>0</v>
      </c>
      <c r="GB91" s="146" cm="1">
        <f t="array" ref="GB91">IF($FY91=0,0,_xlfn.IFS($FY91='Key assumptions'!$C$120,_xlfn.XLOOKUP(LEFT(GB$7,6),Inflation_Year,Inflation_NominaltoReal),TRUE,_xlfn.XLOOKUP($FY91,Inflation_Year,NominaltoReal)))</f>
        <v>0</v>
      </c>
      <c r="GC91" s="146" cm="1">
        <f t="array" ref="GC91">IF($FY91=0,0,_xlfn.IFS($FY91='Key assumptions'!$C$120,_xlfn.XLOOKUP(LEFT(GC$7,6),Inflation_Year,Inflation_NominaltoReal),TRUE,_xlfn.XLOOKUP($FY91,Inflation_Year,NominaltoReal)))</f>
        <v>0</v>
      </c>
      <c r="GD91" s="146" cm="1">
        <f t="array" ref="GD91">IF($FY91=0,0,_xlfn.IFS($FY91='Key assumptions'!$C$120,_xlfn.XLOOKUP(LEFT(GD$7,6),Inflation_Year,Inflation_NominaltoReal),TRUE,_xlfn.XLOOKUP($FY91,Inflation_Year,NominaltoReal)))</f>
        <v>0</v>
      </c>
      <c r="GE91" s="146" cm="1">
        <f t="array" ref="GE91">IF($FY91=0,0,_xlfn.IFS($FY91='Key assumptions'!$C$120,_xlfn.XLOOKUP(LEFT(GE$7,6),Inflation_Year,Inflation_NominaltoReal),TRUE,_xlfn.XLOOKUP($FY91,Inflation_Year,NominaltoReal)))</f>
        <v>0</v>
      </c>
      <c r="GF91" s="146" cm="1">
        <f t="array" ref="GF91">IF($FY91=0,0,_xlfn.IFS($FY91='Key assumptions'!$C$120,_xlfn.XLOOKUP(LEFT(GF$7,6),Inflation_Year,Inflation_NominaltoReal),TRUE,_xlfn.XLOOKUP($FY91,Inflation_Year,NominaltoReal)))</f>
        <v>0</v>
      </c>
      <c r="GG91" s="143"/>
      <c r="GH91" s="145" cm="1">
        <f t="array" ref="GH91">SUMPRODUCT(--($CR$7:$FW$7&gt;=GH$5),--($CR$7:$FW$7&lt;=GH$6),$CR91:$FW91)*FZ91</f>
        <v>0</v>
      </c>
      <c r="GI91" s="145" cm="1">
        <f t="array" ref="GI91">SUMPRODUCT(--($CR$7:$FW$7&gt;=GI$5),--($CR$7:$FW$7&lt;=GI$6),$CR91:$FW91)*GA91</f>
        <v>0</v>
      </c>
      <c r="GJ91" s="145" cm="1">
        <f t="array" ref="GJ91">SUMPRODUCT(--($CR$7:$FW$7&gt;=GJ$5),--($CR$7:$FW$7&lt;=GJ$6),$CR91:$FW91)*GB91</f>
        <v>0</v>
      </c>
      <c r="GK91" s="145" cm="1">
        <f t="array" ref="GK91">SUMPRODUCT(--($CR$7:$FW$7&gt;=GK$5),--($CR$7:$FW$7&lt;=GK$6),$CR91:$FW91)*GC91</f>
        <v>0</v>
      </c>
      <c r="GL91" s="145" cm="1">
        <f t="array" ref="GL91">SUMPRODUCT(--($CR$7:$FW$7&gt;=GL$5),--($CR$7:$FW$7&lt;=GL$6),$CR91:$FW91)*GD91</f>
        <v>0</v>
      </c>
      <c r="GM91" s="145" cm="1">
        <f t="array" ref="GM91">SUMPRODUCT(--($CR$7:$FW$7&gt;=GM$5),--($CR$7:$FW$7&lt;=GM$6),$CR91:$FW91)*GE91</f>
        <v>0</v>
      </c>
      <c r="GN91" s="145" cm="1">
        <f t="array" ref="GN91">SUMPRODUCT(--($CR$7:$FW$7&gt;=GN$5),--($CR$7:$FW$7&lt;=GN$6),$CR91:$FW91)*GF91</f>
        <v>0</v>
      </c>
      <c r="GO91" s="145">
        <f t="shared" si="1"/>
        <v>0</v>
      </c>
      <c r="GP91" s="87"/>
      <c r="GR91" s="145" cm="1">
        <f t="array" ref="GR91">SUMPRODUCT(--($CR$7:$FW$7&gt;=GR$5),--($CR$7:$FW$7&lt;=GR$6),$CR91:$FW91)</f>
        <v>0</v>
      </c>
    </row>
    <row r="92" spans="2:200" x14ac:dyDescent="0.2">
      <c r="B92" s="141"/>
      <c r="C92" s="141"/>
      <c r="D92" s="141"/>
      <c r="E92" s="141"/>
      <c r="F92" s="141"/>
      <c r="G92" s="141"/>
      <c r="H92" s="142"/>
      <c r="I92" s="126"/>
      <c r="J92" s="143"/>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3"/>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145"/>
      <c r="EH92" s="145"/>
      <c r="EI92" s="145"/>
      <c r="EJ92" s="145"/>
      <c r="EK92" s="145"/>
      <c r="EL92" s="145"/>
      <c r="EM92" s="145"/>
      <c r="EN92" s="145"/>
      <c r="EO92" s="145"/>
      <c r="EP92" s="145"/>
      <c r="EQ92" s="145"/>
      <c r="ER92" s="145"/>
      <c r="ES92" s="145"/>
      <c r="ET92" s="145"/>
      <c r="EU92" s="145"/>
      <c r="EV92" s="145"/>
      <c r="EW92" s="145"/>
      <c r="EX92" s="145"/>
      <c r="EY92" s="145"/>
      <c r="EZ92" s="145"/>
      <c r="FA92" s="145"/>
      <c r="FB92" s="145"/>
      <c r="FC92" s="145"/>
      <c r="FD92" s="145"/>
      <c r="FE92" s="145"/>
      <c r="FF92" s="145"/>
      <c r="FG92" s="145"/>
      <c r="FH92" s="145"/>
      <c r="FI92" s="145"/>
      <c r="FJ92" s="145"/>
      <c r="FK92" s="145"/>
      <c r="FL92" s="145"/>
      <c r="FM92" s="145"/>
      <c r="FN92" s="145"/>
      <c r="FO92" s="145"/>
      <c r="FP92" s="145"/>
      <c r="FQ92" s="145"/>
      <c r="FR92" s="145"/>
      <c r="FS92" s="145"/>
      <c r="FT92" s="145"/>
      <c r="FU92" s="145"/>
      <c r="FV92" s="145"/>
      <c r="FW92" s="145"/>
      <c r="FX92" s="143"/>
      <c r="FY92" s="146">
        <f>_xlfn.XLOOKUP($E92,'Key assumptions'!$B$112:$B$120,'Key assumptions'!$C$112:$C$120,0)</f>
        <v>0</v>
      </c>
      <c r="FZ92" s="146" cm="1">
        <f t="array" ref="FZ92">IF($FY92=0,0,_xlfn.IFS($FY92='Key assumptions'!$C$120,_xlfn.XLOOKUP(LEFT(FZ$7,6),Inflation_Year,Inflation_NominaltoReal),TRUE,_xlfn.XLOOKUP($FY92,Inflation_Year,NominaltoReal)))</f>
        <v>0</v>
      </c>
      <c r="GA92" s="146" cm="1">
        <f t="array" ref="GA92">IF($FY92=0,0,_xlfn.IFS($FY92='Key assumptions'!$C$120,_xlfn.XLOOKUP(LEFT(GA$7,6),Inflation_Year,Inflation_NominaltoReal),TRUE,_xlfn.XLOOKUP($FY92,Inflation_Year,NominaltoReal)))</f>
        <v>0</v>
      </c>
      <c r="GB92" s="146" cm="1">
        <f t="array" ref="GB92">IF($FY92=0,0,_xlfn.IFS($FY92='Key assumptions'!$C$120,_xlfn.XLOOKUP(LEFT(GB$7,6),Inflation_Year,Inflation_NominaltoReal),TRUE,_xlfn.XLOOKUP($FY92,Inflation_Year,NominaltoReal)))</f>
        <v>0</v>
      </c>
      <c r="GC92" s="146" cm="1">
        <f t="array" ref="GC92">IF($FY92=0,0,_xlfn.IFS($FY92='Key assumptions'!$C$120,_xlfn.XLOOKUP(LEFT(GC$7,6),Inflation_Year,Inflation_NominaltoReal),TRUE,_xlfn.XLOOKUP($FY92,Inflation_Year,NominaltoReal)))</f>
        <v>0</v>
      </c>
      <c r="GD92" s="146" cm="1">
        <f t="array" ref="GD92">IF($FY92=0,0,_xlfn.IFS($FY92='Key assumptions'!$C$120,_xlfn.XLOOKUP(LEFT(GD$7,6),Inflation_Year,Inflation_NominaltoReal),TRUE,_xlfn.XLOOKUP($FY92,Inflation_Year,NominaltoReal)))</f>
        <v>0</v>
      </c>
      <c r="GE92" s="146" cm="1">
        <f t="array" ref="GE92">IF($FY92=0,0,_xlfn.IFS($FY92='Key assumptions'!$C$120,_xlfn.XLOOKUP(LEFT(GE$7,6),Inflation_Year,Inflation_NominaltoReal),TRUE,_xlfn.XLOOKUP($FY92,Inflation_Year,NominaltoReal)))</f>
        <v>0</v>
      </c>
      <c r="GF92" s="146" cm="1">
        <f t="array" ref="GF92">IF($FY92=0,0,_xlfn.IFS($FY92='Key assumptions'!$C$120,_xlfn.XLOOKUP(LEFT(GF$7,6),Inflation_Year,Inflation_NominaltoReal),TRUE,_xlfn.XLOOKUP($FY92,Inflation_Year,NominaltoReal)))</f>
        <v>0</v>
      </c>
      <c r="GG92" s="143"/>
      <c r="GH92" s="145" cm="1">
        <f t="array" ref="GH92">SUMPRODUCT(--($CR$7:$FW$7&gt;=GH$5),--($CR$7:$FW$7&lt;=GH$6),$CR92:$FW92)*FZ92</f>
        <v>0</v>
      </c>
      <c r="GI92" s="145" cm="1">
        <f t="array" ref="GI92">SUMPRODUCT(--($CR$7:$FW$7&gt;=GI$5),--($CR$7:$FW$7&lt;=GI$6),$CR92:$FW92)*GA92</f>
        <v>0</v>
      </c>
      <c r="GJ92" s="145" cm="1">
        <f t="array" ref="GJ92">SUMPRODUCT(--($CR$7:$FW$7&gt;=GJ$5),--($CR$7:$FW$7&lt;=GJ$6),$CR92:$FW92)*GB92</f>
        <v>0</v>
      </c>
      <c r="GK92" s="145" cm="1">
        <f t="array" ref="GK92">SUMPRODUCT(--($CR$7:$FW$7&gt;=GK$5),--($CR$7:$FW$7&lt;=GK$6),$CR92:$FW92)*GC92</f>
        <v>0</v>
      </c>
      <c r="GL92" s="145" cm="1">
        <f t="array" ref="GL92">SUMPRODUCT(--($CR$7:$FW$7&gt;=GL$5),--($CR$7:$FW$7&lt;=GL$6),$CR92:$FW92)*GD92</f>
        <v>0</v>
      </c>
      <c r="GM92" s="145" cm="1">
        <f t="array" ref="GM92">SUMPRODUCT(--($CR$7:$FW$7&gt;=GM$5),--($CR$7:$FW$7&lt;=GM$6),$CR92:$FW92)*GE92</f>
        <v>0</v>
      </c>
      <c r="GN92" s="145" cm="1">
        <f t="array" ref="GN92">SUMPRODUCT(--($CR$7:$FW$7&gt;=GN$5),--($CR$7:$FW$7&lt;=GN$6),$CR92:$FW92)*GF92</f>
        <v>0</v>
      </c>
      <c r="GO92" s="145">
        <f t="shared" si="1"/>
        <v>0</v>
      </c>
      <c r="GP92" s="87"/>
      <c r="GR92" s="145" cm="1">
        <f t="array" ref="GR92">SUMPRODUCT(--($CR$7:$FW$7&gt;=GR$5),--($CR$7:$FW$7&lt;=GR$6),$CR92:$FW92)</f>
        <v>0</v>
      </c>
    </row>
    <row r="93" spans="2:200" x14ac:dyDescent="0.2">
      <c r="B93" s="141"/>
      <c r="C93" s="141"/>
      <c r="D93" s="141"/>
      <c r="E93" s="141"/>
      <c r="F93" s="141"/>
      <c r="G93" s="141"/>
      <c r="H93" s="142"/>
      <c r="I93" s="126"/>
      <c r="J93" s="143"/>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3"/>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145"/>
      <c r="EH93" s="145"/>
      <c r="EI93" s="145"/>
      <c r="EJ93" s="145"/>
      <c r="EK93" s="145"/>
      <c r="EL93" s="145"/>
      <c r="EM93" s="145"/>
      <c r="EN93" s="145"/>
      <c r="EO93" s="145"/>
      <c r="EP93" s="145"/>
      <c r="EQ93" s="145"/>
      <c r="ER93" s="145"/>
      <c r="ES93" s="145"/>
      <c r="ET93" s="145"/>
      <c r="EU93" s="145"/>
      <c r="EV93" s="145"/>
      <c r="EW93" s="145"/>
      <c r="EX93" s="145"/>
      <c r="EY93" s="145"/>
      <c r="EZ93" s="145"/>
      <c r="FA93" s="145"/>
      <c r="FB93" s="145"/>
      <c r="FC93" s="145"/>
      <c r="FD93" s="145"/>
      <c r="FE93" s="145"/>
      <c r="FF93" s="145"/>
      <c r="FG93" s="145"/>
      <c r="FH93" s="145"/>
      <c r="FI93" s="145"/>
      <c r="FJ93" s="145"/>
      <c r="FK93" s="145"/>
      <c r="FL93" s="145"/>
      <c r="FM93" s="145"/>
      <c r="FN93" s="145"/>
      <c r="FO93" s="145"/>
      <c r="FP93" s="145"/>
      <c r="FQ93" s="145"/>
      <c r="FR93" s="145"/>
      <c r="FS93" s="145"/>
      <c r="FT93" s="145"/>
      <c r="FU93" s="145"/>
      <c r="FV93" s="145"/>
      <c r="FW93" s="145"/>
      <c r="FX93" s="143"/>
      <c r="FY93" s="146">
        <f>_xlfn.XLOOKUP($E93,'Key assumptions'!$B$112:$B$120,'Key assumptions'!$C$112:$C$120,0)</f>
        <v>0</v>
      </c>
      <c r="FZ93" s="146" cm="1">
        <f t="array" ref="FZ93">IF($FY93=0,0,_xlfn.IFS($FY93='Key assumptions'!$C$120,_xlfn.XLOOKUP(LEFT(FZ$7,6),Inflation_Year,Inflation_NominaltoReal),TRUE,_xlfn.XLOOKUP($FY93,Inflation_Year,NominaltoReal)))</f>
        <v>0</v>
      </c>
      <c r="GA93" s="146" cm="1">
        <f t="array" ref="GA93">IF($FY93=0,0,_xlfn.IFS($FY93='Key assumptions'!$C$120,_xlfn.XLOOKUP(LEFT(GA$7,6),Inflation_Year,Inflation_NominaltoReal),TRUE,_xlfn.XLOOKUP($FY93,Inflation_Year,NominaltoReal)))</f>
        <v>0</v>
      </c>
      <c r="GB93" s="146" cm="1">
        <f t="array" ref="GB93">IF($FY93=0,0,_xlfn.IFS($FY93='Key assumptions'!$C$120,_xlfn.XLOOKUP(LEFT(GB$7,6),Inflation_Year,Inflation_NominaltoReal),TRUE,_xlfn.XLOOKUP($FY93,Inflation_Year,NominaltoReal)))</f>
        <v>0</v>
      </c>
      <c r="GC93" s="146" cm="1">
        <f t="array" ref="GC93">IF($FY93=0,0,_xlfn.IFS($FY93='Key assumptions'!$C$120,_xlfn.XLOOKUP(LEFT(GC$7,6),Inflation_Year,Inflation_NominaltoReal),TRUE,_xlfn.XLOOKUP($FY93,Inflation_Year,NominaltoReal)))</f>
        <v>0</v>
      </c>
      <c r="GD93" s="146" cm="1">
        <f t="array" ref="GD93">IF($FY93=0,0,_xlfn.IFS($FY93='Key assumptions'!$C$120,_xlfn.XLOOKUP(LEFT(GD$7,6),Inflation_Year,Inflation_NominaltoReal),TRUE,_xlfn.XLOOKUP($FY93,Inflation_Year,NominaltoReal)))</f>
        <v>0</v>
      </c>
      <c r="GE93" s="146" cm="1">
        <f t="array" ref="GE93">IF($FY93=0,0,_xlfn.IFS($FY93='Key assumptions'!$C$120,_xlfn.XLOOKUP(LEFT(GE$7,6),Inflation_Year,Inflation_NominaltoReal),TRUE,_xlfn.XLOOKUP($FY93,Inflation_Year,NominaltoReal)))</f>
        <v>0</v>
      </c>
      <c r="GF93" s="146" cm="1">
        <f t="array" ref="GF93">IF($FY93=0,0,_xlfn.IFS($FY93='Key assumptions'!$C$120,_xlfn.XLOOKUP(LEFT(GF$7,6),Inflation_Year,Inflation_NominaltoReal),TRUE,_xlfn.XLOOKUP($FY93,Inflation_Year,NominaltoReal)))</f>
        <v>0</v>
      </c>
      <c r="GG93" s="143"/>
      <c r="GH93" s="145" cm="1">
        <f t="array" ref="GH93">SUMPRODUCT(--($CR$7:$FW$7&gt;=GH$5),--($CR$7:$FW$7&lt;=GH$6),$CR93:$FW93)*FZ93</f>
        <v>0</v>
      </c>
      <c r="GI93" s="145" cm="1">
        <f t="array" ref="GI93">SUMPRODUCT(--($CR$7:$FW$7&gt;=GI$5),--($CR$7:$FW$7&lt;=GI$6),$CR93:$FW93)*GA93</f>
        <v>0</v>
      </c>
      <c r="GJ93" s="145" cm="1">
        <f t="array" ref="GJ93">SUMPRODUCT(--($CR$7:$FW$7&gt;=GJ$5),--($CR$7:$FW$7&lt;=GJ$6),$CR93:$FW93)*GB93</f>
        <v>0</v>
      </c>
      <c r="GK93" s="145" cm="1">
        <f t="array" ref="GK93">SUMPRODUCT(--($CR$7:$FW$7&gt;=GK$5),--($CR$7:$FW$7&lt;=GK$6),$CR93:$FW93)*GC93</f>
        <v>0</v>
      </c>
      <c r="GL93" s="145" cm="1">
        <f t="array" ref="GL93">SUMPRODUCT(--($CR$7:$FW$7&gt;=GL$5),--($CR$7:$FW$7&lt;=GL$6),$CR93:$FW93)*GD93</f>
        <v>0</v>
      </c>
      <c r="GM93" s="145" cm="1">
        <f t="array" ref="GM93">SUMPRODUCT(--($CR$7:$FW$7&gt;=GM$5),--($CR$7:$FW$7&lt;=GM$6),$CR93:$FW93)*GE93</f>
        <v>0</v>
      </c>
      <c r="GN93" s="145" cm="1">
        <f t="array" ref="GN93">SUMPRODUCT(--($CR$7:$FW$7&gt;=GN$5),--($CR$7:$FW$7&lt;=GN$6),$CR93:$FW93)*GF93</f>
        <v>0</v>
      </c>
      <c r="GO93" s="145">
        <f t="shared" si="1"/>
        <v>0</v>
      </c>
      <c r="GP93" s="87"/>
      <c r="GR93" s="145" cm="1">
        <f t="array" ref="GR93">SUMPRODUCT(--($CR$7:$FW$7&gt;=GR$5),--($CR$7:$FW$7&lt;=GR$6),$CR93:$FW93)</f>
        <v>0</v>
      </c>
    </row>
    <row r="94" spans="2:200" x14ac:dyDescent="0.2">
      <c r="B94" s="141"/>
      <c r="C94" s="141"/>
      <c r="D94" s="141"/>
      <c r="E94" s="141"/>
      <c r="F94" s="141"/>
      <c r="G94" s="141"/>
      <c r="H94" s="142"/>
      <c r="I94" s="126"/>
      <c r="J94" s="143"/>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3"/>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c r="EE94" s="145"/>
      <c r="EF94" s="145"/>
      <c r="EG94" s="145"/>
      <c r="EH94" s="145"/>
      <c r="EI94" s="145"/>
      <c r="EJ94" s="145"/>
      <c r="EK94" s="145"/>
      <c r="EL94" s="145"/>
      <c r="EM94" s="145"/>
      <c r="EN94" s="145"/>
      <c r="EO94" s="145"/>
      <c r="EP94" s="145"/>
      <c r="EQ94" s="145"/>
      <c r="ER94" s="145"/>
      <c r="ES94" s="145"/>
      <c r="ET94" s="145"/>
      <c r="EU94" s="145"/>
      <c r="EV94" s="145"/>
      <c r="EW94" s="145"/>
      <c r="EX94" s="145"/>
      <c r="EY94" s="145"/>
      <c r="EZ94" s="145"/>
      <c r="FA94" s="145"/>
      <c r="FB94" s="145"/>
      <c r="FC94" s="145"/>
      <c r="FD94" s="145"/>
      <c r="FE94" s="145"/>
      <c r="FF94" s="145"/>
      <c r="FG94" s="145"/>
      <c r="FH94" s="145"/>
      <c r="FI94" s="145"/>
      <c r="FJ94" s="145"/>
      <c r="FK94" s="145"/>
      <c r="FL94" s="145"/>
      <c r="FM94" s="145"/>
      <c r="FN94" s="145"/>
      <c r="FO94" s="145"/>
      <c r="FP94" s="145"/>
      <c r="FQ94" s="145"/>
      <c r="FR94" s="145"/>
      <c r="FS94" s="145"/>
      <c r="FT94" s="145"/>
      <c r="FU94" s="145"/>
      <c r="FV94" s="145"/>
      <c r="FW94" s="145"/>
      <c r="FX94" s="143"/>
      <c r="FY94" s="146">
        <f>_xlfn.XLOOKUP($E94,'Key assumptions'!$B$112:$B$120,'Key assumptions'!$C$112:$C$120,0)</f>
        <v>0</v>
      </c>
      <c r="FZ94" s="146" cm="1">
        <f t="array" ref="FZ94">IF($FY94=0,0,_xlfn.IFS($FY94='Key assumptions'!$C$120,_xlfn.XLOOKUP(LEFT(FZ$7,6),Inflation_Year,Inflation_NominaltoReal),TRUE,_xlfn.XLOOKUP($FY94,Inflation_Year,NominaltoReal)))</f>
        <v>0</v>
      </c>
      <c r="GA94" s="146" cm="1">
        <f t="array" ref="GA94">IF($FY94=0,0,_xlfn.IFS($FY94='Key assumptions'!$C$120,_xlfn.XLOOKUP(LEFT(GA$7,6),Inflation_Year,Inflation_NominaltoReal),TRUE,_xlfn.XLOOKUP($FY94,Inflation_Year,NominaltoReal)))</f>
        <v>0</v>
      </c>
      <c r="GB94" s="146" cm="1">
        <f t="array" ref="GB94">IF($FY94=0,0,_xlfn.IFS($FY94='Key assumptions'!$C$120,_xlfn.XLOOKUP(LEFT(GB$7,6),Inflation_Year,Inflation_NominaltoReal),TRUE,_xlfn.XLOOKUP($FY94,Inflation_Year,NominaltoReal)))</f>
        <v>0</v>
      </c>
      <c r="GC94" s="146" cm="1">
        <f t="array" ref="GC94">IF($FY94=0,0,_xlfn.IFS($FY94='Key assumptions'!$C$120,_xlfn.XLOOKUP(LEFT(GC$7,6),Inflation_Year,Inflation_NominaltoReal),TRUE,_xlfn.XLOOKUP($FY94,Inflation_Year,NominaltoReal)))</f>
        <v>0</v>
      </c>
      <c r="GD94" s="146" cm="1">
        <f t="array" ref="GD94">IF($FY94=0,0,_xlfn.IFS($FY94='Key assumptions'!$C$120,_xlfn.XLOOKUP(LEFT(GD$7,6),Inflation_Year,Inflation_NominaltoReal),TRUE,_xlfn.XLOOKUP($FY94,Inflation_Year,NominaltoReal)))</f>
        <v>0</v>
      </c>
      <c r="GE94" s="146" cm="1">
        <f t="array" ref="GE94">IF($FY94=0,0,_xlfn.IFS($FY94='Key assumptions'!$C$120,_xlfn.XLOOKUP(LEFT(GE$7,6),Inflation_Year,Inflation_NominaltoReal),TRUE,_xlfn.XLOOKUP($FY94,Inflation_Year,NominaltoReal)))</f>
        <v>0</v>
      </c>
      <c r="GF94" s="146" cm="1">
        <f t="array" ref="GF94">IF($FY94=0,0,_xlfn.IFS($FY94='Key assumptions'!$C$120,_xlfn.XLOOKUP(LEFT(GF$7,6),Inflation_Year,Inflation_NominaltoReal),TRUE,_xlfn.XLOOKUP($FY94,Inflation_Year,NominaltoReal)))</f>
        <v>0</v>
      </c>
      <c r="GG94" s="143"/>
      <c r="GH94" s="145" cm="1">
        <f t="array" ref="GH94">SUMPRODUCT(--($CR$7:$FW$7&gt;=GH$5),--($CR$7:$FW$7&lt;=GH$6),$CR94:$FW94)*FZ94</f>
        <v>0</v>
      </c>
      <c r="GI94" s="145" cm="1">
        <f t="array" ref="GI94">SUMPRODUCT(--($CR$7:$FW$7&gt;=GI$5),--($CR$7:$FW$7&lt;=GI$6),$CR94:$FW94)*GA94</f>
        <v>0</v>
      </c>
      <c r="GJ94" s="145" cm="1">
        <f t="array" ref="GJ94">SUMPRODUCT(--($CR$7:$FW$7&gt;=GJ$5),--($CR$7:$FW$7&lt;=GJ$6),$CR94:$FW94)*GB94</f>
        <v>0</v>
      </c>
      <c r="GK94" s="145" cm="1">
        <f t="array" ref="GK94">SUMPRODUCT(--($CR$7:$FW$7&gt;=GK$5),--($CR$7:$FW$7&lt;=GK$6),$CR94:$FW94)*GC94</f>
        <v>0</v>
      </c>
      <c r="GL94" s="145" cm="1">
        <f t="array" ref="GL94">SUMPRODUCT(--($CR$7:$FW$7&gt;=GL$5),--($CR$7:$FW$7&lt;=GL$6),$CR94:$FW94)*GD94</f>
        <v>0</v>
      </c>
      <c r="GM94" s="145" cm="1">
        <f t="array" ref="GM94">SUMPRODUCT(--($CR$7:$FW$7&gt;=GM$5),--($CR$7:$FW$7&lt;=GM$6),$CR94:$FW94)*GE94</f>
        <v>0</v>
      </c>
      <c r="GN94" s="145" cm="1">
        <f t="array" ref="GN94">SUMPRODUCT(--($CR$7:$FW$7&gt;=GN$5),--($CR$7:$FW$7&lt;=GN$6),$CR94:$FW94)*GF94</f>
        <v>0</v>
      </c>
      <c r="GO94" s="145">
        <f t="shared" si="1"/>
        <v>0</v>
      </c>
      <c r="GP94" s="87"/>
      <c r="GR94" s="145" cm="1">
        <f t="array" ref="GR94">SUMPRODUCT(--($CR$7:$FW$7&gt;=GR$5),--($CR$7:$FW$7&lt;=GR$6),$CR94:$FW94)</f>
        <v>0</v>
      </c>
    </row>
    <row r="95" spans="2:200" x14ac:dyDescent="0.2">
      <c r="B95" s="141"/>
      <c r="C95" s="141"/>
      <c r="D95" s="141"/>
      <c r="E95" s="141"/>
      <c r="F95" s="141"/>
      <c r="G95" s="141"/>
      <c r="H95" s="142"/>
      <c r="I95" s="126"/>
      <c r="J95" s="143"/>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3"/>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c r="EE95" s="145"/>
      <c r="EF95" s="145"/>
      <c r="EG95" s="145"/>
      <c r="EH95" s="145"/>
      <c r="EI95" s="145"/>
      <c r="EJ95" s="145"/>
      <c r="EK95" s="145"/>
      <c r="EL95" s="145"/>
      <c r="EM95" s="145"/>
      <c r="EN95" s="145"/>
      <c r="EO95" s="145"/>
      <c r="EP95" s="145"/>
      <c r="EQ95" s="145"/>
      <c r="ER95" s="145"/>
      <c r="ES95" s="145"/>
      <c r="ET95" s="145"/>
      <c r="EU95" s="145"/>
      <c r="EV95" s="145"/>
      <c r="EW95" s="145"/>
      <c r="EX95" s="145"/>
      <c r="EY95" s="145"/>
      <c r="EZ95" s="145"/>
      <c r="FA95" s="145"/>
      <c r="FB95" s="145"/>
      <c r="FC95" s="145"/>
      <c r="FD95" s="145"/>
      <c r="FE95" s="145"/>
      <c r="FF95" s="145"/>
      <c r="FG95" s="145"/>
      <c r="FH95" s="145"/>
      <c r="FI95" s="145"/>
      <c r="FJ95" s="145"/>
      <c r="FK95" s="145"/>
      <c r="FL95" s="145"/>
      <c r="FM95" s="145"/>
      <c r="FN95" s="145"/>
      <c r="FO95" s="145"/>
      <c r="FP95" s="145"/>
      <c r="FQ95" s="145"/>
      <c r="FR95" s="145"/>
      <c r="FS95" s="145"/>
      <c r="FT95" s="145"/>
      <c r="FU95" s="145"/>
      <c r="FV95" s="145"/>
      <c r="FW95" s="145"/>
      <c r="FX95" s="143"/>
      <c r="FY95" s="146">
        <f>_xlfn.XLOOKUP($E95,'Key assumptions'!$B$112:$B$120,'Key assumptions'!$C$112:$C$120,0)</f>
        <v>0</v>
      </c>
      <c r="FZ95" s="146" cm="1">
        <f t="array" ref="FZ95">IF($FY95=0,0,_xlfn.IFS($FY95='Key assumptions'!$C$120,_xlfn.XLOOKUP(LEFT(FZ$7,6),Inflation_Year,Inflation_NominaltoReal),TRUE,_xlfn.XLOOKUP($FY95,Inflation_Year,NominaltoReal)))</f>
        <v>0</v>
      </c>
      <c r="GA95" s="146" cm="1">
        <f t="array" ref="GA95">IF($FY95=0,0,_xlfn.IFS($FY95='Key assumptions'!$C$120,_xlfn.XLOOKUP(LEFT(GA$7,6),Inflation_Year,Inflation_NominaltoReal),TRUE,_xlfn.XLOOKUP($FY95,Inflation_Year,NominaltoReal)))</f>
        <v>0</v>
      </c>
      <c r="GB95" s="146" cm="1">
        <f t="array" ref="GB95">IF($FY95=0,0,_xlfn.IFS($FY95='Key assumptions'!$C$120,_xlfn.XLOOKUP(LEFT(GB$7,6),Inflation_Year,Inflation_NominaltoReal),TRUE,_xlfn.XLOOKUP($FY95,Inflation_Year,NominaltoReal)))</f>
        <v>0</v>
      </c>
      <c r="GC95" s="146" cm="1">
        <f t="array" ref="GC95">IF($FY95=0,0,_xlfn.IFS($FY95='Key assumptions'!$C$120,_xlfn.XLOOKUP(LEFT(GC$7,6),Inflation_Year,Inflation_NominaltoReal),TRUE,_xlfn.XLOOKUP($FY95,Inflation_Year,NominaltoReal)))</f>
        <v>0</v>
      </c>
      <c r="GD95" s="146" cm="1">
        <f t="array" ref="GD95">IF($FY95=0,0,_xlfn.IFS($FY95='Key assumptions'!$C$120,_xlfn.XLOOKUP(LEFT(GD$7,6),Inflation_Year,Inflation_NominaltoReal),TRUE,_xlfn.XLOOKUP($FY95,Inflation_Year,NominaltoReal)))</f>
        <v>0</v>
      </c>
      <c r="GE95" s="146" cm="1">
        <f t="array" ref="GE95">IF($FY95=0,0,_xlfn.IFS($FY95='Key assumptions'!$C$120,_xlfn.XLOOKUP(LEFT(GE$7,6),Inflation_Year,Inflation_NominaltoReal),TRUE,_xlfn.XLOOKUP($FY95,Inflation_Year,NominaltoReal)))</f>
        <v>0</v>
      </c>
      <c r="GF95" s="146" cm="1">
        <f t="array" ref="GF95">IF($FY95=0,0,_xlfn.IFS($FY95='Key assumptions'!$C$120,_xlfn.XLOOKUP(LEFT(GF$7,6),Inflation_Year,Inflation_NominaltoReal),TRUE,_xlfn.XLOOKUP($FY95,Inflation_Year,NominaltoReal)))</f>
        <v>0</v>
      </c>
      <c r="GG95" s="143"/>
      <c r="GH95" s="145" cm="1">
        <f t="array" ref="GH95">SUMPRODUCT(--($CR$7:$FW$7&gt;=GH$5),--($CR$7:$FW$7&lt;=GH$6),$CR95:$FW95)*FZ95</f>
        <v>0</v>
      </c>
      <c r="GI95" s="145" cm="1">
        <f t="array" ref="GI95">SUMPRODUCT(--($CR$7:$FW$7&gt;=GI$5),--($CR$7:$FW$7&lt;=GI$6),$CR95:$FW95)*GA95</f>
        <v>0</v>
      </c>
      <c r="GJ95" s="145" cm="1">
        <f t="array" ref="GJ95">SUMPRODUCT(--($CR$7:$FW$7&gt;=GJ$5),--($CR$7:$FW$7&lt;=GJ$6),$CR95:$FW95)*GB95</f>
        <v>0</v>
      </c>
      <c r="GK95" s="145" cm="1">
        <f t="array" ref="GK95">SUMPRODUCT(--($CR$7:$FW$7&gt;=GK$5),--($CR$7:$FW$7&lt;=GK$6),$CR95:$FW95)*GC95</f>
        <v>0</v>
      </c>
      <c r="GL95" s="145" cm="1">
        <f t="array" ref="GL95">SUMPRODUCT(--($CR$7:$FW$7&gt;=GL$5),--($CR$7:$FW$7&lt;=GL$6),$CR95:$FW95)*GD95</f>
        <v>0</v>
      </c>
      <c r="GM95" s="145" cm="1">
        <f t="array" ref="GM95">SUMPRODUCT(--($CR$7:$FW$7&gt;=GM$5),--($CR$7:$FW$7&lt;=GM$6),$CR95:$FW95)*GE95</f>
        <v>0</v>
      </c>
      <c r="GN95" s="145" cm="1">
        <f t="array" ref="GN95">SUMPRODUCT(--($CR$7:$FW$7&gt;=GN$5),--($CR$7:$FW$7&lt;=GN$6),$CR95:$FW95)*GF95</f>
        <v>0</v>
      </c>
      <c r="GO95" s="145">
        <f t="shared" si="1"/>
        <v>0</v>
      </c>
      <c r="GP95" s="87"/>
      <c r="GR95" s="145" cm="1">
        <f t="array" ref="GR95">SUMPRODUCT(--($CR$7:$FW$7&gt;=GR$5),--($CR$7:$FW$7&lt;=GR$6),$CR95:$FW95)</f>
        <v>0</v>
      </c>
    </row>
    <row r="96" spans="2:200" x14ac:dyDescent="0.2">
      <c r="B96" s="141"/>
      <c r="C96" s="141"/>
      <c r="D96" s="141"/>
      <c r="E96" s="141"/>
      <c r="F96" s="141"/>
      <c r="G96" s="141"/>
      <c r="H96" s="142"/>
      <c r="I96" s="126"/>
      <c r="J96" s="143"/>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3"/>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3"/>
      <c r="FY96" s="146">
        <f>_xlfn.XLOOKUP($E96,'Key assumptions'!$B$112:$B$120,'Key assumptions'!$C$112:$C$120,0)</f>
        <v>0</v>
      </c>
      <c r="FZ96" s="146" cm="1">
        <f t="array" ref="FZ96">IF($FY96=0,0,_xlfn.IFS($FY96='Key assumptions'!$C$120,_xlfn.XLOOKUP(LEFT(FZ$7,6),Inflation_Year,Inflation_NominaltoReal),TRUE,_xlfn.XLOOKUP($FY96,Inflation_Year,NominaltoReal)))</f>
        <v>0</v>
      </c>
      <c r="GA96" s="146" cm="1">
        <f t="array" ref="GA96">IF($FY96=0,0,_xlfn.IFS($FY96='Key assumptions'!$C$120,_xlfn.XLOOKUP(LEFT(GA$7,6),Inflation_Year,Inflation_NominaltoReal),TRUE,_xlfn.XLOOKUP($FY96,Inflation_Year,NominaltoReal)))</f>
        <v>0</v>
      </c>
      <c r="GB96" s="146" cm="1">
        <f t="array" ref="GB96">IF($FY96=0,0,_xlfn.IFS($FY96='Key assumptions'!$C$120,_xlfn.XLOOKUP(LEFT(GB$7,6),Inflation_Year,Inflation_NominaltoReal),TRUE,_xlfn.XLOOKUP($FY96,Inflation_Year,NominaltoReal)))</f>
        <v>0</v>
      </c>
      <c r="GC96" s="146" cm="1">
        <f t="array" ref="GC96">IF($FY96=0,0,_xlfn.IFS($FY96='Key assumptions'!$C$120,_xlfn.XLOOKUP(LEFT(GC$7,6),Inflation_Year,Inflation_NominaltoReal),TRUE,_xlfn.XLOOKUP($FY96,Inflation_Year,NominaltoReal)))</f>
        <v>0</v>
      </c>
      <c r="GD96" s="146" cm="1">
        <f t="array" ref="GD96">IF($FY96=0,0,_xlfn.IFS($FY96='Key assumptions'!$C$120,_xlfn.XLOOKUP(LEFT(GD$7,6),Inflation_Year,Inflation_NominaltoReal),TRUE,_xlfn.XLOOKUP($FY96,Inflation_Year,NominaltoReal)))</f>
        <v>0</v>
      </c>
      <c r="GE96" s="146" cm="1">
        <f t="array" ref="GE96">IF($FY96=0,0,_xlfn.IFS($FY96='Key assumptions'!$C$120,_xlfn.XLOOKUP(LEFT(GE$7,6),Inflation_Year,Inflation_NominaltoReal),TRUE,_xlfn.XLOOKUP($FY96,Inflation_Year,NominaltoReal)))</f>
        <v>0</v>
      </c>
      <c r="GF96" s="146" cm="1">
        <f t="array" ref="GF96">IF($FY96=0,0,_xlfn.IFS($FY96='Key assumptions'!$C$120,_xlfn.XLOOKUP(LEFT(GF$7,6),Inflation_Year,Inflation_NominaltoReal),TRUE,_xlfn.XLOOKUP($FY96,Inflation_Year,NominaltoReal)))</f>
        <v>0</v>
      </c>
      <c r="GG96" s="143"/>
      <c r="GH96" s="145" cm="1">
        <f t="array" ref="GH96">SUMPRODUCT(--($CR$7:$FW$7&gt;=GH$5),--($CR$7:$FW$7&lt;=GH$6),$CR96:$FW96)*FZ96</f>
        <v>0</v>
      </c>
      <c r="GI96" s="145" cm="1">
        <f t="array" ref="GI96">SUMPRODUCT(--($CR$7:$FW$7&gt;=GI$5),--($CR$7:$FW$7&lt;=GI$6),$CR96:$FW96)*GA96</f>
        <v>0</v>
      </c>
      <c r="GJ96" s="145" cm="1">
        <f t="array" ref="GJ96">SUMPRODUCT(--($CR$7:$FW$7&gt;=GJ$5),--($CR$7:$FW$7&lt;=GJ$6),$CR96:$FW96)*GB96</f>
        <v>0</v>
      </c>
      <c r="GK96" s="145" cm="1">
        <f t="array" ref="GK96">SUMPRODUCT(--($CR$7:$FW$7&gt;=GK$5),--($CR$7:$FW$7&lt;=GK$6),$CR96:$FW96)*GC96</f>
        <v>0</v>
      </c>
      <c r="GL96" s="145" cm="1">
        <f t="array" ref="GL96">SUMPRODUCT(--($CR$7:$FW$7&gt;=GL$5),--($CR$7:$FW$7&lt;=GL$6),$CR96:$FW96)*GD96</f>
        <v>0</v>
      </c>
      <c r="GM96" s="145" cm="1">
        <f t="array" ref="GM96">SUMPRODUCT(--($CR$7:$FW$7&gt;=GM$5),--($CR$7:$FW$7&lt;=GM$6),$CR96:$FW96)*GE96</f>
        <v>0</v>
      </c>
      <c r="GN96" s="145" cm="1">
        <f t="array" ref="GN96">SUMPRODUCT(--($CR$7:$FW$7&gt;=GN$5),--($CR$7:$FW$7&lt;=GN$6),$CR96:$FW96)*GF96</f>
        <v>0</v>
      </c>
      <c r="GO96" s="145">
        <f t="shared" si="1"/>
        <v>0</v>
      </c>
      <c r="GP96" s="87"/>
      <c r="GR96" s="145" cm="1">
        <f t="array" ref="GR96">SUMPRODUCT(--($CR$7:$FW$7&gt;=GR$5),--($CR$7:$FW$7&lt;=GR$6),$CR96:$FW96)</f>
        <v>0</v>
      </c>
    </row>
    <row r="97" spans="2:200" x14ac:dyDescent="0.2">
      <c r="B97" s="141"/>
      <c r="C97" s="141"/>
      <c r="D97" s="141"/>
      <c r="E97" s="141"/>
      <c r="F97" s="141"/>
      <c r="G97" s="141"/>
      <c r="H97" s="142"/>
      <c r="I97" s="126"/>
      <c r="J97" s="143"/>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3"/>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c r="EE97" s="145"/>
      <c r="EF97" s="145"/>
      <c r="EG97" s="145"/>
      <c r="EH97" s="145"/>
      <c r="EI97" s="145"/>
      <c r="EJ97" s="145"/>
      <c r="EK97" s="145"/>
      <c r="EL97" s="145"/>
      <c r="EM97" s="145"/>
      <c r="EN97" s="145"/>
      <c r="EO97" s="145"/>
      <c r="EP97" s="145"/>
      <c r="EQ97" s="145"/>
      <c r="ER97" s="145"/>
      <c r="ES97" s="145"/>
      <c r="ET97" s="145"/>
      <c r="EU97" s="145"/>
      <c r="EV97" s="145"/>
      <c r="EW97" s="145"/>
      <c r="EX97" s="145"/>
      <c r="EY97" s="145"/>
      <c r="EZ97" s="145"/>
      <c r="FA97" s="145"/>
      <c r="FB97" s="145"/>
      <c r="FC97" s="145"/>
      <c r="FD97" s="145"/>
      <c r="FE97" s="145"/>
      <c r="FF97" s="145"/>
      <c r="FG97" s="145"/>
      <c r="FH97" s="145"/>
      <c r="FI97" s="145"/>
      <c r="FJ97" s="145"/>
      <c r="FK97" s="145"/>
      <c r="FL97" s="145"/>
      <c r="FM97" s="145"/>
      <c r="FN97" s="145"/>
      <c r="FO97" s="145"/>
      <c r="FP97" s="145"/>
      <c r="FQ97" s="145"/>
      <c r="FR97" s="145"/>
      <c r="FS97" s="145"/>
      <c r="FT97" s="145"/>
      <c r="FU97" s="145"/>
      <c r="FV97" s="145"/>
      <c r="FW97" s="145"/>
      <c r="FX97" s="143"/>
      <c r="FY97" s="146">
        <f>_xlfn.XLOOKUP($E97,'Key assumptions'!$B$112:$B$120,'Key assumptions'!$C$112:$C$120,0)</f>
        <v>0</v>
      </c>
      <c r="FZ97" s="146" cm="1">
        <f t="array" ref="FZ97">IF($FY97=0,0,_xlfn.IFS($FY97='Key assumptions'!$C$120,_xlfn.XLOOKUP(LEFT(FZ$7,6),Inflation_Year,Inflation_NominaltoReal),TRUE,_xlfn.XLOOKUP($FY97,Inflation_Year,NominaltoReal)))</f>
        <v>0</v>
      </c>
      <c r="GA97" s="146" cm="1">
        <f t="array" ref="GA97">IF($FY97=0,0,_xlfn.IFS($FY97='Key assumptions'!$C$120,_xlfn.XLOOKUP(LEFT(GA$7,6),Inflation_Year,Inflation_NominaltoReal),TRUE,_xlfn.XLOOKUP($FY97,Inflation_Year,NominaltoReal)))</f>
        <v>0</v>
      </c>
      <c r="GB97" s="146" cm="1">
        <f t="array" ref="GB97">IF($FY97=0,0,_xlfn.IFS($FY97='Key assumptions'!$C$120,_xlfn.XLOOKUP(LEFT(GB$7,6),Inflation_Year,Inflation_NominaltoReal),TRUE,_xlfn.XLOOKUP($FY97,Inflation_Year,NominaltoReal)))</f>
        <v>0</v>
      </c>
      <c r="GC97" s="146" cm="1">
        <f t="array" ref="GC97">IF($FY97=0,0,_xlfn.IFS($FY97='Key assumptions'!$C$120,_xlfn.XLOOKUP(LEFT(GC$7,6),Inflation_Year,Inflation_NominaltoReal),TRUE,_xlfn.XLOOKUP($FY97,Inflation_Year,NominaltoReal)))</f>
        <v>0</v>
      </c>
      <c r="GD97" s="146" cm="1">
        <f t="array" ref="GD97">IF($FY97=0,0,_xlfn.IFS($FY97='Key assumptions'!$C$120,_xlfn.XLOOKUP(LEFT(GD$7,6),Inflation_Year,Inflation_NominaltoReal),TRUE,_xlfn.XLOOKUP($FY97,Inflation_Year,NominaltoReal)))</f>
        <v>0</v>
      </c>
      <c r="GE97" s="146" cm="1">
        <f t="array" ref="GE97">IF($FY97=0,0,_xlfn.IFS($FY97='Key assumptions'!$C$120,_xlfn.XLOOKUP(LEFT(GE$7,6),Inflation_Year,Inflation_NominaltoReal),TRUE,_xlfn.XLOOKUP($FY97,Inflation_Year,NominaltoReal)))</f>
        <v>0</v>
      </c>
      <c r="GF97" s="146" cm="1">
        <f t="array" ref="GF97">IF($FY97=0,0,_xlfn.IFS($FY97='Key assumptions'!$C$120,_xlfn.XLOOKUP(LEFT(GF$7,6),Inflation_Year,Inflation_NominaltoReal),TRUE,_xlfn.XLOOKUP($FY97,Inflation_Year,NominaltoReal)))</f>
        <v>0</v>
      </c>
      <c r="GG97" s="143"/>
      <c r="GH97" s="145" cm="1">
        <f t="array" ref="GH97">SUMPRODUCT(--($CR$7:$FW$7&gt;=GH$5),--($CR$7:$FW$7&lt;=GH$6),$CR97:$FW97)*FZ97</f>
        <v>0</v>
      </c>
      <c r="GI97" s="145" cm="1">
        <f t="array" ref="GI97">SUMPRODUCT(--($CR$7:$FW$7&gt;=GI$5),--($CR$7:$FW$7&lt;=GI$6),$CR97:$FW97)*GA97</f>
        <v>0</v>
      </c>
      <c r="GJ97" s="145" cm="1">
        <f t="array" ref="GJ97">SUMPRODUCT(--($CR$7:$FW$7&gt;=GJ$5),--($CR$7:$FW$7&lt;=GJ$6),$CR97:$FW97)*GB97</f>
        <v>0</v>
      </c>
      <c r="GK97" s="145" cm="1">
        <f t="array" ref="GK97">SUMPRODUCT(--($CR$7:$FW$7&gt;=GK$5),--($CR$7:$FW$7&lt;=GK$6),$CR97:$FW97)*GC97</f>
        <v>0</v>
      </c>
      <c r="GL97" s="145" cm="1">
        <f t="array" ref="GL97">SUMPRODUCT(--($CR$7:$FW$7&gt;=GL$5),--($CR$7:$FW$7&lt;=GL$6),$CR97:$FW97)*GD97</f>
        <v>0</v>
      </c>
      <c r="GM97" s="145" cm="1">
        <f t="array" ref="GM97">SUMPRODUCT(--($CR$7:$FW$7&gt;=GM$5),--($CR$7:$FW$7&lt;=GM$6),$CR97:$FW97)*GE97</f>
        <v>0</v>
      </c>
      <c r="GN97" s="145" cm="1">
        <f t="array" ref="GN97">SUMPRODUCT(--($CR$7:$FW$7&gt;=GN$5),--($CR$7:$FW$7&lt;=GN$6),$CR97:$FW97)*GF97</f>
        <v>0</v>
      </c>
      <c r="GO97" s="145">
        <f t="shared" si="1"/>
        <v>0</v>
      </c>
      <c r="GP97" s="87"/>
      <c r="GR97" s="145" cm="1">
        <f t="array" ref="GR97">SUMPRODUCT(--($CR$7:$FW$7&gt;=GR$5),--($CR$7:$FW$7&lt;=GR$6),$CR97:$FW97)</f>
        <v>0</v>
      </c>
    </row>
    <row r="98" spans="2:200" x14ac:dyDescent="0.2">
      <c r="B98" s="141"/>
      <c r="C98" s="141"/>
      <c r="D98" s="141"/>
      <c r="E98" s="141"/>
      <c r="F98" s="141"/>
      <c r="G98" s="141"/>
      <c r="H98" s="142"/>
      <c r="I98" s="126"/>
      <c r="J98" s="143"/>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3"/>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c r="EE98" s="145"/>
      <c r="EF98" s="145"/>
      <c r="EG98" s="145"/>
      <c r="EH98" s="145"/>
      <c r="EI98" s="145"/>
      <c r="EJ98" s="145"/>
      <c r="EK98" s="145"/>
      <c r="EL98" s="145"/>
      <c r="EM98" s="145"/>
      <c r="EN98" s="145"/>
      <c r="EO98" s="145"/>
      <c r="EP98" s="145"/>
      <c r="EQ98" s="145"/>
      <c r="ER98" s="145"/>
      <c r="ES98" s="145"/>
      <c r="ET98" s="145"/>
      <c r="EU98" s="145"/>
      <c r="EV98" s="145"/>
      <c r="EW98" s="145"/>
      <c r="EX98" s="145"/>
      <c r="EY98" s="145"/>
      <c r="EZ98" s="145"/>
      <c r="FA98" s="145"/>
      <c r="FB98" s="145"/>
      <c r="FC98" s="145"/>
      <c r="FD98" s="145"/>
      <c r="FE98" s="145"/>
      <c r="FF98" s="145"/>
      <c r="FG98" s="145"/>
      <c r="FH98" s="145"/>
      <c r="FI98" s="145"/>
      <c r="FJ98" s="145"/>
      <c r="FK98" s="145"/>
      <c r="FL98" s="145"/>
      <c r="FM98" s="145"/>
      <c r="FN98" s="145"/>
      <c r="FO98" s="145"/>
      <c r="FP98" s="145"/>
      <c r="FQ98" s="145"/>
      <c r="FR98" s="145"/>
      <c r="FS98" s="145"/>
      <c r="FT98" s="145"/>
      <c r="FU98" s="145"/>
      <c r="FV98" s="145"/>
      <c r="FW98" s="145"/>
      <c r="FX98" s="143"/>
      <c r="FY98" s="146">
        <f>_xlfn.XLOOKUP($E98,'Key assumptions'!$B$112:$B$120,'Key assumptions'!$C$112:$C$120,0)</f>
        <v>0</v>
      </c>
      <c r="FZ98" s="146" cm="1">
        <f t="array" ref="FZ98">IF($FY98=0,0,_xlfn.IFS($FY98='Key assumptions'!$C$120,_xlfn.XLOOKUP(LEFT(FZ$7,6),Inflation_Year,Inflation_NominaltoReal),TRUE,_xlfn.XLOOKUP($FY98,Inflation_Year,NominaltoReal)))</f>
        <v>0</v>
      </c>
      <c r="GA98" s="146" cm="1">
        <f t="array" ref="GA98">IF($FY98=0,0,_xlfn.IFS($FY98='Key assumptions'!$C$120,_xlfn.XLOOKUP(LEFT(GA$7,6),Inflation_Year,Inflation_NominaltoReal),TRUE,_xlfn.XLOOKUP($FY98,Inflation_Year,NominaltoReal)))</f>
        <v>0</v>
      </c>
      <c r="GB98" s="146" cm="1">
        <f t="array" ref="GB98">IF($FY98=0,0,_xlfn.IFS($FY98='Key assumptions'!$C$120,_xlfn.XLOOKUP(LEFT(GB$7,6),Inflation_Year,Inflation_NominaltoReal),TRUE,_xlfn.XLOOKUP($FY98,Inflation_Year,NominaltoReal)))</f>
        <v>0</v>
      </c>
      <c r="GC98" s="146" cm="1">
        <f t="array" ref="GC98">IF($FY98=0,0,_xlfn.IFS($FY98='Key assumptions'!$C$120,_xlfn.XLOOKUP(LEFT(GC$7,6),Inflation_Year,Inflation_NominaltoReal),TRUE,_xlfn.XLOOKUP($FY98,Inflation_Year,NominaltoReal)))</f>
        <v>0</v>
      </c>
      <c r="GD98" s="146" cm="1">
        <f t="array" ref="GD98">IF($FY98=0,0,_xlfn.IFS($FY98='Key assumptions'!$C$120,_xlfn.XLOOKUP(LEFT(GD$7,6),Inflation_Year,Inflation_NominaltoReal),TRUE,_xlfn.XLOOKUP($FY98,Inflation_Year,NominaltoReal)))</f>
        <v>0</v>
      </c>
      <c r="GE98" s="146" cm="1">
        <f t="array" ref="GE98">IF($FY98=0,0,_xlfn.IFS($FY98='Key assumptions'!$C$120,_xlfn.XLOOKUP(LEFT(GE$7,6),Inflation_Year,Inflation_NominaltoReal),TRUE,_xlfn.XLOOKUP($FY98,Inflation_Year,NominaltoReal)))</f>
        <v>0</v>
      </c>
      <c r="GF98" s="146" cm="1">
        <f t="array" ref="GF98">IF($FY98=0,0,_xlfn.IFS($FY98='Key assumptions'!$C$120,_xlfn.XLOOKUP(LEFT(GF$7,6),Inflation_Year,Inflation_NominaltoReal),TRUE,_xlfn.XLOOKUP($FY98,Inflation_Year,NominaltoReal)))</f>
        <v>0</v>
      </c>
      <c r="GG98" s="143"/>
      <c r="GH98" s="145" cm="1">
        <f t="array" ref="GH98">SUMPRODUCT(--($CR$7:$FW$7&gt;=GH$5),--($CR$7:$FW$7&lt;=GH$6),$CR98:$FW98)*FZ98</f>
        <v>0</v>
      </c>
      <c r="GI98" s="145" cm="1">
        <f t="array" ref="GI98">SUMPRODUCT(--($CR$7:$FW$7&gt;=GI$5),--($CR$7:$FW$7&lt;=GI$6),$CR98:$FW98)*GA98</f>
        <v>0</v>
      </c>
      <c r="GJ98" s="145" cm="1">
        <f t="array" ref="GJ98">SUMPRODUCT(--($CR$7:$FW$7&gt;=GJ$5),--($CR$7:$FW$7&lt;=GJ$6),$CR98:$FW98)*GB98</f>
        <v>0</v>
      </c>
      <c r="GK98" s="145" cm="1">
        <f t="array" ref="GK98">SUMPRODUCT(--($CR$7:$FW$7&gt;=GK$5),--($CR$7:$FW$7&lt;=GK$6),$CR98:$FW98)*GC98</f>
        <v>0</v>
      </c>
      <c r="GL98" s="145" cm="1">
        <f t="array" ref="GL98">SUMPRODUCT(--($CR$7:$FW$7&gt;=GL$5),--($CR$7:$FW$7&lt;=GL$6),$CR98:$FW98)*GD98</f>
        <v>0</v>
      </c>
      <c r="GM98" s="145" cm="1">
        <f t="array" ref="GM98">SUMPRODUCT(--($CR$7:$FW$7&gt;=GM$5),--($CR$7:$FW$7&lt;=GM$6),$CR98:$FW98)*GE98</f>
        <v>0</v>
      </c>
      <c r="GN98" s="145" cm="1">
        <f t="array" ref="GN98">SUMPRODUCT(--($CR$7:$FW$7&gt;=GN$5),--($CR$7:$FW$7&lt;=GN$6),$CR98:$FW98)*GF98</f>
        <v>0</v>
      </c>
      <c r="GO98" s="145">
        <f t="shared" si="1"/>
        <v>0</v>
      </c>
      <c r="GP98" s="87"/>
      <c r="GR98" s="145" cm="1">
        <f t="array" ref="GR98">SUMPRODUCT(--($CR$7:$FW$7&gt;=GR$5),--($CR$7:$FW$7&lt;=GR$6),$CR98:$FW98)</f>
        <v>0</v>
      </c>
    </row>
    <row r="99" spans="2:200" x14ac:dyDescent="0.2">
      <c r="B99" s="141"/>
      <c r="C99" s="141"/>
      <c r="D99" s="141"/>
      <c r="E99" s="141"/>
      <c r="F99" s="141"/>
      <c r="G99" s="141"/>
      <c r="H99" s="142"/>
      <c r="I99" s="126"/>
      <c r="J99" s="143"/>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3"/>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c r="EE99" s="145"/>
      <c r="EF99" s="145"/>
      <c r="EG99" s="145"/>
      <c r="EH99" s="145"/>
      <c r="EI99" s="145"/>
      <c r="EJ99" s="145"/>
      <c r="EK99" s="145"/>
      <c r="EL99" s="145"/>
      <c r="EM99" s="145"/>
      <c r="EN99" s="145"/>
      <c r="EO99" s="145"/>
      <c r="EP99" s="145"/>
      <c r="EQ99" s="145"/>
      <c r="ER99" s="145"/>
      <c r="ES99" s="145"/>
      <c r="ET99" s="145"/>
      <c r="EU99" s="145"/>
      <c r="EV99" s="145"/>
      <c r="EW99" s="145"/>
      <c r="EX99" s="145"/>
      <c r="EY99" s="145"/>
      <c r="EZ99" s="145"/>
      <c r="FA99" s="145"/>
      <c r="FB99" s="145"/>
      <c r="FC99" s="145"/>
      <c r="FD99" s="145"/>
      <c r="FE99" s="145"/>
      <c r="FF99" s="145"/>
      <c r="FG99" s="145"/>
      <c r="FH99" s="145"/>
      <c r="FI99" s="145"/>
      <c r="FJ99" s="145"/>
      <c r="FK99" s="145"/>
      <c r="FL99" s="145"/>
      <c r="FM99" s="145"/>
      <c r="FN99" s="145"/>
      <c r="FO99" s="145"/>
      <c r="FP99" s="145"/>
      <c r="FQ99" s="145"/>
      <c r="FR99" s="145"/>
      <c r="FS99" s="145"/>
      <c r="FT99" s="145"/>
      <c r="FU99" s="145"/>
      <c r="FV99" s="145"/>
      <c r="FW99" s="145"/>
      <c r="FX99" s="143"/>
      <c r="FY99" s="146">
        <f>_xlfn.XLOOKUP($E99,'Key assumptions'!$B$112:$B$120,'Key assumptions'!$C$112:$C$120,0)</f>
        <v>0</v>
      </c>
      <c r="FZ99" s="146" cm="1">
        <f t="array" ref="FZ99">IF($FY99=0,0,_xlfn.IFS($FY99='Key assumptions'!$C$120,_xlfn.XLOOKUP(LEFT(FZ$7,6),Inflation_Year,Inflation_NominaltoReal),TRUE,_xlfn.XLOOKUP($FY99,Inflation_Year,NominaltoReal)))</f>
        <v>0</v>
      </c>
      <c r="GA99" s="146" cm="1">
        <f t="array" ref="GA99">IF($FY99=0,0,_xlfn.IFS($FY99='Key assumptions'!$C$120,_xlfn.XLOOKUP(LEFT(GA$7,6),Inflation_Year,Inflation_NominaltoReal),TRUE,_xlfn.XLOOKUP($FY99,Inflation_Year,NominaltoReal)))</f>
        <v>0</v>
      </c>
      <c r="GB99" s="146" cm="1">
        <f t="array" ref="GB99">IF($FY99=0,0,_xlfn.IFS($FY99='Key assumptions'!$C$120,_xlfn.XLOOKUP(LEFT(GB$7,6),Inflation_Year,Inflation_NominaltoReal),TRUE,_xlfn.XLOOKUP($FY99,Inflation_Year,NominaltoReal)))</f>
        <v>0</v>
      </c>
      <c r="GC99" s="146" cm="1">
        <f t="array" ref="GC99">IF($FY99=0,0,_xlfn.IFS($FY99='Key assumptions'!$C$120,_xlfn.XLOOKUP(LEFT(GC$7,6),Inflation_Year,Inflation_NominaltoReal),TRUE,_xlfn.XLOOKUP($FY99,Inflation_Year,NominaltoReal)))</f>
        <v>0</v>
      </c>
      <c r="GD99" s="146" cm="1">
        <f t="array" ref="GD99">IF($FY99=0,0,_xlfn.IFS($FY99='Key assumptions'!$C$120,_xlfn.XLOOKUP(LEFT(GD$7,6),Inflation_Year,Inflation_NominaltoReal),TRUE,_xlfn.XLOOKUP($FY99,Inflation_Year,NominaltoReal)))</f>
        <v>0</v>
      </c>
      <c r="GE99" s="146" cm="1">
        <f t="array" ref="GE99">IF($FY99=0,0,_xlfn.IFS($FY99='Key assumptions'!$C$120,_xlfn.XLOOKUP(LEFT(GE$7,6),Inflation_Year,Inflation_NominaltoReal),TRUE,_xlfn.XLOOKUP($FY99,Inflation_Year,NominaltoReal)))</f>
        <v>0</v>
      </c>
      <c r="GF99" s="146" cm="1">
        <f t="array" ref="GF99">IF($FY99=0,0,_xlfn.IFS($FY99='Key assumptions'!$C$120,_xlfn.XLOOKUP(LEFT(GF$7,6),Inflation_Year,Inflation_NominaltoReal),TRUE,_xlfn.XLOOKUP($FY99,Inflation_Year,NominaltoReal)))</f>
        <v>0</v>
      </c>
      <c r="GG99" s="143"/>
      <c r="GH99" s="145" cm="1">
        <f t="array" ref="GH99">SUMPRODUCT(--($CR$7:$FW$7&gt;=GH$5),--($CR$7:$FW$7&lt;=GH$6),$CR99:$FW99)*FZ99</f>
        <v>0</v>
      </c>
      <c r="GI99" s="145" cm="1">
        <f t="array" ref="GI99">SUMPRODUCT(--($CR$7:$FW$7&gt;=GI$5),--($CR$7:$FW$7&lt;=GI$6),$CR99:$FW99)*GA99</f>
        <v>0</v>
      </c>
      <c r="GJ99" s="145" cm="1">
        <f t="array" ref="GJ99">SUMPRODUCT(--($CR$7:$FW$7&gt;=GJ$5),--($CR$7:$FW$7&lt;=GJ$6),$CR99:$FW99)*GB99</f>
        <v>0</v>
      </c>
      <c r="GK99" s="145" cm="1">
        <f t="array" ref="GK99">SUMPRODUCT(--($CR$7:$FW$7&gt;=GK$5),--($CR$7:$FW$7&lt;=GK$6),$CR99:$FW99)*GC99</f>
        <v>0</v>
      </c>
      <c r="GL99" s="145" cm="1">
        <f t="array" ref="GL99">SUMPRODUCT(--($CR$7:$FW$7&gt;=GL$5),--($CR$7:$FW$7&lt;=GL$6),$CR99:$FW99)*GD99</f>
        <v>0</v>
      </c>
      <c r="GM99" s="145" cm="1">
        <f t="array" ref="GM99">SUMPRODUCT(--($CR$7:$FW$7&gt;=GM$5),--($CR$7:$FW$7&lt;=GM$6),$CR99:$FW99)*GE99</f>
        <v>0</v>
      </c>
      <c r="GN99" s="145" cm="1">
        <f t="array" ref="GN99">SUMPRODUCT(--($CR$7:$FW$7&gt;=GN$5),--($CR$7:$FW$7&lt;=GN$6),$CR99:$FW99)*GF99</f>
        <v>0</v>
      </c>
      <c r="GO99" s="145">
        <f t="shared" si="1"/>
        <v>0</v>
      </c>
      <c r="GP99" s="87"/>
      <c r="GR99" s="145" cm="1">
        <f t="array" ref="GR99">SUMPRODUCT(--($CR$7:$FW$7&gt;=GR$5),--($CR$7:$FW$7&lt;=GR$6),$CR99:$FW99)</f>
        <v>0</v>
      </c>
    </row>
    <row r="100" spans="2:200" x14ac:dyDescent="0.2">
      <c r="B100" s="141"/>
      <c r="C100" s="141"/>
      <c r="D100" s="141"/>
      <c r="E100" s="141"/>
      <c r="F100" s="141"/>
      <c r="G100" s="141"/>
      <c r="H100" s="142"/>
      <c r="I100" s="126"/>
      <c r="J100" s="143"/>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3"/>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c r="EE100" s="145"/>
      <c r="EF100" s="145"/>
      <c r="EG100" s="145"/>
      <c r="EH100" s="145"/>
      <c r="EI100" s="145"/>
      <c r="EJ100" s="145"/>
      <c r="EK100" s="145"/>
      <c r="EL100" s="145"/>
      <c r="EM100" s="145"/>
      <c r="EN100" s="145"/>
      <c r="EO100" s="145"/>
      <c r="EP100" s="145"/>
      <c r="EQ100" s="145"/>
      <c r="ER100" s="145"/>
      <c r="ES100" s="145"/>
      <c r="ET100" s="145"/>
      <c r="EU100" s="145"/>
      <c r="EV100" s="145"/>
      <c r="EW100" s="145"/>
      <c r="EX100" s="145"/>
      <c r="EY100" s="145"/>
      <c r="EZ100" s="145"/>
      <c r="FA100" s="145"/>
      <c r="FB100" s="145"/>
      <c r="FC100" s="145"/>
      <c r="FD100" s="145"/>
      <c r="FE100" s="145"/>
      <c r="FF100" s="145"/>
      <c r="FG100" s="145"/>
      <c r="FH100" s="145"/>
      <c r="FI100" s="145"/>
      <c r="FJ100" s="145"/>
      <c r="FK100" s="145"/>
      <c r="FL100" s="145"/>
      <c r="FM100" s="145"/>
      <c r="FN100" s="145"/>
      <c r="FO100" s="145"/>
      <c r="FP100" s="145"/>
      <c r="FQ100" s="145"/>
      <c r="FR100" s="145"/>
      <c r="FS100" s="145"/>
      <c r="FT100" s="145"/>
      <c r="FU100" s="145"/>
      <c r="FV100" s="145"/>
      <c r="FW100" s="145"/>
      <c r="FX100" s="143"/>
      <c r="FY100" s="146">
        <f>_xlfn.XLOOKUP($E100,'Key assumptions'!$B$112:$B$120,'Key assumptions'!$C$112:$C$120,0)</f>
        <v>0</v>
      </c>
      <c r="FZ100" s="146" cm="1">
        <f t="array" ref="FZ100">IF($FY100=0,0,_xlfn.IFS($FY100='Key assumptions'!$C$120,_xlfn.XLOOKUP(LEFT(FZ$7,6),Inflation_Year,Inflation_NominaltoReal),TRUE,_xlfn.XLOOKUP($FY100,Inflation_Year,NominaltoReal)))</f>
        <v>0</v>
      </c>
      <c r="GA100" s="146" cm="1">
        <f t="array" ref="GA100">IF($FY100=0,0,_xlfn.IFS($FY100='Key assumptions'!$C$120,_xlfn.XLOOKUP(LEFT(GA$7,6),Inflation_Year,Inflation_NominaltoReal),TRUE,_xlfn.XLOOKUP($FY100,Inflation_Year,NominaltoReal)))</f>
        <v>0</v>
      </c>
      <c r="GB100" s="146" cm="1">
        <f t="array" ref="GB100">IF($FY100=0,0,_xlfn.IFS($FY100='Key assumptions'!$C$120,_xlfn.XLOOKUP(LEFT(GB$7,6),Inflation_Year,Inflation_NominaltoReal),TRUE,_xlfn.XLOOKUP($FY100,Inflation_Year,NominaltoReal)))</f>
        <v>0</v>
      </c>
      <c r="GC100" s="146" cm="1">
        <f t="array" ref="GC100">IF($FY100=0,0,_xlfn.IFS($FY100='Key assumptions'!$C$120,_xlfn.XLOOKUP(LEFT(GC$7,6),Inflation_Year,Inflation_NominaltoReal),TRUE,_xlfn.XLOOKUP($FY100,Inflation_Year,NominaltoReal)))</f>
        <v>0</v>
      </c>
      <c r="GD100" s="146" cm="1">
        <f t="array" ref="GD100">IF($FY100=0,0,_xlfn.IFS($FY100='Key assumptions'!$C$120,_xlfn.XLOOKUP(LEFT(GD$7,6),Inflation_Year,Inflation_NominaltoReal),TRUE,_xlfn.XLOOKUP($FY100,Inflation_Year,NominaltoReal)))</f>
        <v>0</v>
      </c>
      <c r="GE100" s="146" cm="1">
        <f t="array" ref="GE100">IF($FY100=0,0,_xlfn.IFS($FY100='Key assumptions'!$C$120,_xlfn.XLOOKUP(LEFT(GE$7,6),Inflation_Year,Inflation_NominaltoReal),TRUE,_xlfn.XLOOKUP($FY100,Inflation_Year,NominaltoReal)))</f>
        <v>0</v>
      </c>
      <c r="GF100" s="146" cm="1">
        <f t="array" ref="GF100">IF($FY100=0,0,_xlfn.IFS($FY100='Key assumptions'!$C$120,_xlfn.XLOOKUP(LEFT(GF$7,6),Inflation_Year,Inflation_NominaltoReal),TRUE,_xlfn.XLOOKUP($FY100,Inflation_Year,NominaltoReal)))</f>
        <v>0</v>
      </c>
      <c r="GG100" s="143"/>
      <c r="GH100" s="145" cm="1">
        <f t="array" ref="GH100">SUMPRODUCT(--($CR$7:$FW$7&gt;=GH$5),--($CR$7:$FW$7&lt;=GH$6),$CR100:$FW100)*FZ100</f>
        <v>0</v>
      </c>
      <c r="GI100" s="145" cm="1">
        <f t="array" ref="GI100">SUMPRODUCT(--($CR$7:$FW$7&gt;=GI$5),--($CR$7:$FW$7&lt;=GI$6),$CR100:$FW100)*GA100</f>
        <v>0</v>
      </c>
      <c r="GJ100" s="145" cm="1">
        <f t="array" ref="GJ100">SUMPRODUCT(--($CR$7:$FW$7&gt;=GJ$5),--($CR$7:$FW$7&lt;=GJ$6),$CR100:$FW100)*GB100</f>
        <v>0</v>
      </c>
      <c r="GK100" s="145" cm="1">
        <f t="array" ref="GK100">SUMPRODUCT(--($CR$7:$FW$7&gt;=GK$5),--($CR$7:$FW$7&lt;=GK$6),$CR100:$FW100)*GC100</f>
        <v>0</v>
      </c>
      <c r="GL100" s="145" cm="1">
        <f t="array" ref="GL100">SUMPRODUCT(--($CR$7:$FW$7&gt;=GL$5),--($CR$7:$FW$7&lt;=GL$6),$CR100:$FW100)*GD100</f>
        <v>0</v>
      </c>
      <c r="GM100" s="145" cm="1">
        <f t="array" ref="GM100">SUMPRODUCT(--($CR$7:$FW$7&gt;=GM$5),--($CR$7:$FW$7&lt;=GM$6),$CR100:$FW100)*GE100</f>
        <v>0</v>
      </c>
      <c r="GN100" s="145" cm="1">
        <f t="array" ref="GN100">SUMPRODUCT(--($CR$7:$FW$7&gt;=GN$5),--($CR$7:$FW$7&lt;=GN$6),$CR100:$FW100)*GF100</f>
        <v>0</v>
      </c>
      <c r="GO100" s="145">
        <f t="shared" si="1"/>
        <v>0</v>
      </c>
      <c r="GP100" s="87"/>
      <c r="GR100" s="145" cm="1">
        <f t="array" ref="GR100">SUMPRODUCT(--($CR$7:$FW$7&gt;=GR$5),--($CR$7:$FW$7&lt;=GR$6),$CR100:$FW100)</f>
        <v>0</v>
      </c>
    </row>
    <row r="101" spans="2:200" x14ac:dyDescent="0.2">
      <c r="B101" s="141"/>
      <c r="C101" s="141"/>
      <c r="D101" s="141"/>
      <c r="E101" s="141"/>
      <c r="F101" s="141"/>
      <c r="G101" s="141"/>
      <c r="H101" s="142"/>
      <c r="I101" s="126"/>
      <c r="J101" s="143"/>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3"/>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c r="EE101" s="145"/>
      <c r="EF101" s="145"/>
      <c r="EG101" s="145"/>
      <c r="EH101" s="145"/>
      <c r="EI101" s="145"/>
      <c r="EJ101" s="145"/>
      <c r="EK101" s="145"/>
      <c r="EL101" s="145"/>
      <c r="EM101" s="145"/>
      <c r="EN101" s="145"/>
      <c r="EO101" s="145"/>
      <c r="EP101" s="145"/>
      <c r="EQ101" s="145"/>
      <c r="ER101" s="145"/>
      <c r="ES101" s="145"/>
      <c r="ET101" s="145"/>
      <c r="EU101" s="145"/>
      <c r="EV101" s="145"/>
      <c r="EW101" s="145"/>
      <c r="EX101" s="145"/>
      <c r="EY101" s="145"/>
      <c r="EZ101" s="145"/>
      <c r="FA101" s="145"/>
      <c r="FB101" s="145"/>
      <c r="FC101" s="145"/>
      <c r="FD101" s="145"/>
      <c r="FE101" s="145"/>
      <c r="FF101" s="145"/>
      <c r="FG101" s="145"/>
      <c r="FH101" s="145"/>
      <c r="FI101" s="145"/>
      <c r="FJ101" s="145"/>
      <c r="FK101" s="145"/>
      <c r="FL101" s="145"/>
      <c r="FM101" s="145"/>
      <c r="FN101" s="145"/>
      <c r="FO101" s="145"/>
      <c r="FP101" s="145"/>
      <c r="FQ101" s="145"/>
      <c r="FR101" s="145"/>
      <c r="FS101" s="145"/>
      <c r="FT101" s="145"/>
      <c r="FU101" s="145"/>
      <c r="FV101" s="145"/>
      <c r="FW101" s="145"/>
      <c r="FX101" s="143"/>
      <c r="FY101" s="146">
        <f>_xlfn.XLOOKUP($E101,'Key assumptions'!$B$112:$B$120,'Key assumptions'!$C$112:$C$120,0)</f>
        <v>0</v>
      </c>
      <c r="FZ101" s="146" cm="1">
        <f t="array" ref="FZ101">IF($FY101=0,0,_xlfn.IFS($FY101='Key assumptions'!$C$120,_xlfn.XLOOKUP(LEFT(FZ$7,6),Inflation_Year,Inflation_NominaltoReal),TRUE,_xlfn.XLOOKUP($FY101,Inflation_Year,NominaltoReal)))</f>
        <v>0</v>
      </c>
      <c r="GA101" s="146" cm="1">
        <f t="array" ref="GA101">IF($FY101=0,0,_xlfn.IFS($FY101='Key assumptions'!$C$120,_xlfn.XLOOKUP(LEFT(GA$7,6),Inflation_Year,Inflation_NominaltoReal),TRUE,_xlfn.XLOOKUP($FY101,Inflation_Year,NominaltoReal)))</f>
        <v>0</v>
      </c>
      <c r="GB101" s="146" cm="1">
        <f t="array" ref="GB101">IF($FY101=0,0,_xlfn.IFS($FY101='Key assumptions'!$C$120,_xlfn.XLOOKUP(LEFT(GB$7,6),Inflation_Year,Inflation_NominaltoReal),TRUE,_xlfn.XLOOKUP($FY101,Inflation_Year,NominaltoReal)))</f>
        <v>0</v>
      </c>
      <c r="GC101" s="146" cm="1">
        <f t="array" ref="GC101">IF($FY101=0,0,_xlfn.IFS($FY101='Key assumptions'!$C$120,_xlfn.XLOOKUP(LEFT(GC$7,6),Inflation_Year,Inflation_NominaltoReal),TRUE,_xlfn.XLOOKUP($FY101,Inflation_Year,NominaltoReal)))</f>
        <v>0</v>
      </c>
      <c r="GD101" s="146" cm="1">
        <f t="array" ref="GD101">IF($FY101=0,0,_xlfn.IFS($FY101='Key assumptions'!$C$120,_xlfn.XLOOKUP(LEFT(GD$7,6),Inflation_Year,Inflation_NominaltoReal),TRUE,_xlfn.XLOOKUP($FY101,Inflation_Year,NominaltoReal)))</f>
        <v>0</v>
      </c>
      <c r="GE101" s="146" cm="1">
        <f t="array" ref="GE101">IF($FY101=0,0,_xlfn.IFS($FY101='Key assumptions'!$C$120,_xlfn.XLOOKUP(LEFT(GE$7,6),Inflation_Year,Inflation_NominaltoReal),TRUE,_xlfn.XLOOKUP($FY101,Inflation_Year,NominaltoReal)))</f>
        <v>0</v>
      </c>
      <c r="GF101" s="146" cm="1">
        <f t="array" ref="GF101">IF($FY101=0,0,_xlfn.IFS($FY101='Key assumptions'!$C$120,_xlfn.XLOOKUP(LEFT(GF$7,6),Inflation_Year,Inflation_NominaltoReal),TRUE,_xlfn.XLOOKUP($FY101,Inflation_Year,NominaltoReal)))</f>
        <v>0</v>
      </c>
      <c r="GG101" s="143"/>
      <c r="GH101" s="145" cm="1">
        <f t="array" ref="GH101">SUMPRODUCT(--($CR$7:$FW$7&gt;=GH$5),--($CR$7:$FW$7&lt;=GH$6),$CR101:$FW101)*FZ101</f>
        <v>0</v>
      </c>
      <c r="GI101" s="145" cm="1">
        <f t="array" ref="GI101">SUMPRODUCT(--($CR$7:$FW$7&gt;=GI$5),--($CR$7:$FW$7&lt;=GI$6),$CR101:$FW101)*GA101</f>
        <v>0</v>
      </c>
      <c r="GJ101" s="145" cm="1">
        <f t="array" ref="GJ101">SUMPRODUCT(--($CR$7:$FW$7&gt;=GJ$5),--($CR$7:$FW$7&lt;=GJ$6),$CR101:$FW101)*GB101</f>
        <v>0</v>
      </c>
      <c r="GK101" s="145" cm="1">
        <f t="array" ref="GK101">SUMPRODUCT(--($CR$7:$FW$7&gt;=GK$5),--($CR$7:$FW$7&lt;=GK$6),$CR101:$FW101)*GC101</f>
        <v>0</v>
      </c>
      <c r="GL101" s="145" cm="1">
        <f t="array" ref="GL101">SUMPRODUCT(--($CR$7:$FW$7&gt;=GL$5),--($CR$7:$FW$7&lt;=GL$6),$CR101:$FW101)*GD101</f>
        <v>0</v>
      </c>
      <c r="GM101" s="145" cm="1">
        <f t="array" ref="GM101">SUMPRODUCT(--($CR$7:$FW$7&gt;=GM$5),--($CR$7:$FW$7&lt;=GM$6),$CR101:$FW101)*GE101</f>
        <v>0</v>
      </c>
      <c r="GN101" s="145" cm="1">
        <f t="array" ref="GN101">SUMPRODUCT(--($CR$7:$FW$7&gt;=GN$5),--($CR$7:$FW$7&lt;=GN$6),$CR101:$FW101)*GF101</f>
        <v>0</v>
      </c>
      <c r="GO101" s="145">
        <f t="shared" si="1"/>
        <v>0</v>
      </c>
      <c r="GP101" s="87"/>
      <c r="GR101" s="145" cm="1">
        <f t="array" ref="GR101">SUMPRODUCT(--($CR$7:$FW$7&gt;=GR$5),--($CR$7:$FW$7&lt;=GR$6),$CR101:$FW101)</f>
        <v>0</v>
      </c>
    </row>
    <row r="102" spans="2:200" x14ac:dyDescent="0.2">
      <c r="B102" s="141"/>
      <c r="C102" s="141"/>
      <c r="D102" s="141"/>
      <c r="E102" s="141"/>
      <c r="F102" s="141"/>
      <c r="G102" s="141"/>
      <c r="H102" s="142"/>
      <c r="I102" s="126"/>
      <c r="J102" s="143"/>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3"/>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c r="EE102" s="145"/>
      <c r="EF102" s="145"/>
      <c r="EG102" s="145"/>
      <c r="EH102" s="145"/>
      <c r="EI102" s="145"/>
      <c r="EJ102" s="145"/>
      <c r="EK102" s="145"/>
      <c r="EL102" s="145"/>
      <c r="EM102" s="145"/>
      <c r="EN102" s="145"/>
      <c r="EO102" s="145"/>
      <c r="EP102" s="145"/>
      <c r="EQ102" s="145"/>
      <c r="ER102" s="145"/>
      <c r="ES102" s="145"/>
      <c r="ET102" s="145"/>
      <c r="EU102" s="145"/>
      <c r="EV102" s="145"/>
      <c r="EW102" s="145"/>
      <c r="EX102" s="145"/>
      <c r="EY102" s="145"/>
      <c r="EZ102" s="145"/>
      <c r="FA102" s="145"/>
      <c r="FB102" s="145"/>
      <c r="FC102" s="145"/>
      <c r="FD102" s="145"/>
      <c r="FE102" s="145"/>
      <c r="FF102" s="145"/>
      <c r="FG102" s="145"/>
      <c r="FH102" s="145"/>
      <c r="FI102" s="145"/>
      <c r="FJ102" s="145"/>
      <c r="FK102" s="145"/>
      <c r="FL102" s="145"/>
      <c r="FM102" s="145"/>
      <c r="FN102" s="145"/>
      <c r="FO102" s="145"/>
      <c r="FP102" s="145"/>
      <c r="FQ102" s="145"/>
      <c r="FR102" s="145"/>
      <c r="FS102" s="145"/>
      <c r="FT102" s="145"/>
      <c r="FU102" s="145"/>
      <c r="FV102" s="145"/>
      <c r="FW102" s="145"/>
      <c r="FX102" s="143"/>
      <c r="FY102" s="146">
        <f>_xlfn.XLOOKUP($E102,'Key assumptions'!$B$112:$B$120,'Key assumptions'!$C$112:$C$120,0)</f>
        <v>0</v>
      </c>
      <c r="FZ102" s="146" cm="1">
        <f t="array" ref="FZ102">IF($FY102=0,0,_xlfn.IFS($FY102='Key assumptions'!$C$120,_xlfn.XLOOKUP(LEFT(FZ$7,6),Inflation_Year,Inflation_NominaltoReal),TRUE,_xlfn.XLOOKUP($FY102,Inflation_Year,NominaltoReal)))</f>
        <v>0</v>
      </c>
      <c r="GA102" s="146" cm="1">
        <f t="array" ref="GA102">IF($FY102=0,0,_xlfn.IFS($FY102='Key assumptions'!$C$120,_xlfn.XLOOKUP(LEFT(GA$7,6),Inflation_Year,Inflation_NominaltoReal),TRUE,_xlfn.XLOOKUP($FY102,Inflation_Year,NominaltoReal)))</f>
        <v>0</v>
      </c>
      <c r="GB102" s="146" cm="1">
        <f t="array" ref="GB102">IF($FY102=0,0,_xlfn.IFS($FY102='Key assumptions'!$C$120,_xlfn.XLOOKUP(LEFT(GB$7,6),Inflation_Year,Inflation_NominaltoReal),TRUE,_xlfn.XLOOKUP($FY102,Inflation_Year,NominaltoReal)))</f>
        <v>0</v>
      </c>
      <c r="GC102" s="146" cm="1">
        <f t="array" ref="GC102">IF($FY102=0,0,_xlfn.IFS($FY102='Key assumptions'!$C$120,_xlfn.XLOOKUP(LEFT(GC$7,6),Inflation_Year,Inflation_NominaltoReal),TRUE,_xlfn.XLOOKUP($FY102,Inflation_Year,NominaltoReal)))</f>
        <v>0</v>
      </c>
      <c r="GD102" s="146" cm="1">
        <f t="array" ref="GD102">IF($FY102=0,0,_xlfn.IFS($FY102='Key assumptions'!$C$120,_xlfn.XLOOKUP(LEFT(GD$7,6),Inflation_Year,Inflation_NominaltoReal),TRUE,_xlfn.XLOOKUP($FY102,Inflation_Year,NominaltoReal)))</f>
        <v>0</v>
      </c>
      <c r="GE102" s="146" cm="1">
        <f t="array" ref="GE102">IF($FY102=0,0,_xlfn.IFS($FY102='Key assumptions'!$C$120,_xlfn.XLOOKUP(LEFT(GE$7,6),Inflation_Year,Inflation_NominaltoReal),TRUE,_xlfn.XLOOKUP($FY102,Inflation_Year,NominaltoReal)))</f>
        <v>0</v>
      </c>
      <c r="GF102" s="146" cm="1">
        <f t="array" ref="GF102">IF($FY102=0,0,_xlfn.IFS($FY102='Key assumptions'!$C$120,_xlfn.XLOOKUP(LEFT(GF$7,6),Inflation_Year,Inflation_NominaltoReal),TRUE,_xlfn.XLOOKUP($FY102,Inflation_Year,NominaltoReal)))</f>
        <v>0</v>
      </c>
      <c r="GG102" s="143"/>
      <c r="GH102" s="145" cm="1">
        <f t="array" ref="GH102">SUMPRODUCT(--($CR$7:$FW$7&gt;=GH$5),--($CR$7:$FW$7&lt;=GH$6),$CR102:$FW102)*FZ102</f>
        <v>0</v>
      </c>
      <c r="GI102" s="145" cm="1">
        <f t="array" ref="GI102">SUMPRODUCT(--($CR$7:$FW$7&gt;=GI$5),--($CR$7:$FW$7&lt;=GI$6),$CR102:$FW102)*GA102</f>
        <v>0</v>
      </c>
      <c r="GJ102" s="145" cm="1">
        <f t="array" ref="GJ102">SUMPRODUCT(--($CR$7:$FW$7&gt;=GJ$5),--($CR$7:$FW$7&lt;=GJ$6),$CR102:$FW102)*GB102</f>
        <v>0</v>
      </c>
      <c r="GK102" s="145" cm="1">
        <f t="array" ref="GK102">SUMPRODUCT(--($CR$7:$FW$7&gt;=GK$5),--($CR$7:$FW$7&lt;=GK$6),$CR102:$FW102)*GC102</f>
        <v>0</v>
      </c>
      <c r="GL102" s="145" cm="1">
        <f t="array" ref="GL102">SUMPRODUCT(--($CR$7:$FW$7&gt;=GL$5),--($CR$7:$FW$7&lt;=GL$6),$CR102:$FW102)*GD102</f>
        <v>0</v>
      </c>
      <c r="GM102" s="145" cm="1">
        <f t="array" ref="GM102">SUMPRODUCT(--($CR$7:$FW$7&gt;=GM$5),--($CR$7:$FW$7&lt;=GM$6),$CR102:$FW102)*GE102</f>
        <v>0</v>
      </c>
      <c r="GN102" s="145" cm="1">
        <f t="array" ref="GN102">SUMPRODUCT(--($CR$7:$FW$7&gt;=GN$5),--($CR$7:$FW$7&lt;=GN$6),$CR102:$FW102)*GF102</f>
        <v>0</v>
      </c>
      <c r="GO102" s="145">
        <f t="shared" si="1"/>
        <v>0</v>
      </c>
      <c r="GP102" s="87"/>
      <c r="GR102" s="145" cm="1">
        <f t="array" ref="GR102">SUMPRODUCT(--($CR$7:$FW$7&gt;=GR$5),--($CR$7:$FW$7&lt;=GR$6),$CR102:$FW102)</f>
        <v>0</v>
      </c>
    </row>
    <row r="103" spans="2:200" x14ac:dyDescent="0.2">
      <c r="B103" s="141"/>
      <c r="C103" s="141"/>
      <c r="D103" s="141"/>
      <c r="E103" s="141"/>
      <c r="F103" s="141"/>
      <c r="G103" s="141"/>
      <c r="H103" s="142"/>
      <c r="I103" s="126"/>
      <c r="J103" s="143"/>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3"/>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c r="EE103" s="145"/>
      <c r="EF103" s="145"/>
      <c r="EG103" s="145"/>
      <c r="EH103" s="145"/>
      <c r="EI103" s="145"/>
      <c r="EJ103" s="145"/>
      <c r="EK103" s="145"/>
      <c r="EL103" s="145"/>
      <c r="EM103" s="145"/>
      <c r="EN103" s="145"/>
      <c r="EO103" s="145"/>
      <c r="EP103" s="145"/>
      <c r="EQ103" s="145"/>
      <c r="ER103" s="145"/>
      <c r="ES103" s="145"/>
      <c r="ET103" s="145"/>
      <c r="EU103" s="145"/>
      <c r="EV103" s="145"/>
      <c r="EW103" s="145"/>
      <c r="EX103" s="145"/>
      <c r="EY103" s="145"/>
      <c r="EZ103" s="145"/>
      <c r="FA103" s="145"/>
      <c r="FB103" s="145"/>
      <c r="FC103" s="145"/>
      <c r="FD103" s="145"/>
      <c r="FE103" s="145"/>
      <c r="FF103" s="145"/>
      <c r="FG103" s="145"/>
      <c r="FH103" s="145"/>
      <c r="FI103" s="145"/>
      <c r="FJ103" s="145"/>
      <c r="FK103" s="145"/>
      <c r="FL103" s="145"/>
      <c r="FM103" s="145"/>
      <c r="FN103" s="145"/>
      <c r="FO103" s="145"/>
      <c r="FP103" s="145"/>
      <c r="FQ103" s="145"/>
      <c r="FR103" s="145"/>
      <c r="FS103" s="145"/>
      <c r="FT103" s="145"/>
      <c r="FU103" s="145"/>
      <c r="FV103" s="145"/>
      <c r="FW103" s="145"/>
      <c r="FX103" s="143"/>
      <c r="FY103" s="146">
        <f>_xlfn.XLOOKUP($E103,'Key assumptions'!$B$112:$B$120,'Key assumptions'!$C$112:$C$120,0)</f>
        <v>0</v>
      </c>
      <c r="FZ103" s="146" cm="1">
        <f t="array" ref="FZ103">IF($FY103=0,0,_xlfn.IFS($FY103='Key assumptions'!$C$120,_xlfn.XLOOKUP(LEFT(FZ$7,6),Inflation_Year,Inflation_NominaltoReal),TRUE,_xlfn.XLOOKUP($FY103,Inflation_Year,NominaltoReal)))</f>
        <v>0</v>
      </c>
      <c r="GA103" s="146" cm="1">
        <f t="array" ref="GA103">IF($FY103=0,0,_xlfn.IFS($FY103='Key assumptions'!$C$120,_xlfn.XLOOKUP(LEFT(GA$7,6),Inflation_Year,Inflation_NominaltoReal),TRUE,_xlfn.XLOOKUP($FY103,Inflation_Year,NominaltoReal)))</f>
        <v>0</v>
      </c>
      <c r="GB103" s="146" cm="1">
        <f t="array" ref="GB103">IF($FY103=0,0,_xlfn.IFS($FY103='Key assumptions'!$C$120,_xlfn.XLOOKUP(LEFT(GB$7,6),Inflation_Year,Inflation_NominaltoReal),TRUE,_xlfn.XLOOKUP($FY103,Inflation_Year,NominaltoReal)))</f>
        <v>0</v>
      </c>
      <c r="GC103" s="146" cm="1">
        <f t="array" ref="GC103">IF($FY103=0,0,_xlfn.IFS($FY103='Key assumptions'!$C$120,_xlfn.XLOOKUP(LEFT(GC$7,6),Inflation_Year,Inflation_NominaltoReal),TRUE,_xlfn.XLOOKUP($FY103,Inflation_Year,NominaltoReal)))</f>
        <v>0</v>
      </c>
      <c r="GD103" s="146" cm="1">
        <f t="array" ref="GD103">IF($FY103=0,0,_xlfn.IFS($FY103='Key assumptions'!$C$120,_xlfn.XLOOKUP(LEFT(GD$7,6),Inflation_Year,Inflation_NominaltoReal),TRUE,_xlfn.XLOOKUP($FY103,Inflation_Year,NominaltoReal)))</f>
        <v>0</v>
      </c>
      <c r="GE103" s="146" cm="1">
        <f t="array" ref="GE103">IF($FY103=0,0,_xlfn.IFS($FY103='Key assumptions'!$C$120,_xlfn.XLOOKUP(LEFT(GE$7,6),Inflation_Year,Inflation_NominaltoReal),TRUE,_xlfn.XLOOKUP($FY103,Inflation_Year,NominaltoReal)))</f>
        <v>0</v>
      </c>
      <c r="GF103" s="146" cm="1">
        <f t="array" ref="GF103">IF($FY103=0,0,_xlfn.IFS($FY103='Key assumptions'!$C$120,_xlfn.XLOOKUP(LEFT(GF$7,6),Inflation_Year,Inflation_NominaltoReal),TRUE,_xlfn.XLOOKUP($FY103,Inflation_Year,NominaltoReal)))</f>
        <v>0</v>
      </c>
      <c r="GG103" s="143"/>
      <c r="GH103" s="145" cm="1">
        <f t="array" ref="GH103">SUMPRODUCT(--($CR$7:$FW$7&gt;=GH$5),--($CR$7:$FW$7&lt;=GH$6),$CR103:$FW103)*FZ103</f>
        <v>0</v>
      </c>
      <c r="GI103" s="145" cm="1">
        <f t="array" ref="GI103">SUMPRODUCT(--($CR$7:$FW$7&gt;=GI$5),--($CR$7:$FW$7&lt;=GI$6),$CR103:$FW103)*GA103</f>
        <v>0</v>
      </c>
      <c r="GJ103" s="145" cm="1">
        <f t="array" ref="GJ103">SUMPRODUCT(--($CR$7:$FW$7&gt;=GJ$5),--($CR$7:$FW$7&lt;=GJ$6),$CR103:$FW103)*GB103</f>
        <v>0</v>
      </c>
      <c r="GK103" s="145" cm="1">
        <f t="array" ref="GK103">SUMPRODUCT(--($CR$7:$FW$7&gt;=GK$5),--($CR$7:$FW$7&lt;=GK$6),$CR103:$FW103)*GC103</f>
        <v>0</v>
      </c>
      <c r="GL103" s="145" cm="1">
        <f t="array" ref="GL103">SUMPRODUCT(--($CR$7:$FW$7&gt;=GL$5),--($CR$7:$FW$7&lt;=GL$6),$CR103:$FW103)*GD103</f>
        <v>0</v>
      </c>
      <c r="GM103" s="145" cm="1">
        <f t="array" ref="GM103">SUMPRODUCT(--($CR$7:$FW$7&gt;=GM$5),--($CR$7:$FW$7&lt;=GM$6),$CR103:$FW103)*GE103</f>
        <v>0</v>
      </c>
      <c r="GN103" s="145" cm="1">
        <f t="array" ref="GN103">SUMPRODUCT(--($CR$7:$FW$7&gt;=GN$5),--($CR$7:$FW$7&lt;=GN$6),$CR103:$FW103)*GF103</f>
        <v>0</v>
      </c>
      <c r="GO103" s="145">
        <f t="shared" si="1"/>
        <v>0</v>
      </c>
      <c r="GP103" s="87"/>
      <c r="GR103" s="145" cm="1">
        <f t="array" ref="GR103">SUMPRODUCT(--($CR$7:$FW$7&gt;=GR$5),--($CR$7:$FW$7&lt;=GR$6),$CR103:$FW103)</f>
        <v>0</v>
      </c>
    </row>
    <row r="104" spans="2:200" x14ac:dyDescent="0.2">
      <c r="B104" s="141"/>
      <c r="C104" s="141"/>
      <c r="D104" s="141"/>
      <c r="E104" s="141"/>
      <c r="F104" s="141"/>
      <c r="G104" s="141"/>
      <c r="H104" s="142"/>
      <c r="I104" s="126"/>
      <c r="J104" s="143"/>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3"/>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c r="EE104" s="145"/>
      <c r="EF104" s="145"/>
      <c r="EG104" s="145"/>
      <c r="EH104" s="145"/>
      <c r="EI104" s="145"/>
      <c r="EJ104" s="145"/>
      <c r="EK104" s="145"/>
      <c r="EL104" s="145"/>
      <c r="EM104" s="145"/>
      <c r="EN104" s="145"/>
      <c r="EO104" s="145"/>
      <c r="EP104" s="145"/>
      <c r="EQ104" s="145"/>
      <c r="ER104" s="145"/>
      <c r="ES104" s="145"/>
      <c r="ET104" s="145"/>
      <c r="EU104" s="145"/>
      <c r="EV104" s="145"/>
      <c r="EW104" s="145"/>
      <c r="EX104" s="145"/>
      <c r="EY104" s="145"/>
      <c r="EZ104" s="145"/>
      <c r="FA104" s="145"/>
      <c r="FB104" s="145"/>
      <c r="FC104" s="145"/>
      <c r="FD104" s="145"/>
      <c r="FE104" s="145"/>
      <c r="FF104" s="145"/>
      <c r="FG104" s="145"/>
      <c r="FH104" s="145"/>
      <c r="FI104" s="145"/>
      <c r="FJ104" s="145"/>
      <c r="FK104" s="145"/>
      <c r="FL104" s="145"/>
      <c r="FM104" s="145"/>
      <c r="FN104" s="145"/>
      <c r="FO104" s="145"/>
      <c r="FP104" s="145"/>
      <c r="FQ104" s="145"/>
      <c r="FR104" s="145"/>
      <c r="FS104" s="145"/>
      <c r="FT104" s="145"/>
      <c r="FU104" s="145"/>
      <c r="FV104" s="145"/>
      <c r="FW104" s="145"/>
      <c r="FX104" s="143"/>
      <c r="FY104" s="146">
        <f>_xlfn.XLOOKUP($E104,'Key assumptions'!$B$112:$B$120,'Key assumptions'!$C$112:$C$120,0)</f>
        <v>0</v>
      </c>
      <c r="FZ104" s="146" cm="1">
        <f t="array" ref="FZ104">IF($FY104=0,0,_xlfn.IFS($FY104='Key assumptions'!$C$120,_xlfn.XLOOKUP(LEFT(FZ$7,6),Inflation_Year,Inflation_NominaltoReal),TRUE,_xlfn.XLOOKUP($FY104,Inflation_Year,NominaltoReal)))</f>
        <v>0</v>
      </c>
      <c r="GA104" s="146" cm="1">
        <f t="array" ref="GA104">IF($FY104=0,0,_xlfn.IFS($FY104='Key assumptions'!$C$120,_xlfn.XLOOKUP(LEFT(GA$7,6),Inflation_Year,Inflation_NominaltoReal),TRUE,_xlfn.XLOOKUP($FY104,Inflation_Year,NominaltoReal)))</f>
        <v>0</v>
      </c>
      <c r="GB104" s="146" cm="1">
        <f t="array" ref="GB104">IF($FY104=0,0,_xlfn.IFS($FY104='Key assumptions'!$C$120,_xlfn.XLOOKUP(LEFT(GB$7,6),Inflation_Year,Inflation_NominaltoReal),TRUE,_xlfn.XLOOKUP($FY104,Inflation_Year,NominaltoReal)))</f>
        <v>0</v>
      </c>
      <c r="GC104" s="146" cm="1">
        <f t="array" ref="GC104">IF($FY104=0,0,_xlfn.IFS($FY104='Key assumptions'!$C$120,_xlfn.XLOOKUP(LEFT(GC$7,6),Inflation_Year,Inflation_NominaltoReal),TRUE,_xlfn.XLOOKUP($FY104,Inflation_Year,NominaltoReal)))</f>
        <v>0</v>
      </c>
      <c r="GD104" s="146" cm="1">
        <f t="array" ref="GD104">IF($FY104=0,0,_xlfn.IFS($FY104='Key assumptions'!$C$120,_xlfn.XLOOKUP(LEFT(GD$7,6),Inflation_Year,Inflation_NominaltoReal),TRUE,_xlfn.XLOOKUP($FY104,Inflation_Year,NominaltoReal)))</f>
        <v>0</v>
      </c>
      <c r="GE104" s="146" cm="1">
        <f t="array" ref="GE104">IF($FY104=0,0,_xlfn.IFS($FY104='Key assumptions'!$C$120,_xlfn.XLOOKUP(LEFT(GE$7,6),Inflation_Year,Inflation_NominaltoReal),TRUE,_xlfn.XLOOKUP($FY104,Inflation_Year,NominaltoReal)))</f>
        <v>0</v>
      </c>
      <c r="GF104" s="146" cm="1">
        <f t="array" ref="GF104">IF($FY104=0,0,_xlfn.IFS($FY104='Key assumptions'!$C$120,_xlfn.XLOOKUP(LEFT(GF$7,6),Inflation_Year,Inflation_NominaltoReal),TRUE,_xlfn.XLOOKUP($FY104,Inflation_Year,NominaltoReal)))</f>
        <v>0</v>
      </c>
      <c r="GG104" s="143"/>
      <c r="GH104" s="145" cm="1">
        <f t="array" ref="GH104">SUMPRODUCT(--($CR$7:$FW$7&gt;=GH$5),--($CR$7:$FW$7&lt;=GH$6),$CR104:$FW104)*FZ104</f>
        <v>0</v>
      </c>
      <c r="GI104" s="145" cm="1">
        <f t="array" ref="GI104">SUMPRODUCT(--($CR$7:$FW$7&gt;=GI$5),--($CR$7:$FW$7&lt;=GI$6),$CR104:$FW104)*GA104</f>
        <v>0</v>
      </c>
      <c r="GJ104" s="145" cm="1">
        <f t="array" ref="GJ104">SUMPRODUCT(--($CR$7:$FW$7&gt;=GJ$5),--($CR$7:$FW$7&lt;=GJ$6),$CR104:$FW104)*GB104</f>
        <v>0</v>
      </c>
      <c r="GK104" s="145" cm="1">
        <f t="array" ref="GK104">SUMPRODUCT(--($CR$7:$FW$7&gt;=GK$5),--($CR$7:$FW$7&lt;=GK$6),$CR104:$FW104)*GC104</f>
        <v>0</v>
      </c>
      <c r="GL104" s="145" cm="1">
        <f t="array" ref="GL104">SUMPRODUCT(--($CR$7:$FW$7&gt;=GL$5),--($CR$7:$FW$7&lt;=GL$6),$CR104:$FW104)*GD104</f>
        <v>0</v>
      </c>
      <c r="GM104" s="145" cm="1">
        <f t="array" ref="GM104">SUMPRODUCT(--($CR$7:$FW$7&gt;=GM$5),--($CR$7:$FW$7&lt;=GM$6),$CR104:$FW104)*GE104</f>
        <v>0</v>
      </c>
      <c r="GN104" s="145" cm="1">
        <f t="array" ref="GN104">SUMPRODUCT(--($CR$7:$FW$7&gt;=GN$5),--($CR$7:$FW$7&lt;=GN$6),$CR104:$FW104)*GF104</f>
        <v>0</v>
      </c>
      <c r="GO104" s="145">
        <f t="shared" si="1"/>
        <v>0</v>
      </c>
      <c r="GP104" s="87"/>
      <c r="GR104" s="145" cm="1">
        <f t="array" ref="GR104">SUMPRODUCT(--($CR$7:$FW$7&gt;=GR$5),--($CR$7:$FW$7&lt;=GR$6),$CR104:$FW104)</f>
        <v>0</v>
      </c>
    </row>
    <row r="105" spans="2:200" x14ac:dyDescent="0.2">
      <c r="B105" s="141"/>
      <c r="C105" s="141"/>
      <c r="D105" s="141"/>
      <c r="E105" s="141"/>
      <c r="F105" s="141"/>
      <c r="G105" s="141"/>
      <c r="H105" s="142"/>
      <c r="I105" s="126"/>
      <c r="J105" s="143"/>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3"/>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45"/>
      <c r="EH105" s="145"/>
      <c r="EI105" s="145"/>
      <c r="EJ105" s="145"/>
      <c r="EK105" s="145"/>
      <c r="EL105" s="145"/>
      <c r="EM105" s="145"/>
      <c r="EN105" s="145"/>
      <c r="EO105" s="145"/>
      <c r="EP105" s="145"/>
      <c r="EQ105" s="145"/>
      <c r="ER105" s="145"/>
      <c r="ES105" s="145"/>
      <c r="ET105" s="145"/>
      <c r="EU105" s="145"/>
      <c r="EV105" s="145"/>
      <c r="EW105" s="145"/>
      <c r="EX105" s="145"/>
      <c r="EY105" s="145"/>
      <c r="EZ105" s="145"/>
      <c r="FA105" s="145"/>
      <c r="FB105" s="145"/>
      <c r="FC105" s="145"/>
      <c r="FD105" s="145"/>
      <c r="FE105" s="145"/>
      <c r="FF105" s="145"/>
      <c r="FG105" s="145"/>
      <c r="FH105" s="145"/>
      <c r="FI105" s="145"/>
      <c r="FJ105" s="145"/>
      <c r="FK105" s="145"/>
      <c r="FL105" s="145"/>
      <c r="FM105" s="145"/>
      <c r="FN105" s="145"/>
      <c r="FO105" s="145"/>
      <c r="FP105" s="145"/>
      <c r="FQ105" s="145"/>
      <c r="FR105" s="145"/>
      <c r="FS105" s="145"/>
      <c r="FT105" s="145"/>
      <c r="FU105" s="145"/>
      <c r="FV105" s="145"/>
      <c r="FW105" s="145"/>
      <c r="FX105" s="143"/>
      <c r="FY105" s="146">
        <f>_xlfn.XLOOKUP($E105,'Key assumptions'!$B$112:$B$120,'Key assumptions'!$C$112:$C$120,0)</f>
        <v>0</v>
      </c>
      <c r="FZ105" s="146" cm="1">
        <f t="array" ref="FZ105">IF($FY105=0,0,_xlfn.IFS($FY105='Key assumptions'!$C$120,_xlfn.XLOOKUP(LEFT(FZ$7,6),Inflation_Year,Inflation_NominaltoReal),TRUE,_xlfn.XLOOKUP($FY105,Inflation_Year,NominaltoReal)))</f>
        <v>0</v>
      </c>
      <c r="GA105" s="146" cm="1">
        <f t="array" ref="GA105">IF($FY105=0,0,_xlfn.IFS($FY105='Key assumptions'!$C$120,_xlfn.XLOOKUP(LEFT(GA$7,6),Inflation_Year,Inflation_NominaltoReal),TRUE,_xlfn.XLOOKUP($FY105,Inflation_Year,NominaltoReal)))</f>
        <v>0</v>
      </c>
      <c r="GB105" s="146" cm="1">
        <f t="array" ref="GB105">IF($FY105=0,0,_xlfn.IFS($FY105='Key assumptions'!$C$120,_xlfn.XLOOKUP(LEFT(GB$7,6),Inflation_Year,Inflation_NominaltoReal),TRUE,_xlfn.XLOOKUP($FY105,Inflation_Year,NominaltoReal)))</f>
        <v>0</v>
      </c>
      <c r="GC105" s="146" cm="1">
        <f t="array" ref="GC105">IF($FY105=0,0,_xlfn.IFS($FY105='Key assumptions'!$C$120,_xlfn.XLOOKUP(LEFT(GC$7,6),Inflation_Year,Inflation_NominaltoReal),TRUE,_xlfn.XLOOKUP($FY105,Inflation_Year,NominaltoReal)))</f>
        <v>0</v>
      </c>
      <c r="GD105" s="146" cm="1">
        <f t="array" ref="GD105">IF($FY105=0,0,_xlfn.IFS($FY105='Key assumptions'!$C$120,_xlfn.XLOOKUP(LEFT(GD$7,6),Inflation_Year,Inflation_NominaltoReal),TRUE,_xlfn.XLOOKUP($FY105,Inflation_Year,NominaltoReal)))</f>
        <v>0</v>
      </c>
      <c r="GE105" s="146" cm="1">
        <f t="array" ref="GE105">IF($FY105=0,0,_xlfn.IFS($FY105='Key assumptions'!$C$120,_xlfn.XLOOKUP(LEFT(GE$7,6),Inflation_Year,Inflation_NominaltoReal),TRUE,_xlfn.XLOOKUP($FY105,Inflation_Year,NominaltoReal)))</f>
        <v>0</v>
      </c>
      <c r="GF105" s="146" cm="1">
        <f t="array" ref="GF105">IF($FY105=0,0,_xlfn.IFS($FY105='Key assumptions'!$C$120,_xlfn.XLOOKUP(LEFT(GF$7,6),Inflation_Year,Inflation_NominaltoReal),TRUE,_xlfn.XLOOKUP($FY105,Inflation_Year,NominaltoReal)))</f>
        <v>0</v>
      </c>
      <c r="GG105" s="143"/>
      <c r="GH105" s="145" cm="1">
        <f t="array" ref="GH105">SUMPRODUCT(--($CR$7:$FW$7&gt;=GH$5),--($CR$7:$FW$7&lt;=GH$6),$CR105:$FW105)*FZ105</f>
        <v>0</v>
      </c>
      <c r="GI105" s="145" cm="1">
        <f t="array" ref="GI105">SUMPRODUCT(--($CR$7:$FW$7&gt;=GI$5),--($CR$7:$FW$7&lt;=GI$6),$CR105:$FW105)*GA105</f>
        <v>0</v>
      </c>
      <c r="GJ105" s="145" cm="1">
        <f t="array" ref="GJ105">SUMPRODUCT(--($CR$7:$FW$7&gt;=GJ$5),--($CR$7:$FW$7&lt;=GJ$6),$CR105:$FW105)*GB105</f>
        <v>0</v>
      </c>
      <c r="GK105" s="145" cm="1">
        <f t="array" ref="GK105">SUMPRODUCT(--($CR$7:$FW$7&gt;=GK$5),--($CR$7:$FW$7&lt;=GK$6),$CR105:$FW105)*GC105</f>
        <v>0</v>
      </c>
      <c r="GL105" s="145" cm="1">
        <f t="array" ref="GL105">SUMPRODUCT(--($CR$7:$FW$7&gt;=GL$5),--($CR$7:$FW$7&lt;=GL$6),$CR105:$FW105)*GD105</f>
        <v>0</v>
      </c>
      <c r="GM105" s="145" cm="1">
        <f t="array" ref="GM105">SUMPRODUCT(--($CR$7:$FW$7&gt;=GM$5),--($CR$7:$FW$7&lt;=GM$6),$CR105:$FW105)*GE105</f>
        <v>0</v>
      </c>
      <c r="GN105" s="145" cm="1">
        <f t="array" ref="GN105">SUMPRODUCT(--($CR$7:$FW$7&gt;=GN$5),--($CR$7:$FW$7&lt;=GN$6),$CR105:$FW105)*GF105</f>
        <v>0</v>
      </c>
      <c r="GO105" s="145">
        <f t="shared" si="1"/>
        <v>0</v>
      </c>
      <c r="GP105" s="87"/>
      <c r="GR105" s="145" cm="1">
        <f t="array" ref="GR105">SUMPRODUCT(--($CR$7:$FW$7&gt;=GR$5),--($CR$7:$FW$7&lt;=GR$6),$CR105:$FW105)</f>
        <v>0</v>
      </c>
    </row>
    <row r="106" spans="2:200" x14ac:dyDescent="0.2">
      <c r="B106" s="141"/>
      <c r="C106" s="141"/>
      <c r="D106" s="141"/>
      <c r="E106" s="141"/>
      <c r="F106" s="141"/>
      <c r="G106" s="141"/>
      <c r="H106" s="142"/>
      <c r="I106" s="126"/>
      <c r="J106" s="143"/>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3"/>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c r="EE106" s="145"/>
      <c r="EF106" s="145"/>
      <c r="EG106" s="145"/>
      <c r="EH106" s="145"/>
      <c r="EI106" s="145"/>
      <c r="EJ106" s="145"/>
      <c r="EK106" s="145"/>
      <c r="EL106" s="145"/>
      <c r="EM106" s="145"/>
      <c r="EN106" s="145"/>
      <c r="EO106" s="145"/>
      <c r="EP106" s="145"/>
      <c r="EQ106" s="145"/>
      <c r="ER106" s="145"/>
      <c r="ES106" s="145"/>
      <c r="ET106" s="145"/>
      <c r="EU106" s="145"/>
      <c r="EV106" s="145"/>
      <c r="EW106" s="145"/>
      <c r="EX106" s="145"/>
      <c r="EY106" s="145"/>
      <c r="EZ106" s="145"/>
      <c r="FA106" s="145"/>
      <c r="FB106" s="145"/>
      <c r="FC106" s="145"/>
      <c r="FD106" s="145"/>
      <c r="FE106" s="145"/>
      <c r="FF106" s="145"/>
      <c r="FG106" s="145"/>
      <c r="FH106" s="145"/>
      <c r="FI106" s="145"/>
      <c r="FJ106" s="145"/>
      <c r="FK106" s="145"/>
      <c r="FL106" s="145"/>
      <c r="FM106" s="145"/>
      <c r="FN106" s="145"/>
      <c r="FO106" s="145"/>
      <c r="FP106" s="145"/>
      <c r="FQ106" s="145"/>
      <c r="FR106" s="145"/>
      <c r="FS106" s="145"/>
      <c r="FT106" s="145"/>
      <c r="FU106" s="145"/>
      <c r="FV106" s="145"/>
      <c r="FW106" s="145"/>
      <c r="FX106" s="143"/>
      <c r="FY106" s="146">
        <f>_xlfn.XLOOKUP($E106,'Key assumptions'!$B$112:$B$120,'Key assumptions'!$C$112:$C$120,0)</f>
        <v>0</v>
      </c>
      <c r="FZ106" s="146" cm="1">
        <f t="array" ref="FZ106">IF($FY106=0,0,_xlfn.IFS($FY106='Key assumptions'!$C$120,_xlfn.XLOOKUP(LEFT(FZ$7,6),Inflation_Year,Inflation_NominaltoReal),TRUE,_xlfn.XLOOKUP($FY106,Inflation_Year,NominaltoReal)))</f>
        <v>0</v>
      </c>
      <c r="GA106" s="146" cm="1">
        <f t="array" ref="GA106">IF($FY106=0,0,_xlfn.IFS($FY106='Key assumptions'!$C$120,_xlfn.XLOOKUP(LEFT(GA$7,6),Inflation_Year,Inflation_NominaltoReal),TRUE,_xlfn.XLOOKUP($FY106,Inflation_Year,NominaltoReal)))</f>
        <v>0</v>
      </c>
      <c r="GB106" s="146" cm="1">
        <f t="array" ref="GB106">IF($FY106=0,0,_xlfn.IFS($FY106='Key assumptions'!$C$120,_xlfn.XLOOKUP(LEFT(GB$7,6),Inflation_Year,Inflation_NominaltoReal),TRUE,_xlfn.XLOOKUP($FY106,Inflation_Year,NominaltoReal)))</f>
        <v>0</v>
      </c>
      <c r="GC106" s="146" cm="1">
        <f t="array" ref="GC106">IF($FY106=0,0,_xlfn.IFS($FY106='Key assumptions'!$C$120,_xlfn.XLOOKUP(LEFT(GC$7,6),Inflation_Year,Inflation_NominaltoReal),TRUE,_xlfn.XLOOKUP($FY106,Inflation_Year,NominaltoReal)))</f>
        <v>0</v>
      </c>
      <c r="GD106" s="146" cm="1">
        <f t="array" ref="GD106">IF($FY106=0,0,_xlfn.IFS($FY106='Key assumptions'!$C$120,_xlfn.XLOOKUP(LEFT(GD$7,6),Inflation_Year,Inflation_NominaltoReal),TRUE,_xlfn.XLOOKUP($FY106,Inflation_Year,NominaltoReal)))</f>
        <v>0</v>
      </c>
      <c r="GE106" s="146" cm="1">
        <f t="array" ref="GE106">IF($FY106=0,0,_xlfn.IFS($FY106='Key assumptions'!$C$120,_xlfn.XLOOKUP(LEFT(GE$7,6),Inflation_Year,Inflation_NominaltoReal),TRUE,_xlfn.XLOOKUP($FY106,Inflation_Year,NominaltoReal)))</f>
        <v>0</v>
      </c>
      <c r="GF106" s="146" cm="1">
        <f t="array" ref="GF106">IF($FY106=0,0,_xlfn.IFS($FY106='Key assumptions'!$C$120,_xlfn.XLOOKUP(LEFT(GF$7,6),Inflation_Year,Inflation_NominaltoReal),TRUE,_xlfn.XLOOKUP($FY106,Inflation_Year,NominaltoReal)))</f>
        <v>0</v>
      </c>
      <c r="GG106" s="143"/>
      <c r="GH106" s="145" cm="1">
        <f t="array" ref="GH106">SUMPRODUCT(--($CR$7:$FW$7&gt;=GH$5),--($CR$7:$FW$7&lt;=GH$6),$CR106:$FW106)*FZ106</f>
        <v>0</v>
      </c>
      <c r="GI106" s="145" cm="1">
        <f t="array" ref="GI106">SUMPRODUCT(--($CR$7:$FW$7&gt;=GI$5),--($CR$7:$FW$7&lt;=GI$6),$CR106:$FW106)*GA106</f>
        <v>0</v>
      </c>
      <c r="GJ106" s="145" cm="1">
        <f t="array" ref="GJ106">SUMPRODUCT(--($CR$7:$FW$7&gt;=GJ$5),--($CR$7:$FW$7&lt;=GJ$6),$CR106:$FW106)*GB106</f>
        <v>0</v>
      </c>
      <c r="GK106" s="145" cm="1">
        <f t="array" ref="GK106">SUMPRODUCT(--($CR$7:$FW$7&gt;=GK$5),--($CR$7:$FW$7&lt;=GK$6),$CR106:$FW106)*GC106</f>
        <v>0</v>
      </c>
      <c r="GL106" s="145" cm="1">
        <f t="array" ref="GL106">SUMPRODUCT(--($CR$7:$FW$7&gt;=GL$5),--($CR$7:$FW$7&lt;=GL$6),$CR106:$FW106)*GD106</f>
        <v>0</v>
      </c>
      <c r="GM106" s="145" cm="1">
        <f t="array" ref="GM106">SUMPRODUCT(--($CR$7:$FW$7&gt;=GM$5),--($CR$7:$FW$7&lt;=GM$6),$CR106:$FW106)*GE106</f>
        <v>0</v>
      </c>
      <c r="GN106" s="145" cm="1">
        <f t="array" ref="GN106">SUMPRODUCT(--($CR$7:$FW$7&gt;=GN$5),--($CR$7:$FW$7&lt;=GN$6),$CR106:$FW106)*GF106</f>
        <v>0</v>
      </c>
      <c r="GO106" s="145">
        <f t="shared" si="1"/>
        <v>0</v>
      </c>
      <c r="GP106" s="87"/>
      <c r="GR106" s="145" cm="1">
        <f t="array" ref="GR106">SUMPRODUCT(--($CR$7:$FW$7&gt;=GR$5),--($CR$7:$FW$7&lt;=GR$6),$CR106:$FW106)</f>
        <v>0</v>
      </c>
    </row>
    <row r="107" spans="2:200" x14ac:dyDescent="0.2">
      <c r="B107" s="141"/>
      <c r="C107" s="141"/>
      <c r="D107" s="141"/>
      <c r="E107" s="141"/>
      <c r="F107" s="141"/>
      <c r="G107" s="141"/>
      <c r="H107" s="142"/>
      <c r="I107" s="126"/>
      <c r="J107" s="143"/>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3"/>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c r="EE107" s="145"/>
      <c r="EF107" s="145"/>
      <c r="EG107" s="145"/>
      <c r="EH107" s="145"/>
      <c r="EI107" s="145"/>
      <c r="EJ107" s="145"/>
      <c r="EK107" s="145"/>
      <c r="EL107" s="145"/>
      <c r="EM107" s="145"/>
      <c r="EN107" s="145"/>
      <c r="EO107" s="145"/>
      <c r="EP107" s="145"/>
      <c r="EQ107" s="145"/>
      <c r="ER107" s="145"/>
      <c r="ES107" s="145"/>
      <c r="ET107" s="145"/>
      <c r="EU107" s="145"/>
      <c r="EV107" s="145"/>
      <c r="EW107" s="145"/>
      <c r="EX107" s="145"/>
      <c r="EY107" s="145"/>
      <c r="EZ107" s="145"/>
      <c r="FA107" s="145"/>
      <c r="FB107" s="145"/>
      <c r="FC107" s="145"/>
      <c r="FD107" s="145"/>
      <c r="FE107" s="145"/>
      <c r="FF107" s="145"/>
      <c r="FG107" s="145"/>
      <c r="FH107" s="145"/>
      <c r="FI107" s="145"/>
      <c r="FJ107" s="145"/>
      <c r="FK107" s="145"/>
      <c r="FL107" s="145"/>
      <c r="FM107" s="145"/>
      <c r="FN107" s="145"/>
      <c r="FO107" s="145"/>
      <c r="FP107" s="145"/>
      <c r="FQ107" s="145"/>
      <c r="FR107" s="145"/>
      <c r="FS107" s="145"/>
      <c r="FT107" s="145"/>
      <c r="FU107" s="145"/>
      <c r="FV107" s="145"/>
      <c r="FW107" s="145"/>
      <c r="FX107" s="143"/>
      <c r="FY107" s="146">
        <f>_xlfn.XLOOKUP($E107,'Key assumptions'!$B$112:$B$120,'Key assumptions'!$C$112:$C$120,0)</f>
        <v>0</v>
      </c>
      <c r="FZ107" s="146" cm="1">
        <f t="array" ref="FZ107">IF($FY107=0,0,_xlfn.IFS($FY107='Key assumptions'!$C$120,_xlfn.XLOOKUP(LEFT(FZ$7,6),Inflation_Year,Inflation_NominaltoReal),TRUE,_xlfn.XLOOKUP($FY107,Inflation_Year,NominaltoReal)))</f>
        <v>0</v>
      </c>
      <c r="GA107" s="146" cm="1">
        <f t="array" ref="GA107">IF($FY107=0,0,_xlfn.IFS($FY107='Key assumptions'!$C$120,_xlfn.XLOOKUP(LEFT(GA$7,6),Inflation_Year,Inflation_NominaltoReal),TRUE,_xlfn.XLOOKUP($FY107,Inflation_Year,NominaltoReal)))</f>
        <v>0</v>
      </c>
      <c r="GB107" s="146" cm="1">
        <f t="array" ref="GB107">IF($FY107=0,0,_xlfn.IFS($FY107='Key assumptions'!$C$120,_xlfn.XLOOKUP(LEFT(GB$7,6),Inflation_Year,Inflation_NominaltoReal),TRUE,_xlfn.XLOOKUP($FY107,Inflation_Year,NominaltoReal)))</f>
        <v>0</v>
      </c>
      <c r="GC107" s="146" cm="1">
        <f t="array" ref="GC107">IF($FY107=0,0,_xlfn.IFS($FY107='Key assumptions'!$C$120,_xlfn.XLOOKUP(LEFT(GC$7,6),Inflation_Year,Inflation_NominaltoReal),TRUE,_xlfn.XLOOKUP($FY107,Inflation_Year,NominaltoReal)))</f>
        <v>0</v>
      </c>
      <c r="GD107" s="146" cm="1">
        <f t="array" ref="GD107">IF($FY107=0,0,_xlfn.IFS($FY107='Key assumptions'!$C$120,_xlfn.XLOOKUP(LEFT(GD$7,6),Inflation_Year,Inflation_NominaltoReal),TRUE,_xlfn.XLOOKUP($FY107,Inflation_Year,NominaltoReal)))</f>
        <v>0</v>
      </c>
      <c r="GE107" s="146" cm="1">
        <f t="array" ref="GE107">IF($FY107=0,0,_xlfn.IFS($FY107='Key assumptions'!$C$120,_xlfn.XLOOKUP(LEFT(GE$7,6),Inflation_Year,Inflation_NominaltoReal),TRUE,_xlfn.XLOOKUP($FY107,Inflation_Year,NominaltoReal)))</f>
        <v>0</v>
      </c>
      <c r="GF107" s="146" cm="1">
        <f t="array" ref="GF107">IF($FY107=0,0,_xlfn.IFS($FY107='Key assumptions'!$C$120,_xlfn.XLOOKUP(LEFT(GF$7,6),Inflation_Year,Inflation_NominaltoReal),TRUE,_xlfn.XLOOKUP($FY107,Inflation_Year,NominaltoReal)))</f>
        <v>0</v>
      </c>
      <c r="GG107" s="143"/>
      <c r="GH107" s="145" cm="1">
        <f t="array" ref="GH107">SUMPRODUCT(--($CR$7:$FW$7&gt;=GH$5),--($CR$7:$FW$7&lt;=GH$6),$CR107:$FW107)*FZ107</f>
        <v>0</v>
      </c>
      <c r="GI107" s="145" cm="1">
        <f t="array" ref="GI107">SUMPRODUCT(--($CR$7:$FW$7&gt;=GI$5),--($CR$7:$FW$7&lt;=GI$6),$CR107:$FW107)*GA107</f>
        <v>0</v>
      </c>
      <c r="GJ107" s="145" cm="1">
        <f t="array" ref="GJ107">SUMPRODUCT(--($CR$7:$FW$7&gt;=GJ$5),--($CR$7:$FW$7&lt;=GJ$6),$CR107:$FW107)*GB107</f>
        <v>0</v>
      </c>
      <c r="GK107" s="145" cm="1">
        <f t="array" ref="GK107">SUMPRODUCT(--($CR$7:$FW$7&gt;=GK$5),--($CR$7:$FW$7&lt;=GK$6),$CR107:$FW107)*GC107</f>
        <v>0</v>
      </c>
      <c r="GL107" s="145" cm="1">
        <f t="array" ref="GL107">SUMPRODUCT(--($CR$7:$FW$7&gt;=GL$5),--($CR$7:$FW$7&lt;=GL$6),$CR107:$FW107)*GD107</f>
        <v>0</v>
      </c>
      <c r="GM107" s="145" cm="1">
        <f t="array" ref="GM107">SUMPRODUCT(--($CR$7:$FW$7&gt;=GM$5),--($CR$7:$FW$7&lt;=GM$6),$CR107:$FW107)*GE107</f>
        <v>0</v>
      </c>
      <c r="GN107" s="145" cm="1">
        <f t="array" ref="GN107">SUMPRODUCT(--($CR$7:$FW$7&gt;=GN$5),--($CR$7:$FW$7&lt;=GN$6),$CR107:$FW107)*GF107</f>
        <v>0</v>
      </c>
      <c r="GO107" s="145">
        <f t="shared" si="1"/>
        <v>0</v>
      </c>
      <c r="GP107" s="87"/>
      <c r="GR107" s="145" cm="1">
        <f t="array" ref="GR107">SUMPRODUCT(--($CR$7:$FW$7&gt;=GR$5),--($CR$7:$FW$7&lt;=GR$6),$CR107:$FW107)</f>
        <v>0</v>
      </c>
    </row>
    <row r="108" spans="2:200" x14ac:dyDescent="0.2">
      <c r="B108" s="141"/>
      <c r="C108" s="141"/>
      <c r="D108" s="141"/>
      <c r="E108" s="141"/>
      <c r="F108" s="141"/>
      <c r="G108" s="141"/>
      <c r="H108" s="142"/>
      <c r="I108" s="126"/>
      <c r="J108" s="143"/>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3"/>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c r="EE108" s="145"/>
      <c r="EF108" s="145"/>
      <c r="EG108" s="145"/>
      <c r="EH108" s="145"/>
      <c r="EI108" s="145"/>
      <c r="EJ108" s="145"/>
      <c r="EK108" s="145"/>
      <c r="EL108" s="145"/>
      <c r="EM108" s="145"/>
      <c r="EN108" s="145"/>
      <c r="EO108" s="145"/>
      <c r="EP108" s="145"/>
      <c r="EQ108" s="145"/>
      <c r="ER108" s="145"/>
      <c r="ES108" s="145"/>
      <c r="ET108" s="145"/>
      <c r="EU108" s="145"/>
      <c r="EV108" s="145"/>
      <c r="EW108" s="145"/>
      <c r="EX108" s="145"/>
      <c r="EY108" s="145"/>
      <c r="EZ108" s="145"/>
      <c r="FA108" s="145"/>
      <c r="FB108" s="145"/>
      <c r="FC108" s="145"/>
      <c r="FD108" s="145"/>
      <c r="FE108" s="145"/>
      <c r="FF108" s="145"/>
      <c r="FG108" s="145"/>
      <c r="FH108" s="145"/>
      <c r="FI108" s="145"/>
      <c r="FJ108" s="145"/>
      <c r="FK108" s="145"/>
      <c r="FL108" s="145"/>
      <c r="FM108" s="145"/>
      <c r="FN108" s="145"/>
      <c r="FO108" s="145"/>
      <c r="FP108" s="145"/>
      <c r="FQ108" s="145"/>
      <c r="FR108" s="145"/>
      <c r="FS108" s="145"/>
      <c r="FT108" s="145"/>
      <c r="FU108" s="145"/>
      <c r="FV108" s="145"/>
      <c r="FW108" s="145"/>
      <c r="FX108" s="143"/>
      <c r="FY108" s="146">
        <f>_xlfn.XLOOKUP($E108,'Key assumptions'!$B$112:$B$120,'Key assumptions'!$C$112:$C$120,0)</f>
        <v>0</v>
      </c>
      <c r="FZ108" s="146" cm="1">
        <f t="array" ref="FZ108">IF($FY108=0,0,_xlfn.IFS($FY108='Key assumptions'!$C$120,_xlfn.XLOOKUP(LEFT(FZ$7,6),Inflation_Year,Inflation_NominaltoReal),TRUE,_xlfn.XLOOKUP($FY108,Inflation_Year,NominaltoReal)))</f>
        <v>0</v>
      </c>
      <c r="GA108" s="146" cm="1">
        <f t="array" ref="GA108">IF($FY108=0,0,_xlfn.IFS($FY108='Key assumptions'!$C$120,_xlfn.XLOOKUP(LEFT(GA$7,6),Inflation_Year,Inflation_NominaltoReal),TRUE,_xlfn.XLOOKUP($FY108,Inflation_Year,NominaltoReal)))</f>
        <v>0</v>
      </c>
      <c r="GB108" s="146" cm="1">
        <f t="array" ref="GB108">IF($FY108=0,0,_xlfn.IFS($FY108='Key assumptions'!$C$120,_xlfn.XLOOKUP(LEFT(GB$7,6),Inflation_Year,Inflation_NominaltoReal),TRUE,_xlfn.XLOOKUP($FY108,Inflation_Year,NominaltoReal)))</f>
        <v>0</v>
      </c>
      <c r="GC108" s="146" cm="1">
        <f t="array" ref="GC108">IF($FY108=0,0,_xlfn.IFS($FY108='Key assumptions'!$C$120,_xlfn.XLOOKUP(LEFT(GC$7,6),Inflation_Year,Inflation_NominaltoReal),TRUE,_xlfn.XLOOKUP($FY108,Inflation_Year,NominaltoReal)))</f>
        <v>0</v>
      </c>
      <c r="GD108" s="146" cm="1">
        <f t="array" ref="GD108">IF($FY108=0,0,_xlfn.IFS($FY108='Key assumptions'!$C$120,_xlfn.XLOOKUP(LEFT(GD$7,6),Inflation_Year,Inflation_NominaltoReal),TRUE,_xlfn.XLOOKUP($FY108,Inflation_Year,NominaltoReal)))</f>
        <v>0</v>
      </c>
      <c r="GE108" s="146" cm="1">
        <f t="array" ref="GE108">IF($FY108=0,0,_xlfn.IFS($FY108='Key assumptions'!$C$120,_xlfn.XLOOKUP(LEFT(GE$7,6),Inflation_Year,Inflation_NominaltoReal),TRUE,_xlfn.XLOOKUP($FY108,Inflation_Year,NominaltoReal)))</f>
        <v>0</v>
      </c>
      <c r="GF108" s="146" cm="1">
        <f t="array" ref="GF108">IF($FY108=0,0,_xlfn.IFS($FY108='Key assumptions'!$C$120,_xlfn.XLOOKUP(LEFT(GF$7,6),Inflation_Year,Inflation_NominaltoReal),TRUE,_xlfn.XLOOKUP($FY108,Inflation_Year,NominaltoReal)))</f>
        <v>0</v>
      </c>
      <c r="GG108" s="143"/>
      <c r="GH108" s="145" cm="1">
        <f t="array" ref="GH108">SUMPRODUCT(--($CR$7:$FW$7&gt;=GH$5),--($CR$7:$FW$7&lt;=GH$6),$CR108:$FW108)*FZ108</f>
        <v>0</v>
      </c>
      <c r="GI108" s="145" cm="1">
        <f t="array" ref="GI108">SUMPRODUCT(--($CR$7:$FW$7&gt;=GI$5),--($CR$7:$FW$7&lt;=GI$6),$CR108:$FW108)*GA108</f>
        <v>0</v>
      </c>
      <c r="GJ108" s="145" cm="1">
        <f t="array" ref="GJ108">SUMPRODUCT(--($CR$7:$FW$7&gt;=GJ$5),--($CR$7:$FW$7&lt;=GJ$6),$CR108:$FW108)*GB108</f>
        <v>0</v>
      </c>
      <c r="GK108" s="145" cm="1">
        <f t="array" ref="GK108">SUMPRODUCT(--($CR$7:$FW$7&gt;=GK$5),--($CR$7:$FW$7&lt;=GK$6),$CR108:$FW108)*GC108</f>
        <v>0</v>
      </c>
      <c r="GL108" s="145" cm="1">
        <f t="array" ref="GL108">SUMPRODUCT(--($CR$7:$FW$7&gt;=GL$5),--($CR$7:$FW$7&lt;=GL$6),$CR108:$FW108)*GD108</f>
        <v>0</v>
      </c>
      <c r="GM108" s="145" cm="1">
        <f t="array" ref="GM108">SUMPRODUCT(--($CR$7:$FW$7&gt;=GM$5),--($CR$7:$FW$7&lt;=GM$6),$CR108:$FW108)*GE108</f>
        <v>0</v>
      </c>
      <c r="GN108" s="145" cm="1">
        <f t="array" ref="GN108">SUMPRODUCT(--($CR$7:$FW$7&gt;=GN$5),--($CR$7:$FW$7&lt;=GN$6),$CR108:$FW108)*GF108</f>
        <v>0</v>
      </c>
      <c r="GO108" s="145">
        <f t="shared" si="1"/>
        <v>0</v>
      </c>
      <c r="GP108" s="87"/>
      <c r="GR108" s="145" cm="1">
        <f t="array" ref="GR108">SUMPRODUCT(--($CR$7:$FW$7&gt;=GR$5),--($CR$7:$FW$7&lt;=GR$6),$CR108:$FW108)</f>
        <v>0</v>
      </c>
    </row>
    <row r="109" spans="2:200" x14ac:dyDescent="0.2">
      <c r="B109" s="141"/>
      <c r="C109" s="141"/>
      <c r="D109" s="141"/>
      <c r="E109" s="141"/>
      <c r="F109" s="141"/>
      <c r="G109" s="141"/>
      <c r="H109" s="142"/>
      <c r="I109" s="126"/>
      <c r="J109" s="143"/>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3"/>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5"/>
      <c r="EU109" s="145"/>
      <c r="EV109" s="145"/>
      <c r="EW109" s="145"/>
      <c r="EX109" s="145"/>
      <c r="EY109" s="145"/>
      <c r="EZ109" s="145"/>
      <c r="FA109" s="145"/>
      <c r="FB109" s="145"/>
      <c r="FC109" s="145"/>
      <c r="FD109" s="145"/>
      <c r="FE109" s="145"/>
      <c r="FF109" s="145"/>
      <c r="FG109" s="145"/>
      <c r="FH109" s="145"/>
      <c r="FI109" s="145"/>
      <c r="FJ109" s="145"/>
      <c r="FK109" s="145"/>
      <c r="FL109" s="145"/>
      <c r="FM109" s="145"/>
      <c r="FN109" s="145"/>
      <c r="FO109" s="145"/>
      <c r="FP109" s="145"/>
      <c r="FQ109" s="145"/>
      <c r="FR109" s="145"/>
      <c r="FS109" s="145"/>
      <c r="FT109" s="145"/>
      <c r="FU109" s="145"/>
      <c r="FV109" s="145"/>
      <c r="FW109" s="145"/>
      <c r="FX109" s="143"/>
      <c r="FY109" s="146">
        <f>_xlfn.XLOOKUP($E109,'Key assumptions'!$B$112:$B$120,'Key assumptions'!$C$112:$C$120,0)</f>
        <v>0</v>
      </c>
      <c r="FZ109" s="146" cm="1">
        <f t="array" ref="FZ109">IF($FY109=0,0,_xlfn.IFS($FY109='Key assumptions'!$C$120,_xlfn.XLOOKUP(LEFT(FZ$7,6),Inflation_Year,Inflation_NominaltoReal),TRUE,_xlfn.XLOOKUP($FY109,Inflation_Year,NominaltoReal)))</f>
        <v>0</v>
      </c>
      <c r="GA109" s="146" cm="1">
        <f t="array" ref="GA109">IF($FY109=0,0,_xlfn.IFS($FY109='Key assumptions'!$C$120,_xlfn.XLOOKUP(LEFT(GA$7,6),Inflation_Year,Inflation_NominaltoReal),TRUE,_xlfn.XLOOKUP($FY109,Inflation_Year,NominaltoReal)))</f>
        <v>0</v>
      </c>
      <c r="GB109" s="146" cm="1">
        <f t="array" ref="GB109">IF($FY109=0,0,_xlfn.IFS($FY109='Key assumptions'!$C$120,_xlfn.XLOOKUP(LEFT(GB$7,6),Inflation_Year,Inflation_NominaltoReal),TRUE,_xlfn.XLOOKUP($FY109,Inflation_Year,NominaltoReal)))</f>
        <v>0</v>
      </c>
      <c r="GC109" s="146" cm="1">
        <f t="array" ref="GC109">IF($FY109=0,0,_xlfn.IFS($FY109='Key assumptions'!$C$120,_xlfn.XLOOKUP(LEFT(GC$7,6),Inflation_Year,Inflation_NominaltoReal),TRUE,_xlfn.XLOOKUP($FY109,Inflation_Year,NominaltoReal)))</f>
        <v>0</v>
      </c>
      <c r="GD109" s="146" cm="1">
        <f t="array" ref="GD109">IF($FY109=0,0,_xlfn.IFS($FY109='Key assumptions'!$C$120,_xlfn.XLOOKUP(LEFT(GD$7,6),Inflation_Year,Inflation_NominaltoReal),TRUE,_xlfn.XLOOKUP($FY109,Inflation_Year,NominaltoReal)))</f>
        <v>0</v>
      </c>
      <c r="GE109" s="146" cm="1">
        <f t="array" ref="GE109">IF($FY109=0,0,_xlfn.IFS($FY109='Key assumptions'!$C$120,_xlfn.XLOOKUP(LEFT(GE$7,6),Inflation_Year,Inflation_NominaltoReal),TRUE,_xlfn.XLOOKUP($FY109,Inflation_Year,NominaltoReal)))</f>
        <v>0</v>
      </c>
      <c r="GF109" s="146" cm="1">
        <f t="array" ref="GF109">IF($FY109=0,0,_xlfn.IFS($FY109='Key assumptions'!$C$120,_xlfn.XLOOKUP(LEFT(GF$7,6),Inflation_Year,Inflation_NominaltoReal),TRUE,_xlfn.XLOOKUP($FY109,Inflation_Year,NominaltoReal)))</f>
        <v>0</v>
      </c>
      <c r="GG109" s="143"/>
      <c r="GH109" s="145" cm="1">
        <f t="array" ref="GH109">SUMPRODUCT(--($CR$7:$FW$7&gt;=GH$5),--($CR$7:$FW$7&lt;=GH$6),$CR109:$FW109)*FZ109</f>
        <v>0</v>
      </c>
      <c r="GI109" s="145" cm="1">
        <f t="array" ref="GI109">SUMPRODUCT(--($CR$7:$FW$7&gt;=GI$5),--($CR$7:$FW$7&lt;=GI$6),$CR109:$FW109)*GA109</f>
        <v>0</v>
      </c>
      <c r="GJ109" s="145" cm="1">
        <f t="array" ref="GJ109">SUMPRODUCT(--($CR$7:$FW$7&gt;=GJ$5),--($CR$7:$FW$7&lt;=GJ$6),$CR109:$FW109)*GB109</f>
        <v>0</v>
      </c>
      <c r="GK109" s="145" cm="1">
        <f t="array" ref="GK109">SUMPRODUCT(--($CR$7:$FW$7&gt;=GK$5),--($CR$7:$FW$7&lt;=GK$6),$CR109:$FW109)*GC109</f>
        <v>0</v>
      </c>
      <c r="GL109" s="145" cm="1">
        <f t="array" ref="GL109">SUMPRODUCT(--($CR$7:$FW$7&gt;=GL$5),--($CR$7:$FW$7&lt;=GL$6),$CR109:$FW109)*GD109</f>
        <v>0</v>
      </c>
      <c r="GM109" s="145" cm="1">
        <f t="array" ref="GM109">SUMPRODUCT(--($CR$7:$FW$7&gt;=GM$5),--($CR$7:$FW$7&lt;=GM$6),$CR109:$FW109)*GE109</f>
        <v>0</v>
      </c>
      <c r="GN109" s="145" cm="1">
        <f t="array" ref="GN109">SUMPRODUCT(--($CR$7:$FW$7&gt;=GN$5),--($CR$7:$FW$7&lt;=GN$6),$CR109:$FW109)*GF109</f>
        <v>0</v>
      </c>
      <c r="GO109" s="145">
        <f t="shared" si="1"/>
        <v>0</v>
      </c>
      <c r="GP109" s="87"/>
      <c r="GR109" s="145" cm="1">
        <f t="array" ref="GR109">SUMPRODUCT(--($CR$7:$FW$7&gt;=GR$5),--($CR$7:$FW$7&lt;=GR$6),$CR109:$FW109)</f>
        <v>0</v>
      </c>
    </row>
    <row r="110" spans="2:200" x14ac:dyDescent="0.2">
      <c r="B110" s="141"/>
      <c r="C110" s="141"/>
      <c r="D110" s="141"/>
      <c r="E110" s="141"/>
      <c r="F110" s="141"/>
      <c r="G110" s="141"/>
      <c r="H110" s="142"/>
      <c r="I110" s="126"/>
      <c r="J110" s="143"/>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3"/>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c r="EE110" s="145"/>
      <c r="EF110" s="145"/>
      <c r="EG110" s="145"/>
      <c r="EH110" s="145"/>
      <c r="EI110" s="145"/>
      <c r="EJ110" s="145"/>
      <c r="EK110" s="145"/>
      <c r="EL110" s="145"/>
      <c r="EM110" s="145"/>
      <c r="EN110" s="145"/>
      <c r="EO110" s="145"/>
      <c r="EP110" s="145"/>
      <c r="EQ110" s="145"/>
      <c r="ER110" s="145"/>
      <c r="ES110" s="145"/>
      <c r="ET110" s="145"/>
      <c r="EU110" s="145"/>
      <c r="EV110" s="145"/>
      <c r="EW110" s="145"/>
      <c r="EX110" s="145"/>
      <c r="EY110" s="145"/>
      <c r="EZ110" s="145"/>
      <c r="FA110" s="145"/>
      <c r="FB110" s="145"/>
      <c r="FC110" s="145"/>
      <c r="FD110" s="145"/>
      <c r="FE110" s="145"/>
      <c r="FF110" s="145"/>
      <c r="FG110" s="145"/>
      <c r="FH110" s="145"/>
      <c r="FI110" s="145"/>
      <c r="FJ110" s="145"/>
      <c r="FK110" s="145"/>
      <c r="FL110" s="145"/>
      <c r="FM110" s="145"/>
      <c r="FN110" s="145"/>
      <c r="FO110" s="145"/>
      <c r="FP110" s="145"/>
      <c r="FQ110" s="145"/>
      <c r="FR110" s="145"/>
      <c r="FS110" s="145"/>
      <c r="FT110" s="145"/>
      <c r="FU110" s="145"/>
      <c r="FV110" s="145"/>
      <c r="FW110" s="145"/>
      <c r="FX110" s="143"/>
      <c r="FY110" s="146">
        <f>_xlfn.XLOOKUP($E110,'Key assumptions'!$B$112:$B$120,'Key assumptions'!$C$112:$C$120,0)</f>
        <v>0</v>
      </c>
      <c r="FZ110" s="146" cm="1">
        <f t="array" ref="FZ110">IF($FY110=0,0,_xlfn.IFS($FY110='Key assumptions'!$C$120,_xlfn.XLOOKUP(LEFT(FZ$7,6),Inflation_Year,Inflation_NominaltoReal),TRUE,_xlfn.XLOOKUP($FY110,Inflation_Year,NominaltoReal)))</f>
        <v>0</v>
      </c>
      <c r="GA110" s="146" cm="1">
        <f t="array" ref="GA110">IF($FY110=0,0,_xlfn.IFS($FY110='Key assumptions'!$C$120,_xlfn.XLOOKUP(LEFT(GA$7,6),Inflation_Year,Inflation_NominaltoReal),TRUE,_xlfn.XLOOKUP($FY110,Inflation_Year,NominaltoReal)))</f>
        <v>0</v>
      </c>
      <c r="GB110" s="146" cm="1">
        <f t="array" ref="GB110">IF($FY110=0,0,_xlfn.IFS($FY110='Key assumptions'!$C$120,_xlfn.XLOOKUP(LEFT(GB$7,6),Inflation_Year,Inflation_NominaltoReal),TRUE,_xlfn.XLOOKUP($FY110,Inflation_Year,NominaltoReal)))</f>
        <v>0</v>
      </c>
      <c r="GC110" s="146" cm="1">
        <f t="array" ref="GC110">IF($FY110=0,0,_xlfn.IFS($FY110='Key assumptions'!$C$120,_xlfn.XLOOKUP(LEFT(GC$7,6),Inflation_Year,Inflation_NominaltoReal),TRUE,_xlfn.XLOOKUP($FY110,Inflation_Year,NominaltoReal)))</f>
        <v>0</v>
      </c>
      <c r="GD110" s="146" cm="1">
        <f t="array" ref="GD110">IF($FY110=0,0,_xlfn.IFS($FY110='Key assumptions'!$C$120,_xlfn.XLOOKUP(LEFT(GD$7,6),Inflation_Year,Inflation_NominaltoReal),TRUE,_xlfn.XLOOKUP($FY110,Inflation_Year,NominaltoReal)))</f>
        <v>0</v>
      </c>
      <c r="GE110" s="146" cm="1">
        <f t="array" ref="GE110">IF($FY110=0,0,_xlfn.IFS($FY110='Key assumptions'!$C$120,_xlfn.XLOOKUP(LEFT(GE$7,6),Inflation_Year,Inflation_NominaltoReal),TRUE,_xlfn.XLOOKUP($FY110,Inflation_Year,NominaltoReal)))</f>
        <v>0</v>
      </c>
      <c r="GF110" s="146" cm="1">
        <f t="array" ref="GF110">IF($FY110=0,0,_xlfn.IFS($FY110='Key assumptions'!$C$120,_xlfn.XLOOKUP(LEFT(GF$7,6),Inflation_Year,Inflation_NominaltoReal),TRUE,_xlfn.XLOOKUP($FY110,Inflation_Year,NominaltoReal)))</f>
        <v>0</v>
      </c>
      <c r="GG110" s="143"/>
      <c r="GH110" s="145" cm="1">
        <f t="array" ref="GH110">SUMPRODUCT(--($CR$7:$FW$7&gt;=GH$5),--($CR$7:$FW$7&lt;=GH$6),$CR110:$FW110)*FZ110</f>
        <v>0</v>
      </c>
      <c r="GI110" s="145" cm="1">
        <f t="array" ref="GI110">SUMPRODUCT(--($CR$7:$FW$7&gt;=GI$5),--($CR$7:$FW$7&lt;=GI$6),$CR110:$FW110)*GA110</f>
        <v>0</v>
      </c>
      <c r="GJ110" s="145" cm="1">
        <f t="array" ref="GJ110">SUMPRODUCT(--($CR$7:$FW$7&gt;=GJ$5),--($CR$7:$FW$7&lt;=GJ$6),$CR110:$FW110)*GB110</f>
        <v>0</v>
      </c>
      <c r="GK110" s="145" cm="1">
        <f t="array" ref="GK110">SUMPRODUCT(--($CR$7:$FW$7&gt;=GK$5),--($CR$7:$FW$7&lt;=GK$6),$CR110:$FW110)*GC110</f>
        <v>0</v>
      </c>
      <c r="GL110" s="145" cm="1">
        <f t="array" ref="GL110">SUMPRODUCT(--($CR$7:$FW$7&gt;=GL$5),--($CR$7:$FW$7&lt;=GL$6),$CR110:$FW110)*GD110</f>
        <v>0</v>
      </c>
      <c r="GM110" s="145" cm="1">
        <f t="array" ref="GM110">SUMPRODUCT(--($CR$7:$FW$7&gt;=GM$5),--($CR$7:$FW$7&lt;=GM$6),$CR110:$FW110)*GE110</f>
        <v>0</v>
      </c>
      <c r="GN110" s="145" cm="1">
        <f t="array" ref="GN110">SUMPRODUCT(--($CR$7:$FW$7&gt;=GN$5),--($CR$7:$FW$7&lt;=GN$6),$CR110:$FW110)*GF110</f>
        <v>0</v>
      </c>
      <c r="GO110" s="145">
        <f t="shared" si="1"/>
        <v>0</v>
      </c>
      <c r="GP110" s="87"/>
      <c r="GR110" s="145" cm="1">
        <f t="array" ref="GR110">SUMPRODUCT(--($CR$7:$FW$7&gt;=GR$5),--($CR$7:$FW$7&lt;=GR$6),$CR110:$FW110)</f>
        <v>0</v>
      </c>
    </row>
    <row r="111" spans="2:200" x14ac:dyDescent="0.2">
      <c r="B111" s="141"/>
      <c r="C111" s="141"/>
      <c r="D111" s="141"/>
      <c r="E111" s="141"/>
      <c r="F111" s="141"/>
      <c r="G111" s="141"/>
      <c r="H111" s="142"/>
      <c r="I111" s="126"/>
      <c r="J111" s="143"/>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3"/>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c r="EE111" s="145"/>
      <c r="EF111" s="145"/>
      <c r="EG111" s="145"/>
      <c r="EH111" s="145"/>
      <c r="EI111" s="145"/>
      <c r="EJ111" s="145"/>
      <c r="EK111" s="145"/>
      <c r="EL111" s="145"/>
      <c r="EM111" s="145"/>
      <c r="EN111" s="145"/>
      <c r="EO111" s="145"/>
      <c r="EP111" s="145"/>
      <c r="EQ111" s="145"/>
      <c r="ER111" s="145"/>
      <c r="ES111" s="145"/>
      <c r="ET111" s="145"/>
      <c r="EU111" s="145"/>
      <c r="EV111" s="145"/>
      <c r="EW111" s="145"/>
      <c r="EX111" s="145"/>
      <c r="EY111" s="145"/>
      <c r="EZ111" s="145"/>
      <c r="FA111" s="145"/>
      <c r="FB111" s="145"/>
      <c r="FC111" s="145"/>
      <c r="FD111" s="145"/>
      <c r="FE111" s="145"/>
      <c r="FF111" s="145"/>
      <c r="FG111" s="145"/>
      <c r="FH111" s="145"/>
      <c r="FI111" s="145"/>
      <c r="FJ111" s="145"/>
      <c r="FK111" s="145"/>
      <c r="FL111" s="145"/>
      <c r="FM111" s="145"/>
      <c r="FN111" s="145"/>
      <c r="FO111" s="145"/>
      <c r="FP111" s="145"/>
      <c r="FQ111" s="145"/>
      <c r="FR111" s="145"/>
      <c r="FS111" s="145"/>
      <c r="FT111" s="145"/>
      <c r="FU111" s="145"/>
      <c r="FV111" s="145"/>
      <c r="FW111" s="145"/>
      <c r="FX111" s="143"/>
      <c r="FY111" s="146">
        <f>_xlfn.XLOOKUP($E111,'Key assumptions'!$B$112:$B$120,'Key assumptions'!$C$112:$C$120,0)</f>
        <v>0</v>
      </c>
      <c r="FZ111" s="146" cm="1">
        <f t="array" ref="FZ111">IF($FY111=0,0,_xlfn.IFS($FY111='Key assumptions'!$C$120,_xlfn.XLOOKUP(LEFT(FZ$7,6),Inflation_Year,Inflation_NominaltoReal),TRUE,_xlfn.XLOOKUP($FY111,Inflation_Year,NominaltoReal)))</f>
        <v>0</v>
      </c>
      <c r="GA111" s="146" cm="1">
        <f t="array" ref="GA111">IF($FY111=0,0,_xlfn.IFS($FY111='Key assumptions'!$C$120,_xlfn.XLOOKUP(LEFT(GA$7,6),Inflation_Year,Inflation_NominaltoReal),TRUE,_xlfn.XLOOKUP($FY111,Inflation_Year,NominaltoReal)))</f>
        <v>0</v>
      </c>
      <c r="GB111" s="146" cm="1">
        <f t="array" ref="GB111">IF($FY111=0,0,_xlfn.IFS($FY111='Key assumptions'!$C$120,_xlfn.XLOOKUP(LEFT(GB$7,6),Inflation_Year,Inflation_NominaltoReal),TRUE,_xlfn.XLOOKUP($FY111,Inflation_Year,NominaltoReal)))</f>
        <v>0</v>
      </c>
      <c r="GC111" s="146" cm="1">
        <f t="array" ref="GC111">IF($FY111=0,0,_xlfn.IFS($FY111='Key assumptions'!$C$120,_xlfn.XLOOKUP(LEFT(GC$7,6),Inflation_Year,Inflation_NominaltoReal),TRUE,_xlfn.XLOOKUP($FY111,Inflation_Year,NominaltoReal)))</f>
        <v>0</v>
      </c>
      <c r="GD111" s="146" cm="1">
        <f t="array" ref="GD111">IF($FY111=0,0,_xlfn.IFS($FY111='Key assumptions'!$C$120,_xlfn.XLOOKUP(LEFT(GD$7,6),Inflation_Year,Inflation_NominaltoReal),TRUE,_xlfn.XLOOKUP($FY111,Inflation_Year,NominaltoReal)))</f>
        <v>0</v>
      </c>
      <c r="GE111" s="146" cm="1">
        <f t="array" ref="GE111">IF($FY111=0,0,_xlfn.IFS($FY111='Key assumptions'!$C$120,_xlfn.XLOOKUP(LEFT(GE$7,6),Inflation_Year,Inflation_NominaltoReal),TRUE,_xlfn.XLOOKUP($FY111,Inflation_Year,NominaltoReal)))</f>
        <v>0</v>
      </c>
      <c r="GF111" s="146" cm="1">
        <f t="array" ref="GF111">IF($FY111=0,0,_xlfn.IFS($FY111='Key assumptions'!$C$120,_xlfn.XLOOKUP(LEFT(GF$7,6),Inflation_Year,Inflation_NominaltoReal),TRUE,_xlfn.XLOOKUP($FY111,Inflation_Year,NominaltoReal)))</f>
        <v>0</v>
      </c>
      <c r="GG111" s="143"/>
      <c r="GH111" s="145" cm="1">
        <f t="array" ref="GH111">SUMPRODUCT(--($CR$7:$FW$7&gt;=GH$5),--($CR$7:$FW$7&lt;=GH$6),$CR111:$FW111)*FZ111</f>
        <v>0</v>
      </c>
      <c r="GI111" s="145" cm="1">
        <f t="array" ref="GI111">SUMPRODUCT(--($CR$7:$FW$7&gt;=GI$5),--($CR$7:$FW$7&lt;=GI$6),$CR111:$FW111)*GA111</f>
        <v>0</v>
      </c>
      <c r="GJ111" s="145" cm="1">
        <f t="array" ref="GJ111">SUMPRODUCT(--($CR$7:$FW$7&gt;=GJ$5),--($CR$7:$FW$7&lt;=GJ$6),$CR111:$FW111)*GB111</f>
        <v>0</v>
      </c>
      <c r="GK111" s="145" cm="1">
        <f t="array" ref="GK111">SUMPRODUCT(--($CR$7:$FW$7&gt;=GK$5),--($CR$7:$FW$7&lt;=GK$6),$CR111:$FW111)*GC111</f>
        <v>0</v>
      </c>
      <c r="GL111" s="145" cm="1">
        <f t="array" ref="GL111">SUMPRODUCT(--($CR$7:$FW$7&gt;=GL$5),--($CR$7:$FW$7&lt;=GL$6),$CR111:$FW111)*GD111</f>
        <v>0</v>
      </c>
      <c r="GM111" s="145" cm="1">
        <f t="array" ref="GM111">SUMPRODUCT(--($CR$7:$FW$7&gt;=GM$5),--($CR$7:$FW$7&lt;=GM$6),$CR111:$FW111)*GE111</f>
        <v>0</v>
      </c>
      <c r="GN111" s="145" cm="1">
        <f t="array" ref="GN111">SUMPRODUCT(--($CR$7:$FW$7&gt;=GN$5),--($CR$7:$FW$7&lt;=GN$6),$CR111:$FW111)*GF111</f>
        <v>0</v>
      </c>
      <c r="GO111" s="145">
        <f t="shared" si="1"/>
        <v>0</v>
      </c>
      <c r="GP111" s="87"/>
      <c r="GR111" s="145" cm="1">
        <f t="array" ref="GR111">SUMPRODUCT(--($CR$7:$FW$7&gt;=GR$5),--($CR$7:$FW$7&lt;=GR$6),$CR111:$FW111)</f>
        <v>0</v>
      </c>
    </row>
    <row r="112" spans="2:200" x14ac:dyDescent="0.2">
      <c r="B112" s="141"/>
      <c r="C112" s="141"/>
      <c r="D112" s="141"/>
      <c r="E112" s="141"/>
      <c r="F112" s="141"/>
      <c r="G112" s="141"/>
      <c r="H112" s="142"/>
      <c r="I112" s="126"/>
      <c r="J112" s="143"/>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3"/>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c r="EE112" s="145"/>
      <c r="EF112" s="145"/>
      <c r="EG112" s="145"/>
      <c r="EH112" s="145"/>
      <c r="EI112" s="145"/>
      <c r="EJ112" s="145"/>
      <c r="EK112" s="145"/>
      <c r="EL112" s="145"/>
      <c r="EM112" s="145"/>
      <c r="EN112" s="145"/>
      <c r="EO112" s="145"/>
      <c r="EP112" s="145"/>
      <c r="EQ112" s="145"/>
      <c r="ER112" s="145"/>
      <c r="ES112" s="145"/>
      <c r="ET112" s="145"/>
      <c r="EU112" s="145"/>
      <c r="EV112" s="145"/>
      <c r="EW112" s="145"/>
      <c r="EX112" s="145"/>
      <c r="EY112" s="145"/>
      <c r="EZ112" s="145"/>
      <c r="FA112" s="145"/>
      <c r="FB112" s="145"/>
      <c r="FC112" s="145"/>
      <c r="FD112" s="145"/>
      <c r="FE112" s="145"/>
      <c r="FF112" s="145"/>
      <c r="FG112" s="145"/>
      <c r="FH112" s="145"/>
      <c r="FI112" s="145"/>
      <c r="FJ112" s="145"/>
      <c r="FK112" s="145"/>
      <c r="FL112" s="145"/>
      <c r="FM112" s="145"/>
      <c r="FN112" s="145"/>
      <c r="FO112" s="145"/>
      <c r="FP112" s="145"/>
      <c r="FQ112" s="145"/>
      <c r="FR112" s="145"/>
      <c r="FS112" s="145"/>
      <c r="FT112" s="145"/>
      <c r="FU112" s="145"/>
      <c r="FV112" s="145"/>
      <c r="FW112" s="145"/>
      <c r="FX112" s="143"/>
      <c r="FY112" s="146">
        <f>_xlfn.XLOOKUP($E112,'Key assumptions'!$B$112:$B$120,'Key assumptions'!$C$112:$C$120,0)</f>
        <v>0</v>
      </c>
      <c r="FZ112" s="146" cm="1">
        <f t="array" ref="FZ112">IF($FY112=0,0,_xlfn.IFS($FY112='Key assumptions'!$C$120,_xlfn.XLOOKUP(LEFT(FZ$7,6),Inflation_Year,Inflation_NominaltoReal),TRUE,_xlfn.XLOOKUP($FY112,Inflation_Year,NominaltoReal)))</f>
        <v>0</v>
      </c>
      <c r="GA112" s="146" cm="1">
        <f t="array" ref="GA112">IF($FY112=0,0,_xlfn.IFS($FY112='Key assumptions'!$C$120,_xlfn.XLOOKUP(LEFT(GA$7,6),Inflation_Year,Inflation_NominaltoReal),TRUE,_xlfn.XLOOKUP($FY112,Inflation_Year,NominaltoReal)))</f>
        <v>0</v>
      </c>
      <c r="GB112" s="146" cm="1">
        <f t="array" ref="GB112">IF($FY112=0,0,_xlfn.IFS($FY112='Key assumptions'!$C$120,_xlfn.XLOOKUP(LEFT(GB$7,6),Inflation_Year,Inflation_NominaltoReal),TRUE,_xlfn.XLOOKUP($FY112,Inflation_Year,NominaltoReal)))</f>
        <v>0</v>
      </c>
      <c r="GC112" s="146" cm="1">
        <f t="array" ref="GC112">IF($FY112=0,0,_xlfn.IFS($FY112='Key assumptions'!$C$120,_xlfn.XLOOKUP(LEFT(GC$7,6),Inflation_Year,Inflation_NominaltoReal),TRUE,_xlfn.XLOOKUP($FY112,Inflation_Year,NominaltoReal)))</f>
        <v>0</v>
      </c>
      <c r="GD112" s="146" cm="1">
        <f t="array" ref="GD112">IF($FY112=0,0,_xlfn.IFS($FY112='Key assumptions'!$C$120,_xlfn.XLOOKUP(LEFT(GD$7,6),Inflation_Year,Inflation_NominaltoReal),TRUE,_xlfn.XLOOKUP($FY112,Inflation_Year,NominaltoReal)))</f>
        <v>0</v>
      </c>
      <c r="GE112" s="146" cm="1">
        <f t="array" ref="GE112">IF($FY112=0,0,_xlfn.IFS($FY112='Key assumptions'!$C$120,_xlfn.XLOOKUP(LEFT(GE$7,6),Inflation_Year,Inflation_NominaltoReal),TRUE,_xlfn.XLOOKUP($FY112,Inflation_Year,NominaltoReal)))</f>
        <v>0</v>
      </c>
      <c r="GF112" s="146" cm="1">
        <f t="array" ref="GF112">IF($FY112=0,0,_xlfn.IFS($FY112='Key assumptions'!$C$120,_xlfn.XLOOKUP(LEFT(GF$7,6),Inflation_Year,Inflation_NominaltoReal),TRUE,_xlfn.XLOOKUP($FY112,Inflation_Year,NominaltoReal)))</f>
        <v>0</v>
      </c>
      <c r="GG112" s="143"/>
      <c r="GH112" s="145" cm="1">
        <f t="array" ref="GH112">SUMPRODUCT(--($CR$7:$FW$7&gt;=GH$5),--($CR$7:$FW$7&lt;=GH$6),$CR112:$FW112)*FZ112</f>
        <v>0</v>
      </c>
      <c r="GI112" s="145" cm="1">
        <f t="array" ref="GI112">SUMPRODUCT(--($CR$7:$FW$7&gt;=GI$5),--($CR$7:$FW$7&lt;=GI$6),$CR112:$FW112)*GA112</f>
        <v>0</v>
      </c>
      <c r="GJ112" s="145" cm="1">
        <f t="array" ref="GJ112">SUMPRODUCT(--($CR$7:$FW$7&gt;=GJ$5),--($CR$7:$FW$7&lt;=GJ$6),$CR112:$FW112)*GB112</f>
        <v>0</v>
      </c>
      <c r="GK112" s="145" cm="1">
        <f t="array" ref="GK112">SUMPRODUCT(--($CR$7:$FW$7&gt;=GK$5),--($CR$7:$FW$7&lt;=GK$6),$CR112:$FW112)*GC112</f>
        <v>0</v>
      </c>
      <c r="GL112" s="145" cm="1">
        <f t="array" ref="GL112">SUMPRODUCT(--($CR$7:$FW$7&gt;=GL$5),--($CR$7:$FW$7&lt;=GL$6),$CR112:$FW112)*GD112</f>
        <v>0</v>
      </c>
      <c r="GM112" s="145" cm="1">
        <f t="array" ref="GM112">SUMPRODUCT(--($CR$7:$FW$7&gt;=GM$5),--($CR$7:$FW$7&lt;=GM$6),$CR112:$FW112)*GE112</f>
        <v>0</v>
      </c>
      <c r="GN112" s="145" cm="1">
        <f t="array" ref="GN112">SUMPRODUCT(--($CR$7:$FW$7&gt;=GN$5),--($CR$7:$FW$7&lt;=GN$6),$CR112:$FW112)*GF112</f>
        <v>0</v>
      </c>
      <c r="GO112" s="145">
        <f t="shared" si="1"/>
        <v>0</v>
      </c>
      <c r="GP112" s="87"/>
      <c r="GR112" s="145" cm="1">
        <f t="array" ref="GR112">SUMPRODUCT(--($CR$7:$FW$7&gt;=GR$5),--($CR$7:$FW$7&lt;=GR$6),$CR112:$FW112)</f>
        <v>0</v>
      </c>
    </row>
    <row r="113" spans="2:200" x14ac:dyDescent="0.2">
      <c r="B113" s="141"/>
      <c r="C113" s="141"/>
      <c r="D113" s="141"/>
      <c r="E113" s="141"/>
      <c r="F113" s="141"/>
      <c r="G113" s="141"/>
      <c r="H113" s="142"/>
      <c r="I113" s="126"/>
      <c r="J113" s="143"/>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3"/>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c r="EE113" s="145"/>
      <c r="EF113" s="145"/>
      <c r="EG113" s="145"/>
      <c r="EH113" s="145"/>
      <c r="EI113" s="145"/>
      <c r="EJ113" s="145"/>
      <c r="EK113" s="145"/>
      <c r="EL113" s="145"/>
      <c r="EM113" s="145"/>
      <c r="EN113" s="145"/>
      <c r="EO113" s="145"/>
      <c r="EP113" s="145"/>
      <c r="EQ113" s="145"/>
      <c r="ER113" s="145"/>
      <c r="ES113" s="145"/>
      <c r="ET113" s="145"/>
      <c r="EU113" s="145"/>
      <c r="EV113" s="145"/>
      <c r="EW113" s="145"/>
      <c r="EX113" s="145"/>
      <c r="EY113" s="145"/>
      <c r="EZ113" s="145"/>
      <c r="FA113" s="145"/>
      <c r="FB113" s="145"/>
      <c r="FC113" s="145"/>
      <c r="FD113" s="145"/>
      <c r="FE113" s="145"/>
      <c r="FF113" s="145"/>
      <c r="FG113" s="145"/>
      <c r="FH113" s="145"/>
      <c r="FI113" s="145"/>
      <c r="FJ113" s="145"/>
      <c r="FK113" s="145"/>
      <c r="FL113" s="145"/>
      <c r="FM113" s="145"/>
      <c r="FN113" s="145"/>
      <c r="FO113" s="145"/>
      <c r="FP113" s="145"/>
      <c r="FQ113" s="145"/>
      <c r="FR113" s="145"/>
      <c r="FS113" s="145"/>
      <c r="FT113" s="145"/>
      <c r="FU113" s="145"/>
      <c r="FV113" s="145"/>
      <c r="FW113" s="145"/>
      <c r="FX113" s="143"/>
      <c r="FY113" s="146">
        <f>_xlfn.XLOOKUP($E113,'Key assumptions'!$B$112:$B$120,'Key assumptions'!$C$112:$C$120,0)</f>
        <v>0</v>
      </c>
      <c r="FZ113" s="146" cm="1">
        <f t="array" ref="FZ113">IF($FY113=0,0,_xlfn.IFS($FY113='Key assumptions'!$C$120,_xlfn.XLOOKUP(LEFT(FZ$7,6),Inflation_Year,Inflation_NominaltoReal),TRUE,_xlfn.XLOOKUP($FY113,Inflation_Year,NominaltoReal)))</f>
        <v>0</v>
      </c>
      <c r="GA113" s="146" cm="1">
        <f t="array" ref="GA113">IF($FY113=0,0,_xlfn.IFS($FY113='Key assumptions'!$C$120,_xlfn.XLOOKUP(LEFT(GA$7,6),Inflation_Year,Inflation_NominaltoReal),TRUE,_xlfn.XLOOKUP($FY113,Inflation_Year,NominaltoReal)))</f>
        <v>0</v>
      </c>
      <c r="GB113" s="146" cm="1">
        <f t="array" ref="GB113">IF($FY113=0,0,_xlfn.IFS($FY113='Key assumptions'!$C$120,_xlfn.XLOOKUP(LEFT(GB$7,6),Inflation_Year,Inflation_NominaltoReal),TRUE,_xlfn.XLOOKUP($FY113,Inflation_Year,NominaltoReal)))</f>
        <v>0</v>
      </c>
      <c r="GC113" s="146" cm="1">
        <f t="array" ref="GC113">IF($FY113=0,0,_xlfn.IFS($FY113='Key assumptions'!$C$120,_xlfn.XLOOKUP(LEFT(GC$7,6),Inflation_Year,Inflation_NominaltoReal),TRUE,_xlfn.XLOOKUP($FY113,Inflation_Year,NominaltoReal)))</f>
        <v>0</v>
      </c>
      <c r="GD113" s="146" cm="1">
        <f t="array" ref="GD113">IF($FY113=0,0,_xlfn.IFS($FY113='Key assumptions'!$C$120,_xlfn.XLOOKUP(LEFT(GD$7,6),Inflation_Year,Inflation_NominaltoReal),TRUE,_xlfn.XLOOKUP($FY113,Inflation_Year,NominaltoReal)))</f>
        <v>0</v>
      </c>
      <c r="GE113" s="146" cm="1">
        <f t="array" ref="GE113">IF($FY113=0,0,_xlfn.IFS($FY113='Key assumptions'!$C$120,_xlfn.XLOOKUP(LEFT(GE$7,6),Inflation_Year,Inflation_NominaltoReal),TRUE,_xlfn.XLOOKUP($FY113,Inflation_Year,NominaltoReal)))</f>
        <v>0</v>
      </c>
      <c r="GF113" s="146" cm="1">
        <f t="array" ref="GF113">IF($FY113=0,0,_xlfn.IFS($FY113='Key assumptions'!$C$120,_xlfn.XLOOKUP(LEFT(GF$7,6),Inflation_Year,Inflation_NominaltoReal),TRUE,_xlfn.XLOOKUP($FY113,Inflation_Year,NominaltoReal)))</f>
        <v>0</v>
      </c>
      <c r="GG113" s="143"/>
      <c r="GH113" s="145" cm="1">
        <f t="array" ref="GH113">SUMPRODUCT(--($CR$7:$FW$7&gt;=GH$5),--($CR$7:$FW$7&lt;=GH$6),$CR113:$FW113)*FZ113</f>
        <v>0</v>
      </c>
      <c r="GI113" s="145" cm="1">
        <f t="array" ref="GI113">SUMPRODUCT(--($CR$7:$FW$7&gt;=GI$5),--($CR$7:$FW$7&lt;=GI$6),$CR113:$FW113)*GA113</f>
        <v>0</v>
      </c>
      <c r="GJ113" s="145" cm="1">
        <f t="array" ref="GJ113">SUMPRODUCT(--($CR$7:$FW$7&gt;=GJ$5),--($CR$7:$FW$7&lt;=GJ$6),$CR113:$FW113)*GB113</f>
        <v>0</v>
      </c>
      <c r="GK113" s="145" cm="1">
        <f t="array" ref="GK113">SUMPRODUCT(--($CR$7:$FW$7&gt;=GK$5),--($CR$7:$FW$7&lt;=GK$6),$CR113:$FW113)*GC113</f>
        <v>0</v>
      </c>
      <c r="GL113" s="145" cm="1">
        <f t="array" ref="GL113">SUMPRODUCT(--($CR$7:$FW$7&gt;=GL$5),--($CR$7:$FW$7&lt;=GL$6),$CR113:$FW113)*GD113</f>
        <v>0</v>
      </c>
      <c r="GM113" s="145" cm="1">
        <f t="array" ref="GM113">SUMPRODUCT(--($CR$7:$FW$7&gt;=GM$5),--($CR$7:$FW$7&lt;=GM$6),$CR113:$FW113)*GE113</f>
        <v>0</v>
      </c>
      <c r="GN113" s="145" cm="1">
        <f t="array" ref="GN113">SUMPRODUCT(--($CR$7:$FW$7&gt;=GN$5),--($CR$7:$FW$7&lt;=GN$6),$CR113:$FW113)*GF113</f>
        <v>0</v>
      </c>
      <c r="GO113" s="145">
        <f t="shared" si="1"/>
        <v>0</v>
      </c>
      <c r="GP113" s="87"/>
      <c r="GR113" s="145" cm="1">
        <f t="array" ref="GR113">SUMPRODUCT(--($CR$7:$FW$7&gt;=GR$5),--($CR$7:$FW$7&lt;=GR$6),$CR113:$FW113)</f>
        <v>0</v>
      </c>
    </row>
    <row r="114" spans="2:200" x14ac:dyDescent="0.2">
      <c r="B114" s="141"/>
      <c r="C114" s="141"/>
      <c r="D114" s="141"/>
      <c r="E114" s="141"/>
      <c r="F114" s="141"/>
      <c r="G114" s="141"/>
      <c r="H114" s="142"/>
      <c r="I114" s="126"/>
      <c r="J114" s="143"/>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3"/>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c r="EE114" s="145"/>
      <c r="EF114" s="145"/>
      <c r="EG114" s="145"/>
      <c r="EH114" s="145"/>
      <c r="EI114" s="145"/>
      <c r="EJ114" s="145"/>
      <c r="EK114" s="145"/>
      <c r="EL114" s="145"/>
      <c r="EM114" s="145"/>
      <c r="EN114" s="145"/>
      <c r="EO114" s="145"/>
      <c r="EP114" s="145"/>
      <c r="EQ114" s="145"/>
      <c r="ER114" s="145"/>
      <c r="ES114" s="145"/>
      <c r="ET114" s="145"/>
      <c r="EU114" s="145"/>
      <c r="EV114" s="145"/>
      <c r="EW114" s="145"/>
      <c r="EX114" s="145"/>
      <c r="EY114" s="145"/>
      <c r="EZ114" s="145"/>
      <c r="FA114" s="145"/>
      <c r="FB114" s="145"/>
      <c r="FC114" s="145"/>
      <c r="FD114" s="145"/>
      <c r="FE114" s="145"/>
      <c r="FF114" s="145"/>
      <c r="FG114" s="145"/>
      <c r="FH114" s="145"/>
      <c r="FI114" s="145"/>
      <c r="FJ114" s="145"/>
      <c r="FK114" s="145"/>
      <c r="FL114" s="145"/>
      <c r="FM114" s="145"/>
      <c r="FN114" s="145"/>
      <c r="FO114" s="145"/>
      <c r="FP114" s="145"/>
      <c r="FQ114" s="145"/>
      <c r="FR114" s="145"/>
      <c r="FS114" s="145"/>
      <c r="FT114" s="145"/>
      <c r="FU114" s="145"/>
      <c r="FV114" s="145"/>
      <c r="FW114" s="145"/>
      <c r="FX114" s="143"/>
      <c r="FY114" s="146">
        <f>_xlfn.XLOOKUP($E114,'Key assumptions'!$B$112:$B$120,'Key assumptions'!$C$112:$C$120,0)</f>
        <v>0</v>
      </c>
      <c r="FZ114" s="146" cm="1">
        <f t="array" ref="FZ114">IF($FY114=0,0,_xlfn.IFS($FY114='Key assumptions'!$C$120,_xlfn.XLOOKUP(LEFT(FZ$7,6),Inflation_Year,Inflation_NominaltoReal),TRUE,_xlfn.XLOOKUP($FY114,Inflation_Year,NominaltoReal)))</f>
        <v>0</v>
      </c>
      <c r="GA114" s="146" cm="1">
        <f t="array" ref="GA114">IF($FY114=0,0,_xlfn.IFS($FY114='Key assumptions'!$C$120,_xlfn.XLOOKUP(LEFT(GA$7,6),Inflation_Year,Inflation_NominaltoReal),TRUE,_xlfn.XLOOKUP($FY114,Inflation_Year,NominaltoReal)))</f>
        <v>0</v>
      </c>
      <c r="GB114" s="146" cm="1">
        <f t="array" ref="GB114">IF($FY114=0,0,_xlfn.IFS($FY114='Key assumptions'!$C$120,_xlfn.XLOOKUP(LEFT(GB$7,6),Inflation_Year,Inflation_NominaltoReal),TRUE,_xlfn.XLOOKUP($FY114,Inflation_Year,NominaltoReal)))</f>
        <v>0</v>
      </c>
      <c r="GC114" s="146" cm="1">
        <f t="array" ref="GC114">IF($FY114=0,0,_xlfn.IFS($FY114='Key assumptions'!$C$120,_xlfn.XLOOKUP(LEFT(GC$7,6),Inflation_Year,Inflation_NominaltoReal),TRUE,_xlfn.XLOOKUP($FY114,Inflation_Year,NominaltoReal)))</f>
        <v>0</v>
      </c>
      <c r="GD114" s="146" cm="1">
        <f t="array" ref="GD114">IF($FY114=0,0,_xlfn.IFS($FY114='Key assumptions'!$C$120,_xlfn.XLOOKUP(LEFT(GD$7,6),Inflation_Year,Inflation_NominaltoReal),TRUE,_xlfn.XLOOKUP($FY114,Inflation_Year,NominaltoReal)))</f>
        <v>0</v>
      </c>
      <c r="GE114" s="146" cm="1">
        <f t="array" ref="GE114">IF($FY114=0,0,_xlfn.IFS($FY114='Key assumptions'!$C$120,_xlfn.XLOOKUP(LEFT(GE$7,6),Inflation_Year,Inflation_NominaltoReal),TRUE,_xlfn.XLOOKUP($FY114,Inflation_Year,NominaltoReal)))</f>
        <v>0</v>
      </c>
      <c r="GF114" s="146" cm="1">
        <f t="array" ref="GF114">IF($FY114=0,0,_xlfn.IFS($FY114='Key assumptions'!$C$120,_xlfn.XLOOKUP(LEFT(GF$7,6),Inflation_Year,Inflation_NominaltoReal),TRUE,_xlfn.XLOOKUP($FY114,Inflation_Year,NominaltoReal)))</f>
        <v>0</v>
      </c>
      <c r="GG114" s="143"/>
      <c r="GH114" s="145" cm="1">
        <f t="array" ref="GH114">SUMPRODUCT(--($CR$7:$FW$7&gt;=GH$5),--($CR$7:$FW$7&lt;=GH$6),$CR114:$FW114)*FZ114</f>
        <v>0</v>
      </c>
      <c r="GI114" s="145" cm="1">
        <f t="array" ref="GI114">SUMPRODUCT(--($CR$7:$FW$7&gt;=GI$5),--($CR$7:$FW$7&lt;=GI$6),$CR114:$FW114)*GA114</f>
        <v>0</v>
      </c>
      <c r="GJ114" s="145" cm="1">
        <f t="array" ref="GJ114">SUMPRODUCT(--($CR$7:$FW$7&gt;=GJ$5),--($CR$7:$FW$7&lt;=GJ$6),$CR114:$FW114)*GB114</f>
        <v>0</v>
      </c>
      <c r="GK114" s="145" cm="1">
        <f t="array" ref="GK114">SUMPRODUCT(--($CR$7:$FW$7&gt;=GK$5),--($CR$7:$FW$7&lt;=GK$6),$CR114:$FW114)*GC114</f>
        <v>0</v>
      </c>
      <c r="GL114" s="145" cm="1">
        <f t="array" ref="GL114">SUMPRODUCT(--($CR$7:$FW$7&gt;=GL$5),--($CR$7:$FW$7&lt;=GL$6),$CR114:$FW114)*GD114</f>
        <v>0</v>
      </c>
      <c r="GM114" s="145" cm="1">
        <f t="array" ref="GM114">SUMPRODUCT(--($CR$7:$FW$7&gt;=GM$5),--($CR$7:$FW$7&lt;=GM$6),$CR114:$FW114)*GE114</f>
        <v>0</v>
      </c>
      <c r="GN114" s="145" cm="1">
        <f t="array" ref="GN114">SUMPRODUCT(--($CR$7:$FW$7&gt;=GN$5),--($CR$7:$FW$7&lt;=GN$6),$CR114:$FW114)*GF114</f>
        <v>0</v>
      </c>
      <c r="GO114" s="145">
        <f t="shared" si="1"/>
        <v>0</v>
      </c>
      <c r="GP114" s="87"/>
      <c r="GR114" s="145" cm="1">
        <f t="array" ref="GR114">SUMPRODUCT(--($CR$7:$FW$7&gt;=GR$5),--($CR$7:$FW$7&lt;=GR$6),$CR114:$FW114)</f>
        <v>0</v>
      </c>
    </row>
    <row r="115" spans="2:200" x14ac:dyDescent="0.2">
      <c r="B115" s="141"/>
      <c r="C115" s="141"/>
      <c r="D115" s="141"/>
      <c r="E115" s="141"/>
      <c r="F115" s="141"/>
      <c r="G115" s="141"/>
      <c r="H115" s="142"/>
      <c r="I115" s="126"/>
      <c r="J115" s="143"/>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3"/>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c r="EE115" s="145"/>
      <c r="EF115" s="145"/>
      <c r="EG115" s="145"/>
      <c r="EH115" s="145"/>
      <c r="EI115" s="145"/>
      <c r="EJ115" s="145"/>
      <c r="EK115" s="145"/>
      <c r="EL115" s="145"/>
      <c r="EM115" s="145"/>
      <c r="EN115" s="145"/>
      <c r="EO115" s="145"/>
      <c r="EP115" s="145"/>
      <c r="EQ115" s="145"/>
      <c r="ER115" s="145"/>
      <c r="ES115" s="145"/>
      <c r="ET115" s="145"/>
      <c r="EU115" s="145"/>
      <c r="EV115" s="145"/>
      <c r="EW115" s="145"/>
      <c r="EX115" s="145"/>
      <c r="EY115" s="145"/>
      <c r="EZ115" s="145"/>
      <c r="FA115" s="145"/>
      <c r="FB115" s="145"/>
      <c r="FC115" s="145"/>
      <c r="FD115" s="145"/>
      <c r="FE115" s="145"/>
      <c r="FF115" s="145"/>
      <c r="FG115" s="145"/>
      <c r="FH115" s="145"/>
      <c r="FI115" s="145"/>
      <c r="FJ115" s="145"/>
      <c r="FK115" s="145"/>
      <c r="FL115" s="145"/>
      <c r="FM115" s="145"/>
      <c r="FN115" s="145"/>
      <c r="FO115" s="145"/>
      <c r="FP115" s="145"/>
      <c r="FQ115" s="145"/>
      <c r="FR115" s="145"/>
      <c r="FS115" s="145"/>
      <c r="FT115" s="145"/>
      <c r="FU115" s="145"/>
      <c r="FV115" s="145"/>
      <c r="FW115" s="145"/>
      <c r="FX115" s="143"/>
      <c r="FY115" s="146">
        <f>_xlfn.XLOOKUP($E115,'Key assumptions'!$B$112:$B$120,'Key assumptions'!$C$112:$C$120,0)</f>
        <v>0</v>
      </c>
      <c r="FZ115" s="146" cm="1">
        <f t="array" ref="FZ115">IF($FY115=0,0,_xlfn.IFS($FY115='Key assumptions'!$C$120,_xlfn.XLOOKUP(LEFT(FZ$7,6),Inflation_Year,Inflation_NominaltoReal),TRUE,_xlfn.XLOOKUP($FY115,Inflation_Year,NominaltoReal)))</f>
        <v>0</v>
      </c>
      <c r="GA115" s="146" cm="1">
        <f t="array" ref="GA115">IF($FY115=0,0,_xlfn.IFS($FY115='Key assumptions'!$C$120,_xlfn.XLOOKUP(LEFT(GA$7,6),Inflation_Year,Inflation_NominaltoReal),TRUE,_xlfn.XLOOKUP($FY115,Inflation_Year,NominaltoReal)))</f>
        <v>0</v>
      </c>
      <c r="GB115" s="146" cm="1">
        <f t="array" ref="GB115">IF($FY115=0,0,_xlfn.IFS($FY115='Key assumptions'!$C$120,_xlfn.XLOOKUP(LEFT(GB$7,6),Inflation_Year,Inflation_NominaltoReal),TRUE,_xlfn.XLOOKUP($FY115,Inflation_Year,NominaltoReal)))</f>
        <v>0</v>
      </c>
      <c r="GC115" s="146" cm="1">
        <f t="array" ref="GC115">IF($FY115=0,0,_xlfn.IFS($FY115='Key assumptions'!$C$120,_xlfn.XLOOKUP(LEFT(GC$7,6),Inflation_Year,Inflation_NominaltoReal),TRUE,_xlfn.XLOOKUP($FY115,Inflation_Year,NominaltoReal)))</f>
        <v>0</v>
      </c>
      <c r="GD115" s="146" cm="1">
        <f t="array" ref="GD115">IF($FY115=0,0,_xlfn.IFS($FY115='Key assumptions'!$C$120,_xlfn.XLOOKUP(LEFT(GD$7,6),Inflation_Year,Inflation_NominaltoReal),TRUE,_xlfn.XLOOKUP($FY115,Inflation_Year,NominaltoReal)))</f>
        <v>0</v>
      </c>
      <c r="GE115" s="146" cm="1">
        <f t="array" ref="GE115">IF($FY115=0,0,_xlfn.IFS($FY115='Key assumptions'!$C$120,_xlfn.XLOOKUP(LEFT(GE$7,6),Inflation_Year,Inflation_NominaltoReal),TRUE,_xlfn.XLOOKUP($FY115,Inflation_Year,NominaltoReal)))</f>
        <v>0</v>
      </c>
      <c r="GF115" s="146" cm="1">
        <f t="array" ref="GF115">IF($FY115=0,0,_xlfn.IFS($FY115='Key assumptions'!$C$120,_xlfn.XLOOKUP(LEFT(GF$7,6),Inflation_Year,Inflation_NominaltoReal),TRUE,_xlfn.XLOOKUP($FY115,Inflation_Year,NominaltoReal)))</f>
        <v>0</v>
      </c>
      <c r="GG115" s="143"/>
      <c r="GH115" s="145" cm="1">
        <f t="array" ref="GH115">SUMPRODUCT(--($CR$7:$FW$7&gt;=GH$5),--($CR$7:$FW$7&lt;=GH$6),$CR115:$FW115)*FZ115</f>
        <v>0</v>
      </c>
      <c r="GI115" s="145" cm="1">
        <f t="array" ref="GI115">SUMPRODUCT(--($CR$7:$FW$7&gt;=GI$5),--($CR$7:$FW$7&lt;=GI$6),$CR115:$FW115)*GA115</f>
        <v>0</v>
      </c>
      <c r="GJ115" s="145" cm="1">
        <f t="array" ref="GJ115">SUMPRODUCT(--($CR$7:$FW$7&gt;=GJ$5),--($CR$7:$FW$7&lt;=GJ$6),$CR115:$FW115)*GB115</f>
        <v>0</v>
      </c>
      <c r="GK115" s="145" cm="1">
        <f t="array" ref="GK115">SUMPRODUCT(--($CR$7:$FW$7&gt;=GK$5),--($CR$7:$FW$7&lt;=GK$6),$CR115:$FW115)*GC115</f>
        <v>0</v>
      </c>
      <c r="GL115" s="145" cm="1">
        <f t="array" ref="GL115">SUMPRODUCT(--($CR$7:$FW$7&gt;=GL$5),--($CR$7:$FW$7&lt;=GL$6),$CR115:$FW115)*GD115</f>
        <v>0</v>
      </c>
      <c r="GM115" s="145" cm="1">
        <f t="array" ref="GM115">SUMPRODUCT(--($CR$7:$FW$7&gt;=GM$5),--($CR$7:$FW$7&lt;=GM$6),$CR115:$FW115)*GE115</f>
        <v>0</v>
      </c>
      <c r="GN115" s="145" cm="1">
        <f t="array" ref="GN115">SUMPRODUCT(--($CR$7:$FW$7&gt;=GN$5),--($CR$7:$FW$7&lt;=GN$6),$CR115:$FW115)*GF115</f>
        <v>0</v>
      </c>
      <c r="GO115" s="145">
        <f t="shared" si="1"/>
        <v>0</v>
      </c>
      <c r="GP115" s="87"/>
      <c r="GR115" s="145" cm="1">
        <f t="array" ref="GR115">SUMPRODUCT(--($CR$7:$FW$7&gt;=GR$5),--($CR$7:$FW$7&lt;=GR$6),$CR115:$FW115)</f>
        <v>0</v>
      </c>
    </row>
    <row r="116" spans="2:200" x14ac:dyDescent="0.2">
      <c r="B116" s="141"/>
      <c r="C116" s="141"/>
      <c r="D116" s="141"/>
      <c r="E116" s="141"/>
      <c r="F116" s="141"/>
      <c r="G116" s="141"/>
      <c r="H116" s="142"/>
      <c r="I116" s="126"/>
      <c r="J116" s="143"/>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3"/>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c r="EE116" s="145"/>
      <c r="EF116" s="145"/>
      <c r="EG116" s="145"/>
      <c r="EH116" s="145"/>
      <c r="EI116" s="145"/>
      <c r="EJ116" s="145"/>
      <c r="EK116" s="145"/>
      <c r="EL116" s="145"/>
      <c r="EM116" s="145"/>
      <c r="EN116" s="145"/>
      <c r="EO116" s="145"/>
      <c r="EP116" s="145"/>
      <c r="EQ116" s="145"/>
      <c r="ER116" s="145"/>
      <c r="ES116" s="145"/>
      <c r="ET116" s="145"/>
      <c r="EU116" s="145"/>
      <c r="EV116" s="145"/>
      <c r="EW116" s="145"/>
      <c r="EX116" s="145"/>
      <c r="EY116" s="145"/>
      <c r="EZ116" s="145"/>
      <c r="FA116" s="145"/>
      <c r="FB116" s="145"/>
      <c r="FC116" s="145"/>
      <c r="FD116" s="145"/>
      <c r="FE116" s="145"/>
      <c r="FF116" s="145"/>
      <c r="FG116" s="145"/>
      <c r="FH116" s="145"/>
      <c r="FI116" s="145"/>
      <c r="FJ116" s="145"/>
      <c r="FK116" s="145"/>
      <c r="FL116" s="145"/>
      <c r="FM116" s="145"/>
      <c r="FN116" s="145"/>
      <c r="FO116" s="145"/>
      <c r="FP116" s="145"/>
      <c r="FQ116" s="145"/>
      <c r="FR116" s="145"/>
      <c r="FS116" s="145"/>
      <c r="FT116" s="145"/>
      <c r="FU116" s="145"/>
      <c r="FV116" s="145"/>
      <c r="FW116" s="145"/>
      <c r="FX116" s="143"/>
      <c r="FY116" s="146">
        <f>_xlfn.XLOOKUP($E116,'Key assumptions'!$B$112:$B$120,'Key assumptions'!$C$112:$C$120,0)</f>
        <v>0</v>
      </c>
      <c r="FZ116" s="146" cm="1">
        <f t="array" ref="FZ116">IF($FY116=0,0,_xlfn.IFS($FY116='Key assumptions'!$C$120,_xlfn.XLOOKUP(LEFT(FZ$7,6),Inflation_Year,Inflation_NominaltoReal),TRUE,_xlfn.XLOOKUP($FY116,Inflation_Year,NominaltoReal)))</f>
        <v>0</v>
      </c>
      <c r="GA116" s="146" cm="1">
        <f t="array" ref="GA116">IF($FY116=0,0,_xlfn.IFS($FY116='Key assumptions'!$C$120,_xlfn.XLOOKUP(LEFT(GA$7,6),Inflation_Year,Inflation_NominaltoReal),TRUE,_xlfn.XLOOKUP($FY116,Inflation_Year,NominaltoReal)))</f>
        <v>0</v>
      </c>
      <c r="GB116" s="146" cm="1">
        <f t="array" ref="GB116">IF($FY116=0,0,_xlfn.IFS($FY116='Key assumptions'!$C$120,_xlfn.XLOOKUP(LEFT(GB$7,6),Inflation_Year,Inflation_NominaltoReal),TRUE,_xlfn.XLOOKUP($FY116,Inflation_Year,NominaltoReal)))</f>
        <v>0</v>
      </c>
      <c r="GC116" s="146" cm="1">
        <f t="array" ref="GC116">IF($FY116=0,0,_xlfn.IFS($FY116='Key assumptions'!$C$120,_xlfn.XLOOKUP(LEFT(GC$7,6),Inflation_Year,Inflation_NominaltoReal),TRUE,_xlfn.XLOOKUP($FY116,Inflation_Year,NominaltoReal)))</f>
        <v>0</v>
      </c>
      <c r="GD116" s="146" cm="1">
        <f t="array" ref="GD116">IF($FY116=0,0,_xlfn.IFS($FY116='Key assumptions'!$C$120,_xlfn.XLOOKUP(LEFT(GD$7,6),Inflation_Year,Inflation_NominaltoReal),TRUE,_xlfn.XLOOKUP($FY116,Inflation_Year,NominaltoReal)))</f>
        <v>0</v>
      </c>
      <c r="GE116" s="146" cm="1">
        <f t="array" ref="GE116">IF($FY116=0,0,_xlfn.IFS($FY116='Key assumptions'!$C$120,_xlfn.XLOOKUP(LEFT(GE$7,6),Inflation_Year,Inflation_NominaltoReal),TRUE,_xlfn.XLOOKUP($FY116,Inflation_Year,NominaltoReal)))</f>
        <v>0</v>
      </c>
      <c r="GF116" s="146" cm="1">
        <f t="array" ref="GF116">IF($FY116=0,0,_xlfn.IFS($FY116='Key assumptions'!$C$120,_xlfn.XLOOKUP(LEFT(GF$7,6),Inflation_Year,Inflation_NominaltoReal),TRUE,_xlfn.XLOOKUP($FY116,Inflation_Year,NominaltoReal)))</f>
        <v>0</v>
      </c>
      <c r="GG116" s="143"/>
      <c r="GH116" s="145" cm="1">
        <f t="array" ref="GH116">SUMPRODUCT(--($CR$7:$FW$7&gt;=GH$5),--($CR$7:$FW$7&lt;=GH$6),$CR116:$FW116)*FZ116</f>
        <v>0</v>
      </c>
      <c r="GI116" s="145" cm="1">
        <f t="array" ref="GI116">SUMPRODUCT(--($CR$7:$FW$7&gt;=GI$5),--($CR$7:$FW$7&lt;=GI$6),$CR116:$FW116)*GA116</f>
        <v>0</v>
      </c>
      <c r="GJ116" s="145" cm="1">
        <f t="array" ref="GJ116">SUMPRODUCT(--($CR$7:$FW$7&gt;=GJ$5),--($CR$7:$FW$7&lt;=GJ$6),$CR116:$FW116)*GB116</f>
        <v>0</v>
      </c>
      <c r="GK116" s="145" cm="1">
        <f t="array" ref="GK116">SUMPRODUCT(--($CR$7:$FW$7&gt;=GK$5),--($CR$7:$FW$7&lt;=GK$6),$CR116:$FW116)*GC116</f>
        <v>0</v>
      </c>
      <c r="GL116" s="145" cm="1">
        <f t="array" ref="GL116">SUMPRODUCT(--($CR$7:$FW$7&gt;=GL$5),--($CR$7:$FW$7&lt;=GL$6),$CR116:$FW116)*GD116</f>
        <v>0</v>
      </c>
      <c r="GM116" s="145" cm="1">
        <f t="array" ref="GM116">SUMPRODUCT(--($CR$7:$FW$7&gt;=GM$5),--($CR$7:$FW$7&lt;=GM$6),$CR116:$FW116)*GE116</f>
        <v>0</v>
      </c>
      <c r="GN116" s="145" cm="1">
        <f t="array" ref="GN116">SUMPRODUCT(--($CR$7:$FW$7&gt;=GN$5),--($CR$7:$FW$7&lt;=GN$6),$CR116:$FW116)*GF116</f>
        <v>0</v>
      </c>
      <c r="GO116" s="145">
        <f t="shared" si="1"/>
        <v>0</v>
      </c>
      <c r="GP116" s="87"/>
      <c r="GR116" s="145" cm="1">
        <f t="array" ref="GR116">SUMPRODUCT(--($CR$7:$FW$7&gt;=GR$5),--($CR$7:$FW$7&lt;=GR$6),$CR116:$FW116)</f>
        <v>0</v>
      </c>
    </row>
    <row r="117" spans="2:200" x14ac:dyDescent="0.2">
      <c r="B117" s="141"/>
      <c r="C117" s="141"/>
      <c r="D117" s="141"/>
      <c r="E117" s="141"/>
      <c r="F117" s="141"/>
      <c r="G117" s="141"/>
      <c r="H117" s="142"/>
      <c r="I117" s="126"/>
      <c r="J117" s="143"/>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3"/>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c r="EE117" s="145"/>
      <c r="EF117" s="145"/>
      <c r="EG117" s="145"/>
      <c r="EH117" s="145"/>
      <c r="EI117" s="145"/>
      <c r="EJ117" s="145"/>
      <c r="EK117" s="145"/>
      <c r="EL117" s="145"/>
      <c r="EM117" s="145"/>
      <c r="EN117" s="145"/>
      <c r="EO117" s="145"/>
      <c r="EP117" s="145"/>
      <c r="EQ117" s="145"/>
      <c r="ER117" s="145"/>
      <c r="ES117" s="145"/>
      <c r="ET117" s="145"/>
      <c r="EU117" s="145"/>
      <c r="EV117" s="145"/>
      <c r="EW117" s="145"/>
      <c r="EX117" s="145"/>
      <c r="EY117" s="145"/>
      <c r="EZ117" s="145"/>
      <c r="FA117" s="145"/>
      <c r="FB117" s="145"/>
      <c r="FC117" s="145"/>
      <c r="FD117" s="145"/>
      <c r="FE117" s="145"/>
      <c r="FF117" s="145"/>
      <c r="FG117" s="145"/>
      <c r="FH117" s="145"/>
      <c r="FI117" s="145"/>
      <c r="FJ117" s="145"/>
      <c r="FK117" s="145"/>
      <c r="FL117" s="145"/>
      <c r="FM117" s="145"/>
      <c r="FN117" s="145"/>
      <c r="FO117" s="145"/>
      <c r="FP117" s="145"/>
      <c r="FQ117" s="145"/>
      <c r="FR117" s="145"/>
      <c r="FS117" s="145"/>
      <c r="FT117" s="145"/>
      <c r="FU117" s="145"/>
      <c r="FV117" s="145"/>
      <c r="FW117" s="145"/>
      <c r="FX117" s="143"/>
      <c r="FY117" s="146">
        <f>_xlfn.XLOOKUP($E117,'Key assumptions'!$B$112:$B$120,'Key assumptions'!$C$112:$C$120,0)</f>
        <v>0</v>
      </c>
      <c r="FZ117" s="146" cm="1">
        <f t="array" ref="FZ117">IF($FY117=0,0,_xlfn.IFS($FY117='Key assumptions'!$C$120,_xlfn.XLOOKUP(LEFT(FZ$7,6),Inflation_Year,Inflation_NominaltoReal),TRUE,_xlfn.XLOOKUP($FY117,Inflation_Year,NominaltoReal)))</f>
        <v>0</v>
      </c>
      <c r="GA117" s="146" cm="1">
        <f t="array" ref="GA117">IF($FY117=0,0,_xlfn.IFS($FY117='Key assumptions'!$C$120,_xlfn.XLOOKUP(LEFT(GA$7,6),Inflation_Year,Inflation_NominaltoReal),TRUE,_xlfn.XLOOKUP($FY117,Inflation_Year,NominaltoReal)))</f>
        <v>0</v>
      </c>
      <c r="GB117" s="146" cm="1">
        <f t="array" ref="GB117">IF($FY117=0,0,_xlfn.IFS($FY117='Key assumptions'!$C$120,_xlfn.XLOOKUP(LEFT(GB$7,6),Inflation_Year,Inflation_NominaltoReal),TRUE,_xlfn.XLOOKUP($FY117,Inflation_Year,NominaltoReal)))</f>
        <v>0</v>
      </c>
      <c r="GC117" s="146" cm="1">
        <f t="array" ref="GC117">IF($FY117=0,0,_xlfn.IFS($FY117='Key assumptions'!$C$120,_xlfn.XLOOKUP(LEFT(GC$7,6),Inflation_Year,Inflation_NominaltoReal),TRUE,_xlfn.XLOOKUP($FY117,Inflation_Year,NominaltoReal)))</f>
        <v>0</v>
      </c>
      <c r="GD117" s="146" cm="1">
        <f t="array" ref="GD117">IF($FY117=0,0,_xlfn.IFS($FY117='Key assumptions'!$C$120,_xlfn.XLOOKUP(LEFT(GD$7,6),Inflation_Year,Inflation_NominaltoReal),TRUE,_xlfn.XLOOKUP($FY117,Inflation_Year,NominaltoReal)))</f>
        <v>0</v>
      </c>
      <c r="GE117" s="146" cm="1">
        <f t="array" ref="GE117">IF($FY117=0,0,_xlfn.IFS($FY117='Key assumptions'!$C$120,_xlfn.XLOOKUP(LEFT(GE$7,6),Inflation_Year,Inflation_NominaltoReal),TRUE,_xlfn.XLOOKUP($FY117,Inflation_Year,NominaltoReal)))</f>
        <v>0</v>
      </c>
      <c r="GF117" s="146" cm="1">
        <f t="array" ref="GF117">IF($FY117=0,0,_xlfn.IFS($FY117='Key assumptions'!$C$120,_xlfn.XLOOKUP(LEFT(GF$7,6),Inflation_Year,Inflation_NominaltoReal),TRUE,_xlfn.XLOOKUP($FY117,Inflation_Year,NominaltoReal)))</f>
        <v>0</v>
      </c>
      <c r="GG117" s="143"/>
      <c r="GH117" s="145" cm="1">
        <f t="array" ref="GH117">SUMPRODUCT(--($CR$7:$FW$7&gt;=GH$5),--($CR$7:$FW$7&lt;=GH$6),$CR117:$FW117)*FZ117</f>
        <v>0</v>
      </c>
      <c r="GI117" s="145" cm="1">
        <f t="array" ref="GI117">SUMPRODUCT(--($CR$7:$FW$7&gt;=GI$5),--($CR$7:$FW$7&lt;=GI$6),$CR117:$FW117)*GA117</f>
        <v>0</v>
      </c>
      <c r="GJ117" s="145" cm="1">
        <f t="array" ref="GJ117">SUMPRODUCT(--($CR$7:$FW$7&gt;=GJ$5),--($CR$7:$FW$7&lt;=GJ$6),$CR117:$FW117)*GB117</f>
        <v>0</v>
      </c>
      <c r="GK117" s="145" cm="1">
        <f t="array" ref="GK117">SUMPRODUCT(--($CR$7:$FW$7&gt;=GK$5),--($CR$7:$FW$7&lt;=GK$6),$CR117:$FW117)*GC117</f>
        <v>0</v>
      </c>
      <c r="GL117" s="145" cm="1">
        <f t="array" ref="GL117">SUMPRODUCT(--($CR$7:$FW$7&gt;=GL$5),--($CR$7:$FW$7&lt;=GL$6),$CR117:$FW117)*GD117</f>
        <v>0</v>
      </c>
      <c r="GM117" s="145" cm="1">
        <f t="array" ref="GM117">SUMPRODUCT(--($CR$7:$FW$7&gt;=GM$5),--($CR$7:$FW$7&lt;=GM$6),$CR117:$FW117)*GE117</f>
        <v>0</v>
      </c>
      <c r="GN117" s="145" cm="1">
        <f t="array" ref="GN117">SUMPRODUCT(--($CR$7:$FW$7&gt;=GN$5),--($CR$7:$FW$7&lt;=GN$6),$CR117:$FW117)*GF117</f>
        <v>0</v>
      </c>
      <c r="GO117" s="145">
        <f t="shared" si="1"/>
        <v>0</v>
      </c>
      <c r="GP117" s="87"/>
      <c r="GR117" s="145" cm="1">
        <f t="array" ref="GR117">SUMPRODUCT(--($CR$7:$FW$7&gt;=GR$5),--($CR$7:$FW$7&lt;=GR$6),$CR117:$FW117)</f>
        <v>0</v>
      </c>
    </row>
    <row r="118" spans="2:200" x14ac:dyDescent="0.2">
      <c r="B118" s="141"/>
      <c r="C118" s="141"/>
      <c r="D118" s="141"/>
      <c r="E118" s="141"/>
      <c r="F118" s="141"/>
      <c r="G118" s="141"/>
      <c r="H118" s="142"/>
      <c r="I118" s="126"/>
      <c r="J118" s="143"/>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3"/>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c r="EE118" s="145"/>
      <c r="EF118" s="145"/>
      <c r="EG118" s="145"/>
      <c r="EH118" s="145"/>
      <c r="EI118" s="145"/>
      <c r="EJ118" s="145"/>
      <c r="EK118" s="145"/>
      <c r="EL118" s="145"/>
      <c r="EM118" s="145"/>
      <c r="EN118" s="145"/>
      <c r="EO118" s="145"/>
      <c r="EP118" s="145"/>
      <c r="EQ118" s="145"/>
      <c r="ER118" s="145"/>
      <c r="ES118" s="145"/>
      <c r="ET118" s="145"/>
      <c r="EU118" s="145"/>
      <c r="EV118" s="145"/>
      <c r="EW118" s="145"/>
      <c r="EX118" s="145"/>
      <c r="EY118" s="145"/>
      <c r="EZ118" s="145"/>
      <c r="FA118" s="145"/>
      <c r="FB118" s="145"/>
      <c r="FC118" s="145"/>
      <c r="FD118" s="145"/>
      <c r="FE118" s="145"/>
      <c r="FF118" s="145"/>
      <c r="FG118" s="145"/>
      <c r="FH118" s="145"/>
      <c r="FI118" s="145"/>
      <c r="FJ118" s="145"/>
      <c r="FK118" s="145"/>
      <c r="FL118" s="145"/>
      <c r="FM118" s="145"/>
      <c r="FN118" s="145"/>
      <c r="FO118" s="145"/>
      <c r="FP118" s="145"/>
      <c r="FQ118" s="145"/>
      <c r="FR118" s="145"/>
      <c r="FS118" s="145"/>
      <c r="FT118" s="145"/>
      <c r="FU118" s="145"/>
      <c r="FV118" s="145"/>
      <c r="FW118" s="145"/>
      <c r="FX118" s="143"/>
      <c r="FY118" s="146">
        <f>_xlfn.XLOOKUP($E118,'Key assumptions'!$B$112:$B$120,'Key assumptions'!$C$112:$C$120,0)</f>
        <v>0</v>
      </c>
      <c r="FZ118" s="146" cm="1">
        <f t="array" ref="FZ118">IF($FY118=0,0,_xlfn.IFS($FY118='Key assumptions'!$C$120,_xlfn.XLOOKUP(LEFT(FZ$7,6),Inflation_Year,Inflation_NominaltoReal),TRUE,_xlfn.XLOOKUP($FY118,Inflation_Year,NominaltoReal)))</f>
        <v>0</v>
      </c>
      <c r="GA118" s="146" cm="1">
        <f t="array" ref="GA118">IF($FY118=0,0,_xlfn.IFS($FY118='Key assumptions'!$C$120,_xlfn.XLOOKUP(LEFT(GA$7,6),Inflation_Year,Inflation_NominaltoReal),TRUE,_xlfn.XLOOKUP($FY118,Inflation_Year,NominaltoReal)))</f>
        <v>0</v>
      </c>
      <c r="GB118" s="146" cm="1">
        <f t="array" ref="GB118">IF($FY118=0,0,_xlfn.IFS($FY118='Key assumptions'!$C$120,_xlfn.XLOOKUP(LEFT(GB$7,6),Inflation_Year,Inflation_NominaltoReal),TRUE,_xlfn.XLOOKUP($FY118,Inflation_Year,NominaltoReal)))</f>
        <v>0</v>
      </c>
      <c r="GC118" s="146" cm="1">
        <f t="array" ref="GC118">IF($FY118=0,0,_xlfn.IFS($FY118='Key assumptions'!$C$120,_xlfn.XLOOKUP(LEFT(GC$7,6),Inflation_Year,Inflation_NominaltoReal),TRUE,_xlfn.XLOOKUP($FY118,Inflation_Year,NominaltoReal)))</f>
        <v>0</v>
      </c>
      <c r="GD118" s="146" cm="1">
        <f t="array" ref="GD118">IF($FY118=0,0,_xlfn.IFS($FY118='Key assumptions'!$C$120,_xlfn.XLOOKUP(LEFT(GD$7,6),Inflation_Year,Inflation_NominaltoReal),TRUE,_xlfn.XLOOKUP($FY118,Inflation_Year,NominaltoReal)))</f>
        <v>0</v>
      </c>
      <c r="GE118" s="146" cm="1">
        <f t="array" ref="GE118">IF($FY118=0,0,_xlfn.IFS($FY118='Key assumptions'!$C$120,_xlfn.XLOOKUP(LEFT(GE$7,6),Inflation_Year,Inflation_NominaltoReal),TRUE,_xlfn.XLOOKUP($FY118,Inflation_Year,NominaltoReal)))</f>
        <v>0</v>
      </c>
      <c r="GF118" s="146" cm="1">
        <f t="array" ref="GF118">IF($FY118=0,0,_xlfn.IFS($FY118='Key assumptions'!$C$120,_xlfn.XLOOKUP(LEFT(GF$7,6),Inflation_Year,Inflation_NominaltoReal),TRUE,_xlfn.XLOOKUP($FY118,Inflation_Year,NominaltoReal)))</f>
        <v>0</v>
      </c>
      <c r="GG118" s="143"/>
      <c r="GH118" s="145" cm="1">
        <f t="array" ref="GH118">SUMPRODUCT(--($CR$7:$FW$7&gt;=GH$5),--($CR$7:$FW$7&lt;=GH$6),$CR118:$FW118)*FZ118</f>
        <v>0</v>
      </c>
      <c r="GI118" s="145" cm="1">
        <f t="array" ref="GI118">SUMPRODUCT(--($CR$7:$FW$7&gt;=GI$5),--($CR$7:$FW$7&lt;=GI$6),$CR118:$FW118)*GA118</f>
        <v>0</v>
      </c>
      <c r="GJ118" s="145" cm="1">
        <f t="array" ref="GJ118">SUMPRODUCT(--($CR$7:$FW$7&gt;=GJ$5),--($CR$7:$FW$7&lt;=GJ$6),$CR118:$FW118)*GB118</f>
        <v>0</v>
      </c>
      <c r="GK118" s="145" cm="1">
        <f t="array" ref="GK118">SUMPRODUCT(--($CR$7:$FW$7&gt;=GK$5),--($CR$7:$FW$7&lt;=GK$6),$CR118:$FW118)*GC118</f>
        <v>0</v>
      </c>
      <c r="GL118" s="145" cm="1">
        <f t="array" ref="GL118">SUMPRODUCT(--($CR$7:$FW$7&gt;=GL$5),--($CR$7:$FW$7&lt;=GL$6),$CR118:$FW118)*GD118</f>
        <v>0</v>
      </c>
      <c r="GM118" s="145" cm="1">
        <f t="array" ref="GM118">SUMPRODUCT(--($CR$7:$FW$7&gt;=GM$5),--($CR$7:$FW$7&lt;=GM$6),$CR118:$FW118)*GE118</f>
        <v>0</v>
      </c>
      <c r="GN118" s="145" cm="1">
        <f t="array" ref="GN118">SUMPRODUCT(--($CR$7:$FW$7&gt;=GN$5),--($CR$7:$FW$7&lt;=GN$6),$CR118:$FW118)*GF118</f>
        <v>0</v>
      </c>
      <c r="GO118" s="145">
        <f t="shared" si="1"/>
        <v>0</v>
      </c>
      <c r="GP118" s="87"/>
      <c r="GR118" s="145" cm="1">
        <f t="array" ref="GR118">SUMPRODUCT(--($CR$7:$FW$7&gt;=GR$5),--($CR$7:$FW$7&lt;=GR$6),$CR118:$FW118)</f>
        <v>0</v>
      </c>
    </row>
    <row r="119" spans="2:200" x14ac:dyDescent="0.2">
      <c r="B119" s="141"/>
      <c r="C119" s="141"/>
      <c r="D119" s="141"/>
      <c r="E119" s="141"/>
      <c r="F119" s="141"/>
      <c r="G119" s="141"/>
      <c r="H119" s="142"/>
      <c r="I119" s="126"/>
      <c r="J119" s="143"/>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3"/>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c r="EE119" s="145"/>
      <c r="EF119" s="145"/>
      <c r="EG119" s="145"/>
      <c r="EH119" s="145"/>
      <c r="EI119" s="145"/>
      <c r="EJ119" s="145"/>
      <c r="EK119" s="145"/>
      <c r="EL119" s="145"/>
      <c r="EM119" s="145"/>
      <c r="EN119" s="145"/>
      <c r="EO119" s="145"/>
      <c r="EP119" s="145"/>
      <c r="EQ119" s="145"/>
      <c r="ER119" s="145"/>
      <c r="ES119" s="145"/>
      <c r="ET119" s="145"/>
      <c r="EU119" s="145"/>
      <c r="EV119" s="145"/>
      <c r="EW119" s="145"/>
      <c r="EX119" s="145"/>
      <c r="EY119" s="145"/>
      <c r="EZ119" s="145"/>
      <c r="FA119" s="145"/>
      <c r="FB119" s="145"/>
      <c r="FC119" s="145"/>
      <c r="FD119" s="145"/>
      <c r="FE119" s="145"/>
      <c r="FF119" s="145"/>
      <c r="FG119" s="145"/>
      <c r="FH119" s="145"/>
      <c r="FI119" s="145"/>
      <c r="FJ119" s="145"/>
      <c r="FK119" s="145"/>
      <c r="FL119" s="145"/>
      <c r="FM119" s="145"/>
      <c r="FN119" s="145"/>
      <c r="FO119" s="145"/>
      <c r="FP119" s="145"/>
      <c r="FQ119" s="145"/>
      <c r="FR119" s="145"/>
      <c r="FS119" s="145"/>
      <c r="FT119" s="145"/>
      <c r="FU119" s="145"/>
      <c r="FV119" s="145"/>
      <c r="FW119" s="145"/>
      <c r="FX119" s="143"/>
      <c r="FY119" s="146">
        <f>_xlfn.XLOOKUP($E119,'Key assumptions'!$B$112:$B$120,'Key assumptions'!$C$112:$C$120,0)</f>
        <v>0</v>
      </c>
      <c r="FZ119" s="146" cm="1">
        <f t="array" ref="FZ119">IF($FY119=0,0,_xlfn.IFS($FY119='Key assumptions'!$C$120,_xlfn.XLOOKUP(LEFT(FZ$7,6),Inflation_Year,Inflation_NominaltoReal),TRUE,_xlfn.XLOOKUP($FY119,Inflation_Year,NominaltoReal)))</f>
        <v>0</v>
      </c>
      <c r="GA119" s="146" cm="1">
        <f t="array" ref="GA119">IF($FY119=0,0,_xlfn.IFS($FY119='Key assumptions'!$C$120,_xlfn.XLOOKUP(LEFT(GA$7,6),Inflation_Year,Inflation_NominaltoReal),TRUE,_xlfn.XLOOKUP($FY119,Inflation_Year,NominaltoReal)))</f>
        <v>0</v>
      </c>
      <c r="GB119" s="146" cm="1">
        <f t="array" ref="GB119">IF($FY119=0,0,_xlfn.IFS($FY119='Key assumptions'!$C$120,_xlfn.XLOOKUP(LEFT(GB$7,6),Inflation_Year,Inflation_NominaltoReal),TRUE,_xlfn.XLOOKUP($FY119,Inflation_Year,NominaltoReal)))</f>
        <v>0</v>
      </c>
      <c r="GC119" s="146" cm="1">
        <f t="array" ref="GC119">IF($FY119=0,0,_xlfn.IFS($FY119='Key assumptions'!$C$120,_xlfn.XLOOKUP(LEFT(GC$7,6),Inflation_Year,Inflation_NominaltoReal),TRUE,_xlfn.XLOOKUP($FY119,Inflation_Year,NominaltoReal)))</f>
        <v>0</v>
      </c>
      <c r="GD119" s="146" cm="1">
        <f t="array" ref="GD119">IF($FY119=0,0,_xlfn.IFS($FY119='Key assumptions'!$C$120,_xlfn.XLOOKUP(LEFT(GD$7,6),Inflation_Year,Inflation_NominaltoReal),TRUE,_xlfn.XLOOKUP($FY119,Inflation_Year,NominaltoReal)))</f>
        <v>0</v>
      </c>
      <c r="GE119" s="146" cm="1">
        <f t="array" ref="GE119">IF($FY119=0,0,_xlfn.IFS($FY119='Key assumptions'!$C$120,_xlfn.XLOOKUP(LEFT(GE$7,6),Inflation_Year,Inflation_NominaltoReal),TRUE,_xlfn.XLOOKUP($FY119,Inflation_Year,NominaltoReal)))</f>
        <v>0</v>
      </c>
      <c r="GF119" s="146" cm="1">
        <f t="array" ref="GF119">IF($FY119=0,0,_xlfn.IFS($FY119='Key assumptions'!$C$120,_xlfn.XLOOKUP(LEFT(GF$7,6),Inflation_Year,Inflation_NominaltoReal),TRUE,_xlfn.XLOOKUP($FY119,Inflation_Year,NominaltoReal)))</f>
        <v>0</v>
      </c>
      <c r="GG119" s="143"/>
      <c r="GH119" s="145" cm="1">
        <f t="array" ref="GH119">SUMPRODUCT(--($CR$7:$FW$7&gt;=GH$5),--($CR$7:$FW$7&lt;=GH$6),$CR119:$FW119)*FZ119</f>
        <v>0</v>
      </c>
      <c r="GI119" s="145" cm="1">
        <f t="array" ref="GI119">SUMPRODUCT(--($CR$7:$FW$7&gt;=GI$5),--($CR$7:$FW$7&lt;=GI$6),$CR119:$FW119)*GA119</f>
        <v>0</v>
      </c>
      <c r="GJ119" s="145" cm="1">
        <f t="array" ref="GJ119">SUMPRODUCT(--($CR$7:$FW$7&gt;=GJ$5),--($CR$7:$FW$7&lt;=GJ$6),$CR119:$FW119)*GB119</f>
        <v>0</v>
      </c>
      <c r="GK119" s="145" cm="1">
        <f t="array" ref="GK119">SUMPRODUCT(--($CR$7:$FW$7&gt;=GK$5),--($CR$7:$FW$7&lt;=GK$6),$CR119:$FW119)*GC119</f>
        <v>0</v>
      </c>
      <c r="GL119" s="145" cm="1">
        <f t="array" ref="GL119">SUMPRODUCT(--($CR$7:$FW$7&gt;=GL$5),--($CR$7:$FW$7&lt;=GL$6),$CR119:$FW119)*GD119</f>
        <v>0</v>
      </c>
      <c r="GM119" s="145" cm="1">
        <f t="array" ref="GM119">SUMPRODUCT(--($CR$7:$FW$7&gt;=GM$5),--($CR$7:$FW$7&lt;=GM$6),$CR119:$FW119)*GE119</f>
        <v>0</v>
      </c>
      <c r="GN119" s="145" cm="1">
        <f t="array" ref="GN119">SUMPRODUCT(--($CR$7:$FW$7&gt;=GN$5),--($CR$7:$FW$7&lt;=GN$6),$CR119:$FW119)*GF119</f>
        <v>0</v>
      </c>
      <c r="GO119" s="145">
        <f t="shared" si="1"/>
        <v>0</v>
      </c>
      <c r="GP119" s="87"/>
      <c r="GR119" s="145" cm="1">
        <f t="array" ref="GR119">SUMPRODUCT(--($CR$7:$FW$7&gt;=GR$5),--($CR$7:$FW$7&lt;=GR$6),$CR119:$FW119)</f>
        <v>0</v>
      </c>
    </row>
    <row r="120" spans="2:200" x14ac:dyDescent="0.2">
      <c r="B120" s="141"/>
      <c r="C120" s="141"/>
      <c r="D120" s="141"/>
      <c r="E120" s="141"/>
      <c r="F120" s="141"/>
      <c r="G120" s="141"/>
      <c r="H120" s="142"/>
      <c r="I120" s="126"/>
      <c r="J120" s="143"/>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3"/>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c r="EE120" s="145"/>
      <c r="EF120" s="145"/>
      <c r="EG120" s="145"/>
      <c r="EH120" s="145"/>
      <c r="EI120" s="145"/>
      <c r="EJ120" s="145"/>
      <c r="EK120" s="145"/>
      <c r="EL120" s="145"/>
      <c r="EM120" s="145"/>
      <c r="EN120" s="145"/>
      <c r="EO120" s="145"/>
      <c r="EP120" s="145"/>
      <c r="EQ120" s="145"/>
      <c r="ER120" s="145"/>
      <c r="ES120" s="145"/>
      <c r="ET120" s="145"/>
      <c r="EU120" s="145"/>
      <c r="EV120" s="145"/>
      <c r="EW120" s="145"/>
      <c r="EX120" s="145"/>
      <c r="EY120" s="145"/>
      <c r="EZ120" s="145"/>
      <c r="FA120" s="145"/>
      <c r="FB120" s="145"/>
      <c r="FC120" s="145"/>
      <c r="FD120" s="145"/>
      <c r="FE120" s="145"/>
      <c r="FF120" s="145"/>
      <c r="FG120" s="145"/>
      <c r="FH120" s="145"/>
      <c r="FI120" s="145"/>
      <c r="FJ120" s="145"/>
      <c r="FK120" s="145"/>
      <c r="FL120" s="145"/>
      <c r="FM120" s="145"/>
      <c r="FN120" s="145"/>
      <c r="FO120" s="145"/>
      <c r="FP120" s="145"/>
      <c r="FQ120" s="145"/>
      <c r="FR120" s="145"/>
      <c r="FS120" s="145"/>
      <c r="FT120" s="145"/>
      <c r="FU120" s="145"/>
      <c r="FV120" s="145"/>
      <c r="FW120" s="145"/>
      <c r="FX120" s="143"/>
      <c r="FY120" s="146">
        <f>_xlfn.XLOOKUP($E120,'Key assumptions'!$B$112:$B$120,'Key assumptions'!$C$112:$C$120,0)</f>
        <v>0</v>
      </c>
      <c r="FZ120" s="146" cm="1">
        <f t="array" ref="FZ120">IF($FY120=0,0,_xlfn.IFS($FY120='Key assumptions'!$C$120,_xlfn.XLOOKUP(LEFT(FZ$7,6),Inflation_Year,Inflation_NominaltoReal),TRUE,_xlfn.XLOOKUP($FY120,Inflation_Year,NominaltoReal)))</f>
        <v>0</v>
      </c>
      <c r="GA120" s="146" cm="1">
        <f t="array" ref="GA120">IF($FY120=0,0,_xlfn.IFS($FY120='Key assumptions'!$C$120,_xlfn.XLOOKUP(LEFT(GA$7,6),Inflation_Year,Inflation_NominaltoReal),TRUE,_xlfn.XLOOKUP($FY120,Inflation_Year,NominaltoReal)))</f>
        <v>0</v>
      </c>
      <c r="GB120" s="146" cm="1">
        <f t="array" ref="GB120">IF($FY120=0,0,_xlfn.IFS($FY120='Key assumptions'!$C$120,_xlfn.XLOOKUP(LEFT(GB$7,6),Inflation_Year,Inflation_NominaltoReal),TRUE,_xlfn.XLOOKUP($FY120,Inflation_Year,NominaltoReal)))</f>
        <v>0</v>
      </c>
      <c r="GC120" s="146" cm="1">
        <f t="array" ref="GC120">IF($FY120=0,0,_xlfn.IFS($FY120='Key assumptions'!$C$120,_xlfn.XLOOKUP(LEFT(GC$7,6),Inflation_Year,Inflation_NominaltoReal),TRUE,_xlfn.XLOOKUP($FY120,Inflation_Year,NominaltoReal)))</f>
        <v>0</v>
      </c>
      <c r="GD120" s="146" cm="1">
        <f t="array" ref="GD120">IF($FY120=0,0,_xlfn.IFS($FY120='Key assumptions'!$C$120,_xlfn.XLOOKUP(LEFT(GD$7,6),Inflation_Year,Inflation_NominaltoReal),TRUE,_xlfn.XLOOKUP($FY120,Inflation_Year,NominaltoReal)))</f>
        <v>0</v>
      </c>
      <c r="GE120" s="146" cm="1">
        <f t="array" ref="GE120">IF($FY120=0,0,_xlfn.IFS($FY120='Key assumptions'!$C$120,_xlfn.XLOOKUP(LEFT(GE$7,6),Inflation_Year,Inflation_NominaltoReal),TRUE,_xlfn.XLOOKUP($FY120,Inflation_Year,NominaltoReal)))</f>
        <v>0</v>
      </c>
      <c r="GF120" s="146" cm="1">
        <f t="array" ref="GF120">IF($FY120=0,0,_xlfn.IFS($FY120='Key assumptions'!$C$120,_xlfn.XLOOKUP(LEFT(GF$7,6),Inflation_Year,Inflation_NominaltoReal),TRUE,_xlfn.XLOOKUP($FY120,Inflation_Year,NominaltoReal)))</f>
        <v>0</v>
      </c>
      <c r="GG120" s="143"/>
      <c r="GH120" s="145" cm="1">
        <f t="array" ref="GH120">SUMPRODUCT(--($CR$7:$FW$7&gt;=GH$5),--($CR$7:$FW$7&lt;=GH$6),$CR120:$FW120)*FZ120</f>
        <v>0</v>
      </c>
      <c r="GI120" s="145" cm="1">
        <f t="array" ref="GI120">SUMPRODUCT(--($CR$7:$FW$7&gt;=GI$5),--($CR$7:$FW$7&lt;=GI$6),$CR120:$FW120)*GA120</f>
        <v>0</v>
      </c>
      <c r="GJ120" s="145" cm="1">
        <f t="array" ref="GJ120">SUMPRODUCT(--($CR$7:$FW$7&gt;=GJ$5),--($CR$7:$FW$7&lt;=GJ$6),$CR120:$FW120)*GB120</f>
        <v>0</v>
      </c>
      <c r="GK120" s="145" cm="1">
        <f t="array" ref="GK120">SUMPRODUCT(--($CR$7:$FW$7&gt;=GK$5),--($CR$7:$FW$7&lt;=GK$6),$CR120:$FW120)*GC120</f>
        <v>0</v>
      </c>
      <c r="GL120" s="145" cm="1">
        <f t="array" ref="GL120">SUMPRODUCT(--($CR$7:$FW$7&gt;=GL$5),--($CR$7:$FW$7&lt;=GL$6),$CR120:$FW120)*GD120</f>
        <v>0</v>
      </c>
      <c r="GM120" s="145" cm="1">
        <f t="array" ref="GM120">SUMPRODUCT(--($CR$7:$FW$7&gt;=GM$5),--($CR$7:$FW$7&lt;=GM$6),$CR120:$FW120)*GE120</f>
        <v>0</v>
      </c>
      <c r="GN120" s="145" cm="1">
        <f t="array" ref="GN120">SUMPRODUCT(--($CR$7:$FW$7&gt;=GN$5),--($CR$7:$FW$7&lt;=GN$6),$CR120:$FW120)*GF120</f>
        <v>0</v>
      </c>
      <c r="GO120" s="145">
        <f t="shared" si="1"/>
        <v>0</v>
      </c>
      <c r="GP120" s="87"/>
      <c r="GR120" s="145" cm="1">
        <f t="array" ref="GR120">SUMPRODUCT(--($CR$7:$FW$7&gt;=GR$5),--($CR$7:$FW$7&lt;=GR$6),$CR120:$FW120)</f>
        <v>0</v>
      </c>
    </row>
    <row r="121" spans="2:200" x14ac:dyDescent="0.2">
      <c r="B121" s="141"/>
      <c r="C121" s="141"/>
      <c r="D121" s="141"/>
      <c r="E121" s="141"/>
      <c r="F121" s="141"/>
      <c r="G121" s="141"/>
      <c r="H121" s="142"/>
      <c r="I121" s="126"/>
      <c r="J121" s="143"/>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3"/>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c r="EE121" s="145"/>
      <c r="EF121" s="145"/>
      <c r="EG121" s="145"/>
      <c r="EH121" s="145"/>
      <c r="EI121" s="145"/>
      <c r="EJ121" s="145"/>
      <c r="EK121" s="145"/>
      <c r="EL121" s="145"/>
      <c r="EM121" s="145"/>
      <c r="EN121" s="145"/>
      <c r="EO121" s="145"/>
      <c r="EP121" s="145"/>
      <c r="EQ121" s="145"/>
      <c r="ER121" s="145"/>
      <c r="ES121" s="145"/>
      <c r="ET121" s="145"/>
      <c r="EU121" s="145"/>
      <c r="EV121" s="145"/>
      <c r="EW121" s="145"/>
      <c r="EX121" s="145"/>
      <c r="EY121" s="145"/>
      <c r="EZ121" s="145"/>
      <c r="FA121" s="145"/>
      <c r="FB121" s="145"/>
      <c r="FC121" s="145"/>
      <c r="FD121" s="145"/>
      <c r="FE121" s="145"/>
      <c r="FF121" s="145"/>
      <c r="FG121" s="145"/>
      <c r="FH121" s="145"/>
      <c r="FI121" s="145"/>
      <c r="FJ121" s="145"/>
      <c r="FK121" s="145"/>
      <c r="FL121" s="145"/>
      <c r="FM121" s="145"/>
      <c r="FN121" s="145"/>
      <c r="FO121" s="145"/>
      <c r="FP121" s="145"/>
      <c r="FQ121" s="145"/>
      <c r="FR121" s="145"/>
      <c r="FS121" s="145"/>
      <c r="FT121" s="145"/>
      <c r="FU121" s="145"/>
      <c r="FV121" s="145"/>
      <c r="FW121" s="145"/>
      <c r="FX121" s="143"/>
      <c r="FY121" s="146">
        <f>_xlfn.XLOOKUP($E121,'Key assumptions'!$B$112:$B$120,'Key assumptions'!$C$112:$C$120,0)</f>
        <v>0</v>
      </c>
      <c r="FZ121" s="146" cm="1">
        <f t="array" ref="FZ121">IF($FY121=0,0,_xlfn.IFS($FY121='Key assumptions'!$C$120,_xlfn.XLOOKUP(LEFT(FZ$7,6),Inflation_Year,Inflation_NominaltoReal),TRUE,_xlfn.XLOOKUP($FY121,Inflation_Year,NominaltoReal)))</f>
        <v>0</v>
      </c>
      <c r="GA121" s="146" cm="1">
        <f t="array" ref="GA121">IF($FY121=0,0,_xlfn.IFS($FY121='Key assumptions'!$C$120,_xlfn.XLOOKUP(LEFT(GA$7,6),Inflation_Year,Inflation_NominaltoReal),TRUE,_xlfn.XLOOKUP($FY121,Inflation_Year,NominaltoReal)))</f>
        <v>0</v>
      </c>
      <c r="GB121" s="146" cm="1">
        <f t="array" ref="GB121">IF($FY121=0,0,_xlfn.IFS($FY121='Key assumptions'!$C$120,_xlfn.XLOOKUP(LEFT(GB$7,6),Inflation_Year,Inflation_NominaltoReal),TRUE,_xlfn.XLOOKUP($FY121,Inflation_Year,NominaltoReal)))</f>
        <v>0</v>
      </c>
      <c r="GC121" s="146" cm="1">
        <f t="array" ref="GC121">IF($FY121=0,0,_xlfn.IFS($FY121='Key assumptions'!$C$120,_xlfn.XLOOKUP(LEFT(GC$7,6),Inflation_Year,Inflation_NominaltoReal),TRUE,_xlfn.XLOOKUP($FY121,Inflation_Year,NominaltoReal)))</f>
        <v>0</v>
      </c>
      <c r="GD121" s="146" cm="1">
        <f t="array" ref="GD121">IF($FY121=0,0,_xlfn.IFS($FY121='Key assumptions'!$C$120,_xlfn.XLOOKUP(LEFT(GD$7,6),Inflation_Year,Inflation_NominaltoReal),TRUE,_xlfn.XLOOKUP($FY121,Inflation_Year,NominaltoReal)))</f>
        <v>0</v>
      </c>
      <c r="GE121" s="146" cm="1">
        <f t="array" ref="GE121">IF($FY121=0,0,_xlfn.IFS($FY121='Key assumptions'!$C$120,_xlfn.XLOOKUP(LEFT(GE$7,6),Inflation_Year,Inflation_NominaltoReal),TRUE,_xlfn.XLOOKUP($FY121,Inflation_Year,NominaltoReal)))</f>
        <v>0</v>
      </c>
      <c r="GF121" s="146" cm="1">
        <f t="array" ref="GF121">IF($FY121=0,0,_xlfn.IFS($FY121='Key assumptions'!$C$120,_xlfn.XLOOKUP(LEFT(GF$7,6),Inflation_Year,Inflation_NominaltoReal),TRUE,_xlfn.XLOOKUP($FY121,Inflation_Year,NominaltoReal)))</f>
        <v>0</v>
      </c>
      <c r="GG121" s="143"/>
      <c r="GH121" s="145" cm="1">
        <f t="array" ref="GH121">SUMPRODUCT(--($CR$7:$FW$7&gt;=GH$5),--($CR$7:$FW$7&lt;=GH$6),$CR121:$FW121)*FZ121</f>
        <v>0</v>
      </c>
      <c r="GI121" s="145" cm="1">
        <f t="array" ref="GI121">SUMPRODUCT(--($CR$7:$FW$7&gt;=GI$5),--($CR$7:$FW$7&lt;=GI$6),$CR121:$FW121)*GA121</f>
        <v>0</v>
      </c>
      <c r="GJ121" s="145" cm="1">
        <f t="array" ref="GJ121">SUMPRODUCT(--($CR$7:$FW$7&gt;=GJ$5),--($CR$7:$FW$7&lt;=GJ$6),$CR121:$FW121)*GB121</f>
        <v>0</v>
      </c>
      <c r="GK121" s="145" cm="1">
        <f t="array" ref="GK121">SUMPRODUCT(--($CR$7:$FW$7&gt;=GK$5),--($CR$7:$FW$7&lt;=GK$6),$CR121:$FW121)*GC121</f>
        <v>0</v>
      </c>
      <c r="GL121" s="145" cm="1">
        <f t="array" ref="GL121">SUMPRODUCT(--($CR$7:$FW$7&gt;=GL$5),--($CR$7:$FW$7&lt;=GL$6),$CR121:$FW121)*GD121</f>
        <v>0</v>
      </c>
      <c r="GM121" s="145" cm="1">
        <f t="array" ref="GM121">SUMPRODUCT(--($CR$7:$FW$7&gt;=GM$5),--($CR$7:$FW$7&lt;=GM$6),$CR121:$FW121)*GE121</f>
        <v>0</v>
      </c>
      <c r="GN121" s="145" cm="1">
        <f t="array" ref="GN121">SUMPRODUCT(--($CR$7:$FW$7&gt;=GN$5),--($CR$7:$FW$7&lt;=GN$6),$CR121:$FW121)*GF121</f>
        <v>0</v>
      </c>
      <c r="GO121" s="145">
        <f t="shared" si="1"/>
        <v>0</v>
      </c>
      <c r="GP121" s="87"/>
      <c r="GR121" s="145" cm="1">
        <f t="array" ref="GR121">SUMPRODUCT(--($CR$7:$FW$7&gt;=GR$5),--($CR$7:$FW$7&lt;=GR$6),$CR121:$FW121)</f>
        <v>0</v>
      </c>
    </row>
    <row r="122" spans="2:200" x14ac:dyDescent="0.2">
      <c r="B122" s="141"/>
      <c r="C122" s="141"/>
      <c r="D122" s="141"/>
      <c r="E122" s="141"/>
      <c r="F122" s="141"/>
      <c r="G122" s="141"/>
      <c r="H122" s="142"/>
      <c r="I122" s="126"/>
      <c r="J122" s="143"/>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3"/>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c r="EE122" s="145"/>
      <c r="EF122" s="145"/>
      <c r="EG122" s="145"/>
      <c r="EH122" s="145"/>
      <c r="EI122" s="145"/>
      <c r="EJ122" s="145"/>
      <c r="EK122" s="145"/>
      <c r="EL122" s="145"/>
      <c r="EM122" s="145"/>
      <c r="EN122" s="145"/>
      <c r="EO122" s="145"/>
      <c r="EP122" s="145"/>
      <c r="EQ122" s="145"/>
      <c r="ER122" s="145"/>
      <c r="ES122" s="145"/>
      <c r="ET122" s="145"/>
      <c r="EU122" s="145"/>
      <c r="EV122" s="145"/>
      <c r="EW122" s="145"/>
      <c r="EX122" s="145"/>
      <c r="EY122" s="145"/>
      <c r="EZ122" s="145"/>
      <c r="FA122" s="145"/>
      <c r="FB122" s="145"/>
      <c r="FC122" s="145"/>
      <c r="FD122" s="145"/>
      <c r="FE122" s="145"/>
      <c r="FF122" s="145"/>
      <c r="FG122" s="145"/>
      <c r="FH122" s="145"/>
      <c r="FI122" s="145"/>
      <c r="FJ122" s="145"/>
      <c r="FK122" s="145"/>
      <c r="FL122" s="145"/>
      <c r="FM122" s="145"/>
      <c r="FN122" s="145"/>
      <c r="FO122" s="145"/>
      <c r="FP122" s="145"/>
      <c r="FQ122" s="145"/>
      <c r="FR122" s="145"/>
      <c r="FS122" s="145"/>
      <c r="FT122" s="145"/>
      <c r="FU122" s="145"/>
      <c r="FV122" s="145"/>
      <c r="FW122" s="145"/>
      <c r="FX122" s="143"/>
      <c r="FY122" s="146">
        <f>_xlfn.XLOOKUP($E122,'Key assumptions'!$B$112:$B$120,'Key assumptions'!$C$112:$C$120,0)</f>
        <v>0</v>
      </c>
      <c r="FZ122" s="146" cm="1">
        <f t="array" ref="FZ122">IF($FY122=0,0,_xlfn.IFS($FY122='Key assumptions'!$C$120,_xlfn.XLOOKUP(LEFT(FZ$7,6),Inflation_Year,Inflation_NominaltoReal),TRUE,_xlfn.XLOOKUP($FY122,Inflation_Year,NominaltoReal)))</f>
        <v>0</v>
      </c>
      <c r="GA122" s="146" cm="1">
        <f t="array" ref="GA122">IF($FY122=0,0,_xlfn.IFS($FY122='Key assumptions'!$C$120,_xlfn.XLOOKUP(LEFT(GA$7,6),Inflation_Year,Inflation_NominaltoReal),TRUE,_xlfn.XLOOKUP($FY122,Inflation_Year,NominaltoReal)))</f>
        <v>0</v>
      </c>
      <c r="GB122" s="146" cm="1">
        <f t="array" ref="GB122">IF($FY122=0,0,_xlfn.IFS($FY122='Key assumptions'!$C$120,_xlfn.XLOOKUP(LEFT(GB$7,6),Inflation_Year,Inflation_NominaltoReal),TRUE,_xlfn.XLOOKUP($FY122,Inflation_Year,NominaltoReal)))</f>
        <v>0</v>
      </c>
      <c r="GC122" s="146" cm="1">
        <f t="array" ref="GC122">IF($FY122=0,0,_xlfn.IFS($FY122='Key assumptions'!$C$120,_xlfn.XLOOKUP(LEFT(GC$7,6),Inflation_Year,Inflation_NominaltoReal),TRUE,_xlfn.XLOOKUP($FY122,Inflation_Year,NominaltoReal)))</f>
        <v>0</v>
      </c>
      <c r="GD122" s="146" cm="1">
        <f t="array" ref="GD122">IF($FY122=0,0,_xlfn.IFS($FY122='Key assumptions'!$C$120,_xlfn.XLOOKUP(LEFT(GD$7,6),Inflation_Year,Inflation_NominaltoReal),TRUE,_xlfn.XLOOKUP($FY122,Inflation_Year,NominaltoReal)))</f>
        <v>0</v>
      </c>
      <c r="GE122" s="146" cm="1">
        <f t="array" ref="GE122">IF($FY122=0,0,_xlfn.IFS($FY122='Key assumptions'!$C$120,_xlfn.XLOOKUP(LEFT(GE$7,6),Inflation_Year,Inflation_NominaltoReal),TRUE,_xlfn.XLOOKUP($FY122,Inflation_Year,NominaltoReal)))</f>
        <v>0</v>
      </c>
      <c r="GF122" s="146" cm="1">
        <f t="array" ref="GF122">IF($FY122=0,0,_xlfn.IFS($FY122='Key assumptions'!$C$120,_xlfn.XLOOKUP(LEFT(GF$7,6),Inflation_Year,Inflation_NominaltoReal),TRUE,_xlfn.XLOOKUP($FY122,Inflation_Year,NominaltoReal)))</f>
        <v>0</v>
      </c>
      <c r="GG122" s="143"/>
      <c r="GH122" s="145" cm="1">
        <f t="array" ref="GH122">SUMPRODUCT(--($CR$7:$FW$7&gt;=GH$5),--($CR$7:$FW$7&lt;=GH$6),$CR122:$FW122)*FZ122</f>
        <v>0</v>
      </c>
      <c r="GI122" s="145" cm="1">
        <f t="array" ref="GI122">SUMPRODUCT(--($CR$7:$FW$7&gt;=GI$5),--($CR$7:$FW$7&lt;=GI$6),$CR122:$FW122)*GA122</f>
        <v>0</v>
      </c>
      <c r="GJ122" s="145" cm="1">
        <f t="array" ref="GJ122">SUMPRODUCT(--($CR$7:$FW$7&gt;=GJ$5),--($CR$7:$FW$7&lt;=GJ$6),$CR122:$FW122)*GB122</f>
        <v>0</v>
      </c>
      <c r="GK122" s="145" cm="1">
        <f t="array" ref="GK122">SUMPRODUCT(--($CR$7:$FW$7&gt;=GK$5),--($CR$7:$FW$7&lt;=GK$6),$CR122:$FW122)*GC122</f>
        <v>0</v>
      </c>
      <c r="GL122" s="145" cm="1">
        <f t="array" ref="GL122">SUMPRODUCT(--($CR$7:$FW$7&gt;=GL$5),--($CR$7:$FW$7&lt;=GL$6),$CR122:$FW122)*GD122</f>
        <v>0</v>
      </c>
      <c r="GM122" s="145" cm="1">
        <f t="array" ref="GM122">SUMPRODUCT(--($CR$7:$FW$7&gt;=GM$5),--($CR$7:$FW$7&lt;=GM$6),$CR122:$FW122)*GE122</f>
        <v>0</v>
      </c>
      <c r="GN122" s="145" cm="1">
        <f t="array" ref="GN122">SUMPRODUCT(--($CR$7:$FW$7&gt;=GN$5),--($CR$7:$FW$7&lt;=GN$6),$CR122:$FW122)*GF122</f>
        <v>0</v>
      </c>
      <c r="GO122" s="145">
        <f t="shared" si="1"/>
        <v>0</v>
      </c>
      <c r="GP122" s="87"/>
      <c r="GR122" s="145" cm="1">
        <f t="array" ref="GR122">SUMPRODUCT(--($CR$7:$FW$7&gt;=GR$5),--($CR$7:$FW$7&lt;=GR$6),$CR122:$FW122)</f>
        <v>0</v>
      </c>
    </row>
    <row r="123" spans="2:200" x14ac:dyDescent="0.2">
      <c r="B123" s="141"/>
      <c r="C123" s="141"/>
      <c r="D123" s="141"/>
      <c r="E123" s="141"/>
      <c r="F123" s="141"/>
      <c r="G123" s="141"/>
      <c r="H123" s="142"/>
      <c r="I123" s="126"/>
      <c r="J123" s="143"/>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3"/>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c r="EE123" s="145"/>
      <c r="EF123" s="145"/>
      <c r="EG123" s="145"/>
      <c r="EH123" s="145"/>
      <c r="EI123" s="145"/>
      <c r="EJ123" s="145"/>
      <c r="EK123" s="145"/>
      <c r="EL123" s="145"/>
      <c r="EM123" s="145"/>
      <c r="EN123" s="145"/>
      <c r="EO123" s="145"/>
      <c r="EP123" s="145"/>
      <c r="EQ123" s="145"/>
      <c r="ER123" s="145"/>
      <c r="ES123" s="145"/>
      <c r="ET123" s="145"/>
      <c r="EU123" s="145"/>
      <c r="EV123" s="145"/>
      <c r="EW123" s="145"/>
      <c r="EX123" s="145"/>
      <c r="EY123" s="145"/>
      <c r="EZ123" s="145"/>
      <c r="FA123" s="145"/>
      <c r="FB123" s="145"/>
      <c r="FC123" s="145"/>
      <c r="FD123" s="145"/>
      <c r="FE123" s="145"/>
      <c r="FF123" s="145"/>
      <c r="FG123" s="145"/>
      <c r="FH123" s="145"/>
      <c r="FI123" s="145"/>
      <c r="FJ123" s="145"/>
      <c r="FK123" s="145"/>
      <c r="FL123" s="145"/>
      <c r="FM123" s="145"/>
      <c r="FN123" s="145"/>
      <c r="FO123" s="145"/>
      <c r="FP123" s="145"/>
      <c r="FQ123" s="145"/>
      <c r="FR123" s="145"/>
      <c r="FS123" s="145"/>
      <c r="FT123" s="145"/>
      <c r="FU123" s="145"/>
      <c r="FV123" s="145"/>
      <c r="FW123" s="145"/>
      <c r="FX123" s="143"/>
      <c r="FY123" s="146">
        <f>_xlfn.XLOOKUP($E123,'Key assumptions'!$B$112:$B$120,'Key assumptions'!$C$112:$C$120,0)</f>
        <v>0</v>
      </c>
      <c r="FZ123" s="146" cm="1">
        <f t="array" ref="FZ123">IF($FY123=0,0,_xlfn.IFS($FY123='Key assumptions'!$C$120,_xlfn.XLOOKUP(LEFT(FZ$7,6),Inflation_Year,Inflation_NominaltoReal),TRUE,_xlfn.XLOOKUP($FY123,Inflation_Year,NominaltoReal)))</f>
        <v>0</v>
      </c>
      <c r="GA123" s="146" cm="1">
        <f t="array" ref="GA123">IF($FY123=0,0,_xlfn.IFS($FY123='Key assumptions'!$C$120,_xlfn.XLOOKUP(LEFT(GA$7,6),Inflation_Year,Inflation_NominaltoReal),TRUE,_xlfn.XLOOKUP($FY123,Inflation_Year,NominaltoReal)))</f>
        <v>0</v>
      </c>
      <c r="GB123" s="146" cm="1">
        <f t="array" ref="GB123">IF($FY123=0,0,_xlfn.IFS($FY123='Key assumptions'!$C$120,_xlfn.XLOOKUP(LEFT(GB$7,6),Inflation_Year,Inflation_NominaltoReal),TRUE,_xlfn.XLOOKUP($FY123,Inflation_Year,NominaltoReal)))</f>
        <v>0</v>
      </c>
      <c r="GC123" s="146" cm="1">
        <f t="array" ref="GC123">IF($FY123=0,0,_xlfn.IFS($FY123='Key assumptions'!$C$120,_xlfn.XLOOKUP(LEFT(GC$7,6),Inflation_Year,Inflation_NominaltoReal),TRUE,_xlfn.XLOOKUP($FY123,Inflation_Year,NominaltoReal)))</f>
        <v>0</v>
      </c>
      <c r="GD123" s="146" cm="1">
        <f t="array" ref="GD123">IF($FY123=0,0,_xlfn.IFS($FY123='Key assumptions'!$C$120,_xlfn.XLOOKUP(LEFT(GD$7,6),Inflation_Year,Inflation_NominaltoReal),TRUE,_xlfn.XLOOKUP($FY123,Inflation_Year,NominaltoReal)))</f>
        <v>0</v>
      </c>
      <c r="GE123" s="146" cm="1">
        <f t="array" ref="GE123">IF($FY123=0,0,_xlfn.IFS($FY123='Key assumptions'!$C$120,_xlfn.XLOOKUP(LEFT(GE$7,6),Inflation_Year,Inflation_NominaltoReal),TRUE,_xlfn.XLOOKUP($FY123,Inflation_Year,NominaltoReal)))</f>
        <v>0</v>
      </c>
      <c r="GF123" s="146" cm="1">
        <f t="array" ref="GF123">IF($FY123=0,0,_xlfn.IFS($FY123='Key assumptions'!$C$120,_xlfn.XLOOKUP(LEFT(GF$7,6),Inflation_Year,Inflation_NominaltoReal),TRUE,_xlfn.XLOOKUP($FY123,Inflation_Year,NominaltoReal)))</f>
        <v>0</v>
      </c>
      <c r="GG123" s="143"/>
      <c r="GH123" s="145" cm="1">
        <f t="array" ref="GH123">SUMPRODUCT(--($CR$7:$FW$7&gt;=GH$5),--($CR$7:$FW$7&lt;=GH$6),$CR123:$FW123)*FZ123</f>
        <v>0</v>
      </c>
      <c r="GI123" s="145" cm="1">
        <f t="array" ref="GI123">SUMPRODUCT(--($CR$7:$FW$7&gt;=GI$5),--($CR$7:$FW$7&lt;=GI$6),$CR123:$FW123)*GA123</f>
        <v>0</v>
      </c>
      <c r="GJ123" s="145" cm="1">
        <f t="array" ref="GJ123">SUMPRODUCT(--($CR$7:$FW$7&gt;=GJ$5),--($CR$7:$FW$7&lt;=GJ$6),$CR123:$FW123)*GB123</f>
        <v>0</v>
      </c>
      <c r="GK123" s="145" cm="1">
        <f t="array" ref="GK123">SUMPRODUCT(--($CR$7:$FW$7&gt;=GK$5),--($CR$7:$FW$7&lt;=GK$6),$CR123:$FW123)*GC123</f>
        <v>0</v>
      </c>
      <c r="GL123" s="145" cm="1">
        <f t="array" ref="GL123">SUMPRODUCT(--($CR$7:$FW$7&gt;=GL$5),--($CR$7:$FW$7&lt;=GL$6),$CR123:$FW123)*GD123</f>
        <v>0</v>
      </c>
      <c r="GM123" s="145" cm="1">
        <f t="array" ref="GM123">SUMPRODUCT(--($CR$7:$FW$7&gt;=GM$5),--($CR$7:$FW$7&lt;=GM$6),$CR123:$FW123)*GE123</f>
        <v>0</v>
      </c>
      <c r="GN123" s="145" cm="1">
        <f t="array" ref="GN123">SUMPRODUCT(--($CR$7:$FW$7&gt;=GN$5),--($CR$7:$FW$7&lt;=GN$6),$CR123:$FW123)*GF123</f>
        <v>0</v>
      </c>
      <c r="GO123" s="145">
        <f t="shared" si="1"/>
        <v>0</v>
      </c>
      <c r="GP123" s="87"/>
      <c r="GR123" s="145" cm="1">
        <f t="array" ref="GR123">SUMPRODUCT(--($CR$7:$FW$7&gt;=GR$5),--($CR$7:$FW$7&lt;=GR$6),$CR123:$FW123)</f>
        <v>0</v>
      </c>
    </row>
    <row r="124" spans="2:200" x14ac:dyDescent="0.2">
      <c r="B124" s="141"/>
      <c r="C124" s="141"/>
      <c r="D124" s="141"/>
      <c r="E124" s="141"/>
      <c r="F124" s="141"/>
      <c r="G124" s="141"/>
      <c r="H124" s="142"/>
      <c r="I124" s="126"/>
      <c r="J124" s="143"/>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3"/>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c r="EE124" s="145"/>
      <c r="EF124" s="145"/>
      <c r="EG124" s="145"/>
      <c r="EH124" s="145"/>
      <c r="EI124" s="145"/>
      <c r="EJ124" s="145"/>
      <c r="EK124" s="145"/>
      <c r="EL124" s="145"/>
      <c r="EM124" s="145"/>
      <c r="EN124" s="145"/>
      <c r="EO124" s="145"/>
      <c r="EP124" s="145"/>
      <c r="EQ124" s="145"/>
      <c r="ER124" s="145"/>
      <c r="ES124" s="145"/>
      <c r="ET124" s="145"/>
      <c r="EU124" s="145"/>
      <c r="EV124" s="145"/>
      <c r="EW124" s="145"/>
      <c r="EX124" s="145"/>
      <c r="EY124" s="145"/>
      <c r="EZ124" s="145"/>
      <c r="FA124" s="145"/>
      <c r="FB124" s="145"/>
      <c r="FC124" s="145"/>
      <c r="FD124" s="145"/>
      <c r="FE124" s="145"/>
      <c r="FF124" s="145"/>
      <c r="FG124" s="145"/>
      <c r="FH124" s="145"/>
      <c r="FI124" s="145"/>
      <c r="FJ124" s="145"/>
      <c r="FK124" s="145"/>
      <c r="FL124" s="145"/>
      <c r="FM124" s="145"/>
      <c r="FN124" s="145"/>
      <c r="FO124" s="145"/>
      <c r="FP124" s="145"/>
      <c r="FQ124" s="145"/>
      <c r="FR124" s="145"/>
      <c r="FS124" s="145"/>
      <c r="FT124" s="145"/>
      <c r="FU124" s="145"/>
      <c r="FV124" s="145"/>
      <c r="FW124" s="145"/>
      <c r="FX124" s="143"/>
      <c r="FY124" s="146">
        <f>_xlfn.XLOOKUP($E124,'Key assumptions'!$B$112:$B$120,'Key assumptions'!$C$112:$C$120,0)</f>
        <v>0</v>
      </c>
      <c r="FZ124" s="146" cm="1">
        <f t="array" ref="FZ124">IF($FY124=0,0,_xlfn.IFS($FY124='Key assumptions'!$C$120,_xlfn.XLOOKUP(LEFT(FZ$7,6),Inflation_Year,Inflation_NominaltoReal),TRUE,_xlfn.XLOOKUP($FY124,Inflation_Year,NominaltoReal)))</f>
        <v>0</v>
      </c>
      <c r="GA124" s="146" cm="1">
        <f t="array" ref="GA124">IF($FY124=0,0,_xlfn.IFS($FY124='Key assumptions'!$C$120,_xlfn.XLOOKUP(LEFT(GA$7,6),Inflation_Year,Inflation_NominaltoReal),TRUE,_xlfn.XLOOKUP($FY124,Inflation_Year,NominaltoReal)))</f>
        <v>0</v>
      </c>
      <c r="GB124" s="146" cm="1">
        <f t="array" ref="GB124">IF($FY124=0,0,_xlfn.IFS($FY124='Key assumptions'!$C$120,_xlfn.XLOOKUP(LEFT(GB$7,6),Inflation_Year,Inflation_NominaltoReal),TRUE,_xlfn.XLOOKUP($FY124,Inflation_Year,NominaltoReal)))</f>
        <v>0</v>
      </c>
      <c r="GC124" s="146" cm="1">
        <f t="array" ref="GC124">IF($FY124=0,0,_xlfn.IFS($FY124='Key assumptions'!$C$120,_xlfn.XLOOKUP(LEFT(GC$7,6),Inflation_Year,Inflation_NominaltoReal),TRUE,_xlfn.XLOOKUP($FY124,Inflation_Year,NominaltoReal)))</f>
        <v>0</v>
      </c>
      <c r="GD124" s="146" cm="1">
        <f t="array" ref="GD124">IF($FY124=0,0,_xlfn.IFS($FY124='Key assumptions'!$C$120,_xlfn.XLOOKUP(LEFT(GD$7,6),Inflation_Year,Inflation_NominaltoReal),TRUE,_xlfn.XLOOKUP($FY124,Inflation_Year,NominaltoReal)))</f>
        <v>0</v>
      </c>
      <c r="GE124" s="146" cm="1">
        <f t="array" ref="GE124">IF($FY124=0,0,_xlfn.IFS($FY124='Key assumptions'!$C$120,_xlfn.XLOOKUP(LEFT(GE$7,6),Inflation_Year,Inflation_NominaltoReal),TRUE,_xlfn.XLOOKUP($FY124,Inflation_Year,NominaltoReal)))</f>
        <v>0</v>
      </c>
      <c r="GF124" s="146" cm="1">
        <f t="array" ref="GF124">IF($FY124=0,0,_xlfn.IFS($FY124='Key assumptions'!$C$120,_xlfn.XLOOKUP(LEFT(GF$7,6),Inflation_Year,Inflation_NominaltoReal),TRUE,_xlfn.XLOOKUP($FY124,Inflation_Year,NominaltoReal)))</f>
        <v>0</v>
      </c>
      <c r="GG124" s="143"/>
      <c r="GH124" s="145" cm="1">
        <f t="array" ref="GH124">SUMPRODUCT(--($CR$7:$FW$7&gt;=GH$5),--($CR$7:$FW$7&lt;=GH$6),$CR124:$FW124)*FZ124</f>
        <v>0</v>
      </c>
      <c r="GI124" s="145" cm="1">
        <f t="array" ref="GI124">SUMPRODUCT(--($CR$7:$FW$7&gt;=GI$5),--($CR$7:$FW$7&lt;=GI$6),$CR124:$FW124)*GA124</f>
        <v>0</v>
      </c>
      <c r="GJ124" s="145" cm="1">
        <f t="array" ref="GJ124">SUMPRODUCT(--($CR$7:$FW$7&gt;=GJ$5),--($CR$7:$FW$7&lt;=GJ$6),$CR124:$FW124)*GB124</f>
        <v>0</v>
      </c>
      <c r="GK124" s="145" cm="1">
        <f t="array" ref="GK124">SUMPRODUCT(--($CR$7:$FW$7&gt;=GK$5),--($CR$7:$FW$7&lt;=GK$6),$CR124:$FW124)*GC124</f>
        <v>0</v>
      </c>
      <c r="GL124" s="145" cm="1">
        <f t="array" ref="GL124">SUMPRODUCT(--($CR$7:$FW$7&gt;=GL$5),--($CR$7:$FW$7&lt;=GL$6),$CR124:$FW124)*GD124</f>
        <v>0</v>
      </c>
      <c r="GM124" s="145" cm="1">
        <f t="array" ref="GM124">SUMPRODUCT(--($CR$7:$FW$7&gt;=GM$5),--($CR$7:$FW$7&lt;=GM$6),$CR124:$FW124)*GE124</f>
        <v>0</v>
      </c>
      <c r="GN124" s="145" cm="1">
        <f t="array" ref="GN124">SUMPRODUCT(--($CR$7:$FW$7&gt;=GN$5),--($CR$7:$FW$7&lt;=GN$6),$CR124:$FW124)*GF124</f>
        <v>0</v>
      </c>
      <c r="GO124" s="145">
        <f t="shared" si="1"/>
        <v>0</v>
      </c>
      <c r="GP124" s="87"/>
      <c r="GR124" s="145" cm="1">
        <f t="array" ref="GR124">SUMPRODUCT(--($CR$7:$FW$7&gt;=GR$5),--($CR$7:$FW$7&lt;=GR$6),$CR124:$FW124)</f>
        <v>0</v>
      </c>
    </row>
    <row r="125" spans="2:200" x14ac:dyDescent="0.2">
      <c r="B125" s="141"/>
      <c r="C125" s="141"/>
      <c r="D125" s="141"/>
      <c r="E125" s="141"/>
      <c r="F125" s="141"/>
      <c r="G125" s="141"/>
      <c r="H125" s="142"/>
      <c r="I125" s="126"/>
      <c r="J125" s="143"/>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3"/>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c r="EE125" s="145"/>
      <c r="EF125" s="145"/>
      <c r="EG125" s="145"/>
      <c r="EH125" s="145"/>
      <c r="EI125" s="145"/>
      <c r="EJ125" s="145"/>
      <c r="EK125" s="145"/>
      <c r="EL125" s="145"/>
      <c r="EM125" s="145"/>
      <c r="EN125" s="145"/>
      <c r="EO125" s="145"/>
      <c r="EP125" s="145"/>
      <c r="EQ125" s="145"/>
      <c r="ER125" s="145"/>
      <c r="ES125" s="145"/>
      <c r="ET125" s="145"/>
      <c r="EU125" s="145"/>
      <c r="EV125" s="145"/>
      <c r="EW125" s="145"/>
      <c r="EX125" s="145"/>
      <c r="EY125" s="145"/>
      <c r="EZ125" s="145"/>
      <c r="FA125" s="145"/>
      <c r="FB125" s="145"/>
      <c r="FC125" s="145"/>
      <c r="FD125" s="145"/>
      <c r="FE125" s="145"/>
      <c r="FF125" s="145"/>
      <c r="FG125" s="145"/>
      <c r="FH125" s="145"/>
      <c r="FI125" s="145"/>
      <c r="FJ125" s="145"/>
      <c r="FK125" s="145"/>
      <c r="FL125" s="145"/>
      <c r="FM125" s="145"/>
      <c r="FN125" s="145"/>
      <c r="FO125" s="145"/>
      <c r="FP125" s="145"/>
      <c r="FQ125" s="145"/>
      <c r="FR125" s="145"/>
      <c r="FS125" s="145"/>
      <c r="FT125" s="145"/>
      <c r="FU125" s="145"/>
      <c r="FV125" s="145"/>
      <c r="FW125" s="145"/>
      <c r="FX125" s="143"/>
      <c r="FY125" s="146">
        <f>_xlfn.XLOOKUP($E125,'Key assumptions'!$B$112:$B$120,'Key assumptions'!$C$112:$C$120,0)</f>
        <v>0</v>
      </c>
      <c r="FZ125" s="146" cm="1">
        <f t="array" ref="FZ125">IF($FY125=0,0,_xlfn.IFS($FY125='Key assumptions'!$C$120,_xlfn.XLOOKUP(LEFT(FZ$7,6),Inflation_Year,Inflation_NominaltoReal),TRUE,_xlfn.XLOOKUP($FY125,Inflation_Year,NominaltoReal)))</f>
        <v>0</v>
      </c>
      <c r="GA125" s="146" cm="1">
        <f t="array" ref="GA125">IF($FY125=0,0,_xlfn.IFS($FY125='Key assumptions'!$C$120,_xlfn.XLOOKUP(LEFT(GA$7,6),Inflation_Year,Inflation_NominaltoReal),TRUE,_xlfn.XLOOKUP($FY125,Inflation_Year,NominaltoReal)))</f>
        <v>0</v>
      </c>
      <c r="GB125" s="146" cm="1">
        <f t="array" ref="GB125">IF($FY125=0,0,_xlfn.IFS($FY125='Key assumptions'!$C$120,_xlfn.XLOOKUP(LEFT(GB$7,6),Inflation_Year,Inflation_NominaltoReal),TRUE,_xlfn.XLOOKUP($FY125,Inflation_Year,NominaltoReal)))</f>
        <v>0</v>
      </c>
      <c r="GC125" s="146" cm="1">
        <f t="array" ref="GC125">IF($FY125=0,0,_xlfn.IFS($FY125='Key assumptions'!$C$120,_xlfn.XLOOKUP(LEFT(GC$7,6),Inflation_Year,Inflation_NominaltoReal),TRUE,_xlfn.XLOOKUP($FY125,Inflation_Year,NominaltoReal)))</f>
        <v>0</v>
      </c>
      <c r="GD125" s="146" cm="1">
        <f t="array" ref="GD125">IF($FY125=0,0,_xlfn.IFS($FY125='Key assumptions'!$C$120,_xlfn.XLOOKUP(LEFT(GD$7,6),Inflation_Year,Inflation_NominaltoReal),TRUE,_xlfn.XLOOKUP($FY125,Inflation_Year,NominaltoReal)))</f>
        <v>0</v>
      </c>
      <c r="GE125" s="146" cm="1">
        <f t="array" ref="GE125">IF($FY125=0,0,_xlfn.IFS($FY125='Key assumptions'!$C$120,_xlfn.XLOOKUP(LEFT(GE$7,6),Inflation_Year,Inflation_NominaltoReal),TRUE,_xlfn.XLOOKUP($FY125,Inflation_Year,NominaltoReal)))</f>
        <v>0</v>
      </c>
      <c r="GF125" s="146" cm="1">
        <f t="array" ref="GF125">IF($FY125=0,0,_xlfn.IFS($FY125='Key assumptions'!$C$120,_xlfn.XLOOKUP(LEFT(GF$7,6),Inflation_Year,Inflation_NominaltoReal),TRUE,_xlfn.XLOOKUP($FY125,Inflation_Year,NominaltoReal)))</f>
        <v>0</v>
      </c>
      <c r="GG125" s="143"/>
      <c r="GH125" s="145" cm="1">
        <f t="array" ref="GH125">SUMPRODUCT(--($CR$7:$FW$7&gt;=GH$5),--($CR$7:$FW$7&lt;=GH$6),$CR125:$FW125)*FZ125</f>
        <v>0</v>
      </c>
      <c r="GI125" s="145" cm="1">
        <f t="array" ref="GI125">SUMPRODUCT(--($CR$7:$FW$7&gt;=GI$5),--($CR$7:$FW$7&lt;=GI$6),$CR125:$FW125)*GA125</f>
        <v>0</v>
      </c>
      <c r="GJ125" s="145" cm="1">
        <f t="array" ref="GJ125">SUMPRODUCT(--($CR$7:$FW$7&gt;=GJ$5),--($CR$7:$FW$7&lt;=GJ$6),$CR125:$FW125)*GB125</f>
        <v>0</v>
      </c>
      <c r="GK125" s="145" cm="1">
        <f t="array" ref="GK125">SUMPRODUCT(--($CR$7:$FW$7&gt;=GK$5),--($CR$7:$FW$7&lt;=GK$6),$CR125:$FW125)*GC125</f>
        <v>0</v>
      </c>
      <c r="GL125" s="145" cm="1">
        <f t="array" ref="GL125">SUMPRODUCT(--($CR$7:$FW$7&gt;=GL$5),--($CR$7:$FW$7&lt;=GL$6),$CR125:$FW125)*GD125</f>
        <v>0</v>
      </c>
      <c r="GM125" s="145" cm="1">
        <f t="array" ref="GM125">SUMPRODUCT(--($CR$7:$FW$7&gt;=GM$5),--($CR$7:$FW$7&lt;=GM$6),$CR125:$FW125)*GE125</f>
        <v>0</v>
      </c>
      <c r="GN125" s="145" cm="1">
        <f t="array" ref="GN125">SUMPRODUCT(--($CR$7:$FW$7&gt;=GN$5),--($CR$7:$FW$7&lt;=GN$6),$CR125:$FW125)*GF125</f>
        <v>0</v>
      </c>
      <c r="GO125" s="145">
        <f t="shared" si="1"/>
        <v>0</v>
      </c>
      <c r="GP125" s="87"/>
      <c r="GR125" s="145" cm="1">
        <f t="array" ref="GR125">SUMPRODUCT(--($CR$7:$FW$7&gt;=GR$5),--($CR$7:$FW$7&lt;=GR$6),$CR125:$FW125)</f>
        <v>0</v>
      </c>
    </row>
    <row r="126" spans="2:200" x14ac:dyDescent="0.2">
      <c r="B126" s="141"/>
      <c r="C126" s="141"/>
      <c r="D126" s="141"/>
      <c r="E126" s="141"/>
      <c r="F126" s="141"/>
      <c r="G126" s="141"/>
      <c r="H126" s="142"/>
      <c r="I126" s="126"/>
      <c r="J126" s="143"/>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3"/>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c r="EE126" s="145"/>
      <c r="EF126" s="145"/>
      <c r="EG126" s="145"/>
      <c r="EH126" s="145"/>
      <c r="EI126" s="145"/>
      <c r="EJ126" s="145"/>
      <c r="EK126" s="145"/>
      <c r="EL126" s="145"/>
      <c r="EM126" s="145"/>
      <c r="EN126" s="145"/>
      <c r="EO126" s="145"/>
      <c r="EP126" s="145"/>
      <c r="EQ126" s="145"/>
      <c r="ER126" s="145"/>
      <c r="ES126" s="145"/>
      <c r="ET126" s="145"/>
      <c r="EU126" s="145"/>
      <c r="EV126" s="145"/>
      <c r="EW126" s="145"/>
      <c r="EX126" s="145"/>
      <c r="EY126" s="145"/>
      <c r="EZ126" s="145"/>
      <c r="FA126" s="145"/>
      <c r="FB126" s="145"/>
      <c r="FC126" s="145"/>
      <c r="FD126" s="145"/>
      <c r="FE126" s="145"/>
      <c r="FF126" s="145"/>
      <c r="FG126" s="145"/>
      <c r="FH126" s="145"/>
      <c r="FI126" s="145"/>
      <c r="FJ126" s="145"/>
      <c r="FK126" s="145"/>
      <c r="FL126" s="145"/>
      <c r="FM126" s="145"/>
      <c r="FN126" s="145"/>
      <c r="FO126" s="145"/>
      <c r="FP126" s="145"/>
      <c r="FQ126" s="145"/>
      <c r="FR126" s="145"/>
      <c r="FS126" s="145"/>
      <c r="FT126" s="145"/>
      <c r="FU126" s="145"/>
      <c r="FV126" s="145"/>
      <c r="FW126" s="145"/>
      <c r="FX126" s="143"/>
      <c r="FY126" s="146">
        <f>_xlfn.XLOOKUP($E126,'Key assumptions'!$B$112:$B$120,'Key assumptions'!$C$112:$C$120,0)</f>
        <v>0</v>
      </c>
      <c r="FZ126" s="146" cm="1">
        <f t="array" ref="FZ126">IF($FY126=0,0,_xlfn.IFS($FY126='Key assumptions'!$C$120,_xlfn.XLOOKUP(LEFT(FZ$7,6),Inflation_Year,Inflation_NominaltoReal),TRUE,_xlfn.XLOOKUP($FY126,Inflation_Year,NominaltoReal)))</f>
        <v>0</v>
      </c>
      <c r="GA126" s="146" cm="1">
        <f t="array" ref="GA126">IF($FY126=0,0,_xlfn.IFS($FY126='Key assumptions'!$C$120,_xlfn.XLOOKUP(LEFT(GA$7,6),Inflation_Year,Inflation_NominaltoReal),TRUE,_xlfn.XLOOKUP($FY126,Inflation_Year,NominaltoReal)))</f>
        <v>0</v>
      </c>
      <c r="GB126" s="146" cm="1">
        <f t="array" ref="GB126">IF($FY126=0,0,_xlfn.IFS($FY126='Key assumptions'!$C$120,_xlfn.XLOOKUP(LEFT(GB$7,6),Inflation_Year,Inflation_NominaltoReal),TRUE,_xlfn.XLOOKUP($FY126,Inflation_Year,NominaltoReal)))</f>
        <v>0</v>
      </c>
      <c r="GC126" s="146" cm="1">
        <f t="array" ref="GC126">IF($FY126=0,0,_xlfn.IFS($FY126='Key assumptions'!$C$120,_xlfn.XLOOKUP(LEFT(GC$7,6),Inflation_Year,Inflation_NominaltoReal),TRUE,_xlfn.XLOOKUP($FY126,Inflation_Year,NominaltoReal)))</f>
        <v>0</v>
      </c>
      <c r="GD126" s="146" cm="1">
        <f t="array" ref="GD126">IF($FY126=0,0,_xlfn.IFS($FY126='Key assumptions'!$C$120,_xlfn.XLOOKUP(LEFT(GD$7,6),Inflation_Year,Inflation_NominaltoReal),TRUE,_xlfn.XLOOKUP($FY126,Inflation_Year,NominaltoReal)))</f>
        <v>0</v>
      </c>
      <c r="GE126" s="146" cm="1">
        <f t="array" ref="GE126">IF($FY126=0,0,_xlfn.IFS($FY126='Key assumptions'!$C$120,_xlfn.XLOOKUP(LEFT(GE$7,6),Inflation_Year,Inflation_NominaltoReal),TRUE,_xlfn.XLOOKUP($FY126,Inflation_Year,NominaltoReal)))</f>
        <v>0</v>
      </c>
      <c r="GF126" s="146" cm="1">
        <f t="array" ref="GF126">IF($FY126=0,0,_xlfn.IFS($FY126='Key assumptions'!$C$120,_xlfn.XLOOKUP(LEFT(GF$7,6),Inflation_Year,Inflation_NominaltoReal),TRUE,_xlfn.XLOOKUP($FY126,Inflation_Year,NominaltoReal)))</f>
        <v>0</v>
      </c>
      <c r="GG126" s="143"/>
      <c r="GH126" s="145" cm="1">
        <f t="array" ref="GH126">SUMPRODUCT(--($CR$7:$FW$7&gt;=GH$5),--($CR$7:$FW$7&lt;=GH$6),$CR126:$FW126)*FZ126</f>
        <v>0</v>
      </c>
      <c r="GI126" s="145" cm="1">
        <f t="array" ref="GI126">SUMPRODUCT(--($CR$7:$FW$7&gt;=GI$5),--($CR$7:$FW$7&lt;=GI$6),$CR126:$FW126)*GA126</f>
        <v>0</v>
      </c>
      <c r="GJ126" s="145" cm="1">
        <f t="array" ref="GJ126">SUMPRODUCT(--($CR$7:$FW$7&gt;=GJ$5),--($CR$7:$FW$7&lt;=GJ$6),$CR126:$FW126)*GB126</f>
        <v>0</v>
      </c>
      <c r="GK126" s="145" cm="1">
        <f t="array" ref="GK126">SUMPRODUCT(--($CR$7:$FW$7&gt;=GK$5),--($CR$7:$FW$7&lt;=GK$6),$CR126:$FW126)*GC126</f>
        <v>0</v>
      </c>
      <c r="GL126" s="145" cm="1">
        <f t="array" ref="GL126">SUMPRODUCT(--($CR$7:$FW$7&gt;=GL$5),--($CR$7:$FW$7&lt;=GL$6),$CR126:$FW126)*GD126</f>
        <v>0</v>
      </c>
      <c r="GM126" s="145" cm="1">
        <f t="array" ref="GM126">SUMPRODUCT(--($CR$7:$FW$7&gt;=GM$5),--($CR$7:$FW$7&lt;=GM$6),$CR126:$FW126)*GE126</f>
        <v>0</v>
      </c>
      <c r="GN126" s="145" cm="1">
        <f t="array" ref="GN126">SUMPRODUCT(--($CR$7:$FW$7&gt;=GN$5),--($CR$7:$FW$7&lt;=GN$6),$CR126:$FW126)*GF126</f>
        <v>0</v>
      </c>
      <c r="GO126" s="145">
        <f t="shared" si="1"/>
        <v>0</v>
      </c>
      <c r="GP126" s="87"/>
      <c r="GR126" s="145" cm="1">
        <f t="array" ref="GR126">SUMPRODUCT(--($CR$7:$FW$7&gt;=GR$5),--($CR$7:$FW$7&lt;=GR$6),$CR126:$FW126)</f>
        <v>0</v>
      </c>
    </row>
    <row r="127" spans="2:200" x14ac:dyDescent="0.2">
      <c r="B127" s="141"/>
      <c r="C127" s="141"/>
      <c r="D127" s="141"/>
      <c r="E127" s="141"/>
      <c r="F127" s="141"/>
      <c r="G127" s="141"/>
      <c r="H127" s="142"/>
      <c r="I127" s="126"/>
      <c r="J127" s="143"/>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3"/>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c r="EE127" s="145"/>
      <c r="EF127" s="145"/>
      <c r="EG127" s="145"/>
      <c r="EH127" s="145"/>
      <c r="EI127" s="145"/>
      <c r="EJ127" s="145"/>
      <c r="EK127" s="145"/>
      <c r="EL127" s="145"/>
      <c r="EM127" s="145"/>
      <c r="EN127" s="145"/>
      <c r="EO127" s="145"/>
      <c r="EP127" s="145"/>
      <c r="EQ127" s="145"/>
      <c r="ER127" s="145"/>
      <c r="ES127" s="145"/>
      <c r="ET127" s="145"/>
      <c r="EU127" s="145"/>
      <c r="EV127" s="145"/>
      <c r="EW127" s="145"/>
      <c r="EX127" s="145"/>
      <c r="EY127" s="145"/>
      <c r="EZ127" s="145"/>
      <c r="FA127" s="145"/>
      <c r="FB127" s="145"/>
      <c r="FC127" s="145"/>
      <c r="FD127" s="145"/>
      <c r="FE127" s="145"/>
      <c r="FF127" s="145"/>
      <c r="FG127" s="145"/>
      <c r="FH127" s="145"/>
      <c r="FI127" s="145"/>
      <c r="FJ127" s="145"/>
      <c r="FK127" s="145"/>
      <c r="FL127" s="145"/>
      <c r="FM127" s="145"/>
      <c r="FN127" s="145"/>
      <c r="FO127" s="145"/>
      <c r="FP127" s="145"/>
      <c r="FQ127" s="145"/>
      <c r="FR127" s="145"/>
      <c r="FS127" s="145"/>
      <c r="FT127" s="145"/>
      <c r="FU127" s="145"/>
      <c r="FV127" s="145"/>
      <c r="FW127" s="145"/>
      <c r="FX127" s="143"/>
      <c r="FY127" s="146">
        <f>_xlfn.XLOOKUP($E127,'Key assumptions'!$B$112:$B$120,'Key assumptions'!$C$112:$C$120,0)</f>
        <v>0</v>
      </c>
      <c r="FZ127" s="146" cm="1">
        <f t="array" ref="FZ127">IF($FY127=0,0,_xlfn.IFS($FY127='Key assumptions'!$C$120,_xlfn.XLOOKUP(LEFT(FZ$7,6),Inflation_Year,Inflation_NominaltoReal),TRUE,_xlfn.XLOOKUP($FY127,Inflation_Year,NominaltoReal)))</f>
        <v>0</v>
      </c>
      <c r="GA127" s="146" cm="1">
        <f t="array" ref="GA127">IF($FY127=0,0,_xlfn.IFS($FY127='Key assumptions'!$C$120,_xlfn.XLOOKUP(LEFT(GA$7,6),Inflation_Year,Inflation_NominaltoReal),TRUE,_xlfn.XLOOKUP($FY127,Inflation_Year,NominaltoReal)))</f>
        <v>0</v>
      </c>
      <c r="GB127" s="146" cm="1">
        <f t="array" ref="GB127">IF($FY127=0,0,_xlfn.IFS($FY127='Key assumptions'!$C$120,_xlfn.XLOOKUP(LEFT(GB$7,6),Inflation_Year,Inflation_NominaltoReal),TRUE,_xlfn.XLOOKUP($FY127,Inflation_Year,NominaltoReal)))</f>
        <v>0</v>
      </c>
      <c r="GC127" s="146" cm="1">
        <f t="array" ref="GC127">IF($FY127=0,0,_xlfn.IFS($FY127='Key assumptions'!$C$120,_xlfn.XLOOKUP(LEFT(GC$7,6),Inflation_Year,Inflation_NominaltoReal),TRUE,_xlfn.XLOOKUP($FY127,Inflation_Year,NominaltoReal)))</f>
        <v>0</v>
      </c>
      <c r="GD127" s="146" cm="1">
        <f t="array" ref="GD127">IF($FY127=0,0,_xlfn.IFS($FY127='Key assumptions'!$C$120,_xlfn.XLOOKUP(LEFT(GD$7,6),Inflation_Year,Inflation_NominaltoReal),TRUE,_xlfn.XLOOKUP($FY127,Inflation_Year,NominaltoReal)))</f>
        <v>0</v>
      </c>
      <c r="GE127" s="146" cm="1">
        <f t="array" ref="GE127">IF($FY127=0,0,_xlfn.IFS($FY127='Key assumptions'!$C$120,_xlfn.XLOOKUP(LEFT(GE$7,6),Inflation_Year,Inflation_NominaltoReal),TRUE,_xlfn.XLOOKUP($FY127,Inflation_Year,NominaltoReal)))</f>
        <v>0</v>
      </c>
      <c r="GF127" s="146" cm="1">
        <f t="array" ref="GF127">IF($FY127=0,0,_xlfn.IFS($FY127='Key assumptions'!$C$120,_xlfn.XLOOKUP(LEFT(GF$7,6),Inflation_Year,Inflation_NominaltoReal),TRUE,_xlfn.XLOOKUP($FY127,Inflation_Year,NominaltoReal)))</f>
        <v>0</v>
      </c>
      <c r="GG127" s="143"/>
      <c r="GH127" s="145" cm="1">
        <f t="array" ref="GH127">SUMPRODUCT(--($CR$7:$FW$7&gt;=GH$5),--($CR$7:$FW$7&lt;=GH$6),$CR127:$FW127)*FZ127</f>
        <v>0</v>
      </c>
      <c r="GI127" s="145" cm="1">
        <f t="array" ref="GI127">SUMPRODUCT(--($CR$7:$FW$7&gt;=GI$5),--($CR$7:$FW$7&lt;=GI$6),$CR127:$FW127)*GA127</f>
        <v>0</v>
      </c>
      <c r="GJ127" s="145" cm="1">
        <f t="array" ref="GJ127">SUMPRODUCT(--($CR$7:$FW$7&gt;=GJ$5),--($CR$7:$FW$7&lt;=GJ$6),$CR127:$FW127)*GB127</f>
        <v>0</v>
      </c>
      <c r="GK127" s="145" cm="1">
        <f t="array" ref="GK127">SUMPRODUCT(--($CR$7:$FW$7&gt;=GK$5),--($CR$7:$FW$7&lt;=GK$6),$CR127:$FW127)*GC127</f>
        <v>0</v>
      </c>
      <c r="GL127" s="145" cm="1">
        <f t="array" ref="GL127">SUMPRODUCT(--($CR$7:$FW$7&gt;=GL$5),--($CR$7:$FW$7&lt;=GL$6),$CR127:$FW127)*GD127</f>
        <v>0</v>
      </c>
      <c r="GM127" s="145" cm="1">
        <f t="array" ref="GM127">SUMPRODUCT(--($CR$7:$FW$7&gt;=GM$5),--($CR$7:$FW$7&lt;=GM$6),$CR127:$FW127)*GE127</f>
        <v>0</v>
      </c>
      <c r="GN127" s="145" cm="1">
        <f t="array" ref="GN127">SUMPRODUCT(--($CR$7:$FW$7&gt;=GN$5),--($CR$7:$FW$7&lt;=GN$6),$CR127:$FW127)*GF127</f>
        <v>0</v>
      </c>
      <c r="GO127" s="145">
        <f t="shared" si="1"/>
        <v>0</v>
      </c>
      <c r="GP127" s="87"/>
      <c r="GR127" s="145" cm="1">
        <f t="array" ref="GR127">SUMPRODUCT(--($CR$7:$FW$7&gt;=GR$5),--($CR$7:$FW$7&lt;=GR$6),$CR127:$FW127)</f>
        <v>0</v>
      </c>
    </row>
    <row r="128" spans="2:200" x14ac:dyDescent="0.2">
      <c r="B128" s="141"/>
      <c r="C128" s="141"/>
      <c r="D128" s="141"/>
      <c r="E128" s="141"/>
      <c r="F128" s="141"/>
      <c r="G128" s="141"/>
      <c r="H128" s="142"/>
      <c r="I128" s="126"/>
      <c r="J128" s="143"/>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3"/>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c r="EE128" s="145"/>
      <c r="EF128" s="145"/>
      <c r="EG128" s="145"/>
      <c r="EH128" s="145"/>
      <c r="EI128" s="145"/>
      <c r="EJ128" s="145"/>
      <c r="EK128" s="145"/>
      <c r="EL128" s="145"/>
      <c r="EM128" s="145"/>
      <c r="EN128" s="145"/>
      <c r="EO128" s="145"/>
      <c r="EP128" s="145"/>
      <c r="EQ128" s="145"/>
      <c r="ER128" s="145"/>
      <c r="ES128" s="145"/>
      <c r="ET128" s="145"/>
      <c r="EU128" s="145"/>
      <c r="EV128" s="145"/>
      <c r="EW128" s="145"/>
      <c r="EX128" s="145"/>
      <c r="EY128" s="145"/>
      <c r="EZ128" s="145"/>
      <c r="FA128" s="145"/>
      <c r="FB128" s="145"/>
      <c r="FC128" s="145"/>
      <c r="FD128" s="145"/>
      <c r="FE128" s="145"/>
      <c r="FF128" s="145"/>
      <c r="FG128" s="145"/>
      <c r="FH128" s="145"/>
      <c r="FI128" s="145"/>
      <c r="FJ128" s="145"/>
      <c r="FK128" s="145"/>
      <c r="FL128" s="145"/>
      <c r="FM128" s="145"/>
      <c r="FN128" s="145"/>
      <c r="FO128" s="145"/>
      <c r="FP128" s="145"/>
      <c r="FQ128" s="145"/>
      <c r="FR128" s="145"/>
      <c r="FS128" s="145"/>
      <c r="FT128" s="145"/>
      <c r="FU128" s="145"/>
      <c r="FV128" s="145"/>
      <c r="FW128" s="145"/>
      <c r="FX128" s="143"/>
      <c r="FY128" s="146">
        <f>_xlfn.XLOOKUP($E128,'Key assumptions'!$B$112:$B$120,'Key assumptions'!$C$112:$C$120,0)</f>
        <v>0</v>
      </c>
      <c r="FZ128" s="146" cm="1">
        <f t="array" ref="FZ128">IF($FY128=0,0,_xlfn.IFS($FY128='Key assumptions'!$C$120,_xlfn.XLOOKUP(LEFT(FZ$7,6),Inflation_Year,Inflation_NominaltoReal),TRUE,_xlfn.XLOOKUP($FY128,Inflation_Year,NominaltoReal)))</f>
        <v>0</v>
      </c>
      <c r="GA128" s="146" cm="1">
        <f t="array" ref="GA128">IF($FY128=0,0,_xlfn.IFS($FY128='Key assumptions'!$C$120,_xlfn.XLOOKUP(LEFT(GA$7,6),Inflation_Year,Inflation_NominaltoReal),TRUE,_xlfn.XLOOKUP($FY128,Inflation_Year,NominaltoReal)))</f>
        <v>0</v>
      </c>
      <c r="GB128" s="146" cm="1">
        <f t="array" ref="GB128">IF($FY128=0,0,_xlfn.IFS($FY128='Key assumptions'!$C$120,_xlfn.XLOOKUP(LEFT(GB$7,6),Inflation_Year,Inflation_NominaltoReal),TRUE,_xlfn.XLOOKUP($FY128,Inflation_Year,NominaltoReal)))</f>
        <v>0</v>
      </c>
      <c r="GC128" s="146" cm="1">
        <f t="array" ref="GC128">IF($FY128=0,0,_xlfn.IFS($FY128='Key assumptions'!$C$120,_xlfn.XLOOKUP(LEFT(GC$7,6),Inflation_Year,Inflation_NominaltoReal),TRUE,_xlfn.XLOOKUP($FY128,Inflation_Year,NominaltoReal)))</f>
        <v>0</v>
      </c>
      <c r="GD128" s="146" cm="1">
        <f t="array" ref="GD128">IF($FY128=0,0,_xlfn.IFS($FY128='Key assumptions'!$C$120,_xlfn.XLOOKUP(LEFT(GD$7,6),Inflation_Year,Inflation_NominaltoReal),TRUE,_xlfn.XLOOKUP($FY128,Inflation_Year,NominaltoReal)))</f>
        <v>0</v>
      </c>
      <c r="GE128" s="146" cm="1">
        <f t="array" ref="GE128">IF($FY128=0,0,_xlfn.IFS($FY128='Key assumptions'!$C$120,_xlfn.XLOOKUP(LEFT(GE$7,6),Inflation_Year,Inflation_NominaltoReal),TRUE,_xlfn.XLOOKUP($FY128,Inflation_Year,NominaltoReal)))</f>
        <v>0</v>
      </c>
      <c r="GF128" s="146" cm="1">
        <f t="array" ref="GF128">IF($FY128=0,0,_xlfn.IFS($FY128='Key assumptions'!$C$120,_xlfn.XLOOKUP(LEFT(GF$7,6),Inflation_Year,Inflation_NominaltoReal),TRUE,_xlfn.XLOOKUP($FY128,Inflation_Year,NominaltoReal)))</f>
        <v>0</v>
      </c>
      <c r="GG128" s="143"/>
      <c r="GH128" s="145" cm="1">
        <f t="array" ref="GH128">SUMPRODUCT(--($CR$7:$FW$7&gt;=GH$5),--($CR$7:$FW$7&lt;=GH$6),$CR128:$FW128)*FZ128</f>
        <v>0</v>
      </c>
      <c r="GI128" s="145" cm="1">
        <f t="array" ref="GI128">SUMPRODUCT(--($CR$7:$FW$7&gt;=GI$5),--($CR$7:$FW$7&lt;=GI$6),$CR128:$FW128)*GA128</f>
        <v>0</v>
      </c>
      <c r="GJ128" s="145" cm="1">
        <f t="array" ref="GJ128">SUMPRODUCT(--($CR$7:$FW$7&gt;=GJ$5),--($CR$7:$FW$7&lt;=GJ$6),$CR128:$FW128)*GB128</f>
        <v>0</v>
      </c>
      <c r="GK128" s="145" cm="1">
        <f t="array" ref="GK128">SUMPRODUCT(--($CR$7:$FW$7&gt;=GK$5),--($CR$7:$FW$7&lt;=GK$6),$CR128:$FW128)*GC128</f>
        <v>0</v>
      </c>
      <c r="GL128" s="145" cm="1">
        <f t="array" ref="GL128">SUMPRODUCT(--($CR$7:$FW$7&gt;=GL$5),--($CR$7:$FW$7&lt;=GL$6),$CR128:$FW128)*GD128</f>
        <v>0</v>
      </c>
      <c r="GM128" s="145" cm="1">
        <f t="array" ref="GM128">SUMPRODUCT(--($CR$7:$FW$7&gt;=GM$5),--($CR$7:$FW$7&lt;=GM$6),$CR128:$FW128)*GE128</f>
        <v>0</v>
      </c>
      <c r="GN128" s="145" cm="1">
        <f t="array" ref="GN128">SUMPRODUCT(--($CR$7:$FW$7&gt;=GN$5),--($CR$7:$FW$7&lt;=GN$6),$CR128:$FW128)*GF128</f>
        <v>0</v>
      </c>
      <c r="GO128" s="145">
        <f t="shared" si="1"/>
        <v>0</v>
      </c>
      <c r="GP128" s="87"/>
      <c r="GR128" s="145" cm="1">
        <f t="array" ref="GR128">SUMPRODUCT(--($CR$7:$FW$7&gt;=GR$5),--($CR$7:$FW$7&lt;=GR$6),$CR128:$FW128)</f>
        <v>0</v>
      </c>
    </row>
    <row r="129" spans="2:200" x14ac:dyDescent="0.2">
      <c r="B129" s="141"/>
      <c r="C129" s="141"/>
      <c r="D129" s="141"/>
      <c r="E129" s="141"/>
      <c r="F129" s="141"/>
      <c r="G129" s="141"/>
      <c r="H129" s="142"/>
      <c r="I129" s="126"/>
      <c r="J129" s="143"/>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3"/>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5"/>
      <c r="EU129" s="145"/>
      <c r="EV129" s="145"/>
      <c r="EW129" s="145"/>
      <c r="EX129" s="145"/>
      <c r="EY129" s="145"/>
      <c r="EZ129" s="145"/>
      <c r="FA129" s="145"/>
      <c r="FB129" s="145"/>
      <c r="FC129" s="145"/>
      <c r="FD129" s="145"/>
      <c r="FE129" s="145"/>
      <c r="FF129" s="145"/>
      <c r="FG129" s="145"/>
      <c r="FH129" s="145"/>
      <c r="FI129" s="145"/>
      <c r="FJ129" s="145"/>
      <c r="FK129" s="145"/>
      <c r="FL129" s="145"/>
      <c r="FM129" s="145"/>
      <c r="FN129" s="145"/>
      <c r="FO129" s="145"/>
      <c r="FP129" s="145"/>
      <c r="FQ129" s="145"/>
      <c r="FR129" s="145"/>
      <c r="FS129" s="145"/>
      <c r="FT129" s="145"/>
      <c r="FU129" s="145"/>
      <c r="FV129" s="145"/>
      <c r="FW129" s="145"/>
      <c r="FX129" s="143"/>
      <c r="FY129" s="146">
        <f>_xlfn.XLOOKUP($E129,'Key assumptions'!$B$112:$B$120,'Key assumptions'!$C$112:$C$120,0)</f>
        <v>0</v>
      </c>
      <c r="FZ129" s="146" cm="1">
        <f t="array" ref="FZ129">IF($FY129=0,0,_xlfn.IFS($FY129='Key assumptions'!$C$120,_xlfn.XLOOKUP(LEFT(FZ$7,6),Inflation_Year,Inflation_NominaltoReal),TRUE,_xlfn.XLOOKUP($FY129,Inflation_Year,NominaltoReal)))</f>
        <v>0</v>
      </c>
      <c r="GA129" s="146" cm="1">
        <f t="array" ref="GA129">IF($FY129=0,0,_xlfn.IFS($FY129='Key assumptions'!$C$120,_xlfn.XLOOKUP(LEFT(GA$7,6),Inflation_Year,Inflation_NominaltoReal),TRUE,_xlfn.XLOOKUP($FY129,Inflation_Year,NominaltoReal)))</f>
        <v>0</v>
      </c>
      <c r="GB129" s="146" cm="1">
        <f t="array" ref="GB129">IF($FY129=0,0,_xlfn.IFS($FY129='Key assumptions'!$C$120,_xlfn.XLOOKUP(LEFT(GB$7,6),Inflation_Year,Inflation_NominaltoReal),TRUE,_xlfn.XLOOKUP($FY129,Inflation_Year,NominaltoReal)))</f>
        <v>0</v>
      </c>
      <c r="GC129" s="146" cm="1">
        <f t="array" ref="GC129">IF($FY129=0,0,_xlfn.IFS($FY129='Key assumptions'!$C$120,_xlfn.XLOOKUP(LEFT(GC$7,6),Inflation_Year,Inflation_NominaltoReal),TRUE,_xlfn.XLOOKUP($FY129,Inflation_Year,NominaltoReal)))</f>
        <v>0</v>
      </c>
      <c r="GD129" s="146" cm="1">
        <f t="array" ref="GD129">IF($FY129=0,0,_xlfn.IFS($FY129='Key assumptions'!$C$120,_xlfn.XLOOKUP(LEFT(GD$7,6),Inflation_Year,Inflation_NominaltoReal),TRUE,_xlfn.XLOOKUP($FY129,Inflation_Year,NominaltoReal)))</f>
        <v>0</v>
      </c>
      <c r="GE129" s="146" cm="1">
        <f t="array" ref="GE129">IF($FY129=0,0,_xlfn.IFS($FY129='Key assumptions'!$C$120,_xlfn.XLOOKUP(LEFT(GE$7,6),Inflation_Year,Inflation_NominaltoReal),TRUE,_xlfn.XLOOKUP($FY129,Inflation_Year,NominaltoReal)))</f>
        <v>0</v>
      </c>
      <c r="GF129" s="146" cm="1">
        <f t="array" ref="GF129">IF($FY129=0,0,_xlfn.IFS($FY129='Key assumptions'!$C$120,_xlfn.XLOOKUP(LEFT(GF$7,6),Inflation_Year,Inflation_NominaltoReal),TRUE,_xlfn.XLOOKUP($FY129,Inflation_Year,NominaltoReal)))</f>
        <v>0</v>
      </c>
      <c r="GG129" s="143"/>
      <c r="GH129" s="145" cm="1">
        <f t="array" ref="GH129">SUMPRODUCT(--($CR$7:$FW$7&gt;=GH$5),--($CR$7:$FW$7&lt;=GH$6),$CR129:$FW129)*FZ129</f>
        <v>0</v>
      </c>
      <c r="GI129" s="145" cm="1">
        <f t="array" ref="GI129">SUMPRODUCT(--($CR$7:$FW$7&gt;=GI$5),--($CR$7:$FW$7&lt;=GI$6),$CR129:$FW129)*GA129</f>
        <v>0</v>
      </c>
      <c r="GJ129" s="145" cm="1">
        <f t="array" ref="GJ129">SUMPRODUCT(--($CR$7:$FW$7&gt;=GJ$5),--($CR$7:$FW$7&lt;=GJ$6),$CR129:$FW129)*GB129</f>
        <v>0</v>
      </c>
      <c r="GK129" s="145" cm="1">
        <f t="array" ref="GK129">SUMPRODUCT(--($CR$7:$FW$7&gt;=GK$5),--($CR$7:$FW$7&lt;=GK$6),$CR129:$FW129)*GC129</f>
        <v>0</v>
      </c>
      <c r="GL129" s="145" cm="1">
        <f t="array" ref="GL129">SUMPRODUCT(--($CR$7:$FW$7&gt;=GL$5),--($CR$7:$FW$7&lt;=GL$6),$CR129:$FW129)*GD129</f>
        <v>0</v>
      </c>
      <c r="GM129" s="145" cm="1">
        <f t="array" ref="GM129">SUMPRODUCT(--($CR$7:$FW$7&gt;=GM$5),--($CR$7:$FW$7&lt;=GM$6),$CR129:$FW129)*GE129</f>
        <v>0</v>
      </c>
      <c r="GN129" s="145" cm="1">
        <f t="array" ref="GN129">SUMPRODUCT(--($CR$7:$FW$7&gt;=GN$5),--($CR$7:$FW$7&lt;=GN$6),$CR129:$FW129)*GF129</f>
        <v>0</v>
      </c>
      <c r="GO129" s="145">
        <f t="shared" si="1"/>
        <v>0</v>
      </c>
      <c r="GP129" s="87"/>
      <c r="GR129" s="145" cm="1">
        <f t="array" ref="GR129">SUMPRODUCT(--($CR$7:$FW$7&gt;=GR$5),--($CR$7:$FW$7&lt;=GR$6),$CR129:$FW129)</f>
        <v>0</v>
      </c>
    </row>
    <row r="130" spans="2:200" x14ac:dyDescent="0.2">
      <c r="B130" s="141"/>
      <c r="C130" s="141"/>
      <c r="D130" s="141"/>
      <c r="E130" s="141"/>
      <c r="F130" s="141"/>
      <c r="G130" s="141"/>
      <c r="H130" s="142"/>
      <c r="I130" s="126"/>
      <c r="J130" s="143"/>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3"/>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c r="EE130" s="145"/>
      <c r="EF130" s="145"/>
      <c r="EG130" s="145"/>
      <c r="EH130" s="145"/>
      <c r="EI130" s="145"/>
      <c r="EJ130" s="145"/>
      <c r="EK130" s="145"/>
      <c r="EL130" s="145"/>
      <c r="EM130" s="145"/>
      <c r="EN130" s="145"/>
      <c r="EO130" s="145"/>
      <c r="EP130" s="145"/>
      <c r="EQ130" s="145"/>
      <c r="ER130" s="145"/>
      <c r="ES130" s="145"/>
      <c r="ET130" s="145"/>
      <c r="EU130" s="145"/>
      <c r="EV130" s="145"/>
      <c r="EW130" s="145"/>
      <c r="EX130" s="145"/>
      <c r="EY130" s="145"/>
      <c r="EZ130" s="145"/>
      <c r="FA130" s="145"/>
      <c r="FB130" s="145"/>
      <c r="FC130" s="145"/>
      <c r="FD130" s="145"/>
      <c r="FE130" s="145"/>
      <c r="FF130" s="145"/>
      <c r="FG130" s="145"/>
      <c r="FH130" s="145"/>
      <c r="FI130" s="145"/>
      <c r="FJ130" s="145"/>
      <c r="FK130" s="145"/>
      <c r="FL130" s="145"/>
      <c r="FM130" s="145"/>
      <c r="FN130" s="145"/>
      <c r="FO130" s="145"/>
      <c r="FP130" s="145"/>
      <c r="FQ130" s="145"/>
      <c r="FR130" s="145"/>
      <c r="FS130" s="145"/>
      <c r="FT130" s="145"/>
      <c r="FU130" s="145"/>
      <c r="FV130" s="145"/>
      <c r="FW130" s="145"/>
      <c r="FX130" s="143"/>
      <c r="FY130" s="146">
        <f>_xlfn.XLOOKUP($E130,'Key assumptions'!$B$112:$B$120,'Key assumptions'!$C$112:$C$120,0)</f>
        <v>0</v>
      </c>
      <c r="FZ130" s="146" cm="1">
        <f t="array" ref="FZ130">IF($FY130=0,0,_xlfn.IFS($FY130='Key assumptions'!$C$120,_xlfn.XLOOKUP(LEFT(FZ$7,6),Inflation_Year,Inflation_NominaltoReal),TRUE,_xlfn.XLOOKUP($FY130,Inflation_Year,NominaltoReal)))</f>
        <v>0</v>
      </c>
      <c r="GA130" s="146" cm="1">
        <f t="array" ref="GA130">IF($FY130=0,0,_xlfn.IFS($FY130='Key assumptions'!$C$120,_xlfn.XLOOKUP(LEFT(GA$7,6),Inflation_Year,Inflation_NominaltoReal),TRUE,_xlfn.XLOOKUP($FY130,Inflation_Year,NominaltoReal)))</f>
        <v>0</v>
      </c>
      <c r="GB130" s="146" cm="1">
        <f t="array" ref="GB130">IF($FY130=0,0,_xlfn.IFS($FY130='Key assumptions'!$C$120,_xlfn.XLOOKUP(LEFT(GB$7,6),Inflation_Year,Inflation_NominaltoReal),TRUE,_xlfn.XLOOKUP($FY130,Inflation_Year,NominaltoReal)))</f>
        <v>0</v>
      </c>
      <c r="GC130" s="146" cm="1">
        <f t="array" ref="GC130">IF($FY130=0,0,_xlfn.IFS($FY130='Key assumptions'!$C$120,_xlfn.XLOOKUP(LEFT(GC$7,6),Inflation_Year,Inflation_NominaltoReal),TRUE,_xlfn.XLOOKUP($FY130,Inflation_Year,NominaltoReal)))</f>
        <v>0</v>
      </c>
      <c r="GD130" s="146" cm="1">
        <f t="array" ref="GD130">IF($FY130=0,0,_xlfn.IFS($FY130='Key assumptions'!$C$120,_xlfn.XLOOKUP(LEFT(GD$7,6),Inflation_Year,Inflation_NominaltoReal),TRUE,_xlfn.XLOOKUP($FY130,Inflation_Year,NominaltoReal)))</f>
        <v>0</v>
      </c>
      <c r="GE130" s="146" cm="1">
        <f t="array" ref="GE130">IF($FY130=0,0,_xlfn.IFS($FY130='Key assumptions'!$C$120,_xlfn.XLOOKUP(LEFT(GE$7,6),Inflation_Year,Inflation_NominaltoReal),TRUE,_xlfn.XLOOKUP($FY130,Inflation_Year,NominaltoReal)))</f>
        <v>0</v>
      </c>
      <c r="GF130" s="146" cm="1">
        <f t="array" ref="GF130">IF($FY130=0,0,_xlfn.IFS($FY130='Key assumptions'!$C$120,_xlfn.XLOOKUP(LEFT(GF$7,6),Inflation_Year,Inflation_NominaltoReal),TRUE,_xlfn.XLOOKUP($FY130,Inflation_Year,NominaltoReal)))</f>
        <v>0</v>
      </c>
      <c r="GG130" s="143"/>
      <c r="GH130" s="145" cm="1">
        <f t="array" ref="GH130">SUMPRODUCT(--($CR$7:$FW$7&gt;=GH$5),--($CR$7:$FW$7&lt;=GH$6),$CR130:$FW130)*FZ130</f>
        <v>0</v>
      </c>
      <c r="GI130" s="145" cm="1">
        <f t="array" ref="GI130">SUMPRODUCT(--($CR$7:$FW$7&gt;=GI$5),--($CR$7:$FW$7&lt;=GI$6),$CR130:$FW130)*GA130</f>
        <v>0</v>
      </c>
      <c r="GJ130" s="145" cm="1">
        <f t="array" ref="GJ130">SUMPRODUCT(--($CR$7:$FW$7&gt;=GJ$5),--($CR$7:$FW$7&lt;=GJ$6),$CR130:$FW130)*GB130</f>
        <v>0</v>
      </c>
      <c r="GK130" s="145" cm="1">
        <f t="array" ref="GK130">SUMPRODUCT(--($CR$7:$FW$7&gt;=GK$5),--($CR$7:$FW$7&lt;=GK$6),$CR130:$FW130)*GC130</f>
        <v>0</v>
      </c>
      <c r="GL130" s="145" cm="1">
        <f t="array" ref="GL130">SUMPRODUCT(--($CR$7:$FW$7&gt;=GL$5),--($CR$7:$FW$7&lt;=GL$6),$CR130:$FW130)*GD130</f>
        <v>0</v>
      </c>
      <c r="GM130" s="145" cm="1">
        <f t="array" ref="GM130">SUMPRODUCT(--($CR$7:$FW$7&gt;=GM$5),--($CR$7:$FW$7&lt;=GM$6),$CR130:$FW130)*GE130</f>
        <v>0</v>
      </c>
      <c r="GN130" s="145" cm="1">
        <f t="array" ref="GN130">SUMPRODUCT(--($CR$7:$FW$7&gt;=GN$5),--($CR$7:$FW$7&lt;=GN$6),$CR130:$FW130)*GF130</f>
        <v>0</v>
      </c>
      <c r="GO130" s="145">
        <f t="shared" si="1"/>
        <v>0</v>
      </c>
      <c r="GP130" s="87"/>
      <c r="GR130" s="145" cm="1">
        <f t="array" ref="GR130">SUMPRODUCT(--($CR$7:$FW$7&gt;=GR$5),--($CR$7:$FW$7&lt;=GR$6),$CR130:$FW130)</f>
        <v>0</v>
      </c>
    </row>
    <row r="131" spans="2:200" x14ac:dyDescent="0.2">
      <c r="B131" s="141"/>
      <c r="C131" s="141"/>
      <c r="D131" s="141"/>
      <c r="E131" s="141"/>
      <c r="F131" s="141"/>
      <c r="G131" s="141"/>
      <c r="H131" s="142"/>
      <c r="I131" s="126"/>
      <c r="J131" s="143"/>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3"/>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c r="EE131" s="145"/>
      <c r="EF131" s="145"/>
      <c r="EG131" s="145"/>
      <c r="EH131" s="145"/>
      <c r="EI131" s="145"/>
      <c r="EJ131" s="145"/>
      <c r="EK131" s="145"/>
      <c r="EL131" s="145"/>
      <c r="EM131" s="145"/>
      <c r="EN131" s="145"/>
      <c r="EO131" s="145"/>
      <c r="EP131" s="145"/>
      <c r="EQ131" s="145"/>
      <c r="ER131" s="145"/>
      <c r="ES131" s="145"/>
      <c r="ET131" s="145"/>
      <c r="EU131" s="145"/>
      <c r="EV131" s="145"/>
      <c r="EW131" s="145"/>
      <c r="EX131" s="145"/>
      <c r="EY131" s="145"/>
      <c r="EZ131" s="145"/>
      <c r="FA131" s="145"/>
      <c r="FB131" s="145"/>
      <c r="FC131" s="145"/>
      <c r="FD131" s="145"/>
      <c r="FE131" s="145"/>
      <c r="FF131" s="145"/>
      <c r="FG131" s="145"/>
      <c r="FH131" s="145"/>
      <c r="FI131" s="145"/>
      <c r="FJ131" s="145"/>
      <c r="FK131" s="145"/>
      <c r="FL131" s="145"/>
      <c r="FM131" s="145"/>
      <c r="FN131" s="145"/>
      <c r="FO131" s="145"/>
      <c r="FP131" s="145"/>
      <c r="FQ131" s="145"/>
      <c r="FR131" s="145"/>
      <c r="FS131" s="145"/>
      <c r="FT131" s="145"/>
      <c r="FU131" s="145"/>
      <c r="FV131" s="145"/>
      <c r="FW131" s="145"/>
      <c r="FX131" s="143"/>
      <c r="FY131" s="146">
        <f>_xlfn.XLOOKUP($E131,'Key assumptions'!$B$112:$B$120,'Key assumptions'!$C$112:$C$120,0)</f>
        <v>0</v>
      </c>
      <c r="FZ131" s="146" cm="1">
        <f t="array" ref="FZ131">IF($FY131=0,0,_xlfn.IFS($FY131='Key assumptions'!$C$120,_xlfn.XLOOKUP(LEFT(FZ$7,6),Inflation_Year,Inflation_NominaltoReal),TRUE,_xlfn.XLOOKUP($FY131,Inflation_Year,NominaltoReal)))</f>
        <v>0</v>
      </c>
      <c r="GA131" s="146" cm="1">
        <f t="array" ref="GA131">IF($FY131=0,0,_xlfn.IFS($FY131='Key assumptions'!$C$120,_xlfn.XLOOKUP(LEFT(GA$7,6),Inflation_Year,Inflation_NominaltoReal),TRUE,_xlfn.XLOOKUP($FY131,Inflation_Year,NominaltoReal)))</f>
        <v>0</v>
      </c>
      <c r="GB131" s="146" cm="1">
        <f t="array" ref="GB131">IF($FY131=0,0,_xlfn.IFS($FY131='Key assumptions'!$C$120,_xlfn.XLOOKUP(LEFT(GB$7,6),Inflation_Year,Inflation_NominaltoReal),TRUE,_xlfn.XLOOKUP($FY131,Inflation_Year,NominaltoReal)))</f>
        <v>0</v>
      </c>
      <c r="GC131" s="146" cm="1">
        <f t="array" ref="GC131">IF($FY131=0,0,_xlfn.IFS($FY131='Key assumptions'!$C$120,_xlfn.XLOOKUP(LEFT(GC$7,6),Inflation_Year,Inflation_NominaltoReal),TRUE,_xlfn.XLOOKUP($FY131,Inflation_Year,NominaltoReal)))</f>
        <v>0</v>
      </c>
      <c r="GD131" s="146" cm="1">
        <f t="array" ref="GD131">IF($FY131=0,0,_xlfn.IFS($FY131='Key assumptions'!$C$120,_xlfn.XLOOKUP(LEFT(GD$7,6),Inflation_Year,Inflation_NominaltoReal),TRUE,_xlfn.XLOOKUP($FY131,Inflation_Year,NominaltoReal)))</f>
        <v>0</v>
      </c>
      <c r="GE131" s="146" cm="1">
        <f t="array" ref="GE131">IF($FY131=0,0,_xlfn.IFS($FY131='Key assumptions'!$C$120,_xlfn.XLOOKUP(LEFT(GE$7,6),Inflation_Year,Inflation_NominaltoReal),TRUE,_xlfn.XLOOKUP($FY131,Inflation_Year,NominaltoReal)))</f>
        <v>0</v>
      </c>
      <c r="GF131" s="146" cm="1">
        <f t="array" ref="GF131">IF($FY131=0,0,_xlfn.IFS($FY131='Key assumptions'!$C$120,_xlfn.XLOOKUP(LEFT(GF$7,6),Inflation_Year,Inflation_NominaltoReal),TRUE,_xlfn.XLOOKUP($FY131,Inflation_Year,NominaltoReal)))</f>
        <v>0</v>
      </c>
      <c r="GG131" s="143"/>
      <c r="GH131" s="145" cm="1">
        <f t="array" ref="GH131">SUMPRODUCT(--($CR$7:$FW$7&gt;=GH$5),--($CR$7:$FW$7&lt;=GH$6),$CR131:$FW131)*FZ131</f>
        <v>0</v>
      </c>
      <c r="GI131" s="145" cm="1">
        <f t="array" ref="GI131">SUMPRODUCT(--($CR$7:$FW$7&gt;=GI$5),--($CR$7:$FW$7&lt;=GI$6),$CR131:$FW131)*GA131</f>
        <v>0</v>
      </c>
      <c r="GJ131" s="145" cm="1">
        <f t="array" ref="GJ131">SUMPRODUCT(--($CR$7:$FW$7&gt;=GJ$5),--($CR$7:$FW$7&lt;=GJ$6),$CR131:$FW131)*GB131</f>
        <v>0</v>
      </c>
      <c r="GK131" s="145" cm="1">
        <f t="array" ref="GK131">SUMPRODUCT(--($CR$7:$FW$7&gt;=GK$5),--($CR$7:$FW$7&lt;=GK$6),$CR131:$FW131)*GC131</f>
        <v>0</v>
      </c>
      <c r="GL131" s="145" cm="1">
        <f t="array" ref="GL131">SUMPRODUCT(--($CR$7:$FW$7&gt;=GL$5),--($CR$7:$FW$7&lt;=GL$6),$CR131:$FW131)*GD131</f>
        <v>0</v>
      </c>
      <c r="GM131" s="145" cm="1">
        <f t="array" ref="GM131">SUMPRODUCT(--($CR$7:$FW$7&gt;=GM$5),--($CR$7:$FW$7&lt;=GM$6),$CR131:$FW131)*GE131</f>
        <v>0</v>
      </c>
      <c r="GN131" s="145" cm="1">
        <f t="array" ref="GN131">SUMPRODUCT(--($CR$7:$FW$7&gt;=GN$5),--($CR$7:$FW$7&lt;=GN$6),$CR131:$FW131)*GF131</f>
        <v>0</v>
      </c>
      <c r="GO131" s="145">
        <f t="shared" si="1"/>
        <v>0</v>
      </c>
      <c r="GP131" s="87"/>
      <c r="GR131" s="145" cm="1">
        <f t="array" ref="GR131">SUMPRODUCT(--($CR$7:$FW$7&gt;=GR$5),--($CR$7:$FW$7&lt;=GR$6),$CR131:$FW131)</f>
        <v>0</v>
      </c>
    </row>
    <row r="132" spans="2:200" x14ac:dyDescent="0.2">
      <c r="B132" s="141"/>
      <c r="C132" s="141"/>
      <c r="D132" s="141"/>
      <c r="E132" s="141"/>
      <c r="F132" s="141"/>
      <c r="G132" s="141"/>
      <c r="H132" s="142"/>
      <c r="I132" s="126"/>
      <c r="J132" s="143"/>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3"/>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c r="EE132" s="145"/>
      <c r="EF132" s="145"/>
      <c r="EG132" s="145"/>
      <c r="EH132" s="145"/>
      <c r="EI132" s="145"/>
      <c r="EJ132" s="145"/>
      <c r="EK132" s="145"/>
      <c r="EL132" s="145"/>
      <c r="EM132" s="145"/>
      <c r="EN132" s="145"/>
      <c r="EO132" s="145"/>
      <c r="EP132" s="145"/>
      <c r="EQ132" s="145"/>
      <c r="ER132" s="145"/>
      <c r="ES132" s="145"/>
      <c r="ET132" s="145"/>
      <c r="EU132" s="145"/>
      <c r="EV132" s="145"/>
      <c r="EW132" s="145"/>
      <c r="EX132" s="145"/>
      <c r="EY132" s="145"/>
      <c r="EZ132" s="145"/>
      <c r="FA132" s="145"/>
      <c r="FB132" s="145"/>
      <c r="FC132" s="145"/>
      <c r="FD132" s="145"/>
      <c r="FE132" s="145"/>
      <c r="FF132" s="145"/>
      <c r="FG132" s="145"/>
      <c r="FH132" s="145"/>
      <c r="FI132" s="145"/>
      <c r="FJ132" s="145"/>
      <c r="FK132" s="145"/>
      <c r="FL132" s="145"/>
      <c r="FM132" s="145"/>
      <c r="FN132" s="145"/>
      <c r="FO132" s="145"/>
      <c r="FP132" s="145"/>
      <c r="FQ132" s="145"/>
      <c r="FR132" s="145"/>
      <c r="FS132" s="145"/>
      <c r="FT132" s="145"/>
      <c r="FU132" s="145"/>
      <c r="FV132" s="145"/>
      <c r="FW132" s="145"/>
      <c r="FX132" s="143"/>
      <c r="FY132" s="146">
        <f>_xlfn.XLOOKUP($E132,'Key assumptions'!$B$112:$B$120,'Key assumptions'!$C$112:$C$120,0)</f>
        <v>0</v>
      </c>
      <c r="FZ132" s="146" cm="1">
        <f t="array" ref="FZ132">IF($FY132=0,0,_xlfn.IFS($FY132='Key assumptions'!$C$120,_xlfn.XLOOKUP(LEFT(FZ$7,6),Inflation_Year,Inflation_NominaltoReal),TRUE,_xlfn.XLOOKUP($FY132,Inflation_Year,NominaltoReal)))</f>
        <v>0</v>
      </c>
      <c r="GA132" s="146" cm="1">
        <f t="array" ref="GA132">IF($FY132=0,0,_xlfn.IFS($FY132='Key assumptions'!$C$120,_xlfn.XLOOKUP(LEFT(GA$7,6),Inflation_Year,Inflation_NominaltoReal),TRUE,_xlfn.XLOOKUP($FY132,Inflation_Year,NominaltoReal)))</f>
        <v>0</v>
      </c>
      <c r="GB132" s="146" cm="1">
        <f t="array" ref="GB132">IF($FY132=0,0,_xlfn.IFS($FY132='Key assumptions'!$C$120,_xlfn.XLOOKUP(LEFT(GB$7,6),Inflation_Year,Inflation_NominaltoReal),TRUE,_xlfn.XLOOKUP($FY132,Inflation_Year,NominaltoReal)))</f>
        <v>0</v>
      </c>
      <c r="GC132" s="146" cm="1">
        <f t="array" ref="GC132">IF($FY132=0,0,_xlfn.IFS($FY132='Key assumptions'!$C$120,_xlfn.XLOOKUP(LEFT(GC$7,6),Inflation_Year,Inflation_NominaltoReal),TRUE,_xlfn.XLOOKUP($FY132,Inflation_Year,NominaltoReal)))</f>
        <v>0</v>
      </c>
      <c r="GD132" s="146" cm="1">
        <f t="array" ref="GD132">IF($FY132=0,0,_xlfn.IFS($FY132='Key assumptions'!$C$120,_xlfn.XLOOKUP(LEFT(GD$7,6),Inflation_Year,Inflation_NominaltoReal),TRUE,_xlfn.XLOOKUP($FY132,Inflation_Year,NominaltoReal)))</f>
        <v>0</v>
      </c>
      <c r="GE132" s="146" cm="1">
        <f t="array" ref="GE132">IF($FY132=0,0,_xlfn.IFS($FY132='Key assumptions'!$C$120,_xlfn.XLOOKUP(LEFT(GE$7,6),Inflation_Year,Inflation_NominaltoReal),TRUE,_xlfn.XLOOKUP($FY132,Inflation_Year,NominaltoReal)))</f>
        <v>0</v>
      </c>
      <c r="GF132" s="146" cm="1">
        <f t="array" ref="GF132">IF($FY132=0,0,_xlfn.IFS($FY132='Key assumptions'!$C$120,_xlfn.XLOOKUP(LEFT(GF$7,6),Inflation_Year,Inflation_NominaltoReal),TRUE,_xlfn.XLOOKUP($FY132,Inflation_Year,NominaltoReal)))</f>
        <v>0</v>
      </c>
      <c r="GG132" s="143"/>
      <c r="GH132" s="145" cm="1">
        <f t="array" ref="GH132">SUMPRODUCT(--($CR$7:$FW$7&gt;=GH$5),--($CR$7:$FW$7&lt;=GH$6),$CR132:$FW132)*FZ132</f>
        <v>0</v>
      </c>
      <c r="GI132" s="145" cm="1">
        <f t="array" ref="GI132">SUMPRODUCT(--($CR$7:$FW$7&gt;=GI$5),--($CR$7:$FW$7&lt;=GI$6),$CR132:$FW132)*GA132</f>
        <v>0</v>
      </c>
      <c r="GJ132" s="145" cm="1">
        <f t="array" ref="GJ132">SUMPRODUCT(--($CR$7:$FW$7&gt;=GJ$5),--($CR$7:$FW$7&lt;=GJ$6),$CR132:$FW132)*GB132</f>
        <v>0</v>
      </c>
      <c r="GK132" s="145" cm="1">
        <f t="array" ref="GK132">SUMPRODUCT(--($CR$7:$FW$7&gt;=GK$5),--($CR$7:$FW$7&lt;=GK$6),$CR132:$FW132)*GC132</f>
        <v>0</v>
      </c>
      <c r="GL132" s="145" cm="1">
        <f t="array" ref="GL132">SUMPRODUCT(--($CR$7:$FW$7&gt;=GL$5),--($CR$7:$FW$7&lt;=GL$6),$CR132:$FW132)*GD132</f>
        <v>0</v>
      </c>
      <c r="GM132" s="145" cm="1">
        <f t="array" ref="GM132">SUMPRODUCT(--($CR$7:$FW$7&gt;=GM$5),--($CR$7:$FW$7&lt;=GM$6),$CR132:$FW132)*GE132</f>
        <v>0</v>
      </c>
      <c r="GN132" s="145" cm="1">
        <f t="array" ref="GN132">SUMPRODUCT(--($CR$7:$FW$7&gt;=GN$5),--($CR$7:$FW$7&lt;=GN$6),$CR132:$FW132)*GF132</f>
        <v>0</v>
      </c>
      <c r="GO132" s="145">
        <f t="shared" si="1"/>
        <v>0</v>
      </c>
      <c r="GP132" s="87"/>
      <c r="GR132" s="145" cm="1">
        <f t="array" ref="GR132">SUMPRODUCT(--($CR$7:$FW$7&gt;=GR$5),--($CR$7:$FW$7&lt;=GR$6),$CR132:$FW132)</f>
        <v>0</v>
      </c>
    </row>
    <row r="133" spans="2:200" x14ac:dyDescent="0.2">
      <c r="B133" s="141"/>
      <c r="C133" s="141"/>
      <c r="D133" s="141"/>
      <c r="E133" s="141"/>
      <c r="F133" s="141"/>
      <c r="G133" s="141"/>
      <c r="H133" s="142"/>
      <c r="I133" s="126"/>
      <c r="J133" s="143"/>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3"/>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45"/>
      <c r="EF133" s="145"/>
      <c r="EG133" s="145"/>
      <c r="EH133" s="145"/>
      <c r="EI133" s="145"/>
      <c r="EJ133" s="145"/>
      <c r="EK133" s="145"/>
      <c r="EL133" s="145"/>
      <c r="EM133" s="145"/>
      <c r="EN133" s="145"/>
      <c r="EO133" s="145"/>
      <c r="EP133" s="145"/>
      <c r="EQ133" s="145"/>
      <c r="ER133" s="145"/>
      <c r="ES133" s="145"/>
      <c r="ET133" s="145"/>
      <c r="EU133" s="145"/>
      <c r="EV133" s="145"/>
      <c r="EW133" s="145"/>
      <c r="EX133" s="145"/>
      <c r="EY133" s="145"/>
      <c r="EZ133" s="145"/>
      <c r="FA133" s="145"/>
      <c r="FB133" s="145"/>
      <c r="FC133" s="145"/>
      <c r="FD133" s="145"/>
      <c r="FE133" s="145"/>
      <c r="FF133" s="145"/>
      <c r="FG133" s="145"/>
      <c r="FH133" s="145"/>
      <c r="FI133" s="145"/>
      <c r="FJ133" s="145"/>
      <c r="FK133" s="145"/>
      <c r="FL133" s="145"/>
      <c r="FM133" s="145"/>
      <c r="FN133" s="145"/>
      <c r="FO133" s="145"/>
      <c r="FP133" s="145"/>
      <c r="FQ133" s="145"/>
      <c r="FR133" s="145"/>
      <c r="FS133" s="145"/>
      <c r="FT133" s="145"/>
      <c r="FU133" s="145"/>
      <c r="FV133" s="145"/>
      <c r="FW133" s="145"/>
      <c r="FX133" s="143"/>
      <c r="FY133" s="146">
        <f>_xlfn.XLOOKUP($E133,'Key assumptions'!$B$112:$B$120,'Key assumptions'!$C$112:$C$120,0)</f>
        <v>0</v>
      </c>
      <c r="FZ133" s="146" cm="1">
        <f t="array" ref="FZ133">IF($FY133=0,0,_xlfn.IFS($FY133='Key assumptions'!$C$120,_xlfn.XLOOKUP(LEFT(FZ$7,6),Inflation_Year,Inflation_NominaltoReal),TRUE,_xlfn.XLOOKUP($FY133,Inflation_Year,NominaltoReal)))</f>
        <v>0</v>
      </c>
      <c r="GA133" s="146" cm="1">
        <f t="array" ref="GA133">IF($FY133=0,0,_xlfn.IFS($FY133='Key assumptions'!$C$120,_xlfn.XLOOKUP(LEFT(GA$7,6),Inflation_Year,Inflation_NominaltoReal),TRUE,_xlfn.XLOOKUP($FY133,Inflation_Year,NominaltoReal)))</f>
        <v>0</v>
      </c>
      <c r="GB133" s="146" cm="1">
        <f t="array" ref="GB133">IF($FY133=0,0,_xlfn.IFS($FY133='Key assumptions'!$C$120,_xlfn.XLOOKUP(LEFT(GB$7,6),Inflation_Year,Inflation_NominaltoReal),TRUE,_xlfn.XLOOKUP($FY133,Inflation_Year,NominaltoReal)))</f>
        <v>0</v>
      </c>
      <c r="GC133" s="146" cm="1">
        <f t="array" ref="GC133">IF($FY133=0,0,_xlfn.IFS($FY133='Key assumptions'!$C$120,_xlfn.XLOOKUP(LEFT(GC$7,6),Inflation_Year,Inflation_NominaltoReal),TRUE,_xlfn.XLOOKUP($FY133,Inflation_Year,NominaltoReal)))</f>
        <v>0</v>
      </c>
      <c r="GD133" s="146" cm="1">
        <f t="array" ref="GD133">IF($FY133=0,0,_xlfn.IFS($FY133='Key assumptions'!$C$120,_xlfn.XLOOKUP(LEFT(GD$7,6),Inflation_Year,Inflation_NominaltoReal),TRUE,_xlfn.XLOOKUP($FY133,Inflation_Year,NominaltoReal)))</f>
        <v>0</v>
      </c>
      <c r="GE133" s="146" cm="1">
        <f t="array" ref="GE133">IF($FY133=0,0,_xlfn.IFS($FY133='Key assumptions'!$C$120,_xlfn.XLOOKUP(LEFT(GE$7,6),Inflation_Year,Inflation_NominaltoReal),TRUE,_xlfn.XLOOKUP($FY133,Inflation_Year,NominaltoReal)))</f>
        <v>0</v>
      </c>
      <c r="GF133" s="146" cm="1">
        <f t="array" ref="GF133">IF($FY133=0,0,_xlfn.IFS($FY133='Key assumptions'!$C$120,_xlfn.XLOOKUP(LEFT(GF$7,6),Inflation_Year,Inflation_NominaltoReal),TRUE,_xlfn.XLOOKUP($FY133,Inflation_Year,NominaltoReal)))</f>
        <v>0</v>
      </c>
      <c r="GG133" s="143"/>
      <c r="GH133" s="145" cm="1">
        <f t="array" ref="GH133">SUMPRODUCT(--($CR$7:$FW$7&gt;=GH$5),--($CR$7:$FW$7&lt;=GH$6),$CR133:$FW133)*FZ133</f>
        <v>0</v>
      </c>
      <c r="GI133" s="145" cm="1">
        <f t="array" ref="GI133">SUMPRODUCT(--($CR$7:$FW$7&gt;=GI$5),--($CR$7:$FW$7&lt;=GI$6),$CR133:$FW133)*GA133</f>
        <v>0</v>
      </c>
      <c r="GJ133" s="145" cm="1">
        <f t="array" ref="GJ133">SUMPRODUCT(--($CR$7:$FW$7&gt;=GJ$5),--($CR$7:$FW$7&lt;=GJ$6),$CR133:$FW133)*GB133</f>
        <v>0</v>
      </c>
      <c r="GK133" s="145" cm="1">
        <f t="array" ref="GK133">SUMPRODUCT(--($CR$7:$FW$7&gt;=GK$5),--($CR$7:$FW$7&lt;=GK$6),$CR133:$FW133)*GC133</f>
        <v>0</v>
      </c>
      <c r="GL133" s="145" cm="1">
        <f t="array" ref="GL133">SUMPRODUCT(--($CR$7:$FW$7&gt;=GL$5),--($CR$7:$FW$7&lt;=GL$6),$CR133:$FW133)*GD133</f>
        <v>0</v>
      </c>
      <c r="GM133" s="145" cm="1">
        <f t="array" ref="GM133">SUMPRODUCT(--($CR$7:$FW$7&gt;=GM$5),--($CR$7:$FW$7&lt;=GM$6),$CR133:$FW133)*GE133</f>
        <v>0</v>
      </c>
      <c r="GN133" s="145" cm="1">
        <f t="array" ref="GN133">SUMPRODUCT(--($CR$7:$FW$7&gt;=GN$5),--($CR$7:$FW$7&lt;=GN$6),$CR133:$FW133)*GF133</f>
        <v>0</v>
      </c>
      <c r="GO133" s="145">
        <f t="shared" si="1"/>
        <v>0</v>
      </c>
      <c r="GP133" s="87"/>
      <c r="GR133" s="145" cm="1">
        <f t="array" ref="GR133">SUMPRODUCT(--($CR$7:$FW$7&gt;=GR$5),--($CR$7:$FW$7&lt;=GR$6),$CR133:$FW133)</f>
        <v>0</v>
      </c>
    </row>
    <row r="134" spans="2:200" x14ac:dyDescent="0.2">
      <c r="B134" s="141"/>
      <c r="C134" s="141"/>
      <c r="D134" s="141"/>
      <c r="E134" s="141"/>
      <c r="F134" s="141"/>
      <c r="G134" s="141"/>
      <c r="H134" s="142"/>
      <c r="I134" s="126"/>
      <c r="J134" s="143"/>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3"/>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c r="EE134" s="145"/>
      <c r="EF134" s="145"/>
      <c r="EG134" s="145"/>
      <c r="EH134" s="145"/>
      <c r="EI134" s="145"/>
      <c r="EJ134" s="145"/>
      <c r="EK134" s="145"/>
      <c r="EL134" s="145"/>
      <c r="EM134" s="145"/>
      <c r="EN134" s="145"/>
      <c r="EO134" s="145"/>
      <c r="EP134" s="145"/>
      <c r="EQ134" s="145"/>
      <c r="ER134" s="145"/>
      <c r="ES134" s="145"/>
      <c r="ET134" s="145"/>
      <c r="EU134" s="145"/>
      <c r="EV134" s="145"/>
      <c r="EW134" s="145"/>
      <c r="EX134" s="145"/>
      <c r="EY134" s="145"/>
      <c r="EZ134" s="145"/>
      <c r="FA134" s="145"/>
      <c r="FB134" s="145"/>
      <c r="FC134" s="145"/>
      <c r="FD134" s="145"/>
      <c r="FE134" s="145"/>
      <c r="FF134" s="145"/>
      <c r="FG134" s="145"/>
      <c r="FH134" s="145"/>
      <c r="FI134" s="145"/>
      <c r="FJ134" s="145"/>
      <c r="FK134" s="145"/>
      <c r="FL134" s="145"/>
      <c r="FM134" s="145"/>
      <c r="FN134" s="145"/>
      <c r="FO134" s="145"/>
      <c r="FP134" s="145"/>
      <c r="FQ134" s="145"/>
      <c r="FR134" s="145"/>
      <c r="FS134" s="145"/>
      <c r="FT134" s="145"/>
      <c r="FU134" s="145"/>
      <c r="FV134" s="145"/>
      <c r="FW134" s="145"/>
      <c r="FX134" s="143"/>
      <c r="FY134" s="146">
        <f>_xlfn.XLOOKUP($E134,'Key assumptions'!$B$112:$B$120,'Key assumptions'!$C$112:$C$120,0)</f>
        <v>0</v>
      </c>
      <c r="FZ134" s="146" cm="1">
        <f t="array" ref="FZ134">IF($FY134=0,0,_xlfn.IFS($FY134='Key assumptions'!$C$120,_xlfn.XLOOKUP(LEFT(FZ$7,6),Inflation_Year,Inflation_NominaltoReal),TRUE,_xlfn.XLOOKUP($FY134,Inflation_Year,NominaltoReal)))</f>
        <v>0</v>
      </c>
      <c r="GA134" s="146" cm="1">
        <f t="array" ref="GA134">IF($FY134=0,0,_xlfn.IFS($FY134='Key assumptions'!$C$120,_xlfn.XLOOKUP(LEFT(GA$7,6),Inflation_Year,Inflation_NominaltoReal),TRUE,_xlfn.XLOOKUP($FY134,Inflation_Year,NominaltoReal)))</f>
        <v>0</v>
      </c>
      <c r="GB134" s="146" cm="1">
        <f t="array" ref="GB134">IF($FY134=0,0,_xlfn.IFS($FY134='Key assumptions'!$C$120,_xlfn.XLOOKUP(LEFT(GB$7,6),Inflation_Year,Inflation_NominaltoReal),TRUE,_xlfn.XLOOKUP($FY134,Inflation_Year,NominaltoReal)))</f>
        <v>0</v>
      </c>
      <c r="GC134" s="146" cm="1">
        <f t="array" ref="GC134">IF($FY134=0,0,_xlfn.IFS($FY134='Key assumptions'!$C$120,_xlfn.XLOOKUP(LEFT(GC$7,6),Inflation_Year,Inflation_NominaltoReal),TRUE,_xlfn.XLOOKUP($FY134,Inflation_Year,NominaltoReal)))</f>
        <v>0</v>
      </c>
      <c r="GD134" s="146" cm="1">
        <f t="array" ref="GD134">IF($FY134=0,0,_xlfn.IFS($FY134='Key assumptions'!$C$120,_xlfn.XLOOKUP(LEFT(GD$7,6),Inflation_Year,Inflation_NominaltoReal),TRUE,_xlfn.XLOOKUP($FY134,Inflation_Year,NominaltoReal)))</f>
        <v>0</v>
      </c>
      <c r="GE134" s="146" cm="1">
        <f t="array" ref="GE134">IF($FY134=0,0,_xlfn.IFS($FY134='Key assumptions'!$C$120,_xlfn.XLOOKUP(LEFT(GE$7,6),Inflation_Year,Inflation_NominaltoReal),TRUE,_xlfn.XLOOKUP($FY134,Inflation_Year,NominaltoReal)))</f>
        <v>0</v>
      </c>
      <c r="GF134" s="146" cm="1">
        <f t="array" ref="GF134">IF($FY134=0,0,_xlfn.IFS($FY134='Key assumptions'!$C$120,_xlfn.XLOOKUP(LEFT(GF$7,6),Inflation_Year,Inflation_NominaltoReal),TRUE,_xlfn.XLOOKUP($FY134,Inflation_Year,NominaltoReal)))</f>
        <v>0</v>
      </c>
      <c r="GG134" s="143"/>
      <c r="GH134" s="145" cm="1">
        <f t="array" ref="GH134">SUMPRODUCT(--($CR$7:$FW$7&gt;=GH$5),--($CR$7:$FW$7&lt;=GH$6),$CR134:$FW134)*FZ134</f>
        <v>0</v>
      </c>
      <c r="GI134" s="145" cm="1">
        <f t="array" ref="GI134">SUMPRODUCT(--($CR$7:$FW$7&gt;=GI$5),--($CR$7:$FW$7&lt;=GI$6),$CR134:$FW134)*GA134</f>
        <v>0</v>
      </c>
      <c r="GJ134" s="145" cm="1">
        <f t="array" ref="GJ134">SUMPRODUCT(--($CR$7:$FW$7&gt;=GJ$5),--($CR$7:$FW$7&lt;=GJ$6),$CR134:$FW134)*GB134</f>
        <v>0</v>
      </c>
      <c r="GK134" s="145" cm="1">
        <f t="array" ref="GK134">SUMPRODUCT(--($CR$7:$FW$7&gt;=GK$5),--($CR$7:$FW$7&lt;=GK$6),$CR134:$FW134)*GC134</f>
        <v>0</v>
      </c>
      <c r="GL134" s="145" cm="1">
        <f t="array" ref="GL134">SUMPRODUCT(--($CR$7:$FW$7&gt;=GL$5),--($CR$7:$FW$7&lt;=GL$6),$CR134:$FW134)*GD134</f>
        <v>0</v>
      </c>
      <c r="GM134" s="145" cm="1">
        <f t="array" ref="GM134">SUMPRODUCT(--($CR$7:$FW$7&gt;=GM$5),--($CR$7:$FW$7&lt;=GM$6),$CR134:$FW134)*GE134</f>
        <v>0</v>
      </c>
      <c r="GN134" s="145" cm="1">
        <f t="array" ref="GN134">SUMPRODUCT(--($CR$7:$FW$7&gt;=GN$5),--($CR$7:$FW$7&lt;=GN$6),$CR134:$FW134)*GF134</f>
        <v>0</v>
      </c>
      <c r="GO134" s="145">
        <f t="shared" si="1"/>
        <v>0</v>
      </c>
      <c r="GP134" s="87"/>
      <c r="GR134" s="145" cm="1">
        <f t="array" ref="GR134">SUMPRODUCT(--($CR$7:$FW$7&gt;=GR$5),--($CR$7:$FW$7&lt;=GR$6),$CR134:$FW134)</f>
        <v>0</v>
      </c>
    </row>
    <row r="135" spans="2:200" x14ac:dyDescent="0.2">
      <c r="B135" s="141"/>
      <c r="C135" s="141"/>
      <c r="D135" s="141"/>
      <c r="E135" s="141"/>
      <c r="F135" s="141"/>
      <c r="G135" s="141"/>
      <c r="H135" s="142"/>
      <c r="I135" s="126"/>
      <c r="J135" s="143"/>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3"/>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c r="EE135" s="145"/>
      <c r="EF135" s="145"/>
      <c r="EG135" s="145"/>
      <c r="EH135" s="145"/>
      <c r="EI135" s="145"/>
      <c r="EJ135" s="145"/>
      <c r="EK135" s="145"/>
      <c r="EL135" s="145"/>
      <c r="EM135" s="145"/>
      <c r="EN135" s="145"/>
      <c r="EO135" s="145"/>
      <c r="EP135" s="145"/>
      <c r="EQ135" s="145"/>
      <c r="ER135" s="145"/>
      <c r="ES135" s="145"/>
      <c r="ET135" s="145"/>
      <c r="EU135" s="145"/>
      <c r="EV135" s="145"/>
      <c r="EW135" s="145"/>
      <c r="EX135" s="145"/>
      <c r="EY135" s="145"/>
      <c r="EZ135" s="145"/>
      <c r="FA135" s="145"/>
      <c r="FB135" s="145"/>
      <c r="FC135" s="145"/>
      <c r="FD135" s="145"/>
      <c r="FE135" s="145"/>
      <c r="FF135" s="145"/>
      <c r="FG135" s="145"/>
      <c r="FH135" s="145"/>
      <c r="FI135" s="145"/>
      <c r="FJ135" s="145"/>
      <c r="FK135" s="145"/>
      <c r="FL135" s="145"/>
      <c r="FM135" s="145"/>
      <c r="FN135" s="145"/>
      <c r="FO135" s="145"/>
      <c r="FP135" s="145"/>
      <c r="FQ135" s="145"/>
      <c r="FR135" s="145"/>
      <c r="FS135" s="145"/>
      <c r="FT135" s="145"/>
      <c r="FU135" s="145"/>
      <c r="FV135" s="145"/>
      <c r="FW135" s="145"/>
      <c r="FX135" s="143"/>
      <c r="FY135" s="146">
        <f>_xlfn.XLOOKUP($E135,'Key assumptions'!$B$112:$B$120,'Key assumptions'!$C$112:$C$120,0)</f>
        <v>0</v>
      </c>
      <c r="FZ135" s="146" cm="1">
        <f t="array" ref="FZ135">IF($FY135=0,0,_xlfn.IFS($FY135='Key assumptions'!$C$120,_xlfn.XLOOKUP(LEFT(FZ$7,6),Inflation_Year,Inflation_NominaltoReal),TRUE,_xlfn.XLOOKUP($FY135,Inflation_Year,NominaltoReal)))</f>
        <v>0</v>
      </c>
      <c r="GA135" s="146" cm="1">
        <f t="array" ref="GA135">IF($FY135=0,0,_xlfn.IFS($FY135='Key assumptions'!$C$120,_xlfn.XLOOKUP(LEFT(GA$7,6),Inflation_Year,Inflation_NominaltoReal),TRUE,_xlfn.XLOOKUP($FY135,Inflation_Year,NominaltoReal)))</f>
        <v>0</v>
      </c>
      <c r="GB135" s="146" cm="1">
        <f t="array" ref="GB135">IF($FY135=0,0,_xlfn.IFS($FY135='Key assumptions'!$C$120,_xlfn.XLOOKUP(LEFT(GB$7,6),Inflation_Year,Inflation_NominaltoReal),TRUE,_xlfn.XLOOKUP($FY135,Inflation_Year,NominaltoReal)))</f>
        <v>0</v>
      </c>
      <c r="GC135" s="146" cm="1">
        <f t="array" ref="GC135">IF($FY135=0,0,_xlfn.IFS($FY135='Key assumptions'!$C$120,_xlfn.XLOOKUP(LEFT(GC$7,6),Inflation_Year,Inflation_NominaltoReal),TRUE,_xlfn.XLOOKUP($FY135,Inflation_Year,NominaltoReal)))</f>
        <v>0</v>
      </c>
      <c r="GD135" s="146" cm="1">
        <f t="array" ref="GD135">IF($FY135=0,0,_xlfn.IFS($FY135='Key assumptions'!$C$120,_xlfn.XLOOKUP(LEFT(GD$7,6),Inflation_Year,Inflation_NominaltoReal),TRUE,_xlfn.XLOOKUP($FY135,Inflation_Year,NominaltoReal)))</f>
        <v>0</v>
      </c>
      <c r="GE135" s="146" cm="1">
        <f t="array" ref="GE135">IF($FY135=0,0,_xlfn.IFS($FY135='Key assumptions'!$C$120,_xlfn.XLOOKUP(LEFT(GE$7,6),Inflation_Year,Inflation_NominaltoReal),TRUE,_xlfn.XLOOKUP($FY135,Inflation_Year,NominaltoReal)))</f>
        <v>0</v>
      </c>
      <c r="GF135" s="146" cm="1">
        <f t="array" ref="GF135">IF($FY135=0,0,_xlfn.IFS($FY135='Key assumptions'!$C$120,_xlfn.XLOOKUP(LEFT(GF$7,6),Inflation_Year,Inflation_NominaltoReal),TRUE,_xlfn.XLOOKUP($FY135,Inflation_Year,NominaltoReal)))</f>
        <v>0</v>
      </c>
      <c r="GG135" s="143"/>
      <c r="GH135" s="145" cm="1">
        <f t="array" ref="GH135">SUMPRODUCT(--($CR$7:$FW$7&gt;=GH$5),--($CR$7:$FW$7&lt;=GH$6),$CR135:$FW135)*FZ135</f>
        <v>0</v>
      </c>
      <c r="GI135" s="145" cm="1">
        <f t="array" ref="GI135">SUMPRODUCT(--($CR$7:$FW$7&gt;=GI$5),--($CR$7:$FW$7&lt;=GI$6),$CR135:$FW135)*GA135</f>
        <v>0</v>
      </c>
      <c r="GJ135" s="145" cm="1">
        <f t="array" ref="GJ135">SUMPRODUCT(--($CR$7:$FW$7&gt;=GJ$5),--($CR$7:$FW$7&lt;=GJ$6),$CR135:$FW135)*GB135</f>
        <v>0</v>
      </c>
      <c r="GK135" s="145" cm="1">
        <f t="array" ref="GK135">SUMPRODUCT(--($CR$7:$FW$7&gt;=GK$5),--($CR$7:$FW$7&lt;=GK$6),$CR135:$FW135)*GC135</f>
        <v>0</v>
      </c>
      <c r="GL135" s="145" cm="1">
        <f t="array" ref="GL135">SUMPRODUCT(--($CR$7:$FW$7&gt;=GL$5),--($CR$7:$FW$7&lt;=GL$6),$CR135:$FW135)*GD135</f>
        <v>0</v>
      </c>
      <c r="GM135" s="145" cm="1">
        <f t="array" ref="GM135">SUMPRODUCT(--($CR$7:$FW$7&gt;=GM$5),--($CR$7:$FW$7&lt;=GM$6),$CR135:$FW135)*GE135</f>
        <v>0</v>
      </c>
      <c r="GN135" s="145" cm="1">
        <f t="array" ref="GN135">SUMPRODUCT(--($CR$7:$FW$7&gt;=GN$5),--($CR$7:$FW$7&lt;=GN$6),$CR135:$FW135)*GF135</f>
        <v>0</v>
      </c>
      <c r="GO135" s="145">
        <f t="shared" si="1"/>
        <v>0</v>
      </c>
      <c r="GP135" s="87"/>
      <c r="GR135" s="145" cm="1">
        <f t="array" ref="GR135">SUMPRODUCT(--($CR$7:$FW$7&gt;=GR$5),--($CR$7:$FW$7&lt;=GR$6),$CR135:$FW135)</f>
        <v>0</v>
      </c>
    </row>
    <row r="136" spans="2:200" x14ac:dyDescent="0.2">
      <c r="B136" s="141"/>
      <c r="C136" s="141"/>
      <c r="D136" s="141"/>
      <c r="E136" s="141"/>
      <c r="F136" s="141"/>
      <c r="G136" s="141"/>
      <c r="H136" s="142"/>
      <c r="I136" s="126"/>
      <c r="J136" s="143"/>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3"/>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c r="EE136" s="145"/>
      <c r="EF136" s="145"/>
      <c r="EG136" s="145"/>
      <c r="EH136" s="145"/>
      <c r="EI136" s="145"/>
      <c r="EJ136" s="145"/>
      <c r="EK136" s="145"/>
      <c r="EL136" s="145"/>
      <c r="EM136" s="145"/>
      <c r="EN136" s="145"/>
      <c r="EO136" s="145"/>
      <c r="EP136" s="145"/>
      <c r="EQ136" s="145"/>
      <c r="ER136" s="145"/>
      <c r="ES136" s="145"/>
      <c r="ET136" s="145"/>
      <c r="EU136" s="145"/>
      <c r="EV136" s="145"/>
      <c r="EW136" s="145"/>
      <c r="EX136" s="145"/>
      <c r="EY136" s="145"/>
      <c r="EZ136" s="145"/>
      <c r="FA136" s="145"/>
      <c r="FB136" s="145"/>
      <c r="FC136" s="145"/>
      <c r="FD136" s="145"/>
      <c r="FE136" s="145"/>
      <c r="FF136" s="145"/>
      <c r="FG136" s="145"/>
      <c r="FH136" s="145"/>
      <c r="FI136" s="145"/>
      <c r="FJ136" s="145"/>
      <c r="FK136" s="145"/>
      <c r="FL136" s="145"/>
      <c r="FM136" s="145"/>
      <c r="FN136" s="145"/>
      <c r="FO136" s="145"/>
      <c r="FP136" s="145"/>
      <c r="FQ136" s="145"/>
      <c r="FR136" s="145"/>
      <c r="FS136" s="145"/>
      <c r="FT136" s="145"/>
      <c r="FU136" s="145"/>
      <c r="FV136" s="145"/>
      <c r="FW136" s="145"/>
      <c r="FX136" s="143"/>
      <c r="FY136" s="146">
        <f>_xlfn.XLOOKUP($E136,'Key assumptions'!$B$112:$B$120,'Key assumptions'!$C$112:$C$120,0)</f>
        <v>0</v>
      </c>
      <c r="FZ136" s="146" cm="1">
        <f t="array" ref="FZ136">IF($FY136=0,0,_xlfn.IFS($FY136='Key assumptions'!$C$120,_xlfn.XLOOKUP(LEFT(FZ$7,6),Inflation_Year,Inflation_NominaltoReal),TRUE,_xlfn.XLOOKUP($FY136,Inflation_Year,NominaltoReal)))</f>
        <v>0</v>
      </c>
      <c r="GA136" s="146" cm="1">
        <f t="array" ref="GA136">IF($FY136=0,0,_xlfn.IFS($FY136='Key assumptions'!$C$120,_xlfn.XLOOKUP(LEFT(GA$7,6),Inflation_Year,Inflation_NominaltoReal),TRUE,_xlfn.XLOOKUP($FY136,Inflation_Year,NominaltoReal)))</f>
        <v>0</v>
      </c>
      <c r="GB136" s="146" cm="1">
        <f t="array" ref="GB136">IF($FY136=0,0,_xlfn.IFS($FY136='Key assumptions'!$C$120,_xlfn.XLOOKUP(LEFT(GB$7,6),Inflation_Year,Inflation_NominaltoReal),TRUE,_xlfn.XLOOKUP($FY136,Inflation_Year,NominaltoReal)))</f>
        <v>0</v>
      </c>
      <c r="GC136" s="146" cm="1">
        <f t="array" ref="GC136">IF($FY136=0,0,_xlfn.IFS($FY136='Key assumptions'!$C$120,_xlfn.XLOOKUP(LEFT(GC$7,6),Inflation_Year,Inflation_NominaltoReal),TRUE,_xlfn.XLOOKUP($FY136,Inflation_Year,NominaltoReal)))</f>
        <v>0</v>
      </c>
      <c r="GD136" s="146" cm="1">
        <f t="array" ref="GD136">IF($FY136=0,0,_xlfn.IFS($FY136='Key assumptions'!$C$120,_xlfn.XLOOKUP(LEFT(GD$7,6),Inflation_Year,Inflation_NominaltoReal),TRUE,_xlfn.XLOOKUP($FY136,Inflation_Year,NominaltoReal)))</f>
        <v>0</v>
      </c>
      <c r="GE136" s="146" cm="1">
        <f t="array" ref="GE136">IF($FY136=0,0,_xlfn.IFS($FY136='Key assumptions'!$C$120,_xlfn.XLOOKUP(LEFT(GE$7,6),Inflation_Year,Inflation_NominaltoReal),TRUE,_xlfn.XLOOKUP($FY136,Inflation_Year,NominaltoReal)))</f>
        <v>0</v>
      </c>
      <c r="GF136" s="146" cm="1">
        <f t="array" ref="GF136">IF($FY136=0,0,_xlfn.IFS($FY136='Key assumptions'!$C$120,_xlfn.XLOOKUP(LEFT(GF$7,6),Inflation_Year,Inflation_NominaltoReal),TRUE,_xlfn.XLOOKUP($FY136,Inflation_Year,NominaltoReal)))</f>
        <v>0</v>
      </c>
      <c r="GG136" s="143"/>
      <c r="GH136" s="145" cm="1">
        <f t="array" ref="GH136">SUMPRODUCT(--($CR$7:$FW$7&gt;=GH$5),--($CR$7:$FW$7&lt;=GH$6),$CR136:$FW136)*FZ136</f>
        <v>0</v>
      </c>
      <c r="GI136" s="145" cm="1">
        <f t="array" ref="GI136">SUMPRODUCT(--($CR$7:$FW$7&gt;=GI$5),--($CR$7:$FW$7&lt;=GI$6),$CR136:$FW136)*GA136</f>
        <v>0</v>
      </c>
      <c r="GJ136" s="145" cm="1">
        <f t="array" ref="GJ136">SUMPRODUCT(--($CR$7:$FW$7&gt;=GJ$5),--($CR$7:$FW$7&lt;=GJ$6),$CR136:$FW136)*GB136</f>
        <v>0</v>
      </c>
      <c r="GK136" s="145" cm="1">
        <f t="array" ref="GK136">SUMPRODUCT(--($CR$7:$FW$7&gt;=GK$5),--($CR$7:$FW$7&lt;=GK$6),$CR136:$FW136)*GC136</f>
        <v>0</v>
      </c>
      <c r="GL136" s="145" cm="1">
        <f t="array" ref="GL136">SUMPRODUCT(--($CR$7:$FW$7&gt;=GL$5),--($CR$7:$FW$7&lt;=GL$6),$CR136:$FW136)*GD136</f>
        <v>0</v>
      </c>
      <c r="GM136" s="145" cm="1">
        <f t="array" ref="GM136">SUMPRODUCT(--($CR$7:$FW$7&gt;=GM$5),--($CR$7:$FW$7&lt;=GM$6),$CR136:$FW136)*GE136</f>
        <v>0</v>
      </c>
      <c r="GN136" s="145" cm="1">
        <f t="array" ref="GN136">SUMPRODUCT(--($CR$7:$FW$7&gt;=GN$5),--($CR$7:$FW$7&lt;=GN$6),$CR136:$FW136)*GF136</f>
        <v>0</v>
      </c>
      <c r="GO136" s="145">
        <f t="shared" ref="GO136:GO199" si="2">SUM(GH136:GN136)</f>
        <v>0</v>
      </c>
      <c r="GP136" s="87"/>
      <c r="GR136" s="145" cm="1">
        <f t="array" ref="GR136">SUMPRODUCT(--($CR$7:$FW$7&gt;=GR$5),--($CR$7:$FW$7&lt;=GR$6),$CR136:$FW136)</f>
        <v>0</v>
      </c>
    </row>
    <row r="137" spans="2:200" x14ac:dyDescent="0.2">
      <c r="B137" s="141"/>
      <c r="C137" s="141"/>
      <c r="D137" s="141"/>
      <c r="E137" s="141"/>
      <c r="F137" s="141"/>
      <c r="G137" s="141"/>
      <c r="H137" s="142"/>
      <c r="I137" s="126"/>
      <c r="J137" s="143"/>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3"/>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c r="EE137" s="145"/>
      <c r="EF137" s="145"/>
      <c r="EG137" s="145"/>
      <c r="EH137" s="145"/>
      <c r="EI137" s="145"/>
      <c r="EJ137" s="145"/>
      <c r="EK137" s="145"/>
      <c r="EL137" s="145"/>
      <c r="EM137" s="145"/>
      <c r="EN137" s="145"/>
      <c r="EO137" s="145"/>
      <c r="EP137" s="145"/>
      <c r="EQ137" s="145"/>
      <c r="ER137" s="145"/>
      <c r="ES137" s="145"/>
      <c r="ET137" s="145"/>
      <c r="EU137" s="145"/>
      <c r="EV137" s="145"/>
      <c r="EW137" s="145"/>
      <c r="EX137" s="145"/>
      <c r="EY137" s="145"/>
      <c r="EZ137" s="145"/>
      <c r="FA137" s="145"/>
      <c r="FB137" s="145"/>
      <c r="FC137" s="145"/>
      <c r="FD137" s="145"/>
      <c r="FE137" s="145"/>
      <c r="FF137" s="145"/>
      <c r="FG137" s="145"/>
      <c r="FH137" s="145"/>
      <c r="FI137" s="145"/>
      <c r="FJ137" s="145"/>
      <c r="FK137" s="145"/>
      <c r="FL137" s="145"/>
      <c r="FM137" s="145"/>
      <c r="FN137" s="145"/>
      <c r="FO137" s="145"/>
      <c r="FP137" s="145"/>
      <c r="FQ137" s="145"/>
      <c r="FR137" s="145"/>
      <c r="FS137" s="145"/>
      <c r="FT137" s="145"/>
      <c r="FU137" s="145"/>
      <c r="FV137" s="145"/>
      <c r="FW137" s="145"/>
      <c r="FX137" s="143"/>
      <c r="FY137" s="146">
        <f>_xlfn.XLOOKUP($E137,'Key assumptions'!$B$112:$B$120,'Key assumptions'!$C$112:$C$120,0)</f>
        <v>0</v>
      </c>
      <c r="FZ137" s="146" cm="1">
        <f t="array" ref="FZ137">IF($FY137=0,0,_xlfn.IFS($FY137='Key assumptions'!$C$120,_xlfn.XLOOKUP(LEFT(FZ$7,6),Inflation_Year,Inflation_NominaltoReal),TRUE,_xlfn.XLOOKUP($FY137,Inflation_Year,NominaltoReal)))</f>
        <v>0</v>
      </c>
      <c r="GA137" s="146" cm="1">
        <f t="array" ref="GA137">IF($FY137=0,0,_xlfn.IFS($FY137='Key assumptions'!$C$120,_xlfn.XLOOKUP(LEFT(GA$7,6),Inflation_Year,Inflation_NominaltoReal),TRUE,_xlfn.XLOOKUP($FY137,Inflation_Year,NominaltoReal)))</f>
        <v>0</v>
      </c>
      <c r="GB137" s="146" cm="1">
        <f t="array" ref="GB137">IF($FY137=0,0,_xlfn.IFS($FY137='Key assumptions'!$C$120,_xlfn.XLOOKUP(LEFT(GB$7,6),Inflation_Year,Inflation_NominaltoReal),TRUE,_xlfn.XLOOKUP($FY137,Inflation_Year,NominaltoReal)))</f>
        <v>0</v>
      </c>
      <c r="GC137" s="146" cm="1">
        <f t="array" ref="GC137">IF($FY137=0,0,_xlfn.IFS($FY137='Key assumptions'!$C$120,_xlfn.XLOOKUP(LEFT(GC$7,6),Inflation_Year,Inflation_NominaltoReal),TRUE,_xlfn.XLOOKUP($FY137,Inflation_Year,NominaltoReal)))</f>
        <v>0</v>
      </c>
      <c r="GD137" s="146" cm="1">
        <f t="array" ref="GD137">IF($FY137=0,0,_xlfn.IFS($FY137='Key assumptions'!$C$120,_xlfn.XLOOKUP(LEFT(GD$7,6),Inflation_Year,Inflation_NominaltoReal),TRUE,_xlfn.XLOOKUP($FY137,Inflation_Year,NominaltoReal)))</f>
        <v>0</v>
      </c>
      <c r="GE137" s="146" cm="1">
        <f t="array" ref="GE137">IF($FY137=0,0,_xlfn.IFS($FY137='Key assumptions'!$C$120,_xlfn.XLOOKUP(LEFT(GE$7,6),Inflation_Year,Inflation_NominaltoReal),TRUE,_xlfn.XLOOKUP($FY137,Inflation_Year,NominaltoReal)))</f>
        <v>0</v>
      </c>
      <c r="GF137" s="146" cm="1">
        <f t="array" ref="GF137">IF($FY137=0,0,_xlfn.IFS($FY137='Key assumptions'!$C$120,_xlfn.XLOOKUP(LEFT(GF$7,6),Inflation_Year,Inflation_NominaltoReal),TRUE,_xlfn.XLOOKUP($FY137,Inflation_Year,NominaltoReal)))</f>
        <v>0</v>
      </c>
      <c r="GG137" s="143"/>
      <c r="GH137" s="145" cm="1">
        <f t="array" ref="GH137">SUMPRODUCT(--($CR$7:$FW$7&gt;=GH$5),--($CR$7:$FW$7&lt;=GH$6),$CR137:$FW137)*FZ137</f>
        <v>0</v>
      </c>
      <c r="GI137" s="145" cm="1">
        <f t="array" ref="GI137">SUMPRODUCT(--($CR$7:$FW$7&gt;=GI$5),--($CR$7:$FW$7&lt;=GI$6),$CR137:$FW137)*GA137</f>
        <v>0</v>
      </c>
      <c r="GJ137" s="145" cm="1">
        <f t="array" ref="GJ137">SUMPRODUCT(--($CR$7:$FW$7&gt;=GJ$5),--($CR$7:$FW$7&lt;=GJ$6),$CR137:$FW137)*GB137</f>
        <v>0</v>
      </c>
      <c r="GK137" s="145" cm="1">
        <f t="array" ref="GK137">SUMPRODUCT(--($CR$7:$FW$7&gt;=GK$5),--($CR$7:$FW$7&lt;=GK$6),$CR137:$FW137)*GC137</f>
        <v>0</v>
      </c>
      <c r="GL137" s="145" cm="1">
        <f t="array" ref="GL137">SUMPRODUCT(--($CR$7:$FW$7&gt;=GL$5),--($CR$7:$FW$7&lt;=GL$6),$CR137:$FW137)*GD137</f>
        <v>0</v>
      </c>
      <c r="GM137" s="145" cm="1">
        <f t="array" ref="GM137">SUMPRODUCT(--($CR$7:$FW$7&gt;=GM$5),--($CR$7:$FW$7&lt;=GM$6),$CR137:$FW137)*GE137</f>
        <v>0</v>
      </c>
      <c r="GN137" s="145" cm="1">
        <f t="array" ref="GN137">SUMPRODUCT(--($CR$7:$FW$7&gt;=GN$5),--($CR$7:$FW$7&lt;=GN$6),$CR137:$FW137)*GF137</f>
        <v>0</v>
      </c>
      <c r="GO137" s="145">
        <f t="shared" si="2"/>
        <v>0</v>
      </c>
      <c r="GP137" s="87"/>
      <c r="GR137" s="145" cm="1">
        <f t="array" ref="GR137">SUMPRODUCT(--($CR$7:$FW$7&gt;=GR$5),--($CR$7:$FW$7&lt;=GR$6),$CR137:$FW137)</f>
        <v>0</v>
      </c>
    </row>
    <row r="138" spans="2:200" x14ac:dyDescent="0.2">
      <c r="B138" s="141"/>
      <c r="C138" s="141"/>
      <c r="D138" s="141"/>
      <c r="E138" s="141"/>
      <c r="F138" s="141"/>
      <c r="G138" s="141"/>
      <c r="H138" s="142"/>
      <c r="I138" s="126"/>
      <c r="J138" s="143"/>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3"/>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c r="EE138" s="145"/>
      <c r="EF138" s="145"/>
      <c r="EG138" s="145"/>
      <c r="EH138" s="145"/>
      <c r="EI138" s="145"/>
      <c r="EJ138" s="145"/>
      <c r="EK138" s="145"/>
      <c r="EL138" s="145"/>
      <c r="EM138" s="145"/>
      <c r="EN138" s="145"/>
      <c r="EO138" s="145"/>
      <c r="EP138" s="145"/>
      <c r="EQ138" s="145"/>
      <c r="ER138" s="145"/>
      <c r="ES138" s="145"/>
      <c r="ET138" s="145"/>
      <c r="EU138" s="145"/>
      <c r="EV138" s="145"/>
      <c r="EW138" s="145"/>
      <c r="EX138" s="145"/>
      <c r="EY138" s="145"/>
      <c r="EZ138" s="145"/>
      <c r="FA138" s="145"/>
      <c r="FB138" s="145"/>
      <c r="FC138" s="145"/>
      <c r="FD138" s="145"/>
      <c r="FE138" s="145"/>
      <c r="FF138" s="145"/>
      <c r="FG138" s="145"/>
      <c r="FH138" s="145"/>
      <c r="FI138" s="145"/>
      <c r="FJ138" s="145"/>
      <c r="FK138" s="145"/>
      <c r="FL138" s="145"/>
      <c r="FM138" s="145"/>
      <c r="FN138" s="145"/>
      <c r="FO138" s="145"/>
      <c r="FP138" s="145"/>
      <c r="FQ138" s="145"/>
      <c r="FR138" s="145"/>
      <c r="FS138" s="145"/>
      <c r="FT138" s="145"/>
      <c r="FU138" s="145"/>
      <c r="FV138" s="145"/>
      <c r="FW138" s="145"/>
      <c r="FX138" s="143"/>
      <c r="FY138" s="146">
        <f>_xlfn.XLOOKUP($E138,'Key assumptions'!$B$112:$B$120,'Key assumptions'!$C$112:$C$120,0)</f>
        <v>0</v>
      </c>
      <c r="FZ138" s="146" cm="1">
        <f t="array" ref="FZ138">IF($FY138=0,0,_xlfn.IFS($FY138='Key assumptions'!$C$120,_xlfn.XLOOKUP(LEFT(FZ$7,6),Inflation_Year,Inflation_NominaltoReal),TRUE,_xlfn.XLOOKUP($FY138,Inflation_Year,NominaltoReal)))</f>
        <v>0</v>
      </c>
      <c r="GA138" s="146" cm="1">
        <f t="array" ref="GA138">IF($FY138=0,0,_xlfn.IFS($FY138='Key assumptions'!$C$120,_xlfn.XLOOKUP(LEFT(GA$7,6),Inflation_Year,Inflation_NominaltoReal),TRUE,_xlfn.XLOOKUP($FY138,Inflation_Year,NominaltoReal)))</f>
        <v>0</v>
      </c>
      <c r="GB138" s="146" cm="1">
        <f t="array" ref="GB138">IF($FY138=0,0,_xlfn.IFS($FY138='Key assumptions'!$C$120,_xlfn.XLOOKUP(LEFT(GB$7,6),Inflation_Year,Inflation_NominaltoReal),TRUE,_xlfn.XLOOKUP($FY138,Inflation_Year,NominaltoReal)))</f>
        <v>0</v>
      </c>
      <c r="GC138" s="146" cm="1">
        <f t="array" ref="GC138">IF($FY138=0,0,_xlfn.IFS($FY138='Key assumptions'!$C$120,_xlfn.XLOOKUP(LEFT(GC$7,6),Inflation_Year,Inflation_NominaltoReal),TRUE,_xlfn.XLOOKUP($FY138,Inflation_Year,NominaltoReal)))</f>
        <v>0</v>
      </c>
      <c r="GD138" s="146" cm="1">
        <f t="array" ref="GD138">IF($FY138=0,0,_xlfn.IFS($FY138='Key assumptions'!$C$120,_xlfn.XLOOKUP(LEFT(GD$7,6),Inflation_Year,Inflation_NominaltoReal),TRUE,_xlfn.XLOOKUP($FY138,Inflation_Year,NominaltoReal)))</f>
        <v>0</v>
      </c>
      <c r="GE138" s="146" cm="1">
        <f t="array" ref="GE138">IF($FY138=0,0,_xlfn.IFS($FY138='Key assumptions'!$C$120,_xlfn.XLOOKUP(LEFT(GE$7,6),Inflation_Year,Inflation_NominaltoReal),TRUE,_xlfn.XLOOKUP($FY138,Inflation_Year,NominaltoReal)))</f>
        <v>0</v>
      </c>
      <c r="GF138" s="146" cm="1">
        <f t="array" ref="GF138">IF($FY138=0,0,_xlfn.IFS($FY138='Key assumptions'!$C$120,_xlfn.XLOOKUP(LEFT(GF$7,6),Inflation_Year,Inflation_NominaltoReal),TRUE,_xlfn.XLOOKUP($FY138,Inflation_Year,NominaltoReal)))</f>
        <v>0</v>
      </c>
      <c r="GG138" s="143"/>
      <c r="GH138" s="145" cm="1">
        <f t="array" ref="GH138">SUMPRODUCT(--($CR$7:$FW$7&gt;=GH$5),--($CR$7:$FW$7&lt;=GH$6),$CR138:$FW138)*FZ138</f>
        <v>0</v>
      </c>
      <c r="GI138" s="145" cm="1">
        <f t="array" ref="GI138">SUMPRODUCT(--($CR$7:$FW$7&gt;=GI$5),--($CR$7:$FW$7&lt;=GI$6),$CR138:$FW138)*GA138</f>
        <v>0</v>
      </c>
      <c r="GJ138" s="145" cm="1">
        <f t="array" ref="GJ138">SUMPRODUCT(--($CR$7:$FW$7&gt;=GJ$5),--($CR$7:$FW$7&lt;=GJ$6),$CR138:$FW138)*GB138</f>
        <v>0</v>
      </c>
      <c r="GK138" s="145" cm="1">
        <f t="array" ref="GK138">SUMPRODUCT(--($CR$7:$FW$7&gt;=GK$5),--($CR$7:$FW$7&lt;=GK$6),$CR138:$FW138)*GC138</f>
        <v>0</v>
      </c>
      <c r="GL138" s="145" cm="1">
        <f t="array" ref="GL138">SUMPRODUCT(--($CR$7:$FW$7&gt;=GL$5),--($CR$7:$FW$7&lt;=GL$6),$CR138:$FW138)*GD138</f>
        <v>0</v>
      </c>
      <c r="GM138" s="145" cm="1">
        <f t="array" ref="GM138">SUMPRODUCT(--($CR$7:$FW$7&gt;=GM$5),--($CR$7:$FW$7&lt;=GM$6),$CR138:$FW138)*GE138</f>
        <v>0</v>
      </c>
      <c r="GN138" s="145" cm="1">
        <f t="array" ref="GN138">SUMPRODUCT(--($CR$7:$FW$7&gt;=GN$5),--($CR$7:$FW$7&lt;=GN$6),$CR138:$FW138)*GF138</f>
        <v>0</v>
      </c>
      <c r="GO138" s="145">
        <f t="shared" si="2"/>
        <v>0</v>
      </c>
      <c r="GP138" s="87"/>
      <c r="GR138" s="145" cm="1">
        <f t="array" ref="GR138">SUMPRODUCT(--($CR$7:$FW$7&gt;=GR$5),--($CR$7:$FW$7&lt;=GR$6),$CR138:$FW138)</f>
        <v>0</v>
      </c>
    </row>
    <row r="139" spans="2:200" x14ac:dyDescent="0.2">
      <c r="B139" s="141"/>
      <c r="C139" s="141"/>
      <c r="D139" s="141"/>
      <c r="E139" s="141"/>
      <c r="F139" s="141"/>
      <c r="G139" s="141"/>
      <c r="H139" s="142"/>
      <c r="I139" s="126"/>
      <c r="J139" s="143"/>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3"/>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c r="EE139" s="145"/>
      <c r="EF139" s="145"/>
      <c r="EG139" s="145"/>
      <c r="EH139" s="145"/>
      <c r="EI139" s="145"/>
      <c r="EJ139" s="145"/>
      <c r="EK139" s="145"/>
      <c r="EL139" s="145"/>
      <c r="EM139" s="145"/>
      <c r="EN139" s="145"/>
      <c r="EO139" s="145"/>
      <c r="EP139" s="145"/>
      <c r="EQ139" s="145"/>
      <c r="ER139" s="145"/>
      <c r="ES139" s="145"/>
      <c r="ET139" s="145"/>
      <c r="EU139" s="145"/>
      <c r="EV139" s="145"/>
      <c r="EW139" s="145"/>
      <c r="EX139" s="145"/>
      <c r="EY139" s="145"/>
      <c r="EZ139" s="145"/>
      <c r="FA139" s="145"/>
      <c r="FB139" s="145"/>
      <c r="FC139" s="145"/>
      <c r="FD139" s="145"/>
      <c r="FE139" s="145"/>
      <c r="FF139" s="145"/>
      <c r="FG139" s="145"/>
      <c r="FH139" s="145"/>
      <c r="FI139" s="145"/>
      <c r="FJ139" s="145"/>
      <c r="FK139" s="145"/>
      <c r="FL139" s="145"/>
      <c r="FM139" s="145"/>
      <c r="FN139" s="145"/>
      <c r="FO139" s="145"/>
      <c r="FP139" s="145"/>
      <c r="FQ139" s="145"/>
      <c r="FR139" s="145"/>
      <c r="FS139" s="145"/>
      <c r="FT139" s="145"/>
      <c r="FU139" s="145"/>
      <c r="FV139" s="145"/>
      <c r="FW139" s="145"/>
      <c r="FX139" s="143"/>
      <c r="FY139" s="146">
        <f>_xlfn.XLOOKUP($E139,'Key assumptions'!$B$112:$B$120,'Key assumptions'!$C$112:$C$120,0)</f>
        <v>0</v>
      </c>
      <c r="FZ139" s="146" cm="1">
        <f t="array" ref="FZ139">IF($FY139=0,0,_xlfn.IFS($FY139='Key assumptions'!$C$120,_xlfn.XLOOKUP(LEFT(FZ$7,6),Inflation_Year,Inflation_NominaltoReal),TRUE,_xlfn.XLOOKUP($FY139,Inflation_Year,NominaltoReal)))</f>
        <v>0</v>
      </c>
      <c r="GA139" s="146" cm="1">
        <f t="array" ref="GA139">IF($FY139=0,0,_xlfn.IFS($FY139='Key assumptions'!$C$120,_xlfn.XLOOKUP(LEFT(GA$7,6),Inflation_Year,Inflation_NominaltoReal),TRUE,_xlfn.XLOOKUP($FY139,Inflation_Year,NominaltoReal)))</f>
        <v>0</v>
      </c>
      <c r="GB139" s="146" cm="1">
        <f t="array" ref="GB139">IF($FY139=0,0,_xlfn.IFS($FY139='Key assumptions'!$C$120,_xlfn.XLOOKUP(LEFT(GB$7,6),Inflation_Year,Inflation_NominaltoReal),TRUE,_xlfn.XLOOKUP($FY139,Inflation_Year,NominaltoReal)))</f>
        <v>0</v>
      </c>
      <c r="GC139" s="146" cm="1">
        <f t="array" ref="GC139">IF($FY139=0,0,_xlfn.IFS($FY139='Key assumptions'!$C$120,_xlfn.XLOOKUP(LEFT(GC$7,6),Inflation_Year,Inflation_NominaltoReal),TRUE,_xlfn.XLOOKUP($FY139,Inflation_Year,NominaltoReal)))</f>
        <v>0</v>
      </c>
      <c r="GD139" s="146" cm="1">
        <f t="array" ref="GD139">IF($FY139=0,0,_xlfn.IFS($FY139='Key assumptions'!$C$120,_xlfn.XLOOKUP(LEFT(GD$7,6),Inflation_Year,Inflation_NominaltoReal),TRUE,_xlfn.XLOOKUP($FY139,Inflation_Year,NominaltoReal)))</f>
        <v>0</v>
      </c>
      <c r="GE139" s="146" cm="1">
        <f t="array" ref="GE139">IF($FY139=0,0,_xlfn.IFS($FY139='Key assumptions'!$C$120,_xlfn.XLOOKUP(LEFT(GE$7,6),Inflation_Year,Inflation_NominaltoReal),TRUE,_xlfn.XLOOKUP($FY139,Inflation_Year,NominaltoReal)))</f>
        <v>0</v>
      </c>
      <c r="GF139" s="146" cm="1">
        <f t="array" ref="GF139">IF($FY139=0,0,_xlfn.IFS($FY139='Key assumptions'!$C$120,_xlfn.XLOOKUP(LEFT(GF$7,6),Inflation_Year,Inflation_NominaltoReal),TRUE,_xlfn.XLOOKUP($FY139,Inflation_Year,NominaltoReal)))</f>
        <v>0</v>
      </c>
      <c r="GG139" s="143"/>
      <c r="GH139" s="145" cm="1">
        <f t="array" ref="GH139">SUMPRODUCT(--($CR$7:$FW$7&gt;=GH$5),--($CR$7:$FW$7&lt;=GH$6),$CR139:$FW139)*FZ139</f>
        <v>0</v>
      </c>
      <c r="GI139" s="145" cm="1">
        <f t="array" ref="GI139">SUMPRODUCT(--($CR$7:$FW$7&gt;=GI$5),--($CR$7:$FW$7&lt;=GI$6),$CR139:$FW139)*GA139</f>
        <v>0</v>
      </c>
      <c r="GJ139" s="145" cm="1">
        <f t="array" ref="GJ139">SUMPRODUCT(--($CR$7:$FW$7&gt;=GJ$5),--($CR$7:$FW$7&lt;=GJ$6),$CR139:$FW139)*GB139</f>
        <v>0</v>
      </c>
      <c r="GK139" s="145" cm="1">
        <f t="array" ref="GK139">SUMPRODUCT(--($CR$7:$FW$7&gt;=GK$5),--($CR$7:$FW$7&lt;=GK$6),$CR139:$FW139)*GC139</f>
        <v>0</v>
      </c>
      <c r="GL139" s="145" cm="1">
        <f t="array" ref="GL139">SUMPRODUCT(--($CR$7:$FW$7&gt;=GL$5),--($CR$7:$FW$7&lt;=GL$6),$CR139:$FW139)*GD139</f>
        <v>0</v>
      </c>
      <c r="GM139" s="145" cm="1">
        <f t="array" ref="GM139">SUMPRODUCT(--($CR$7:$FW$7&gt;=GM$5),--($CR$7:$FW$7&lt;=GM$6),$CR139:$FW139)*GE139</f>
        <v>0</v>
      </c>
      <c r="GN139" s="145" cm="1">
        <f t="array" ref="GN139">SUMPRODUCT(--($CR$7:$FW$7&gt;=GN$5),--($CR$7:$FW$7&lt;=GN$6),$CR139:$FW139)*GF139</f>
        <v>0</v>
      </c>
      <c r="GO139" s="145">
        <f t="shared" si="2"/>
        <v>0</v>
      </c>
      <c r="GP139" s="87"/>
      <c r="GR139" s="145" cm="1">
        <f t="array" ref="GR139">SUMPRODUCT(--($CR$7:$FW$7&gt;=GR$5),--($CR$7:$FW$7&lt;=GR$6),$CR139:$FW139)</f>
        <v>0</v>
      </c>
    </row>
    <row r="140" spans="2:200" x14ac:dyDescent="0.2">
      <c r="B140" s="141"/>
      <c r="C140" s="141"/>
      <c r="D140" s="141"/>
      <c r="E140" s="141"/>
      <c r="F140" s="141"/>
      <c r="G140" s="141"/>
      <c r="H140" s="142"/>
      <c r="I140" s="126"/>
      <c r="J140" s="143"/>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3"/>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c r="EE140" s="145"/>
      <c r="EF140" s="145"/>
      <c r="EG140" s="145"/>
      <c r="EH140" s="145"/>
      <c r="EI140" s="145"/>
      <c r="EJ140" s="145"/>
      <c r="EK140" s="145"/>
      <c r="EL140" s="145"/>
      <c r="EM140" s="145"/>
      <c r="EN140" s="145"/>
      <c r="EO140" s="145"/>
      <c r="EP140" s="145"/>
      <c r="EQ140" s="145"/>
      <c r="ER140" s="145"/>
      <c r="ES140" s="145"/>
      <c r="ET140" s="145"/>
      <c r="EU140" s="145"/>
      <c r="EV140" s="145"/>
      <c r="EW140" s="145"/>
      <c r="EX140" s="145"/>
      <c r="EY140" s="145"/>
      <c r="EZ140" s="145"/>
      <c r="FA140" s="145"/>
      <c r="FB140" s="145"/>
      <c r="FC140" s="145"/>
      <c r="FD140" s="145"/>
      <c r="FE140" s="145"/>
      <c r="FF140" s="145"/>
      <c r="FG140" s="145"/>
      <c r="FH140" s="145"/>
      <c r="FI140" s="145"/>
      <c r="FJ140" s="145"/>
      <c r="FK140" s="145"/>
      <c r="FL140" s="145"/>
      <c r="FM140" s="145"/>
      <c r="FN140" s="145"/>
      <c r="FO140" s="145"/>
      <c r="FP140" s="145"/>
      <c r="FQ140" s="145"/>
      <c r="FR140" s="145"/>
      <c r="FS140" s="145"/>
      <c r="FT140" s="145"/>
      <c r="FU140" s="145"/>
      <c r="FV140" s="145"/>
      <c r="FW140" s="145"/>
      <c r="FX140" s="143"/>
      <c r="FY140" s="146">
        <f>_xlfn.XLOOKUP($E140,'Key assumptions'!$B$112:$B$120,'Key assumptions'!$C$112:$C$120,0)</f>
        <v>0</v>
      </c>
      <c r="FZ140" s="146" cm="1">
        <f t="array" ref="FZ140">IF($FY140=0,0,_xlfn.IFS($FY140='Key assumptions'!$C$120,_xlfn.XLOOKUP(LEFT(FZ$7,6),Inflation_Year,Inflation_NominaltoReal),TRUE,_xlfn.XLOOKUP($FY140,Inflation_Year,NominaltoReal)))</f>
        <v>0</v>
      </c>
      <c r="GA140" s="146" cm="1">
        <f t="array" ref="GA140">IF($FY140=0,0,_xlfn.IFS($FY140='Key assumptions'!$C$120,_xlfn.XLOOKUP(LEFT(GA$7,6),Inflation_Year,Inflation_NominaltoReal),TRUE,_xlfn.XLOOKUP($FY140,Inflation_Year,NominaltoReal)))</f>
        <v>0</v>
      </c>
      <c r="GB140" s="146" cm="1">
        <f t="array" ref="GB140">IF($FY140=0,0,_xlfn.IFS($FY140='Key assumptions'!$C$120,_xlfn.XLOOKUP(LEFT(GB$7,6),Inflation_Year,Inflation_NominaltoReal),TRUE,_xlfn.XLOOKUP($FY140,Inflation_Year,NominaltoReal)))</f>
        <v>0</v>
      </c>
      <c r="GC140" s="146" cm="1">
        <f t="array" ref="GC140">IF($FY140=0,0,_xlfn.IFS($FY140='Key assumptions'!$C$120,_xlfn.XLOOKUP(LEFT(GC$7,6),Inflation_Year,Inflation_NominaltoReal),TRUE,_xlfn.XLOOKUP($FY140,Inflation_Year,NominaltoReal)))</f>
        <v>0</v>
      </c>
      <c r="GD140" s="146" cm="1">
        <f t="array" ref="GD140">IF($FY140=0,0,_xlfn.IFS($FY140='Key assumptions'!$C$120,_xlfn.XLOOKUP(LEFT(GD$7,6),Inflation_Year,Inflation_NominaltoReal),TRUE,_xlfn.XLOOKUP($FY140,Inflation_Year,NominaltoReal)))</f>
        <v>0</v>
      </c>
      <c r="GE140" s="146" cm="1">
        <f t="array" ref="GE140">IF($FY140=0,0,_xlfn.IFS($FY140='Key assumptions'!$C$120,_xlfn.XLOOKUP(LEFT(GE$7,6),Inflation_Year,Inflation_NominaltoReal),TRUE,_xlfn.XLOOKUP($FY140,Inflation_Year,NominaltoReal)))</f>
        <v>0</v>
      </c>
      <c r="GF140" s="146" cm="1">
        <f t="array" ref="GF140">IF($FY140=0,0,_xlfn.IFS($FY140='Key assumptions'!$C$120,_xlfn.XLOOKUP(LEFT(GF$7,6),Inflation_Year,Inflation_NominaltoReal),TRUE,_xlfn.XLOOKUP($FY140,Inflation_Year,NominaltoReal)))</f>
        <v>0</v>
      </c>
      <c r="GG140" s="143"/>
      <c r="GH140" s="145" cm="1">
        <f t="array" ref="GH140">SUMPRODUCT(--($CR$7:$FW$7&gt;=GH$5),--($CR$7:$FW$7&lt;=GH$6),$CR140:$FW140)*FZ140</f>
        <v>0</v>
      </c>
      <c r="GI140" s="145" cm="1">
        <f t="array" ref="GI140">SUMPRODUCT(--($CR$7:$FW$7&gt;=GI$5),--($CR$7:$FW$7&lt;=GI$6),$CR140:$FW140)*GA140</f>
        <v>0</v>
      </c>
      <c r="GJ140" s="145" cm="1">
        <f t="array" ref="GJ140">SUMPRODUCT(--($CR$7:$FW$7&gt;=GJ$5),--($CR$7:$FW$7&lt;=GJ$6),$CR140:$FW140)*GB140</f>
        <v>0</v>
      </c>
      <c r="GK140" s="145" cm="1">
        <f t="array" ref="GK140">SUMPRODUCT(--($CR$7:$FW$7&gt;=GK$5),--($CR$7:$FW$7&lt;=GK$6),$CR140:$FW140)*GC140</f>
        <v>0</v>
      </c>
      <c r="GL140" s="145" cm="1">
        <f t="array" ref="GL140">SUMPRODUCT(--($CR$7:$FW$7&gt;=GL$5),--($CR$7:$FW$7&lt;=GL$6),$CR140:$FW140)*GD140</f>
        <v>0</v>
      </c>
      <c r="GM140" s="145" cm="1">
        <f t="array" ref="GM140">SUMPRODUCT(--($CR$7:$FW$7&gt;=GM$5),--($CR$7:$FW$7&lt;=GM$6),$CR140:$FW140)*GE140</f>
        <v>0</v>
      </c>
      <c r="GN140" s="145" cm="1">
        <f t="array" ref="GN140">SUMPRODUCT(--($CR$7:$FW$7&gt;=GN$5),--($CR$7:$FW$7&lt;=GN$6),$CR140:$FW140)*GF140</f>
        <v>0</v>
      </c>
      <c r="GO140" s="145">
        <f t="shared" si="2"/>
        <v>0</v>
      </c>
      <c r="GP140" s="87"/>
      <c r="GR140" s="145" cm="1">
        <f t="array" ref="GR140">SUMPRODUCT(--($CR$7:$FW$7&gt;=GR$5),--($CR$7:$FW$7&lt;=GR$6),$CR140:$FW140)</f>
        <v>0</v>
      </c>
    </row>
    <row r="141" spans="2:200" x14ac:dyDescent="0.2">
      <c r="B141" s="141"/>
      <c r="C141" s="141"/>
      <c r="D141" s="141"/>
      <c r="E141" s="141"/>
      <c r="F141" s="141"/>
      <c r="G141" s="141"/>
      <c r="H141" s="142"/>
      <c r="I141" s="126"/>
      <c r="J141" s="143"/>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3"/>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c r="EE141" s="145"/>
      <c r="EF141" s="145"/>
      <c r="EG141" s="145"/>
      <c r="EH141" s="145"/>
      <c r="EI141" s="145"/>
      <c r="EJ141" s="145"/>
      <c r="EK141" s="145"/>
      <c r="EL141" s="145"/>
      <c r="EM141" s="145"/>
      <c r="EN141" s="145"/>
      <c r="EO141" s="145"/>
      <c r="EP141" s="145"/>
      <c r="EQ141" s="145"/>
      <c r="ER141" s="145"/>
      <c r="ES141" s="145"/>
      <c r="ET141" s="145"/>
      <c r="EU141" s="145"/>
      <c r="EV141" s="145"/>
      <c r="EW141" s="145"/>
      <c r="EX141" s="145"/>
      <c r="EY141" s="145"/>
      <c r="EZ141" s="145"/>
      <c r="FA141" s="145"/>
      <c r="FB141" s="145"/>
      <c r="FC141" s="145"/>
      <c r="FD141" s="145"/>
      <c r="FE141" s="145"/>
      <c r="FF141" s="145"/>
      <c r="FG141" s="145"/>
      <c r="FH141" s="145"/>
      <c r="FI141" s="145"/>
      <c r="FJ141" s="145"/>
      <c r="FK141" s="145"/>
      <c r="FL141" s="145"/>
      <c r="FM141" s="145"/>
      <c r="FN141" s="145"/>
      <c r="FO141" s="145"/>
      <c r="FP141" s="145"/>
      <c r="FQ141" s="145"/>
      <c r="FR141" s="145"/>
      <c r="FS141" s="145"/>
      <c r="FT141" s="145"/>
      <c r="FU141" s="145"/>
      <c r="FV141" s="145"/>
      <c r="FW141" s="145"/>
      <c r="FX141" s="143"/>
      <c r="FY141" s="146">
        <f>_xlfn.XLOOKUP($E141,'Key assumptions'!$B$112:$B$120,'Key assumptions'!$C$112:$C$120,0)</f>
        <v>0</v>
      </c>
      <c r="FZ141" s="146" cm="1">
        <f t="array" ref="FZ141">IF($FY141=0,0,_xlfn.IFS($FY141='Key assumptions'!$C$120,_xlfn.XLOOKUP(LEFT(FZ$7,6),Inflation_Year,Inflation_NominaltoReal),TRUE,_xlfn.XLOOKUP($FY141,Inflation_Year,NominaltoReal)))</f>
        <v>0</v>
      </c>
      <c r="GA141" s="146" cm="1">
        <f t="array" ref="GA141">IF($FY141=0,0,_xlfn.IFS($FY141='Key assumptions'!$C$120,_xlfn.XLOOKUP(LEFT(GA$7,6),Inflation_Year,Inflation_NominaltoReal),TRUE,_xlfn.XLOOKUP($FY141,Inflation_Year,NominaltoReal)))</f>
        <v>0</v>
      </c>
      <c r="GB141" s="146" cm="1">
        <f t="array" ref="GB141">IF($FY141=0,0,_xlfn.IFS($FY141='Key assumptions'!$C$120,_xlfn.XLOOKUP(LEFT(GB$7,6),Inflation_Year,Inflation_NominaltoReal),TRUE,_xlfn.XLOOKUP($FY141,Inflation_Year,NominaltoReal)))</f>
        <v>0</v>
      </c>
      <c r="GC141" s="146" cm="1">
        <f t="array" ref="GC141">IF($FY141=0,0,_xlfn.IFS($FY141='Key assumptions'!$C$120,_xlfn.XLOOKUP(LEFT(GC$7,6),Inflation_Year,Inflation_NominaltoReal),TRUE,_xlfn.XLOOKUP($FY141,Inflation_Year,NominaltoReal)))</f>
        <v>0</v>
      </c>
      <c r="GD141" s="146" cm="1">
        <f t="array" ref="GD141">IF($FY141=0,0,_xlfn.IFS($FY141='Key assumptions'!$C$120,_xlfn.XLOOKUP(LEFT(GD$7,6),Inflation_Year,Inflation_NominaltoReal),TRUE,_xlfn.XLOOKUP($FY141,Inflation_Year,NominaltoReal)))</f>
        <v>0</v>
      </c>
      <c r="GE141" s="146" cm="1">
        <f t="array" ref="GE141">IF($FY141=0,0,_xlfn.IFS($FY141='Key assumptions'!$C$120,_xlfn.XLOOKUP(LEFT(GE$7,6),Inflation_Year,Inflation_NominaltoReal),TRUE,_xlfn.XLOOKUP($FY141,Inflation_Year,NominaltoReal)))</f>
        <v>0</v>
      </c>
      <c r="GF141" s="146" cm="1">
        <f t="array" ref="GF141">IF($FY141=0,0,_xlfn.IFS($FY141='Key assumptions'!$C$120,_xlfn.XLOOKUP(LEFT(GF$7,6),Inflation_Year,Inflation_NominaltoReal),TRUE,_xlfn.XLOOKUP($FY141,Inflation_Year,NominaltoReal)))</f>
        <v>0</v>
      </c>
      <c r="GG141" s="143"/>
      <c r="GH141" s="145" cm="1">
        <f t="array" ref="GH141">SUMPRODUCT(--($CR$7:$FW$7&gt;=GH$5),--($CR$7:$FW$7&lt;=GH$6),$CR141:$FW141)*FZ141</f>
        <v>0</v>
      </c>
      <c r="GI141" s="145" cm="1">
        <f t="array" ref="GI141">SUMPRODUCT(--($CR$7:$FW$7&gt;=GI$5),--($CR$7:$FW$7&lt;=GI$6),$CR141:$FW141)*GA141</f>
        <v>0</v>
      </c>
      <c r="GJ141" s="145" cm="1">
        <f t="array" ref="GJ141">SUMPRODUCT(--($CR$7:$FW$7&gt;=GJ$5),--($CR$7:$FW$7&lt;=GJ$6),$CR141:$FW141)*GB141</f>
        <v>0</v>
      </c>
      <c r="GK141" s="145" cm="1">
        <f t="array" ref="GK141">SUMPRODUCT(--($CR$7:$FW$7&gt;=GK$5),--($CR$7:$FW$7&lt;=GK$6),$CR141:$FW141)*GC141</f>
        <v>0</v>
      </c>
      <c r="GL141" s="145" cm="1">
        <f t="array" ref="GL141">SUMPRODUCT(--($CR$7:$FW$7&gt;=GL$5),--($CR$7:$FW$7&lt;=GL$6),$CR141:$FW141)*GD141</f>
        <v>0</v>
      </c>
      <c r="GM141" s="145" cm="1">
        <f t="array" ref="GM141">SUMPRODUCT(--($CR$7:$FW$7&gt;=GM$5),--($CR$7:$FW$7&lt;=GM$6),$CR141:$FW141)*GE141</f>
        <v>0</v>
      </c>
      <c r="GN141" s="145" cm="1">
        <f t="array" ref="GN141">SUMPRODUCT(--($CR$7:$FW$7&gt;=GN$5),--($CR$7:$FW$7&lt;=GN$6),$CR141:$FW141)*GF141</f>
        <v>0</v>
      </c>
      <c r="GO141" s="145">
        <f t="shared" si="2"/>
        <v>0</v>
      </c>
      <c r="GP141" s="87"/>
      <c r="GR141" s="145" cm="1">
        <f t="array" ref="GR141">SUMPRODUCT(--($CR$7:$FW$7&gt;=GR$5),--($CR$7:$FW$7&lt;=GR$6),$CR141:$FW141)</f>
        <v>0</v>
      </c>
    </row>
    <row r="142" spans="2:200" x14ac:dyDescent="0.2">
      <c r="B142" s="141"/>
      <c r="C142" s="141"/>
      <c r="D142" s="141"/>
      <c r="E142" s="141"/>
      <c r="F142" s="141"/>
      <c r="G142" s="141"/>
      <c r="H142" s="142"/>
      <c r="I142" s="126"/>
      <c r="J142" s="143"/>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3"/>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c r="EE142" s="145"/>
      <c r="EF142" s="145"/>
      <c r="EG142" s="145"/>
      <c r="EH142" s="145"/>
      <c r="EI142" s="145"/>
      <c r="EJ142" s="145"/>
      <c r="EK142" s="145"/>
      <c r="EL142" s="145"/>
      <c r="EM142" s="145"/>
      <c r="EN142" s="145"/>
      <c r="EO142" s="145"/>
      <c r="EP142" s="145"/>
      <c r="EQ142" s="145"/>
      <c r="ER142" s="145"/>
      <c r="ES142" s="145"/>
      <c r="ET142" s="145"/>
      <c r="EU142" s="145"/>
      <c r="EV142" s="145"/>
      <c r="EW142" s="145"/>
      <c r="EX142" s="145"/>
      <c r="EY142" s="145"/>
      <c r="EZ142" s="145"/>
      <c r="FA142" s="145"/>
      <c r="FB142" s="145"/>
      <c r="FC142" s="145"/>
      <c r="FD142" s="145"/>
      <c r="FE142" s="145"/>
      <c r="FF142" s="145"/>
      <c r="FG142" s="145"/>
      <c r="FH142" s="145"/>
      <c r="FI142" s="145"/>
      <c r="FJ142" s="145"/>
      <c r="FK142" s="145"/>
      <c r="FL142" s="145"/>
      <c r="FM142" s="145"/>
      <c r="FN142" s="145"/>
      <c r="FO142" s="145"/>
      <c r="FP142" s="145"/>
      <c r="FQ142" s="145"/>
      <c r="FR142" s="145"/>
      <c r="FS142" s="145"/>
      <c r="FT142" s="145"/>
      <c r="FU142" s="145"/>
      <c r="FV142" s="145"/>
      <c r="FW142" s="145"/>
      <c r="FX142" s="143"/>
      <c r="FY142" s="146">
        <f>_xlfn.XLOOKUP($E142,'Key assumptions'!$B$112:$B$120,'Key assumptions'!$C$112:$C$120,0)</f>
        <v>0</v>
      </c>
      <c r="FZ142" s="146" cm="1">
        <f t="array" ref="FZ142">IF($FY142=0,0,_xlfn.IFS($FY142='Key assumptions'!$C$120,_xlfn.XLOOKUP(LEFT(FZ$7,6),Inflation_Year,Inflation_NominaltoReal),TRUE,_xlfn.XLOOKUP($FY142,Inflation_Year,NominaltoReal)))</f>
        <v>0</v>
      </c>
      <c r="GA142" s="146" cm="1">
        <f t="array" ref="GA142">IF($FY142=0,0,_xlfn.IFS($FY142='Key assumptions'!$C$120,_xlfn.XLOOKUP(LEFT(GA$7,6),Inflation_Year,Inflation_NominaltoReal),TRUE,_xlfn.XLOOKUP($FY142,Inflation_Year,NominaltoReal)))</f>
        <v>0</v>
      </c>
      <c r="GB142" s="146" cm="1">
        <f t="array" ref="GB142">IF($FY142=0,0,_xlfn.IFS($FY142='Key assumptions'!$C$120,_xlfn.XLOOKUP(LEFT(GB$7,6),Inflation_Year,Inflation_NominaltoReal),TRUE,_xlfn.XLOOKUP($FY142,Inflation_Year,NominaltoReal)))</f>
        <v>0</v>
      </c>
      <c r="GC142" s="146" cm="1">
        <f t="array" ref="GC142">IF($FY142=0,0,_xlfn.IFS($FY142='Key assumptions'!$C$120,_xlfn.XLOOKUP(LEFT(GC$7,6),Inflation_Year,Inflation_NominaltoReal),TRUE,_xlfn.XLOOKUP($FY142,Inflation_Year,NominaltoReal)))</f>
        <v>0</v>
      </c>
      <c r="GD142" s="146" cm="1">
        <f t="array" ref="GD142">IF($FY142=0,0,_xlfn.IFS($FY142='Key assumptions'!$C$120,_xlfn.XLOOKUP(LEFT(GD$7,6),Inflation_Year,Inflation_NominaltoReal),TRUE,_xlfn.XLOOKUP($FY142,Inflation_Year,NominaltoReal)))</f>
        <v>0</v>
      </c>
      <c r="GE142" s="146" cm="1">
        <f t="array" ref="GE142">IF($FY142=0,0,_xlfn.IFS($FY142='Key assumptions'!$C$120,_xlfn.XLOOKUP(LEFT(GE$7,6),Inflation_Year,Inflation_NominaltoReal),TRUE,_xlfn.XLOOKUP($FY142,Inflation_Year,NominaltoReal)))</f>
        <v>0</v>
      </c>
      <c r="GF142" s="146" cm="1">
        <f t="array" ref="GF142">IF($FY142=0,0,_xlfn.IFS($FY142='Key assumptions'!$C$120,_xlfn.XLOOKUP(LEFT(GF$7,6),Inflation_Year,Inflation_NominaltoReal),TRUE,_xlfn.XLOOKUP($FY142,Inflation_Year,NominaltoReal)))</f>
        <v>0</v>
      </c>
      <c r="GG142" s="143"/>
      <c r="GH142" s="145" cm="1">
        <f t="array" ref="GH142">SUMPRODUCT(--($CR$7:$FW$7&gt;=GH$5),--($CR$7:$FW$7&lt;=GH$6),$CR142:$FW142)*FZ142</f>
        <v>0</v>
      </c>
      <c r="GI142" s="145" cm="1">
        <f t="array" ref="GI142">SUMPRODUCT(--($CR$7:$FW$7&gt;=GI$5),--($CR$7:$FW$7&lt;=GI$6),$CR142:$FW142)*GA142</f>
        <v>0</v>
      </c>
      <c r="GJ142" s="145" cm="1">
        <f t="array" ref="GJ142">SUMPRODUCT(--($CR$7:$FW$7&gt;=GJ$5),--($CR$7:$FW$7&lt;=GJ$6),$CR142:$FW142)*GB142</f>
        <v>0</v>
      </c>
      <c r="GK142" s="145" cm="1">
        <f t="array" ref="GK142">SUMPRODUCT(--($CR$7:$FW$7&gt;=GK$5),--($CR$7:$FW$7&lt;=GK$6),$CR142:$FW142)*GC142</f>
        <v>0</v>
      </c>
      <c r="GL142" s="145" cm="1">
        <f t="array" ref="GL142">SUMPRODUCT(--($CR$7:$FW$7&gt;=GL$5),--($CR$7:$FW$7&lt;=GL$6),$CR142:$FW142)*GD142</f>
        <v>0</v>
      </c>
      <c r="GM142" s="145" cm="1">
        <f t="array" ref="GM142">SUMPRODUCT(--($CR$7:$FW$7&gt;=GM$5),--($CR$7:$FW$7&lt;=GM$6),$CR142:$FW142)*GE142</f>
        <v>0</v>
      </c>
      <c r="GN142" s="145" cm="1">
        <f t="array" ref="GN142">SUMPRODUCT(--($CR$7:$FW$7&gt;=GN$5),--($CR$7:$FW$7&lt;=GN$6),$CR142:$FW142)*GF142</f>
        <v>0</v>
      </c>
      <c r="GO142" s="145">
        <f t="shared" si="2"/>
        <v>0</v>
      </c>
      <c r="GP142" s="87"/>
      <c r="GR142" s="145" cm="1">
        <f t="array" ref="GR142">SUMPRODUCT(--($CR$7:$FW$7&gt;=GR$5),--($CR$7:$FW$7&lt;=GR$6),$CR142:$FW142)</f>
        <v>0</v>
      </c>
    </row>
    <row r="143" spans="2:200" x14ac:dyDescent="0.2">
      <c r="B143" s="141"/>
      <c r="C143" s="141"/>
      <c r="D143" s="141"/>
      <c r="E143" s="141"/>
      <c r="F143" s="141"/>
      <c r="G143" s="141"/>
      <c r="H143" s="142"/>
      <c r="I143" s="126"/>
      <c r="J143" s="143"/>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3"/>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c r="EE143" s="145"/>
      <c r="EF143" s="145"/>
      <c r="EG143" s="145"/>
      <c r="EH143" s="145"/>
      <c r="EI143" s="145"/>
      <c r="EJ143" s="145"/>
      <c r="EK143" s="145"/>
      <c r="EL143" s="145"/>
      <c r="EM143" s="145"/>
      <c r="EN143" s="145"/>
      <c r="EO143" s="145"/>
      <c r="EP143" s="145"/>
      <c r="EQ143" s="145"/>
      <c r="ER143" s="145"/>
      <c r="ES143" s="145"/>
      <c r="ET143" s="145"/>
      <c r="EU143" s="145"/>
      <c r="EV143" s="145"/>
      <c r="EW143" s="145"/>
      <c r="EX143" s="145"/>
      <c r="EY143" s="145"/>
      <c r="EZ143" s="145"/>
      <c r="FA143" s="145"/>
      <c r="FB143" s="145"/>
      <c r="FC143" s="145"/>
      <c r="FD143" s="145"/>
      <c r="FE143" s="145"/>
      <c r="FF143" s="145"/>
      <c r="FG143" s="145"/>
      <c r="FH143" s="145"/>
      <c r="FI143" s="145"/>
      <c r="FJ143" s="145"/>
      <c r="FK143" s="145"/>
      <c r="FL143" s="145"/>
      <c r="FM143" s="145"/>
      <c r="FN143" s="145"/>
      <c r="FO143" s="145"/>
      <c r="FP143" s="145"/>
      <c r="FQ143" s="145"/>
      <c r="FR143" s="145"/>
      <c r="FS143" s="145"/>
      <c r="FT143" s="145"/>
      <c r="FU143" s="145"/>
      <c r="FV143" s="145"/>
      <c r="FW143" s="145"/>
      <c r="FX143" s="143"/>
      <c r="FY143" s="146">
        <f>_xlfn.XLOOKUP($E143,'Key assumptions'!$B$112:$B$120,'Key assumptions'!$C$112:$C$120,0)</f>
        <v>0</v>
      </c>
      <c r="FZ143" s="146" cm="1">
        <f t="array" ref="FZ143">IF($FY143=0,0,_xlfn.IFS($FY143='Key assumptions'!$C$120,_xlfn.XLOOKUP(LEFT(FZ$7,6),Inflation_Year,Inflation_NominaltoReal),TRUE,_xlfn.XLOOKUP($FY143,Inflation_Year,NominaltoReal)))</f>
        <v>0</v>
      </c>
      <c r="GA143" s="146" cm="1">
        <f t="array" ref="GA143">IF($FY143=0,0,_xlfn.IFS($FY143='Key assumptions'!$C$120,_xlfn.XLOOKUP(LEFT(GA$7,6),Inflation_Year,Inflation_NominaltoReal),TRUE,_xlfn.XLOOKUP($FY143,Inflation_Year,NominaltoReal)))</f>
        <v>0</v>
      </c>
      <c r="GB143" s="146" cm="1">
        <f t="array" ref="GB143">IF($FY143=0,0,_xlfn.IFS($FY143='Key assumptions'!$C$120,_xlfn.XLOOKUP(LEFT(GB$7,6),Inflation_Year,Inflation_NominaltoReal),TRUE,_xlfn.XLOOKUP($FY143,Inflation_Year,NominaltoReal)))</f>
        <v>0</v>
      </c>
      <c r="GC143" s="146" cm="1">
        <f t="array" ref="GC143">IF($FY143=0,0,_xlfn.IFS($FY143='Key assumptions'!$C$120,_xlfn.XLOOKUP(LEFT(GC$7,6),Inflation_Year,Inflation_NominaltoReal),TRUE,_xlfn.XLOOKUP($FY143,Inflation_Year,NominaltoReal)))</f>
        <v>0</v>
      </c>
      <c r="GD143" s="146" cm="1">
        <f t="array" ref="GD143">IF($FY143=0,0,_xlfn.IFS($FY143='Key assumptions'!$C$120,_xlfn.XLOOKUP(LEFT(GD$7,6),Inflation_Year,Inflation_NominaltoReal),TRUE,_xlfn.XLOOKUP($FY143,Inflation_Year,NominaltoReal)))</f>
        <v>0</v>
      </c>
      <c r="GE143" s="146" cm="1">
        <f t="array" ref="GE143">IF($FY143=0,0,_xlfn.IFS($FY143='Key assumptions'!$C$120,_xlfn.XLOOKUP(LEFT(GE$7,6),Inflation_Year,Inflation_NominaltoReal),TRUE,_xlfn.XLOOKUP($FY143,Inflation_Year,NominaltoReal)))</f>
        <v>0</v>
      </c>
      <c r="GF143" s="146" cm="1">
        <f t="array" ref="GF143">IF($FY143=0,0,_xlfn.IFS($FY143='Key assumptions'!$C$120,_xlfn.XLOOKUP(LEFT(GF$7,6),Inflation_Year,Inflation_NominaltoReal),TRUE,_xlfn.XLOOKUP($FY143,Inflation_Year,NominaltoReal)))</f>
        <v>0</v>
      </c>
      <c r="GG143" s="143"/>
      <c r="GH143" s="145" cm="1">
        <f t="array" ref="GH143">SUMPRODUCT(--($CR$7:$FW$7&gt;=GH$5),--($CR$7:$FW$7&lt;=GH$6),$CR143:$FW143)*FZ143</f>
        <v>0</v>
      </c>
      <c r="GI143" s="145" cm="1">
        <f t="array" ref="GI143">SUMPRODUCT(--($CR$7:$FW$7&gt;=GI$5),--($CR$7:$FW$7&lt;=GI$6),$CR143:$FW143)*GA143</f>
        <v>0</v>
      </c>
      <c r="GJ143" s="145" cm="1">
        <f t="array" ref="GJ143">SUMPRODUCT(--($CR$7:$FW$7&gt;=GJ$5),--($CR$7:$FW$7&lt;=GJ$6),$CR143:$FW143)*GB143</f>
        <v>0</v>
      </c>
      <c r="GK143" s="145" cm="1">
        <f t="array" ref="GK143">SUMPRODUCT(--($CR$7:$FW$7&gt;=GK$5),--($CR$7:$FW$7&lt;=GK$6),$CR143:$FW143)*GC143</f>
        <v>0</v>
      </c>
      <c r="GL143" s="145" cm="1">
        <f t="array" ref="GL143">SUMPRODUCT(--($CR$7:$FW$7&gt;=GL$5),--($CR$7:$FW$7&lt;=GL$6),$CR143:$FW143)*GD143</f>
        <v>0</v>
      </c>
      <c r="GM143" s="145" cm="1">
        <f t="array" ref="GM143">SUMPRODUCT(--($CR$7:$FW$7&gt;=GM$5),--($CR$7:$FW$7&lt;=GM$6),$CR143:$FW143)*GE143</f>
        <v>0</v>
      </c>
      <c r="GN143" s="145" cm="1">
        <f t="array" ref="GN143">SUMPRODUCT(--($CR$7:$FW$7&gt;=GN$5),--($CR$7:$FW$7&lt;=GN$6),$CR143:$FW143)*GF143</f>
        <v>0</v>
      </c>
      <c r="GO143" s="145">
        <f t="shared" si="2"/>
        <v>0</v>
      </c>
      <c r="GP143" s="87"/>
      <c r="GR143" s="145" cm="1">
        <f t="array" ref="GR143">SUMPRODUCT(--($CR$7:$FW$7&gt;=GR$5),--($CR$7:$FW$7&lt;=GR$6),$CR143:$FW143)</f>
        <v>0</v>
      </c>
    </row>
    <row r="144" spans="2:200" x14ac:dyDescent="0.2">
      <c r="B144" s="141"/>
      <c r="C144" s="141"/>
      <c r="D144" s="141"/>
      <c r="E144" s="141"/>
      <c r="F144" s="141"/>
      <c r="G144" s="141"/>
      <c r="H144" s="142"/>
      <c r="I144" s="126"/>
      <c r="J144" s="143"/>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3"/>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c r="EE144" s="145"/>
      <c r="EF144" s="145"/>
      <c r="EG144" s="145"/>
      <c r="EH144" s="145"/>
      <c r="EI144" s="145"/>
      <c r="EJ144" s="145"/>
      <c r="EK144" s="145"/>
      <c r="EL144" s="145"/>
      <c r="EM144" s="145"/>
      <c r="EN144" s="145"/>
      <c r="EO144" s="145"/>
      <c r="EP144" s="145"/>
      <c r="EQ144" s="145"/>
      <c r="ER144" s="145"/>
      <c r="ES144" s="145"/>
      <c r="ET144" s="145"/>
      <c r="EU144" s="145"/>
      <c r="EV144" s="145"/>
      <c r="EW144" s="145"/>
      <c r="EX144" s="145"/>
      <c r="EY144" s="145"/>
      <c r="EZ144" s="145"/>
      <c r="FA144" s="145"/>
      <c r="FB144" s="145"/>
      <c r="FC144" s="145"/>
      <c r="FD144" s="145"/>
      <c r="FE144" s="145"/>
      <c r="FF144" s="145"/>
      <c r="FG144" s="145"/>
      <c r="FH144" s="145"/>
      <c r="FI144" s="145"/>
      <c r="FJ144" s="145"/>
      <c r="FK144" s="145"/>
      <c r="FL144" s="145"/>
      <c r="FM144" s="145"/>
      <c r="FN144" s="145"/>
      <c r="FO144" s="145"/>
      <c r="FP144" s="145"/>
      <c r="FQ144" s="145"/>
      <c r="FR144" s="145"/>
      <c r="FS144" s="145"/>
      <c r="FT144" s="145"/>
      <c r="FU144" s="145"/>
      <c r="FV144" s="145"/>
      <c r="FW144" s="145"/>
      <c r="FX144" s="143"/>
      <c r="FY144" s="146">
        <f>_xlfn.XLOOKUP($E144,'Key assumptions'!$B$112:$B$120,'Key assumptions'!$C$112:$C$120,0)</f>
        <v>0</v>
      </c>
      <c r="FZ144" s="146" cm="1">
        <f t="array" ref="FZ144">IF($FY144=0,0,_xlfn.IFS($FY144='Key assumptions'!$C$120,_xlfn.XLOOKUP(LEFT(FZ$7,6),Inflation_Year,Inflation_NominaltoReal),TRUE,_xlfn.XLOOKUP($FY144,Inflation_Year,NominaltoReal)))</f>
        <v>0</v>
      </c>
      <c r="GA144" s="146" cm="1">
        <f t="array" ref="GA144">IF($FY144=0,0,_xlfn.IFS($FY144='Key assumptions'!$C$120,_xlfn.XLOOKUP(LEFT(GA$7,6),Inflation_Year,Inflation_NominaltoReal),TRUE,_xlfn.XLOOKUP($FY144,Inflation_Year,NominaltoReal)))</f>
        <v>0</v>
      </c>
      <c r="GB144" s="146" cm="1">
        <f t="array" ref="GB144">IF($FY144=0,0,_xlfn.IFS($FY144='Key assumptions'!$C$120,_xlfn.XLOOKUP(LEFT(GB$7,6),Inflation_Year,Inflation_NominaltoReal),TRUE,_xlfn.XLOOKUP($FY144,Inflation_Year,NominaltoReal)))</f>
        <v>0</v>
      </c>
      <c r="GC144" s="146" cm="1">
        <f t="array" ref="GC144">IF($FY144=0,0,_xlfn.IFS($FY144='Key assumptions'!$C$120,_xlfn.XLOOKUP(LEFT(GC$7,6),Inflation_Year,Inflation_NominaltoReal),TRUE,_xlfn.XLOOKUP($FY144,Inflation_Year,NominaltoReal)))</f>
        <v>0</v>
      </c>
      <c r="GD144" s="146" cm="1">
        <f t="array" ref="GD144">IF($FY144=0,0,_xlfn.IFS($FY144='Key assumptions'!$C$120,_xlfn.XLOOKUP(LEFT(GD$7,6),Inflation_Year,Inflation_NominaltoReal),TRUE,_xlfn.XLOOKUP($FY144,Inflation_Year,NominaltoReal)))</f>
        <v>0</v>
      </c>
      <c r="GE144" s="146" cm="1">
        <f t="array" ref="GE144">IF($FY144=0,0,_xlfn.IFS($FY144='Key assumptions'!$C$120,_xlfn.XLOOKUP(LEFT(GE$7,6),Inflation_Year,Inflation_NominaltoReal),TRUE,_xlfn.XLOOKUP($FY144,Inflation_Year,NominaltoReal)))</f>
        <v>0</v>
      </c>
      <c r="GF144" s="146" cm="1">
        <f t="array" ref="GF144">IF($FY144=0,0,_xlfn.IFS($FY144='Key assumptions'!$C$120,_xlfn.XLOOKUP(LEFT(GF$7,6),Inflation_Year,Inflation_NominaltoReal),TRUE,_xlfn.XLOOKUP($FY144,Inflation_Year,NominaltoReal)))</f>
        <v>0</v>
      </c>
      <c r="GG144" s="143"/>
      <c r="GH144" s="145" cm="1">
        <f t="array" ref="GH144">SUMPRODUCT(--($CR$7:$FW$7&gt;=GH$5),--($CR$7:$FW$7&lt;=GH$6),$CR144:$FW144)*FZ144</f>
        <v>0</v>
      </c>
      <c r="GI144" s="145" cm="1">
        <f t="array" ref="GI144">SUMPRODUCT(--($CR$7:$FW$7&gt;=GI$5),--($CR$7:$FW$7&lt;=GI$6),$CR144:$FW144)*GA144</f>
        <v>0</v>
      </c>
      <c r="GJ144" s="145" cm="1">
        <f t="array" ref="GJ144">SUMPRODUCT(--($CR$7:$FW$7&gt;=GJ$5),--($CR$7:$FW$7&lt;=GJ$6),$CR144:$FW144)*GB144</f>
        <v>0</v>
      </c>
      <c r="GK144" s="145" cm="1">
        <f t="array" ref="GK144">SUMPRODUCT(--($CR$7:$FW$7&gt;=GK$5),--($CR$7:$FW$7&lt;=GK$6),$CR144:$FW144)*GC144</f>
        <v>0</v>
      </c>
      <c r="GL144" s="145" cm="1">
        <f t="array" ref="GL144">SUMPRODUCT(--($CR$7:$FW$7&gt;=GL$5),--($CR$7:$FW$7&lt;=GL$6),$CR144:$FW144)*GD144</f>
        <v>0</v>
      </c>
      <c r="GM144" s="145" cm="1">
        <f t="array" ref="GM144">SUMPRODUCT(--($CR$7:$FW$7&gt;=GM$5),--($CR$7:$FW$7&lt;=GM$6),$CR144:$FW144)*GE144</f>
        <v>0</v>
      </c>
      <c r="GN144" s="145" cm="1">
        <f t="array" ref="GN144">SUMPRODUCT(--($CR$7:$FW$7&gt;=GN$5),--($CR$7:$FW$7&lt;=GN$6),$CR144:$FW144)*GF144</f>
        <v>0</v>
      </c>
      <c r="GO144" s="145">
        <f t="shared" si="2"/>
        <v>0</v>
      </c>
      <c r="GP144" s="87"/>
      <c r="GR144" s="145" cm="1">
        <f t="array" ref="GR144">SUMPRODUCT(--($CR$7:$FW$7&gt;=GR$5),--($CR$7:$FW$7&lt;=GR$6),$CR144:$FW144)</f>
        <v>0</v>
      </c>
    </row>
    <row r="145" spans="2:200" x14ac:dyDescent="0.2">
      <c r="B145" s="141"/>
      <c r="C145" s="141"/>
      <c r="D145" s="141"/>
      <c r="E145" s="141"/>
      <c r="F145" s="141"/>
      <c r="G145" s="141"/>
      <c r="H145" s="142"/>
      <c r="I145" s="126"/>
      <c r="J145" s="143"/>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3"/>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c r="EE145" s="145"/>
      <c r="EF145" s="145"/>
      <c r="EG145" s="145"/>
      <c r="EH145" s="145"/>
      <c r="EI145" s="145"/>
      <c r="EJ145" s="145"/>
      <c r="EK145" s="145"/>
      <c r="EL145" s="145"/>
      <c r="EM145" s="145"/>
      <c r="EN145" s="145"/>
      <c r="EO145" s="145"/>
      <c r="EP145" s="145"/>
      <c r="EQ145" s="145"/>
      <c r="ER145" s="145"/>
      <c r="ES145" s="145"/>
      <c r="ET145" s="145"/>
      <c r="EU145" s="145"/>
      <c r="EV145" s="145"/>
      <c r="EW145" s="145"/>
      <c r="EX145" s="145"/>
      <c r="EY145" s="145"/>
      <c r="EZ145" s="145"/>
      <c r="FA145" s="145"/>
      <c r="FB145" s="145"/>
      <c r="FC145" s="145"/>
      <c r="FD145" s="145"/>
      <c r="FE145" s="145"/>
      <c r="FF145" s="145"/>
      <c r="FG145" s="145"/>
      <c r="FH145" s="145"/>
      <c r="FI145" s="145"/>
      <c r="FJ145" s="145"/>
      <c r="FK145" s="145"/>
      <c r="FL145" s="145"/>
      <c r="FM145" s="145"/>
      <c r="FN145" s="145"/>
      <c r="FO145" s="145"/>
      <c r="FP145" s="145"/>
      <c r="FQ145" s="145"/>
      <c r="FR145" s="145"/>
      <c r="FS145" s="145"/>
      <c r="FT145" s="145"/>
      <c r="FU145" s="145"/>
      <c r="FV145" s="145"/>
      <c r="FW145" s="145"/>
      <c r="FX145" s="143"/>
      <c r="FY145" s="146">
        <f>_xlfn.XLOOKUP($E145,'Key assumptions'!$B$112:$B$120,'Key assumptions'!$C$112:$C$120,0)</f>
        <v>0</v>
      </c>
      <c r="FZ145" s="146" cm="1">
        <f t="array" ref="FZ145">IF($FY145=0,0,_xlfn.IFS($FY145='Key assumptions'!$C$120,_xlfn.XLOOKUP(LEFT(FZ$7,6),Inflation_Year,Inflation_NominaltoReal),TRUE,_xlfn.XLOOKUP($FY145,Inflation_Year,NominaltoReal)))</f>
        <v>0</v>
      </c>
      <c r="GA145" s="146" cm="1">
        <f t="array" ref="GA145">IF($FY145=0,0,_xlfn.IFS($FY145='Key assumptions'!$C$120,_xlfn.XLOOKUP(LEFT(GA$7,6),Inflation_Year,Inflation_NominaltoReal),TRUE,_xlfn.XLOOKUP($FY145,Inflation_Year,NominaltoReal)))</f>
        <v>0</v>
      </c>
      <c r="GB145" s="146" cm="1">
        <f t="array" ref="GB145">IF($FY145=0,0,_xlfn.IFS($FY145='Key assumptions'!$C$120,_xlfn.XLOOKUP(LEFT(GB$7,6),Inflation_Year,Inflation_NominaltoReal),TRUE,_xlfn.XLOOKUP($FY145,Inflation_Year,NominaltoReal)))</f>
        <v>0</v>
      </c>
      <c r="GC145" s="146" cm="1">
        <f t="array" ref="GC145">IF($FY145=0,0,_xlfn.IFS($FY145='Key assumptions'!$C$120,_xlfn.XLOOKUP(LEFT(GC$7,6),Inflation_Year,Inflation_NominaltoReal),TRUE,_xlfn.XLOOKUP($FY145,Inflation_Year,NominaltoReal)))</f>
        <v>0</v>
      </c>
      <c r="GD145" s="146" cm="1">
        <f t="array" ref="GD145">IF($FY145=0,0,_xlfn.IFS($FY145='Key assumptions'!$C$120,_xlfn.XLOOKUP(LEFT(GD$7,6),Inflation_Year,Inflation_NominaltoReal),TRUE,_xlfn.XLOOKUP($FY145,Inflation_Year,NominaltoReal)))</f>
        <v>0</v>
      </c>
      <c r="GE145" s="146" cm="1">
        <f t="array" ref="GE145">IF($FY145=0,0,_xlfn.IFS($FY145='Key assumptions'!$C$120,_xlfn.XLOOKUP(LEFT(GE$7,6),Inflation_Year,Inflation_NominaltoReal),TRUE,_xlfn.XLOOKUP($FY145,Inflation_Year,NominaltoReal)))</f>
        <v>0</v>
      </c>
      <c r="GF145" s="146" cm="1">
        <f t="array" ref="GF145">IF($FY145=0,0,_xlfn.IFS($FY145='Key assumptions'!$C$120,_xlfn.XLOOKUP(LEFT(GF$7,6),Inflation_Year,Inflation_NominaltoReal),TRUE,_xlfn.XLOOKUP($FY145,Inflation_Year,NominaltoReal)))</f>
        <v>0</v>
      </c>
      <c r="GG145" s="143"/>
      <c r="GH145" s="145" cm="1">
        <f t="array" ref="GH145">SUMPRODUCT(--($CR$7:$FW$7&gt;=GH$5),--($CR$7:$FW$7&lt;=GH$6),$CR145:$FW145)*FZ145</f>
        <v>0</v>
      </c>
      <c r="GI145" s="145" cm="1">
        <f t="array" ref="GI145">SUMPRODUCT(--($CR$7:$FW$7&gt;=GI$5),--($CR$7:$FW$7&lt;=GI$6),$CR145:$FW145)*GA145</f>
        <v>0</v>
      </c>
      <c r="GJ145" s="145" cm="1">
        <f t="array" ref="GJ145">SUMPRODUCT(--($CR$7:$FW$7&gt;=GJ$5),--($CR$7:$FW$7&lt;=GJ$6),$CR145:$FW145)*GB145</f>
        <v>0</v>
      </c>
      <c r="GK145" s="145" cm="1">
        <f t="array" ref="GK145">SUMPRODUCT(--($CR$7:$FW$7&gt;=GK$5),--($CR$7:$FW$7&lt;=GK$6),$CR145:$FW145)*GC145</f>
        <v>0</v>
      </c>
      <c r="GL145" s="145" cm="1">
        <f t="array" ref="GL145">SUMPRODUCT(--($CR$7:$FW$7&gt;=GL$5),--($CR$7:$FW$7&lt;=GL$6),$CR145:$FW145)*GD145</f>
        <v>0</v>
      </c>
      <c r="GM145" s="145" cm="1">
        <f t="array" ref="GM145">SUMPRODUCT(--($CR$7:$FW$7&gt;=GM$5),--($CR$7:$FW$7&lt;=GM$6),$CR145:$FW145)*GE145</f>
        <v>0</v>
      </c>
      <c r="GN145" s="145" cm="1">
        <f t="array" ref="GN145">SUMPRODUCT(--($CR$7:$FW$7&gt;=GN$5),--($CR$7:$FW$7&lt;=GN$6),$CR145:$FW145)*GF145</f>
        <v>0</v>
      </c>
      <c r="GO145" s="145">
        <f t="shared" si="2"/>
        <v>0</v>
      </c>
      <c r="GP145" s="87"/>
      <c r="GR145" s="145" cm="1">
        <f t="array" ref="GR145">SUMPRODUCT(--($CR$7:$FW$7&gt;=GR$5),--($CR$7:$FW$7&lt;=GR$6),$CR145:$FW145)</f>
        <v>0</v>
      </c>
    </row>
    <row r="146" spans="2:200" x14ac:dyDescent="0.2">
      <c r="B146" s="141"/>
      <c r="C146" s="141"/>
      <c r="D146" s="141"/>
      <c r="E146" s="141"/>
      <c r="F146" s="141"/>
      <c r="G146" s="141"/>
      <c r="H146" s="142"/>
      <c r="I146" s="126"/>
      <c r="J146" s="143"/>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3"/>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c r="EE146" s="145"/>
      <c r="EF146" s="145"/>
      <c r="EG146" s="145"/>
      <c r="EH146" s="145"/>
      <c r="EI146" s="145"/>
      <c r="EJ146" s="145"/>
      <c r="EK146" s="145"/>
      <c r="EL146" s="145"/>
      <c r="EM146" s="145"/>
      <c r="EN146" s="145"/>
      <c r="EO146" s="145"/>
      <c r="EP146" s="145"/>
      <c r="EQ146" s="145"/>
      <c r="ER146" s="145"/>
      <c r="ES146" s="145"/>
      <c r="ET146" s="145"/>
      <c r="EU146" s="145"/>
      <c r="EV146" s="145"/>
      <c r="EW146" s="145"/>
      <c r="EX146" s="145"/>
      <c r="EY146" s="145"/>
      <c r="EZ146" s="145"/>
      <c r="FA146" s="145"/>
      <c r="FB146" s="145"/>
      <c r="FC146" s="145"/>
      <c r="FD146" s="145"/>
      <c r="FE146" s="145"/>
      <c r="FF146" s="145"/>
      <c r="FG146" s="145"/>
      <c r="FH146" s="145"/>
      <c r="FI146" s="145"/>
      <c r="FJ146" s="145"/>
      <c r="FK146" s="145"/>
      <c r="FL146" s="145"/>
      <c r="FM146" s="145"/>
      <c r="FN146" s="145"/>
      <c r="FO146" s="145"/>
      <c r="FP146" s="145"/>
      <c r="FQ146" s="145"/>
      <c r="FR146" s="145"/>
      <c r="FS146" s="145"/>
      <c r="FT146" s="145"/>
      <c r="FU146" s="145"/>
      <c r="FV146" s="145"/>
      <c r="FW146" s="145"/>
      <c r="FX146" s="143"/>
      <c r="FY146" s="146">
        <f>_xlfn.XLOOKUP($E146,'Key assumptions'!$B$112:$B$120,'Key assumptions'!$C$112:$C$120,0)</f>
        <v>0</v>
      </c>
      <c r="FZ146" s="146" cm="1">
        <f t="array" ref="FZ146">IF($FY146=0,0,_xlfn.IFS($FY146='Key assumptions'!$C$120,_xlfn.XLOOKUP(LEFT(FZ$7,6),Inflation_Year,Inflation_NominaltoReal),TRUE,_xlfn.XLOOKUP($FY146,Inflation_Year,NominaltoReal)))</f>
        <v>0</v>
      </c>
      <c r="GA146" s="146" cm="1">
        <f t="array" ref="GA146">IF($FY146=0,0,_xlfn.IFS($FY146='Key assumptions'!$C$120,_xlfn.XLOOKUP(LEFT(GA$7,6),Inflation_Year,Inflation_NominaltoReal),TRUE,_xlfn.XLOOKUP($FY146,Inflation_Year,NominaltoReal)))</f>
        <v>0</v>
      </c>
      <c r="GB146" s="146" cm="1">
        <f t="array" ref="GB146">IF($FY146=0,0,_xlfn.IFS($FY146='Key assumptions'!$C$120,_xlfn.XLOOKUP(LEFT(GB$7,6),Inflation_Year,Inflation_NominaltoReal),TRUE,_xlfn.XLOOKUP($FY146,Inflation_Year,NominaltoReal)))</f>
        <v>0</v>
      </c>
      <c r="GC146" s="146" cm="1">
        <f t="array" ref="GC146">IF($FY146=0,0,_xlfn.IFS($FY146='Key assumptions'!$C$120,_xlfn.XLOOKUP(LEFT(GC$7,6),Inflation_Year,Inflation_NominaltoReal),TRUE,_xlfn.XLOOKUP($FY146,Inflation_Year,NominaltoReal)))</f>
        <v>0</v>
      </c>
      <c r="GD146" s="146" cm="1">
        <f t="array" ref="GD146">IF($FY146=0,0,_xlfn.IFS($FY146='Key assumptions'!$C$120,_xlfn.XLOOKUP(LEFT(GD$7,6),Inflation_Year,Inflation_NominaltoReal),TRUE,_xlfn.XLOOKUP($FY146,Inflation_Year,NominaltoReal)))</f>
        <v>0</v>
      </c>
      <c r="GE146" s="146" cm="1">
        <f t="array" ref="GE146">IF($FY146=0,0,_xlfn.IFS($FY146='Key assumptions'!$C$120,_xlfn.XLOOKUP(LEFT(GE$7,6),Inflation_Year,Inflation_NominaltoReal),TRUE,_xlfn.XLOOKUP($FY146,Inflation_Year,NominaltoReal)))</f>
        <v>0</v>
      </c>
      <c r="GF146" s="146" cm="1">
        <f t="array" ref="GF146">IF($FY146=0,0,_xlfn.IFS($FY146='Key assumptions'!$C$120,_xlfn.XLOOKUP(LEFT(GF$7,6),Inflation_Year,Inflation_NominaltoReal),TRUE,_xlfn.XLOOKUP($FY146,Inflation_Year,NominaltoReal)))</f>
        <v>0</v>
      </c>
      <c r="GG146" s="143"/>
      <c r="GH146" s="145" cm="1">
        <f t="array" ref="GH146">SUMPRODUCT(--($CR$7:$FW$7&gt;=GH$5),--($CR$7:$FW$7&lt;=GH$6),$CR146:$FW146)*FZ146</f>
        <v>0</v>
      </c>
      <c r="GI146" s="145" cm="1">
        <f t="array" ref="GI146">SUMPRODUCT(--($CR$7:$FW$7&gt;=GI$5),--($CR$7:$FW$7&lt;=GI$6),$CR146:$FW146)*GA146</f>
        <v>0</v>
      </c>
      <c r="GJ146" s="145" cm="1">
        <f t="array" ref="GJ146">SUMPRODUCT(--($CR$7:$FW$7&gt;=GJ$5),--($CR$7:$FW$7&lt;=GJ$6),$CR146:$FW146)*GB146</f>
        <v>0</v>
      </c>
      <c r="GK146" s="145" cm="1">
        <f t="array" ref="GK146">SUMPRODUCT(--($CR$7:$FW$7&gt;=GK$5),--($CR$7:$FW$7&lt;=GK$6),$CR146:$FW146)*GC146</f>
        <v>0</v>
      </c>
      <c r="GL146" s="145" cm="1">
        <f t="array" ref="GL146">SUMPRODUCT(--($CR$7:$FW$7&gt;=GL$5),--($CR$7:$FW$7&lt;=GL$6),$CR146:$FW146)*GD146</f>
        <v>0</v>
      </c>
      <c r="GM146" s="145" cm="1">
        <f t="array" ref="GM146">SUMPRODUCT(--($CR$7:$FW$7&gt;=GM$5),--($CR$7:$FW$7&lt;=GM$6),$CR146:$FW146)*GE146</f>
        <v>0</v>
      </c>
      <c r="GN146" s="145" cm="1">
        <f t="array" ref="GN146">SUMPRODUCT(--($CR$7:$FW$7&gt;=GN$5),--($CR$7:$FW$7&lt;=GN$6),$CR146:$FW146)*GF146</f>
        <v>0</v>
      </c>
      <c r="GO146" s="145">
        <f t="shared" si="2"/>
        <v>0</v>
      </c>
      <c r="GP146" s="87"/>
      <c r="GR146" s="145" cm="1">
        <f t="array" ref="GR146">SUMPRODUCT(--($CR$7:$FW$7&gt;=GR$5),--($CR$7:$FW$7&lt;=GR$6),$CR146:$FW146)</f>
        <v>0</v>
      </c>
    </row>
    <row r="147" spans="2:200" x14ac:dyDescent="0.2">
      <c r="B147" s="141"/>
      <c r="C147" s="141"/>
      <c r="D147" s="141"/>
      <c r="E147" s="141"/>
      <c r="F147" s="141"/>
      <c r="G147" s="141"/>
      <c r="H147" s="142"/>
      <c r="I147" s="126"/>
      <c r="J147" s="143"/>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3"/>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c r="EE147" s="145"/>
      <c r="EF147" s="145"/>
      <c r="EG147" s="145"/>
      <c r="EH147" s="145"/>
      <c r="EI147" s="145"/>
      <c r="EJ147" s="145"/>
      <c r="EK147" s="145"/>
      <c r="EL147" s="145"/>
      <c r="EM147" s="145"/>
      <c r="EN147" s="145"/>
      <c r="EO147" s="145"/>
      <c r="EP147" s="145"/>
      <c r="EQ147" s="145"/>
      <c r="ER147" s="145"/>
      <c r="ES147" s="145"/>
      <c r="ET147" s="145"/>
      <c r="EU147" s="145"/>
      <c r="EV147" s="145"/>
      <c r="EW147" s="145"/>
      <c r="EX147" s="145"/>
      <c r="EY147" s="145"/>
      <c r="EZ147" s="145"/>
      <c r="FA147" s="145"/>
      <c r="FB147" s="145"/>
      <c r="FC147" s="145"/>
      <c r="FD147" s="145"/>
      <c r="FE147" s="145"/>
      <c r="FF147" s="145"/>
      <c r="FG147" s="145"/>
      <c r="FH147" s="145"/>
      <c r="FI147" s="145"/>
      <c r="FJ147" s="145"/>
      <c r="FK147" s="145"/>
      <c r="FL147" s="145"/>
      <c r="FM147" s="145"/>
      <c r="FN147" s="145"/>
      <c r="FO147" s="145"/>
      <c r="FP147" s="145"/>
      <c r="FQ147" s="145"/>
      <c r="FR147" s="145"/>
      <c r="FS147" s="145"/>
      <c r="FT147" s="145"/>
      <c r="FU147" s="145"/>
      <c r="FV147" s="145"/>
      <c r="FW147" s="145"/>
      <c r="FX147" s="143"/>
      <c r="FY147" s="146">
        <f>_xlfn.XLOOKUP($E147,'Key assumptions'!$B$112:$B$120,'Key assumptions'!$C$112:$C$120,0)</f>
        <v>0</v>
      </c>
      <c r="FZ147" s="146" cm="1">
        <f t="array" ref="FZ147">IF($FY147=0,0,_xlfn.IFS($FY147='Key assumptions'!$C$120,_xlfn.XLOOKUP(LEFT(FZ$7,6),Inflation_Year,Inflation_NominaltoReal),TRUE,_xlfn.XLOOKUP($FY147,Inflation_Year,NominaltoReal)))</f>
        <v>0</v>
      </c>
      <c r="GA147" s="146" cm="1">
        <f t="array" ref="GA147">IF($FY147=0,0,_xlfn.IFS($FY147='Key assumptions'!$C$120,_xlfn.XLOOKUP(LEFT(GA$7,6),Inflation_Year,Inflation_NominaltoReal),TRUE,_xlfn.XLOOKUP($FY147,Inflation_Year,NominaltoReal)))</f>
        <v>0</v>
      </c>
      <c r="GB147" s="146" cm="1">
        <f t="array" ref="GB147">IF($FY147=0,0,_xlfn.IFS($FY147='Key assumptions'!$C$120,_xlfn.XLOOKUP(LEFT(GB$7,6),Inflation_Year,Inflation_NominaltoReal),TRUE,_xlfn.XLOOKUP($FY147,Inflation_Year,NominaltoReal)))</f>
        <v>0</v>
      </c>
      <c r="GC147" s="146" cm="1">
        <f t="array" ref="GC147">IF($FY147=0,0,_xlfn.IFS($FY147='Key assumptions'!$C$120,_xlfn.XLOOKUP(LEFT(GC$7,6),Inflation_Year,Inflation_NominaltoReal),TRUE,_xlfn.XLOOKUP($FY147,Inflation_Year,NominaltoReal)))</f>
        <v>0</v>
      </c>
      <c r="GD147" s="146" cm="1">
        <f t="array" ref="GD147">IF($FY147=0,0,_xlfn.IFS($FY147='Key assumptions'!$C$120,_xlfn.XLOOKUP(LEFT(GD$7,6),Inflation_Year,Inflation_NominaltoReal),TRUE,_xlfn.XLOOKUP($FY147,Inflation_Year,NominaltoReal)))</f>
        <v>0</v>
      </c>
      <c r="GE147" s="146" cm="1">
        <f t="array" ref="GE147">IF($FY147=0,0,_xlfn.IFS($FY147='Key assumptions'!$C$120,_xlfn.XLOOKUP(LEFT(GE$7,6),Inflation_Year,Inflation_NominaltoReal),TRUE,_xlfn.XLOOKUP($FY147,Inflation_Year,NominaltoReal)))</f>
        <v>0</v>
      </c>
      <c r="GF147" s="146" cm="1">
        <f t="array" ref="GF147">IF($FY147=0,0,_xlfn.IFS($FY147='Key assumptions'!$C$120,_xlfn.XLOOKUP(LEFT(GF$7,6),Inflation_Year,Inflation_NominaltoReal),TRUE,_xlfn.XLOOKUP($FY147,Inflation_Year,NominaltoReal)))</f>
        <v>0</v>
      </c>
      <c r="GG147" s="143"/>
      <c r="GH147" s="145" cm="1">
        <f t="array" ref="GH147">SUMPRODUCT(--($CR$7:$FW$7&gt;=GH$5),--($CR$7:$FW$7&lt;=GH$6),$CR147:$FW147)*FZ147</f>
        <v>0</v>
      </c>
      <c r="GI147" s="145" cm="1">
        <f t="array" ref="GI147">SUMPRODUCT(--($CR$7:$FW$7&gt;=GI$5),--($CR$7:$FW$7&lt;=GI$6),$CR147:$FW147)*GA147</f>
        <v>0</v>
      </c>
      <c r="GJ147" s="145" cm="1">
        <f t="array" ref="GJ147">SUMPRODUCT(--($CR$7:$FW$7&gt;=GJ$5),--($CR$7:$FW$7&lt;=GJ$6),$CR147:$FW147)*GB147</f>
        <v>0</v>
      </c>
      <c r="GK147" s="145" cm="1">
        <f t="array" ref="GK147">SUMPRODUCT(--($CR$7:$FW$7&gt;=GK$5),--($CR$7:$FW$7&lt;=GK$6),$CR147:$FW147)*GC147</f>
        <v>0</v>
      </c>
      <c r="GL147" s="145" cm="1">
        <f t="array" ref="GL147">SUMPRODUCT(--($CR$7:$FW$7&gt;=GL$5),--($CR$7:$FW$7&lt;=GL$6),$CR147:$FW147)*GD147</f>
        <v>0</v>
      </c>
      <c r="GM147" s="145" cm="1">
        <f t="array" ref="GM147">SUMPRODUCT(--($CR$7:$FW$7&gt;=GM$5),--($CR$7:$FW$7&lt;=GM$6),$CR147:$FW147)*GE147</f>
        <v>0</v>
      </c>
      <c r="GN147" s="145" cm="1">
        <f t="array" ref="GN147">SUMPRODUCT(--($CR$7:$FW$7&gt;=GN$5),--($CR$7:$FW$7&lt;=GN$6),$CR147:$FW147)*GF147</f>
        <v>0</v>
      </c>
      <c r="GO147" s="145">
        <f t="shared" si="2"/>
        <v>0</v>
      </c>
      <c r="GP147" s="87"/>
      <c r="GR147" s="145" cm="1">
        <f t="array" ref="GR147">SUMPRODUCT(--($CR$7:$FW$7&gt;=GR$5),--($CR$7:$FW$7&lt;=GR$6),$CR147:$FW147)</f>
        <v>0</v>
      </c>
    </row>
    <row r="148" spans="2:200" x14ac:dyDescent="0.2">
      <c r="B148" s="141"/>
      <c r="C148" s="141"/>
      <c r="D148" s="141"/>
      <c r="E148" s="141"/>
      <c r="F148" s="141"/>
      <c r="G148" s="141"/>
      <c r="H148" s="142"/>
      <c r="I148" s="126"/>
      <c r="J148" s="143"/>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3"/>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c r="EE148" s="145"/>
      <c r="EF148" s="145"/>
      <c r="EG148" s="145"/>
      <c r="EH148" s="145"/>
      <c r="EI148" s="145"/>
      <c r="EJ148" s="145"/>
      <c r="EK148" s="145"/>
      <c r="EL148" s="145"/>
      <c r="EM148" s="145"/>
      <c r="EN148" s="145"/>
      <c r="EO148" s="145"/>
      <c r="EP148" s="145"/>
      <c r="EQ148" s="145"/>
      <c r="ER148" s="145"/>
      <c r="ES148" s="145"/>
      <c r="ET148" s="145"/>
      <c r="EU148" s="145"/>
      <c r="EV148" s="145"/>
      <c r="EW148" s="145"/>
      <c r="EX148" s="145"/>
      <c r="EY148" s="145"/>
      <c r="EZ148" s="145"/>
      <c r="FA148" s="145"/>
      <c r="FB148" s="145"/>
      <c r="FC148" s="145"/>
      <c r="FD148" s="145"/>
      <c r="FE148" s="145"/>
      <c r="FF148" s="145"/>
      <c r="FG148" s="145"/>
      <c r="FH148" s="145"/>
      <c r="FI148" s="145"/>
      <c r="FJ148" s="145"/>
      <c r="FK148" s="145"/>
      <c r="FL148" s="145"/>
      <c r="FM148" s="145"/>
      <c r="FN148" s="145"/>
      <c r="FO148" s="145"/>
      <c r="FP148" s="145"/>
      <c r="FQ148" s="145"/>
      <c r="FR148" s="145"/>
      <c r="FS148" s="145"/>
      <c r="FT148" s="145"/>
      <c r="FU148" s="145"/>
      <c r="FV148" s="145"/>
      <c r="FW148" s="145"/>
      <c r="FX148" s="143"/>
      <c r="FY148" s="146">
        <f>_xlfn.XLOOKUP($E148,'Key assumptions'!$B$112:$B$120,'Key assumptions'!$C$112:$C$120,0)</f>
        <v>0</v>
      </c>
      <c r="FZ148" s="146" cm="1">
        <f t="array" ref="FZ148">IF($FY148=0,0,_xlfn.IFS($FY148='Key assumptions'!$C$120,_xlfn.XLOOKUP(LEFT(FZ$7,6),Inflation_Year,Inflation_NominaltoReal),TRUE,_xlfn.XLOOKUP($FY148,Inflation_Year,NominaltoReal)))</f>
        <v>0</v>
      </c>
      <c r="GA148" s="146" cm="1">
        <f t="array" ref="GA148">IF($FY148=0,0,_xlfn.IFS($FY148='Key assumptions'!$C$120,_xlfn.XLOOKUP(LEFT(GA$7,6),Inflation_Year,Inflation_NominaltoReal),TRUE,_xlfn.XLOOKUP($FY148,Inflation_Year,NominaltoReal)))</f>
        <v>0</v>
      </c>
      <c r="GB148" s="146" cm="1">
        <f t="array" ref="GB148">IF($FY148=0,0,_xlfn.IFS($FY148='Key assumptions'!$C$120,_xlfn.XLOOKUP(LEFT(GB$7,6),Inflation_Year,Inflation_NominaltoReal),TRUE,_xlfn.XLOOKUP($FY148,Inflation_Year,NominaltoReal)))</f>
        <v>0</v>
      </c>
      <c r="GC148" s="146" cm="1">
        <f t="array" ref="GC148">IF($FY148=0,0,_xlfn.IFS($FY148='Key assumptions'!$C$120,_xlfn.XLOOKUP(LEFT(GC$7,6),Inflation_Year,Inflation_NominaltoReal),TRUE,_xlfn.XLOOKUP($FY148,Inflation_Year,NominaltoReal)))</f>
        <v>0</v>
      </c>
      <c r="GD148" s="146" cm="1">
        <f t="array" ref="GD148">IF($FY148=0,0,_xlfn.IFS($FY148='Key assumptions'!$C$120,_xlfn.XLOOKUP(LEFT(GD$7,6),Inflation_Year,Inflation_NominaltoReal),TRUE,_xlfn.XLOOKUP($FY148,Inflation_Year,NominaltoReal)))</f>
        <v>0</v>
      </c>
      <c r="GE148" s="146" cm="1">
        <f t="array" ref="GE148">IF($FY148=0,0,_xlfn.IFS($FY148='Key assumptions'!$C$120,_xlfn.XLOOKUP(LEFT(GE$7,6),Inflation_Year,Inflation_NominaltoReal),TRUE,_xlfn.XLOOKUP($FY148,Inflation_Year,NominaltoReal)))</f>
        <v>0</v>
      </c>
      <c r="GF148" s="146" cm="1">
        <f t="array" ref="GF148">IF($FY148=0,0,_xlfn.IFS($FY148='Key assumptions'!$C$120,_xlfn.XLOOKUP(LEFT(GF$7,6),Inflation_Year,Inflation_NominaltoReal),TRUE,_xlfn.XLOOKUP($FY148,Inflation_Year,NominaltoReal)))</f>
        <v>0</v>
      </c>
      <c r="GG148" s="143"/>
      <c r="GH148" s="145" cm="1">
        <f t="array" ref="GH148">SUMPRODUCT(--($CR$7:$FW$7&gt;=GH$5),--($CR$7:$FW$7&lt;=GH$6),$CR148:$FW148)*FZ148</f>
        <v>0</v>
      </c>
      <c r="GI148" s="145" cm="1">
        <f t="array" ref="GI148">SUMPRODUCT(--($CR$7:$FW$7&gt;=GI$5),--($CR$7:$FW$7&lt;=GI$6),$CR148:$FW148)*GA148</f>
        <v>0</v>
      </c>
      <c r="GJ148" s="145" cm="1">
        <f t="array" ref="GJ148">SUMPRODUCT(--($CR$7:$FW$7&gt;=GJ$5),--($CR$7:$FW$7&lt;=GJ$6),$CR148:$FW148)*GB148</f>
        <v>0</v>
      </c>
      <c r="GK148" s="145" cm="1">
        <f t="array" ref="GK148">SUMPRODUCT(--($CR$7:$FW$7&gt;=GK$5),--($CR$7:$FW$7&lt;=GK$6),$CR148:$FW148)*GC148</f>
        <v>0</v>
      </c>
      <c r="GL148" s="145" cm="1">
        <f t="array" ref="GL148">SUMPRODUCT(--($CR$7:$FW$7&gt;=GL$5),--($CR$7:$FW$7&lt;=GL$6),$CR148:$FW148)*GD148</f>
        <v>0</v>
      </c>
      <c r="GM148" s="145" cm="1">
        <f t="array" ref="GM148">SUMPRODUCT(--($CR$7:$FW$7&gt;=GM$5),--($CR$7:$FW$7&lt;=GM$6),$CR148:$FW148)*GE148</f>
        <v>0</v>
      </c>
      <c r="GN148" s="145" cm="1">
        <f t="array" ref="GN148">SUMPRODUCT(--($CR$7:$FW$7&gt;=GN$5),--($CR$7:$FW$7&lt;=GN$6),$CR148:$FW148)*GF148</f>
        <v>0</v>
      </c>
      <c r="GO148" s="145">
        <f t="shared" si="2"/>
        <v>0</v>
      </c>
      <c r="GP148" s="87"/>
      <c r="GR148" s="145" cm="1">
        <f t="array" ref="GR148">SUMPRODUCT(--($CR$7:$FW$7&gt;=GR$5),--($CR$7:$FW$7&lt;=GR$6),$CR148:$FW148)</f>
        <v>0</v>
      </c>
    </row>
    <row r="149" spans="2:200" x14ac:dyDescent="0.2">
      <c r="B149" s="141"/>
      <c r="C149" s="141"/>
      <c r="D149" s="141"/>
      <c r="E149" s="141"/>
      <c r="F149" s="141"/>
      <c r="G149" s="141"/>
      <c r="H149" s="142"/>
      <c r="I149" s="126"/>
      <c r="J149" s="143"/>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3"/>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c r="EE149" s="145"/>
      <c r="EF149" s="145"/>
      <c r="EG149" s="145"/>
      <c r="EH149" s="145"/>
      <c r="EI149" s="145"/>
      <c r="EJ149" s="145"/>
      <c r="EK149" s="145"/>
      <c r="EL149" s="145"/>
      <c r="EM149" s="145"/>
      <c r="EN149" s="145"/>
      <c r="EO149" s="145"/>
      <c r="EP149" s="145"/>
      <c r="EQ149" s="145"/>
      <c r="ER149" s="145"/>
      <c r="ES149" s="145"/>
      <c r="ET149" s="145"/>
      <c r="EU149" s="145"/>
      <c r="EV149" s="145"/>
      <c r="EW149" s="145"/>
      <c r="EX149" s="145"/>
      <c r="EY149" s="145"/>
      <c r="EZ149" s="145"/>
      <c r="FA149" s="145"/>
      <c r="FB149" s="145"/>
      <c r="FC149" s="145"/>
      <c r="FD149" s="145"/>
      <c r="FE149" s="145"/>
      <c r="FF149" s="145"/>
      <c r="FG149" s="145"/>
      <c r="FH149" s="145"/>
      <c r="FI149" s="145"/>
      <c r="FJ149" s="145"/>
      <c r="FK149" s="145"/>
      <c r="FL149" s="145"/>
      <c r="FM149" s="145"/>
      <c r="FN149" s="145"/>
      <c r="FO149" s="145"/>
      <c r="FP149" s="145"/>
      <c r="FQ149" s="145"/>
      <c r="FR149" s="145"/>
      <c r="FS149" s="145"/>
      <c r="FT149" s="145"/>
      <c r="FU149" s="145"/>
      <c r="FV149" s="145"/>
      <c r="FW149" s="145"/>
      <c r="FX149" s="143"/>
      <c r="FY149" s="146">
        <f>_xlfn.XLOOKUP($E149,'Key assumptions'!$B$112:$B$120,'Key assumptions'!$C$112:$C$120,0)</f>
        <v>0</v>
      </c>
      <c r="FZ149" s="146" cm="1">
        <f t="array" ref="FZ149">IF($FY149=0,0,_xlfn.IFS($FY149='Key assumptions'!$C$120,_xlfn.XLOOKUP(LEFT(FZ$7,6),Inflation_Year,Inflation_NominaltoReal),TRUE,_xlfn.XLOOKUP($FY149,Inflation_Year,NominaltoReal)))</f>
        <v>0</v>
      </c>
      <c r="GA149" s="146" cm="1">
        <f t="array" ref="GA149">IF($FY149=0,0,_xlfn.IFS($FY149='Key assumptions'!$C$120,_xlfn.XLOOKUP(LEFT(GA$7,6),Inflation_Year,Inflation_NominaltoReal),TRUE,_xlfn.XLOOKUP($FY149,Inflation_Year,NominaltoReal)))</f>
        <v>0</v>
      </c>
      <c r="GB149" s="146" cm="1">
        <f t="array" ref="GB149">IF($FY149=0,0,_xlfn.IFS($FY149='Key assumptions'!$C$120,_xlfn.XLOOKUP(LEFT(GB$7,6),Inflation_Year,Inflation_NominaltoReal),TRUE,_xlfn.XLOOKUP($FY149,Inflation_Year,NominaltoReal)))</f>
        <v>0</v>
      </c>
      <c r="GC149" s="146" cm="1">
        <f t="array" ref="GC149">IF($FY149=0,0,_xlfn.IFS($FY149='Key assumptions'!$C$120,_xlfn.XLOOKUP(LEFT(GC$7,6),Inflation_Year,Inflation_NominaltoReal),TRUE,_xlfn.XLOOKUP($FY149,Inflation_Year,NominaltoReal)))</f>
        <v>0</v>
      </c>
      <c r="GD149" s="146" cm="1">
        <f t="array" ref="GD149">IF($FY149=0,0,_xlfn.IFS($FY149='Key assumptions'!$C$120,_xlfn.XLOOKUP(LEFT(GD$7,6),Inflation_Year,Inflation_NominaltoReal),TRUE,_xlfn.XLOOKUP($FY149,Inflation_Year,NominaltoReal)))</f>
        <v>0</v>
      </c>
      <c r="GE149" s="146" cm="1">
        <f t="array" ref="GE149">IF($FY149=0,0,_xlfn.IFS($FY149='Key assumptions'!$C$120,_xlfn.XLOOKUP(LEFT(GE$7,6),Inflation_Year,Inflation_NominaltoReal),TRUE,_xlfn.XLOOKUP($FY149,Inflation_Year,NominaltoReal)))</f>
        <v>0</v>
      </c>
      <c r="GF149" s="146" cm="1">
        <f t="array" ref="GF149">IF($FY149=0,0,_xlfn.IFS($FY149='Key assumptions'!$C$120,_xlfn.XLOOKUP(LEFT(GF$7,6),Inflation_Year,Inflation_NominaltoReal),TRUE,_xlfn.XLOOKUP($FY149,Inflation_Year,NominaltoReal)))</f>
        <v>0</v>
      </c>
      <c r="GG149" s="143"/>
      <c r="GH149" s="145" cm="1">
        <f t="array" ref="GH149">SUMPRODUCT(--($CR$7:$FW$7&gt;=GH$5),--($CR$7:$FW$7&lt;=GH$6),$CR149:$FW149)*FZ149</f>
        <v>0</v>
      </c>
      <c r="GI149" s="145" cm="1">
        <f t="array" ref="GI149">SUMPRODUCT(--($CR$7:$FW$7&gt;=GI$5),--($CR$7:$FW$7&lt;=GI$6),$CR149:$FW149)*GA149</f>
        <v>0</v>
      </c>
      <c r="GJ149" s="145" cm="1">
        <f t="array" ref="GJ149">SUMPRODUCT(--($CR$7:$FW$7&gt;=GJ$5),--($CR$7:$FW$7&lt;=GJ$6),$CR149:$FW149)*GB149</f>
        <v>0</v>
      </c>
      <c r="GK149" s="145" cm="1">
        <f t="array" ref="GK149">SUMPRODUCT(--($CR$7:$FW$7&gt;=GK$5),--($CR$7:$FW$7&lt;=GK$6),$CR149:$FW149)*GC149</f>
        <v>0</v>
      </c>
      <c r="GL149" s="145" cm="1">
        <f t="array" ref="GL149">SUMPRODUCT(--($CR$7:$FW$7&gt;=GL$5),--($CR$7:$FW$7&lt;=GL$6),$CR149:$FW149)*GD149</f>
        <v>0</v>
      </c>
      <c r="GM149" s="145" cm="1">
        <f t="array" ref="GM149">SUMPRODUCT(--($CR$7:$FW$7&gt;=GM$5),--($CR$7:$FW$7&lt;=GM$6),$CR149:$FW149)*GE149</f>
        <v>0</v>
      </c>
      <c r="GN149" s="145" cm="1">
        <f t="array" ref="GN149">SUMPRODUCT(--($CR$7:$FW$7&gt;=GN$5),--($CR$7:$FW$7&lt;=GN$6),$CR149:$FW149)*GF149</f>
        <v>0</v>
      </c>
      <c r="GO149" s="145">
        <f t="shared" si="2"/>
        <v>0</v>
      </c>
      <c r="GP149" s="87"/>
      <c r="GR149" s="145" cm="1">
        <f t="array" ref="GR149">SUMPRODUCT(--($CR$7:$FW$7&gt;=GR$5),--($CR$7:$FW$7&lt;=GR$6),$CR149:$FW149)</f>
        <v>0</v>
      </c>
    </row>
    <row r="150" spans="2:200" x14ac:dyDescent="0.2">
      <c r="B150" s="141"/>
      <c r="C150" s="141"/>
      <c r="D150" s="141"/>
      <c r="E150" s="141"/>
      <c r="F150" s="141"/>
      <c r="G150" s="141"/>
      <c r="H150" s="142"/>
      <c r="I150" s="126"/>
      <c r="J150" s="143"/>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3"/>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c r="EE150" s="145"/>
      <c r="EF150" s="145"/>
      <c r="EG150" s="145"/>
      <c r="EH150" s="145"/>
      <c r="EI150" s="145"/>
      <c r="EJ150" s="145"/>
      <c r="EK150" s="145"/>
      <c r="EL150" s="145"/>
      <c r="EM150" s="145"/>
      <c r="EN150" s="145"/>
      <c r="EO150" s="145"/>
      <c r="EP150" s="145"/>
      <c r="EQ150" s="145"/>
      <c r="ER150" s="145"/>
      <c r="ES150" s="145"/>
      <c r="ET150" s="145"/>
      <c r="EU150" s="145"/>
      <c r="EV150" s="145"/>
      <c r="EW150" s="145"/>
      <c r="EX150" s="145"/>
      <c r="EY150" s="145"/>
      <c r="EZ150" s="145"/>
      <c r="FA150" s="145"/>
      <c r="FB150" s="145"/>
      <c r="FC150" s="145"/>
      <c r="FD150" s="145"/>
      <c r="FE150" s="145"/>
      <c r="FF150" s="145"/>
      <c r="FG150" s="145"/>
      <c r="FH150" s="145"/>
      <c r="FI150" s="145"/>
      <c r="FJ150" s="145"/>
      <c r="FK150" s="145"/>
      <c r="FL150" s="145"/>
      <c r="FM150" s="145"/>
      <c r="FN150" s="145"/>
      <c r="FO150" s="145"/>
      <c r="FP150" s="145"/>
      <c r="FQ150" s="145"/>
      <c r="FR150" s="145"/>
      <c r="FS150" s="145"/>
      <c r="FT150" s="145"/>
      <c r="FU150" s="145"/>
      <c r="FV150" s="145"/>
      <c r="FW150" s="145"/>
      <c r="FX150" s="143"/>
      <c r="FY150" s="146">
        <f>_xlfn.XLOOKUP($E150,'Key assumptions'!$B$112:$B$120,'Key assumptions'!$C$112:$C$120,0)</f>
        <v>0</v>
      </c>
      <c r="FZ150" s="146" cm="1">
        <f t="array" ref="FZ150">IF($FY150=0,0,_xlfn.IFS($FY150='Key assumptions'!$C$120,_xlfn.XLOOKUP(LEFT(FZ$7,6),Inflation_Year,Inflation_NominaltoReal),TRUE,_xlfn.XLOOKUP($FY150,Inflation_Year,NominaltoReal)))</f>
        <v>0</v>
      </c>
      <c r="GA150" s="146" cm="1">
        <f t="array" ref="GA150">IF($FY150=0,0,_xlfn.IFS($FY150='Key assumptions'!$C$120,_xlfn.XLOOKUP(LEFT(GA$7,6),Inflation_Year,Inflation_NominaltoReal),TRUE,_xlfn.XLOOKUP($FY150,Inflation_Year,NominaltoReal)))</f>
        <v>0</v>
      </c>
      <c r="GB150" s="146" cm="1">
        <f t="array" ref="GB150">IF($FY150=0,0,_xlfn.IFS($FY150='Key assumptions'!$C$120,_xlfn.XLOOKUP(LEFT(GB$7,6),Inflation_Year,Inflation_NominaltoReal),TRUE,_xlfn.XLOOKUP($FY150,Inflation_Year,NominaltoReal)))</f>
        <v>0</v>
      </c>
      <c r="GC150" s="146" cm="1">
        <f t="array" ref="GC150">IF($FY150=0,0,_xlfn.IFS($FY150='Key assumptions'!$C$120,_xlfn.XLOOKUP(LEFT(GC$7,6),Inflation_Year,Inflation_NominaltoReal),TRUE,_xlfn.XLOOKUP($FY150,Inflation_Year,NominaltoReal)))</f>
        <v>0</v>
      </c>
      <c r="GD150" s="146" cm="1">
        <f t="array" ref="GD150">IF($FY150=0,0,_xlfn.IFS($FY150='Key assumptions'!$C$120,_xlfn.XLOOKUP(LEFT(GD$7,6),Inflation_Year,Inflation_NominaltoReal),TRUE,_xlfn.XLOOKUP($FY150,Inflation_Year,NominaltoReal)))</f>
        <v>0</v>
      </c>
      <c r="GE150" s="146" cm="1">
        <f t="array" ref="GE150">IF($FY150=0,0,_xlfn.IFS($FY150='Key assumptions'!$C$120,_xlfn.XLOOKUP(LEFT(GE$7,6),Inflation_Year,Inflation_NominaltoReal),TRUE,_xlfn.XLOOKUP($FY150,Inflation_Year,NominaltoReal)))</f>
        <v>0</v>
      </c>
      <c r="GF150" s="146" cm="1">
        <f t="array" ref="GF150">IF($FY150=0,0,_xlfn.IFS($FY150='Key assumptions'!$C$120,_xlfn.XLOOKUP(LEFT(GF$7,6),Inflation_Year,Inflation_NominaltoReal),TRUE,_xlfn.XLOOKUP($FY150,Inflation_Year,NominaltoReal)))</f>
        <v>0</v>
      </c>
      <c r="GG150" s="143"/>
      <c r="GH150" s="145" cm="1">
        <f t="array" ref="GH150">SUMPRODUCT(--($CR$7:$FW$7&gt;=GH$5),--($CR$7:$FW$7&lt;=GH$6),$CR150:$FW150)*FZ150</f>
        <v>0</v>
      </c>
      <c r="GI150" s="145" cm="1">
        <f t="array" ref="GI150">SUMPRODUCT(--($CR$7:$FW$7&gt;=GI$5),--($CR$7:$FW$7&lt;=GI$6),$CR150:$FW150)*GA150</f>
        <v>0</v>
      </c>
      <c r="GJ150" s="145" cm="1">
        <f t="array" ref="GJ150">SUMPRODUCT(--($CR$7:$FW$7&gt;=GJ$5),--($CR$7:$FW$7&lt;=GJ$6),$CR150:$FW150)*GB150</f>
        <v>0</v>
      </c>
      <c r="GK150" s="145" cm="1">
        <f t="array" ref="GK150">SUMPRODUCT(--($CR$7:$FW$7&gt;=GK$5),--($CR$7:$FW$7&lt;=GK$6),$CR150:$FW150)*GC150</f>
        <v>0</v>
      </c>
      <c r="GL150" s="145" cm="1">
        <f t="array" ref="GL150">SUMPRODUCT(--($CR$7:$FW$7&gt;=GL$5),--($CR$7:$FW$7&lt;=GL$6),$CR150:$FW150)*GD150</f>
        <v>0</v>
      </c>
      <c r="GM150" s="145" cm="1">
        <f t="array" ref="GM150">SUMPRODUCT(--($CR$7:$FW$7&gt;=GM$5),--($CR$7:$FW$7&lt;=GM$6),$CR150:$FW150)*GE150</f>
        <v>0</v>
      </c>
      <c r="GN150" s="145" cm="1">
        <f t="array" ref="GN150">SUMPRODUCT(--($CR$7:$FW$7&gt;=GN$5),--($CR$7:$FW$7&lt;=GN$6),$CR150:$FW150)*GF150</f>
        <v>0</v>
      </c>
      <c r="GO150" s="145">
        <f t="shared" si="2"/>
        <v>0</v>
      </c>
      <c r="GP150" s="87"/>
      <c r="GR150" s="145" cm="1">
        <f t="array" ref="GR150">SUMPRODUCT(--($CR$7:$FW$7&gt;=GR$5),--($CR$7:$FW$7&lt;=GR$6),$CR150:$FW150)</f>
        <v>0</v>
      </c>
    </row>
    <row r="151" spans="2:200" x14ac:dyDescent="0.2">
      <c r="B151" s="141"/>
      <c r="C151" s="141"/>
      <c r="D151" s="141"/>
      <c r="E151" s="141"/>
      <c r="F151" s="141"/>
      <c r="G151" s="141"/>
      <c r="H151" s="142"/>
      <c r="I151" s="126"/>
      <c r="J151" s="143"/>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3"/>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c r="EE151" s="145"/>
      <c r="EF151" s="145"/>
      <c r="EG151" s="145"/>
      <c r="EH151" s="145"/>
      <c r="EI151" s="145"/>
      <c r="EJ151" s="145"/>
      <c r="EK151" s="145"/>
      <c r="EL151" s="145"/>
      <c r="EM151" s="145"/>
      <c r="EN151" s="145"/>
      <c r="EO151" s="145"/>
      <c r="EP151" s="145"/>
      <c r="EQ151" s="145"/>
      <c r="ER151" s="145"/>
      <c r="ES151" s="145"/>
      <c r="ET151" s="145"/>
      <c r="EU151" s="145"/>
      <c r="EV151" s="145"/>
      <c r="EW151" s="145"/>
      <c r="EX151" s="145"/>
      <c r="EY151" s="145"/>
      <c r="EZ151" s="145"/>
      <c r="FA151" s="145"/>
      <c r="FB151" s="145"/>
      <c r="FC151" s="145"/>
      <c r="FD151" s="145"/>
      <c r="FE151" s="145"/>
      <c r="FF151" s="145"/>
      <c r="FG151" s="145"/>
      <c r="FH151" s="145"/>
      <c r="FI151" s="145"/>
      <c r="FJ151" s="145"/>
      <c r="FK151" s="145"/>
      <c r="FL151" s="145"/>
      <c r="FM151" s="145"/>
      <c r="FN151" s="145"/>
      <c r="FO151" s="145"/>
      <c r="FP151" s="145"/>
      <c r="FQ151" s="145"/>
      <c r="FR151" s="145"/>
      <c r="FS151" s="145"/>
      <c r="FT151" s="145"/>
      <c r="FU151" s="145"/>
      <c r="FV151" s="145"/>
      <c r="FW151" s="145"/>
      <c r="FX151" s="143"/>
      <c r="FY151" s="146">
        <f>_xlfn.XLOOKUP($E151,'Key assumptions'!$B$112:$B$120,'Key assumptions'!$C$112:$C$120,0)</f>
        <v>0</v>
      </c>
      <c r="FZ151" s="146" cm="1">
        <f t="array" ref="FZ151">IF($FY151=0,0,_xlfn.IFS($FY151='Key assumptions'!$C$120,_xlfn.XLOOKUP(LEFT(FZ$7,6),Inflation_Year,Inflation_NominaltoReal),TRUE,_xlfn.XLOOKUP($FY151,Inflation_Year,NominaltoReal)))</f>
        <v>0</v>
      </c>
      <c r="GA151" s="146" cm="1">
        <f t="array" ref="GA151">IF($FY151=0,0,_xlfn.IFS($FY151='Key assumptions'!$C$120,_xlfn.XLOOKUP(LEFT(GA$7,6),Inflation_Year,Inflation_NominaltoReal),TRUE,_xlfn.XLOOKUP($FY151,Inflation_Year,NominaltoReal)))</f>
        <v>0</v>
      </c>
      <c r="GB151" s="146" cm="1">
        <f t="array" ref="GB151">IF($FY151=0,0,_xlfn.IFS($FY151='Key assumptions'!$C$120,_xlfn.XLOOKUP(LEFT(GB$7,6),Inflation_Year,Inflation_NominaltoReal),TRUE,_xlfn.XLOOKUP($FY151,Inflation_Year,NominaltoReal)))</f>
        <v>0</v>
      </c>
      <c r="GC151" s="146" cm="1">
        <f t="array" ref="GC151">IF($FY151=0,0,_xlfn.IFS($FY151='Key assumptions'!$C$120,_xlfn.XLOOKUP(LEFT(GC$7,6),Inflation_Year,Inflation_NominaltoReal),TRUE,_xlfn.XLOOKUP($FY151,Inflation_Year,NominaltoReal)))</f>
        <v>0</v>
      </c>
      <c r="GD151" s="146" cm="1">
        <f t="array" ref="GD151">IF($FY151=0,0,_xlfn.IFS($FY151='Key assumptions'!$C$120,_xlfn.XLOOKUP(LEFT(GD$7,6),Inflation_Year,Inflation_NominaltoReal),TRUE,_xlfn.XLOOKUP($FY151,Inflation_Year,NominaltoReal)))</f>
        <v>0</v>
      </c>
      <c r="GE151" s="146" cm="1">
        <f t="array" ref="GE151">IF($FY151=0,0,_xlfn.IFS($FY151='Key assumptions'!$C$120,_xlfn.XLOOKUP(LEFT(GE$7,6),Inflation_Year,Inflation_NominaltoReal),TRUE,_xlfn.XLOOKUP($FY151,Inflation_Year,NominaltoReal)))</f>
        <v>0</v>
      </c>
      <c r="GF151" s="146" cm="1">
        <f t="array" ref="GF151">IF($FY151=0,0,_xlfn.IFS($FY151='Key assumptions'!$C$120,_xlfn.XLOOKUP(LEFT(GF$7,6),Inflation_Year,Inflation_NominaltoReal),TRUE,_xlfn.XLOOKUP($FY151,Inflation_Year,NominaltoReal)))</f>
        <v>0</v>
      </c>
      <c r="GG151" s="143"/>
      <c r="GH151" s="145" cm="1">
        <f t="array" ref="GH151">SUMPRODUCT(--($CR$7:$FW$7&gt;=GH$5),--($CR$7:$FW$7&lt;=GH$6),$CR151:$FW151)*FZ151</f>
        <v>0</v>
      </c>
      <c r="GI151" s="145" cm="1">
        <f t="array" ref="GI151">SUMPRODUCT(--($CR$7:$FW$7&gt;=GI$5),--($CR$7:$FW$7&lt;=GI$6),$CR151:$FW151)*GA151</f>
        <v>0</v>
      </c>
      <c r="GJ151" s="145" cm="1">
        <f t="array" ref="GJ151">SUMPRODUCT(--($CR$7:$FW$7&gt;=GJ$5),--($CR$7:$FW$7&lt;=GJ$6),$CR151:$FW151)*GB151</f>
        <v>0</v>
      </c>
      <c r="GK151" s="145" cm="1">
        <f t="array" ref="GK151">SUMPRODUCT(--($CR$7:$FW$7&gt;=GK$5),--($CR$7:$FW$7&lt;=GK$6),$CR151:$FW151)*GC151</f>
        <v>0</v>
      </c>
      <c r="GL151" s="145" cm="1">
        <f t="array" ref="GL151">SUMPRODUCT(--($CR$7:$FW$7&gt;=GL$5),--($CR$7:$FW$7&lt;=GL$6),$CR151:$FW151)*GD151</f>
        <v>0</v>
      </c>
      <c r="GM151" s="145" cm="1">
        <f t="array" ref="GM151">SUMPRODUCT(--($CR$7:$FW$7&gt;=GM$5),--($CR$7:$FW$7&lt;=GM$6),$CR151:$FW151)*GE151</f>
        <v>0</v>
      </c>
      <c r="GN151" s="145" cm="1">
        <f t="array" ref="GN151">SUMPRODUCT(--($CR$7:$FW$7&gt;=GN$5),--($CR$7:$FW$7&lt;=GN$6),$CR151:$FW151)*GF151</f>
        <v>0</v>
      </c>
      <c r="GO151" s="145">
        <f t="shared" si="2"/>
        <v>0</v>
      </c>
      <c r="GP151" s="87"/>
      <c r="GR151" s="145" cm="1">
        <f t="array" ref="GR151">SUMPRODUCT(--($CR$7:$FW$7&gt;=GR$5),--($CR$7:$FW$7&lt;=GR$6),$CR151:$FW151)</f>
        <v>0</v>
      </c>
    </row>
    <row r="152" spans="2:200" x14ac:dyDescent="0.2">
      <c r="B152" s="141"/>
      <c r="C152" s="141"/>
      <c r="D152" s="141"/>
      <c r="E152" s="141"/>
      <c r="F152" s="141"/>
      <c r="G152" s="141"/>
      <c r="H152" s="142"/>
      <c r="I152" s="126"/>
      <c r="J152" s="143"/>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3"/>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c r="EE152" s="145"/>
      <c r="EF152" s="145"/>
      <c r="EG152" s="145"/>
      <c r="EH152" s="145"/>
      <c r="EI152" s="145"/>
      <c r="EJ152" s="145"/>
      <c r="EK152" s="145"/>
      <c r="EL152" s="145"/>
      <c r="EM152" s="145"/>
      <c r="EN152" s="145"/>
      <c r="EO152" s="145"/>
      <c r="EP152" s="145"/>
      <c r="EQ152" s="145"/>
      <c r="ER152" s="145"/>
      <c r="ES152" s="145"/>
      <c r="ET152" s="145"/>
      <c r="EU152" s="145"/>
      <c r="EV152" s="145"/>
      <c r="EW152" s="145"/>
      <c r="EX152" s="145"/>
      <c r="EY152" s="145"/>
      <c r="EZ152" s="145"/>
      <c r="FA152" s="145"/>
      <c r="FB152" s="145"/>
      <c r="FC152" s="145"/>
      <c r="FD152" s="145"/>
      <c r="FE152" s="145"/>
      <c r="FF152" s="145"/>
      <c r="FG152" s="145"/>
      <c r="FH152" s="145"/>
      <c r="FI152" s="145"/>
      <c r="FJ152" s="145"/>
      <c r="FK152" s="145"/>
      <c r="FL152" s="145"/>
      <c r="FM152" s="145"/>
      <c r="FN152" s="145"/>
      <c r="FO152" s="145"/>
      <c r="FP152" s="145"/>
      <c r="FQ152" s="145"/>
      <c r="FR152" s="145"/>
      <c r="FS152" s="145"/>
      <c r="FT152" s="145"/>
      <c r="FU152" s="145"/>
      <c r="FV152" s="145"/>
      <c r="FW152" s="145"/>
      <c r="FX152" s="143"/>
      <c r="FY152" s="146">
        <f>_xlfn.XLOOKUP($E152,'Key assumptions'!$B$112:$B$120,'Key assumptions'!$C$112:$C$120,0)</f>
        <v>0</v>
      </c>
      <c r="FZ152" s="146" cm="1">
        <f t="array" ref="FZ152">IF($FY152=0,0,_xlfn.IFS($FY152='Key assumptions'!$C$120,_xlfn.XLOOKUP(LEFT(FZ$7,6),Inflation_Year,Inflation_NominaltoReal),TRUE,_xlfn.XLOOKUP($FY152,Inflation_Year,NominaltoReal)))</f>
        <v>0</v>
      </c>
      <c r="GA152" s="146" cm="1">
        <f t="array" ref="GA152">IF($FY152=0,0,_xlfn.IFS($FY152='Key assumptions'!$C$120,_xlfn.XLOOKUP(LEFT(GA$7,6),Inflation_Year,Inflation_NominaltoReal),TRUE,_xlfn.XLOOKUP($FY152,Inflation_Year,NominaltoReal)))</f>
        <v>0</v>
      </c>
      <c r="GB152" s="146" cm="1">
        <f t="array" ref="GB152">IF($FY152=0,0,_xlfn.IFS($FY152='Key assumptions'!$C$120,_xlfn.XLOOKUP(LEFT(GB$7,6),Inflation_Year,Inflation_NominaltoReal),TRUE,_xlfn.XLOOKUP($FY152,Inflation_Year,NominaltoReal)))</f>
        <v>0</v>
      </c>
      <c r="GC152" s="146" cm="1">
        <f t="array" ref="GC152">IF($FY152=0,0,_xlfn.IFS($FY152='Key assumptions'!$C$120,_xlfn.XLOOKUP(LEFT(GC$7,6),Inflation_Year,Inflation_NominaltoReal),TRUE,_xlfn.XLOOKUP($FY152,Inflation_Year,NominaltoReal)))</f>
        <v>0</v>
      </c>
      <c r="GD152" s="146" cm="1">
        <f t="array" ref="GD152">IF($FY152=0,0,_xlfn.IFS($FY152='Key assumptions'!$C$120,_xlfn.XLOOKUP(LEFT(GD$7,6),Inflation_Year,Inflation_NominaltoReal),TRUE,_xlfn.XLOOKUP($FY152,Inflation_Year,NominaltoReal)))</f>
        <v>0</v>
      </c>
      <c r="GE152" s="146" cm="1">
        <f t="array" ref="GE152">IF($FY152=0,0,_xlfn.IFS($FY152='Key assumptions'!$C$120,_xlfn.XLOOKUP(LEFT(GE$7,6),Inflation_Year,Inflation_NominaltoReal),TRUE,_xlfn.XLOOKUP($FY152,Inflation_Year,NominaltoReal)))</f>
        <v>0</v>
      </c>
      <c r="GF152" s="146" cm="1">
        <f t="array" ref="GF152">IF($FY152=0,0,_xlfn.IFS($FY152='Key assumptions'!$C$120,_xlfn.XLOOKUP(LEFT(GF$7,6),Inflation_Year,Inflation_NominaltoReal),TRUE,_xlfn.XLOOKUP($FY152,Inflation_Year,NominaltoReal)))</f>
        <v>0</v>
      </c>
      <c r="GG152" s="143"/>
      <c r="GH152" s="145" cm="1">
        <f t="array" ref="GH152">SUMPRODUCT(--($CR$7:$FW$7&gt;=GH$5),--($CR$7:$FW$7&lt;=GH$6),$CR152:$FW152)*FZ152</f>
        <v>0</v>
      </c>
      <c r="GI152" s="145" cm="1">
        <f t="array" ref="GI152">SUMPRODUCT(--($CR$7:$FW$7&gt;=GI$5),--($CR$7:$FW$7&lt;=GI$6),$CR152:$FW152)*GA152</f>
        <v>0</v>
      </c>
      <c r="GJ152" s="145" cm="1">
        <f t="array" ref="GJ152">SUMPRODUCT(--($CR$7:$FW$7&gt;=GJ$5),--($CR$7:$FW$7&lt;=GJ$6),$CR152:$FW152)*GB152</f>
        <v>0</v>
      </c>
      <c r="GK152" s="145" cm="1">
        <f t="array" ref="GK152">SUMPRODUCT(--($CR$7:$FW$7&gt;=GK$5),--($CR$7:$FW$7&lt;=GK$6),$CR152:$FW152)*GC152</f>
        <v>0</v>
      </c>
      <c r="GL152" s="145" cm="1">
        <f t="array" ref="GL152">SUMPRODUCT(--($CR$7:$FW$7&gt;=GL$5),--($CR$7:$FW$7&lt;=GL$6),$CR152:$FW152)*GD152</f>
        <v>0</v>
      </c>
      <c r="GM152" s="145" cm="1">
        <f t="array" ref="GM152">SUMPRODUCT(--($CR$7:$FW$7&gt;=GM$5),--($CR$7:$FW$7&lt;=GM$6),$CR152:$FW152)*GE152</f>
        <v>0</v>
      </c>
      <c r="GN152" s="145" cm="1">
        <f t="array" ref="GN152">SUMPRODUCT(--($CR$7:$FW$7&gt;=GN$5),--($CR$7:$FW$7&lt;=GN$6),$CR152:$FW152)*GF152</f>
        <v>0</v>
      </c>
      <c r="GO152" s="145">
        <f t="shared" si="2"/>
        <v>0</v>
      </c>
      <c r="GP152" s="87"/>
      <c r="GR152" s="145" cm="1">
        <f t="array" ref="GR152">SUMPRODUCT(--($CR$7:$FW$7&gt;=GR$5),--($CR$7:$FW$7&lt;=GR$6),$CR152:$FW152)</f>
        <v>0</v>
      </c>
    </row>
    <row r="153" spans="2:200" x14ac:dyDescent="0.2">
      <c r="B153" s="141"/>
      <c r="C153" s="141"/>
      <c r="D153" s="141"/>
      <c r="E153" s="141"/>
      <c r="F153" s="141"/>
      <c r="G153" s="141"/>
      <c r="H153" s="142"/>
      <c r="I153" s="126"/>
      <c r="J153" s="143"/>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3"/>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c r="FA153" s="145"/>
      <c r="FB153" s="145"/>
      <c r="FC153" s="145"/>
      <c r="FD153" s="145"/>
      <c r="FE153" s="145"/>
      <c r="FF153" s="145"/>
      <c r="FG153" s="145"/>
      <c r="FH153" s="145"/>
      <c r="FI153" s="145"/>
      <c r="FJ153" s="145"/>
      <c r="FK153" s="145"/>
      <c r="FL153" s="145"/>
      <c r="FM153" s="145"/>
      <c r="FN153" s="145"/>
      <c r="FO153" s="145"/>
      <c r="FP153" s="145"/>
      <c r="FQ153" s="145"/>
      <c r="FR153" s="145"/>
      <c r="FS153" s="145"/>
      <c r="FT153" s="145"/>
      <c r="FU153" s="145"/>
      <c r="FV153" s="145"/>
      <c r="FW153" s="145"/>
      <c r="FX153" s="143"/>
      <c r="FY153" s="146">
        <f>_xlfn.XLOOKUP($E153,'Key assumptions'!$B$112:$B$120,'Key assumptions'!$C$112:$C$120,0)</f>
        <v>0</v>
      </c>
      <c r="FZ153" s="146" cm="1">
        <f t="array" ref="FZ153">IF($FY153=0,0,_xlfn.IFS($FY153='Key assumptions'!$C$120,_xlfn.XLOOKUP(LEFT(FZ$7,6),Inflation_Year,Inflation_NominaltoReal),TRUE,_xlfn.XLOOKUP($FY153,Inflation_Year,NominaltoReal)))</f>
        <v>0</v>
      </c>
      <c r="GA153" s="146" cm="1">
        <f t="array" ref="GA153">IF($FY153=0,0,_xlfn.IFS($FY153='Key assumptions'!$C$120,_xlfn.XLOOKUP(LEFT(GA$7,6),Inflation_Year,Inflation_NominaltoReal),TRUE,_xlfn.XLOOKUP($FY153,Inflation_Year,NominaltoReal)))</f>
        <v>0</v>
      </c>
      <c r="GB153" s="146" cm="1">
        <f t="array" ref="GB153">IF($FY153=0,0,_xlfn.IFS($FY153='Key assumptions'!$C$120,_xlfn.XLOOKUP(LEFT(GB$7,6),Inflation_Year,Inflation_NominaltoReal),TRUE,_xlfn.XLOOKUP($FY153,Inflation_Year,NominaltoReal)))</f>
        <v>0</v>
      </c>
      <c r="GC153" s="146" cm="1">
        <f t="array" ref="GC153">IF($FY153=0,0,_xlfn.IFS($FY153='Key assumptions'!$C$120,_xlfn.XLOOKUP(LEFT(GC$7,6),Inflation_Year,Inflation_NominaltoReal),TRUE,_xlfn.XLOOKUP($FY153,Inflation_Year,NominaltoReal)))</f>
        <v>0</v>
      </c>
      <c r="GD153" s="146" cm="1">
        <f t="array" ref="GD153">IF($FY153=0,0,_xlfn.IFS($FY153='Key assumptions'!$C$120,_xlfn.XLOOKUP(LEFT(GD$7,6),Inflation_Year,Inflation_NominaltoReal),TRUE,_xlfn.XLOOKUP($FY153,Inflation_Year,NominaltoReal)))</f>
        <v>0</v>
      </c>
      <c r="GE153" s="146" cm="1">
        <f t="array" ref="GE153">IF($FY153=0,0,_xlfn.IFS($FY153='Key assumptions'!$C$120,_xlfn.XLOOKUP(LEFT(GE$7,6),Inflation_Year,Inflation_NominaltoReal),TRUE,_xlfn.XLOOKUP($FY153,Inflation_Year,NominaltoReal)))</f>
        <v>0</v>
      </c>
      <c r="GF153" s="146" cm="1">
        <f t="array" ref="GF153">IF($FY153=0,0,_xlfn.IFS($FY153='Key assumptions'!$C$120,_xlfn.XLOOKUP(LEFT(GF$7,6),Inflation_Year,Inflation_NominaltoReal),TRUE,_xlfn.XLOOKUP($FY153,Inflation_Year,NominaltoReal)))</f>
        <v>0</v>
      </c>
      <c r="GG153" s="143"/>
      <c r="GH153" s="145" cm="1">
        <f t="array" ref="GH153">SUMPRODUCT(--($CR$7:$FW$7&gt;=GH$5),--($CR$7:$FW$7&lt;=GH$6),$CR153:$FW153)*FZ153</f>
        <v>0</v>
      </c>
      <c r="GI153" s="145" cm="1">
        <f t="array" ref="GI153">SUMPRODUCT(--($CR$7:$FW$7&gt;=GI$5),--($CR$7:$FW$7&lt;=GI$6),$CR153:$FW153)*GA153</f>
        <v>0</v>
      </c>
      <c r="GJ153" s="145" cm="1">
        <f t="array" ref="GJ153">SUMPRODUCT(--($CR$7:$FW$7&gt;=GJ$5),--($CR$7:$FW$7&lt;=GJ$6),$CR153:$FW153)*GB153</f>
        <v>0</v>
      </c>
      <c r="GK153" s="145" cm="1">
        <f t="array" ref="GK153">SUMPRODUCT(--($CR$7:$FW$7&gt;=GK$5),--($CR$7:$FW$7&lt;=GK$6),$CR153:$FW153)*GC153</f>
        <v>0</v>
      </c>
      <c r="GL153" s="145" cm="1">
        <f t="array" ref="GL153">SUMPRODUCT(--($CR$7:$FW$7&gt;=GL$5),--($CR$7:$FW$7&lt;=GL$6),$CR153:$FW153)*GD153</f>
        <v>0</v>
      </c>
      <c r="GM153" s="145" cm="1">
        <f t="array" ref="GM153">SUMPRODUCT(--($CR$7:$FW$7&gt;=GM$5),--($CR$7:$FW$7&lt;=GM$6),$CR153:$FW153)*GE153</f>
        <v>0</v>
      </c>
      <c r="GN153" s="145" cm="1">
        <f t="array" ref="GN153">SUMPRODUCT(--($CR$7:$FW$7&gt;=GN$5),--($CR$7:$FW$7&lt;=GN$6),$CR153:$FW153)*GF153</f>
        <v>0</v>
      </c>
      <c r="GO153" s="145">
        <f t="shared" si="2"/>
        <v>0</v>
      </c>
      <c r="GP153" s="87"/>
      <c r="GR153" s="145" cm="1">
        <f t="array" ref="GR153">SUMPRODUCT(--($CR$7:$FW$7&gt;=GR$5),--($CR$7:$FW$7&lt;=GR$6),$CR153:$FW153)</f>
        <v>0</v>
      </c>
    </row>
    <row r="154" spans="2:200" x14ac:dyDescent="0.2">
      <c r="B154" s="141"/>
      <c r="C154" s="141"/>
      <c r="D154" s="141"/>
      <c r="E154" s="141"/>
      <c r="F154" s="141"/>
      <c r="G154" s="141"/>
      <c r="H154" s="142"/>
      <c r="I154" s="126"/>
      <c r="J154" s="143"/>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3"/>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c r="EE154" s="145"/>
      <c r="EF154" s="145"/>
      <c r="EG154" s="145"/>
      <c r="EH154" s="145"/>
      <c r="EI154" s="145"/>
      <c r="EJ154" s="145"/>
      <c r="EK154" s="145"/>
      <c r="EL154" s="145"/>
      <c r="EM154" s="145"/>
      <c r="EN154" s="145"/>
      <c r="EO154" s="145"/>
      <c r="EP154" s="145"/>
      <c r="EQ154" s="145"/>
      <c r="ER154" s="145"/>
      <c r="ES154" s="145"/>
      <c r="ET154" s="145"/>
      <c r="EU154" s="145"/>
      <c r="EV154" s="145"/>
      <c r="EW154" s="145"/>
      <c r="EX154" s="145"/>
      <c r="EY154" s="145"/>
      <c r="EZ154" s="145"/>
      <c r="FA154" s="145"/>
      <c r="FB154" s="145"/>
      <c r="FC154" s="145"/>
      <c r="FD154" s="145"/>
      <c r="FE154" s="145"/>
      <c r="FF154" s="145"/>
      <c r="FG154" s="145"/>
      <c r="FH154" s="145"/>
      <c r="FI154" s="145"/>
      <c r="FJ154" s="145"/>
      <c r="FK154" s="145"/>
      <c r="FL154" s="145"/>
      <c r="FM154" s="145"/>
      <c r="FN154" s="145"/>
      <c r="FO154" s="145"/>
      <c r="FP154" s="145"/>
      <c r="FQ154" s="145"/>
      <c r="FR154" s="145"/>
      <c r="FS154" s="145"/>
      <c r="FT154" s="145"/>
      <c r="FU154" s="145"/>
      <c r="FV154" s="145"/>
      <c r="FW154" s="145"/>
      <c r="FX154" s="143"/>
      <c r="FY154" s="146">
        <f>_xlfn.XLOOKUP($E154,'Key assumptions'!$B$112:$B$120,'Key assumptions'!$C$112:$C$120,0)</f>
        <v>0</v>
      </c>
      <c r="FZ154" s="146" cm="1">
        <f t="array" ref="FZ154">IF($FY154=0,0,_xlfn.IFS($FY154='Key assumptions'!$C$120,_xlfn.XLOOKUP(LEFT(FZ$7,6),Inflation_Year,Inflation_NominaltoReal),TRUE,_xlfn.XLOOKUP($FY154,Inflation_Year,NominaltoReal)))</f>
        <v>0</v>
      </c>
      <c r="GA154" s="146" cm="1">
        <f t="array" ref="GA154">IF($FY154=0,0,_xlfn.IFS($FY154='Key assumptions'!$C$120,_xlfn.XLOOKUP(LEFT(GA$7,6),Inflation_Year,Inflation_NominaltoReal),TRUE,_xlfn.XLOOKUP($FY154,Inflation_Year,NominaltoReal)))</f>
        <v>0</v>
      </c>
      <c r="GB154" s="146" cm="1">
        <f t="array" ref="GB154">IF($FY154=0,0,_xlfn.IFS($FY154='Key assumptions'!$C$120,_xlfn.XLOOKUP(LEFT(GB$7,6),Inflation_Year,Inflation_NominaltoReal),TRUE,_xlfn.XLOOKUP($FY154,Inflation_Year,NominaltoReal)))</f>
        <v>0</v>
      </c>
      <c r="GC154" s="146" cm="1">
        <f t="array" ref="GC154">IF($FY154=0,0,_xlfn.IFS($FY154='Key assumptions'!$C$120,_xlfn.XLOOKUP(LEFT(GC$7,6),Inflation_Year,Inflation_NominaltoReal),TRUE,_xlfn.XLOOKUP($FY154,Inflation_Year,NominaltoReal)))</f>
        <v>0</v>
      </c>
      <c r="GD154" s="146" cm="1">
        <f t="array" ref="GD154">IF($FY154=0,0,_xlfn.IFS($FY154='Key assumptions'!$C$120,_xlfn.XLOOKUP(LEFT(GD$7,6),Inflation_Year,Inflation_NominaltoReal),TRUE,_xlfn.XLOOKUP($FY154,Inflation_Year,NominaltoReal)))</f>
        <v>0</v>
      </c>
      <c r="GE154" s="146" cm="1">
        <f t="array" ref="GE154">IF($FY154=0,0,_xlfn.IFS($FY154='Key assumptions'!$C$120,_xlfn.XLOOKUP(LEFT(GE$7,6),Inflation_Year,Inflation_NominaltoReal),TRUE,_xlfn.XLOOKUP($FY154,Inflation_Year,NominaltoReal)))</f>
        <v>0</v>
      </c>
      <c r="GF154" s="146" cm="1">
        <f t="array" ref="GF154">IF($FY154=0,0,_xlfn.IFS($FY154='Key assumptions'!$C$120,_xlfn.XLOOKUP(LEFT(GF$7,6),Inflation_Year,Inflation_NominaltoReal),TRUE,_xlfn.XLOOKUP($FY154,Inflation_Year,NominaltoReal)))</f>
        <v>0</v>
      </c>
      <c r="GG154" s="143"/>
      <c r="GH154" s="145" cm="1">
        <f t="array" ref="GH154">SUMPRODUCT(--($CR$7:$FW$7&gt;=GH$5),--($CR$7:$FW$7&lt;=GH$6),$CR154:$FW154)*FZ154</f>
        <v>0</v>
      </c>
      <c r="GI154" s="145" cm="1">
        <f t="array" ref="GI154">SUMPRODUCT(--($CR$7:$FW$7&gt;=GI$5),--($CR$7:$FW$7&lt;=GI$6),$CR154:$FW154)*GA154</f>
        <v>0</v>
      </c>
      <c r="GJ154" s="145" cm="1">
        <f t="array" ref="GJ154">SUMPRODUCT(--($CR$7:$FW$7&gt;=GJ$5),--($CR$7:$FW$7&lt;=GJ$6),$CR154:$FW154)*GB154</f>
        <v>0</v>
      </c>
      <c r="GK154" s="145" cm="1">
        <f t="array" ref="GK154">SUMPRODUCT(--($CR$7:$FW$7&gt;=GK$5),--($CR$7:$FW$7&lt;=GK$6),$CR154:$FW154)*GC154</f>
        <v>0</v>
      </c>
      <c r="GL154" s="145" cm="1">
        <f t="array" ref="GL154">SUMPRODUCT(--($CR$7:$FW$7&gt;=GL$5),--($CR$7:$FW$7&lt;=GL$6),$CR154:$FW154)*GD154</f>
        <v>0</v>
      </c>
      <c r="GM154" s="145" cm="1">
        <f t="array" ref="GM154">SUMPRODUCT(--($CR$7:$FW$7&gt;=GM$5),--($CR$7:$FW$7&lt;=GM$6),$CR154:$FW154)*GE154</f>
        <v>0</v>
      </c>
      <c r="GN154" s="145" cm="1">
        <f t="array" ref="GN154">SUMPRODUCT(--($CR$7:$FW$7&gt;=GN$5),--($CR$7:$FW$7&lt;=GN$6),$CR154:$FW154)*GF154</f>
        <v>0</v>
      </c>
      <c r="GO154" s="145">
        <f t="shared" si="2"/>
        <v>0</v>
      </c>
      <c r="GP154" s="87"/>
      <c r="GR154" s="145" cm="1">
        <f t="array" ref="GR154">SUMPRODUCT(--($CR$7:$FW$7&gt;=GR$5),--($CR$7:$FW$7&lt;=GR$6),$CR154:$FW154)</f>
        <v>0</v>
      </c>
    </row>
    <row r="155" spans="2:200" x14ac:dyDescent="0.2">
      <c r="B155" s="141"/>
      <c r="C155" s="141"/>
      <c r="D155" s="141"/>
      <c r="E155" s="141"/>
      <c r="F155" s="141"/>
      <c r="G155" s="141"/>
      <c r="H155" s="142"/>
      <c r="I155" s="126"/>
      <c r="J155" s="143"/>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3"/>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c r="EE155" s="145"/>
      <c r="EF155" s="145"/>
      <c r="EG155" s="145"/>
      <c r="EH155" s="145"/>
      <c r="EI155" s="145"/>
      <c r="EJ155" s="145"/>
      <c r="EK155" s="145"/>
      <c r="EL155" s="145"/>
      <c r="EM155" s="145"/>
      <c r="EN155" s="145"/>
      <c r="EO155" s="145"/>
      <c r="EP155" s="145"/>
      <c r="EQ155" s="145"/>
      <c r="ER155" s="145"/>
      <c r="ES155" s="145"/>
      <c r="ET155" s="145"/>
      <c r="EU155" s="145"/>
      <c r="EV155" s="145"/>
      <c r="EW155" s="145"/>
      <c r="EX155" s="145"/>
      <c r="EY155" s="145"/>
      <c r="EZ155" s="145"/>
      <c r="FA155" s="145"/>
      <c r="FB155" s="145"/>
      <c r="FC155" s="145"/>
      <c r="FD155" s="145"/>
      <c r="FE155" s="145"/>
      <c r="FF155" s="145"/>
      <c r="FG155" s="145"/>
      <c r="FH155" s="145"/>
      <c r="FI155" s="145"/>
      <c r="FJ155" s="145"/>
      <c r="FK155" s="145"/>
      <c r="FL155" s="145"/>
      <c r="FM155" s="145"/>
      <c r="FN155" s="145"/>
      <c r="FO155" s="145"/>
      <c r="FP155" s="145"/>
      <c r="FQ155" s="145"/>
      <c r="FR155" s="145"/>
      <c r="FS155" s="145"/>
      <c r="FT155" s="145"/>
      <c r="FU155" s="145"/>
      <c r="FV155" s="145"/>
      <c r="FW155" s="145"/>
      <c r="FX155" s="143"/>
      <c r="FY155" s="146">
        <f>_xlfn.XLOOKUP($E155,'Key assumptions'!$B$112:$B$120,'Key assumptions'!$C$112:$C$120,0)</f>
        <v>0</v>
      </c>
      <c r="FZ155" s="146" cm="1">
        <f t="array" ref="FZ155">IF($FY155=0,0,_xlfn.IFS($FY155='Key assumptions'!$C$120,_xlfn.XLOOKUP(LEFT(FZ$7,6),Inflation_Year,Inflation_NominaltoReal),TRUE,_xlfn.XLOOKUP($FY155,Inflation_Year,NominaltoReal)))</f>
        <v>0</v>
      </c>
      <c r="GA155" s="146" cm="1">
        <f t="array" ref="GA155">IF($FY155=0,0,_xlfn.IFS($FY155='Key assumptions'!$C$120,_xlfn.XLOOKUP(LEFT(GA$7,6),Inflation_Year,Inflation_NominaltoReal),TRUE,_xlfn.XLOOKUP($FY155,Inflation_Year,NominaltoReal)))</f>
        <v>0</v>
      </c>
      <c r="GB155" s="146" cm="1">
        <f t="array" ref="GB155">IF($FY155=0,0,_xlfn.IFS($FY155='Key assumptions'!$C$120,_xlfn.XLOOKUP(LEFT(GB$7,6),Inflation_Year,Inflation_NominaltoReal),TRUE,_xlfn.XLOOKUP($FY155,Inflation_Year,NominaltoReal)))</f>
        <v>0</v>
      </c>
      <c r="GC155" s="146" cm="1">
        <f t="array" ref="GC155">IF($FY155=0,0,_xlfn.IFS($FY155='Key assumptions'!$C$120,_xlfn.XLOOKUP(LEFT(GC$7,6),Inflation_Year,Inflation_NominaltoReal),TRUE,_xlfn.XLOOKUP($FY155,Inflation_Year,NominaltoReal)))</f>
        <v>0</v>
      </c>
      <c r="GD155" s="146" cm="1">
        <f t="array" ref="GD155">IF($FY155=0,0,_xlfn.IFS($FY155='Key assumptions'!$C$120,_xlfn.XLOOKUP(LEFT(GD$7,6),Inflation_Year,Inflation_NominaltoReal),TRUE,_xlfn.XLOOKUP($FY155,Inflation_Year,NominaltoReal)))</f>
        <v>0</v>
      </c>
      <c r="GE155" s="146" cm="1">
        <f t="array" ref="GE155">IF($FY155=0,0,_xlfn.IFS($FY155='Key assumptions'!$C$120,_xlfn.XLOOKUP(LEFT(GE$7,6),Inflation_Year,Inflation_NominaltoReal),TRUE,_xlfn.XLOOKUP($FY155,Inflation_Year,NominaltoReal)))</f>
        <v>0</v>
      </c>
      <c r="GF155" s="146" cm="1">
        <f t="array" ref="GF155">IF($FY155=0,0,_xlfn.IFS($FY155='Key assumptions'!$C$120,_xlfn.XLOOKUP(LEFT(GF$7,6),Inflation_Year,Inflation_NominaltoReal),TRUE,_xlfn.XLOOKUP($FY155,Inflation_Year,NominaltoReal)))</f>
        <v>0</v>
      </c>
      <c r="GG155" s="143"/>
      <c r="GH155" s="145" cm="1">
        <f t="array" ref="GH155">SUMPRODUCT(--($CR$7:$FW$7&gt;=GH$5),--($CR$7:$FW$7&lt;=GH$6),$CR155:$FW155)*FZ155</f>
        <v>0</v>
      </c>
      <c r="GI155" s="145" cm="1">
        <f t="array" ref="GI155">SUMPRODUCT(--($CR$7:$FW$7&gt;=GI$5),--($CR$7:$FW$7&lt;=GI$6),$CR155:$FW155)*GA155</f>
        <v>0</v>
      </c>
      <c r="GJ155" s="145" cm="1">
        <f t="array" ref="GJ155">SUMPRODUCT(--($CR$7:$FW$7&gt;=GJ$5),--($CR$7:$FW$7&lt;=GJ$6),$CR155:$FW155)*GB155</f>
        <v>0</v>
      </c>
      <c r="GK155" s="145" cm="1">
        <f t="array" ref="GK155">SUMPRODUCT(--($CR$7:$FW$7&gt;=GK$5),--($CR$7:$FW$7&lt;=GK$6),$CR155:$FW155)*GC155</f>
        <v>0</v>
      </c>
      <c r="GL155" s="145" cm="1">
        <f t="array" ref="GL155">SUMPRODUCT(--($CR$7:$FW$7&gt;=GL$5),--($CR$7:$FW$7&lt;=GL$6),$CR155:$FW155)*GD155</f>
        <v>0</v>
      </c>
      <c r="GM155" s="145" cm="1">
        <f t="array" ref="GM155">SUMPRODUCT(--($CR$7:$FW$7&gt;=GM$5),--($CR$7:$FW$7&lt;=GM$6),$CR155:$FW155)*GE155</f>
        <v>0</v>
      </c>
      <c r="GN155" s="145" cm="1">
        <f t="array" ref="GN155">SUMPRODUCT(--($CR$7:$FW$7&gt;=GN$5),--($CR$7:$FW$7&lt;=GN$6),$CR155:$FW155)*GF155</f>
        <v>0</v>
      </c>
      <c r="GO155" s="145">
        <f t="shared" si="2"/>
        <v>0</v>
      </c>
      <c r="GP155" s="87"/>
      <c r="GR155" s="145" cm="1">
        <f t="array" ref="GR155">SUMPRODUCT(--($CR$7:$FW$7&gt;=GR$5),--($CR$7:$FW$7&lt;=GR$6),$CR155:$FW155)</f>
        <v>0</v>
      </c>
    </row>
    <row r="156" spans="2:200" x14ac:dyDescent="0.2">
      <c r="B156" s="141"/>
      <c r="C156" s="141"/>
      <c r="D156" s="141"/>
      <c r="E156" s="141"/>
      <c r="F156" s="141"/>
      <c r="G156" s="141"/>
      <c r="H156" s="142"/>
      <c r="I156" s="126"/>
      <c r="J156" s="143"/>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3"/>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c r="EE156" s="145"/>
      <c r="EF156" s="145"/>
      <c r="EG156" s="145"/>
      <c r="EH156" s="145"/>
      <c r="EI156" s="145"/>
      <c r="EJ156" s="145"/>
      <c r="EK156" s="145"/>
      <c r="EL156" s="145"/>
      <c r="EM156" s="145"/>
      <c r="EN156" s="145"/>
      <c r="EO156" s="145"/>
      <c r="EP156" s="145"/>
      <c r="EQ156" s="145"/>
      <c r="ER156" s="145"/>
      <c r="ES156" s="145"/>
      <c r="ET156" s="145"/>
      <c r="EU156" s="145"/>
      <c r="EV156" s="145"/>
      <c r="EW156" s="145"/>
      <c r="EX156" s="145"/>
      <c r="EY156" s="145"/>
      <c r="EZ156" s="145"/>
      <c r="FA156" s="145"/>
      <c r="FB156" s="145"/>
      <c r="FC156" s="145"/>
      <c r="FD156" s="145"/>
      <c r="FE156" s="145"/>
      <c r="FF156" s="145"/>
      <c r="FG156" s="145"/>
      <c r="FH156" s="145"/>
      <c r="FI156" s="145"/>
      <c r="FJ156" s="145"/>
      <c r="FK156" s="145"/>
      <c r="FL156" s="145"/>
      <c r="FM156" s="145"/>
      <c r="FN156" s="145"/>
      <c r="FO156" s="145"/>
      <c r="FP156" s="145"/>
      <c r="FQ156" s="145"/>
      <c r="FR156" s="145"/>
      <c r="FS156" s="145"/>
      <c r="FT156" s="145"/>
      <c r="FU156" s="145"/>
      <c r="FV156" s="145"/>
      <c r="FW156" s="145"/>
      <c r="FX156" s="143"/>
      <c r="FY156" s="146">
        <f>_xlfn.XLOOKUP($E156,'Key assumptions'!$B$112:$B$120,'Key assumptions'!$C$112:$C$120,0)</f>
        <v>0</v>
      </c>
      <c r="FZ156" s="146" cm="1">
        <f t="array" ref="FZ156">IF($FY156=0,0,_xlfn.IFS($FY156='Key assumptions'!$C$120,_xlfn.XLOOKUP(LEFT(FZ$7,6),Inflation_Year,Inflation_NominaltoReal),TRUE,_xlfn.XLOOKUP($FY156,Inflation_Year,NominaltoReal)))</f>
        <v>0</v>
      </c>
      <c r="GA156" s="146" cm="1">
        <f t="array" ref="GA156">IF($FY156=0,0,_xlfn.IFS($FY156='Key assumptions'!$C$120,_xlfn.XLOOKUP(LEFT(GA$7,6),Inflation_Year,Inflation_NominaltoReal),TRUE,_xlfn.XLOOKUP($FY156,Inflation_Year,NominaltoReal)))</f>
        <v>0</v>
      </c>
      <c r="GB156" s="146" cm="1">
        <f t="array" ref="GB156">IF($FY156=0,0,_xlfn.IFS($FY156='Key assumptions'!$C$120,_xlfn.XLOOKUP(LEFT(GB$7,6),Inflation_Year,Inflation_NominaltoReal),TRUE,_xlfn.XLOOKUP($FY156,Inflation_Year,NominaltoReal)))</f>
        <v>0</v>
      </c>
      <c r="GC156" s="146" cm="1">
        <f t="array" ref="GC156">IF($FY156=0,0,_xlfn.IFS($FY156='Key assumptions'!$C$120,_xlfn.XLOOKUP(LEFT(GC$7,6),Inflation_Year,Inflation_NominaltoReal),TRUE,_xlfn.XLOOKUP($FY156,Inflation_Year,NominaltoReal)))</f>
        <v>0</v>
      </c>
      <c r="GD156" s="146" cm="1">
        <f t="array" ref="GD156">IF($FY156=0,0,_xlfn.IFS($FY156='Key assumptions'!$C$120,_xlfn.XLOOKUP(LEFT(GD$7,6),Inflation_Year,Inflation_NominaltoReal),TRUE,_xlfn.XLOOKUP($FY156,Inflation_Year,NominaltoReal)))</f>
        <v>0</v>
      </c>
      <c r="GE156" s="146" cm="1">
        <f t="array" ref="GE156">IF($FY156=0,0,_xlfn.IFS($FY156='Key assumptions'!$C$120,_xlfn.XLOOKUP(LEFT(GE$7,6),Inflation_Year,Inflation_NominaltoReal),TRUE,_xlfn.XLOOKUP($FY156,Inflation_Year,NominaltoReal)))</f>
        <v>0</v>
      </c>
      <c r="GF156" s="146" cm="1">
        <f t="array" ref="GF156">IF($FY156=0,0,_xlfn.IFS($FY156='Key assumptions'!$C$120,_xlfn.XLOOKUP(LEFT(GF$7,6),Inflation_Year,Inflation_NominaltoReal),TRUE,_xlfn.XLOOKUP($FY156,Inflation_Year,NominaltoReal)))</f>
        <v>0</v>
      </c>
      <c r="GG156" s="143"/>
      <c r="GH156" s="145" cm="1">
        <f t="array" ref="GH156">SUMPRODUCT(--($CR$7:$FW$7&gt;=GH$5),--($CR$7:$FW$7&lt;=GH$6),$CR156:$FW156)*FZ156</f>
        <v>0</v>
      </c>
      <c r="GI156" s="145" cm="1">
        <f t="array" ref="GI156">SUMPRODUCT(--($CR$7:$FW$7&gt;=GI$5),--($CR$7:$FW$7&lt;=GI$6),$CR156:$FW156)*GA156</f>
        <v>0</v>
      </c>
      <c r="GJ156" s="145" cm="1">
        <f t="array" ref="GJ156">SUMPRODUCT(--($CR$7:$FW$7&gt;=GJ$5),--($CR$7:$FW$7&lt;=GJ$6),$CR156:$FW156)*GB156</f>
        <v>0</v>
      </c>
      <c r="GK156" s="145" cm="1">
        <f t="array" ref="GK156">SUMPRODUCT(--($CR$7:$FW$7&gt;=GK$5),--($CR$7:$FW$7&lt;=GK$6),$CR156:$FW156)*GC156</f>
        <v>0</v>
      </c>
      <c r="GL156" s="145" cm="1">
        <f t="array" ref="GL156">SUMPRODUCT(--($CR$7:$FW$7&gt;=GL$5),--($CR$7:$FW$7&lt;=GL$6),$CR156:$FW156)*GD156</f>
        <v>0</v>
      </c>
      <c r="GM156" s="145" cm="1">
        <f t="array" ref="GM156">SUMPRODUCT(--($CR$7:$FW$7&gt;=GM$5),--($CR$7:$FW$7&lt;=GM$6),$CR156:$FW156)*GE156</f>
        <v>0</v>
      </c>
      <c r="GN156" s="145" cm="1">
        <f t="array" ref="GN156">SUMPRODUCT(--($CR$7:$FW$7&gt;=GN$5),--($CR$7:$FW$7&lt;=GN$6),$CR156:$FW156)*GF156</f>
        <v>0</v>
      </c>
      <c r="GO156" s="145">
        <f t="shared" si="2"/>
        <v>0</v>
      </c>
      <c r="GP156" s="87"/>
      <c r="GR156" s="145" cm="1">
        <f t="array" ref="GR156">SUMPRODUCT(--($CR$7:$FW$7&gt;=GR$5),--($CR$7:$FW$7&lt;=GR$6),$CR156:$FW156)</f>
        <v>0</v>
      </c>
    </row>
    <row r="157" spans="2:200" x14ac:dyDescent="0.2">
      <c r="B157" s="141"/>
      <c r="C157" s="141"/>
      <c r="D157" s="141"/>
      <c r="E157" s="141"/>
      <c r="F157" s="141"/>
      <c r="G157" s="141"/>
      <c r="H157" s="142"/>
      <c r="I157" s="126"/>
      <c r="J157" s="143"/>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3"/>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c r="EE157" s="145"/>
      <c r="EF157" s="145"/>
      <c r="EG157" s="145"/>
      <c r="EH157" s="145"/>
      <c r="EI157" s="145"/>
      <c r="EJ157" s="145"/>
      <c r="EK157" s="145"/>
      <c r="EL157" s="145"/>
      <c r="EM157" s="145"/>
      <c r="EN157" s="145"/>
      <c r="EO157" s="145"/>
      <c r="EP157" s="145"/>
      <c r="EQ157" s="145"/>
      <c r="ER157" s="145"/>
      <c r="ES157" s="145"/>
      <c r="ET157" s="145"/>
      <c r="EU157" s="145"/>
      <c r="EV157" s="145"/>
      <c r="EW157" s="145"/>
      <c r="EX157" s="145"/>
      <c r="EY157" s="145"/>
      <c r="EZ157" s="145"/>
      <c r="FA157" s="145"/>
      <c r="FB157" s="145"/>
      <c r="FC157" s="145"/>
      <c r="FD157" s="145"/>
      <c r="FE157" s="145"/>
      <c r="FF157" s="145"/>
      <c r="FG157" s="145"/>
      <c r="FH157" s="145"/>
      <c r="FI157" s="145"/>
      <c r="FJ157" s="145"/>
      <c r="FK157" s="145"/>
      <c r="FL157" s="145"/>
      <c r="FM157" s="145"/>
      <c r="FN157" s="145"/>
      <c r="FO157" s="145"/>
      <c r="FP157" s="145"/>
      <c r="FQ157" s="145"/>
      <c r="FR157" s="145"/>
      <c r="FS157" s="145"/>
      <c r="FT157" s="145"/>
      <c r="FU157" s="145"/>
      <c r="FV157" s="145"/>
      <c r="FW157" s="145"/>
      <c r="FX157" s="143"/>
      <c r="FY157" s="146">
        <f>_xlfn.XLOOKUP($E157,'Key assumptions'!$B$112:$B$120,'Key assumptions'!$C$112:$C$120,0)</f>
        <v>0</v>
      </c>
      <c r="FZ157" s="146" cm="1">
        <f t="array" ref="FZ157">IF($FY157=0,0,_xlfn.IFS($FY157='Key assumptions'!$C$120,_xlfn.XLOOKUP(LEFT(FZ$7,6),Inflation_Year,Inflation_NominaltoReal),TRUE,_xlfn.XLOOKUP($FY157,Inflation_Year,NominaltoReal)))</f>
        <v>0</v>
      </c>
      <c r="GA157" s="146" cm="1">
        <f t="array" ref="GA157">IF($FY157=0,0,_xlfn.IFS($FY157='Key assumptions'!$C$120,_xlfn.XLOOKUP(LEFT(GA$7,6),Inflation_Year,Inflation_NominaltoReal),TRUE,_xlfn.XLOOKUP($FY157,Inflation_Year,NominaltoReal)))</f>
        <v>0</v>
      </c>
      <c r="GB157" s="146" cm="1">
        <f t="array" ref="GB157">IF($FY157=0,0,_xlfn.IFS($FY157='Key assumptions'!$C$120,_xlfn.XLOOKUP(LEFT(GB$7,6),Inflation_Year,Inflation_NominaltoReal),TRUE,_xlfn.XLOOKUP($FY157,Inflation_Year,NominaltoReal)))</f>
        <v>0</v>
      </c>
      <c r="GC157" s="146" cm="1">
        <f t="array" ref="GC157">IF($FY157=0,0,_xlfn.IFS($FY157='Key assumptions'!$C$120,_xlfn.XLOOKUP(LEFT(GC$7,6),Inflation_Year,Inflation_NominaltoReal),TRUE,_xlfn.XLOOKUP($FY157,Inflation_Year,NominaltoReal)))</f>
        <v>0</v>
      </c>
      <c r="GD157" s="146" cm="1">
        <f t="array" ref="GD157">IF($FY157=0,0,_xlfn.IFS($FY157='Key assumptions'!$C$120,_xlfn.XLOOKUP(LEFT(GD$7,6),Inflation_Year,Inflation_NominaltoReal),TRUE,_xlfn.XLOOKUP($FY157,Inflation_Year,NominaltoReal)))</f>
        <v>0</v>
      </c>
      <c r="GE157" s="146" cm="1">
        <f t="array" ref="GE157">IF($FY157=0,0,_xlfn.IFS($FY157='Key assumptions'!$C$120,_xlfn.XLOOKUP(LEFT(GE$7,6),Inflation_Year,Inflation_NominaltoReal),TRUE,_xlfn.XLOOKUP($FY157,Inflation_Year,NominaltoReal)))</f>
        <v>0</v>
      </c>
      <c r="GF157" s="146" cm="1">
        <f t="array" ref="GF157">IF($FY157=0,0,_xlfn.IFS($FY157='Key assumptions'!$C$120,_xlfn.XLOOKUP(LEFT(GF$7,6),Inflation_Year,Inflation_NominaltoReal),TRUE,_xlfn.XLOOKUP($FY157,Inflation_Year,NominaltoReal)))</f>
        <v>0</v>
      </c>
      <c r="GG157" s="143"/>
      <c r="GH157" s="145" cm="1">
        <f t="array" ref="GH157">SUMPRODUCT(--($CR$7:$FW$7&gt;=GH$5),--($CR$7:$FW$7&lt;=GH$6),$CR157:$FW157)*FZ157</f>
        <v>0</v>
      </c>
      <c r="GI157" s="145" cm="1">
        <f t="array" ref="GI157">SUMPRODUCT(--($CR$7:$FW$7&gt;=GI$5),--($CR$7:$FW$7&lt;=GI$6),$CR157:$FW157)*GA157</f>
        <v>0</v>
      </c>
      <c r="GJ157" s="145" cm="1">
        <f t="array" ref="GJ157">SUMPRODUCT(--($CR$7:$FW$7&gt;=GJ$5),--($CR$7:$FW$7&lt;=GJ$6),$CR157:$FW157)*GB157</f>
        <v>0</v>
      </c>
      <c r="GK157" s="145" cm="1">
        <f t="array" ref="GK157">SUMPRODUCT(--($CR$7:$FW$7&gt;=GK$5),--($CR$7:$FW$7&lt;=GK$6),$CR157:$FW157)*GC157</f>
        <v>0</v>
      </c>
      <c r="GL157" s="145" cm="1">
        <f t="array" ref="GL157">SUMPRODUCT(--($CR$7:$FW$7&gt;=GL$5),--($CR$7:$FW$7&lt;=GL$6),$CR157:$FW157)*GD157</f>
        <v>0</v>
      </c>
      <c r="GM157" s="145" cm="1">
        <f t="array" ref="GM157">SUMPRODUCT(--($CR$7:$FW$7&gt;=GM$5),--($CR$7:$FW$7&lt;=GM$6),$CR157:$FW157)*GE157</f>
        <v>0</v>
      </c>
      <c r="GN157" s="145" cm="1">
        <f t="array" ref="GN157">SUMPRODUCT(--($CR$7:$FW$7&gt;=GN$5),--($CR$7:$FW$7&lt;=GN$6),$CR157:$FW157)*GF157</f>
        <v>0</v>
      </c>
      <c r="GO157" s="145">
        <f t="shared" si="2"/>
        <v>0</v>
      </c>
      <c r="GP157" s="87"/>
      <c r="GR157" s="145" cm="1">
        <f t="array" ref="GR157">SUMPRODUCT(--($CR$7:$FW$7&gt;=GR$5),--($CR$7:$FW$7&lt;=GR$6),$CR157:$FW157)</f>
        <v>0</v>
      </c>
    </row>
    <row r="158" spans="2:200" x14ac:dyDescent="0.2">
      <c r="B158" s="141"/>
      <c r="C158" s="141"/>
      <c r="D158" s="141"/>
      <c r="E158" s="141"/>
      <c r="F158" s="141"/>
      <c r="G158" s="141"/>
      <c r="H158" s="142"/>
      <c r="I158" s="126"/>
      <c r="J158" s="143"/>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3"/>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c r="EE158" s="145"/>
      <c r="EF158" s="145"/>
      <c r="EG158" s="145"/>
      <c r="EH158" s="145"/>
      <c r="EI158" s="145"/>
      <c r="EJ158" s="145"/>
      <c r="EK158" s="145"/>
      <c r="EL158" s="145"/>
      <c r="EM158" s="145"/>
      <c r="EN158" s="145"/>
      <c r="EO158" s="145"/>
      <c r="EP158" s="145"/>
      <c r="EQ158" s="145"/>
      <c r="ER158" s="145"/>
      <c r="ES158" s="145"/>
      <c r="ET158" s="145"/>
      <c r="EU158" s="145"/>
      <c r="EV158" s="145"/>
      <c r="EW158" s="145"/>
      <c r="EX158" s="145"/>
      <c r="EY158" s="145"/>
      <c r="EZ158" s="145"/>
      <c r="FA158" s="145"/>
      <c r="FB158" s="145"/>
      <c r="FC158" s="145"/>
      <c r="FD158" s="145"/>
      <c r="FE158" s="145"/>
      <c r="FF158" s="145"/>
      <c r="FG158" s="145"/>
      <c r="FH158" s="145"/>
      <c r="FI158" s="145"/>
      <c r="FJ158" s="145"/>
      <c r="FK158" s="145"/>
      <c r="FL158" s="145"/>
      <c r="FM158" s="145"/>
      <c r="FN158" s="145"/>
      <c r="FO158" s="145"/>
      <c r="FP158" s="145"/>
      <c r="FQ158" s="145"/>
      <c r="FR158" s="145"/>
      <c r="FS158" s="145"/>
      <c r="FT158" s="145"/>
      <c r="FU158" s="145"/>
      <c r="FV158" s="145"/>
      <c r="FW158" s="145"/>
      <c r="FX158" s="143"/>
      <c r="FY158" s="146">
        <f>_xlfn.XLOOKUP($E158,'Key assumptions'!$B$112:$B$120,'Key assumptions'!$C$112:$C$120,0)</f>
        <v>0</v>
      </c>
      <c r="FZ158" s="146" cm="1">
        <f t="array" ref="FZ158">IF($FY158=0,0,_xlfn.IFS($FY158='Key assumptions'!$C$120,_xlfn.XLOOKUP(LEFT(FZ$7,6),Inflation_Year,Inflation_NominaltoReal),TRUE,_xlfn.XLOOKUP($FY158,Inflation_Year,NominaltoReal)))</f>
        <v>0</v>
      </c>
      <c r="GA158" s="146" cm="1">
        <f t="array" ref="GA158">IF($FY158=0,0,_xlfn.IFS($FY158='Key assumptions'!$C$120,_xlfn.XLOOKUP(LEFT(GA$7,6),Inflation_Year,Inflation_NominaltoReal),TRUE,_xlfn.XLOOKUP($FY158,Inflation_Year,NominaltoReal)))</f>
        <v>0</v>
      </c>
      <c r="GB158" s="146" cm="1">
        <f t="array" ref="GB158">IF($FY158=0,0,_xlfn.IFS($FY158='Key assumptions'!$C$120,_xlfn.XLOOKUP(LEFT(GB$7,6),Inflation_Year,Inflation_NominaltoReal),TRUE,_xlfn.XLOOKUP($FY158,Inflation_Year,NominaltoReal)))</f>
        <v>0</v>
      </c>
      <c r="GC158" s="146" cm="1">
        <f t="array" ref="GC158">IF($FY158=0,0,_xlfn.IFS($FY158='Key assumptions'!$C$120,_xlfn.XLOOKUP(LEFT(GC$7,6),Inflation_Year,Inflation_NominaltoReal),TRUE,_xlfn.XLOOKUP($FY158,Inflation_Year,NominaltoReal)))</f>
        <v>0</v>
      </c>
      <c r="GD158" s="146" cm="1">
        <f t="array" ref="GD158">IF($FY158=0,0,_xlfn.IFS($FY158='Key assumptions'!$C$120,_xlfn.XLOOKUP(LEFT(GD$7,6),Inflation_Year,Inflation_NominaltoReal),TRUE,_xlfn.XLOOKUP($FY158,Inflation_Year,NominaltoReal)))</f>
        <v>0</v>
      </c>
      <c r="GE158" s="146" cm="1">
        <f t="array" ref="GE158">IF($FY158=0,0,_xlfn.IFS($FY158='Key assumptions'!$C$120,_xlfn.XLOOKUP(LEFT(GE$7,6),Inflation_Year,Inflation_NominaltoReal),TRUE,_xlfn.XLOOKUP($FY158,Inflation_Year,NominaltoReal)))</f>
        <v>0</v>
      </c>
      <c r="GF158" s="146" cm="1">
        <f t="array" ref="GF158">IF($FY158=0,0,_xlfn.IFS($FY158='Key assumptions'!$C$120,_xlfn.XLOOKUP(LEFT(GF$7,6),Inflation_Year,Inflation_NominaltoReal),TRUE,_xlfn.XLOOKUP($FY158,Inflation_Year,NominaltoReal)))</f>
        <v>0</v>
      </c>
      <c r="GG158" s="143"/>
      <c r="GH158" s="145" cm="1">
        <f t="array" ref="GH158">SUMPRODUCT(--($CR$7:$FW$7&gt;=GH$5),--($CR$7:$FW$7&lt;=GH$6),$CR158:$FW158)*FZ158</f>
        <v>0</v>
      </c>
      <c r="GI158" s="145" cm="1">
        <f t="array" ref="GI158">SUMPRODUCT(--($CR$7:$FW$7&gt;=GI$5),--($CR$7:$FW$7&lt;=GI$6),$CR158:$FW158)*GA158</f>
        <v>0</v>
      </c>
      <c r="GJ158" s="145" cm="1">
        <f t="array" ref="GJ158">SUMPRODUCT(--($CR$7:$FW$7&gt;=GJ$5),--($CR$7:$FW$7&lt;=GJ$6),$CR158:$FW158)*GB158</f>
        <v>0</v>
      </c>
      <c r="GK158" s="145" cm="1">
        <f t="array" ref="GK158">SUMPRODUCT(--($CR$7:$FW$7&gt;=GK$5),--($CR$7:$FW$7&lt;=GK$6),$CR158:$FW158)*GC158</f>
        <v>0</v>
      </c>
      <c r="GL158" s="145" cm="1">
        <f t="array" ref="GL158">SUMPRODUCT(--($CR$7:$FW$7&gt;=GL$5),--($CR$7:$FW$7&lt;=GL$6),$CR158:$FW158)*GD158</f>
        <v>0</v>
      </c>
      <c r="GM158" s="145" cm="1">
        <f t="array" ref="GM158">SUMPRODUCT(--($CR$7:$FW$7&gt;=GM$5),--($CR$7:$FW$7&lt;=GM$6),$CR158:$FW158)*GE158</f>
        <v>0</v>
      </c>
      <c r="GN158" s="145" cm="1">
        <f t="array" ref="GN158">SUMPRODUCT(--($CR$7:$FW$7&gt;=GN$5),--($CR$7:$FW$7&lt;=GN$6),$CR158:$FW158)*GF158</f>
        <v>0</v>
      </c>
      <c r="GO158" s="145">
        <f t="shared" si="2"/>
        <v>0</v>
      </c>
      <c r="GP158" s="87"/>
      <c r="GR158" s="145" cm="1">
        <f t="array" ref="GR158">SUMPRODUCT(--($CR$7:$FW$7&gt;=GR$5),--($CR$7:$FW$7&lt;=GR$6),$CR158:$FW158)</f>
        <v>0</v>
      </c>
    </row>
    <row r="159" spans="2:200" x14ac:dyDescent="0.2">
      <c r="B159" s="141"/>
      <c r="C159" s="141"/>
      <c r="D159" s="141"/>
      <c r="E159" s="141"/>
      <c r="F159" s="141"/>
      <c r="G159" s="141"/>
      <c r="H159" s="142"/>
      <c r="I159" s="126"/>
      <c r="J159" s="143"/>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3"/>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c r="EE159" s="145"/>
      <c r="EF159" s="145"/>
      <c r="EG159" s="145"/>
      <c r="EH159" s="145"/>
      <c r="EI159" s="145"/>
      <c r="EJ159" s="145"/>
      <c r="EK159" s="145"/>
      <c r="EL159" s="145"/>
      <c r="EM159" s="145"/>
      <c r="EN159" s="145"/>
      <c r="EO159" s="145"/>
      <c r="EP159" s="145"/>
      <c r="EQ159" s="145"/>
      <c r="ER159" s="145"/>
      <c r="ES159" s="145"/>
      <c r="ET159" s="145"/>
      <c r="EU159" s="145"/>
      <c r="EV159" s="145"/>
      <c r="EW159" s="145"/>
      <c r="EX159" s="145"/>
      <c r="EY159" s="145"/>
      <c r="EZ159" s="145"/>
      <c r="FA159" s="145"/>
      <c r="FB159" s="145"/>
      <c r="FC159" s="145"/>
      <c r="FD159" s="145"/>
      <c r="FE159" s="145"/>
      <c r="FF159" s="145"/>
      <c r="FG159" s="145"/>
      <c r="FH159" s="145"/>
      <c r="FI159" s="145"/>
      <c r="FJ159" s="145"/>
      <c r="FK159" s="145"/>
      <c r="FL159" s="145"/>
      <c r="FM159" s="145"/>
      <c r="FN159" s="145"/>
      <c r="FO159" s="145"/>
      <c r="FP159" s="145"/>
      <c r="FQ159" s="145"/>
      <c r="FR159" s="145"/>
      <c r="FS159" s="145"/>
      <c r="FT159" s="145"/>
      <c r="FU159" s="145"/>
      <c r="FV159" s="145"/>
      <c r="FW159" s="145"/>
      <c r="FX159" s="143"/>
      <c r="FY159" s="146">
        <f>_xlfn.XLOOKUP($E159,'Key assumptions'!$B$112:$B$120,'Key assumptions'!$C$112:$C$120,0)</f>
        <v>0</v>
      </c>
      <c r="FZ159" s="146" cm="1">
        <f t="array" ref="FZ159">IF($FY159=0,0,_xlfn.IFS($FY159='Key assumptions'!$C$120,_xlfn.XLOOKUP(LEFT(FZ$7,6),Inflation_Year,Inflation_NominaltoReal),TRUE,_xlfn.XLOOKUP($FY159,Inflation_Year,NominaltoReal)))</f>
        <v>0</v>
      </c>
      <c r="GA159" s="146" cm="1">
        <f t="array" ref="GA159">IF($FY159=0,0,_xlfn.IFS($FY159='Key assumptions'!$C$120,_xlfn.XLOOKUP(LEFT(GA$7,6),Inflation_Year,Inflation_NominaltoReal),TRUE,_xlfn.XLOOKUP($FY159,Inflation_Year,NominaltoReal)))</f>
        <v>0</v>
      </c>
      <c r="GB159" s="146" cm="1">
        <f t="array" ref="GB159">IF($FY159=0,0,_xlfn.IFS($FY159='Key assumptions'!$C$120,_xlfn.XLOOKUP(LEFT(GB$7,6),Inflation_Year,Inflation_NominaltoReal),TRUE,_xlfn.XLOOKUP($FY159,Inflation_Year,NominaltoReal)))</f>
        <v>0</v>
      </c>
      <c r="GC159" s="146" cm="1">
        <f t="array" ref="GC159">IF($FY159=0,0,_xlfn.IFS($FY159='Key assumptions'!$C$120,_xlfn.XLOOKUP(LEFT(GC$7,6),Inflation_Year,Inflation_NominaltoReal),TRUE,_xlfn.XLOOKUP($FY159,Inflation_Year,NominaltoReal)))</f>
        <v>0</v>
      </c>
      <c r="GD159" s="146" cm="1">
        <f t="array" ref="GD159">IF($FY159=0,0,_xlfn.IFS($FY159='Key assumptions'!$C$120,_xlfn.XLOOKUP(LEFT(GD$7,6),Inflation_Year,Inflation_NominaltoReal),TRUE,_xlfn.XLOOKUP($FY159,Inflation_Year,NominaltoReal)))</f>
        <v>0</v>
      </c>
      <c r="GE159" s="146" cm="1">
        <f t="array" ref="GE159">IF($FY159=0,0,_xlfn.IFS($FY159='Key assumptions'!$C$120,_xlfn.XLOOKUP(LEFT(GE$7,6),Inflation_Year,Inflation_NominaltoReal),TRUE,_xlfn.XLOOKUP($FY159,Inflation_Year,NominaltoReal)))</f>
        <v>0</v>
      </c>
      <c r="GF159" s="146" cm="1">
        <f t="array" ref="GF159">IF($FY159=0,0,_xlfn.IFS($FY159='Key assumptions'!$C$120,_xlfn.XLOOKUP(LEFT(GF$7,6),Inflation_Year,Inflation_NominaltoReal),TRUE,_xlfn.XLOOKUP($FY159,Inflation_Year,NominaltoReal)))</f>
        <v>0</v>
      </c>
      <c r="GG159" s="143"/>
      <c r="GH159" s="145" cm="1">
        <f t="array" ref="GH159">SUMPRODUCT(--($CR$7:$FW$7&gt;=GH$5),--($CR$7:$FW$7&lt;=GH$6),$CR159:$FW159)*FZ159</f>
        <v>0</v>
      </c>
      <c r="GI159" s="145" cm="1">
        <f t="array" ref="GI159">SUMPRODUCT(--($CR$7:$FW$7&gt;=GI$5),--($CR$7:$FW$7&lt;=GI$6),$CR159:$FW159)*GA159</f>
        <v>0</v>
      </c>
      <c r="GJ159" s="145" cm="1">
        <f t="array" ref="GJ159">SUMPRODUCT(--($CR$7:$FW$7&gt;=GJ$5),--($CR$7:$FW$7&lt;=GJ$6),$CR159:$FW159)*GB159</f>
        <v>0</v>
      </c>
      <c r="GK159" s="145" cm="1">
        <f t="array" ref="GK159">SUMPRODUCT(--($CR$7:$FW$7&gt;=GK$5),--($CR$7:$FW$7&lt;=GK$6),$CR159:$FW159)*GC159</f>
        <v>0</v>
      </c>
      <c r="GL159" s="145" cm="1">
        <f t="array" ref="GL159">SUMPRODUCT(--($CR$7:$FW$7&gt;=GL$5),--($CR$7:$FW$7&lt;=GL$6),$CR159:$FW159)*GD159</f>
        <v>0</v>
      </c>
      <c r="GM159" s="145" cm="1">
        <f t="array" ref="GM159">SUMPRODUCT(--($CR$7:$FW$7&gt;=GM$5),--($CR$7:$FW$7&lt;=GM$6),$CR159:$FW159)*GE159</f>
        <v>0</v>
      </c>
      <c r="GN159" s="145" cm="1">
        <f t="array" ref="GN159">SUMPRODUCT(--($CR$7:$FW$7&gt;=GN$5),--($CR$7:$FW$7&lt;=GN$6),$CR159:$FW159)*GF159</f>
        <v>0</v>
      </c>
      <c r="GO159" s="145">
        <f t="shared" si="2"/>
        <v>0</v>
      </c>
      <c r="GP159" s="87"/>
      <c r="GR159" s="145" cm="1">
        <f t="array" ref="GR159">SUMPRODUCT(--($CR$7:$FW$7&gt;=GR$5),--($CR$7:$FW$7&lt;=GR$6),$CR159:$FW159)</f>
        <v>0</v>
      </c>
    </row>
    <row r="160" spans="2:200" x14ac:dyDescent="0.2">
      <c r="B160" s="141"/>
      <c r="C160" s="141"/>
      <c r="D160" s="141"/>
      <c r="E160" s="141"/>
      <c r="F160" s="141"/>
      <c r="G160" s="141"/>
      <c r="H160" s="142"/>
      <c r="I160" s="126"/>
      <c r="J160" s="143"/>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3"/>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c r="EE160" s="145"/>
      <c r="EF160" s="145"/>
      <c r="EG160" s="145"/>
      <c r="EH160" s="145"/>
      <c r="EI160" s="145"/>
      <c r="EJ160" s="145"/>
      <c r="EK160" s="145"/>
      <c r="EL160" s="145"/>
      <c r="EM160" s="145"/>
      <c r="EN160" s="145"/>
      <c r="EO160" s="145"/>
      <c r="EP160" s="145"/>
      <c r="EQ160" s="145"/>
      <c r="ER160" s="145"/>
      <c r="ES160" s="145"/>
      <c r="ET160" s="145"/>
      <c r="EU160" s="145"/>
      <c r="EV160" s="145"/>
      <c r="EW160" s="145"/>
      <c r="EX160" s="145"/>
      <c r="EY160" s="145"/>
      <c r="EZ160" s="145"/>
      <c r="FA160" s="145"/>
      <c r="FB160" s="145"/>
      <c r="FC160" s="145"/>
      <c r="FD160" s="145"/>
      <c r="FE160" s="145"/>
      <c r="FF160" s="145"/>
      <c r="FG160" s="145"/>
      <c r="FH160" s="145"/>
      <c r="FI160" s="145"/>
      <c r="FJ160" s="145"/>
      <c r="FK160" s="145"/>
      <c r="FL160" s="145"/>
      <c r="FM160" s="145"/>
      <c r="FN160" s="145"/>
      <c r="FO160" s="145"/>
      <c r="FP160" s="145"/>
      <c r="FQ160" s="145"/>
      <c r="FR160" s="145"/>
      <c r="FS160" s="145"/>
      <c r="FT160" s="145"/>
      <c r="FU160" s="145"/>
      <c r="FV160" s="145"/>
      <c r="FW160" s="145"/>
      <c r="FX160" s="143"/>
      <c r="FY160" s="146">
        <f>_xlfn.XLOOKUP($E160,'Key assumptions'!$B$112:$B$120,'Key assumptions'!$C$112:$C$120,0)</f>
        <v>0</v>
      </c>
      <c r="FZ160" s="146" cm="1">
        <f t="array" ref="FZ160">IF($FY160=0,0,_xlfn.IFS($FY160='Key assumptions'!$C$120,_xlfn.XLOOKUP(LEFT(FZ$7,6),Inflation_Year,Inflation_NominaltoReal),TRUE,_xlfn.XLOOKUP($FY160,Inflation_Year,NominaltoReal)))</f>
        <v>0</v>
      </c>
      <c r="GA160" s="146" cm="1">
        <f t="array" ref="GA160">IF($FY160=0,0,_xlfn.IFS($FY160='Key assumptions'!$C$120,_xlfn.XLOOKUP(LEFT(GA$7,6),Inflation_Year,Inflation_NominaltoReal),TRUE,_xlfn.XLOOKUP($FY160,Inflation_Year,NominaltoReal)))</f>
        <v>0</v>
      </c>
      <c r="GB160" s="146" cm="1">
        <f t="array" ref="GB160">IF($FY160=0,0,_xlfn.IFS($FY160='Key assumptions'!$C$120,_xlfn.XLOOKUP(LEFT(GB$7,6),Inflation_Year,Inflation_NominaltoReal),TRUE,_xlfn.XLOOKUP($FY160,Inflation_Year,NominaltoReal)))</f>
        <v>0</v>
      </c>
      <c r="GC160" s="146" cm="1">
        <f t="array" ref="GC160">IF($FY160=0,0,_xlfn.IFS($FY160='Key assumptions'!$C$120,_xlfn.XLOOKUP(LEFT(GC$7,6),Inflation_Year,Inflation_NominaltoReal),TRUE,_xlfn.XLOOKUP($FY160,Inflation_Year,NominaltoReal)))</f>
        <v>0</v>
      </c>
      <c r="GD160" s="146" cm="1">
        <f t="array" ref="GD160">IF($FY160=0,0,_xlfn.IFS($FY160='Key assumptions'!$C$120,_xlfn.XLOOKUP(LEFT(GD$7,6),Inflation_Year,Inflation_NominaltoReal),TRUE,_xlfn.XLOOKUP($FY160,Inflation_Year,NominaltoReal)))</f>
        <v>0</v>
      </c>
      <c r="GE160" s="146" cm="1">
        <f t="array" ref="GE160">IF($FY160=0,0,_xlfn.IFS($FY160='Key assumptions'!$C$120,_xlfn.XLOOKUP(LEFT(GE$7,6),Inflation_Year,Inflation_NominaltoReal),TRUE,_xlfn.XLOOKUP($FY160,Inflation_Year,NominaltoReal)))</f>
        <v>0</v>
      </c>
      <c r="GF160" s="146" cm="1">
        <f t="array" ref="GF160">IF($FY160=0,0,_xlfn.IFS($FY160='Key assumptions'!$C$120,_xlfn.XLOOKUP(LEFT(GF$7,6),Inflation_Year,Inflation_NominaltoReal),TRUE,_xlfn.XLOOKUP($FY160,Inflation_Year,NominaltoReal)))</f>
        <v>0</v>
      </c>
      <c r="GG160" s="143"/>
      <c r="GH160" s="145" cm="1">
        <f t="array" ref="GH160">SUMPRODUCT(--($CR$7:$FW$7&gt;=GH$5),--($CR$7:$FW$7&lt;=GH$6),$CR160:$FW160)*FZ160</f>
        <v>0</v>
      </c>
      <c r="GI160" s="145" cm="1">
        <f t="array" ref="GI160">SUMPRODUCT(--($CR$7:$FW$7&gt;=GI$5),--($CR$7:$FW$7&lt;=GI$6),$CR160:$FW160)*GA160</f>
        <v>0</v>
      </c>
      <c r="GJ160" s="145" cm="1">
        <f t="array" ref="GJ160">SUMPRODUCT(--($CR$7:$FW$7&gt;=GJ$5),--($CR$7:$FW$7&lt;=GJ$6),$CR160:$FW160)*GB160</f>
        <v>0</v>
      </c>
      <c r="GK160" s="145" cm="1">
        <f t="array" ref="GK160">SUMPRODUCT(--($CR$7:$FW$7&gt;=GK$5),--($CR$7:$FW$7&lt;=GK$6),$CR160:$FW160)*GC160</f>
        <v>0</v>
      </c>
      <c r="GL160" s="145" cm="1">
        <f t="array" ref="GL160">SUMPRODUCT(--($CR$7:$FW$7&gt;=GL$5),--($CR$7:$FW$7&lt;=GL$6),$CR160:$FW160)*GD160</f>
        <v>0</v>
      </c>
      <c r="GM160" s="145" cm="1">
        <f t="array" ref="GM160">SUMPRODUCT(--($CR$7:$FW$7&gt;=GM$5),--($CR$7:$FW$7&lt;=GM$6),$CR160:$FW160)*GE160</f>
        <v>0</v>
      </c>
      <c r="GN160" s="145" cm="1">
        <f t="array" ref="GN160">SUMPRODUCT(--($CR$7:$FW$7&gt;=GN$5),--($CR$7:$FW$7&lt;=GN$6),$CR160:$FW160)*GF160</f>
        <v>0</v>
      </c>
      <c r="GO160" s="145">
        <f t="shared" si="2"/>
        <v>0</v>
      </c>
      <c r="GP160" s="87"/>
      <c r="GR160" s="145" cm="1">
        <f t="array" ref="GR160">SUMPRODUCT(--($CR$7:$FW$7&gt;=GR$5),--($CR$7:$FW$7&lt;=GR$6),$CR160:$FW160)</f>
        <v>0</v>
      </c>
    </row>
    <row r="161" spans="2:200" x14ac:dyDescent="0.2">
      <c r="B161" s="141"/>
      <c r="C161" s="141"/>
      <c r="D161" s="141"/>
      <c r="E161" s="141"/>
      <c r="F161" s="141"/>
      <c r="G161" s="141"/>
      <c r="H161" s="142"/>
      <c r="I161" s="126"/>
      <c r="J161" s="143"/>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3"/>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c r="EE161" s="145"/>
      <c r="EF161" s="145"/>
      <c r="EG161" s="145"/>
      <c r="EH161" s="145"/>
      <c r="EI161" s="145"/>
      <c r="EJ161" s="145"/>
      <c r="EK161" s="145"/>
      <c r="EL161" s="145"/>
      <c r="EM161" s="145"/>
      <c r="EN161" s="145"/>
      <c r="EO161" s="145"/>
      <c r="EP161" s="145"/>
      <c r="EQ161" s="145"/>
      <c r="ER161" s="145"/>
      <c r="ES161" s="145"/>
      <c r="ET161" s="145"/>
      <c r="EU161" s="145"/>
      <c r="EV161" s="145"/>
      <c r="EW161" s="145"/>
      <c r="EX161" s="145"/>
      <c r="EY161" s="145"/>
      <c r="EZ161" s="145"/>
      <c r="FA161" s="145"/>
      <c r="FB161" s="145"/>
      <c r="FC161" s="145"/>
      <c r="FD161" s="145"/>
      <c r="FE161" s="145"/>
      <c r="FF161" s="145"/>
      <c r="FG161" s="145"/>
      <c r="FH161" s="145"/>
      <c r="FI161" s="145"/>
      <c r="FJ161" s="145"/>
      <c r="FK161" s="145"/>
      <c r="FL161" s="145"/>
      <c r="FM161" s="145"/>
      <c r="FN161" s="145"/>
      <c r="FO161" s="145"/>
      <c r="FP161" s="145"/>
      <c r="FQ161" s="145"/>
      <c r="FR161" s="145"/>
      <c r="FS161" s="145"/>
      <c r="FT161" s="145"/>
      <c r="FU161" s="145"/>
      <c r="FV161" s="145"/>
      <c r="FW161" s="145"/>
      <c r="FX161" s="143"/>
      <c r="FY161" s="146">
        <f>_xlfn.XLOOKUP($E161,'Key assumptions'!$B$112:$B$120,'Key assumptions'!$C$112:$C$120,0)</f>
        <v>0</v>
      </c>
      <c r="FZ161" s="146" cm="1">
        <f t="array" ref="FZ161">IF($FY161=0,0,_xlfn.IFS($FY161='Key assumptions'!$C$120,_xlfn.XLOOKUP(LEFT(FZ$7,6),Inflation_Year,Inflation_NominaltoReal),TRUE,_xlfn.XLOOKUP($FY161,Inflation_Year,NominaltoReal)))</f>
        <v>0</v>
      </c>
      <c r="GA161" s="146" cm="1">
        <f t="array" ref="GA161">IF($FY161=0,0,_xlfn.IFS($FY161='Key assumptions'!$C$120,_xlfn.XLOOKUP(LEFT(GA$7,6),Inflation_Year,Inflation_NominaltoReal),TRUE,_xlfn.XLOOKUP($FY161,Inflation_Year,NominaltoReal)))</f>
        <v>0</v>
      </c>
      <c r="GB161" s="146" cm="1">
        <f t="array" ref="GB161">IF($FY161=0,0,_xlfn.IFS($FY161='Key assumptions'!$C$120,_xlfn.XLOOKUP(LEFT(GB$7,6),Inflation_Year,Inflation_NominaltoReal),TRUE,_xlfn.XLOOKUP($FY161,Inflation_Year,NominaltoReal)))</f>
        <v>0</v>
      </c>
      <c r="GC161" s="146" cm="1">
        <f t="array" ref="GC161">IF($FY161=0,0,_xlfn.IFS($FY161='Key assumptions'!$C$120,_xlfn.XLOOKUP(LEFT(GC$7,6),Inflation_Year,Inflation_NominaltoReal),TRUE,_xlfn.XLOOKUP($FY161,Inflation_Year,NominaltoReal)))</f>
        <v>0</v>
      </c>
      <c r="GD161" s="146" cm="1">
        <f t="array" ref="GD161">IF($FY161=0,0,_xlfn.IFS($FY161='Key assumptions'!$C$120,_xlfn.XLOOKUP(LEFT(GD$7,6),Inflation_Year,Inflation_NominaltoReal),TRUE,_xlfn.XLOOKUP($FY161,Inflation_Year,NominaltoReal)))</f>
        <v>0</v>
      </c>
      <c r="GE161" s="146" cm="1">
        <f t="array" ref="GE161">IF($FY161=0,0,_xlfn.IFS($FY161='Key assumptions'!$C$120,_xlfn.XLOOKUP(LEFT(GE$7,6),Inflation_Year,Inflation_NominaltoReal),TRUE,_xlfn.XLOOKUP($FY161,Inflation_Year,NominaltoReal)))</f>
        <v>0</v>
      </c>
      <c r="GF161" s="146" cm="1">
        <f t="array" ref="GF161">IF($FY161=0,0,_xlfn.IFS($FY161='Key assumptions'!$C$120,_xlfn.XLOOKUP(LEFT(GF$7,6),Inflation_Year,Inflation_NominaltoReal),TRUE,_xlfn.XLOOKUP($FY161,Inflation_Year,NominaltoReal)))</f>
        <v>0</v>
      </c>
      <c r="GG161" s="143"/>
      <c r="GH161" s="145" cm="1">
        <f t="array" ref="GH161">SUMPRODUCT(--($CR$7:$FW$7&gt;=GH$5),--($CR$7:$FW$7&lt;=GH$6),$CR161:$FW161)*FZ161</f>
        <v>0</v>
      </c>
      <c r="GI161" s="145" cm="1">
        <f t="array" ref="GI161">SUMPRODUCT(--($CR$7:$FW$7&gt;=GI$5),--($CR$7:$FW$7&lt;=GI$6),$CR161:$FW161)*GA161</f>
        <v>0</v>
      </c>
      <c r="GJ161" s="145" cm="1">
        <f t="array" ref="GJ161">SUMPRODUCT(--($CR$7:$FW$7&gt;=GJ$5),--($CR$7:$FW$7&lt;=GJ$6),$CR161:$FW161)*GB161</f>
        <v>0</v>
      </c>
      <c r="GK161" s="145" cm="1">
        <f t="array" ref="GK161">SUMPRODUCT(--($CR$7:$FW$7&gt;=GK$5),--($CR$7:$FW$7&lt;=GK$6),$CR161:$FW161)*GC161</f>
        <v>0</v>
      </c>
      <c r="GL161" s="145" cm="1">
        <f t="array" ref="GL161">SUMPRODUCT(--($CR$7:$FW$7&gt;=GL$5),--($CR$7:$FW$7&lt;=GL$6),$CR161:$FW161)*GD161</f>
        <v>0</v>
      </c>
      <c r="GM161" s="145" cm="1">
        <f t="array" ref="GM161">SUMPRODUCT(--($CR$7:$FW$7&gt;=GM$5),--($CR$7:$FW$7&lt;=GM$6),$CR161:$FW161)*GE161</f>
        <v>0</v>
      </c>
      <c r="GN161" s="145" cm="1">
        <f t="array" ref="GN161">SUMPRODUCT(--($CR$7:$FW$7&gt;=GN$5),--($CR$7:$FW$7&lt;=GN$6),$CR161:$FW161)*GF161</f>
        <v>0</v>
      </c>
      <c r="GO161" s="145">
        <f t="shared" si="2"/>
        <v>0</v>
      </c>
      <c r="GP161" s="87"/>
      <c r="GR161" s="145" cm="1">
        <f t="array" ref="GR161">SUMPRODUCT(--($CR$7:$FW$7&gt;=GR$5),--($CR$7:$FW$7&lt;=GR$6),$CR161:$FW161)</f>
        <v>0</v>
      </c>
    </row>
    <row r="162" spans="2:200" x14ac:dyDescent="0.2">
      <c r="B162" s="141"/>
      <c r="C162" s="141"/>
      <c r="D162" s="141"/>
      <c r="E162" s="141"/>
      <c r="F162" s="141"/>
      <c r="G162" s="141"/>
      <c r="H162" s="142"/>
      <c r="I162" s="126"/>
      <c r="J162" s="143"/>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3"/>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c r="EE162" s="145"/>
      <c r="EF162" s="145"/>
      <c r="EG162" s="145"/>
      <c r="EH162" s="145"/>
      <c r="EI162" s="145"/>
      <c r="EJ162" s="145"/>
      <c r="EK162" s="145"/>
      <c r="EL162" s="145"/>
      <c r="EM162" s="145"/>
      <c r="EN162" s="145"/>
      <c r="EO162" s="145"/>
      <c r="EP162" s="145"/>
      <c r="EQ162" s="145"/>
      <c r="ER162" s="145"/>
      <c r="ES162" s="145"/>
      <c r="ET162" s="145"/>
      <c r="EU162" s="145"/>
      <c r="EV162" s="145"/>
      <c r="EW162" s="145"/>
      <c r="EX162" s="145"/>
      <c r="EY162" s="145"/>
      <c r="EZ162" s="145"/>
      <c r="FA162" s="145"/>
      <c r="FB162" s="145"/>
      <c r="FC162" s="145"/>
      <c r="FD162" s="145"/>
      <c r="FE162" s="145"/>
      <c r="FF162" s="145"/>
      <c r="FG162" s="145"/>
      <c r="FH162" s="145"/>
      <c r="FI162" s="145"/>
      <c r="FJ162" s="145"/>
      <c r="FK162" s="145"/>
      <c r="FL162" s="145"/>
      <c r="FM162" s="145"/>
      <c r="FN162" s="145"/>
      <c r="FO162" s="145"/>
      <c r="FP162" s="145"/>
      <c r="FQ162" s="145"/>
      <c r="FR162" s="145"/>
      <c r="FS162" s="145"/>
      <c r="FT162" s="145"/>
      <c r="FU162" s="145"/>
      <c r="FV162" s="145"/>
      <c r="FW162" s="145"/>
      <c r="FX162" s="143"/>
      <c r="FY162" s="146">
        <f>_xlfn.XLOOKUP($E162,'Key assumptions'!$B$112:$B$120,'Key assumptions'!$C$112:$C$120,0)</f>
        <v>0</v>
      </c>
      <c r="FZ162" s="146" cm="1">
        <f t="array" ref="FZ162">IF($FY162=0,0,_xlfn.IFS($FY162='Key assumptions'!$C$120,_xlfn.XLOOKUP(LEFT(FZ$7,6),Inflation_Year,Inflation_NominaltoReal),TRUE,_xlfn.XLOOKUP($FY162,Inflation_Year,NominaltoReal)))</f>
        <v>0</v>
      </c>
      <c r="GA162" s="146" cm="1">
        <f t="array" ref="GA162">IF($FY162=0,0,_xlfn.IFS($FY162='Key assumptions'!$C$120,_xlfn.XLOOKUP(LEFT(GA$7,6),Inflation_Year,Inflation_NominaltoReal),TRUE,_xlfn.XLOOKUP($FY162,Inflation_Year,NominaltoReal)))</f>
        <v>0</v>
      </c>
      <c r="GB162" s="146" cm="1">
        <f t="array" ref="GB162">IF($FY162=0,0,_xlfn.IFS($FY162='Key assumptions'!$C$120,_xlfn.XLOOKUP(LEFT(GB$7,6),Inflation_Year,Inflation_NominaltoReal),TRUE,_xlfn.XLOOKUP($FY162,Inflation_Year,NominaltoReal)))</f>
        <v>0</v>
      </c>
      <c r="GC162" s="146" cm="1">
        <f t="array" ref="GC162">IF($FY162=0,0,_xlfn.IFS($FY162='Key assumptions'!$C$120,_xlfn.XLOOKUP(LEFT(GC$7,6),Inflation_Year,Inflation_NominaltoReal),TRUE,_xlfn.XLOOKUP($FY162,Inflation_Year,NominaltoReal)))</f>
        <v>0</v>
      </c>
      <c r="GD162" s="146" cm="1">
        <f t="array" ref="GD162">IF($FY162=0,0,_xlfn.IFS($FY162='Key assumptions'!$C$120,_xlfn.XLOOKUP(LEFT(GD$7,6),Inflation_Year,Inflation_NominaltoReal),TRUE,_xlfn.XLOOKUP($FY162,Inflation_Year,NominaltoReal)))</f>
        <v>0</v>
      </c>
      <c r="GE162" s="146" cm="1">
        <f t="array" ref="GE162">IF($FY162=0,0,_xlfn.IFS($FY162='Key assumptions'!$C$120,_xlfn.XLOOKUP(LEFT(GE$7,6),Inflation_Year,Inflation_NominaltoReal),TRUE,_xlfn.XLOOKUP($FY162,Inflation_Year,NominaltoReal)))</f>
        <v>0</v>
      </c>
      <c r="GF162" s="146" cm="1">
        <f t="array" ref="GF162">IF($FY162=0,0,_xlfn.IFS($FY162='Key assumptions'!$C$120,_xlfn.XLOOKUP(LEFT(GF$7,6),Inflation_Year,Inflation_NominaltoReal),TRUE,_xlfn.XLOOKUP($FY162,Inflation_Year,NominaltoReal)))</f>
        <v>0</v>
      </c>
      <c r="GG162" s="143"/>
      <c r="GH162" s="145" cm="1">
        <f t="array" ref="GH162">SUMPRODUCT(--($CR$7:$FW$7&gt;=GH$5),--($CR$7:$FW$7&lt;=GH$6),$CR162:$FW162)*FZ162</f>
        <v>0</v>
      </c>
      <c r="GI162" s="145" cm="1">
        <f t="array" ref="GI162">SUMPRODUCT(--($CR$7:$FW$7&gt;=GI$5),--($CR$7:$FW$7&lt;=GI$6),$CR162:$FW162)*GA162</f>
        <v>0</v>
      </c>
      <c r="GJ162" s="145" cm="1">
        <f t="array" ref="GJ162">SUMPRODUCT(--($CR$7:$FW$7&gt;=GJ$5),--($CR$7:$FW$7&lt;=GJ$6),$CR162:$FW162)*GB162</f>
        <v>0</v>
      </c>
      <c r="GK162" s="145" cm="1">
        <f t="array" ref="GK162">SUMPRODUCT(--($CR$7:$FW$7&gt;=GK$5),--($CR$7:$FW$7&lt;=GK$6),$CR162:$FW162)*GC162</f>
        <v>0</v>
      </c>
      <c r="GL162" s="145" cm="1">
        <f t="array" ref="GL162">SUMPRODUCT(--($CR$7:$FW$7&gt;=GL$5),--($CR$7:$FW$7&lt;=GL$6),$CR162:$FW162)*GD162</f>
        <v>0</v>
      </c>
      <c r="GM162" s="145" cm="1">
        <f t="array" ref="GM162">SUMPRODUCT(--($CR$7:$FW$7&gt;=GM$5),--($CR$7:$FW$7&lt;=GM$6),$CR162:$FW162)*GE162</f>
        <v>0</v>
      </c>
      <c r="GN162" s="145" cm="1">
        <f t="array" ref="GN162">SUMPRODUCT(--($CR$7:$FW$7&gt;=GN$5),--($CR$7:$FW$7&lt;=GN$6),$CR162:$FW162)*GF162</f>
        <v>0</v>
      </c>
      <c r="GO162" s="145">
        <f t="shared" si="2"/>
        <v>0</v>
      </c>
      <c r="GP162" s="87"/>
      <c r="GR162" s="145" cm="1">
        <f t="array" ref="GR162">SUMPRODUCT(--($CR$7:$FW$7&gt;=GR$5),--($CR$7:$FW$7&lt;=GR$6),$CR162:$FW162)</f>
        <v>0</v>
      </c>
    </row>
    <row r="163" spans="2:200" x14ac:dyDescent="0.2">
      <c r="B163" s="141"/>
      <c r="C163" s="141"/>
      <c r="D163" s="141"/>
      <c r="E163" s="141"/>
      <c r="F163" s="141"/>
      <c r="G163" s="141"/>
      <c r="H163" s="142"/>
      <c r="I163" s="126"/>
      <c r="J163" s="143"/>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3"/>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c r="EE163" s="145"/>
      <c r="EF163" s="145"/>
      <c r="EG163" s="145"/>
      <c r="EH163" s="145"/>
      <c r="EI163" s="145"/>
      <c r="EJ163" s="145"/>
      <c r="EK163" s="145"/>
      <c r="EL163" s="145"/>
      <c r="EM163" s="145"/>
      <c r="EN163" s="145"/>
      <c r="EO163" s="145"/>
      <c r="EP163" s="145"/>
      <c r="EQ163" s="145"/>
      <c r="ER163" s="145"/>
      <c r="ES163" s="145"/>
      <c r="ET163" s="145"/>
      <c r="EU163" s="145"/>
      <c r="EV163" s="145"/>
      <c r="EW163" s="145"/>
      <c r="EX163" s="145"/>
      <c r="EY163" s="145"/>
      <c r="EZ163" s="145"/>
      <c r="FA163" s="145"/>
      <c r="FB163" s="145"/>
      <c r="FC163" s="145"/>
      <c r="FD163" s="145"/>
      <c r="FE163" s="145"/>
      <c r="FF163" s="145"/>
      <c r="FG163" s="145"/>
      <c r="FH163" s="145"/>
      <c r="FI163" s="145"/>
      <c r="FJ163" s="145"/>
      <c r="FK163" s="145"/>
      <c r="FL163" s="145"/>
      <c r="FM163" s="145"/>
      <c r="FN163" s="145"/>
      <c r="FO163" s="145"/>
      <c r="FP163" s="145"/>
      <c r="FQ163" s="145"/>
      <c r="FR163" s="145"/>
      <c r="FS163" s="145"/>
      <c r="FT163" s="145"/>
      <c r="FU163" s="145"/>
      <c r="FV163" s="145"/>
      <c r="FW163" s="145"/>
      <c r="FX163" s="143"/>
      <c r="FY163" s="146">
        <f>_xlfn.XLOOKUP($E163,'Key assumptions'!$B$112:$B$120,'Key assumptions'!$C$112:$C$120,0)</f>
        <v>0</v>
      </c>
      <c r="FZ163" s="146" cm="1">
        <f t="array" ref="FZ163">IF($FY163=0,0,_xlfn.IFS($FY163='Key assumptions'!$C$120,_xlfn.XLOOKUP(LEFT(FZ$7,6),Inflation_Year,Inflation_NominaltoReal),TRUE,_xlfn.XLOOKUP($FY163,Inflation_Year,NominaltoReal)))</f>
        <v>0</v>
      </c>
      <c r="GA163" s="146" cm="1">
        <f t="array" ref="GA163">IF($FY163=0,0,_xlfn.IFS($FY163='Key assumptions'!$C$120,_xlfn.XLOOKUP(LEFT(GA$7,6),Inflation_Year,Inflation_NominaltoReal),TRUE,_xlfn.XLOOKUP($FY163,Inflation_Year,NominaltoReal)))</f>
        <v>0</v>
      </c>
      <c r="GB163" s="146" cm="1">
        <f t="array" ref="GB163">IF($FY163=0,0,_xlfn.IFS($FY163='Key assumptions'!$C$120,_xlfn.XLOOKUP(LEFT(GB$7,6),Inflation_Year,Inflation_NominaltoReal),TRUE,_xlfn.XLOOKUP($FY163,Inflation_Year,NominaltoReal)))</f>
        <v>0</v>
      </c>
      <c r="GC163" s="146" cm="1">
        <f t="array" ref="GC163">IF($FY163=0,0,_xlfn.IFS($FY163='Key assumptions'!$C$120,_xlfn.XLOOKUP(LEFT(GC$7,6),Inflation_Year,Inflation_NominaltoReal),TRUE,_xlfn.XLOOKUP($FY163,Inflation_Year,NominaltoReal)))</f>
        <v>0</v>
      </c>
      <c r="GD163" s="146" cm="1">
        <f t="array" ref="GD163">IF($FY163=0,0,_xlfn.IFS($FY163='Key assumptions'!$C$120,_xlfn.XLOOKUP(LEFT(GD$7,6),Inflation_Year,Inflation_NominaltoReal),TRUE,_xlfn.XLOOKUP($FY163,Inflation_Year,NominaltoReal)))</f>
        <v>0</v>
      </c>
      <c r="GE163" s="146" cm="1">
        <f t="array" ref="GE163">IF($FY163=0,0,_xlfn.IFS($FY163='Key assumptions'!$C$120,_xlfn.XLOOKUP(LEFT(GE$7,6),Inflation_Year,Inflation_NominaltoReal),TRUE,_xlfn.XLOOKUP($FY163,Inflation_Year,NominaltoReal)))</f>
        <v>0</v>
      </c>
      <c r="GF163" s="146" cm="1">
        <f t="array" ref="GF163">IF($FY163=0,0,_xlfn.IFS($FY163='Key assumptions'!$C$120,_xlfn.XLOOKUP(LEFT(GF$7,6),Inflation_Year,Inflation_NominaltoReal),TRUE,_xlfn.XLOOKUP($FY163,Inflation_Year,NominaltoReal)))</f>
        <v>0</v>
      </c>
      <c r="GG163" s="143"/>
      <c r="GH163" s="145" cm="1">
        <f t="array" ref="GH163">SUMPRODUCT(--($CR$7:$FW$7&gt;=GH$5),--($CR$7:$FW$7&lt;=GH$6),$CR163:$FW163)*FZ163</f>
        <v>0</v>
      </c>
      <c r="GI163" s="145" cm="1">
        <f t="array" ref="GI163">SUMPRODUCT(--($CR$7:$FW$7&gt;=GI$5),--($CR$7:$FW$7&lt;=GI$6),$CR163:$FW163)*GA163</f>
        <v>0</v>
      </c>
      <c r="GJ163" s="145" cm="1">
        <f t="array" ref="GJ163">SUMPRODUCT(--($CR$7:$FW$7&gt;=GJ$5),--($CR$7:$FW$7&lt;=GJ$6),$CR163:$FW163)*GB163</f>
        <v>0</v>
      </c>
      <c r="GK163" s="145" cm="1">
        <f t="array" ref="GK163">SUMPRODUCT(--($CR$7:$FW$7&gt;=GK$5),--($CR$7:$FW$7&lt;=GK$6),$CR163:$FW163)*GC163</f>
        <v>0</v>
      </c>
      <c r="GL163" s="145" cm="1">
        <f t="array" ref="GL163">SUMPRODUCT(--($CR$7:$FW$7&gt;=GL$5),--($CR$7:$FW$7&lt;=GL$6),$CR163:$FW163)*GD163</f>
        <v>0</v>
      </c>
      <c r="GM163" s="145" cm="1">
        <f t="array" ref="GM163">SUMPRODUCT(--($CR$7:$FW$7&gt;=GM$5),--($CR$7:$FW$7&lt;=GM$6),$CR163:$FW163)*GE163</f>
        <v>0</v>
      </c>
      <c r="GN163" s="145" cm="1">
        <f t="array" ref="GN163">SUMPRODUCT(--($CR$7:$FW$7&gt;=GN$5),--($CR$7:$FW$7&lt;=GN$6),$CR163:$FW163)*GF163</f>
        <v>0</v>
      </c>
      <c r="GO163" s="145">
        <f t="shared" si="2"/>
        <v>0</v>
      </c>
      <c r="GP163" s="87"/>
      <c r="GR163" s="145" cm="1">
        <f t="array" ref="GR163">SUMPRODUCT(--($CR$7:$FW$7&gt;=GR$5),--($CR$7:$FW$7&lt;=GR$6),$CR163:$FW163)</f>
        <v>0</v>
      </c>
    </row>
    <row r="164" spans="2:200" x14ac:dyDescent="0.2">
      <c r="B164" s="141"/>
      <c r="C164" s="141"/>
      <c r="D164" s="141"/>
      <c r="E164" s="141"/>
      <c r="F164" s="141"/>
      <c r="G164" s="141"/>
      <c r="H164" s="142"/>
      <c r="I164" s="126"/>
      <c r="J164" s="143"/>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3"/>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c r="EE164" s="145"/>
      <c r="EF164" s="145"/>
      <c r="EG164" s="145"/>
      <c r="EH164" s="145"/>
      <c r="EI164" s="145"/>
      <c r="EJ164" s="145"/>
      <c r="EK164" s="145"/>
      <c r="EL164" s="145"/>
      <c r="EM164" s="145"/>
      <c r="EN164" s="145"/>
      <c r="EO164" s="145"/>
      <c r="EP164" s="145"/>
      <c r="EQ164" s="145"/>
      <c r="ER164" s="145"/>
      <c r="ES164" s="145"/>
      <c r="ET164" s="145"/>
      <c r="EU164" s="145"/>
      <c r="EV164" s="145"/>
      <c r="EW164" s="145"/>
      <c r="EX164" s="145"/>
      <c r="EY164" s="145"/>
      <c r="EZ164" s="145"/>
      <c r="FA164" s="145"/>
      <c r="FB164" s="145"/>
      <c r="FC164" s="145"/>
      <c r="FD164" s="145"/>
      <c r="FE164" s="145"/>
      <c r="FF164" s="145"/>
      <c r="FG164" s="145"/>
      <c r="FH164" s="145"/>
      <c r="FI164" s="145"/>
      <c r="FJ164" s="145"/>
      <c r="FK164" s="145"/>
      <c r="FL164" s="145"/>
      <c r="FM164" s="145"/>
      <c r="FN164" s="145"/>
      <c r="FO164" s="145"/>
      <c r="FP164" s="145"/>
      <c r="FQ164" s="145"/>
      <c r="FR164" s="145"/>
      <c r="FS164" s="145"/>
      <c r="FT164" s="145"/>
      <c r="FU164" s="145"/>
      <c r="FV164" s="145"/>
      <c r="FW164" s="145"/>
      <c r="FX164" s="143"/>
      <c r="FY164" s="146">
        <f>_xlfn.XLOOKUP($E164,'Key assumptions'!$B$112:$B$120,'Key assumptions'!$C$112:$C$120,0)</f>
        <v>0</v>
      </c>
      <c r="FZ164" s="146" cm="1">
        <f t="array" ref="FZ164">IF($FY164=0,0,_xlfn.IFS($FY164='Key assumptions'!$C$120,_xlfn.XLOOKUP(LEFT(FZ$7,6),Inflation_Year,Inflation_NominaltoReal),TRUE,_xlfn.XLOOKUP($FY164,Inflation_Year,NominaltoReal)))</f>
        <v>0</v>
      </c>
      <c r="GA164" s="146" cm="1">
        <f t="array" ref="GA164">IF($FY164=0,0,_xlfn.IFS($FY164='Key assumptions'!$C$120,_xlfn.XLOOKUP(LEFT(GA$7,6),Inflation_Year,Inflation_NominaltoReal),TRUE,_xlfn.XLOOKUP($FY164,Inflation_Year,NominaltoReal)))</f>
        <v>0</v>
      </c>
      <c r="GB164" s="146" cm="1">
        <f t="array" ref="GB164">IF($FY164=0,0,_xlfn.IFS($FY164='Key assumptions'!$C$120,_xlfn.XLOOKUP(LEFT(GB$7,6),Inflation_Year,Inflation_NominaltoReal),TRUE,_xlfn.XLOOKUP($FY164,Inflation_Year,NominaltoReal)))</f>
        <v>0</v>
      </c>
      <c r="GC164" s="146" cm="1">
        <f t="array" ref="GC164">IF($FY164=0,0,_xlfn.IFS($FY164='Key assumptions'!$C$120,_xlfn.XLOOKUP(LEFT(GC$7,6),Inflation_Year,Inflation_NominaltoReal),TRUE,_xlfn.XLOOKUP($FY164,Inflation_Year,NominaltoReal)))</f>
        <v>0</v>
      </c>
      <c r="GD164" s="146" cm="1">
        <f t="array" ref="GD164">IF($FY164=0,0,_xlfn.IFS($FY164='Key assumptions'!$C$120,_xlfn.XLOOKUP(LEFT(GD$7,6),Inflation_Year,Inflation_NominaltoReal),TRUE,_xlfn.XLOOKUP($FY164,Inflation_Year,NominaltoReal)))</f>
        <v>0</v>
      </c>
      <c r="GE164" s="146" cm="1">
        <f t="array" ref="GE164">IF($FY164=0,0,_xlfn.IFS($FY164='Key assumptions'!$C$120,_xlfn.XLOOKUP(LEFT(GE$7,6),Inflation_Year,Inflation_NominaltoReal),TRUE,_xlfn.XLOOKUP($FY164,Inflation_Year,NominaltoReal)))</f>
        <v>0</v>
      </c>
      <c r="GF164" s="146" cm="1">
        <f t="array" ref="GF164">IF($FY164=0,0,_xlfn.IFS($FY164='Key assumptions'!$C$120,_xlfn.XLOOKUP(LEFT(GF$7,6),Inflation_Year,Inflation_NominaltoReal),TRUE,_xlfn.XLOOKUP($FY164,Inflation_Year,NominaltoReal)))</f>
        <v>0</v>
      </c>
      <c r="GG164" s="143"/>
      <c r="GH164" s="145" cm="1">
        <f t="array" ref="GH164">SUMPRODUCT(--($CR$7:$FW$7&gt;=GH$5),--($CR$7:$FW$7&lt;=GH$6),$CR164:$FW164)*FZ164</f>
        <v>0</v>
      </c>
      <c r="GI164" s="145" cm="1">
        <f t="array" ref="GI164">SUMPRODUCT(--($CR$7:$FW$7&gt;=GI$5),--($CR$7:$FW$7&lt;=GI$6),$CR164:$FW164)*GA164</f>
        <v>0</v>
      </c>
      <c r="GJ164" s="145" cm="1">
        <f t="array" ref="GJ164">SUMPRODUCT(--($CR$7:$FW$7&gt;=GJ$5),--($CR$7:$FW$7&lt;=GJ$6),$CR164:$FW164)*GB164</f>
        <v>0</v>
      </c>
      <c r="GK164" s="145" cm="1">
        <f t="array" ref="GK164">SUMPRODUCT(--($CR$7:$FW$7&gt;=GK$5),--($CR$7:$FW$7&lt;=GK$6),$CR164:$FW164)*GC164</f>
        <v>0</v>
      </c>
      <c r="GL164" s="145" cm="1">
        <f t="array" ref="GL164">SUMPRODUCT(--($CR$7:$FW$7&gt;=GL$5),--($CR$7:$FW$7&lt;=GL$6),$CR164:$FW164)*GD164</f>
        <v>0</v>
      </c>
      <c r="GM164" s="145" cm="1">
        <f t="array" ref="GM164">SUMPRODUCT(--($CR$7:$FW$7&gt;=GM$5),--($CR$7:$FW$7&lt;=GM$6),$CR164:$FW164)*GE164</f>
        <v>0</v>
      </c>
      <c r="GN164" s="145" cm="1">
        <f t="array" ref="GN164">SUMPRODUCT(--($CR$7:$FW$7&gt;=GN$5),--($CR$7:$FW$7&lt;=GN$6),$CR164:$FW164)*GF164</f>
        <v>0</v>
      </c>
      <c r="GO164" s="145">
        <f t="shared" si="2"/>
        <v>0</v>
      </c>
      <c r="GP164" s="87"/>
      <c r="GR164" s="145" cm="1">
        <f t="array" ref="GR164">SUMPRODUCT(--($CR$7:$FW$7&gt;=GR$5),--($CR$7:$FW$7&lt;=GR$6),$CR164:$FW164)</f>
        <v>0</v>
      </c>
    </row>
    <row r="165" spans="2:200" x14ac:dyDescent="0.2">
      <c r="B165" s="141"/>
      <c r="C165" s="141"/>
      <c r="D165" s="141"/>
      <c r="E165" s="141"/>
      <c r="F165" s="141"/>
      <c r="G165" s="141"/>
      <c r="H165" s="142"/>
      <c r="I165" s="126"/>
      <c r="J165" s="143"/>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3"/>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c r="EE165" s="145"/>
      <c r="EF165" s="145"/>
      <c r="EG165" s="145"/>
      <c r="EH165" s="145"/>
      <c r="EI165" s="145"/>
      <c r="EJ165" s="145"/>
      <c r="EK165" s="145"/>
      <c r="EL165" s="145"/>
      <c r="EM165" s="145"/>
      <c r="EN165" s="145"/>
      <c r="EO165" s="145"/>
      <c r="EP165" s="145"/>
      <c r="EQ165" s="145"/>
      <c r="ER165" s="145"/>
      <c r="ES165" s="145"/>
      <c r="ET165" s="145"/>
      <c r="EU165" s="145"/>
      <c r="EV165" s="145"/>
      <c r="EW165" s="145"/>
      <c r="EX165" s="145"/>
      <c r="EY165" s="145"/>
      <c r="EZ165" s="145"/>
      <c r="FA165" s="145"/>
      <c r="FB165" s="145"/>
      <c r="FC165" s="145"/>
      <c r="FD165" s="145"/>
      <c r="FE165" s="145"/>
      <c r="FF165" s="145"/>
      <c r="FG165" s="145"/>
      <c r="FH165" s="145"/>
      <c r="FI165" s="145"/>
      <c r="FJ165" s="145"/>
      <c r="FK165" s="145"/>
      <c r="FL165" s="145"/>
      <c r="FM165" s="145"/>
      <c r="FN165" s="145"/>
      <c r="FO165" s="145"/>
      <c r="FP165" s="145"/>
      <c r="FQ165" s="145"/>
      <c r="FR165" s="145"/>
      <c r="FS165" s="145"/>
      <c r="FT165" s="145"/>
      <c r="FU165" s="145"/>
      <c r="FV165" s="145"/>
      <c r="FW165" s="145"/>
      <c r="FX165" s="143"/>
      <c r="FY165" s="146">
        <f>_xlfn.XLOOKUP($E165,'Key assumptions'!$B$112:$B$120,'Key assumptions'!$C$112:$C$120,0)</f>
        <v>0</v>
      </c>
      <c r="FZ165" s="146" cm="1">
        <f t="array" ref="FZ165">IF($FY165=0,0,_xlfn.IFS($FY165='Key assumptions'!$C$120,_xlfn.XLOOKUP(LEFT(FZ$7,6),Inflation_Year,Inflation_NominaltoReal),TRUE,_xlfn.XLOOKUP($FY165,Inflation_Year,NominaltoReal)))</f>
        <v>0</v>
      </c>
      <c r="GA165" s="146" cm="1">
        <f t="array" ref="GA165">IF($FY165=0,0,_xlfn.IFS($FY165='Key assumptions'!$C$120,_xlfn.XLOOKUP(LEFT(GA$7,6),Inflation_Year,Inflation_NominaltoReal),TRUE,_xlfn.XLOOKUP($FY165,Inflation_Year,NominaltoReal)))</f>
        <v>0</v>
      </c>
      <c r="GB165" s="146" cm="1">
        <f t="array" ref="GB165">IF($FY165=0,0,_xlfn.IFS($FY165='Key assumptions'!$C$120,_xlfn.XLOOKUP(LEFT(GB$7,6),Inflation_Year,Inflation_NominaltoReal),TRUE,_xlfn.XLOOKUP($FY165,Inflation_Year,NominaltoReal)))</f>
        <v>0</v>
      </c>
      <c r="GC165" s="146" cm="1">
        <f t="array" ref="GC165">IF($FY165=0,0,_xlfn.IFS($FY165='Key assumptions'!$C$120,_xlfn.XLOOKUP(LEFT(GC$7,6),Inflation_Year,Inflation_NominaltoReal),TRUE,_xlfn.XLOOKUP($FY165,Inflation_Year,NominaltoReal)))</f>
        <v>0</v>
      </c>
      <c r="GD165" s="146" cm="1">
        <f t="array" ref="GD165">IF($FY165=0,0,_xlfn.IFS($FY165='Key assumptions'!$C$120,_xlfn.XLOOKUP(LEFT(GD$7,6),Inflation_Year,Inflation_NominaltoReal),TRUE,_xlfn.XLOOKUP($FY165,Inflation_Year,NominaltoReal)))</f>
        <v>0</v>
      </c>
      <c r="GE165" s="146" cm="1">
        <f t="array" ref="GE165">IF($FY165=0,0,_xlfn.IFS($FY165='Key assumptions'!$C$120,_xlfn.XLOOKUP(LEFT(GE$7,6),Inflation_Year,Inflation_NominaltoReal),TRUE,_xlfn.XLOOKUP($FY165,Inflation_Year,NominaltoReal)))</f>
        <v>0</v>
      </c>
      <c r="GF165" s="146" cm="1">
        <f t="array" ref="GF165">IF($FY165=0,0,_xlfn.IFS($FY165='Key assumptions'!$C$120,_xlfn.XLOOKUP(LEFT(GF$7,6),Inflation_Year,Inflation_NominaltoReal),TRUE,_xlfn.XLOOKUP($FY165,Inflation_Year,NominaltoReal)))</f>
        <v>0</v>
      </c>
      <c r="GG165" s="143"/>
      <c r="GH165" s="145" cm="1">
        <f t="array" ref="GH165">SUMPRODUCT(--($CR$7:$FW$7&gt;=GH$5),--($CR$7:$FW$7&lt;=GH$6),$CR165:$FW165)*FZ165</f>
        <v>0</v>
      </c>
      <c r="GI165" s="145" cm="1">
        <f t="array" ref="GI165">SUMPRODUCT(--($CR$7:$FW$7&gt;=GI$5),--($CR$7:$FW$7&lt;=GI$6),$CR165:$FW165)*GA165</f>
        <v>0</v>
      </c>
      <c r="GJ165" s="145" cm="1">
        <f t="array" ref="GJ165">SUMPRODUCT(--($CR$7:$FW$7&gt;=GJ$5),--($CR$7:$FW$7&lt;=GJ$6),$CR165:$FW165)*GB165</f>
        <v>0</v>
      </c>
      <c r="GK165" s="145" cm="1">
        <f t="array" ref="GK165">SUMPRODUCT(--($CR$7:$FW$7&gt;=GK$5),--($CR$7:$FW$7&lt;=GK$6),$CR165:$FW165)*GC165</f>
        <v>0</v>
      </c>
      <c r="GL165" s="145" cm="1">
        <f t="array" ref="GL165">SUMPRODUCT(--($CR$7:$FW$7&gt;=GL$5),--($CR$7:$FW$7&lt;=GL$6),$CR165:$FW165)*GD165</f>
        <v>0</v>
      </c>
      <c r="GM165" s="145" cm="1">
        <f t="array" ref="GM165">SUMPRODUCT(--($CR$7:$FW$7&gt;=GM$5),--($CR$7:$FW$7&lt;=GM$6),$CR165:$FW165)*GE165</f>
        <v>0</v>
      </c>
      <c r="GN165" s="145" cm="1">
        <f t="array" ref="GN165">SUMPRODUCT(--($CR$7:$FW$7&gt;=GN$5),--($CR$7:$FW$7&lt;=GN$6),$CR165:$FW165)*GF165</f>
        <v>0</v>
      </c>
      <c r="GO165" s="145">
        <f t="shared" si="2"/>
        <v>0</v>
      </c>
      <c r="GP165" s="87"/>
      <c r="GR165" s="145" cm="1">
        <f t="array" ref="GR165">SUMPRODUCT(--($CR$7:$FW$7&gt;=GR$5),--($CR$7:$FW$7&lt;=GR$6),$CR165:$FW165)</f>
        <v>0</v>
      </c>
    </row>
    <row r="166" spans="2:200" x14ac:dyDescent="0.2">
      <c r="B166" s="141"/>
      <c r="C166" s="141"/>
      <c r="D166" s="141"/>
      <c r="E166" s="141"/>
      <c r="F166" s="141"/>
      <c r="G166" s="141"/>
      <c r="H166" s="142"/>
      <c r="I166" s="126"/>
      <c r="J166" s="143"/>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3"/>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c r="EE166" s="145"/>
      <c r="EF166" s="145"/>
      <c r="EG166" s="145"/>
      <c r="EH166" s="145"/>
      <c r="EI166" s="145"/>
      <c r="EJ166" s="145"/>
      <c r="EK166" s="145"/>
      <c r="EL166" s="145"/>
      <c r="EM166" s="145"/>
      <c r="EN166" s="145"/>
      <c r="EO166" s="145"/>
      <c r="EP166" s="145"/>
      <c r="EQ166" s="145"/>
      <c r="ER166" s="145"/>
      <c r="ES166" s="145"/>
      <c r="ET166" s="145"/>
      <c r="EU166" s="145"/>
      <c r="EV166" s="145"/>
      <c r="EW166" s="145"/>
      <c r="EX166" s="145"/>
      <c r="EY166" s="145"/>
      <c r="EZ166" s="145"/>
      <c r="FA166" s="145"/>
      <c r="FB166" s="145"/>
      <c r="FC166" s="145"/>
      <c r="FD166" s="145"/>
      <c r="FE166" s="145"/>
      <c r="FF166" s="145"/>
      <c r="FG166" s="145"/>
      <c r="FH166" s="145"/>
      <c r="FI166" s="145"/>
      <c r="FJ166" s="145"/>
      <c r="FK166" s="145"/>
      <c r="FL166" s="145"/>
      <c r="FM166" s="145"/>
      <c r="FN166" s="145"/>
      <c r="FO166" s="145"/>
      <c r="FP166" s="145"/>
      <c r="FQ166" s="145"/>
      <c r="FR166" s="145"/>
      <c r="FS166" s="145"/>
      <c r="FT166" s="145"/>
      <c r="FU166" s="145"/>
      <c r="FV166" s="145"/>
      <c r="FW166" s="145"/>
      <c r="FX166" s="143"/>
      <c r="FY166" s="146">
        <f>_xlfn.XLOOKUP($E166,'Key assumptions'!$B$112:$B$120,'Key assumptions'!$C$112:$C$120,0)</f>
        <v>0</v>
      </c>
      <c r="FZ166" s="146" cm="1">
        <f t="array" ref="FZ166">IF($FY166=0,0,_xlfn.IFS($FY166='Key assumptions'!$C$120,_xlfn.XLOOKUP(LEFT(FZ$7,6),Inflation_Year,Inflation_NominaltoReal),TRUE,_xlfn.XLOOKUP($FY166,Inflation_Year,NominaltoReal)))</f>
        <v>0</v>
      </c>
      <c r="GA166" s="146" cm="1">
        <f t="array" ref="GA166">IF($FY166=0,0,_xlfn.IFS($FY166='Key assumptions'!$C$120,_xlfn.XLOOKUP(LEFT(GA$7,6),Inflation_Year,Inflation_NominaltoReal),TRUE,_xlfn.XLOOKUP($FY166,Inflation_Year,NominaltoReal)))</f>
        <v>0</v>
      </c>
      <c r="GB166" s="146" cm="1">
        <f t="array" ref="GB166">IF($FY166=0,0,_xlfn.IFS($FY166='Key assumptions'!$C$120,_xlfn.XLOOKUP(LEFT(GB$7,6),Inflation_Year,Inflation_NominaltoReal),TRUE,_xlfn.XLOOKUP($FY166,Inflation_Year,NominaltoReal)))</f>
        <v>0</v>
      </c>
      <c r="GC166" s="146" cm="1">
        <f t="array" ref="GC166">IF($FY166=0,0,_xlfn.IFS($FY166='Key assumptions'!$C$120,_xlfn.XLOOKUP(LEFT(GC$7,6),Inflation_Year,Inflation_NominaltoReal),TRUE,_xlfn.XLOOKUP($FY166,Inflation_Year,NominaltoReal)))</f>
        <v>0</v>
      </c>
      <c r="GD166" s="146" cm="1">
        <f t="array" ref="GD166">IF($FY166=0,0,_xlfn.IFS($FY166='Key assumptions'!$C$120,_xlfn.XLOOKUP(LEFT(GD$7,6),Inflation_Year,Inflation_NominaltoReal),TRUE,_xlfn.XLOOKUP($FY166,Inflation_Year,NominaltoReal)))</f>
        <v>0</v>
      </c>
      <c r="GE166" s="146" cm="1">
        <f t="array" ref="GE166">IF($FY166=0,0,_xlfn.IFS($FY166='Key assumptions'!$C$120,_xlfn.XLOOKUP(LEFT(GE$7,6),Inflation_Year,Inflation_NominaltoReal),TRUE,_xlfn.XLOOKUP($FY166,Inflation_Year,NominaltoReal)))</f>
        <v>0</v>
      </c>
      <c r="GF166" s="146" cm="1">
        <f t="array" ref="GF166">IF($FY166=0,0,_xlfn.IFS($FY166='Key assumptions'!$C$120,_xlfn.XLOOKUP(LEFT(GF$7,6),Inflation_Year,Inflation_NominaltoReal),TRUE,_xlfn.XLOOKUP($FY166,Inflation_Year,NominaltoReal)))</f>
        <v>0</v>
      </c>
      <c r="GG166" s="143"/>
      <c r="GH166" s="145" cm="1">
        <f t="array" ref="GH166">SUMPRODUCT(--($CR$7:$FW$7&gt;=GH$5),--($CR$7:$FW$7&lt;=GH$6),$CR166:$FW166)*FZ166</f>
        <v>0</v>
      </c>
      <c r="GI166" s="145" cm="1">
        <f t="array" ref="GI166">SUMPRODUCT(--($CR$7:$FW$7&gt;=GI$5),--($CR$7:$FW$7&lt;=GI$6),$CR166:$FW166)*GA166</f>
        <v>0</v>
      </c>
      <c r="GJ166" s="145" cm="1">
        <f t="array" ref="GJ166">SUMPRODUCT(--($CR$7:$FW$7&gt;=GJ$5),--($CR$7:$FW$7&lt;=GJ$6),$CR166:$FW166)*GB166</f>
        <v>0</v>
      </c>
      <c r="GK166" s="145" cm="1">
        <f t="array" ref="GK166">SUMPRODUCT(--($CR$7:$FW$7&gt;=GK$5),--($CR$7:$FW$7&lt;=GK$6),$CR166:$FW166)*GC166</f>
        <v>0</v>
      </c>
      <c r="GL166" s="145" cm="1">
        <f t="array" ref="GL166">SUMPRODUCT(--($CR$7:$FW$7&gt;=GL$5),--($CR$7:$FW$7&lt;=GL$6),$CR166:$FW166)*GD166</f>
        <v>0</v>
      </c>
      <c r="GM166" s="145" cm="1">
        <f t="array" ref="GM166">SUMPRODUCT(--($CR$7:$FW$7&gt;=GM$5),--($CR$7:$FW$7&lt;=GM$6),$CR166:$FW166)*GE166</f>
        <v>0</v>
      </c>
      <c r="GN166" s="145" cm="1">
        <f t="array" ref="GN166">SUMPRODUCT(--($CR$7:$FW$7&gt;=GN$5),--($CR$7:$FW$7&lt;=GN$6),$CR166:$FW166)*GF166</f>
        <v>0</v>
      </c>
      <c r="GO166" s="145">
        <f t="shared" si="2"/>
        <v>0</v>
      </c>
      <c r="GP166" s="87"/>
      <c r="GR166" s="145" cm="1">
        <f t="array" ref="GR166">SUMPRODUCT(--($CR$7:$FW$7&gt;=GR$5),--($CR$7:$FW$7&lt;=GR$6),$CR166:$FW166)</f>
        <v>0</v>
      </c>
    </row>
    <row r="167" spans="2:200" x14ac:dyDescent="0.2">
      <c r="B167" s="141"/>
      <c r="C167" s="141"/>
      <c r="D167" s="141"/>
      <c r="E167" s="141"/>
      <c r="F167" s="141"/>
      <c r="G167" s="141"/>
      <c r="H167" s="142"/>
      <c r="I167" s="126"/>
      <c r="J167" s="143"/>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3"/>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145"/>
      <c r="EH167" s="145"/>
      <c r="EI167" s="145"/>
      <c r="EJ167" s="145"/>
      <c r="EK167" s="145"/>
      <c r="EL167" s="145"/>
      <c r="EM167" s="145"/>
      <c r="EN167" s="145"/>
      <c r="EO167" s="145"/>
      <c r="EP167" s="145"/>
      <c r="EQ167" s="145"/>
      <c r="ER167" s="145"/>
      <c r="ES167" s="145"/>
      <c r="ET167" s="145"/>
      <c r="EU167" s="145"/>
      <c r="EV167" s="145"/>
      <c r="EW167" s="145"/>
      <c r="EX167" s="145"/>
      <c r="EY167" s="145"/>
      <c r="EZ167" s="145"/>
      <c r="FA167" s="145"/>
      <c r="FB167" s="145"/>
      <c r="FC167" s="145"/>
      <c r="FD167" s="145"/>
      <c r="FE167" s="145"/>
      <c r="FF167" s="145"/>
      <c r="FG167" s="145"/>
      <c r="FH167" s="145"/>
      <c r="FI167" s="145"/>
      <c r="FJ167" s="145"/>
      <c r="FK167" s="145"/>
      <c r="FL167" s="145"/>
      <c r="FM167" s="145"/>
      <c r="FN167" s="145"/>
      <c r="FO167" s="145"/>
      <c r="FP167" s="145"/>
      <c r="FQ167" s="145"/>
      <c r="FR167" s="145"/>
      <c r="FS167" s="145"/>
      <c r="FT167" s="145"/>
      <c r="FU167" s="145"/>
      <c r="FV167" s="145"/>
      <c r="FW167" s="145"/>
      <c r="FX167" s="143"/>
      <c r="FY167" s="146">
        <f>_xlfn.XLOOKUP($E167,'Key assumptions'!$B$112:$B$120,'Key assumptions'!$C$112:$C$120,0)</f>
        <v>0</v>
      </c>
      <c r="FZ167" s="146" cm="1">
        <f t="array" ref="FZ167">IF($FY167=0,0,_xlfn.IFS($FY167='Key assumptions'!$C$120,_xlfn.XLOOKUP(LEFT(FZ$7,6),Inflation_Year,Inflation_NominaltoReal),TRUE,_xlfn.XLOOKUP($FY167,Inflation_Year,NominaltoReal)))</f>
        <v>0</v>
      </c>
      <c r="GA167" s="146" cm="1">
        <f t="array" ref="GA167">IF($FY167=0,0,_xlfn.IFS($FY167='Key assumptions'!$C$120,_xlfn.XLOOKUP(LEFT(GA$7,6),Inflation_Year,Inflation_NominaltoReal),TRUE,_xlfn.XLOOKUP($FY167,Inflation_Year,NominaltoReal)))</f>
        <v>0</v>
      </c>
      <c r="GB167" s="146" cm="1">
        <f t="array" ref="GB167">IF($FY167=0,0,_xlfn.IFS($FY167='Key assumptions'!$C$120,_xlfn.XLOOKUP(LEFT(GB$7,6),Inflation_Year,Inflation_NominaltoReal),TRUE,_xlfn.XLOOKUP($FY167,Inflation_Year,NominaltoReal)))</f>
        <v>0</v>
      </c>
      <c r="GC167" s="146" cm="1">
        <f t="array" ref="GC167">IF($FY167=0,0,_xlfn.IFS($FY167='Key assumptions'!$C$120,_xlfn.XLOOKUP(LEFT(GC$7,6),Inflation_Year,Inflation_NominaltoReal),TRUE,_xlfn.XLOOKUP($FY167,Inflation_Year,NominaltoReal)))</f>
        <v>0</v>
      </c>
      <c r="GD167" s="146" cm="1">
        <f t="array" ref="GD167">IF($FY167=0,0,_xlfn.IFS($FY167='Key assumptions'!$C$120,_xlfn.XLOOKUP(LEFT(GD$7,6),Inflation_Year,Inflation_NominaltoReal),TRUE,_xlfn.XLOOKUP($FY167,Inflation_Year,NominaltoReal)))</f>
        <v>0</v>
      </c>
      <c r="GE167" s="146" cm="1">
        <f t="array" ref="GE167">IF($FY167=0,0,_xlfn.IFS($FY167='Key assumptions'!$C$120,_xlfn.XLOOKUP(LEFT(GE$7,6),Inflation_Year,Inflation_NominaltoReal),TRUE,_xlfn.XLOOKUP($FY167,Inflation_Year,NominaltoReal)))</f>
        <v>0</v>
      </c>
      <c r="GF167" s="146" cm="1">
        <f t="array" ref="GF167">IF($FY167=0,0,_xlfn.IFS($FY167='Key assumptions'!$C$120,_xlfn.XLOOKUP(LEFT(GF$7,6),Inflation_Year,Inflation_NominaltoReal),TRUE,_xlfn.XLOOKUP($FY167,Inflation_Year,NominaltoReal)))</f>
        <v>0</v>
      </c>
      <c r="GG167" s="143"/>
      <c r="GH167" s="145" cm="1">
        <f t="array" ref="GH167">SUMPRODUCT(--($CR$7:$FW$7&gt;=GH$5),--($CR$7:$FW$7&lt;=GH$6),$CR167:$FW167)*FZ167</f>
        <v>0</v>
      </c>
      <c r="GI167" s="145" cm="1">
        <f t="array" ref="GI167">SUMPRODUCT(--($CR$7:$FW$7&gt;=GI$5),--($CR$7:$FW$7&lt;=GI$6),$CR167:$FW167)*GA167</f>
        <v>0</v>
      </c>
      <c r="GJ167" s="145" cm="1">
        <f t="array" ref="GJ167">SUMPRODUCT(--($CR$7:$FW$7&gt;=GJ$5),--($CR$7:$FW$7&lt;=GJ$6),$CR167:$FW167)*GB167</f>
        <v>0</v>
      </c>
      <c r="GK167" s="145" cm="1">
        <f t="array" ref="GK167">SUMPRODUCT(--($CR$7:$FW$7&gt;=GK$5),--($CR$7:$FW$7&lt;=GK$6),$CR167:$FW167)*GC167</f>
        <v>0</v>
      </c>
      <c r="GL167" s="145" cm="1">
        <f t="array" ref="GL167">SUMPRODUCT(--($CR$7:$FW$7&gt;=GL$5),--($CR$7:$FW$7&lt;=GL$6),$CR167:$FW167)*GD167</f>
        <v>0</v>
      </c>
      <c r="GM167" s="145" cm="1">
        <f t="array" ref="GM167">SUMPRODUCT(--($CR$7:$FW$7&gt;=GM$5),--($CR$7:$FW$7&lt;=GM$6),$CR167:$FW167)*GE167</f>
        <v>0</v>
      </c>
      <c r="GN167" s="145" cm="1">
        <f t="array" ref="GN167">SUMPRODUCT(--($CR$7:$FW$7&gt;=GN$5),--($CR$7:$FW$7&lt;=GN$6),$CR167:$FW167)*GF167</f>
        <v>0</v>
      </c>
      <c r="GO167" s="145">
        <f t="shared" si="2"/>
        <v>0</v>
      </c>
      <c r="GP167" s="87"/>
      <c r="GR167" s="145" cm="1">
        <f t="array" ref="GR167">SUMPRODUCT(--($CR$7:$FW$7&gt;=GR$5),--($CR$7:$FW$7&lt;=GR$6),$CR167:$FW167)</f>
        <v>0</v>
      </c>
    </row>
    <row r="168" spans="2:200" x14ac:dyDescent="0.2">
      <c r="B168" s="141"/>
      <c r="C168" s="141"/>
      <c r="D168" s="141"/>
      <c r="E168" s="141"/>
      <c r="F168" s="141"/>
      <c r="G168" s="141"/>
      <c r="H168" s="142"/>
      <c r="I168" s="126"/>
      <c r="J168" s="143"/>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3"/>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c r="EE168" s="145"/>
      <c r="EF168" s="145"/>
      <c r="EG168" s="145"/>
      <c r="EH168" s="145"/>
      <c r="EI168" s="145"/>
      <c r="EJ168" s="145"/>
      <c r="EK168" s="145"/>
      <c r="EL168" s="145"/>
      <c r="EM168" s="145"/>
      <c r="EN168" s="145"/>
      <c r="EO168" s="145"/>
      <c r="EP168" s="145"/>
      <c r="EQ168" s="145"/>
      <c r="ER168" s="145"/>
      <c r="ES168" s="145"/>
      <c r="ET168" s="145"/>
      <c r="EU168" s="145"/>
      <c r="EV168" s="145"/>
      <c r="EW168" s="145"/>
      <c r="EX168" s="145"/>
      <c r="EY168" s="145"/>
      <c r="EZ168" s="145"/>
      <c r="FA168" s="145"/>
      <c r="FB168" s="145"/>
      <c r="FC168" s="145"/>
      <c r="FD168" s="145"/>
      <c r="FE168" s="145"/>
      <c r="FF168" s="145"/>
      <c r="FG168" s="145"/>
      <c r="FH168" s="145"/>
      <c r="FI168" s="145"/>
      <c r="FJ168" s="145"/>
      <c r="FK168" s="145"/>
      <c r="FL168" s="145"/>
      <c r="FM168" s="145"/>
      <c r="FN168" s="145"/>
      <c r="FO168" s="145"/>
      <c r="FP168" s="145"/>
      <c r="FQ168" s="145"/>
      <c r="FR168" s="145"/>
      <c r="FS168" s="145"/>
      <c r="FT168" s="145"/>
      <c r="FU168" s="145"/>
      <c r="FV168" s="145"/>
      <c r="FW168" s="145"/>
      <c r="FX168" s="143"/>
      <c r="FY168" s="146">
        <f>_xlfn.XLOOKUP($E168,'Key assumptions'!$B$112:$B$120,'Key assumptions'!$C$112:$C$120,0)</f>
        <v>0</v>
      </c>
      <c r="FZ168" s="146" cm="1">
        <f t="array" ref="FZ168">IF($FY168=0,0,_xlfn.IFS($FY168='Key assumptions'!$C$120,_xlfn.XLOOKUP(LEFT(FZ$7,6),Inflation_Year,Inflation_NominaltoReal),TRUE,_xlfn.XLOOKUP($FY168,Inflation_Year,NominaltoReal)))</f>
        <v>0</v>
      </c>
      <c r="GA168" s="146" cm="1">
        <f t="array" ref="GA168">IF($FY168=0,0,_xlfn.IFS($FY168='Key assumptions'!$C$120,_xlfn.XLOOKUP(LEFT(GA$7,6),Inflation_Year,Inflation_NominaltoReal),TRUE,_xlfn.XLOOKUP($FY168,Inflation_Year,NominaltoReal)))</f>
        <v>0</v>
      </c>
      <c r="GB168" s="146" cm="1">
        <f t="array" ref="GB168">IF($FY168=0,0,_xlfn.IFS($FY168='Key assumptions'!$C$120,_xlfn.XLOOKUP(LEFT(GB$7,6),Inflation_Year,Inflation_NominaltoReal),TRUE,_xlfn.XLOOKUP($FY168,Inflation_Year,NominaltoReal)))</f>
        <v>0</v>
      </c>
      <c r="GC168" s="146" cm="1">
        <f t="array" ref="GC168">IF($FY168=0,0,_xlfn.IFS($FY168='Key assumptions'!$C$120,_xlfn.XLOOKUP(LEFT(GC$7,6),Inflation_Year,Inflation_NominaltoReal),TRUE,_xlfn.XLOOKUP($FY168,Inflation_Year,NominaltoReal)))</f>
        <v>0</v>
      </c>
      <c r="GD168" s="146" cm="1">
        <f t="array" ref="GD168">IF($FY168=0,0,_xlfn.IFS($FY168='Key assumptions'!$C$120,_xlfn.XLOOKUP(LEFT(GD$7,6),Inflation_Year,Inflation_NominaltoReal),TRUE,_xlfn.XLOOKUP($FY168,Inflation_Year,NominaltoReal)))</f>
        <v>0</v>
      </c>
      <c r="GE168" s="146" cm="1">
        <f t="array" ref="GE168">IF($FY168=0,0,_xlfn.IFS($FY168='Key assumptions'!$C$120,_xlfn.XLOOKUP(LEFT(GE$7,6),Inflation_Year,Inflation_NominaltoReal),TRUE,_xlfn.XLOOKUP($FY168,Inflation_Year,NominaltoReal)))</f>
        <v>0</v>
      </c>
      <c r="GF168" s="146" cm="1">
        <f t="array" ref="GF168">IF($FY168=0,0,_xlfn.IFS($FY168='Key assumptions'!$C$120,_xlfn.XLOOKUP(LEFT(GF$7,6),Inflation_Year,Inflation_NominaltoReal),TRUE,_xlfn.XLOOKUP($FY168,Inflation_Year,NominaltoReal)))</f>
        <v>0</v>
      </c>
      <c r="GG168" s="143"/>
      <c r="GH168" s="145" cm="1">
        <f t="array" ref="GH168">SUMPRODUCT(--($CR$7:$FW$7&gt;=GH$5),--($CR$7:$FW$7&lt;=GH$6),$CR168:$FW168)*FZ168</f>
        <v>0</v>
      </c>
      <c r="GI168" s="145" cm="1">
        <f t="array" ref="GI168">SUMPRODUCT(--($CR$7:$FW$7&gt;=GI$5),--($CR$7:$FW$7&lt;=GI$6),$CR168:$FW168)*GA168</f>
        <v>0</v>
      </c>
      <c r="GJ168" s="145" cm="1">
        <f t="array" ref="GJ168">SUMPRODUCT(--($CR$7:$FW$7&gt;=GJ$5),--($CR$7:$FW$7&lt;=GJ$6),$CR168:$FW168)*GB168</f>
        <v>0</v>
      </c>
      <c r="GK168" s="145" cm="1">
        <f t="array" ref="GK168">SUMPRODUCT(--($CR$7:$FW$7&gt;=GK$5),--($CR$7:$FW$7&lt;=GK$6),$CR168:$FW168)*GC168</f>
        <v>0</v>
      </c>
      <c r="GL168" s="145" cm="1">
        <f t="array" ref="GL168">SUMPRODUCT(--($CR$7:$FW$7&gt;=GL$5),--($CR$7:$FW$7&lt;=GL$6),$CR168:$FW168)*GD168</f>
        <v>0</v>
      </c>
      <c r="GM168" s="145" cm="1">
        <f t="array" ref="GM168">SUMPRODUCT(--($CR$7:$FW$7&gt;=GM$5),--($CR$7:$FW$7&lt;=GM$6),$CR168:$FW168)*GE168</f>
        <v>0</v>
      </c>
      <c r="GN168" s="145" cm="1">
        <f t="array" ref="GN168">SUMPRODUCT(--($CR$7:$FW$7&gt;=GN$5),--($CR$7:$FW$7&lt;=GN$6),$CR168:$FW168)*GF168</f>
        <v>0</v>
      </c>
      <c r="GO168" s="145">
        <f t="shared" si="2"/>
        <v>0</v>
      </c>
      <c r="GP168" s="87"/>
      <c r="GR168" s="145" cm="1">
        <f t="array" ref="GR168">SUMPRODUCT(--($CR$7:$FW$7&gt;=GR$5),--($CR$7:$FW$7&lt;=GR$6),$CR168:$FW168)</f>
        <v>0</v>
      </c>
    </row>
    <row r="169" spans="2:200" x14ac:dyDescent="0.2">
      <c r="B169" s="141"/>
      <c r="C169" s="141"/>
      <c r="D169" s="141"/>
      <c r="E169" s="141"/>
      <c r="F169" s="141"/>
      <c r="G169" s="141"/>
      <c r="H169" s="142"/>
      <c r="I169" s="126"/>
      <c r="J169" s="143"/>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3"/>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c r="EE169" s="145"/>
      <c r="EF169" s="145"/>
      <c r="EG169" s="145"/>
      <c r="EH169" s="145"/>
      <c r="EI169" s="145"/>
      <c r="EJ169" s="145"/>
      <c r="EK169" s="145"/>
      <c r="EL169" s="145"/>
      <c r="EM169" s="145"/>
      <c r="EN169" s="145"/>
      <c r="EO169" s="145"/>
      <c r="EP169" s="145"/>
      <c r="EQ169" s="145"/>
      <c r="ER169" s="145"/>
      <c r="ES169" s="145"/>
      <c r="ET169" s="145"/>
      <c r="EU169" s="145"/>
      <c r="EV169" s="145"/>
      <c r="EW169" s="145"/>
      <c r="EX169" s="145"/>
      <c r="EY169" s="145"/>
      <c r="EZ169" s="145"/>
      <c r="FA169" s="145"/>
      <c r="FB169" s="145"/>
      <c r="FC169" s="145"/>
      <c r="FD169" s="145"/>
      <c r="FE169" s="145"/>
      <c r="FF169" s="145"/>
      <c r="FG169" s="145"/>
      <c r="FH169" s="145"/>
      <c r="FI169" s="145"/>
      <c r="FJ169" s="145"/>
      <c r="FK169" s="145"/>
      <c r="FL169" s="145"/>
      <c r="FM169" s="145"/>
      <c r="FN169" s="145"/>
      <c r="FO169" s="145"/>
      <c r="FP169" s="145"/>
      <c r="FQ169" s="145"/>
      <c r="FR169" s="145"/>
      <c r="FS169" s="145"/>
      <c r="FT169" s="145"/>
      <c r="FU169" s="145"/>
      <c r="FV169" s="145"/>
      <c r="FW169" s="145"/>
      <c r="FX169" s="143"/>
      <c r="FY169" s="146">
        <f>_xlfn.XLOOKUP($E169,'Key assumptions'!$B$112:$B$120,'Key assumptions'!$C$112:$C$120,0)</f>
        <v>0</v>
      </c>
      <c r="FZ169" s="146" cm="1">
        <f t="array" ref="FZ169">IF($FY169=0,0,_xlfn.IFS($FY169='Key assumptions'!$C$120,_xlfn.XLOOKUP(LEFT(FZ$7,6),Inflation_Year,Inflation_NominaltoReal),TRUE,_xlfn.XLOOKUP($FY169,Inflation_Year,NominaltoReal)))</f>
        <v>0</v>
      </c>
      <c r="GA169" s="146" cm="1">
        <f t="array" ref="GA169">IF($FY169=0,0,_xlfn.IFS($FY169='Key assumptions'!$C$120,_xlfn.XLOOKUP(LEFT(GA$7,6),Inflation_Year,Inflation_NominaltoReal),TRUE,_xlfn.XLOOKUP($FY169,Inflation_Year,NominaltoReal)))</f>
        <v>0</v>
      </c>
      <c r="GB169" s="146" cm="1">
        <f t="array" ref="GB169">IF($FY169=0,0,_xlfn.IFS($FY169='Key assumptions'!$C$120,_xlfn.XLOOKUP(LEFT(GB$7,6),Inflation_Year,Inflation_NominaltoReal),TRUE,_xlfn.XLOOKUP($FY169,Inflation_Year,NominaltoReal)))</f>
        <v>0</v>
      </c>
      <c r="GC169" s="146" cm="1">
        <f t="array" ref="GC169">IF($FY169=0,0,_xlfn.IFS($FY169='Key assumptions'!$C$120,_xlfn.XLOOKUP(LEFT(GC$7,6),Inflation_Year,Inflation_NominaltoReal),TRUE,_xlfn.XLOOKUP($FY169,Inflation_Year,NominaltoReal)))</f>
        <v>0</v>
      </c>
      <c r="GD169" s="146" cm="1">
        <f t="array" ref="GD169">IF($FY169=0,0,_xlfn.IFS($FY169='Key assumptions'!$C$120,_xlfn.XLOOKUP(LEFT(GD$7,6),Inflation_Year,Inflation_NominaltoReal),TRUE,_xlfn.XLOOKUP($FY169,Inflation_Year,NominaltoReal)))</f>
        <v>0</v>
      </c>
      <c r="GE169" s="146" cm="1">
        <f t="array" ref="GE169">IF($FY169=0,0,_xlfn.IFS($FY169='Key assumptions'!$C$120,_xlfn.XLOOKUP(LEFT(GE$7,6),Inflation_Year,Inflation_NominaltoReal),TRUE,_xlfn.XLOOKUP($FY169,Inflation_Year,NominaltoReal)))</f>
        <v>0</v>
      </c>
      <c r="GF169" s="146" cm="1">
        <f t="array" ref="GF169">IF($FY169=0,0,_xlfn.IFS($FY169='Key assumptions'!$C$120,_xlfn.XLOOKUP(LEFT(GF$7,6),Inflation_Year,Inflation_NominaltoReal),TRUE,_xlfn.XLOOKUP($FY169,Inflation_Year,NominaltoReal)))</f>
        <v>0</v>
      </c>
      <c r="GG169" s="143"/>
      <c r="GH169" s="145" cm="1">
        <f t="array" ref="GH169">SUMPRODUCT(--($CR$7:$FW$7&gt;=GH$5),--($CR$7:$FW$7&lt;=GH$6),$CR169:$FW169)*FZ169</f>
        <v>0</v>
      </c>
      <c r="GI169" s="145" cm="1">
        <f t="array" ref="GI169">SUMPRODUCT(--($CR$7:$FW$7&gt;=GI$5),--($CR$7:$FW$7&lt;=GI$6),$CR169:$FW169)*GA169</f>
        <v>0</v>
      </c>
      <c r="GJ169" s="145" cm="1">
        <f t="array" ref="GJ169">SUMPRODUCT(--($CR$7:$FW$7&gt;=GJ$5),--($CR$7:$FW$7&lt;=GJ$6),$CR169:$FW169)*GB169</f>
        <v>0</v>
      </c>
      <c r="GK169" s="145" cm="1">
        <f t="array" ref="GK169">SUMPRODUCT(--($CR$7:$FW$7&gt;=GK$5),--($CR$7:$FW$7&lt;=GK$6),$CR169:$FW169)*GC169</f>
        <v>0</v>
      </c>
      <c r="GL169" s="145" cm="1">
        <f t="array" ref="GL169">SUMPRODUCT(--($CR$7:$FW$7&gt;=GL$5),--($CR$7:$FW$7&lt;=GL$6),$CR169:$FW169)*GD169</f>
        <v>0</v>
      </c>
      <c r="GM169" s="145" cm="1">
        <f t="array" ref="GM169">SUMPRODUCT(--($CR$7:$FW$7&gt;=GM$5),--($CR$7:$FW$7&lt;=GM$6),$CR169:$FW169)*GE169</f>
        <v>0</v>
      </c>
      <c r="GN169" s="145" cm="1">
        <f t="array" ref="GN169">SUMPRODUCT(--($CR$7:$FW$7&gt;=GN$5),--($CR$7:$FW$7&lt;=GN$6),$CR169:$FW169)*GF169</f>
        <v>0</v>
      </c>
      <c r="GO169" s="145">
        <f t="shared" si="2"/>
        <v>0</v>
      </c>
      <c r="GP169" s="87"/>
      <c r="GR169" s="145" cm="1">
        <f t="array" ref="GR169">SUMPRODUCT(--($CR$7:$FW$7&gt;=GR$5),--($CR$7:$FW$7&lt;=GR$6),$CR169:$FW169)</f>
        <v>0</v>
      </c>
    </row>
    <row r="170" spans="2:200" x14ac:dyDescent="0.2">
      <c r="B170" s="141"/>
      <c r="C170" s="141"/>
      <c r="D170" s="141"/>
      <c r="E170" s="141"/>
      <c r="F170" s="141"/>
      <c r="G170" s="141"/>
      <c r="H170" s="142"/>
      <c r="I170" s="126"/>
      <c r="J170" s="143"/>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3"/>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c r="EE170" s="145"/>
      <c r="EF170" s="145"/>
      <c r="EG170" s="145"/>
      <c r="EH170" s="145"/>
      <c r="EI170" s="145"/>
      <c r="EJ170" s="145"/>
      <c r="EK170" s="145"/>
      <c r="EL170" s="145"/>
      <c r="EM170" s="145"/>
      <c r="EN170" s="145"/>
      <c r="EO170" s="145"/>
      <c r="EP170" s="145"/>
      <c r="EQ170" s="145"/>
      <c r="ER170" s="145"/>
      <c r="ES170" s="145"/>
      <c r="ET170" s="145"/>
      <c r="EU170" s="145"/>
      <c r="EV170" s="145"/>
      <c r="EW170" s="145"/>
      <c r="EX170" s="145"/>
      <c r="EY170" s="145"/>
      <c r="EZ170" s="145"/>
      <c r="FA170" s="145"/>
      <c r="FB170" s="145"/>
      <c r="FC170" s="145"/>
      <c r="FD170" s="145"/>
      <c r="FE170" s="145"/>
      <c r="FF170" s="145"/>
      <c r="FG170" s="145"/>
      <c r="FH170" s="145"/>
      <c r="FI170" s="145"/>
      <c r="FJ170" s="145"/>
      <c r="FK170" s="145"/>
      <c r="FL170" s="145"/>
      <c r="FM170" s="145"/>
      <c r="FN170" s="145"/>
      <c r="FO170" s="145"/>
      <c r="FP170" s="145"/>
      <c r="FQ170" s="145"/>
      <c r="FR170" s="145"/>
      <c r="FS170" s="145"/>
      <c r="FT170" s="145"/>
      <c r="FU170" s="145"/>
      <c r="FV170" s="145"/>
      <c r="FW170" s="145"/>
      <c r="FX170" s="143"/>
      <c r="FY170" s="146">
        <f>_xlfn.XLOOKUP($E170,'Key assumptions'!$B$112:$B$120,'Key assumptions'!$C$112:$C$120,0)</f>
        <v>0</v>
      </c>
      <c r="FZ170" s="146" cm="1">
        <f t="array" ref="FZ170">IF($FY170=0,0,_xlfn.IFS($FY170='Key assumptions'!$C$120,_xlfn.XLOOKUP(LEFT(FZ$7,6),Inflation_Year,Inflation_NominaltoReal),TRUE,_xlfn.XLOOKUP($FY170,Inflation_Year,NominaltoReal)))</f>
        <v>0</v>
      </c>
      <c r="GA170" s="146" cm="1">
        <f t="array" ref="GA170">IF($FY170=0,0,_xlfn.IFS($FY170='Key assumptions'!$C$120,_xlfn.XLOOKUP(LEFT(GA$7,6),Inflation_Year,Inflation_NominaltoReal),TRUE,_xlfn.XLOOKUP($FY170,Inflation_Year,NominaltoReal)))</f>
        <v>0</v>
      </c>
      <c r="GB170" s="146" cm="1">
        <f t="array" ref="GB170">IF($FY170=0,0,_xlfn.IFS($FY170='Key assumptions'!$C$120,_xlfn.XLOOKUP(LEFT(GB$7,6),Inflation_Year,Inflation_NominaltoReal),TRUE,_xlfn.XLOOKUP($FY170,Inflation_Year,NominaltoReal)))</f>
        <v>0</v>
      </c>
      <c r="GC170" s="146" cm="1">
        <f t="array" ref="GC170">IF($FY170=0,0,_xlfn.IFS($FY170='Key assumptions'!$C$120,_xlfn.XLOOKUP(LEFT(GC$7,6),Inflation_Year,Inflation_NominaltoReal),TRUE,_xlfn.XLOOKUP($FY170,Inflation_Year,NominaltoReal)))</f>
        <v>0</v>
      </c>
      <c r="GD170" s="146" cm="1">
        <f t="array" ref="GD170">IF($FY170=0,0,_xlfn.IFS($FY170='Key assumptions'!$C$120,_xlfn.XLOOKUP(LEFT(GD$7,6),Inflation_Year,Inflation_NominaltoReal),TRUE,_xlfn.XLOOKUP($FY170,Inflation_Year,NominaltoReal)))</f>
        <v>0</v>
      </c>
      <c r="GE170" s="146" cm="1">
        <f t="array" ref="GE170">IF($FY170=0,0,_xlfn.IFS($FY170='Key assumptions'!$C$120,_xlfn.XLOOKUP(LEFT(GE$7,6),Inflation_Year,Inflation_NominaltoReal),TRUE,_xlfn.XLOOKUP($FY170,Inflation_Year,NominaltoReal)))</f>
        <v>0</v>
      </c>
      <c r="GF170" s="146" cm="1">
        <f t="array" ref="GF170">IF($FY170=0,0,_xlfn.IFS($FY170='Key assumptions'!$C$120,_xlfn.XLOOKUP(LEFT(GF$7,6),Inflation_Year,Inflation_NominaltoReal),TRUE,_xlfn.XLOOKUP($FY170,Inflation_Year,NominaltoReal)))</f>
        <v>0</v>
      </c>
      <c r="GG170" s="143"/>
      <c r="GH170" s="145" cm="1">
        <f t="array" ref="GH170">SUMPRODUCT(--($CR$7:$FW$7&gt;=GH$5),--($CR$7:$FW$7&lt;=GH$6),$CR170:$FW170)*FZ170</f>
        <v>0</v>
      </c>
      <c r="GI170" s="145" cm="1">
        <f t="array" ref="GI170">SUMPRODUCT(--($CR$7:$FW$7&gt;=GI$5),--($CR$7:$FW$7&lt;=GI$6),$CR170:$FW170)*GA170</f>
        <v>0</v>
      </c>
      <c r="GJ170" s="145" cm="1">
        <f t="array" ref="GJ170">SUMPRODUCT(--($CR$7:$FW$7&gt;=GJ$5),--($CR$7:$FW$7&lt;=GJ$6),$CR170:$FW170)*GB170</f>
        <v>0</v>
      </c>
      <c r="GK170" s="145" cm="1">
        <f t="array" ref="GK170">SUMPRODUCT(--($CR$7:$FW$7&gt;=GK$5),--($CR$7:$FW$7&lt;=GK$6),$CR170:$FW170)*GC170</f>
        <v>0</v>
      </c>
      <c r="GL170" s="145" cm="1">
        <f t="array" ref="GL170">SUMPRODUCT(--($CR$7:$FW$7&gt;=GL$5),--($CR$7:$FW$7&lt;=GL$6),$CR170:$FW170)*GD170</f>
        <v>0</v>
      </c>
      <c r="GM170" s="145" cm="1">
        <f t="array" ref="GM170">SUMPRODUCT(--($CR$7:$FW$7&gt;=GM$5),--($CR$7:$FW$7&lt;=GM$6),$CR170:$FW170)*GE170</f>
        <v>0</v>
      </c>
      <c r="GN170" s="145" cm="1">
        <f t="array" ref="GN170">SUMPRODUCT(--($CR$7:$FW$7&gt;=GN$5),--($CR$7:$FW$7&lt;=GN$6),$CR170:$FW170)*GF170</f>
        <v>0</v>
      </c>
      <c r="GO170" s="145">
        <f t="shared" si="2"/>
        <v>0</v>
      </c>
      <c r="GP170" s="87"/>
      <c r="GR170" s="145" cm="1">
        <f t="array" ref="GR170">SUMPRODUCT(--($CR$7:$FW$7&gt;=GR$5),--($CR$7:$FW$7&lt;=GR$6),$CR170:$FW170)</f>
        <v>0</v>
      </c>
    </row>
    <row r="171" spans="2:200" x14ac:dyDescent="0.2">
      <c r="B171" s="141"/>
      <c r="C171" s="141"/>
      <c r="D171" s="141"/>
      <c r="E171" s="141"/>
      <c r="F171" s="141"/>
      <c r="G171" s="141"/>
      <c r="H171" s="142"/>
      <c r="I171" s="126"/>
      <c r="J171" s="143"/>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3"/>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c r="EE171" s="145"/>
      <c r="EF171" s="145"/>
      <c r="EG171" s="145"/>
      <c r="EH171" s="145"/>
      <c r="EI171" s="145"/>
      <c r="EJ171" s="145"/>
      <c r="EK171" s="145"/>
      <c r="EL171" s="145"/>
      <c r="EM171" s="145"/>
      <c r="EN171" s="145"/>
      <c r="EO171" s="145"/>
      <c r="EP171" s="145"/>
      <c r="EQ171" s="145"/>
      <c r="ER171" s="145"/>
      <c r="ES171" s="145"/>
      <c r="ET171" s="145"/>
      <c r="EU171" s="145"/>
      <c r="EV171" s="145"/>
      <c r="EW171" s="145"/>
      <c r="EX171" s="145"/>
      <c r="EY171" s="145"/>
      <c r="EZ171" s="145"/>
      <c r="FA171" s="145"/>
      <c r="FB171" s="145"/>
      <c r="FC171" s="145"/>
      <c r="FD171" s="145"/>
      <c r="FE171" s="145"/>
      <c r="FF171" s="145"/>
      <c r="FG171" s="145"/>
      <c r="FH171" s="145"/>
      <c r="FI171" s="145"/>
      <c r="FJ171" s="145"/>
      <c r="FK171" s="145"/>
      <c r="FL171" s="145"/>
      <c r="FM171" s="145"/>
      <c r="FN171" s="145"/>
      <c r="FO171" s="145"/>
      <c r="FP171" s="145"/>
      <c r="FQ171" s="145"/>
      <c r="FR171" s="145"/>
      <c r="FS171" s="145"/>
      <c r="FT171" s="145"/>
      <c r="FU171" s="145"/>
      <c r="FV171" s="145"/>
      <c r="FW171" s="145"/>
      <c r="FX171" s="143"/>
      <c r="FY171" s="146">
        <f>_xlfn.XLOOKUP($E171,'Key assumptions'!$B$112:$B$120,'Key assumptions'!$C$112:$C$120,0)</f>
        <v>0</v>
      </c>
      <c r="FZ171" s="146" cm="1">
        <f t="array" ref="FZ171">IF($FY171=0,0,_xlfn.IFS($FY171='Key assumptions'!$C$120,_xlfn.XLOOKUP(LEFT(FZ$7,6),Inflation_Year,Inflation_NominaltoReal),TRUE,_xlfn.XLOOKUP($FY171,Inflation_Year,NominaltoReal)))</f>
        <v>0</v>
      </c>
      <c r="GA171" s="146" cm="1">
        <f t="array" ref="GA171">IF($FY171=0,0,_xlfn.IFS($FY171='Key assumptions'!$C$120,_xlfn.XLOOKUP(LEFT(GA$7,6),Inflation_Year,Inflation_NominaltoReal),TRUE,_xlfn.XLOOKUP($FY171,Inflation_Year,NominaltoReal)))</f>
        <v>0</v>
      </c>
      <c r="GB171" s="146" cm="1">
        <f t="array" ref="GB171">IF($FY171=0,0,_xlfn.IFS($FY171='Key assumptions'!$C$120,_xlfn.XLOOKUP(LEFT(GB$7,6),Inflation_Year,Inflation_NominaltoReal),TRUE,_xlfn.XLOOKUP($FY171,Inflation_Year,NominaltoReal)))</f>
        <v>0</v>
      </c>
      <c r="GC171" s="146" cm="1">
        <f t="array" ref="GC171">IF($FY171=0,0,_xlfn.IFS($FY171='Key assumptions'!$C$120,_xlfn.XLOOKUP(LEFT(GC$7,6),Inflation_Year,Inflation_NominaltoReal),TRUE,_xlfn.XLOOKUP($FY171,Inflation_Year,NominaltoReal)))</f>
        <v>0</v>
      </c>
      <c r="GD171" s="146" cm="1">
        <f t="array" ref="GD171">IF($FY171=0,0,_xlfn.IFS($FY171='Key assumptions'!$C$120,_xlfn.XLOOKUP(LEFT(GD$7,6),Inflation_Year,Inflation_NominaltoReal),TRUE,_xlfn.XLOOKUP($FY171,Inflation_Year,NominaltoReal)))</f>
        <v>0</v>
      </c>
      <c r="GE171" s="146" cm="1">
        <f t="array" ref="GE171">IF($FY171=0,0,_xlfn.IFS($FY171='Key assumptions'!$C$120,_xlfn.XLOOKUP(LEFT(GE$7,6),Inflation_Year,Inflation_NominaltoReal),TRUE,_xlfn.XLOOKUP($FY171,Inflation_Year,NominaltoReal)))</f>
        <v>0</v>
      </c>
      <c r="GF171" s="146" cm="1">
        <f t="array" ref="GF171">IF($FY171=0,0,_xlfn.IFS($FY171='Key assumptions'!$C$120,_xlfn.XLOOKUP(LEFT(GF$7,6),Inflation_Year,Inflation_NominaltoReal),TRUE,_xlfn.XLOOKUP($FY171,Inflation_Year,NominaltoReal)))</f>
        <v>0</v>
      </c>
      <c r="GG171" s="143"/>
      <c r="GH171" s="145" cm="1">
        <f t="array" ref="GH171">SUMPRODUCT(--($CR$7:$FW$7&gt;=GH$5),--($CR$7:$FW$7&lt;=GH$6),$CR171:$FW171)*FZ171</f>
        <v>0</v>
      </c>
      <c r="GI171" s="145" cm="1">
        <f t="array" ref="GI171">SUMPRODUCT(--($CR$7:$FW$7&gt;=GI$5),--($CR$7:$FW$7&lt;=GI$6),$CR171:$FW171)*GA171</f>
        <v>0</v>
      </c>
      <c r="GJ171" s="145" cm="1">
        <f t="array" ref="GJ171">SUMPRODUCT(--($CR$7:$FW$7&gt;=GJ$5),--($CR$7:$FW$7&lt;=GJ$6),$CR171:$FW171)*GB171</f>
        <v>0</v>
      </c>
      <c r="GK171" s="145" cm="1">
        <f t="array" ref="GK171">SUMPRODUCT(--($CR$7:$FW$7&gt;=GK$5),--($CR$7:$FW$7&lt;=GK$6),$CR171:$FW171)*GC171</f>
        <v>0</v>
      </c>
      <c r="GL171" s="145" cm="1">
        <f t="array" ref="GL171">SUMPRODUCT(--($CR$7:$FW$7&gt;=GL$5),--($CR$7:$FW$7&lt;=GL$6),$CR171:$FW171)*GD171</f>
        <v>0</v>
      </c>
      <c r="GM171" s="145" cm="1">
        <f t="array" ref="GM171">SUMPRODUCT(--($CR$7:$FW$7&gt;=GM$5),--($CR$7:$FW$7&lt;=GM$6),$CR171:$FW171)*GE171</f>
        <v>0</v>
      </c>
      <c r="GN171" s="145" cm="1">
        <f t="array" ref="GN171">SUMPRODUCT(--($CR$7:$FW$7&gt;=GN$5),--($CR$7:$FW$7&lt;=GN$6),$CR171:$FW171)*GF171</f>
        <v>0</v>
      </c>
      <c r="GO171" s="145">
        <f t="shared" si="2"/>
        <v>0</v>
      </c>
      <c r="GP171" s="87"/>
      <c r="GR171" s="145" cm="1">
        <f t="array" ref="GR171">SUMPRODUCT(--($CR$7:$FW$7&gt;=GR$5),--($CR$7:$FW$7&lt;=GR$6),$CR171:$FW171)</f>
        <v>0</v>
      </c>
    </row>
    <row r="172" spans="2:200" x14ac:dyDescent="0.2">
      <c r="B172" s="141"/>
      <c r="C172" s="141"/>
      <c r="D172" s="141"/>
      <c r="E172" s="141"/>
      <c r="F172" s="141"/>
      <c r="G172" s="141"/>
      <c r="H172" s="142"/>
      <c r="I172" s="126"/>
      <c r="J172" s="143"/>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3"/>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145"/>
      <c r="EH172" s="145"/>
      <c r="EI172" s="145"/>
      <c r="EJ172" s="145"/>
      <c r="EK172" s="145"/>
      <c r="EL172" s="145"/>
      <c r="EM172" s="145"/>
      <c r="EN172" s="145"/>
      <c r="EO172" s="145"/>
      <c r="EP172" s="145"/>
      <c r="EQ172" s="145"/>
      <c r="ER172" s="145"/>
      <c r="ES172" s="145"/>
      <c r="ET172" s="145"/>
      <c r="EU172" s="145"/>
      <c r="EV172" s="145"/>
      <c r="EW172" s="145"/>
      <c r="EX172" s="145"/>
      <c r="EY172" s="145"/>
      <c r="EZ172" s="145"/>
      <c r="FA172" s="145"/>
      <c r="FB172" s="145"/>
      <c r="FC172" s="145"/>
      <c r="FD172" s="145"/>
      <c r="FE172" s="145"/>
      <c r="FF172" s="145"/>
      <c r="FG172" s="145"/>
      <c r="FH172" s="145"/>
      <c r="FI172" s="145"/>
      <c r="FJ172" s="145"/>
      <c r="FK172" s="145"/>
      <c r="FL172" s="145"/>
      <c r="FM172" s="145"/>
      <c r="FN172" s="145"/>
      <c r="FO172" s="145"/>
      <c r="FP172" s="145"/>
      <c r="FQ172" s="145"/>
      <c r="FR172" s="145"/>
      <c r="FS172" s="145"/>
      <c r="FT172" s="145"/>
      <c r="FU172" s="145"/>
      <c r="FV172" s="145"/>
      <c r="FW172" s="145"/>
      <c r="FX172" s="143"/>
      <c r="FY172" s="146">
        <f>_xlfn.XLOOKUP($E172,'Key assumptions'!$B$112:$B$120,'Key assumptions'!$C$112:$C$120,0)</f>
        <v>0</v>
      </c>
      <c r="FZ172" s="146" cm="1">
        <f t="array" ref="FZ172">IF($FY172=0,0,_xlfn.IFS($FY172='Key assumptions'!$C$120,_xlfn.XLOOKUP(LEFT(FZ$7,6),Inflation_Year,Inflation_NominaltoReal),TRUE,_xlfn.XLOOKUP($FY172,Inflation_Year,NominaltoReal)))</f>
        <v>0</v>
      </c>
      <c r="GA172" s="146" cm="1">
        <f t="array" ref="GA172">IF($FY172=0,0,_xlfn.IFS($FY172='Key assumptions'!$C$120,_xlfn.XLOOKUP(LEFT(GA$7,6),Inflation_Year,Inflation_NominaltoReal),TRUE,_xlfn.XLOOKUP($FY172,Inflation_Year,NominaltoReal)))</f>
        <v>0</v>
      </c>
      <c r="GB172" s="146" cm="1">
        <f t="array" ref="GB172">IF($FY172=0,0,_xlfn.IFS($FY172='Key assumptions'!$C$120,_xlfn.XLOOKUP(LEFT(GB$7,6),Inflation_Year,Inflation_NominaltoReal),TRUE,_xlfn.XLOOKUP($FY172,Inflation_Year,NominaltoReal)))</f>
        <v>0</v>
      </c>
      <c r="GC172" s="146" cm="1">
        <f t="array" ref="GC172">IF($FY172=0,0,_xlfn.IFS($FY172='Key assumptions'!$C$120,_xlfn.XLOOKUP(LEFT(GC$7,6),Inflation_Year,Inflation_NominaltoReal),TRUE,_xlfn.XLOOKUP($FY172,Inflation_Year,NominaltoReal)))</f>
        <v>0</v>
      </c>
      <c r="GD172" s="146" cm="1">
        <f t="array" ref="GD172">IF($FY172=0,0,_xlfn.IFS($FY172='Key assumptions'!$C$120,_xlfn.XLOOKUP(LEFT(GD$7,6),Inflation_Year,Inflation_NominaltoReal),TRUE,_xlfn.XLOOKUP($FY172,Inflation_Year,NominaltoReal)))</f>
        <v>0</v>
      </c>
      <c r="GE172" s="146" cm="1">
        <f t="array" ref="GE172">IF($FY172=0,0,_xlfn.IFS($FY172='Key assumptions'!$C$120,_xlfn.XLOOKUP(LEFT(GE$7,6),Inflation_Year,Inflation_NominaltoReal),TRUE,_xlfn.XLOOKUP($FY172,Inflation_Year,NominaltoReal)))</f>
        <v>0</v>
      </c>
      <c r="GF172" s="146" cm="1">
        <f t="array" ref="GF172">IF($FY172=0,0,_xlfn.IFS($FY172='Key assumptions'!$C$120,_xlfn.XLOOKUP(LEFT(GF$7,6),Inflation_Year,Inflation_NominaltoReal),TRUE,_xlfn.XLOOKUP($FY172,Inflation_Year,NominaltoReal)))</f>
        <v>0</v>
      </c>
      <c r="GG172" s="143"/>
      <c r="GH172" s="145" cm="1">
        <f t="array" ref="GH172">SUMPRODUCT(--($CR$7:$FW$7&gt;=GH$5),--($CR$7:$FW$7&lt;=GH$6),$CR172:$FW172)*FZ172</f>
        <v>0</v>
      </c>
      <c r="GI172" s="145" cm="1">
        <f t="array" ref="GI172">SUMPRODUCT(--($CR$7:$FW$7&gt;=GI$5),--($CR$7:$FW$7&lt;=GI$6),$CR172:$FW172)*GA172</f>
        <v>0</v>
      </c>
      <c r="GJ172" s="145" cm="1">
        <f t="array" ref="GJ172">SUMPRODUCT(--($CR$7:$FW$7&gt;=GJ$5),--($CR$7:$FW$7&lt;=GJ$6),$CR172:$FW172)*GB172</f>
        <v>0</v>
      </c>
      <c r="GK172" s="145" cm="1">
        <f t="array" ref="GK172">SUMPRODUCT(--($CR$7:$FW$7&gt;=GK$5),--($CR$7:$FW$7&lt;=GK$6),$CR172:$FW172)*GC172</f>
        <v>0</v>
      </c>
      <c r="GL172" s="145" cm="1">
        <f t="array" ref="GL172">SUMPRODUCT(--($CR$7:$FW$7&gt;=GL$5),--($CR$7:$FW$7&lt;=GL$6),$CR172:$FW172)*GD172</f>
        <v>0</v>
      </c>
      <c r="GM172" s="145" cm="1">
        <f t="array" ref="GM172">SUMPRODUCT(--($CR$7:$FW$7&gt;=GM$5),--($CR$7:$FW$7&lt;=GM$6),$CR172:$FW172)*GE172</f>
        <v>0</v>
      </c>
      <c r="GN172" s="145" cm="1">
        <f t="array" ref="GN172">SUMPRODUCT(--($CR$7:$FW$7&gt;=GN$5),--($CR$7:$FW$7&lt;=GN$6),$CR172:$FW172)*GF172</f>
        <v>0</v>
      </c>
      <c r="GO172" s="145">
        <f t="shared" si="2"/>
        <v>0</v>
      </c>
      <c r="GP172" s="87"/>
      <c r="GR172" s="145" cm="1">
        <f t="array" ref="GR172">SUMPRODUCT(--($CR$7:$FW$7&gt;=GR$5),--($CR$7:$FW$7&lt;=GR$6),$CR172:$FW172)</f>
        <v>0</v>
      </c>
    </row>
    <row r="173" spans="2:200" x14ac:dyDescent="0.2">
      <c r="B173" s="141"/>
      <c r="C173" s="141"/>
      <c r="D173" s="141"/>
      <c r="E173" s="141"/>
      <c r="F173" s="141"/>
      <c r="G173" s="141"/>
      <c r="H173" s="142"/>
      <c r="I173" s="126"/>
      <c r="J173" s="143"/>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3"/>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5"/>
      <c r="EU173" s="145"/>
      <c r="EV173" s="145"/>
      <c r="EW173" s="145"/>
      <c r="EX173" s="145"/>
      <c r="EY173" s="145"/>
      <c r="EZ173" s="145"/>
      <c r="FA173" s="145"/>
      <c r="FB173" s="145"/>
      <c r="FC173" s="145"/>
      <c r="FD173" s="145"/>
      <c r="FE173" s="145"/>
      <c r="FF173" s="145"/>
      <c r="FG173" s="145"/>
      <c r="FH173" s="145"/>
      <c r="FI173" s="145"/>
      <c r="FJ173" s="145"/>
      <c r="FK173" s="145"/>
      <c r="FL173" s="145"/>
      <c r="FM173" s="145"/>
      <c r="FN173" s="145"/>
      <c r="FO173" s="145"/>
      <c r="FP173" s="145"/>
      <c r="FQ173" s="145"/>
      <c r="FR173" s="145"/>
      <c r="FS173" s="145"/>
      <c r="FT173" s="145"/>
      <c r="FU173" s="145"/>
      <c r="FV173" s="145"/>
      <c r="FW173" s="145"/>
      <c r="FX173" s="143"/>
      <c r="FY173" s="146">
        <f>_xlfn.XLOOKUP($E173,'Key assumptions'!$B$112:$B$120,'Key assumptions'!$C$112:$C$120,0)</f>
        <v>0</v>
      </c>
      <c r="FZ173" s="146" cm="1">
        <f t="array" ref="FZ173">IF($FY173=0,0,_xlfn.IFS($FY173='Key assumptions'!$C$120,_xlfn.XLOOKUP(LEFT(FZ$7,6),Inflation_Year,Inflation_NominaltoReal),TRUE,_xlfn.XLOOKUP($FY173,Inflation_Year,NominaltoReal)))</f>
        <v>0</v>
      </c>
      <c r="GA173" s="146" cm="1">
        <f t="array" ref="GA173">IF($FY173=0,0,_xlfn.IFS($FY173='Key assumptions'!$C$120,_xlfn.XLOOKUP(LEFT(GA$7,6),Inflation_Year,Inflation_NominaltoReal),TRUE,_xlfn.XLOOKUP($FY173,Inflation_Year,NominaltoReal)))</f>
        <v>0</v>
      </c>
      <c r="GB173" s="146" cm="1">
        <f t="array" ref="GB173">IF($FY173=0,0,_xlfn.IFS($FY173='Key assumptions'!$C$120,_xlfn.XLOOKUP(LEFT(GB$7,6),Inflation_Year,Inflation_NominaltoReal),TRUE,_xlfn.XLOOKUP($FY173,Inflation_Year,NominaltoReal)))</f>
        <v>0</v>
      </c>
      <c r="GC173" s="146" cm="1">
        <f t="array" ref="GC173">IF($FY173=0,0,_xlfn.IFS($FY173='Key assumptions'!$C$120,_xlfn.XLOOKUP(LEFT(GC$7,6),Inflation_Year,Inflation_NominaltoReal),TRUE,_xlfn.XLOOKUP($FY173,Inflation_Year,NominaltoReal)))</f>
        <v>0</v>
      </c>
      <c r="GD173" s="146" cm="1">
        <f t="array" ref="GD173">IF($FY173=0,0,_xlfn.IFS($FY173='Key assumptions'!$C$120,_xlfn.XLOOKUP(LEFT(GD$7,6),Inflation_Year,Inflation_NominaltoReal),TRUE,_xlfn.XLOOKUP($FY173,Inflation_Year,NominaltoReal)))</f>
        <v>0</v>
      </c>
      <c r="GE173" s="146" cm="1">
        <f t="array" ref="GE173">IF($FY173=0,0,_xlfn.IFS($FY173='Key assumptions'!$C$120,_xlfn.XLOOKUP(LEFT(GE$7,6),Inflation_Year,Inflation_NominaltoReal),TRUE,_xlfn.XLOOKUP($FY173,Inflation_Year,NominaltoReal)))</f>
        <v>0</v>
      </c>
      <c r="GF173" s="146" cm="1">
        <f t="array" ref="GF173">IF($FY173=0,0,_xlfn.IFS($FY173='Key assumptions'!$C$120,_xlfn.XLOOKUP(LEFT(GF$7,6),Inflation_Year,Inflation_NominaltoReal),TRUE,_xlfn.XLOOKUP($FY173,Inflation_Year,NominaltoReal)))</f>
        <v>0</v>
      </c>
      <c r="GG173" s="143"/>
      <c r="GH173" s="145" cm="1">
        <f t="array" ref="GH173">SUMPRODUCT(--($CR$7:$FW$7&gt;=GH$5),--($CR$7:$FW$7&lt;=GH$6),$CR173:$FW173)*FZ173</f>
        <v>0</v>
      </c>
      <c r="GI173" s="145" cm="1">
        <f t="array" ref="GI173">SUMPRODUCT(--($CR$7:$FW$7&gt;=GI$5),--($CR$7:$FW$7&lt;=GI$6),$CR173:$FW173)*GA173</f>
        <v>0</v>
      </c>
      <c r="GJ173" s="145" cm="1">
        <f t="array" ref="GJ173">SUMPRODUCT(--($CR$7:$FW$7&gt;=GJ$5),--($CR$7:$FW$7&lt;=GJ$6),$CR173:$FW173)*GB173</f>
        <v>0</v>
      </c>
      <c r="GK173" s="145" cm="1">
        <f t="array" ref="GK173">SUMPRODUCT(--($CR$7:$FW$7&gt;=GK$5),--($CR$7:$FW$7&lt;=GK$6),$CR173:$FW173)*GC173</f>
        <v>0</v>
      </c>
      <c r="GL173" s="145" cm="1">
        <f t="array" ref="GL173">SUMPRODUCT(--($CR$7:$FW$7&gt;=GL$5),--($CR$7:$FW$7&lt;=GL$6),$CR173:$FW173)*GD173</f>
        <v>0</v>
      </c>
      <c r="GM173" s="145" cm="1">
        <f t="array" ref="GM173">SUMPRODUCT(--($CR$7:$FW$7&gt;=GM$5),--($CR$7:$FW$7&lt;=GM$6),$CR173:$FW173)*GE173</f>
        <v>0</v>
      </c>
      <c r="GN173" s="145" cm="1">
        <f t="array" ref="GN173">SUMPRODUCT(--($CR$7:$FW$7&gt;=GN$5),--($CR$7:$FW$7&lt;=GN$6),$CR173:$FW173)*GF173</f>
        <v>0</v>
      </c>
      <c r="GO173" s="145">
        <f t="shared" si="2"/>
        <v>0</v>
      </c>
      <c r="GP173" s="87"/>
      <c r="GR173" s="145" cm="1">
        <f t="array" ref="GR173">SUMPRODUCT(--($CR$7:$FW$7&gt;=GR$5),--($CR$7:$FW$7&lt;=GR$6),$CR173:$FW173)</f>
        <v>0</v>
      </c>
    </row>
    <row r="174" spans="2:200" x14ac:dyDescent="0.2">
      <c r="B174" s="141"/>
      <c r="C174" s="141"/>
      <c r="D174" s="141"/>
      <c r="E174" s="141"/>
      <c r="F174" s="141"/>
      <c r="G174" s="141"/>
      <c r="H174" s="142"/>
      <c r="I174" s="126"/>
      <c r="J174" s="143"/>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3"/>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3"/>
      <c r="FY174" s="146">
        <f>_xlfn.XLOOKUP($E174,'Key assumptions'!$B$112:$B$120,'Key assumptions'!$C$112:$C$120,0)</f>
        <v>0</v>
      </c>
      <c r="FZ174" s="146" cm="1">
        <f t="array" ref="FZ174">IF($FY174=0,0,_xlfn.IFS($FY174='Key assumptions'!$C$120,_xlfn.XLOOKUP(LEFT(FZ$7,6),Inflation_Year,Inflation_NominaltoReal),TRUE,_xlfn.XLOOKUP($FY174,Inflation_Year,NominaltoReal)))</f>
        <v>0</v>
      </c>
      <c r="GA174" s="146" cm="1">
        <f t="array" ref="GA174">IF($FY174=0,0,_xlfn.IFS($FY174='Key assumptions'!$C$120,_xlfn.XLOOKUP(LEFT(GA$7,6),Inflation_Year,Inflation_NominaltoReal),TRUE,_xlfn.XLOOKUP($FY174,Inflation_Year,NominaltoReal)))</f>
        <v>0</v>
      </c>
      <c r="GB174" s="146" cm="1">
        <f t="array" ref="GB174">IF($FY174=0,0,_xlfn.IFS($FY174='Key assumptions'!$C$120,_xlfn.XLOOKUP(LEFT(GB$7,6),Inflation_Year,Inflation_NominaltoReal),TRUE,_xlfn.XLOOKUP($FY174,Inflation_Year,NominaltoReal)))</f>
        <v>0</v>
      </c>
      <c r="GC174" s="146" cm="1">
        <f t="array" ref="GC174">IF($FY174=0,0,_xlfn.IFS($FY174='Key assumptions'!$C$120,_xlfn.XLOOKUP(LEFT(GC$7,6),Inflation_Year,Inflation_NominaltoReal),TRUE,_xlfn.XLOOKUP($FY174,Inflation_Year,NominaltoReal)))</f>
        <v>0</v>
      </c>
      <c r="GD174" s="146" cm="1">
        <f t="array" ref="GD174">IF($FY174=0,0,_xlfn.IFS($FY174='Key assumptions'!$C$120,_xlfn.XLOOKUP(LEFT(GD$7,6),Inflation_Year,Inflation_NominaltoReal),TRUE,_xlfn.XLOOKUP($FY174,Inflation_Year,NominaltoReal)))</f>
        <v>0</v>
      </c>
      <c r="GE174" s="146" cm="1">
        <f t="array" ref="GE174">IF($FY174=0,0,_xlfn.IFS($FY174='Key assumptions'!$C$120,_xlfn.XLOOKUP(LEFT(GE$7,6),Inflation_Year,Inflation_NominaltoReal),TRUE,_xlfn.XLOOKUP($FY174,Inflation_Year,NominaltoReal)))</f>
        <v>0</v>
      </c>
      <c r="GF174" s="146" cm="1">
        <f t="array" ref="GF174">IF($FY174=0,0,_xlfn.IFS($FY174='Key assumptions'!$C$120,_xlfn.XLOOKUP(LEFT(GF$7,6),Inflation_Year,Inflation_NominaltoReal),TRUE,_xlfn.XLOOKUP($FY174,Inflation_Year,NominaltoReal)))</f>
        <v>0</v>
      </c>
      <c r="GG174" s="143"/>
      <c r="GH174" s="145" cm="1">
        <f t="array" ref="GH174">SUMPRODUCT(--($CR$7:$FW$7&gt;=GH$5),--($CR$7:$FW$7&lt;=GH$6),$CR174:$FW174)*FZ174</f>
        <v>0</v>
      </c>
      <c r="GI174" s="145" cm="1">
        <f t="array" ref="GI174">SUMPRODUCT(--($CR$7:$FW$7&gt;=GI$5),--($CR$7:$FW$7&lt;=GI$6),$CR174:$FW174)*GA174</f>
        <v>0</v>
      </c>
      <c r="GJ174" s="145" cm="1">
        <f t="array" ref="GJ174">SUMPRODUCT(--($CR$7:$FW$7&gt;=GJ$5),--($CR$7:$FW$7&lt;=GJ$6),$CR174:$FW174)*GB174</f>
        <v>0</v>
      </c>
      <c r="GK174" s="145" cm="1">
        <f t="array" ref="GK174">SUMPRODUCT(--($CR$7:$FW$7&gt;=GK$5),--($CR$7:$FW$7&lt;=GK$6),$CR174:$FW174)*GC174</f>
        <v>0</v>
      </c>
      <c r="GL174" s="145" cm="1">
        <f t="array" ref="GL174">SUMPRODUCT(--($CR$7:$FW$7&gt;=GL$5),--($CR$7:$FW$7&lt;=GL$6),$CR174:$FW174)*GD174</f>
        <v>0</v>
      </c>
      <c r="GM174" s="145" cm="1">
        <f t="array" ref="GM174">SUMPRODUCT(--($CR$7:$FW$7&gt;=GM$5),--($CR$7:$FW$7&lt;=GM$6),$CR174:$FW174)*GE174</f>
        <v>0</v>
      </c>
      <c r="GN174" s="145" cm="1">
        <f t="array" ref="GN174">SUMPRODUCT(--($CR$7:$FW$7&gt;=GN$5),--($CR$7:$FW$7&lt;=GN$6),$CR174:$FW174)*GF174</f>
        <v>0</v>
      </c>
      <c r="GO174" s="145">
        <f t="shared" si="2"/>
        <v>0</v>
      </c>
      <c r="GP174" s="87"/>
      <c r="GR174" s="145" cm="1">
        <f t="array" ref="GR174">SUMPRODUCT(--($CR$7:$FW$7&gt;=GR$5),--($CR$7:$FW$7&lt;=GR$6),$CR174:$FW174)</f>
        <v>0</v>
      </c>
    </row>
    <row r="175" spans="2:200" x14ac:dyDescent="0.2">
      <c r="B175" s="141"/>
      <c r="C175" s="141"/>
      <c r="D175" s="141"/>
      <c r="E175" s="141"/>
      <c r="F175" s="141"/>
      <c r="G175" s="141"/>
      <c r="H175" s="142"/>
      <c r="I175" s="126"/>
      <c r="J175" s="143"/>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3"/>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c r="EE175" s="145"/>
      <c r="EF175" s="145"/>
      <c r="EG175" s="145"/>
      <c r="EH175" s="145"/>
      <c r="EI175" s="145"/>
      <c r="EJ175" s="145"/>
      <c r="EK175" s="145"/>
      <c r="EL175" s="145"/>
      <c r="EM175" s="145"/>
      <c r="EN175" s="145"/>
      <c r="EO175" s="145"/>
      <c r="EP175" s="145"/>
      <c r="EQ175" s="145"/>
      <c r="ER175" s="145"/>
      <c r="ES175" s="145"/>
      <c r="ET175" s="145"/>
      <c r="EU175" s="145"/>
      <c r="EV175" s="145"/>
      <c r="EW175" s="145"/>
      <c r="EX175" s="145"/>
      <c r="EY175" s="145"/>
      <c r="EZ175" s="145"/>
      <c r="FA175" s="145"/>
      <c r="FB175" s="145"/>
      <c r="FC175" s="145"/>
      <c r="FD175" s="145"/>
      <c r="FE175" s="145"/>
      <c r="FF175" s="145"/>
      <c r="FG175" s="145"/>
      <c r="FH175" s="145"/>
      <c r="FI175" s="145"/>
      <c r="FJ175" s="145"/>
      <c r="FK175" s="145"/>
      <c r="FL175" s="145"/>
      <c r="FM175" s="145"/>
      <c r="FN175" s="145"/>
      <c r="FO175" s="145"/>
      <c r="FP175" s="145"/>
      <c r="FQ175" s="145"/>
      <c r="FR175" s="145"/>
      <c r="FS175" s="145"/>
      <c r="FT175" s="145"/>
      <c r="FU175" s="145"/>
      <c r="FV175" s="145"/>
      <c r="FW175" s="145"/>
      <c r="FX175" s="143"/>
      <c r="FY175" s="146">
        <f>_xlfn.XLOOKUP($E175,'Key assumptions'!$B$112:$B$120,'Key assumptions'!$C$112:$C$120,0)</f>
        <v>0</v>
      </c>
      <c r="FZ175" s="146" cm="1">
        <f t="array" ref="FZ175">IF($FY175=0,0,_xlfn.IFS($FY175='Key assumptions'!$C$120,_xlfn.XLOOKUP(LEFT(FZ$7,6),Inflation_Year,Inflation_NominaltoReal),TRUE,_xlfn.XLOOKUP($FY175,Inflation_Year,NominaltoReal)))</f>
        <v>0</v>
      </c>
      <c r="GA175" s="146" cm="1">
        <f t="array" ref="GA175">IF($FY175=0,0,_xlfn.IFS($FY175='Key assumptions'!$C$120,_xlfn.XLOOKUP(LEFT(GA$7,6),Inflation_Year,Inflation_NominaltoReal),TRUE,_xlfn.XLOOKUP($FY175,Inflation_Year,NominaltoReal)))</f>
        <v>0</v>
      </c>
      <c r="GB175" s="146" cm="1">
        <f t="array" ref="GB175">IF($FY175=0,0,_xlfn.IFS($FY175='Key assumptions'!$C$120,_xlfn.XLOOKUP(LEFT(GB$7,6),Inflation_Year,Inflation_NominaltoReal),TRUE,_xlfn.XLOOKUP($FY175,Inflation_Year,NominaltoReal)))</f>
        <v>0</v>
      </c>
      <c r="GC175" s="146" cm="1">
        <f t="array" ref="GC175">IF($FY175=0,0,_xlfn.IFS($FY175='Key assumptions'!$C$120,_xlfn.XLOOKUP(LEFT(GC$7,6),Inflation_Year,Inflation_NominaltoReal),TRUE,_xlfn.XLOOKUP($FY175,Inflation_Year,NominaltoReal)))</f>
        <v>0</v>
      </c>
      <c r="GD175" s="146" cm="1">
        <f t="array" ref="GD175">IF($FY175=0,0,_xlfn.IFS($FY175='Key assumptions'!$C$120,_xlfn.XLOOKUP(LEFT(GD$7,6),Inflation_Year,Inflation_NominaltoReal),TRUE,_xlfn.XLOOKUP($FY175,Inflation_Year,NominaltoReal)))</f>
        <v>0</v>
      </c>
      <c r="GE175" s="146" cm="1">
        <f t="array" ref="GE175">IF($FY175=0,0,_xlfn.IFS($FY175='Key assumptions'!$C$120,_xlfn.XLOOKUP(LEFT(GE$7,6),Inflation_Year,Inflation_NominaltoReal),TRUE,_xlfn.XLOOKUP($FY175,Inflation_Year,NominaltoReal)))</f>
        <v>0</v>
      </c>
      <c r="GF175" s="146" cm="1">
        <f t="array" ref="GF175">IF($FY175=0,0,_xlfn.IFS($FY175='Key assumptions'!$C$120,_xlfn.XLOOKUP(LEFT(GF$7,6),Inflation_Year,Inflation_NominaltoReal),TRUE,_xlfn.XLOOKUP($FY175,Inflation_Year,NominaltoReal)))</f>
        <v>0</v>
      </c>
      <c r="GG175" s="143"/>
      <c r="GH175" s="145" cm="1">
        <f t="array" ref="GH175">SUMPRODUCT(--($CR$7:$FW$7&gt;=GH$5),--($CR$7:$FW$7&lt;=GH$6),$CR175:$FW175)*FZ175</f>
        <v>0</v>
      </c>
      <c r="GI175" s="145" cm="1">
        <f t="array" ref="GI175">SUMPRODUCT(--($CR$7:$FW$7&gt;=GI$5),--($CR$7:$FW$7&lt;=GI$6),$CR175:$FW175)*GA175</f>
        <v>0</v>
      </c>
      <c r="GJ175" s="145" cm="1">
        <f t="array" ref="GJ175">SUMPRODUCT(--($CR$7:$FW$7&gt;=GJ$5),--($CR$7:$FW$7&lt;=GJ$6),$CR175:$FW175)*GB175</f>
        <v>0</v>
      </c>
      <c r="GK175" s="145" cm="1">
        <f t="array" ref="GK175">SUMPRODUCT(--($CR$7:$FW$7&gt;=GK$5),--($CR$7:$FW$7&lt;=GK$6),$CR175:$FW175)*GC175</f>
        <v>0</v>
      </c>
      <c r="GL175" s="145" cm="1">
        <f t="array" ref="GL175">SUMPRODUCT(--($CR$7:$FW$7&gt;=GL$5),--($CR$7:$FW$7&lt;=GL$6),$CR175:$FW175)*GD175</f>
        <v>0</v>
      </c>
      <c r="GM175" s="145" cm="1">
        <f t="array" ref="GM175">SUMPRODUCT(--($CR$7:$FW$7&gt;=GM$5),--($CR$7:$FW$7&lt;=GM$6),$CR175:$FW175)*GE175</f>
        <v>0</v>
      </c>
      <c r="GN175" s="145" cm="1">
        <f t="array" ref="GN175">SUMPRODUCT(--($CR$7:$FW$7&gt;=GN$5),--($CR$7:$FW$7&lt;=GN$6),$CR175:$FW175)*GF175</f>
        <v>0</v>
      </c>
      <c r="GO175" s="145">
        <f t="shared" si="2"/>
        <v>0</v>
      </c>
      <c r="GP175" s="87"/>
      <c r="GR175" s="145" cm="1">
        <f t="array" ref="GR175">SUMPRODUCT(--($CR$7:$FW$7&gt;=GR$5),--($CR$7:$FW$7&lt;=GR$6),$CR175:$FW175)</f>
        <v>0</v>
      </c>
    </row>
    <row r="176" spans="2:200" x14ac:dyDescent="0.2">
      <c r="B176" s="141"/>
      <c r="C176" s="141"/>
      <c r="D176" s="141"/>
      <c r="E176" s="141"/>
      <c r="F176" s="141"/>
      <c r="G176" s="141"/>
      <c r="H176" s="142"/>
      <c r="I176" s="126"/>
      <c r="J176" s="143"/>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3"/>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c r="EE176" s="145"/>
      <c r="EF176" s="145"/>
      <c r="EG176" s="145"/>
      <c r="EH176" s="145"/>
      <c r="EI176" s="145"/>
      <c r="EJ176" s="145"/>
      <c r="EK176" s="145"/>
      <c r="EL176" s="145"/>
      <c r="EM176" s="145"/>
      <c r="EN176" s="145"/>
      <c r="EO176" s="145"/>
      <c r="EP176" s="145"/>
      <c r="EQ176" s="145"/>
      <c r="ER176" s="145"/>
      <c r="ES176" s="145"/>
      <c r="ET176" s="145"/>
      <c r="EU176" s="145"/>
      <c r="EV176" s="145"/>
      <c r="EW176" s="145"/>
      <c r="EX176" s="145"/>
      <c r="EY176" s="145"/>
      <c r="EZ176" s="145"/>
      <c r="FA176" s="145"/>
      <c r="FB176" s="145"/>
      <c r="FC176" s="145"/>
      <c r="FD176" s="145"/>
      <c r="FE176" s="145"/>
      <c r="FF176" s="145"/>
      <c r="FG176" s="145"/>
      <c r="FH176" s="145"/>
      <c r="FI176" s="145"/>
      <c r="FJ176" s="145"/>
      <c r="FK176" s="145"/>
      <c r="FL176" s="145"/>
      <c r="FM176" s="145"/>
      <c r="FN176" s="145"/>
      <c r="FO176" s="145"/>
      <c r="FP176" s="145"/>
      <c r="FQ176" s="145"/>
      <c r="FR176" s="145"/>
      <c r="FS176" s="145"/>
      <c r="FT176" s="145"/>
      <c r="FU176" s="145"/>
      <c r="FV176" s="145"/>
      <c r="FW176" s="145"/>
      <c r="FX176" s="143"/>
      <c r="FY176" s="146">
        <f>_xlfn.XLOOKUP($E176,'Key assumptions'!$B$112:$B$120,'Key assumptions'!$C$112:$C$120,0)</f>
        <v>0</v>
      </c>
      <c r="FZ176" s="146" cm="1">
        <f t="array" ref="FZ176">IF($FY176=0,0,_xlfn.IFS($FY176='Key assumptions'!$C$120,_xlfn.XLOOKUP(LEFT(FZ$7,6),Inflation_Year,Inflation_NominaltoReal),TRUE,_xlfn.XLOOKUP($FY176,Inflation_Year,NominaltoReal)))</f>
        <v>0</v>
      </c>
      <c r="GA176" s="146" cm="1">
        <f t="array" ref="GA176">IF($FY176=0,0,_xlfn.IFS($FY176='Key assumptions'!$C$120,_xlfn.XLOOKUP(LEFT(GA$7,6),Inflation_Year,Inflation_NominaltoReal),TRUE,_xlfn.XLOOKUP($FY176,Inflation_Year,NominaltoReal)))</f>
        <v>0</v>
      </c>
      <c r="GB176" s="146" cm="1">
        <f t="array" ref="GB176">IF($FY176=0,0,_xlfn.IFS($FY176='Key assumptions'!$C$120,_xlfn.XLOOKUP(LEFT(GB$7,6),Inflation_Year,Inflation_NominaltoReal),TRUE,_xlfn.XLOOKUP($FY176,Inflation_Year,NominaltoReal)))</f>
        <v>0</v>
      </c>
      <c r="GC176" s="146" cm="1">
        <f t="array" ref="GC176">IF($FY176=0,0,_xlfn.IFS($FY176='Key assumptions'!$C$120,_xlfn.XLOOKUP(LEFT(GC$7,6),Inflation_Year,Inflation_NominaltoReal),TRUE,_xlfn.XLOOKUP($FY176,Inflation_Year,NominaltoReal)))</f>
        <v>0</v>
      </c>
      <c r="GD176" s="146" cm="1">
        <f t="array" ref="GD176">IF($FY176=0,0,_xlfn.IFS($FY176='Key assumptions'!$C$120,_xlfn.XLOOKUP(LEFT(GD$7,6),Inflation_Year,Inflation_NominaltoReal),TRUE,_xlfn.XLOOKUP($FY176,Inflation_Year,NominaltoReal)))</f>
        <v>0</v>
      </c>
      <c r="GE176" s="146" cm="1">
        <f t="array" ref="GE176">IF($FY176=0,0,_xlfn.IFS($FY176='Key assumptions'!$C$120,_xlfn.XLOOKUP(LEFT(GE$7,6),Inflation_Year,Inflation_NominaltoReal),TRUE,_xlfn.XLOOKUP($FY176,Inflation_Year,NominaltoReal)))</f>
        <v>0</v>
      </c>
      <c r="GF176" s="146" cm="1">
        <f t="array" ref="GF176">IF($FY176=0,0,_xlfn.IFS($FY176='Key assumptions'!$C$120,_xlfn.XLOOKUP(LEFT(GF$7,6),Inflation_Year,Inflation_NominaltoReal),TRUE,_xlfn.XLOOKUP($FY176,Inflation_Year,NominaltoReal)))</f>
        <v>0</v>
      </c>
      <c r="GG176" s="143"/>
      <c r="GH176" s="145" cm="1">
        <f t="array" ref="GH176">SUMPRODUCT(--($CR$7:$FW$7&gt;=GH$5),--($CR$7:$FW$7&lt;=GH$6),$CR176:$FW176)*FZ176</f>
        <v>0</v>
      </c>
      <c r="GI176" s="145" cm="1">
        <f t="array" ref="GI176">SUMPRODUCT(--($CR$7:$FW$7&gt;=GI$5),--($CR$7:$FW$7&lt;=GI$6),$CR176:$FW176)*GA176</f>
        <v>0</v>
      </c>
      <c r="GJ176" s="145" cm="1">
        <f t="array" ref="GJ176">SUMPRODUCT(--($CR$7:$FW$7&gt;=GJ$5),--($CR$7:$FW$7&lt;=GJ$6),$CR176:$FW176)*GB176</f>
        <v>0</v>
      </c>
      <c r="GK176" s="145" cm="1">
        <f t="array" ref="GK176">SUMPRODUCT(--($CR$7:$FW$7&gt;=GK$5),--($CR$7:$FW$7&lt;=GK$6),$CR176:$FW176)*GC176</f>
        <v>0</v>
      </c>
      <c r="GL176" s="145" cm="1">
        <f t="array" ref="GL176">SUMPRODUCT(--($CR$7:$FW$7&gt;=GL$5),--($CR$7:$FW$7&lt;=GL$6),$CR176:$FW176)*GD176</f>
        <v>0</v>
      </c>
      <c r="GM176" s="145" cm="1">
        <f t="array" ref="GM176">SUMPRODUCT(--($CR$7:$FW$7&gt;=GM$5),--($CR$7:$FW$7&lt;=GM$6),$CR176:$FW176)*GE176</f>
        <v>0</v>
      </c>
      <c r="GN176" s="145" cm="1">
        <f t="array" ref="GN176">SUMPRODUCT(--($CR$7:$FW$7&gt;=GN$5),--($CR$7:$FW$7&lt;=GN$6),$CR176:$FW176)*GF176</f>
        <v>0</v>
      </c>
      <c r="GO176" s="145">
        <f t="shared" si="2"/>
        <v>0</v>
      </c>
      <c r="GP176" s="87"/>
      <c r="GR176" s="145" cm="1">
        <f t="array" ref="GR176">SUMPRODUCT(--($CR$7:$FW$7&gt;=GR$5),--($CR$7:$FW$7&lt;=GR$6),$CR176:$FW176)</f>
        <v>0</v>
      </c>
    </row>
    <row r="177" spans="2:200" x14ac:dyDescent="0.2">
      <c r="B177" s="141"/>
      <c r="C177" s="141"/>
      <c r="D177" s="141"/>
      <c r="E177" s="141"/>
      <c r="F177" s="141"/>
      <c r="G177" s="141"/>
      <c r="H177" s="142"/>
      <c r="I177" s="126"/>
      <c r="J177" s="143"/>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3"/>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5"/>
      <c r="EU177" s="145"/>
      <c r="EV177" s="145"/>
      <c r="EW177" s="145"/>
      <c r="EX177" s="145"/>
      <c r="EY177" s="145"/>
      <c r="EZ177" s="145"/>
      <c r="FA177" s="145"/>
      <c r="FB177" s="145"/>
      <c r="FC177" s="145"/>
      <c r="FD177" s="145"/>
      <c r="FE177" s="145"/>
      <c r="FF177" s="145"/>
      <c r="FG177" s="145"/>
      <c r="FH177" s="145"/>
      <c r="FI177" s="145"/>
      <c r="FJ177" s="145"/>
      <c r="FK177" s="145"/>
      <c r="FL177" s="145"/>
      <c r="FM177" s="145"/>
      <c r="FN177" s="145"/>
      <c r="FO177" s="145"/>
      <c r="FP177" s="145"/>
      <c r="FQ177" s="145"/>
      <c r="FR177" s="145"/>
      <c r="FS177" s="145"/>
      <c r="FT177" s="145"/>
      <c r="FU177" s="145"/>
      <c r="FV177" s="145"/>
      <c r="FW177" s="145"/>
      <c r="FX177" s="143"/>
      <c r="FY177" s="146">
        <f>_xlfn.XLOOKUP($E177,'Key assumptions'!$B$112:$B$120,'Key assumptions'!$C$112:$C$120,0)</f>
        <v>0</v>
      </c>
      <c r="FZ177" s="146" cm="1">
        <f t="array" ref="FZ177">IF($FY177=0,0,_xlfn.IFS($FY177='Key assumptions'!$C$120,_xlfn.XLOOKUP(LEFT(FZ$7,6),Inflation_Year,Inflation_NominaltoReal),TRUE,_xlfn.XLOOKUP($FY177,Inflation_Year,NominaltoReal)))</f>
        <v>0</v>
      </c>
      <c r="GA177" s="146" cm="1">
        <f t="array" ref="GA177">IF($FY177=0,0,_xlfn.IFS($FY177='Key assumptions'!$C$120,_xlfn.XLOOKUP(LEFT(GA$7,6),Inflation_Year,Inflation_NominaltoReal),TRUE,_xlfn.XLOOKUP($FY177,Inflation_Year,NominaltoReal)))</f>
        <v>0</v>
      </c>
      <c r="GB177" s="146" cm="1">
        <f t="array" ref="GB177">IF($FY177=0,0,_xlfn.IFS($FY177='Key assumptions'!$C$120,_xlfn.XLOOKUP(LEFT(GB$7,6),Inflation_Year,Inflation_NominaltoReal),TRUE,_xlfn.XLOOKUP($FY177,Inflation_Year,NominaltoReal)))</f>
        <v>0</v>
      </c>
      <c r="GC177" s="146" cm="1">
        <f t="array" ref="GC177">IF($FY177=0,0,_xlfn.IFS($FY177='Key assumptions'!$C$120,_xlfn.XLOOKUP(LEFT(GC$7,6),Inflation_Year,Inflation_NominaltoReal),TRUE,_xlfn.XLOOKUP($FY177,Inflation_Year,NominaltoReal)))</f>
        <v>0</v>
      </c>
      <c r="GD177" s="146" cm="1">
        <f t="array" ref="GD177">IF($FY177=0,0,_xlfn.IFS($FY177='Key assumptions'!$C$120,_xlfn.XLOOKUP(LEFT(GD$7,6),Inflation_Year,Inflation_NominaltoReal),TRUE,_xlfn.XLOOKUP($FY177,Inflation_Year,NominaltoReal)))</f>
        <v>0</v>
      </c>
      <c r="GE177" s="146" cm="1">
        <f t="array" ref="GE177">IF($FY177=0,0,_xlfn.IFS($FY177='Key assumptions'!$C$120,_xlfn.XLOOKUP(LEFT(GE$7,6),Inflation_Year,Inflation_NominaltoReal),TRUE,_xlfn.XLOOKUP($FY177,Inflation_Year,NominaltoReal)))</f>
        <v>0</v>
      </c>
      <c r="GF177" s="146" cm="1">
        <f t="array" ref="GF177">IF($FY177=0,0,_xlfn.IFS($FY177='Key assumptions'!$C$120,_xlfn.XLOOKUP(LEFT(GF$7,6),Inflation_Year,Inflation_NominaltoReal),TRUE,_xlfn.XLOOKUP($FY177,Inflation_Year,NominaltoReal)))</f>
        <v>0</v>
      </c>
      <c r="GG177" s="143"/>
      <c r="GH177" s="145" cm="1">
        <f t="array" ref="GH177">SUMPRODUCT(--($CR$7:$FW$7&gt;=GH$5),--($CR$7:$FW$7&lt;=GH$6),$CR177:$FW177)*FZ177</f>
        <v>0</v>
      </c>
      <c r="GI177" s="145" cm="1">
        <f t="array" ref="GI177">SUMPRODUCT(--($CR$7:$FW$7&gt;=GI$5),--($CR$7:$FW$7&lt;=GI$6),$CR177:$FW177)*GA177</f>
        <v>0</v>
      </c>
      <c r="GJ177" s="145" cm="1">
        <f t="array" ref="GJ177">SUMPRODUCT(--($CR$7:$FW$7&gt;=GJ$5),--($CR$7:$FW$7&lt;=GJ$6),$CR177:$FW177)*GB177</f>
        <v>0</v>
      </c>
      <c r="GK177" s="145" cm="1">
        <f t="array" ref="GK177">SUMPRODUCT(--($CR$7:$FW$7&gt;=GK$5),--($CR$7:$FW$7&lt;=GK$6),$CR177:$FW177)*GC177</f>
        <v>0</v>
      </c>
      <c r="GL177" s="145" cm="1">
        <f t="array" ref="GL177">SUMPRODUCT(--($CR$7:$FW$7&gt;=GL$5),--($CR$7:$FW$7&lt;=GL$6),$CR177:$FW177)*GD177</f>
        <v>0</v>
      </c>
      <c r="GM177" s="145" cm="1">
        <f t="array" ref="GM177">SUMPRODUCT(--($CR$7:$FW$7&gt;=GM$5),--($CR$7:$FW$7&lt;=GM$6),$CR177:$FW177)*GE177</f>
        <v>0</v>
      </c>
      <c r="GN177" s="145" cm="1">
        <f t="array" ref="GN177">SUMPRODUCT(--($CR$7:$FW$7&gt;=GN$5),--($CR$7:$FW$7&lt;=GN$6),$CR177:$FW177)*GF177</f>
        <v>0</v>
      </c>
      <c r="GO177" s="145">
        <f t="shared" si="2"/>
        <v>0</v>
      </c>
      <c r="GP177" s="87"/>
      <c r="GR177" s="145" cm="1">
        <f t="array" ref="GR177">SUMPRODUCT(--($CR$7:$FW$7&gt;=GR$5),--($CR$7:$FW$7&lt;=GR$6),$CR177:$FW177)</f>
        <v>0</v>
      </c>
    </row>
    <row r="178" spans="2:200" x14ac:dyDescent="0.2">
      <c r="B178" s="141"/>
      <c r="C178" s="141"/>
      <c r="D178" s="141"/>
      <c r="E178" s="141"/>
      <c r="F178" s="141"/>
      <c r="G178" s="141"/>
      <c r="H178" s="142"/>
      <c r="I178" s="126"/>
      <c r="J178" s="143"/>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3"/>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c r="EE178" s="145"/>
      <c r="EF178" s="145"/>
      <c r="EG178" s="145"/>
      <c r="EH178" s="145"/>
      <c r="EI178" s="145"/>
      <c r="EJ178" s="145"/>
      <c r="EK178" s="145"/>
      <c r="EL178" s="145"/>
      <c r="EM178" s="145"/>
      <c r="EN178" s="145"/>
      <c r="EO178" s="145"/>
      <c r="EP178" s="145"/>
      <c r="EQ178" s="145"/>
      <c r="ER178" s="145"/>
      <c r="ES178" s="145"/>
      <c r="ET178" s="145"/>
      <c r="EU178" s="145"/>
      <c r="EV178" s="145"/>
      <c r="EW178" s="145"/>
      <c r="EX178" s="145"/>
      <c r="EY178" s="145"/>
      <c r="EZ178" s="145"/>
      <c r="FA178" s="145"/>
      <c r="FB178" s="145"/>
      <c r="FC178" s="145"/>
      <c r="FD178" s="145"/>
      <c r="FE178" s="145"/>
      <c r="FF178" s="145"/>
      <c r="FG178" s="145"/>
      <c r="FH178" s="145"/>
      <c r="FI178" s="145"/>
      <c r="FJ178" s="145"/>
      <c r="FK178" s="145"/>
      <c r="FL178" s="145"/>
      <c r="FM178" s="145"/>
      <c r="FN178" s="145"/>
      <c r="FO178" s="145"/>
      <c r="FP178" s="145"/>
      <c r="FQ178" s="145"/>
      <c r="FR178" s="145"/>
      <c r="FS178" s="145"/>
      <c r="FT178" s="145"/>
      <c r="FU178" s="145"/>
      <c r="FV178" s="145"/>
      <c r="FW178" s="145"/>
      <c r="FX178" s="143"/>
      <c r="FY178" s="146">
        <f>_xlfn.XLOOKUP($E178,'Key assumptions'!$B$112:$B$120,'Key assumptions'!$C$112:$C$120,0)</f>
        <v>0</v>
      </c>
      <c r="FZ178" s="146" cm="1">
        <f t="array" ref="FZ178">IF($FY178=0,0,_xlfn.IFS($FY178='Key assumptions'!$C$120,_xlfn.XLOOKUP(LEFT(FZ$7,6),Inflation_Year,Inflation_NominaltoReal),TRUE,_xlfn.XLOOKUP($FY178,Inflation_Year,NominaltoReal)))</f>
        <v>0</v>
      </c>
      <c r="GA178" s="146" cm="1">
        <f t="array" ref="GA178">IF($FY178=0,0,_xlfn.IFS($FY178='Key assumptions'!$C$120,_xlfn.XLOOKUP(LEFT(GA$7,6),Inflation_Year,Inflation_NominaltoReal),TRUE,_xlfn.XLOOKUP($FY178,Inflation_Year,NominaltoReal)))</f>
        <v>0</v>
      </c>
      <c r="GB178" s="146" cm="1">
        <f t="array" ref="GB178">IF($FY178=0,0,_xlfn.IFS($FY178='Key assumptions'!$C$120,_xlfn.XLOOKUP(LEFT(GB$7,6),Inflation_Year,Inflation_NominaltoReal),TRUE,_xlfn.XLOOKUP($FY178,Inflation_Year,NominaltoReal)))</f>
        <v>0</v>
      </c>
      <c r="GC178" s="146" cm="1">
        <f t="array" ref="GC178">IF($FY178=0,0,_xlfn.IFS($FY178='Key assumptions'!$C$120,_xlfn.XLOOKUP(LEFT(GC$7,6),Inflation_Year,Inflation_NominaltoReal),TRUE,_xlfn.XLOOKUP($FY178,Inflation_Year,NominaltoReal)))</f>
        <v>0</v>
      </c>
      <c r="GD178" s="146" cm="1">
        <f t="array" ref="GD178">IF($FY178=0,0,_xlfn.IFS($FY178='Key assumptions'!$C$120,_xlfn.XLOOKUP(LEFT(GD$7,6),Inflation_Year,Inflation_NominaltoReal),TRUE,_xlfn.XLOOKUP($FY178,Inflation_Year,NominaltoReal)))</f>
        <v>0</v>
      </c>
      <c r="GE178" s="146" cm="1">
        <f t="array" ref="GE178">IF($FY178=0,0,_xlfn.IFS($FY178='Key assumptions'!$C$120,_xlfn.XLOOKUP(LEFT(GE$7,6),Inflation_Year,Inflation_NominaltoReal),TRUE,_xlfn.XLOOKUP($FY178,Inflation_Year,NominaltoReal)))</f>
        <v>0</v>
      </c>
      <c r="GF178" s="146" cm="1">
        <f t="array" ref="GF178">IF($FY178=0,0,_xlfn.IFS($FY178='Key assumptions'!$C$120,_xlfn.XLOOKUP(LEFT(GF$7,6),Inflation_Year,Inflation_NominaltoReal),TRUE,_xlfn.XLOOKUP($FY178,Inflation_Year,NominaltoReal)))</f>
        <v>0</v>
      </c>
      <c r="GG178" s="143"/>
      <c r="GH178" s="145" cm="1">
        <f t="array" ref="GH178">SUMPRODUCT(--($CR$7:$FW$7&gt;=GH$5),--($CR$7:$FW$7&lt;=GH$6),$CR178:$FW178)*FZ178</f>
        <v>0</v>
      </c>
      <c r="GI178" s="145" cm="1">
        <f t="array" ref="GI178">SUMPRODUCT(--($CR$7:$FW$7&gt;=GI$5),--($CR$7:$FW$7&lt;=GI$6),$CR178:$FW178)*GA178</f>
        <v>0</v>
      </c>
      <c r="GJ178" s="145" cm="1">
        <f t="array" ref="GJ178">SUMPRODUCT(--($CR$7:$FW$7&gt;=GJ$5),--($CR$7:$FW$7&lt;=GJ$6),$CR178:$FW178)*GB178</f>
        <v>0</v>
      </c>
      <c r="GK178" s="145" cm="1">
        <f t="array" ref="GK178">SUMPRODUCT(--($CR$7:$FW$7&gt;=GK$5),--($CR$7:$FW$7&lt;=GK$6),$CR178:$FW178)*GC178</f>
        <v>0</v>
      </c>
      <c r="GL178" s="145" cm="1">
        <f t="array" ref="GL178">SUMPRODUCT(--($CR$7:$FW$7&gt;=GL$5),--($CR$7:$FW$7&lt;=GL$6),$CR178:$FW178)*GD178</f>
        <v>0</v>
      </c>
      <c r="GM178" s="145" cm="1">
        <f t="array" ref="GM178">SUMPRODUCT(--($CR$7:$FW$7&gt;=GM$5),--($CR$7:$FW$7&lt;=GM$6),$CR178:$FW178)*GE178</f>
        <v>0</v>
      </c>
      <c r="GN178" s="145" cm="1">
        <f t="array" ref="GN178">SUMPRODUCT(--($CR$7:$FW$7&gt;=GN$5),--($CR$7:$FW$7&lt;=GN$6),$CR178:$FW178)*GF178</f>
        <v>0</v>
      </c>
      <c r="GO178" s="145">
        <f t="shared" si="2"/>
        <v>0</v>
      </c>
      <c r="GP178" s="87"/>
      <c r="GR178" s="145" cm="1">
        <f t="array" ref="GR178">SUMPRODUCT(--($CR$7:$FW$7&gt;=GR$5),--($CR$7:$FW$7&lt;=GR$6),$CR178:$FW178)</f>
        <v>0</v>
      </c>
    </row>
    <row r="179" spans="2:200" x14ac:dyDescent="0.2">
      <c r="B179" s="141"/>
      <c r="C179" s="141"/>
      <c r="D179" s="141"/>
      <c r="E179" s="141"/>
      <c r="F179" s="141"/>
      <c r="G179" s="141"/>
      <c r="H179" s="142"/>
      <c r="I179" s="126"/>
      <c r="J179" s="143"/>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3"/>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c r="EE179" s="145"/>
      <c r="EF179" s="145"/>
      <c r="EG179" s="145"/>
      <c r="EH179" s="145"/>
      <c r="EI179" s="145"/>
      <c r="EJ179" s="145"/>
      <c r="EK179" s="145"/>
      <c r="EL179" s="145"/>
      <c r="EM179" s="145"/>
      <c r="EN179" s="14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45"/>
      <c r="FK179" s="145"/>
      <c r="FL179" s="145"/>
      <c r="FM179" s="145"/>
      <c r="FN179" s="145"/>
      <c r="FO179" s="145"/>
      <c r="FP179" s="145"/>
      <c r="FQ179" s="145"/>
      <c r="FR179" s="145"/>
      <c r="FS179" s="145"/>
      <c r="FT179" s="145"/>
      <c r="FU179" s="145"/>
      <c r="FV179" s="145"/>
      <c r="FW179" s="145"/>
      <c r="FX179" s="143"/>
      <c r="FY179" s="146">
        <f>_xlfn.XLOOKUP($E179,'Key assumptions'!$B$112:$B$120,'Key assumptions'!$C$112:$C$120,0)</f>
        <v>0</v>
      </c>
      <c r="FZ179" s="146" cm="1">
        <f t="array" ref="FZ179">IF($FY179=0,0,_xlfn.IFS($FY179='Key assumptions'!$C$120,_xlfn.XLOOKUP(LEFT(FZ$7,6),Inflation_Year,Inflation_NominaltoReal),TRUE,_xlfn.XLOOKUP($FY179,Inflation_Year,NominaltoReal)))</f>
        <v>0</v>
      </c>
      <c r="GA179" s="146" cm="1">
        <f t="array" ref="GA179">IF($FY179=0,0,_xlfn.IFS($FY179='Key assumptions'!$C$120,_xlfn.XLOOKUP(LEFT(GA$7,6),Inflation_Year,Inflation_NominaltoReal),TRUE,_xlfn.XLOOKUP($FY179,Inflation_Year,NominaltoReal)))</f>
        <v>0</v>
      </c>
      <c r="GB179" s="146" cm="1">
        <f t="array" ref="GB179">IF($FY179=0,0,_xlfn.IFS($FY179='Key assumptions'!$C$120,_xlfn.XLOOKUP(LEFT(GB$7,6),Inflation_Year,Inflation_NominaltoReal),TRUE,_xlfn.XLOOKUP($FY179,Inflation_Year,NominaltoReal)))</f>
        <v>0</v>
      </c>
      <c r="GC179" s="146" cm="1">
        <f t="array" ref="GC179">IF($FY179=0,0,_xlfn.IFS($FY179='Key assumptions'!$C$120,_xlfn.XLOOKUP(LEFT(GC$7,6),Inflation_Year,Inflation_NominaltoReal),TRUE,_xlfn.XLOOKUP($FY179,Inflation_Year,NominaltoReal)))</f>
        <v>0</v>
      </c>
      <c r="GD179" s="146" cm="1">
        <f t="array" ref="GD179">IF($FY179=0,0,_xlfn.IFS($FY179='Key assumptions'!$C$120,_xlfn.XLOOKUP(LEFT(GD$7,6),Inflation_Year,Inflation_NominaltoReal),TRUE,_xlfn.XLOOKUP($FY179,Inflation_Year,NominaltoReal)))</f>
        <v>0</v>
      </c>
      <c r="GE179" s="146" cm="1">
        <f t="array" ref="GE179">IF($FY179=0,0,_xlfn.IFS($FY179='Key assumptions'!$C$120,_xlfn.XLOOKUP(LEFT(GE$7,6),Inflation_Year,Inflation_NominaltoReal),TRUE,_xlfn.XLOOKUP($FY179,Inflation_Year,NominaltoReal)))</f>
        <v>0</v>
      </c>
      <c r="GF179" s="146" cm="1">
        <f t="array" ref="GF179">IF($FY179=0,0,_xlfn.IFS($FY179='Key assumptions'!$C$120,_xlfn.XLOOKUP(LEFT(GF$7,6),Inflation_Year,Inflation_NominaltoReal),TRUE,_xlfn.XLOOKUP($FY179,Inflation_Year,NominaltoReal)))</f>
        <v>0</v>
      </c>
      <c r="GG179" s="143"/>
      <c r="GH179" s="145" cm="1">
        <f t="array" ref="GH179">SUMPRODUCT(--($CR$7:$FW$7&gt;=GH$5),--($CR$7:$FW$7&lt;=GH$6),$CR179:$FW179)*FZ179</f>
        <v>0</v>
      </c>
      <c r="GI179" s="145" cm="1">
        <f t="array" ref="GI179">SUMPRODUCT(--($CR$7:$FW$7&gt;=GI$5),--($CR$7:$FW$7&lt;=GI$6),$CR179:$FW179)*GA179</f>
        <v>0</v>
      </c>
      <c r="GJ179" s="145" cm="1">
        <f t="array" ref="GJ179">SUMPRODUCT(--($CR$7:$FW$7&gt;=GJ$5),--($CR$7:$FW$7&lt;=GJ$6),$CR179:$FW179)*GB179</f>
        <v>0</v>
      </c>
      <c r="GK179" s="145" cm="1">
        <f t="array" ref="GK179">SUMPRODUCT(--($CR$7:$FW$7&gt;=GK$5),--($CR$7:$FW$7&lt;=GK$6),$CR179:$FW179)*GC179</f>
        <v>0</v>
      </c>
      <c r="GL179" s="145" cm="1">
        <f t="array" ref="GL179">SUMPRODUCT(--($CR$7:$FW$7&gt;=GL$5),--($CR$7:$FW$7&lt;=GL$6),$CR179:$FW179)*GD179</f>
        <v>0</v>
      </c>
      <c r="GM179" s="145" cm="1">
        <f t="array" ref="GM179">SUMPRODUCT(--($CR$7:$FW$7&gt;=GM$5),--($CR$7:$FW$7&lt;=GM$6),$CR179:$FW179)*GE179</f>
        <v>0</v>
      </c>
      <c r="GN179" s="145" cm="1">
        <f t="array" ref="GN179">SUMPRODUCT(--($CR$7:$FW$7&gt;=GN$5),--($CR$7:$FW$7&lt;=GN$6),$CR179:$FW179)*GF179</f>
        <v>0</v>
      </c>
      <c r="GO179" s="145">
        <f t="shared" si="2"/>
        <v>0</v>
      </c>
      <c r="GP179" s="87"/>
      <c r="GR179" s="145" cm="1">
        <f t="array" ref="GR179">SUMPRODUCT(--($CR$7:$FW$7&gt;=GR$5),--($CR$7:$FW$7&lt;=GR$6),$CR179:$FW179)</f>
        <v>0</v>
      </c>
    </row>
    <row r="180" spans="2:200" x14ac:dyDescent="0.2">
      <c r="B180" s="141"/>
      <c r="C180" s="141"/>
      <c r="D180" s="141"/>
      <c r="E180" s="141"/>
      <c r="F180" s="141"/>
      <c r="G180" s="141"/>
      <c r="H180" s="142"/>
      <c r="I180" s="126"/>
      <c r="J180" s="143"/>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3"/>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c r="EE180" s="145"/>
      <c r="EF180" s="145"/>
      <c r="EG180" s="145"/>
      <c r="EH180" s="145"/>
      <c r="EI180" s="145"/>
      <c r="EJ180" s="145"/>
      <c r="EK180" s="145"/>
      <c r="EL180" s="145"/>
      <c r="EM180" s="145"/>
      <c r="EN180" s="145"/>
      <c r="EO180" s="145"/>
      <c r="EP180" s="145"/>
      <c r="EQ180" s="145"/>
      <c r="ER180" s="145"/>
      <c r="ES180" s="145"/>
      <c r="ET180" s="145"/>
      <c r="EU180" s="145"/>
      <c r="EV180" s="145"/>
      <c r="EW180" s="145"/>
      <c r="EX180" s="145"/>
      <c r="EY180" s="145"/>
      <c r="EZ180" s="145"/>
      <c r="FA180" s="145"/>
      <c r="FB180" s="145"/>
      <c r="FC180" s="145"/>
      <c r="FD180" s="145"/>
      <c r="FE180" s="145"/>
      <c r="FF180" s="145"/>
      <c r="FG180" s="145"/>
      <c r="FH180" s="145"/>
      <c r="FI180" s="145"/>
      <c r="FJ180" s="145"/>
      <c r="FK180" s="145"/>
      <c r="FL180" s="145"/>
      <c r="FM180" s="145"/>
      <c r="FN180" s="145"/>
      <c r="FO180" s="145"/>
      <c r="FP180" s="145"/>
      <c r="FQ180" s="145"/>
      <c r="FR180" s="145"/>
      <c r="FS180" s="145"/>
      <c r="FT180" s="145"/>
      <c r="FU180" s="145"/>
      <c r="FV180" s="145"/>
      <c r="FW180" s="145"/>
      <c r="FX180" s="143"/>
      <c r="FY180" s="146">
        <f>_xlfn.XLOOKUP($E180,'Key assumptions'!$B$112:$B$120,'Key assumptions'!$C$112:$C$120,0)</f>
        <v>0</v>
      </c>
      <c r="FZ180" s="146" cm="1">
        <f t="array" ref="FZ180">IF($FY180=0,0,_xlfn.IFS($FY180='Key assumptions'!$C$120,_xlfn.XLOOKUP(LEFT(FZ$7,6),Inflation_Year,Inflation_NominaltoReal),TRUE,_xlfn.XLOOKUP($FY180,Inflation_Year,NominaltoReal)))</f>
        <v>0</v>
      </c>
      <c r="GA180" s="146" cm="1">
        <f t="array" ref="GA180">IF($FY180=0,0,_xlfn.IFS($FY180='Key assumptions'!$C$120,_xlfn.XLOOKUP(LEFT(GA$7,6),Inflation_Year,Inflation_NominaltoReal),TRUE,_xlfn.XLOOKUP($FY180,Inflation_Year,NominaltoReal)))</f>
        <v>0</v>
      </c>
      <c r="GB180" s="146" cm="1">
        <f t="array" ref="GB180">IF($FY180=0,0,_xlfn.IFS($FY180='Key assumptions'!$C$120,_xlfn.XLOOKUP(LEFT(GB$7,6),Inflation_Year,Inflation_NominaltoReal),TRUE,_xlfn.XLOOKUP($FY180,Inflation_Year,NominaltoReal)))</f>
        <v>0</v>
      </c>
      <c r="GC180" s="146" cm="1">
        <f t="array" ref="GC180">IF($FY180=0,0,_xlfn.IFS($FY180='Key assumptions'!$C$120,_xlfn.XLOOKUP(LEFT(GC$7,6),Inflation_Year,Inflation_NominaltoReal),TRUE,_xlfn.XLOOKUP($FY180,Inflation_Year,NominaltoReal)))</f>
        <v>0</v>
      </c>
      <c r="GD180" s="146" cm="1">
        <f t="array" ref="GD180">IF($FY180=0,0,_xlfn.IFS($FY180='Key assumptions'!$C$120,_xlfn.XLOOKUP(LEFT(GD$7,6),Inflation_Year,Inflation_NominaltoReal),TRUE,_xlfn.XLOOKUP($FY180,Inflation_Year,NominaltoReal)))</f>
        <v>0</v>
      </c>
      <c r="GE180" s="146" cm="1">
        <f t="array" ref="GE180">IF($FY180=0,0,_xlfn.IFS($FY180='Key assumptions'!$C$120,_xlfn.XLOOKUP(LEFT(GE$7,6),Inflation_Year,Inflation_NominaltoReal),TRUE,_xlfn.XLOOKUP($FY180,Inflation_Year,NominaltoReal)))</f>
        <v>0</v>
      </c>
      <c r="GF180" s="146" cm="1">
        <f t="array" ref="GF180">IF($FY180=0,0,_xlfn.IFS($FY180='Key assumptions'!$C$120,_xlfn.XLOOKUP(LEFT(GF$7,6),Inflation_Year,Inflation_NominaltoReal),TRUE,_xlfn.XLOOKUP($FY180,Inflation_Year,NominaltoReal)))</f>
        <v>0</v>
      </c>
      <c r="GG180" s="143"/>
      <c r="GH180" s="145" cm="1">
        <f t="array" ref="GH180">SUMPRODUCT(--($CR$7:$FW$7&gt;=GH$5),--($CR$7:$FW$7&lt;=GH$6),$CR180:$FW180)*FZ180</f>
        <v>0</v>
      </c>
      <c r="GI180" s="145" cm="1">
        <f t="array" ref="GI180">SUMPRODUCT(--($CR$7:$FW$7&gt;=GI$5),--($CR$7:$FW$7&lt;=GI$6),$CR180:$FW180)*GA180</f>
        <v>0</v>
      </c>
      <c r="GJ180" s="145" cm="1">
        <f t="array" ref="GJ180">SUMPRODUCT(--($CR$7:$FW$7&gt;=GJ$5),--($CR$7:$FW$7&lt;=GJ$6),$CR180:$FW180)*GB180</f>
        <v>0</v>
      </c>
      <c r="GK180" s="145" cm="1">
        <f t="array" ref="GK180">SUMPRODUCT(--($CR$7:$FW$7&gt;=GK$5),--($CR$7:$FW$7&lt;=GK$6),$CR180:$FW180)*GC180</f>
        <v>0</v>
      </c>
      <c r="GL180" s="145" cm="1">
        <f t="array" ref="GL180">SUMPRODUCT(--($CR$7:$FW$7&gt;=GL$5),--($CR$7:$FW$7&lt;=GL$6),$CR180:$FW180)*GD180</f>
        <v>0</v>
      </c>
      <c r="GM180" s="145" cm="1">
        <f t="array" ref="GM180">SUMPRODUCT(--($CR$7:$FW$7&gt;=GM$5),--($CR$7:$FW$7&lt;=GM$6),$CR180:$FW180)*GE180</f>
        <v>0</v>
      </c>
      <c r="GN180" s="145" cm="1">
        <f t="array" ref="GN180">SUMPRODUCT(--($CR$7:$FW$7&gt;=GN$5),--($CR$7:$FW$7&lt;=GN$6),$CR180:$FW180)*GF180</f>
        <v>0</v>
      </c>
      <c r="GO180" s="145">
        <f t="shared" si="2"/>
        <v>0</v>
      </c>
      <c r="GP180" s="87"/>
      <c r="GR180" s="145" cm="1">
        <f t="array" ref="GR180">SUMPRODUCT(--($CR$7:$FW$7&gt;=GR$5),--($CR$7:$FW$7&lt;=GR$6),$CR180:$FW180)</f>
        <v>0</v>
      </c>
    </row>
    <row r="181" spans="2:200" x14ac:dyDescent="0.2">
      <c r="B181" s="141"/>
      <c r="C181" s="141"/>
      <c r="D181" s="141"/>
      <c r="E181" s="141"/>
      <c r="F181" s="141"/>
      <c r="G181" s="141"/>
      <c r="H181" s="142"/>
      <c r="I181" s="126"/>
      <c r="J181" s="143"/>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3"/>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45"/>
      <c r="EH181" s="145"/>
      <c r="EI181" s="145"/>
      <c r="EJ181" s="145"/>
      <c r="EK181" s="145"/>
      <c r="EL181" s="145"/>
      <c r="EM181" s="145"/>
      <c r="EN181" s="145"/>
      <c r="EO181" s="145"/>
      <c r="EP181" s="145"/>
      <c r="EQ181" s="145"/>
      <c r="ER181" s="145"/>
      <c r="ES181" s="145"/>
      <c r="ET181" s="145"/>
      <c r="EU181" s="145"/>
      <c r="EV181" s="145"/>
      <c r="EW181" s="145"/>
      <c r="EX181" s="145"/>
      <c r="EY181" s="145"/>
      <c r="EZ181" s="145"/>
      <c r="FA181" s="145"/>
      <c r="FB181" s="145"/>
      <c r="FC181" s="145"/>
      <c r="FD181" s="145"/>
      <c r="FE181" s="145"/>
      <c r="FF181" s="145"/>
      <c r="FG181" s="145"/>
      <c r="FH181" s="145"/>
      <c r="FI181" s="145"/>
      <c r="FJ181" s="145"/>
      <c r="FK181" s="145"/>
      <c r="FL181" s="145"/>
      <c r="FM181" s="145"/>
      <c r="FN181" s="145"/>
      <c r="FO181" s="145"/>
      <c r="FP181" s="145"/>
      <c r="FQ181" s="145"/>
      <c r="FR181" s="145"/>
      <c r="FS181" s="145"/>
      <c r="FT181" s="145"/>
      <c r="FU181" s="145"/>
      <c r="FV181" s="145"/>
      <c r="FW181" s="145"/>
      <c r="FX181" s="143"/>
      <c r="FY181" s="146">
        <f>_xlfn.XLOOKUP($E181,'Key assumptions'!$B$112:$B$120,'Key assumptions'!$C$112:$C$120,0)</f>
        <v>0</v>
      </c>
      <c r="FZ181" s="146" cm="1">
        <f t="array" ref="FZ181">IF($FY181=0,0,_xlfn.IFS($FY181='Key assumptions'!$C$120,_xlfn.XLOOKUP(LEFT(FZ$7,6),Inflation_Year,Inflation_NominaltoReal),TRUE,_xlfn.XLOOKUP($FY181,Inflation_Year,NominaltoReal)))</f>
        <v>0</v>
      </c>
      <c r="GA181" s="146" cm="1">
        <f t="array" ref="GA181">IF($FY181=0,0,_xlfn.IFS($FY181='Key assumptions'!$C$120,_xlfn.XLOOKUP(LEFT(GA$7,6),Inflation_Year,Inflation_NominaltoReal),TRUE,_xlfn.XLOOKUP($FY181,Inflation_Year,NominaltoReal)))</f>
        <v>0</v>
      </c>
      <c r="GB181" s="146" cm="1">
        <f t="array" ref="GB181">IF($FY181=0,0,_xlfn.IFS($FY181='Key assumptions'!$C$120,_xlfn.XLOOKUP(LEFT(GB$7,6),Inflation_Year,Inflation_NominaltoReal),TRUE,_xlfn.XLOOKUP($FY181,Inflation_Year,NominaltoReal)))</f>
        <v>0</v>
      </c>
      <c r="GC181" s="146" cm="1">
        <f t="array" ref="GC181">IF($FY181=0,0,_xlfn.IFS($FY181='Key assumptions'!$C$120,_xlfn.XLOOKUP(LEFT(GC$7,6),Inflation_Year,Inflation_NominaltoReal),TRUE,_xlfn.XLOOKUP($FY181,Inflation_Year,NominaltoReal)))</f>
        <v>0</v>
      </c>
      <c r="GD181" s="146" cm="1">
        <f t="array" ref="GD181">IF($FY181=0,0,_xlfn.IFS($FY181='Key assumptions'!$C$120,_xlfn.XLOOKUP(LEFT(GD$7,6),Inflation_Year,Inflation_NominaltoReal),TRUE,_xlfn.XLOOKUP($FY181,Inflation_Year,NominaltoReal)))</f>
        <v>0</v>
      </c>
      <c r="GE181" s="146" cm="1">
        <f t="array" ref="GE181">IF($FY181=0,0,_xlfn.IFS($FY181='Key assumptions'!$C$120,_xlfn.XLOOKUP(LEFT(GE$7,6),Inflation_Year,Inflation_NominaltoReal),TRUE,_xlfn.XLOOKUP($FY181,Inflation_Year,NominaltoReal)))</f>
        <v>0</v>
      </c>
      <c r="GF181" s="146" cm="1">
        <f t="array" ref="GF181">IF($FY181=0,0,_xlfn.IFS($FY181='Key assumptions'!$C$120,_xlfn.XLOOKUP(LEFT(GF$7,6),Inflation_Year,Inflation_NominaltoReal),TRUE,_xlfn.XLOOKUP($FY181,Inflation_Year,NominaltoReal)))</f>
        <v>0</v>
      </c>
      <c r="GG181" s="143"/>
      <c r="GH181" s="145" cm="1">
        <f t="array" ref="GH181">SUMPRODUCT(--($CR$7:$FW$7&gt;=GH$5),--($CR$7:$FW$7&lt;=GH$6),$CR181:$FW181)*FZ181</f>
        <v>0</v>
      </c>
      <c r="GI181" s="145" cm="1">
        <f t="array" ref="GI181">SUMPRODUCT(--($CR$7:$FW$7&gt;=GI$5),--($CR$7:$FW$7&lt;=GI$6),$CR181:$FW181)*GA181</f>
        <v>0</v>
      </c>
      <c r="GJ181" s="145" cm="1">
        <f t="array" ref="GJ181">SUMPRODUCT(--($CR$7:$FW$7&gt;=GJ$5),--($CR$7:$FW$7&lt;=GJ$6),$CR181:$FW181)*GB181</f>
        <v>0</v>
      </c>
      <c r="GK181" s="145" cm="1">
        <f t="array" ref="GK181">SUMPRODUCT(--($CR$7:$FW$7&gt;=GK$5),--($CR$7:$FW$7&lt;=GK$6),$CR181:$FW181)*GC181</f>
        <v>0</v>
      </c>
      <c r="GL181" s="145" cm="1">
        <f t="array" ref="GL181">SUMPRODUCT(--($CR$7:$FW$7&gt;=GL$5),--($CR$7:$FW$7&lt;=GL$6),$CR181:$FW181)*GD181</f>
        <v>0</v>
      </c>
      <c r="GM181" s="145" cm="1">
        <f t="array" ref="GM181">SUMPRODUCT(--($CR$7:$FW$7&gt;=GM$5),--($CR$7:$FW$7&lt;=GM$6),$CR181:$FW181)*GE181</f>
        <v>0</v>
      </c>
      <c r="GN181" s="145" cm="1">
        <f t="array" ref="GN181">SUMPRODUCT(--($CR$7:$FW$7&gt;=GN$5),--($CR$7:$FW$7&lt;=GN$6),$CR181:$FW181)*GF181</f>
        <v>0</v>
      </c>
      <c r="GO181" s="145">
        <f t="shared" si="2"/>
        <v>0</v>
      </c>
      <c r="GP181" s="87"/>
      <c r="GR181" s="145" cm="1">
        <f t="array" ref="GR181">SUMPRODUCT(--($CR$7:$FW$7&gt;=GR$5),--($CR$7:$FW$7&lt;=GR$6),$CR181:$FW181)</f>
        <v>0</v>
      </c>
    </row>
    <row r="182" spans="2:200" x14ac:dyDescent="0.2">
      <c r="B182" s="141"/>
      <c r="C182" s="141"/>
      <c r="D182" s="141"/>
      <c r="E182" s="141"/>
      <c r="F182" s="141"/>
      <c r="G182" s="141"/>
      <c r="H182" s="142"/>
      <c r="I182" s="126"/>
      <c r="J182" s="143"/>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3"/>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c r="EE182" s="145"/>
      <c r="EF182" s="145"/>
      <c r="EG182" s="145"/>
      <c r="EH182" s="145"/>
      <c r="EI182" s="145"/>
      <c r="EJ182" s="145"/>
      <c r="EK182" s="145"/>
      <c r="EL182" s="145"/>
      <c r="EM182" s="145"/>
      <c r="EN182" s="145"/>
      <c r="EO182" s="145"/>
      <c r="EP182" s="145"/>
      <c r="EQ182" s="145"/>
      <c r="ER182" s="145"/>
      <c r="ES182" s="145"/>
      <c r="ET182" s="145"/>
      <c r="EU182" s="145"/>
      <c r="EV182" s="145"/>
      <c r="EW182" s="145"/>
      <c r="EX182" s="145"/>
      <c r="EY182" s="145"/>
      <c r="EZ182" s="145"/>
      <c r="FA182" s="145"/>
      <c r="FB182" s="145"/>
      <c r="FC182" s="145"/>
      <c r="FD182" s="145"/>
      <c r="FE182" s="145"/>
      <c r="FF182" s="145"/>
      <c r="FG182" s="145"/>
      <c r="FH182" s="145"/>
      <c r="FI182" s="145"/>
      <c r="FJ182" s="145"/>
      <c r="FK182" s="145"/>
      <c r="FL182" s="145"/>
      <c r="FM182" s="145"/>
      <c r="FN182" s="145"/>
      <c r="FO182" s="145"/>
      <c r="FP182" s="145"/>
      <c r="FQ182" s="145"/>
      <c r="FR182" s="145"/>
      <c r="FS182" s="145"/>
      <c r="FT182" s="145"/>
      <c r="FU182" s="145"/>
      <c r="FV182" s="145"/>
      <c r="FW182" s="145"/>
      <c r="FX182" s="143"/>
      <c r="FY182" s="146">
        <f>_xlfn.XLOOKUP($E182,'Key assumptions'!$B$112:$B$120,'Key assumptions'!$C$112:$C$120,0)</f>
        <v>0</v>
      </c>
      <c r="FZ182" s="146" cm="1">
        <f t="array" ref="FZ182">IF($FY182=0,0,_xlfn.IFS($FY182='Key assumptions'!$C$120,_xlfn.XLOOKUP(LEFT(FZ$7,6),Inflation_Year,Inflation_NominaltoReal),TRUE,_xlfn.XLOOKUP($FY182,Inflation_Year,NominaltoReal)))</f>
        <v>0</v>
      </c>
      <c r="GA182" s="146" cm="1">
        <f t="array" ref="GA182">IF($FY182=0,0,_xlfn.IFS($FY182='Key assumptions'!$C$120,_xlfn.XLOOKUP(LEFT(GA$7,6),Inflation_Year,Inflation_NominaltoReal),TRUE,_xlfn.XLOOKUP($FY182,Inflation_Year,NominaltoReal)))</f>
        <v>0</v>
      </c>
      <c r="GB182" s="146" cm="1">
        <f t="array" ref="GB182">IF($FY182=0,0,_xlfn.IFS($FY182='Key assumptions'!$C$120,_xlfn.XLOOKUP(LEFT(GB$7,6),Inflation_Year,Inflation_NominaltoReal),TRUE,_xlfn.XLOOKUP($FY182,Inflation_Year,NominaltoReal)))</f>
        <v>0</v>
      </c>
      <c r="GC182" s="146" cm="1">
        <f t="array" ref="GC182">IF($FY182=0,0,_xlfn.IFS($FY182='Key assumptions'!$C$120,_xlfn.XLOOKUP(LEFT(GC$7,6),Inflation_Year,Inflation_NominaltoReal),TRUE,_xlfn.XLOOKUP($FY182,Inflation_Year,NominaltoReal)))</f>
        <v>0</v>
      </c>
      <c r="GD182" s="146" cm="1">
        <f t="array" ref="GD182">IF($FY182=0,0,_xlfn.IFS($FY182='Key assumptions'!$C$120,_xlfn.XLOOKUP(LEFT(GD$7,6),Inflation_Year,Inflation_NominaltoReal),TRUE,_xlfn.XLOOKUP($FY182,Inflation_Year,NominaltoReal)))</f>
        <v>0</v>
      </c>
      <c r="GE182" s="146" cm="1">
        <f t="array" ref="GE182">IF($FY182=0,0,_xlfn.IFS($FY182='Key assumptions'!$C$120,_xlfn.XLOOKUP(LEFT(GE$7,6),Inflation_Year,Inflation_NominaltoReal),TRUE,_xlfn.XLOOKUP($FY182,Inflation_Year,NominaltoReal)))</f>
        <v>0</v>
      </c>
      <c r="GF182" s="146" cm="1">
        <f t="array" ref="GF182">IF($FY182=0,0,_xlfn.IFS($FY182='Key assumptions'!$C$120,_xlfn.XLOOKUP(LEFT(GF$7,6),Inflation_Year,Inflation_NominaltoReal),TRUE,_xlfn.XLOOKUP($FY182,Inflation_Year,NominaltoReal)))</f>
        <v>0</v>
      </c>
      <c r="GG182" s="143"/>
      <c r="GH182" s="145" cm="1">
        <f t="array" ref="GH182">SUMPRODUCT(--($CR$7:$FW$7&gt;=GH$5),--($CR$7:$FW$7&lt;=GH$6),$CR182:$FW182)*FZ182</f>
        <v>0</v>
      </c>
      <c r="GI182" s="145" cm="1">
        <f t="array" ref="GI182">SUMPRODUCT(--($CR$7:$FW$7&gt;=GI$5),--($CR$7:$FW$7&lt;=GI$6),$CR182:$FW182)*GA182</f>
        <v>0</v>
      </c>
      <c r="GJ182" s="145" cm="1">
        <f t="array" ref="GJ182">SUMPRODUCT(--($CR$7:$FW$7&gt;=GJ$5),--($CR$7:$FW$7&lt;=GJ$6),$CR182:$FW182)*GB182</f>
        <v>0</v>
      </c>
      <c r="GK182" s="145" cm="1">
        <f t="array" ref="GK182">SUMPRODUCT(--($CR$7:$FW$7&gt;=GK$5),--($CR$7:$FW$7&lt;=GK$6),$CR182:$FW182)*GC182</f>
        <v>0</v>
      </c>
      <c r="GL182" s="145" cm="1">
        <f t="array" ref="GL182">SUMPRODUCT(--($CR$7:$FW$7&gt;=GL$5),--($CR$7:$FW$7&lt;=GL$6),$CR182:$FW182)*GD182</f>
        <v>0</v>
      </c>
      <c r="GM182" s="145" cm="1">
        <f t="array" ref="GM182">SUMPRODUCT(--($CR$7:$FW$7&gt;=GM$5),--($CR$7:$FW$7&lt;=GM$6),$CR182:$FW182)*GE182</f>
        <v>0</v>
      </c>
      <c r="GN182" s="145" cm="1">
        <f t="array" ref="GN182">SUMPRODUCT(--($CR$7:$FW$7&gt;=GN$5),--($CR$7:$FW$7&lt;=GN$6),$CR182:$FW182)*GF182</f>
        <v>0</v>
      </c>
      <c r="GO182" s="145">
        <f t="shared" si="2"/>
        <v>0</v>
      </c>
      <c r="GP182" s="87"/>
      <c r="GR182" s="145" cm="1">
        <f t="array" ref="GR182">SUMPRODUCT(--($CR$7:$FW$7&gt;=GR$5),--($CR$7:$FW$7&lt;=GR$6),$CR182:$FW182)</f>
        <v>0</v>
      </c>
    </row>
    <row r="183" spans="2:200" x14ac:dyDescent="0.2">
      <c r="B183" s="141"/>
      <c r="C183" s="141"/>
      <c r="D183" s="141"/>
      <c r="E183" s="141"/>
      <c r="F183" s="141"/>
      <c r="G183" s="141"/>
      <c r="H183" s="142"/>
      <c r="I183" s="126"/>
      <c r="J183" s="143"/>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3"/>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c r="EE183" s="145"/>
      <c r="EF183" s="145"/>
      <c r="EG183" s="145"/>
      <c r="EH183" s="145"/>
      <c r="EI183" s="145"/>
      <c r="EJ183" s="145"/>
      <c r="EK183" s="145"/>
      <c r="EL183" s="145"/>
      <c r="EM183" s="145"/>
      <c r="EN183" s="145"/>
      <c r="EO183" s="145"/>
      <c r="EP183" s="145"/>
      <c r="EQ183" s="145"/>
      <c r="ER183" s="145"/>
      <c r="ES183" s="145"/>
      <c r="ET183" s="145"/>
      <c r="EU183" s="145"/>
      <c r="EV183" s="145"/>
      <c r="EW183" s="145"/>
      <c r="EX183" s="145"/>
      <c r="EY183" s="145"/>
      <c r="EZ183" s="145"/>
      <c r="FA183" s="145"/>
      <c r="FB183" s="145"/>
      <c r="FC183" s="145"/>
      <c r="FD183" s="145"/>
      <c r="FE183" s="145"/>
      <c r="FF183" s="145"/>
      <c r="FG183" s="145"/>
      <c r="FH183" s="145"/>
      <c r="FI183" s="145"/>
      <c r="FJ183" s="145"/>
      <c r="FK183" s="145"/>
      <c r="FL183" s="145"/>
      <c r="FM183" s="145"/>
      <c r="FN183" s="145"/>
      <c r="FO183" s="145"/>
      <c r="FP183" s="145"/>
      <c r="FQ183" s="145"/>
      <c r="FR183" s="145"/>
      <c r="FS183" s="145"/>
      <c r="FT183" s="145"/>
      <c r="FU183" s="145"/>
      <c r="FV183" s="145"/>
      <c r="FW183" s="145"/>
      <c r="FX183" s="143"/>
      <c r="FY183" s="146">
        <f>_xlfn.XLOOKUP($E183,'Key assumptions'!$B$112:$B$120,'Key assumptions'!$C$112:$C$120,0)</f>
        <v>0</v>
      </c>
      <c r="FZ183" s="146" cm="1">
        <f t="array" ref="FZ183">IF($FY183=0,0,_xlfn.IFS($FY183='Key assumptions'!$C$120,_xlfn.XLOOKUP(LEFT(FZ$7,6),Inflation_Year,Inflation_NominaltoReal),TRUE,_xlfn.XLOOKUP($FY183,Inflation_Year,NominaltoReal)))</f>
        <v>0</v>
      </c>
      <c r="GA183" s="146" cm="1">
        <f t="array" ref="GA183">IF($FY183=0,0,_xlfn.IFS($FY183='Key assumptions'!$C$120,_xlfn.XLOOKUP(LEFT(GA$7,6),Inflation_Year,Inflation_NominaltoReal),TRUE,_xlfn.XLOOKUP($FY183,Inflation_Year,NominaltoReal)))</f>
        <v>0</v>
      </c>
      <c r="GB183" s="146" cm="1">
        <f t="array" ref="GB183">IF($FY183=0,0,_xlfn.IFS($FY183='Key assumptions'!$C$120,_xlfn.XLOOKUP(LEFT(GB$7,6),Inflation_Year,Inflation_NominaltoReal),TRUE,_xlfn.XLOOKUP($FY183,Inflation_Year,NominaltoReal)))</f>
        <v>0</v>
      </c>
      <c r="GC183" s="146" cm="1">
        <f t="array" ref="GC183">IF($FY183=0,0,_xlfn.IFS($FY183='Key assumptions'!$C$120,_xlfn.XLOOKUP(LEFT(GC$7,6),Inflation_Year,Inflation_NominaltoReal),TRUE,_xlfn.XLOOKUP($FY183,Inflation_Year,NominaltoReal)))</f>
        <v>0</v>
      </c>
      <c r="GD183" s="146" cm="1">
        <f t="array" ref="GD183">IF($FY183=0,0,_xlfn.IFS($FY183='Key assumptions'!$C$120,_xlfn.XLOOKUP(LEFT(GD$7,6),Inflation_Year,Inflation_NominaltoReal),TRUE,_xlfn.XLOOKUP($FY183,Inflation_Year,NominaltoReal)))</f>
        <v>0</v>
      </c>
      <c r="GE183" s="146" cm="1">
        <f t="array" ref="GE183">IF($FY183=0,0,_xlfn.IFS($FY183='Key assumptions'!$C$120,_xlfn.XLOOKUP(LEFT(GE$7,6),Inflation_Year,Inflation_NominaltoReal),TRUE,_xlfn.XLOOKUP($FY183,Inflation_Year,NominaltoReal)))</f>
        <v>0</v>
      </c>
      <c r="GF183" s="146" cm="1">
        <f t="array" ref="GF183">IF($FY183=0,0,_xlfn.IFS($FY183='Key assumptions'!$C$120,_xlfn.XLOOKUP(LEFT(GF$7,6),Inflation_Year,Inflation_NominaltoReal),TRUE,_xlfn.XLOOKUP($FY183,Inflation_Year,NominaltoReal)))</f>
        <v>0</v>
      </c>
      <c r="GG183" s="143"/>
      <c r="GH183" s="145" cm="1">
        <f t="array" ref="GH183">SUMPRODUCT(--($CR$7:$FW$7&gt;=GH$5),--($CR$7:$FW$7&lt;=GH$6),$CR183:$FW183)*FZ183</f>
        <v>0</v>
      </c>
      <c r="GI183" s="145" cm="1">
        <f t="array" ref="GI183">SUMPRODUCT(--($CR$7:$FW$7&gt;=GI$5),--($CR$7:$FW$7&lt;=GI$6),$CR183:$FW183)*GA183</f>
        <v>0</v>
      </c>
      <c r="GJ183" s="145" cm="1">
        <f t="array" ref="GJ183">SUMPRODUCT(--($CR$7:$FW$7&gt;=GJ$5),--($CR$7:$FW$7&lt;=GJ$6),$CR183:$FW183)*GB183</f>
        <v>0</v>
      </c>
      <c r="GK183" s="145" cm="1">
        <f t="array" ref="GK183">SUMPRODUCT(--($CR$7:$FW$7&gt;=GK$5),--($CR$7:$FW$7&lt;=GK$6),$CR183:$FW183)*GC183</f>
        <v>0</v>
      </c>
      <c r="GL183" s="145" cm="1">
        <f t="array" ref="GL183">SUMPRODUCT(--($CR$7:$FW$7&gt;=GL$5),--($CR$7:$FW$7&lt;=GL$6),$CR183:$FW183)*GD183</f>
        <v>0</v>
      </c>
      <c r="GM183" s="145" cm="1">
        <f t="array" ref="GM183">SUMPRODUCT(--($CR$7:$FW$7&gt;=GM$5),--($CR$7:$FW$7&lt;=GM$6),$CR183:$FW183)*GE183</f>
        <v>0</v>
      </c>
      <c r="GN183" s="145" cm="1">
        <f t="array" ref="GN183">SUMPRODUCT(--($CR$7:$FW$7&gt;=GN$5),--($CR$7:$FW$7&lt;=GN$6),$CR183:$FW183)*GF183</f>
        <v>0</v>
      </c>
      <c r="GO183" s="145">
        <f t="shared" si="2"/>
        <v>0</v>
      </c>
      <c r="GP183" s="87"/>
      <c r="GR183" s="145" cm="1">
        <f t="array" ref="GR183">SUMPRODUCT(--($CR$7:$FW$7&gt;=GR$5),--($CR$7:$FW$7&lt;=GR$6),$CR183:$FW183)</f>
        <v>0</v>
      </c>
    </row>
    <row r="184" spans="2:200" x14ac:dyDescent="0.2">
      <c r="B184" s="141"/>
      <c r="C184" s="141"/>
      <c r="D184" s="141"/>
      <c r="E184" s="141"/>
      <c r="F184" s="141"/>
      <c r="G184" s="141"/>
      <c r="H184" s="142"/>
      <c r="I184" s="126"/>
      <c r="J184" s="143"/>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3"/>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c r="EE184" s="145"/>
      <c r="EF184" s="145"/>
      <c r="EG184" s="145"/>
      <c r="EH184" s="145"/>
      <c r="EI184" s="145"/>
      <c r="EJ184" s="145"/>
      <c r="EK184" s="145"/>
      <c r="EL184" s="145"/>
      <c r="EM184" s="145"/>
      <c r="EN184" s="14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45"/>
      <c r="FK184" s="145"/>
      <c r="FL184" s="145"/>
      <c r="FM184" s="145"/>
      <c r="FN184" s="145"/>
      <c r="FO184" s="145"/>
      <c r="FP184" s="145"/>
      <c r="FQ184" s="145"/>
      <c r="FR184" s="145"/>
      <c r="FS184" s="145"/>
      <c r="FT184" s="145"/>
      <c r="FU184" s="145"/>
      <c r="FV184" s="145"/>
      <c r="FW184" s="145"/>
      <c r="FX184" s="143"/>
      <c r="FY184" s="146">
        <f>_xlfn.XLOOKUP($E184,'Key assumptions'!$B$112:$B$120,'Key assumptions'!$C$112:$C$120,0)</f>
        <v>0</v>
      </c>
      <c r="FZ184" s="146" cm="1">
        <f t="array" ref="FZ184">IF($FY184=0,0,_xlfn.IFS($FY184='Key assumptions'!$C$120,_xlfn.XLOOKUP(LEFT(FZ$7,6),Inflation_Year,Inflation_NominaltoReal),TRUE,_xlfn.XLOOKUP($FY184,Inflation_Year,NominaltoReal)))</f>
        <v>0</v>
      </c>
      <c r="GA184" s="146" cm="1">
        <f t="array" ref="GA184">IF($FY184=0,0,_xlfn.IFS($FY184='Key assumptions'!$C$120,_xlfn.XLOOKUP(LEFT(GA$7,6),Inflation_Year,Inflation_NominaltoReal),TRUE,_xlfn.XLOOKUP($FY184,Inflation_Year,NominaltoReal)))</f>
        <v>0</v>
      </c>
      <c r="GB184" s="146" cm="1">
        <f t="array" ref="GB184">IF($FY184=0,0,_xlfn.IFS($FY184='Key assumptions'!$C$120,_xlfn.XLOOKUP(LEFT(GB$7,6),Inflation_Year,Inflation_NominaltoReal),TRUE,_xlfn.XLOOKUP($FY184,Inflation_Year,NominaltoReal)))</f>
        <v>0</v>
      </c>
      <c r="GC184" s="146" cm="1">
        <f t="array" ref="GC184">IF($FY184=0,0,_xlfn.IFS($FY184='Key assumptions'!$C$120,_xlfn.XLOOKUP(LEFT(GC$7,6),Inflation_Year,Inflation_NominaltoReal),TRUE,_xlfn.XLOOKUP($FY184,Inflation_Year,NominaltoReal)))</f>
        <v>0</v>
      </c>
      <c r="GD184" s="146" cm="1">
        <f t="array" ref="GD184">IF($FY184=0,0,_xlfn.IFS($FY184='Key assumptions'!$C$120,_xlfn.XLOOKUP(LEFT(GD$7,6),Inflation_Year,Inflation_NominaltoReal),TRUE,_xlfn.XLOOKUP($FY184,Inflation_Year,NominaltoReal)))</f>
        <v>0</v>
      </c>
      <c r="GE184" s="146" cm="1">
        <f t="array" ref="GE184">IF($FY184=0,0,_xlfn.IFS($FY184='Key assumptions'!$C$120,_xlfn.XLOOKUP(LEFT(GE$7,6),Inflation_Year,Inflation_NominaltoReal),TRUE,_xlfn.XLOOKUP($FY184,Inflation_Year,NominaltoReal)))</f>
        <v>0</v>
      </c>
      <c r="GF184" s="146" cm="1">
        <f t="array" ref="GF184">IF($FY184=0,0,_xlfn.IFS($FY184='Key assumptions'!$C$120,_xlfn.XLOOKUP(LEFT(GF$7,6),Inflation_Year,Inflation_NominaltoReal),TRUE,_xlfn.XLOOKUP($FY184,Inflation_Year,NominaltoReal)))</f>
        <v>0</v>
      </c>
      <c r="GG184" s="143"/>
      <c r="GH184" s="145" cm="1">
        <f t="array" ref="GH184">SUMPRODUCT(--($CR$7:$FW$7&gt;=GH$5),--($CR$7:$FW$7&lt;=GH$6),$CR184:$FW184)*FZ184</f>
        <v>0</v>
      </c>
      <c r="GI184" s="145" cm="1">
        <f t="array" ref="GI184">SUMPRODUCT(--($CR$7:$FW$7&gt;=GI$5),--($CR$7:$FW$7&lt;=GI$6),$CR184:$FW184)*GA184</f>
        <v>0</v>
      </c>
      <c r="GJ184" s="145" cm="1">
        <f t="array" ref="GJ184">SUMPRODUCT(--($CR$7:$FW$7&gt;=GJ$5),--($CR$7:$FW$7&lt;=GJ$6),$CR184:$FW184)*GB184</f>
        <v>0</v>
      </c>
      <c r="GK184" s="145" cm="1">
        <f t="array" ref="GK184">SUMPRODUCT(--($CR$7:$FW$7&gt;=GK$5),--($CR$7:$FW$7&lt;=GK$6),$CR184:$FW184)*GC184</f>
        <v>0</v>
      </c>
      <c r="GL184" s="145" cm="1">
        <f t="array" ref="GL184">SUMPRODUCT(--($CR$7:$FW$7&gt;=GL$5),--($CR$7:$FW$7&lt;=GL$6),$CR184:$FW184)*GD184</f>
        <v>0</v>
      </c>
      <c r="GM184" s="145" cm="1">
        <f t="array" ref="GM184">SUMPRODUCT(--($CR$7:$FW$7&gt;=GM$5),--($CR$7:$FW$7&lt;=GM$6),$CR184:$FW184)*GE184</f>
        <v>0</v>
      </c>
      <c r="GN184" s="145" cm="1">
        <f t="array" ref="GN184">SUMPRODUCT(--($CR$7:$FW$7&gt;=GN$5),--($CR$7:$FW$7&lt;=GN$6),$CR184:$FW184)*GF184</f>
        <v>0</v>
      </c>
      <c r="GO184" s="145">
        <f t="shared" si="2"/>
        <v>0</v>
      </c>
      <c r="GP184" s="87"/>
      <c r="GR184" s="145" cm="1">
        <f t="array" ref="GR184">SUMPRODUCT(--($CR$7:$FW$7&gt;=GR$5),--($CR$7:$FW$7&lt;=GR$6),$CR184:$FW184)</f>
        <v>0</v>
      </c>
    </row>
    <row r="185" spans="2:200" x14ac:dyDescent="0.2">
      <c r="B185" s="141"/>
      <c r="C185" s="141"/>
      <c r="D185" s="141"/>
      <c r="E185" s="141"/>
      <c r="F185" s="141"/>
      <c r="G185" s="141"/>
      <c r="H185" s="142"/>
      <c r="I185" s="126"/>
      <c r="J185" s="143"/>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3"/>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45"/>
      <c r="EH185" s="145"/>
      <c r="EI185" s="145"/>
      <c r="EJ185" s="145"/>
      <c r="EK185" s="145"/>
      <c r="EL185" s="145"/>
      <c r="EM185" s="145"/>
      <c r="EN185" s="145"/>
      <c r="EO185" s="145"/>
      <c r="EP185" s="145"/>
      <c r="EQ185" s="145"/>
      <c r="ER185" s="145"/>
      <c r="ES185" s="145"/>
      <c r="ET185" s="145"/>
      <c r="EU185" s="145"/>
      <c r="EV185" s="145"/>
      <c r="EW185" s="145"/>
      <c r="EX185" s="145"/>
      <c r="EY185" s="145"/>
      <c r="EZ185" s="145"/>
      <c r="FA185" s="145"/>
      <c r="FB185" s="145"/>
      <c r="FC185" s="145"/>
      <c r="FD185" s="145"/>
      <c r="FE185" s="145"/>
      <c r="FF185" s="145"/>
      <c r="FG185" s="145"/>
      <c r="FH185" s="145"/>
      <c r="FI185" s="145"/>
      <c r="FJ185" s="145"/>
      <c r="FK185" s="145"/>
      <c r="FL185" s="145"/>
      <c r="FM185" s="145"/>
      <c r="FN185" s="145"/>
      <c r="FO185" s="145"/>
      <c r="FP185" s="145"/>
      <c r="FQ185" s="145"/>
      <c r="FR185" s="145"/>
      <c r="FS185" s="145"/>
      <c r="FT185" s="145"/>
      <c r="FU185" s="145"/>
      <c r="FV185" s="145"/>
      <c r="FW185" s="145"/>
      <c r="FX185" s="143"/>
      <c r="FY185" s="146">
        <f>_xlfn.XLOOKUP($E185,'Key assumptions'!$B$112:$B$120,'Key assumptions'!$C$112:$C$120,0)</f>
        <v>0</v>
      </c>
      <c r="FZ185" s="146" cm="1">
        <f t="array" ref="FZ185">IF($FY185=0,0,_xlfn.IFS($FY185='Key assumptions'!$C$120,_xlfn.XLOOKUP(LEFT(FZ$7,6),Inflation_Year,Inflation_NominaltoReal),TRUE,_xlfn.XLOOKUP($FY185,Inflation_Year,NominaltoReal)))</f>
        <v>0</v>
      </c>
      <c r="GA185" s="146" cm="1">
        <f t="array" ref="GA185">IF($FY185=0,0,_xlfn.IFS($FY185='Key assumptions'!$C$120,_xlfn.XLOOKUP(LEFT(GA$7,6),Inflation_Year,Inflation_NominaltoReal),TRUE,_xlfn.XLOOKUP($FY185,Inflation_Year,NominaltoReal)))</f>
        <v>0</v>
      </c>
      <c r="GB185" s="146" cm="1">
        <f t="array" ref="GB185">IF($FY185=0,0,_xlfn.IFS($FY185='Key assumptions'!$C$120,_xlfn.XLOOKUP(LEFT(GB$7,6),Inflation_Year,Inflation_NominaltoReal),TRUE,_xlfn.XLOOKUP($FY185,Inflation_Year,NominaltoReal)))</f>
        <v>0</v>
      </c>
      <c r="GC185" s="146" cm="1">
        <f t="array" ref="GC185">IF($FY185=0,0,_xlfn.IFS($FY185='Key assumptions'!$C$120,_xlfn.XLOOKUP(LEFT(GC$7,6),Inflation_Year,Inflation_NominaltoReal),TRUE,_xlfn.XLOOKUP($FY185,Inflation_Year,NominaltoReal)))</f>
        <v>0</v>
      </c>
      <c r="GD185" s="146" cm="1">
        <f t="array" ref="GD185">IF($FY185=0,0,_xlfn.IFS($FY185='Key assumptions'!$C$120,_xlfn.XLOOKUP(LEFT(GD$7,6),Inflation_Year,Inflation_NominaltoReal),TRUE,_xlfn.XLOOKUP($FY185,Inflation_Year,NominaltoReal)))</f>
        <v>0</v>
      </c>
      <c r="GE185" s="146" cm="1">
        <f t="array" ref="GE185">IF($FY185=0,0,_xlfn.IFS($FY185='Key assumptions'!$C$120,_xlfn.XLOOKUP(LEFT(GE$7,6),Inflation_Year,Inflation_NominaltoReal),TRUE,_xlfn.XLOOKUP($FY185,Inflation_Year,NominaltoReal)))</f>
        <v>0</v>
      </c>
      <c r="GF185" s="146" cm="1">
        <f t="array" ref="GF185">IF($FY185=0,0,_xlfn.IFS($FY185='Key assumptions'!$C$120,_xlfn.XLOOKUP(LEFT(GF$7,6),Inflation_Year,Inflation_NominaltoReal),TRUE,_xlfn.XLOOKUP($FY185,Inflation_Year,NominaltoReal)))</f>
        <v>0</v>
      </c>
      <c r="GG185" s="143"/>
      <c r="GH185" s="145" cm="1">
        <f t="array" ref="GH185">SUMPRODUCT(--($CR$7:$FW$7&gt;=GH$5),--($CR$7:$FW$7&lt;=GH$6),$CR185:$FW185)*FZ185</f>
        <v>0</v>
      </c>
      <c r="GI185" s="145" cm="1">
        <f t="array" ref="GI185">SUMPRODUCT(--($CR$7:$FW$7&gt;=GI$5),--($CR$7:$FW$7&lt;=GI$6),$CR185:$FW185)*GA185</f>
        <v>0</v>
      </c>
      <c r="GJ185" s="145" cm="1">
        <f t="array" ref="GJ185">SUMPRODUCT(--($CR$7:$FW$7&gt;=GJ$5),--($CR$7:$FW$7&lt;=GJ$6),$CR185:$FW185)*GB185</f>
        <v>0</v>
      </c>
      <c r="GK185" s="145" cm="1">
        <f t="array" ref="GK185">SUMPRODUCT(--($CR$7:$FW$7&gt;=GK$5),--($CR$7:$FW$7&lt;=GK$6),$CR185:$FW185)*GC185</f>
        <v>0</v>
      </c>
      <c r="GL185" s="145" cm="1">
        <f t="array" ref="GL185">SUMPRODUCT(--($CR$7:$FW$7&gt;=GL$5),--($CR$7:$FW$7&lt;=GL$6),$CR185:$FW185)*GD185</f>
        <v>0</v>
      </c>
      <c r="GM185" s="145" cm="1">
        <f t="array" ref="GM185">SUMPRODUCT(--($CR$7:$FW$7&gt;=GM$5),--($CR$7:$FW$7&lt;=GM$6),$CR185:$FW185)*GE185</f>
        <v>0</v>
      </c>
      <c r="GN185" s="145" cm="1">
        <f t="array" ref="GN185">SUMPRODUCT(--($CR$7:$FW$7&gt;=GN$5),--($CR$7:$FW$7&lt;=GN$6),$CR185:$FW185)*GF185</f>
        <v>0</v>
      </c>
      <c r="GO185" s="145">
        <f t="shared" si="2"/>
        <v>0</v>
      </c>
      <c r="GP185" s="87"/>
      <c r="GR185" s="145" cm="1">
        <f t="array" ref="GR185">SUMPRODUCT(--($CR$7:$FW$7&gt;=GR$5),--($CR$7:$FW$7&lt;=GR$6),$CR185:$FW185)</f>
        <v>0</v>
      </c>
    </row>
    <row r="186" spans="2:200" x14ac:dyDescent="0.2">
      <c r="B186" s="141"/>
      <c r="C186" s="141"/>
      <c r="D186" s="141"/>
      <c r="E186" s="141"/>
      <c r="F186" s="141"/>
      <c r="G186" s="141"/>
      <c r="H186" s="142"/>
      <c r="I186" s="126"/>
      <c r="J186" s="143"/>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3"/>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c r="EE186" s="145"/>
      <c r="EF186" s="145"/>
      <c r="EG186" s="145"/>
      <c r="EH186" s="145"/>
      <c r="EI186" s="145"/>
      <c r="EJ186" s="145"/>
      <c r="EK186" s="145"/>
      <c r="EL186" s="145"/>
      <c r="EM186" s="145"/>
      <c r="EN186" s="145"/>
      <c r="EO186" s="145"/>
      <c r="EP186" s="145"/>
      <c r="EQ186" s="145"/>
      <c r="ER186" s="145"/>
      <c r="ES186" s="145"/>
      <c r="ET186" s="145"/>
      <c r="EU186" s="145"/>
      <c r="EV186" s="145"/>
      <c r="EW186" s="145"/>
      <c r="EX186" s="145"/>
      <c r="EY186" s="145"/>
      <c r="EZ186" s="145"/>
      <c r="FA186" s="145"/>
      <c r="FB186" s="145"/>
      <c r="FC186" s="145"/>
      <c r="FD186" s="145"/>
      <c r="FE186" s="145"/>
      <c r="FF186" s="145"/>
      <c r="FG186" s="145"/>
      <c r="FH186" s="145"/>
      <c r="FI186" s="145"/>
      <c r="FJ186" s="145"/>
      <c r="FK186" s="145"/>
      <c r="FL186" s="145"/>
      <c r="FM186" s="145"/>
      <c r="FN186" s="145"/>
      <c r="FO186" s="145"/>
      <c r="FP186" s="145"/>
      <c r="FQ186" s="145"/>
      <c r="FR186" s="145"/>
      <c r="FS186" s="145"/>
      <c r="FT186" s="145"/>
      <c r="FU186" s="145"/>
      <c r="FV186" s="145"/>
      <c r="FW186" s="145"/>
      <c r="FX186" s="143"/>
      <c r="FY186" s="146">
        <f>_xlfn.XLOOKUP($E186,'Key assumptions'!$B$112:$B$120,'Key assumptions'!$C$112:$C$120,0)</f>
        <v>0</v>
      </c>
      <c r="FZ186" s="146" cm="1">
        <f t="array" ref="FZ186">IF($FY186=0,0,_xlfn.IFS($FY186='Key assumptions'!$C$120,_xlfn.XLOOKUP(LEFT(FZ$7,6),Inflation_Year,Inflation_NominaltoReal),TRUE,_xlfn.XLOOKUP($FY186,Inflation_Year,NominaltoReal)))</f>
        <v>0</v>
      </c>
      <c r="GA186" s="146" cm="1">
        <f t="array" ref="GA186">IF($FY186=0,0,_xlfn.IFS($FY186='Key assumptions'!$C$120,_xlfn.XLOOKUP(LEFT(GA$7,6),Inflation_Year,Inflation_NominaltoReal),TRUE,_xlfn.XLOOKUP($FY186,Inflation_Year,NominaltoReal)))</f>
        <v>0</v>
      </c>
      <c r="GB186" s="146" cm="1">
        <f t="array" ref="GB186">IF($FY186=0,0,_xlfn.IFS($FY186='Key assumptions'!$C$120,_xlfn.XLOOKUP(LEFT(GB$7,6),Inflation_Year,Inflation_NominaltoReal),TRUE,_xlfn.XLOOKUP($FY186,Inflation_Year,NominaltoReal)))</f>
        <v>0</v>
      </c>
      <c r="GC186" s="146" cm="1">
        <f t="array" ref="GC186">IF($FY186=0,0,_xlfn.IFS($FY186='Key assumptions'!$C$120,_xlfn.XLOOKUP(LEFT(GC$7,6),Inflation_Year,Inflation_NominaltoReal),TRUE,_xlfn.XLOOKUP($FY186,Inflation_Year,NominaltoReal)))</f>
        <v>0</v>
      </c>
      <c r="GD186" s="146" cm="1">
        <f t="array" ref="GD186">IF($FY186=0,0,_xlfn.IFS($FY186='Key assumptions'!$C$120,_xlfn.XLOOKUP(LEFT(GD$7,6),Inflation_Year,Inflation_NominaltoReal),TRUE,_xlfn.XLOOKUP($FY186,Inflation_Year,NominaltoReal)))</f>
        <v>0</v>
      </c>
      <c r="GE186" s="146" cm="1">
        <f t="array" ref="GE186">IF($FY186=0,0,_xlfn.IFS($FY186='Key assumptions'!$C$120,_xlfn.XLOOKUP(LEFT(GE$7,6),Inflation_Year,Inflation_NominaltoReal),TRUE,_xlfn.XLOOKUP($FY186,Inflation_Year,NominaltoReal)))</f>
        <v>0</v>
      </c>
      <c r="GF186" s="146" cm="1">
        <f t="array" ref="GF186">IF($FY186=0,0,_xlfn.IFS($FY186='Key assumptions'!$C$120,_xlfn.XLOOKUP(LEFT(GF$7,6),Inflation_Year,Inflation_NominaltoReal),TRUE,_xlfn.XLOOKUP($FY186,Inflation_Year,NominaltoReal)))</f>
        <v>0</v>
      </c>
      <c r="GG186" s="143"/>
      <c r="GH186" s="145" cm="1">
        <f t="array" ref="GH186">SUMPRODUCT(--($CR$7:$FW$7&gt;=GH$5),--($CR$7:$FW$7&lt;=GH$6),$CR186:$FW186)*FZ186</f>
        <v>0</v>
      </c>
      <c r="GI186" s="145" cm="1">
        <f t="array" ref="GI186">SUMPRODUCT(--($CR$7:$FW$7&gt;=GI$5),--($CR$7:$FW$7&lt;=GI$6),$CR186:$FW186)*GA186</f>
        <v>0</v>
      </c>
      <c r="GJ186" s="145" cm="1">
        <f t="array" ref="GJ186">SUMPRODUCT(--($CR$7:$FW$7&gt;=GJ$5),--($CR$7:$FW$7&lt;=GJ$6),$CR186:$FW186)*GB186</f>
        <v>0</v>
      </c>
      <c r="GK186" s="145" cm="1">
        <f t="array" ref="GK186">SUMPRODUCT(--($CR$7:$FW$7&gt;=GK$5),--($CR$7:$FW$7&lt;=GK$6),$CR186:$FW186)*GC186</f>
        <v>0</v>
      </c>
      <c r="GL186" s="145" cm="1">
        <f t="array" ref="GL186">SUMPRODUCT(--($CR$7:$FW$7&gt;=GL$5),--($CR$7:$FW$7&lt;=GL$6),$CR186:$FW186)*GD186</f>
        <v>0</v>
      </c>
      <c r="GM186" s="145" cm="1">
        <f t="array" ref="GM186">SUMPRODUCT(--($CR$7:$FW$7&gt;=GM$5),--($CR$7:$FW$7&lt;=GM$6),$CR186:$FW186)*GE186</f>
        <v>0</v>
      </c>
      <c r="GN186" s="145" cm="1">
        <f t="array" ref="GN186">SUMPRODUCT(--($CR$7:$FW$7&gt;=GN$5),--($CR$7:$FW$7&lt;=GN$6),$CR186:$FW186)*GF186</f>
        <v>0</v>
      </c>
      <c r="GO186" s="145">
        <f t="shared" si="2"/>
        <v>0</v>
      </c>
      <c r="GP186" s="87"/>
      <c r="GR186" s="145" cm="1">
        <f t="array" ref="GR186">SUMPRODUCT(--($CR$7:$FW$7&gt;=GR$5),--($CR$7:$FW$7&lt;=GR$6),$CR186:$FW186)</f>
        <v>0</v>
      </c>
    </row>
    <row r="187" spans="2:200" x14ac:dyDescent="0.2">
      <c r="B187" s="141"/>
      <c r="C187" s="141"/>
      <c r="D187" s="141"/>
      <c r="E187" s="141"/>
      <c r="F187" s="141"/>
      <c r="G187" s="141"/>
      <c r="H187" s="142"/>
      <c r="I187" s="126"/>
      <c r="J187" s="143"/>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3"/>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145"/>
      <c r="EH187" s="145"/>
      <c r="EI187" s="145"/>
      <c r="EJ187" s="145"/>
      <c r="EK187" s="145"/>
      <c r="EL187" s="145"/>
      <c r="EM187" s="145"/>
      <c r="EN187" s="145"/>
      <c r="EO187" s="145"/>
      <c r="EP187" s="145"/>
      <c r="EQ187" s="145"/>
      <c r="ER187" s="145"/>
      <c r="ES187" s="145"/>
      <c r="ET187" s="145"/>
      <c r="EU187" s="145"/>
      <c r="EV187" s="145"/>
      <c r="EW187" s="145"/>
      <c r="EX187" s="145"/>
      <c r="EY187" s="145"/>
      <c r="EZ187" s="145"/>
      <c r="FA187" s="145"/>
      <c r="FB187" s="145"/>
      <c r="FC187" s="145"/>
      <c r="FD187" s="145"/>
      <c r="FE187" s="145"/>
      <c r="FF187" s="145"/>
      <c r="FG187" s="145"/>
      <c r="FH187" s="145"/>
      <c r="FI187" s="145"/>
      <c r="FJ187" s="145"/>
      <c r="FK187" s="145"/>
      <c r="FL187" s="145"/>
      <c r="FM187" s="145"/>
      <c r="FN187" s="145"/>
      <c r="FO187" s="145"/>
      <c r="FP187" s="145"/>
      <c r="FQ187" s="145"/>
      <c r="FR187" s="145"/>
      <c r="FS187" s="145"/>
      <c r="FT187" s="145"/>
      <c r="FU187" s="145"/>
      <c r="FV187" s="145"/>
      <c r="FW187" s="145"/>
      <c r="FX187" s="143"/>
      <c r="FY187" s="146">
        <f>_xlfn.XLOOKUP($E187,'Key assumptions'!$B$112:$B$120,'Key assumptions'!$C$112:$C$120,0)</f>
        <v>0</v>
      </c>
      <c r="FZ187" s="146" cm="1">
        <f t="array" ref="FZ187">IF($FY187=0,0,_xlfn.IFS($FY187='Key assumptions'!$C$120,_xlfn.XLOOKUP(LEFT(FZ$7,6),Inflation_Year,Inflation_NominaltoReal),TRUE,_xlfn.XLOOKUP($FY187,Inflation_Year,NominaltoReal)))</f>
        <v>0</v>
      </c>
      <c r="GA187" s="146" cm="1">
        <f t="array" ref="GA187">IF($FY187=0,0,_xlfn.IFS($FY187='Key assumptions'!$C$120,_xlfn.XLOOKUP(LEFT(GA$7,6),Inflation_Year,Inflation_NominaltoReal),TRUE,_xlfn.XLOOKUP($FY187,Inflation_Year,NominaltoReal)))</f>
        <v>0</v>
      </c>
      <c r="GB187" s="146" cm="1">
        <f t="array" ref="GB187">IF($FY187=0,0,_xlfn.IFS($FY187='Key assumptions'!$C$120,_xlfn.XLOOKUP(LEFT(GB$7,6),Inflation_Year,Inflation_NominaltoReal),TRUE,_xlfn.XLOOKUP($FY187,Inflation_Year,NominaltoReal)))</f>
        <v>0</v>
      </c>
      <c r="GC187" s="146" cm="1">
        <f t="array" ref="GC187">IF($FY187=0,0,_xlfn.IFS($FY187='Key assumptions'!$C$120,_xlfn.XLOOKUP(LEFT(GC$7,6),Inflation_Year,Inflation_NominaltoReal),TRUE,_xlfn.XLOOKUP($FY187,Inflation_Year,NominaltoReal)))</f>
        <v>0</v>
      </c>
      <c r="GD187" s="146" cm="1">
        <f t="array" ref="GD187">IF($FY187=0,0,_xlfn.IFS($FY187='Key assumptions'!$C$120,_xlfn.XLOOKUP(LEFT(GD$7,6),Inflation_Year,Inflation_NominaltoReal),TRUE,_xlfn.XLOOKUP($FY187,Inflation_Year,NominaltoReal)))</f>
        <v>0</v>
      </c>
      <c r="GE187" s="146" cm="1">
        <f t="array" ref="GE187">IF($FY187=0,0,_xlfn.IFS($FY187='Key assumptions'!$C$120,_xlfn.XLOOKUP(LEFT(GE$7,6),Inflation_Year,Inflation_NominaltoReal),TRUE,_xlfn.XLOOKUP($FY187,Inflation_Year,NominaltoReal)))</f>
        <v>0</v>
      </c>
      <c r="GF187" s="146" cm="1">
        <f t="array" ref="GF187">IF($FY187=0,0,_xlfn.IFS($FY187='Key assumptions'!$C$120,_xlfn.XLOOKUP(LEFT(GF$7,6),Inflation_Year,Inflation_NominaltoReal),TRUE,_xlfn.XLOOKUP($FY187,Inflation_Year,NominaltoReal)))</f>
        <v>0</v>
      </c>
      <c r="GG187" s="143"/>
      <c r="GH187" s="145" cm="1">
        <f t="array" ref="GH187">SUMPRODUCT(--($CR$7:$FW$7&gt;=GH$5),--($CR$7:$FW$7&lt;=GH$6),$CR187:$FW187)*FZ187</f>
        <v>0</v>
      </c>
      <c r="GI187" s="145" cm="1">
        <f t="array" ref="GI187">SUMPRODUCT(--($CR$7:$FW$7&gt;=GI$5),--($CR$7:$FW$7&lt;=GI$6),$CR187:$FW187)*GA187</f>
        <v>0</v>
      </c>
      <c r="GJ187" s="145" cm="1">
        <f t="array" ref="GJ187">SUMPRODUCT(--($CR$7:$FW$7&gt;=GJ$5),--($CR$7:$FW$7&lt;=GJ$6),$CR187:$FW187)*GB187</f>
        <v>0</v>
      </c>
      <c r="GK187" s="145" cm="1">
        <f t="array" ref="GK187">SUMPRODUCT(--($CR$7:$FW$7&gt;=GK$5),--($CR$7:$FW$7&lt;=GK$6),$CR187:$FW187)*GC187</f>
        <v>0</v>
      </c>
      <c r="GL187" s="145" cm="1">
        <f t="array" ref="GL187">SUMPRODUCT(--($CR$7:$FW$7&gt;=GL$5),--($CR$7:$FW$7&lt;=GL$6),$CR187:$FW187)*GD187</f>
        <v>0</v>
      </c>
      <c r="GM187" s="145" cm="1">
        <f t="array" ref="GM187">SUMPRODUCT(--($CR$7:$FW$7&gt;=GM$5),--($CR$7:$FW$7&lt;=GM$6),$CR187:$FW187)*GE187</f>
        <v>0</v>
      </c>
      <c r="GN187" s="145" cm="1">
        <f t="array" ref="GN187">SUMPRODUCT(--($CR$7:$FW$7&gt;=GN$5),--($CR$7:$FW$7&lt;=GN$6),$CR187:$FW187)*GF187</f>
        <v>0</v>
      </c>
      <c r="GO187" s="145">
        <f t="shared" si="2"/>
        <v>0</v>
      </c>
      <c r="GP187" s="87"/>
      <c r="GR187" s="145" cm="1">
        <f t="array" ref="GR187">SUMPRODUCT(--($CR$7:$FW$7&gt;=GR$5),--($CR$7:$FW$7&lt;=GR$6),$CR187:$FW187)</f>
        <v>0</v>
      </c>
    </row>
    <row r="188" spans="2:200" x14ac:dyDescent="0.2">
      <c r="B188" s="141"/>
      <c r="C188" s="141"/>
      <c r="D188" s="141"/>
      <c r="E188" s="141"/>
      <c r="F188" s="141"/>
      <c r="G188" s="141"/>
      <c r="H188" s="142"/>
      <c r="I188" s="126"/>
      <c r="J188" s="143"/>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3"/>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c r="EE188" s="145"/>
      <c r="EF188" s="145"/>
      <c r="EG188" s="145"/>
      <c r="EH188" s="145"/>
      <c r="EI188" s="145"/>
      <c r="EJ188" s="145"/>
      <c r="EK188" s="145"/>
      <c r="EL188" s="145"/>
      <c r="EM188" s="145"/>
      <c r="EN188" s="145"/>
      <c r="EO188" s="145"/>
      <c r="EP188" s="145"/>
      <c r="EQ188" s="145"/>
      <c r="ER188" s="145"/>
      <c r="ES188" s="145"/>
      <c r="ET188" s="145"/>
      <c r="EU188" s="145"/>
      <c r="EV188" s="145"/>
      <c r="EW188" s="145"/>
      <c r="EX188" s="145"/>
      <c r="EY188" s="145"/>
      <c r="EZ188" s="145"/>
      <c r="FA188" s="145"/>
      <c r="FB188" s="145"/>
      <c r="FC188" s="145"/>
      <c r="FD188" s="145"/>
      <c r="FE188" s="145"/>
      <c r="FF188" s="145"/>
      <c r="FG188" s="145"/>
      <c r="FH188" s="145"/>
      <c r="FI188" s="145"/>
      <c r="FJ188" s="145"/>
      <c r="FK188" s="145"/>
      <c r="FL188" s="145"/>
      <c r="FM188" s="145"/>
      <c r="FN188" s="145"/>
      <c r="FO188" s="145"/>
      <c r="FP188" s="145"/>
      <c r="FQ188" s="145"/>
      <c r="FR188" s="145"/>
      <c r="FS188" s="145"/>
      <c r="FT188" s="145"/>
      <c r="FU188" s="145"/>
      <c r="FV188" s="145"/>
      <c r="FW188" s="145"/>
      <c r="FX188" s="143"/>
      <c r="FY188" s="146">
        <f>_xlfn.XLOOKUP($E188,'Key assumptions'!$B$112:$B$120,'Key assumptions'!$C$112:$C$120,0)</f>
        <v>0</v>
      </c>
      <c r="FZ188" s="146" cm="1">
        <f t="array" ref="FZ188">IF($FY188=0,0,_xlfn.IFS($FY188='Key assumptions'!$C$120,_xlfn.XLOOKUP(LEFT(FZ$7,6),Inflation_Year,Inflation_NominaltoReal),TRUE,_xlfn.XLOOKUP($FY188,Inflation_Year,NominaltoReal)))</f>
        <v>0</v>
      </c>
      <c r="GA188" s="146" cm="1">
        <f t="array" ref="GA188">IF($FY188=0,0,_xlfn.IFS($FY188='Key assumptions'!$C$120,_xlfn.XLOOKUP(LEFT(GA$7,6),Inflation_Year,Inflation_NominaltoReal),TRUE,_xlfn.XLOOKUP($FY188,Inflation_Year,NominaltoReal)))</f>
        <v>0</v>
      </c>
      <c r="GB188" s="146" cm="1">
        <f t="array" ref="GB188">IF($FY188=0,0,_xlfn.IFS($FY188='Key assumptions'!$C$120,_xlfn.XLOOKUP(LEFT(GB$7,6),Inflation_Year,Inflation_NominaltoReal),TRUE,_xlfn.XLOOKUP($FY188,Inflation_Year,NominaltoReal)))</f>
        <v>0</v>
      </c>
      <c r="GC188" s="146" cm="1">
        <f t="array" ref="GC188">IF($FY188=0,0,_xlfn.IFS($FY188='Key assumptions'!$C$120,_xlfn.XLOOKUP(LEFT(GC$7,6),Inflation_Year,Inflation_NominaltoReal),TRUE,_xlfn.XLOOKUP($FY188,Inflation_Year,NominaltoReal)))</f>
        <v>0</v>
      </c>
      <c r="GD188" s="146" cm="1">
        <f t="array" ref="GD188">IF($FY188=0,0,_xlfn.IFS($FY188='Key assumptions'!$C$120,_xlfn.XLOOKUP(LEFT(GD$7,6),Inflation_Year,Inflation_NominaltoReal),TRUE,_xlfn.XLOOKUP($FY188,Inflation_Year,NominaltoReal)))</f>
        <v>0</v>
      </c>
      <c r="GE188" s="146" cm="1">
        <f t="array" ref="GE188">IF($FY188=0,0,_xlfn.IFS($FY188='Key assumptions'!$C$120,_xlfn.XLOOKUP(LEFT(GE$7,6),Inflation_Year,Inflation_NominaltoReal),TRUE,_xlfn.XLOOKUP($FY188,Inflation_Year,NominaltoReal)))</f>
        <v>0</v>
      </c>
      <c r="GF188" s="146" cm="1">
        <f t="array" ref="GF188">IF($FY188=0,0,_xlfn.IFS($FY188='Key assumptions'!$C$120,_xlfn.XLOOKUP(LEFT(GF$7,6),Inflation_Year,Inflation_NominaltoReal),TRUE,_xlfn.XLOOKUP($FY188,Inflation_Year,NominaltoReal)))</f>
        <v>0</v>
      </c>
      <c r="GG188" s="143"/>
      <c r="GH188" s="145" cm="1">
        <f t="array" ref="GH188">SUMPRODUCT(--($CR$7:$FW$7&gt;=GH$5),--($CR$7:$FW$7&lt;=GH$6),$CR188:$FW188)*FZ188</f>
        <v>0</v>
      </c>
      <c r="GI188" s="145" cm="1">
        <f t="array" ref="GI188">SUMPRODUCT(--($CR$7:$FW$7&gt;=GI$5),--($CR$7:$FW$7&lt;=GI$6),$CR188:$FW188)*GA188</f>
        <v>0</v>
      </c>
      <c r="GJ188" s="145" cm="1">
        <f t="array" ref="GJ188">SUMPRODUCT(--($CR$7:$FW$7&gt;=GJ$5),--($CR$7:$FW$7&lt;=GJ$6),$CR188:$FW188)*GB188</f>
        <v>0</v>
      </c>
      <c r="GK188" s="145" cm="1">
        <f t="array" ref="GK188">SUMPRODUCT(--($CR$7:$FW$7&gt;=GK$5),--($CR$7:$FW$7&lt;=GK$6),$CR188:$FW188)*GC188</f>
        <v>0</v>
      </c>
      <c r="GL188" s="145" cm="1">
        <f t="array" ref="GL188">SUMPRODUCT(--($CR$7:$FW$7&gt;=GL$5),--($CR$7:$FW$7&lt;=GL$6),$CR188:$FW188)*GD188</f>
        <v>0</v>
      </c>
      <c r="GM188" s="145" cm="1">
        <f t="array" ref="GM188">SUMPRODUCT(--($CR$7:$FW$7&gt;=GM$5),--($CR$7:$FW$7&lt;=GM$6),$CR188:$FW188)*GE188</f>
        <v>0</v>
      </c>
      <c r="GN188" s="145" cm="1">
        <f t="array" ref="GN188">SUMPRODUCT(--($CR$7:$FW$7&gt;=GN$5),--($CR$7:$FW$7&lt;=GN$6),$CR188:$FW188)*GF188</f>
        <v>0</v>
      </c>
      <c r="GO188" s="145">
        <f t="shared" si="2"/>
        <v>0</v>
      </c>
      <c r="GP188" s="87"/>
      <c r="GR188" s="145" cm="1">
        <f t="array" ref="GR188">SUMPRODUCT(--($CR$7:$FW$7&gt;=GR$5),--($CR$7:$FW$7&lt;=GR$6),$CR188:$FW188)</f>
        <v>0</v>
      </c>
    </row>
    <row r="189" spans="2:200" x14ac:dyDescent="0.2">
      <c r="B189" s="141"/>
      <c r="C189" s="141"/>
      <c r="D189" s="141"/>
      <c r="E189" s="141"/>
      <c r="F189" s="141"/>
      <c r="G189" s="141"/>
      <c r="H189" s="142"/>
      <c r="I189" s="126"/>
      <c r="J189" s="143"/>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3"/>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c r="EE189" s="145"/>
      <c r="EF189" s="145"/>
      <c r="EG189" s="145"/>
      <c r="EH189" s="145"/>
      <c r="EI189" s="145"/>
      <c r="EJ189" s="145"/>
      <c r="EK189" s="145"/>
      <c r="EL189" s="145"/>
      <c r="EM189" s="145"/>
      <c r="EN189" s="145"/>
      <c r="EO189" s="145"/>
      <c r="EP189" s="145"/>
      <c r="EQ189" s="145"/>
      <c r="ER189" s="145"/>
      <c r="ES189" s="145"/>
      <c r="ET189" s="145"/>
      <c r="EU189" s="145"/>
      <c r="EV189" s="145"/>
      <c r="EW189" s="145"/>
      <c r="EX189" s="145"/>
      <c r="EY189" s="145"/>
      <c r="EZ189" s="145"/>
      <c r="FA189" s="145"/>
      <c r="FB189" s="145"/>
      <c r="FC189" s="145"/>
      <c r="FD189" s="145"/>
      <c r="FE189" s="145"/>
      <c r="FF189" s="145"/>
      <c r="FG189" s="145"/>
      <c r="FH189" s="145"/>
      <c r="FI189" s="145"/>
      <c r="FJ189" s="145"/>
      <c r="FK189" s="145"/>
      <c r="FL189" s="145"/>
      <c r="FM189" s="145"/>
      <c r="FN189" s="145"/>
      <c r="FO189" s="145"/>
      <c r="FP189" s="145"/>
      <c r="FQ189" s="145"/>
      <c r="FR189" s="145"/>
      <c r="FS189" s="145"/>
      <c r="FT189" s="145"/>
      <c r="FU189" s="145"/>
      <c r="FV189" s="145"/>
      <c r="FW189" s="145"/>
      <c r="FX189" s="143"/>
      <c r="FY189" s="146">
        <f>_xlfn.XLOOKUP($E189,'Key assumptions'!$B$112:$B$120,'Key assumptions'!$C$112:$C$120,0)</f>
        <v>0</v>
      </c>
      <c r="FZ189" s="146" cm="1">
        <f t="array" ref="FZ189">IF($FY189=0,0,_xlfn.IFS($FY189='Key assumptions'!$C$120,_xlfn.XLOOKUP(LEFT(FZ$7,6),Inflation_Year,Inflation_NominaltoReal),TRUE,_xlfn.XLOOKUP($FY189,Inflation_Year,NominaltoReal)))</f>
        <v>0</v>
      </c>
      <c r="GA189" s="146" cm="1">
        <f t="array" ref="GA189">IF($FY189=0,0,_xlfn.IFS($FY189='Key assumptions'!$C$120,_xlfn.XLOOKUP(LEFT(GA$7,6),Inflation_Year,Inflation_NominaltoReal),TRUE,_xlfn.XLOOKUP($FY189,Inflation_Year,NominaltoReal)))</f>
        <v>0</v>
      </c>
      <c r="GB189" s="146" cm="1">
        <f t="array" ref="GB189">IF($FY189=0,0,_xlfn.IFS($FY189='Key assumptions'!$C$120,_xlfn.XLOOKUP(LEFT(GB$7,6),Inflation_Year,Inflation_NominaltoReal),TRUE,_xlfn.XLOOKUP($FY189,Inflation_Year,NominaltoReal)))</f>
        <v>0</v>
      </c>
      <c r="GC189" s="146" cm="1">
        <f t="array" ref="GC189">IF($FY189=0,0,_xlfn.IFS($FY189='Key assumptions'!$C$120,_xlfn.XLOOKUP(LEFT(GC$7,6),Inflation_Year,Inflation_NominaltoReal),TRUE,_xlfn.XLOOKUP($FY189,Inflation_Year,NominaltoReal)))</f>
        <v>0</v>
      </c>
      <c r="GD189" s="146" cm="1">
        <f t="array" ref="GD189">IF($FY189=0,0,_xlfn.IFS($FY189='Key assumptions'!$C$120,_xlfn.XLOOKUP(LEFT(GD$7,6),Inflation_Year,Inflation_NominaltoReal),TRUE,_xlfn.XLOOKUP($FY189,Inflation_Year,NominaltoReal)))</f>
        <v>0</v>
      </c>
      <c r="GE189" s="146" cm="1">
        <f t="array" ref="GE189">IF($FY189=0,0,_xlfn.IFS($FY189='Key assumptions'!$C$120,_xlfn.XLOOKUP(LEFT(GE$7,6),Inflation_Year,Inflation_NominaltoReal),TRUE,_xlfn.XLOOKUP($FY189,Inflation_Year,NominaltoReal)))</f>
        <v>0</v>
      </c>
      <c r="GF189" s="146" cm="1">
        <f t="array" ref="GF189">IF($FY189=0,0,_xlfn.IFS($FY189='Key assumptions'!$C$120,_xlfn.XLOOKUP(LEFT(GF$7,6),Inflation_Year,Inflation_NominaltoReal),TRUE,_xlfn.XLOOKUP($FY189,Inflation_Year,NominaltoReal)))</f>
        <v>0</v>
      </c>
      <c r="GG189" s="143"/>
      <c r="GH189" s="145" cm="1">
        <f t="array" ref="GH189">SUMPRODUCT(--($CR$7:$FW$7&gt;=GH$5),--($CR$7:$FW$7&lt;=GH$6),$CR189:$FW189)*FZ189</f>
        <v>0</v>
      </c>
      <c r="GI189" s="145" cm="1">
        <f t="array" ref="GI189">SUMPRODUCT(--($CR$7:$FW$7&gt;=GI$5),--($CR$7:$FW$7&lt;=GI$6),$CR189:$FW189)*GA189</f>
        <v>0</v>
      </c>
      <c r="GJ189" s="145" cm="1">
        <f t="array" ref="GJ189">SUMPRODUCT(--($CR$7:$FW$7&gt;=GJ$5),--($CR$7:$FW$7&lt;=GJ$6),$CR189:$FW189)*GB189</f>
        <v>0</v>
      </c>
      <c r="GK189" s="145" cm="1">
        <f t="array" ref="GK189">SUMPRODUCT(--($CR$7:$FW$7&gt;=GK$5),--($CR$7:$FW$7&lt;=GK$6),$CR189:$FW189)*GC189</f>
        <v>0</v>
      </c>
      <c r="GL189" s="145" cm="1">
        <f t="array" ref="GL189">SUMPRODUCT(--($CR$7:$FW$7&gt;=GL$5),--($CR$7:$FW$7&lt;=GL$6),$CR189:$FW189)*GD189</f>
        <v>0</v>
      </c>
      <c r="GM189" s="145" cm="1">
        <f t="array" ref="GM189">SUMPRODUCT(--($CR$7:$FW$7&gt;=GM$5),--($CR$7:$FW$7&lt;=GM$6),$CR189:$FW189)*GE189</f>
        <v>0</v>
      </c>
      <c r="GN189" s="145" cm="1">
        <f t="array" ref="GN189">SUMPRODUCT(--($CR$7:$FW$7&gt;=GN$5),--($CR$7:$FW$7&lt;=GN$6),$CR189:$FW189)*GF189</f>
        <v>0</v>
      </c>
      <c r="GO189" s="145">
        <f t="shared" si="2"/>
        <v>0</v>
      </c>
      <c r="GP189" s="87"/>
      <c r="GR189" s="145" cm="1">
        <f t="array" ref="GR189">SUMPRODUCT(--($CR$7:$FW$7&gt;=GR$5),--($CR$7:$FW$7&lt;=GR$6),$CR189:$FW189)</f>
        <v>0</v>
      </c>
    </row>
    <row r="190" spans="2:200" x14ac:dyDescent="0.2">
      <c r="B190" s="141"/>
      <c r="C190" s="141"/>
      <c r="D190" s="141"/>
      <c r="E190" s="141"/>
      <c r="F190" s="141"/>
      <c r="G190" s="141"/>
      <c r="H190" s="142"/>
      <c r="I190" s="126"/>
      <c r="J190" s="143"/>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3"/>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c r="EE190" s="145"/>
      <c r="EF190" s="145"/>
      <c r="EG190" s="145"/>
      <c r="EH190" s="145"/>
      <c r="EI190" s="145"/>
      <c r="EJ190" s="145"/>
      <c r="EK190" s="145"/>
      <c r="EL190" s="145"/>
      <c r="EM190" s="145"/>
      <c r="EN190" s="145"/>
      <c r="EO190" s="145"/>
      <c r="EP190" s="145"/>
      <c r="EQ190" s="145"/>
      <c r="ER190" s="145"/>
      <c r="ES190" s="145"/>
      <c r="ET190" s="145"/>
      <c r="EU190" s="145"/>
      <c r="EV190" s="145"/>
      <c r="EW190" s="145"/>
      <c r="EX190" s="145"/>
      <c r="EY190" s="145"/>
      <c r="EZ190" s="145"/>
      <c r="FA190" s="145"/>
      <c r="FB190" s="145"/>
      <c r="FC190" s="145"/>
      <c r="FD190" s="145"/>
      <c r="FE190" s="145"/>
      <c r="FF190" s="145"/>
      <c r="FG190" s="145"/>
      <c r="FH190" s="145"/>
      <c r="FI190" s="145"/>
      <c r="FJ190" s="145"/>
      <c r="FK190" s="145"/>
      <c r="FL190" s="145"/>
      <c r="FM190" s="145"/>
      <c r="FN190" s="145"/>
      <c r="FO190" s="145"/>
      <c r="FP190" s="145"/>
      <c r="FQ190" s="145"/>
      <c r="FR190" s="145"/>
      <c r="FS190" s="145"/>
      <c r="FT190" s="145"/>
      <c r="FU190" s="145"/>
      <c r="FV190" s="145"/>
      <c r="FW190" s="145"/>
      <c r="FX190" s="143"/>
      <c r="FY190" s="146">
        <f>_xlfn.XLOOKUP($E190,'Key assumptions'!$B$112:$B$120,'Key assumptions'!$C$112:$C$120,0)</f>
        <v>0</v>
      </c>
      <c r="FZ190" s="146" cm="1">
        <f t="array" ref="FZ190">IF($FY190=0,0,_xlfn.IFS($FY190='Key assumptions'!$C$120,_xlfn.XLOOKUP(LEFT(FZ$7,6),Inflation_Year,Inflation_NominaltoReal),TRUE,_xlfn.XLOOKUP($FY190,Inflation_Year,NominaltoReal)))</f>
        <v>0</v>
      </c>
      <c r="GA190" s="146" cm="1">
        <f t="array" ref="GA190">IF($FY190=0,0,_xlfn.IFS($FY190='Key assumptions'!$C$120,_xlfn.XLOOKUP(LEFT(GA$7,6),Inflation_Year,Inflation_NominaltoReal),TRUE,_xlfn.XLOOKUP($FY190,Inflation_Year,NominaltoReal)))</f>
        <v>0</v>
      </c>
      <c r="GB190" s="146" cm="1">
        <f t="array" ref="GB190">IF($FY190=0,0,_xlfn.IFS($FY190='Key assumptions'!$C$120,_xlfn.XLOOKUP(LEFT(GB$7,6),Inflation_Year,Inflation_NominaltoReal),TRUE,_xlfn.XLOOKUP($FY190,Inflation_Year,NominaltoReal)))</f>
        <v>0</v>
      </c>
      <c r="GC190" s="146" cm="1">
        <f t="array" ref="GC190">IF($FY190=0,0,_xlfn.IFS($FY190='Key assumptions'!$C$120,_xlfn.XLOOKUP(LEFT(GC$7,6),Inflation_Year,Inflation_NominaltoReal),TRUE,_xlfn.XLOOKUP($FY190,Inflation_Year,NominaltoReal)))</f>
        <v>0</v>
      </c>
      <c r="GD190" s="146" cm="1">
        <f t="array" ref="GD190">IF($FY190=0,0,_xlfn.IFS($FY190='Key assumptions'!$C$120,_xlfn.XLOOKUP(LEFT(GD$7,6),Inflation_Year,Inflation_NominaltoReal),TRUE,_xlfn.XLOOKUP($FY190,Inflation_Year,NominaltoReal)))</f>
        <v>0</v>
      </c>
      <c r="GE190" s="146" cm="1">
        <f t="array" ref="GE190">IF($FY190=0,0,_xlfn.IFS($FY190='Key assumptions'!$C$120,_xlfn.XLOOKUP(LEFT(GE$7,6),Inflation_Year,Inflation_NominaltoReal),TRUE,_xlfn.XLOOKUP($FY190,Inflation_Year,NominaltoReal)))</f>
        <v>0</v>
      </c>
      <c r="GF190" s="146" cm="1">
        <f t="array" ref="GF190">IF($FY190=0,0,_xlfn.IFS($FY190='Key assumptions'!$C$120,_xlfn.XLOOKUP(LEFT(GF$7,6),Inflation_Year,Inflation_NominaltoReal),TRUE,_xlfn.XLOOKUP($FY190,Inflation_Year,NominaltoReal)))</f>
        <v>0</v>
      </c>
      <c r="GG190" s="143"/>
      <c r="GH190" s="145" cm="1">
        <f t="array" ref="GH190">SUMPRODUCT(--($CR$7:$FW$7&gt;=GH$5),--($CR$7:$FW$7&lt;=GH$6),$CR190:$FW190)*FZ190</f>
        <v>0</v>
      </c>
      <c r="GI190" s="145" cm="1">
        <f t="array" ref="GI190">SUMPRODUCT(--($CR$7:$FW$7&gt;=GI$5),--($CR$7:$FW$7&lt;=GI$6),$CR190:$FW190)*GA190</f>
        <v>0</v>
      </c>
      <c r="GJ190" s="145" cm="1">
        <f t="array" ref="GJ190">SUMPRODUCT(--($CR$7:$FW$7&gt;=GJ$5),--($CR$7:$FW$7&lt;=GJ$6),$CR190:$FW190)*GB190</f>
        <v>0</v>
      </c>
      <c r="GK190" s="145" cm="1">
        <f t="array" ref="GK190">SUMPRODUCT(--($CR$7:$FW$7&gt;=GK$5),--($CR$7:$FW$7&lt;=GK$6),$CR190:$FW190)*GC190</f>
        <v>0</v>
      </c>
      <c r="GL190" s="145" cm="1">
        <f t="array" ref="GL190">SUMPRODUCT(--($CR$7:$FW$7&gt;=GL$5),--($CR$7:$FW$7&lt;=GL$6),$CR190:$FW190)*GD190</f>
        <v>0</v>
      </c>
      <c r="GM190" s="145" cm="1">
        <f t="array" ref="GM190">SUMPRODUCT(--($CR$7:$FW$7&gt;=GM$5),--($CR$7:$FW$7&lt;=GM$6),$CR190:$FW190)*GE190</f>
        <v>0</v>
      </c>
      <c r="GN190" s="145" cm="1">
        <f t="array" ref="GN190">SUMPRODUCT(--($CR$7:$FW$7&gt;=GN$5),--($CR$7:$FW$7&lt;=GN$6),$CR190:$FW190)*GF190</f>
        <v>0</v>
      </c>
      <c r="GO190" s="145">
        <f t="shared" si="2"/>
        <v>0</v>
      </c>
      <c r="GP190" s="87"/>
      <c r="GR190" s="145" cm="1">
        <f t="array" ref="GR190">SUMPRODUCT(--($CR$7:$FW$7&gt;=GR$5),--($CR$7:$FW$7&lt;=GR$6),$CR190:$FW190)</f>
        <v>0</v>
      </c>
    </row>
    <row r="191" spans="2:200" x14ac:dyDescent="0.2">
      <c r="B191" s="141"/>
      <c r="C191" s="141"/>
      <c r="D191" s="141"/>
      <c r="E191" s="141"/>
      <c r="F191" s="141"/>
      <c r="G191" s="141"/>
      <c r="H191" s="142"/>
      <c r="I191" s="126"/>
      <c r="J191" s="143"/>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3"/>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c r="EE191" s="145"/>
      <c r="EF191" s="145"/>
      <c r="EG191" s="145"/>
      <c r="EH191" s="145"/>
      <c r="EI191" s="145"/>
      <c r="EJ191" s="145"/>
      <c r="EK191" s="145"/>
      <c r="EL191" s="145"/>
      <c r="EM191" s="145"/>
      <c r="EN191" s="145"/>
      <c r="EO191" s="145"/>
      <c r="EP191" s="145"/>
      <c r="EQ191" s="145"/>
      <c r="ER191" s="145"/>
      <c r="ES191" s="145"/>
      <c r="ET191" s="145"/>
      <c r="EU191" s="145"/>
      <c r="EV191" s="145"/>
      <c r="EW191" s="145"/>
      <c r="EX191" s="145"/>
      <c r="EY191" s="145"/>
      <c r="EZ191" s="145"/>
      <c r="FA191" s="145"/>
      <c r="FB191" s="145"/>
      <c r="FC191" s="145"/>
      <c r="FD191" s="145"/>
      <c r="FE191" s="145"/>
      <c r="FF191" s="145"/>
      <c r="FG191" s="145"/>
      <c r="FH191" s="145"/>
      <c r="FI191" s="145"/>
      <c r="FJ191" s="145"/>
      <c r="FK191" s="145"/>
      <c r="FL191" s="145"/>
      <c r="FM191" s="145"/>
      <c r="FN191" s="145"/>
      <c r="FO191" s="145"/>
      <c r="FP191" s="145"/>
      <c r="FQ191" s="145"/>
      <c r="FR191" s="145"/>
      <c r="FS191" s="145"/>
      <c r="FT191" s="145"/>
      <c r="FU191" s="145"/>
      <c r="FV191" s="145"/>
      <c r="FW191" s="145"/>
      <c r="FX191" s="143"/>
      <c r="FY191" s="146">
        <f>_xlfn.XLOOKUP($E191,'Key assumptions'!$B$112:$B$120,'Key assumptions'!$C$112:$C$120,0)</f>
        <v>0</v>
      </c>
      <c r="FZ191" s="146" cm="1">
        <f t="array" ref="FZ191">IF($FY191=0,0,_xlfn.IFS($FY191='Key assumptions'!$C$120,_xlfn.XLOOKUP(LEFT(FZ$7,6),Inflation_Year,Inflation_NominaltoReal),TRUE,_xlfn.XLOOKUP($FY191,Inflation_Year,NominaltoReal)))</f>
        <v>0</v>
      </c>
      <c r="GA191" s="146" cm="1">
        <f t="array" ref="GA191">IF($FY191=0,0,_xlfn.IFS($FY191='Key assumptions'!$C$120,_xlfn.XLOOKUP(LEFT(GA$7,6),Inflation_Year,Inflation_NominaltoReal),TRUE,_xlfn.XLOOKUP($FY191,Inflation_Year,NominaltoReal)))</f>
        <v>0</v>
      </c>
      <c r="GB191" s="146" cm="1">
        <f t="array" ref="GB191">IF($FY191=0,0,_xlfn.IFS($FY191='Key assumptions'!$C$120,_xlfn.XLOOKUP(LEFT(GB$7,6),Inflation_Year,Inflation_NominaltoReal),TRUE,_xlfn.XLOOKUP($FY191,Inflation_Year,NominaltoReal)))</f>
        <v>0</v>
      </c>
      <c r="GC191" s="146" cm="1">
        <f t="array" ref="GC191">IF($FY191=0,0,_xlfn.IFS($FY191='Key assumptions'!$C$120,_xlfn.XLOOKUP(LEFT(GC$7,6),Inflation_Year,Inflation_NominaltoReal),TRUE,_xlfn.XLOOKUP($FY191,Inflation_Year,NominaltoReal)))</f>
        <v>0</v>
      </c>
      <c r="GD191" s="146" cm="1">
        <f t="array" ref="GD191">IF($FY191=0,0,_xlfn.IFS($FY191='Key assumptions'!$C$120,_xlfn.XLOOKUP(LEFT(GD$7,6),Inflation_Year,Inflation_NominaltoReal),TRUE,_xlfn.XLOOKUP($FY191,Inflation_Year,NominaltoReal)))</f>
        <v>0</v>
      </c>
      <c r="GE191" s="146" cm="1">
        <f t="array" ref="GE191">IF($FY191=0,0,_xlfn.IFS($FY191='Key assumptions'!$C$120,_xlfn.XLOOKUP(LEFT(GE$7,6),Inflation_Year,Inflation_NominaltoReal),TRUE,_xlfn.XLOOKUP($FY191,Inflation_Year,NominaltoReal)))</f>
        <v>0</v>
      </c>
      <c r="GF191" s="146" cm="1">
        <f t="array" ref="GF191">IF($FY191=0,0,_xlfn.IFS($FY191='Key assumptions'!$C$120,_xlfn.XLOOKUP(LEFT(GF$7,6),Inflation_Year,Inflation_NominaltoReal),TRUE,_xlfn.XLOOKUP($FY191,Inflation_Year,NominaltoReal)))</f>
        <v>0</v>
      </c>
      <c r="GG191" s="143"/>
      <c r="GH191" s="145" cm="1">
        <f t="array" ref="GH191">SUMPRODUCT(--($CR$7:$FW$7&gt;=GH$5),--($CR$7:$FW$7&lt;=GH$6),$CR191:$FW191)*FZ191</f>
        <v>0</v>
      </c>
      <c r="GI191" s="145" cm="1">
        <f t="array" ref="GI191">SUMPRODUCT(--($CR$7:$FW$7&gt;=GI$5),--($CR$7:$FW$7&lt;=GI$6),$CR191:$FW191)*GA191</f>
        <v>0</v>
      </c>
      <c r="GJ191" s="145" cm="1">
        <f t="array" ref="GJ191">SUMPRODUCT(--($CR$7:$FW$7&gt;=GJ$5),--($CR$7:$FW$7&lt;=GJ$6),$CR191:$FW191)*GB191</f>
        <v>0</v>
      </c>
      <c r="GK191" s="145" cm="1">
        <f t="array" ref="GK191">SUMPRODUCT(--($CR$7:$FW$7&gt;=GK$5),--($CR$7:$FW$7&lt;=GK$6),$CR191:$FW191)*GC191</f>
        <v>0</v>
      </c>
      <c r="GL191" s="145" cm="1">
        <f t="array" ref="GL191">SUMPRODUCT(--($CR$7:$FW$7&gt;=GL$5),--($CR$7:$FW$7&lt;=GL$6),$CR191:$FW191)*GD191</f>
        <v>0</v>
      </c>
      <c r="GM191" s="145" cm="1">
        <f t="array" ref="GM191">SUMPRODUCT(--($CR$7:$FW$7&gt;=GM$5),--($CR$7:$FW$7&lt;=GM$6),$CR191:$FW191)*GE191</f>
        <v>0</v>
      </c>
      <c r="GN191" s="145" cm="1">
        <f t="array" ref="GN191">SUMPRODUCT(--($CR$7:$FW$7&gt;=GN$5),--($CR$7:$FW$7&lt;=GN$6),$CR191:$FW191)*GF191</f>
        <v>0</v>
      </c>
      <c r="GO191" s="145">
        <f t="shared" si="2"/>
        <v>0</v>
      </c>
      <c r="GP191" s="87"/>
      <c r="GR191" s="145" cm="1">
        <f t="array" ref="GR191">SUMPRODUCT(--($CR$7:$FW$7&gt;=GR$5),--($CR$7:$FW$7&lt;=GR$6),$CR191:$FW191)</f>
        <v>0</v>
      </c>
    </row>
    <row r="192" spans="2:200" x14ac:dyDescent="0.2">
      <c r="B192" s="141"/>
      <c r="C192" s="141"/>
      <c r="D192" s="141"/>
      <c r="E192" s="141"/>
      <c r="F192" s="141"/>
      <c r="G192" s="141"/>
      <c r="H192" s="142"/>
      <c r="I192" s="126"/>
      <c r="J192" s="143"/>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3"/>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c r="EE192" s="145"/>
      <c r="EF192" s="145"/>
      <c r="EG192" s="145"/>
      <c r="EH192" s="145"/>
      <c r="EI192" s="145"/>
      <c r="EJ192" s="145"/>
      <c r="EK192" s="145"/>
      <c r="EL192" s="145"/>
      <c r="EM192" s="145"/>
      <c r="EN192" s="145"/>
      <c r="EO192" s="145"/>
      <c r="EP192" s="145"/>
      <c r="EQ192" s="145"/>
      <c r="ER192" s="145"/>
      <c r="ES192" s="145"/>
      <c r="ET192" s="145"/>
      <c r="EU192" s="145"/>
      <c r="EV192" s="145"/>
      <c r="EW192" s="145"/>
      <c r="EX192" s="145"/>
      <c r="EY192" s="145"/>
      <c r="EZ192" s="145"/>
      <c r="FA192" s="145"/>
      <c r="FB192" s="145"/>
      <c r="FC192" s="145"/>
      <c r="FD192" s="145"/>
      <c r="FE192" s="145"/>
      <c r="FF192" s="145"/>
      <c r="FG192" s="145"/>
      <c r="FH192" s="145"/>
      <c r="FI192" s="145"/>
      <c r="FJ192" s="145"/>
      <c r="FK192" s="145"/>
      <c r="FL192" s="145"/>
      <c r="FM192" s="145"/>
      <c r="FN192" s="145"/>
      <c r="FO192" s="145"/>
      <c r="FP192" s="145"/>
      <c r="FQ192" s="145"/>
      <c r="FR192" s="145"/>
      <c r="FS192" s="145"/>
      <c r="FT192" s="145"/>
      <c r="FU192" s="145"/>
      <c r="FV192" s="145"/>
      <c r="FW192" s="145"/>
      <c r="FX192" s="143"/>
      <c r="FY192" s="146">
        <f>_xlfn.XLOOKUP($E192,'Key assumptions'!$B$112:$B$120,'Key assumptions'!$C$112:$C$120,0)</f>
        <v>0</v>
      </c>
      <c r="FZ192" s="146" cm="1">
        <f t="array" ref="FZ192">IF($FY192=0,0,_xlfn.IFS($FY192='Key assumptions'!$C$120,_xlfn.XLOOKUP(LEFT(FZ$7,6),Inflation_Year,Inflation_NominaltoReal),TRUE,_xlfn.XLOOKUP($FY192,Inflation_Year,NominaltoReal)))</f>
        <v>0</v>
      </c>
      <c r="GA192" s="146" cm="1">
        <f t="array" ref="GA192">IF($FY192=0,0,_xlfn.IFS($FY192='Key assumptions'!$C$120,_xlfn.XLOOKUP(LEFT(GA$7,6),Inflation_Year,Inflation_NominaltoReal),TRUE,_xlfn.XLOOKUP($FY192,Inflation_Year,NominaltoReal)))</f>
        <v>0</v>
      </c>
      <c r="GB192" s="146" cm="1">
        <f t="array" ref="GB192">IF($FY192=0,0,_xlfn.IFS($FY192='Key assumptions'!$C$120,_xlfn.XLOOKUP(LEFT(GB$7,6),Inflation_Year,Inflation_NominaltoReal),TRUE,_xlfn.XLOOKUP($FY192,Inflation_Year,NominaltoReal)))</f>
        <v>0</v>
      </c>
      <c r="GC192" s="146" cm="1">
        <f t="array" ref="GC192">IF($FY192=0,0,_xlfn.IFS($FY192='Key assumptions'!$C$120,_xlfn.XLOOKUP(LEFT(GC$7,6),Inflation_Year,Inflation_NominaltoReal),TRUE,_xlfn.XLOOKUP($FY192,Inflation_Year,NominaltoReal)))</f>
        <v>0</v>
      </c>
      <c r="GD192" s="146" cm="1">
        <f t="array" ref="GD192">IF($FY192=0,0,_xlfn.IFS($FY192='Key assumptions'!$C$120,_xlfn.XLOOKUP(LEFT(GD$7,6),Inflation_Year,Inflation_NominaltoReal),TRUE,_xlfn.XLOOKUP($FY192,Inflation_Year,NominaltoReal)))</f>
        <v>0</v>
      </c>
      <c r="GE192" s="146" cm="1">
        <f t="array" ref="GE192">IF($FY192=0,0,_xlfn.IFS($FY192='Key assumptions'!$C$120,_xlfn.XLOOKUP(LEFT(GE$7,6),Inflation_Year,Inflation_NominaltoReal),TRUE,_xlfn.XLOOKUP($FY192,Inflation_Year,NominaltoReal)))</f>
        <v>0</v>
      </c>
      <c r="GF192" s="146" cm="1">
        <f t="array" ref="GF192">IF($FY192=0,0,_xlfn.IFS($FY192='Key assumptions'!$C$120,_xlfn.XLOOKUP(LEFT(GF$7,6),Inflation_Year,Inflation_NominaltoReal),TRUE,_xlfn.XLOOKUP($FY192,Inflation_Year,NominaltoReal)))</f>
        <v>0</v>
      </c>
      <c r="GG192" s="143"/>
      <c r="GH192" s="145" cm="1">
        <f t="array" ref="GH192">SUMPRODUCT(--($CR$7:$FW$7&gt;=GH$5),--($CR$7:$FW$7&lt;=GH$6),$CR192:$FW192)*FZ192</f>
        <v>0</v>
      </c>
      <c r="GI192" s="145" cm="1">
        <f t="array" ref="GI192">SUMPRODUCT(--($CR$7:$FW$7&gt;=GI$5),--($CR$7:$FW$7&lt;=GI$6),$CR192:$FW192)*GA192</f>
        <v>0</v>
      </c>
      <c r="GJ192" s="145" cm="1">
        <f t="array" ref="GJ192">SUMPRODUCT(--($CR$7:$FW$7&gt;=GJ$5),--($CR$7:$FW$7&lt;=GJ$6),$CR192:$FW192)*GB192</f>
        <v>0</v>
      </c>
      <c r="GK192" s="145" cm="1">
        <f t="array" ref="GK192">SUMPRODUCT(--($CR$7:$FW$7&gt;=GK$5),--($CR$7:$FW$7&lt;=GK$6),$CR192:$FW192)*GC192</f>
        <v>0</v>
      </c>
      <c r="GL192" s="145" cm="1">
        <f t="array" ref="GL192">SUMPRODUCT(--($CR$7:$FW$7&gt;=GL$5),--($CR$7:$FW$7&lt;=GL$6),$CR192:$FW192)*GD192</f>
        <v>0</v>
      </c>
      <c r="GM192" s="145" cm="1">
        <f t="array" ref="GM192">SUMPRODUCT(--($CR$7:$FW$7&gt;=GM$5),--($CR$7:$FW$7&lt;=GM$6),$CR192:$FW192)*GE192</f>
        <v>0</v>
      </c>
      <c r="GN192" s="145" cm="1">
        <f t="array" ref="GN192">SUMPRODUCT(--($CR$7:$FW$7&gt;=GN$5),--($CR$7:$FW$7&lt;=GN$6),$CR192:$FW192)*GF192</f>
        <v>0</v>
      </c>
      <c r="GO192" s="145">
        <f t="shared" si="2"/>
        <v>0</v>
      </c>
      <c r="GP192" s="87"/>
      <c r="GR192" s="145" cm="1">
        <f t="array" ref="GR192">SUMPRODUCT(--($CR$7:$FW$7&gt;=GR$5),--($CR$7:$FW$7&lt;=GR$6),$CR192:$FW192)</f>
        <v>0</v>
      </c>
    </row>
    <row r="193" spans="2:200" x14ac:dyDescent="0.2">
      <c r="B193" s="141"/>
      <c r="C193" s="141"/>
      <c r="D193" s="141"/>
      <c r="E193" s="141"/>
      <c r="F193" s="141"/>
      <c r="G193" s="141"/>
      <c r="H193" s="142"/>
      <c r="I193" s="126"/>
      <c r="J193" s="143"/>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3"/>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c r="EE193" s="145"/>
      <c r="EF193" s="145"/>
      <c r="EG193" s="145"/>
      <c r="EH193" s="145"/>
      <c r="EI193" s="145"/>
      <c r="EJ193" s="145"/>
      <c r="EK193" s="145"/>
      <c r="EL193" s="145"/>
      <c r="EM193" s="145"/>
      <c r="EN193" s="145"/>
      <c r="EO193" s="145"/>
      <c r="EP193" s="145"/>
      <c r="EQ193" s="145"/>
      <c r="ER193" s="145"/>
      <c r="ES193" s="145"/>
      <c r="ET193" s="145"/>
      <c r="EU193" s="145"/>
      <c r="EV193" s="145"/>
      <c r="EW193" s="145"/>
      <c r="EX193" s="145"/>
      <c r="EY193" s="145"/>
      <c r="EZ193" s="145"/>
      <c r="FA193" s="145"/>
      <c r="FB193" s="145"/>
      <c r="FC193" s="145"/>
      <c r="FD193" s="145"/>
      <c r="FE193" s="145"/>
      <c r="FF193" s="145"/>
      <c r="FG193" s="145"/>
      <c r="FH193" s="145"/>
      <c r="FI193" s="145"/>
      <c r="FJ193" s="145"/>
      <c r="FK193" s="145"/>
      <c r="FL193" s="145"/>
      <c r="FM193" s="145"/>
      <c r="FN193" s="145"/>
      <c r="FO193" s="145"/>
      <c r="FP193" s="145"/>
      <c r="FQ193" s="145"/>
      <c r="FR193" s="145"/>
      <c r="FS193" s="145"/>
      <c r="FT193" s="145"/>
      <c r="FU193" s="145"/>
      <c r="FV193" s="145"/>
      <c r="FW193" s="145"/>
      <c r="FX193" s="143"/>
      <c r="FY193" s="146">
        <f>_xlfn.XLOOKUP($E193,'Key assumptions'!$B$112:$B$120,'Key assumptions'!$C$112:$C$120,0)</f>
        <v>0</v>
      </c>
      <c r="FZ193" s="146" cm="1">
        <f t="array" ref="FZ193">IF($FY193=0,0,_xlfn.IFS($FY193='Key assumptions'!$C$120,_xlfn.XLOOKUP(LEFT(FZ$7,6),Inflation_Year,Inflation_NominaltoReal),TRUE,_xlfn.XLOOKUP($FY193,Inflation_Year,NominaltoReal)))</f>
        <v>0</v>
      </c>
      <c r="GA193" s="146" cm="1">
        <f t="array" ref="GA193">IF($FY193=0,0,_xlfn.IFS($FY193='Key assumptions'!$C$120,_xlfn.XLOOKUP(LEFT(GA$7,6),Inflation_Year,Inflation_NominaltoReal),TRUE,_xlfn.XLOOKUP($FY193,Inflation_Year,NominaltoReal)))</f>
        <v>0</v>
      </c>
      <c r="GB193" s="146" cm="1">
        <f t="array" ref="GB193">IF($FY193=0,0,_xlfn.IFS($FY193='Key assumptions'!$C$120,_xlfn.XLOOKUP(LEFT(GB$7,6),Inflation_Year,Inflation_NominaltoReal),TRUE,_xlfn.XLOOKUP($FY193,Inflation_Year,NominaltoReal)))</f>
        <v>0</v>
      </c>
      <c r="GC193" s="146" cm="1">
        <f t="array" ref="GC193">IF($FY193=0,0,_xlfn.IFS($FY193='Key assumptions'!$C$120,_xlfn.XLOOKUP(LEFT(GC$7,6),Inflation_Year,Inflation_NominaltoReal),TRUE,_xlfn.XLOOKUP($FY193,Inflation_Year,NominaltoReal)))</f>
        <v>0</v>
      </c>
      <c r="GD193" s="146" cm="1">
        <f t="array" ref="GD193">IF($FY193=0,0,_xlfn.IFS($FY193='Key assumptions'!$C$120,_xlfn.XLOOKUP(LEFT(GD$7,6),Inflation_Year,Inflation_NominaltoReal),TRUE,_xlfn.XLOOKUP($FY193,Inflation_Year,NominaltoReal)))</f>
        <v>0</v>
      </c>
      <c r="GE193" s="146" cm="1">
        <f t="array" ref="GE193">IF($FY193=0,0,_xlfn.IFS($FY193='Key assumptions'!$C$120,_xlfn.XLOOKUP(LEFT(GE$7,6),Inflation_Year,Inflation_NominaltoReal),TRUE,_xlfn.XLOOKUP($FY193,Inflation_Year,NominaltoReal)))</f>
        <v>0</v>
      </c>
      <c r="GF193" s="146" cm="1">
        <f t="array" ref="GF193">IF($FY193=0,0,_xlfn.IFS($FY193='Key assumptions'!$C$120,_xlfn.XLOOKUP(LEFT(GF$7,6),Inflation_Year,Inflation_NominaltoReal),TRUE,_xlfn.XLOOKUP($FY193,Inflation_Year,NominaltoReal)))</f>
        <v>0</v>
      </c>
      <c r="GG193" s="143"/>
      <c r="GH193" s="145" cm="1">
        <f t="array" ref="GH193">SUMPRODUCT(--($CR$7:$FW$7&gt;=GH$5),--($CR$7:$FW$7&lt;=GH$6),$CR193:$FW193)*FZ193</f>
        <v>0</v>
      </c>
      <c r="GI193" s="145" cm="1">
        <f t="array" ref="GI193">SUMPRODUCT(--($CR$7:$FW$7&gt;=GI$5),--($CR$7:$FW$7&lt;=GI$6),$CR193:$FW193)*GA193</f>
        <v>0</v>
      </c>
      <c r="GJ193" s="145" cm="1">
        <f t="array" ref="GJ193">SUMPRODUCT(--($CR$7:$FW$7&gt;=GJ$5),--($CR$7:$FW$7&lt;=GJ$6),$CR193:$FW193)*GB193</f>
        <v>0</v>
      </c>
      <c r="GK193" s="145" cm="1">
        <f t="array" ref="GK193">SUMPRODUCT(--($CR$7:$FW$7&gt;=GK$5),--($CR$7:$FW$7&lt;=GK$6),$CR193:$FW193)*GC193</f>
        <v>0</v>
      </c>
      <c r="GL193" s="145" cm="1">
        <f t="array" ref="GL193">SUMPRODUCT(--($CR$7:$FW$7&gt;=GL$5),--($CR$7:$FW$7&lt;=GL$6),$CR193:$FW193)*GD193</f>
        <v>0</v>
      </c>
      <c r="GM193" s="145" cm="1">
        <f t="array" ref="GM193">SUMPRODUCT(--($CR$7:$FW$7&gt;=GM$5),--($CR$7:$FW$7&lt;=GM$6),$CR193:$FW193)*GE193</f>
        <v>0</v>
      </c>
      <c r="GN193" s="145" cm="1">
        <f t="array" ref="GN193">SUMPRODUCT(--($CR$7:$FW$7&gt;=GN$5),--($CR$7:$FW$7&lt;=GN$6),$CR193:$FW193)*GF193</f>
        <v>0</v>
      </c>
      <c r="GO193" s="145">
        <f t="shared" si="2"/>
        <v>0</v>
      </c>
      <c r="GP193" s="87"/>
      <c r="GR193" s="145" cm="1">
        <f t="array" ref="GR193">SUMPRODUCT(--($CR$7:$FW$7&gt;=GR$5),--($CR$7:$FW$7&lt;=GR$6),$CR193:$FW193)</f>
        <v>0</v>
      </c>
    </row>
    <row r="194" spans="2:200" x14ac:dyDescent="0.2">
      <c r="B194" s="141"/>
      <c r="C194" s="141"/>
      <c r="D194" s="141"/>
      <c r="E194" s="141"/>
      <c r="F194" s="141"/>
      <c r="G194" s="141"/>
      <c r="H194" s="142"/>
      <c r="I194" s="126"/>
      <c r="J194" s="143"/>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3"/>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c r="EE194" s="145"/>
      <c r="EF194" s="145"/>
      <c r="EG194" s="145"/>
      <c r="EH194" s="145"/>
      <c r="EI194" s="145"/>
      <c r="EJ194" s="145"/>
      <c r="EK194" s="145"/>
      <c r="EL194" s="145"/>
      <c r="EM194" s="145"/>
      <c r="EN194" s="145"/>
      <c r="EO194" s="145"/>
      <c r="EP194" s="145"/>
      <c r="EQ194" s="145"/>
      <c r="ER194" s="145"/>
      <c r="ES194" s="145"/>
      <c r="ET194" s="145"/>
      <c r="EU194" s="145"/>
      <c r="EV194" s="145"/>
      <c r="EW194" s="145"/>
      <c r="EX194" s="145"/>
      <c r="EY194" s="145"/>
      <c r="EZ194" s="145"/>
      <c r="FA194" s="145"/>
      <c r="FB194" s="145"/>
      <c r="FC194" s="145"/>
      <c r="FD194" s="145"/>
      <c r="FE194" s="145"/>
      <c r="FF194" s="145"/>
      <c r="FG194" s="145"/>
      <c r="FH194" s="145"/>
      <c r="FI194" s="145"/>
      <c r="FJ194" s="145"/>
      <c r="FK194" s="145"/>
      <c r="FL194" s="145"/>
      <c r="FM194" s="145"/>
      <c r="FN194" s="145"/>
      <c r="FO194" s="145"/>
      <c r="FP194" s="145"/>
      <c r="FQ194" s="145"/>
      <c r="FR194" s="145"/>
      <c r="FS194" s="145"/>
      <c r="FT194" s="145"/>
      <c r="FU194" s="145"/>
      <c r="FV194" s="145"/>
      <c r="FW194" s="145"/>
      <c r="FX194" s="143"/>
      <c r="FY194" s="146">
        <f>_xlfn.XLOOKUP($E194,'Key assumptions'!$B$112:$B$120,'Key assumptions'!$C$112:$C$120,0)</f>
        <v>0</v>
      </c>
      <c r="FZ194" s="146" cm="1">
        <f t="array" ref="FZ194">IF($FY194=0,0,_xlfn.IFS($FY194='Key assumptions'!$C$120,_xlfn.XLOOKUP(LEFT(FZ$7,6),Inflation_Year,Inflation_NominaltoReal),TRUE,_xlfn.XLOOKUP($FY194,Inflation_Year,NominaltoReal)))</f>
        <v>0</v>
      </c>
      <c r="GA194" s="146" cm="1">
        <f t="array" ref="GA194">IF($FY194=0,0,_xlfn.IFS($FY194='Key assumptions'!$C$120,_xlfn.XLOOKUP(LEFT(GA$7,6),Inflation_Year,Inflation_NominaltoReal),TRUE,_xlfn.XLOOKUP($FY194,Inflation_Year,NominaltoReal)))</f>
        <v>0</v>
      </c>
      <c r="GB194" s="146" cm="1">
        <f t="array" ref="GB194">IF($FY194=0,0,_xlfn.IFS($FY194='Key assumptions'!$C$120,_xlfn.XLOOKUP(LEFT(GB$7,6),Inflation_Year,Inflation_NominaltoReal),TRUE,_xlfn.XLOOKUP($FY194,Inflation_Year,NominaltoReal)))</f>
        <v>0</v>
      </c>
      <c r="GC194" s="146" cm="1">
        <f t="array" ref="GC194">IF($FY194=0,0,_xlfn.IFS($FY194='Key assumptions'!$C$120,_xlfn.XLOOKUP(LEFT(GC$7,6),Inflation_Year,Inflation_NominaltoReal),TRUE,_xlfn.XLOOKUP($FY194,Inflation_Year,NominaltoReal)))</f>
        <v>0</v>
      </c>
      <c r="GD194" s="146" cm="1">
        <f t="array" ref="GD194">IF($FY194=0,0,_xlfn.IFS($FY194='Key assumptions'!$C$120,_xlfn.XLOOKUP(LEFT(GD$7,6),Inflation_Year,Inflation_NominaltoReal),TRUE,_xlfn.XLOOKUP($FY194,Inflation_Year,NominaltoReal)))</f>
        <v>0</v>
      </c>
      <c r="GE194" s="146" cm="1">
        <f t="array" ref="GE194">IF($FY194=0,0,_xlfn.IFS($FY194='Key assumptions'!$C$120,_xlfn.XLOOKUP(LEFT(GE$7,6),Inflation_Year,Inflation_NominaltoReal),TRUE,_xlfn.XLOOKUP($FY194,Inflation_Year,NominaltoReal)))</f>
        <v>0</v>
      </c>
      <c r="GF194" s="146" cm="1">
        <f t="array" ref="GF194">IF($FY194=0,0,_xlfn.IFS($FY194='Key assumptions'!$C$120,_xlfn.XLOOKUP(LEFT(GF$7,6),Inflation_Year,Inflation_NominaltoReal),TRUE,_xlfn.XLOOKUP($FY194,Inflation_Year,NominaltoReal)))</f>
        <v>0</v>
      </c>
      <c r="GG194" s="143"/>
      <c r="GH194" s="145" cm="1">
        <f t="array" ref="GH194">SUMPRODUCT(--($CR$7:$FW$7&gt;=GH$5),--($CR$7:$FW$7&lt;=GH$6),$CR194:$FW194)*FZ194</f>
        <v>0</v>
      </c>
      <c r="GI194" s="145" cm="1">
        <f t="array" ref="GI194">SUMPRODUCT(--($CR$7:$FW$7&gt;=GI$5),--($CR$7:$FW$7&lt;=GI$6),$CR194:$FW194)*GA194</f>
        <v>0</v>
      </c>
      <c r="GJ194" s="145" cm="1">
        <f t="array" ref="GJ194">SUMPRODUCT(--($CR$7:$FW$7&gt;=GJ$5),--($CR$7:$FW$7&lt;=GJ$6),$CR194:$FW194)*GB194</f>
        <v>0</v>
      </c>
      <c r="GK194" s="145" cm="1">
        <f t="array" ref="GK194">SUMPRODUCT(--($CR$7:$FW$7&gt;=GK$5),--($CR$7:$FW$7&lt;=GK$6),$CR194:$FW194)*GC194</f>
        <v>0</v>
      </c>
      <c r="GL194" s="145" cm="1">
        <f t="array" ref="GL194">SUMPRODUCT(--($CR$7:$FW$7&gt;=GL$5),--($CR$7:$FW$7&lt;=GL$6),$CR194:$FW194)*GD194</f>
        <v>0</v>
      </c>
      <c r="GM194" s="145" cm="1">
        <f t="array" ref="GM194">SUMPRODUCT(--($CR$7:$FW$7&gt;=GM$5),--($CR$7:$FW$7&lt;=GM$6),$CR194:$FW194)*GE194</f>
        <v>0</v>
      </c>
      <c r="GN194" s="145" cm="1">
        <f t="array" ref="GN194">SUMPRODUCT(--($CR$7:$FW$7&gt;=GN$5),--($CR$7:$FW$7&lt;=GN$6),$CR194:$FW194)*GF194</f>
        <v>0</v>
      </c>
      <c r="GO194" s="145">
        <f t="shared" si="2"/>
        <v>0</v>
      </c>
      <c r="GP194" s="87"/>
      <c r="GR194" s="145" cm="1">
        <f t="array" ref="GR194">SUMPRODUCT(--($CR$7:$FW$7&gt;=GR$5),--($CR$7:$FW$7&lt;=GR$6),$CR194:$FW194)</f>
        <v>0</v>
      </c>
    </row>
    <row r="195" spans="2:200" x14ac:dyDescent="0.2">
      <c r="B195" s="141"/>
      <c r="C195" s="141"/>
      <c r="D195" s="141"/>
      <c r="E195" s="141"/>
      <c r="F195" s="141"/>
      <c r="G195" s="141"/>
      <c r="H195" s="142"/>
      <c r="I195" s="126"/>
      <c r="J195" s="143"/>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3"/>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145"/>
      <c r="EH195" s="145"/>
      <c r="EI195" s="145"/>
      <c r="EJ195" s="145"/>
      <c r="EK195" s="145"/>
      <c r="EL195" s="145"/>
      <c r="EM195" s="145"/>
      <c r="EN195" s="145"/>
      <c r="EO195" s="145"/>
      <c r="EP195" s="145"/>
      <c r="EQ195" s="145"/>
      <c r="ER195" s="145"/>
      <c r="ES195" s="145"/>
      <c r="ET195" s="145"/>
      <c r="EU195" s="145"/>
      <c r="EV195" s="145"/>
      <c r="EW195" s="145"/>
      <c r="EX195" s="145"/>
      <c r="EY195" s="145"/>
      <c r="EZ195" s="145"/>
      <c r="FA195" s="145"/>
      <c r="FB195" s="145"/>
      <c r="FC195" s="145"/>
      <c r="FD195" s="145"/>
      <c r="FE195" s="145"/>
      <c r="FF195" s="145"/>
      <c r="FG195" s="145"/>
      <c r="FH195" s="145"/>
      <c r="FI195" s="145"/>
      <c r="FJ195" s="145"/>
      <c r="FK195" s="145"/>
      <c r="FL195" s="145"/>
      <c r="FM195" s="145"/>
      <c r="FN195" s="145"/>
      <c r="FO195" s="145"/>
      <c r="FP195" s="145"/>
      <c r="FQ195" s="145"/>
      <c r="FR195" s="145"/>
      <c r="FS195" s="145"/>
      <c r="FT195" s="145"/>
      <c r="FU195" s="145"/>
      <c r="FV195" s="145"/>
      <c r="FW195" s="145"/>
      <c r="FX195" s="143"/>
      <c r="FY195" s="146">
        <f>_xlfn.XLOOKUP($E195,'Key assumptions'!$B$112:$B$120,'Key assumptions'!$C$112:$C$120,0)</f>
        <v>0</v>
      </c>
      <c r="FZ195" s="146" cm="1">
        <f t="array" ref="FZ195">IF($FY195=0,0,_xlfn.IFS($FY195='Key assumptions'!$C$120,_xlfn.XLOOKUP(LEFT(FZ$7,6),Inflation_Year,Inflation_NominaltoReal),TRUE,_xlfn.XLOOKUP($FY195,Inflation_Year,NominaltoReal)))</f>
        <v>0</v>
      </c>
      <c r="GA195" s="146" cm="1">
        <f t="array" ref="GA195">IF($FY195=0,0,_xlfn.IFS($FY195='Key assumptions'!$C$120,_xlfn.XLOOKUP(LEFT(GA$7,6),Inflation_Year,Inflation_NominaltoReal),TRUE,_xlfn.XLOOKUP($FY195,Inflation_Year,NominaltoReal)))</f>
        <v>0</v>
      </c>
      <c r="GB195" s="146" cm="1">
        <f t="array" ref="GB195">IF($FY195=0,0,_xlfn.IFS($FY195='Key assumptions'!$C$120,_xlfn.XLOOKUP(LEFT(GB$7,6),Inflation_Year,Inflation_NominaltoReal),TRUE,_xlfn.XLOOKUP($FY195,Inflation_Year,NominaltoReal)))</f>
        <v>0</v>
      </c>
      <c r="GC195" s="146" cm="1">
        <f t="array" ref="GC195">IF($FY195=0,0,_xlfn.IFS($FY195='Key assumptions'!$C$120,_xlfn.XLOOKUP(LEFT(GC$7,6),Inflation_Year,Inflation_NominaltoReal),TRUE,_xlfn.XLOOKUP($FY195,Inflation_Year,NominaltoReal)))</f>
        <v>0</v>
      </c>
      <c r="GD195" s="146" cm="1">
        <f t="array" ref="GD195">IF($FY195=0,0,_xlfn.IFS($FY195='Key assumptions'!$C$120,_xlfn.XLOOKUP(LEFT(GD$7,6),Inflation_Year,Inflation_NominaltoReal),TRUE,_xlfn.XLOOKUP($FY195,Inflation_Year,NominaltoReal)))</f>
        <v>0</v>
      </c>
      <c r="GE195" s="146" cm="1">
        <f t="array" ref="GE195">IF($FY195=0,0,_xlfn.IFS($FY195='Key assumptions'!$C$120,_xlfn.XLOOKUP(LEFT(GE$7,6),Inflation_Year,Inflation_NominaltoReal),TRUE,_xlfn.XLOOKUP($FY195,Inflation_Year,NominaltoReal)))</f>
        <v>0</v>
      </c>
      <c r="GF195" s="146" cm="1">
        <f t="array" ref="GF195">IF($FY195=0,0,_xlfn.IFS($FY195='Key assumptions'!$C$120,_xlfn.XLOOKUP(LEFT(GF$7,6),Inflation_Year,Inflation_NominaltoReal),TRUE,_xlfn.XLOOKUP($FY195,Inflation_Year,NominaltoReal)))</f>
        <v>0</v>
      </c>
      <c r="GG195" s="143"/>
      <c r="GH195" s="145" cm="1">
        <f t="array" ref="GH195">SUMPRODUCT(--($CR$7:$FW$7&gt;=GH$5),--($CR$7:$FW$7&lt;=GH$6),$CR195:$FW195)*FZ195</f>
        <v>0</v>
      </c>
      <c r="GI195" s="145" cm="1">
        <f t="array" ref="GI195">SUMPRODUCT(--($CR$7:$FW$7&gt;=GI$5),--($CR$7:$FW$7&lt;=GI$6),$CR195:$FW195)*GA195</f>
        <v>0</v>
      </c>
      <c r="GJ195" s="145" cm="1">
        <f t="array" ref="GJ195">SUMPRODUCT(--($CR$7:$FW$7&gt;=GJ$5),--($CR$7:$FW$7&lt;=GJ$6),$CR195:$FW195)*GB195</f>
        <v>0</v>
      </c>
      <c r="GK195" s="145" cm="1">
        <f t="array" ref="GK195">SUMPRODUCT(--($CR$7:$FW$7&gt;=GK$5),--($CR$7:$FW$7&lt;=GK$6),$CR195:$FW195)*GC195</f>
        <v>0</v>
      </c>
      <c r="GL195" s="145" cm="1">
        <f t="array" ref="GL195">SUMPRODUCT(--($CR$7:$FW$7&gt;=GL$5),--($CR$7:$FW$7&lt;=GL$6),$CR195:$FW195)*GD195</f>
        <v>0</v>
      </c>
      <c r="GM195" s="145" cm="1">
        <f t="array" ref="GM195">SUMPRODUCT(--($CR$7:$FW$7&gt;=GM$5),--($CR$7:$FW$7&lt;=GM$6),$CR195:$FW195)*GE195</f>
        <v>0</v>
      </c>
      <c r="GN195" s="145" cm="1">
        <f t="array" ref="GN195">SUMPRODUCT(--($CR$7:$FW$7&gt;=GN$5),--($CR$7:$FW$7&lt;=GN$6),$CR195:$FW195)*GF195</f>
        <v>0</v>
      </c>
      <c r="GO195" s="145">
        <f t="shared" si="2"/>
        <v>0</v>
      </c>
      <c r="GP195" s="87"/>
      <c r="GR195" s="145" cm="1">
        <f t="array" ref="GR195">SUMPRODUCT(--($CR$7:$FW$7&gt;=GR$5),--($CR$7:$FW$7&lt;=GR$6),$CR195:$FW195)</f>
        <v>0</v>
      </c>
    </row>
    <row r="196" spans="2:200" x14ac:dyDescent="0.2">
      <c r="B196" s="141"/>
      <c r="C196" s="141"/>
      <c r="D196" s="141"/>
      <c r="E196" s="141"/>
      <c r="F196" s="141"/>
      <c r="G196" s="141"/>
      <c r="H196" s="142"/>
      <c r="I196" s="126"/>
      <c r="J196" s="143"/>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3"/>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c r="EE196" s="145"/>
      <c r="EF196" s="145"/>
      <c r="EG196" s="145"/>
      <c r="EH196" s="145"/>
      <c r="EI196" s="145"/>
      <c r="EJ196" s="145"/>
      <c r="EK196" s="145"/>
      <c r="EL196" s="145"/>
      <c r="EM196" s="145"/>
      <c r="EN196" s="145"/>
      <c r="EO196" s="145"/>
      <c r="EP196" s="145"/>
      <c r="EQ196" s="145"/>
      <c r="ER196" s="145"/>
      <c r="ES196" s="145"/>
      <c r="ET196" s="145"/>
      <c r="EU196" s="145"/>
      <c r="EV196" s="145"/>
      <c r="EW196" s="145"/>
      <c r="EX196" s="145"/>
      <c r="EY196" s="145"/>
      <c r="EZ196" s="145"/>
      <c r="FA196" s="145"/>
      <c r="FB196" s="145"/>
      <c r="FC196" s="145"/>
      <c r="FD196" s="145"/>
      <c r="FE196" s="145"/>
      <c r="FF196" s="145"/>
      <c r="FG196" s="145"/>
      <c r="FH196" s="145"/>
      <c r="FI196" s="145"/>
      <c r="FJ196" s="145"/>
      <c r="FK196" s="145"/>
      <c r="FL196" s="145"/>
      <c r="FM196" s="145"/>
      <c r="FN196" s="145"/>
      <c r="FO196" s="145"/>
      <c r="FP196" s="145"/>
      <c r="FQ196" s="145"/>
      <c r="FR196" s="145"/>
      <c r="FS196" s="145"/>
      <c r="FT196" s="145"/>
      <c r="FU196" s="145"/>
      <c r="FV196" s="145"/>
      <c r="FW196" s="145"/>
      <c r="FX196" s="143"/>
      <c r="FY196" s="146">
        <f>_xlfn.XLOOKUP($E196,'Key assumptions'!$B$112:$B$120,'Key assumptions'!$C$112:$C$120,0)</f>
        <v>0</v>
      </c>
      <c r="FZ196" s="146" cm="1">
        <f t="array" ref="FZ196">IF($FY196=0,0,_xlfn.IFS($FY196='Key assumptions'!$C$120,_xlfn.XLOOKUP(LEFT(FZ$7,6),Inflation_Year,Inflation_NominaltoReal),TRUE,_xlfn.XLOOKUP($FY196,Inflation_Year,NominaltoReal)))</f>
        <v>0</v>
      </c>
      <c r="GA196" s="146" cm="1">
        <f t="array" ref="GA196">IF($FY196=0,0,_xlfn.IFS($FY196='Key assumptions'!$C$120,_xlfn.XLOOKUP(LEFT(GA$7,6),Inflation_Year,Inflation_NominaltoReal),TRUE,_xlfn.XLOOKUP($FY196,Inflation_Year,NominaltoReal)))</f>
        <v>0</v>
      </c>
      <c r="GB196" s="146" cm="1">
        <f t="array" ref="GB196">IF($FY196=0,0,_xlfn.IFS($FY196='Key assumptions'!$C$120,_xlfn.XLOOKUP(LEFT(GB$7,6),Inflation_Year,Inflation_NominaltoReal),TRUE,_xlfn.XLOOKUP($FY196,Inflation_Year,NominaltoReal)))</f>
        <v>0</v>
      </c>
      <c r="GC196" s="146" cm="1">
        <f t="array" ref="GC196">IF($FY196=0,0,_xlfn.IFS($FY196='Key assumptions'!$C$120,_xlfn.XLOOKUP(LEFT(GC$7,6),Inflation_Year,Inflation_NominaltoReal),TRUE,_xlfn.XLOOKUP($FY196,Inflation_Year,NominaltoReal)))</f>
        <v>0</v>
      </c>
      <c r="GD196" s="146" cm="1">
        <f t="array" ref="GD196">IF($FY196=0,0,_xlfn.IFS($FY196='Key assumptions'!$C$120,_xlfn.XLOOKUP(LEFT(GD$7,6),Inflation_Year,Inflation_NominaltoReal),TRUE,_xlfn.XLOOKUP($FY196,Inflation_Year,NominaltoReal)))</f>
        <v>0</v>
      </c>
      <c r="GE196" s="146" cm="1">
        <f t="array" ref="GE196">IF($FY196=0,0,_xlfn.IFS($FY196='Key assumptions'!$C$120,_xlfn.XLOOKUP(LEFT(GE$7,6),Inflation_Year,Inflation_NominaltoReal),TRUE,_xlfn.XLOOKUP($FY196,Inflation_Year,NominaltoReal)))</f>
        <v>0</v>
      </c>
      <c r="GF196" s="146" cm="1">
        <f t="array" ref="GF196">IF($FY196=0,0,_xlfn.IFS($FY196='Key assumptions'!$C$120,_xlfn.XLOOKUP(LEFT(GF$7,6),Inflation_Year,Inflation_NominaltoReal),TRUE,_xlfn.XLOOKUP($FY196,Inflation_Year,NominaltoReal)))</f>
        <v>0</v>
      </c>
      <c r="GG196" s="143"/>
      <c r="GH196" s="145" cm="1">
        <f t="array" ref="GH196">SUMPRODUCT(--($CR$7:$FW$7&gt;=GH$5),--($CR$7:$FW$7&lt;=GH$6),$CR196:$FW196)*FZ196</f>
        <v>0</v>
      </c>
      <c r="GI196" s="145" cm="1">
        <f t="array" ref="GI196">SUMPRODUCT(--($CR$7:$FW$7&gt;=GI$5),--($CR$7:$FW$7&lt;=GI$6),$CR196:$FW196)*GA196</f>
        <v>0</v>
      </c>
      <c r="GJ196" s="145" cm="1">
        <f t="array" ref="GJ196">SUMPRODUCT(--($CR$7:$FW$7&gt;=GJ$5),--($CR$7:$FW$7&lt;=GJ$6),$CR196:$FW196)*GB196</f>
        <v>0</v>
      </c>
      <c r="GK196" s="145" cm="1">
        <f t="array" ref="GK196">SUMPRODUCT(--($CR$7:$FW$7&gt;=GK$5),--($CR$7:$FW$7&lt;=GK$6),$CR196:$FW196)*GC196</f>
        <v>0</v>
      </c>
      <c r="GL196" s="145" cm="1">
        <f t="array" ref="GL196">SUMPRODUCT(--($CR$7:$FW$7&gt;=GL$5),--($CR$7:$FW$7&lt;=GL$6),$CR196:$FW196)*GD196</f>
        <v>0</v>
      </c>
      <c r="GM196" s="145" cm="1">
        <f t="array" ref="GM196">SUMPRODUCT(--($CR$7:$FW$7&gt;=GM$5),--($CR$7:$FW$7&lt;=GM$6),$CR196:$FW196)*GE196</f>
        <v>0</v>
      </c>
      <c r="GN196" s="145" cm="1">
        <f t="array" ref="GN196">SUMPRODUCT(--($CR$7:$FW$7&gt;=GN$5),--($CR$7:$FW$7&lt;=GN$6),$CR196:$FW196)*GF196</f>
        <v>0</v>
      </c>
      <c r="GO196" s="145">
        <f t="shared" si="2"/>
        <v>0</v>
      </c>
      <c r="GP196" s="87"/>
      <c r="GR196" s="145" cm="1">
        <f t="array" ref="GR196">SUMPRODUCT(--($CR$7:$FW$7&gt;=GR$5),--($CR$7:$FW$7&lt;=GR$6),$CR196:$FW196)</f>
        <v>0</v>
      </c>
    </row>
    <row r="197" spans="2:200" x14ac:dyDescent="0.2">
      <c r="B197" s="141"/>
      <c r="C197" s="141"/>
      <c r="D197" s="141"/>
      <c r="E197" s="141"/>
      <c r="F197" s="141"/>
      <c r="G197" s="141"/>
      <c r="H197" s="142"/>
      <c r="I197" s="126"/>
      <c r="J197" s="143"/>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3"/>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45"/>
      <c r="EH197" s="145"/>
      <c r="EI197" s="145"/>
      <c r="EJ197" s="145"/>
      <c r="EK197" s="145"/>
      <c r="EL197" s="145"/>
      <c r="EM197" s="145"/>
      <c r="EN197" s="145"/>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45"/>
      <c r="FK197" s="145"/>
      <c r="FL197" s="145"/>
      <c r="FM197" s="145"/>
      <c r="FN197" s="145"/>
      <c r="FO197" s="145"/>
      <c r="FP197" s="145"/>
      <c r="FQ197" s="145"/>
      <c r="FR197" s="145"/>
      <c r="FS197" s="145"/>
      <c r="FT197" s="145"/>
      <c r="FU197" s="145"/>
      <c r="FV197" s="145"/>
      <c r="FW197" s="145"/>
      <c r="FX197" s="143"/>
      <c r="FY197" s="146">
        <f>_xlfn.XLOOKUP($E197,'Key assumptions'!$B$112:$B$120,'Key assumptions'!$C$112:$C$120,0)</f>
        <v>0</v>
      </c>
      <c r="FZ197" s="146" cm="1">
        <f t="array" ref="FZ197">IF($FY197=0,0,_xlfn.IFS($FY197='Key assumptions'!$C$120,_xlfn.XLOOKUP(LEFT(FZ$7,6),Inflation_Year,Inflation_NominaltoReal),TRUE,_xlfn.XLOOKUP($FY197,Inflation_Year,NominaltoReal)))</f>
        <v>0</v>
      </c>
      <c r="GA197" s="146" cm="1">
        <f t="array" ref="GA197">IF($FY197=0,0,_xlfn.IFS($FY197='Key assumptions'!$C$120,_xlfn.XLOOKUP(LEFT(GA$7,6),Inflation_Year,Inflation_NominaltoReal),TRUE,_xlfn.XLOOKUP($FY197,Inflation_Year,NominaltoReal)))</f>
        <v>0</v>
      </c>
      <c r="GB197" s="146" cm="1">
        <f t="array" ref="GB197">IF($FY197=0,0,_xlfn.IFS($FY197='Key assumptions'!$C$120,_xlfn.XLOOKUP(LEFT(GB$7,6),Inflation_Year,Inflation_NominaltoReal),TRUE,_xlfn.XLOOKUP($FY197,Inflation_Year,NominaltoReal)))</f>
        <v>0</v>
      </c>
      <c r="GC197" s="146" cm="1">
        <f t="array" ref="GC197">IF($FY197=0,0,_xlfn.IFS($FY197='Key assumptions'!$C$120,_xlfn.XLOOKUP(LEFT(GC$7,6),Inflation_Year,Inflation_NominaltoReal),TRUE,_xlfn.XLOOKUP($FY197,Inflation_Year,NominaltoReal)))</f>
        <v>0</v>
      </c>
      <c r="GD197" s="146" cm="1">
        <f t="array" ref="GD197">IF($FY197=0,0,_xlfn.IFS($FY197='Key assumptions'!$C$120,_xlfn.XLOOKUP(LEFT(GD$7,6),Inflation_Year,Inflation_NominaltoReal),TRUE,_xlfn.XLOOKUP($FY197,Inflation_Year,NominaltoReal)))</f>
        <v>0</v>
      </c>
      <c r="GE197" s="146" cm="1">
        <f t="array" ref="GE197">IF($FY197=0,0,_xlfn.IFS($FY197='Key assumptions'!$C$120,_xlfn.XLOOKUP(LEFT(GE$7,6),Inflation_Year,Inflation_NominaltoReal),TRUE,_xlfn.XLOOKUP($FY197,Inflation_Year,NominaltoReal)))</f>
        <v>0</v>
      </c>
      <c r="GF197" s="146" cm="1">
        <f t="array" ref="GF197">IF($FY197=0,0,_xlfn.IFS($FY197='Key assumptions'!$C$120,_xlfn.XLOOKUP(LEFT(GF$7,6),Inflation_Year,Inflation_NominaltoReal),TRUE,_xlfn.XLOOKUP($FY197,Inflation_Year,NominaltoReal)))</f>
        <v>0</v>
      </c>
      <c r="GG197" s="143"/>
      <c r="GH197" s="145" cm="1">
        <f t="array" ref="GH197">SUMPRODUCT(--($CR$7:$FW$7&gt;=GH$5),--($CR$7:$FW$7&lt;=GH$6),$CR197:$FW197)*FZ197</f>
        <v>0</v>
      </c>
      <c r="GI197" s="145" cm="1">
        <f t="array" ref="GI197">SUMPRODUCT(--($CR$7:$FW$7&gt;=GI$5),--($CR$7:$FW$7&lt;=GI$6),$CR197:$FW197)*GA197</f>
        <v>0</v>
      </c>
      <c r="GJ197" s="145" cm="1">
        <f t="array" ref="GJ197">SUMPRODUCT(--($CR$7:$FW$7&gt;=GJ$5),--($CR$7:$FW$7&lt;=GJ$6),$CR197:$FW197)*GB197</f>
        <v>0</v>
      </c>
      <c r="GK197" s="145" cm="1">
        <f t="array" ref="GK197">SUMPRODUCT(--($CR$7:$FW$7&gt;=GK$5),--($CR$7:$FW$7&lt;=GK$6),$CR197:$FW197)*GC197</f>
        <v>0</v>
      </c>
      <c r="GL197" s="145" cm="1">
        <f t="array" ref="GL197">SUMPRODUCT(--($CR$7:$FW$7&gt;=GL$5),--($CR$7:$FW$7&lt;=GL$6),$CR197:$FW197)*GD197</f>
        <v>0</v>
      </c>
      <c r="GM197" s="145" cm="1">
        <f t="array" ref="GM197">SUMPRODUCT(--($CR$7:$FW$7&gt;=GM$5),--($CR$7:$FW$7&lt;=GM$6),$CR197:$FW197)*GE197</f>
        <v>0</v>
      </c>
      <c r="GN197" s="145" cm="1">
        <f t="array" ref="GN197">SUMPRODUCT(--($CR$7:$FW$7&gt;=GN$5),--($CR$7:$FW$7&lt;=GN$6),$CR197:$FW197)*GF197</f>
        <v>0</v>
      </c>
      <c r="GO197" s="145">
        <f t="shared" si="2"/>
        <v>0</v>
      </c>
      <c r="GP197" s="87"/>
      <c r="GR197" s="145" cm="1">
        <f t="array" ref="GR197">SUMPRODUCT(--($CR$7:$FW$7&gt;=GR$5),--($CR$7:$FW$7&lt;=GR$6),$CR197:$FW197)</f>
        <v>0</v>
      </c>
    </row>
    <row r="198" spans="2:200" x14ac:dyDescent="0.2">
      <c r="B198" s="141"/>
      <c r="C198" s="141"/>
      <c r="D198" s="141"/>
      <c r="E198" s="141"/>
      <c r="F198" s="141"/>
      <c r="G198" s="141"/>
      <c r="H198" s="142"/>
      <c r="I198" s="126"/>
      <c r="J198" s="143"/>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3"/>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c r="EE198" s="145"/>
      <c r="EF198" s="145"/>
      <c r="EG198" s="145"/>
      <c r="EH198" s="145"/>
      <c r="EI198" s="145"/>
      <c r="EJ198" s="145"/>
      <c r="EK198" s="145"/>
      <c r="EL198" s="145"/>
      <c r="EM198" s="145"/>
      <c r="EN198" s="145"/>
      <c r="EO198" s="145"/>
      <c r="EP198" s="145"/>
      <c r="EQ198" s="145"/>
      <c r="ER198" s="145"/>
      <c r="ES198" s="145"/>
      <c r="ET198" s="145"/>
      <c r="EU198" s="145"/>
      <c r="EV198" s="145"/>
      <c r="EW198" s="145"/>
      <c r="EX198" s="145"/>
      <c r="EY198" s="145"/>
      <c r="EZ198" s="145"/>
      <c r="FA198" s="145"/>
      <c r="FB198" s="145"/>
      <c r="FC198" s="145"/>
      <c r="FD198" s="145"/>
      <c r="FE198" s="145"/>
      <c r="FF198" s="145"/>
      <c r="FG198" s="145"/>
      <c r="FH198" s="145"/>
      <c r="FI198" s="145"/>
      <c r="FJ198" s="145"/>
      <c r="FK198" s="145"/>
      <c r="FL198" s="145"/>
      <c r="FM198" s="145"/>
      <c r="FN198" s="145"/>
      <c r="FO198" s="145"/>
      <c r="FP198" s="145"/>
      <c r="FQ198" s="145"/>
      <c r="FR198" s="145"/>
      <c r="FS198" s="145"/>
      <c r="FT198" s="145"/>
      <c r="FU198" s="145"/>
      <c r="FV198" s="145"/>
      <c r="FW198" s="145"/>
      <c r="FX198" s="143"/>
      <c r="FY198" s="146">
        <f>_xlfn.XLOOKUP($E198,'Key assumptions'!$B$112:$B$120,'Key assumptions'!$C$112:$C$120,0)</f>
        <v>0</v>
      </c>
      <c r="FZ198" s="146" cm="1">
        <f t="array" ref="FZ198">IF($FY198=0,0,_xlfn.IFS($FY198='Key assumptions'!$C$120,_xlfn.XLOOKUP(LEFT(FZ$7,6),Inflation_Year,Inflation_NominaltoReal),TRUE,_xlfn.XLOOKUP($FY198,Inflation_Year,NominaltoReal)))</f>
        <v>0</v>
      </c>
      <c r="GA198" s="146" cm="1">
        <f t="array" ref="GA198">IF($FY198=0,0,_xlfn.IFS($FY198='Key assumptions'!$C$120,_xlfn.XLOOKUP(LEFT(GA$7,6),Inflation_Year,Inflation_NominaltoReal),TRUE,_xlfn.XLOOKUP($FY198,Inflation_Year,NominaltoReal)))</f>
        <v>0</v>
      </c>
      <c r="GB198" s="146" cm="1">
        <f t="array" ref="GB198">IF($FY198=0,0,_xlfn.IFS($FY198='Key assumptions'!$C$120,_xlfn.XLOOKUP(LEFT(GB$7,6),Inflation_Year,Inflation_NominaltoReal),TRUE,_xlfn.XLOOKUP($FY198,Inflation_Year,NominaltoReal)))</f>
        <v>0</v>
      </c>
      <c r="GC198" s="146" cm="1">
        <f t="array" ref="GC198">IF($FY198=0,0,_xlfn.IFS($FY198='Key assumptions'!$C$120,_xlfn.XLOOKUP(LEFT(GC$7,6),Inflation_Year,Inflation_NominaltoReal),TRUE,_xlfn.XLOOKUP($FY198,Inflation_Year,NominaltoReal)))</f>
        <v>0</v>
      </c>
      <c r="GD198" s="146" cm="1">
        <f t="array" ref="GD198">IF($FY198=0,0,_xlfn.IFS($FY198='Key assumptions'!$C$120,_xlfn.XLOOKUP(LEFT(GD$7,6),Inflation_Year,Inflation_NominaltoReal),TRUE,_xlfn.XLOOKUP($FY198,Inflation_Year,NominaltoReal)))</f>
        <v>0</v>
      </c>
      <c r="GE198" s="146" cm="1">
        <f t="array" ref="GE198">IF($FY198=0,0,_xlfn.IFS($FY198='Key assumptions'!$C$120,_xlfn.XLOOKUP(LEFT(GE$7,6),Inflation_Year,Inflation_NominaltoReal),TRUE,_xlfn.XLOOKUP($FY198,Inflation_Year,NominaltoReal)))</f>
        <v>0</v>
      </c>
      <c r="GF198" s="146" cm="1">
        <f t="array" ref="GF198">IF($FY198=0,0,_xlfn.IFS($FY198='Key assumptions'!$C$120,_xlfn.XLOOKUP(LEFT(GF$7,6),Inflation_Year,Inflation_NominaltoReal),TRUE,_xlfn.XLOOKUP($FY198,Inflation_Year,NominaltoReal)))</f>
        <v>0</v>
      </c>
      <c r="GG198" s="143"/>
      <c r="GH198" s="145" cm="1">
        <f t="array" ref="GH198">SUMPRODUCT(--($CR$7:$FW$7&gt;=GH$5),--($CR$7:$FW$7&lt;=GH$6),$CR198:$FW198)*FZ198</f>
        <v>0</v>
      </c>
      <c r="GI198" s="145" cm="1">
        <f t="array" ref="GI198">SUMPRODUCT(--($CR$7:$FW$7&gt;=GI$5),--($CR$7:$FW$7&lt;=GI$6),$CR198:$FW198)*GA198</f>
        <v>0</v>
      </c>
      <c r="GJ198" s="145" cm="1">
        <f t="array" ref="GJ198">SUMPRODUCT(--($CR$7:$FW$7&gt;=GJ$5),--($CR$7:$FW$7&lt;=GJ$6),$CR198:$FW198)*GB198</f>
        <v>0</v>
      </c>
      <c r="GK198" s="145" cm="1">
        <f t="array" ref="GK198">SUMPRODUCT(--($CR$7:$FW$7&gt;=GK$5),--($CR$7:$FW$7&lt;=GK$6),$CR198:$FW198)*GC198</f>
        <v>0</v>
      </c>
      <c r="GL198" s="145" cm="1">
        <f t="array" ref="GL198">SUMPRODUCT(--($CR$7:$FW$7&gt;=GL$5),--($CR$7:$FW$7&lt;=GL$6),$CR198:$FW198)*GD198</f>
        <v>0</v>
      </c>
      <c r="GM198" s="145" cm="1">
        <f t="array" ref="GM198">SUMPRODUCT(--($CR$7:$FW$7&gt;=GM$5),--($CR$7:$FW$7&lt;=GM$6),$CR198:$FW198)*GE198</f>
        <v>0</v>
      </c>
      <c r="GN198" s="145" cm="1">
        <f t="array" ref="GN198">SUMPRODUCT(--($CR$7:$FW$7&gt;=GN$5),--($CR$7:$FW$7&lt;=GN$6),$CR198:$FW198)*GF198</f>
        <v>0</v>
      </c>
      <c r="GO198" s="145">
        <f t="shared" si="2"/>
        <v>0</v>
      </c>
      <c r="GP198" s="87"/>
      <c r="GR198" s="145" cm="1">
        <f t="array" ref="GR198">SUMPRODUCT(--($CR$7:$FW$7&gt;=GR$5),--($CR$7:$FW$7&lt;=GR$6),$CR198:$FW198)</f>
        <v>0</v>
      </c>
    </row>
    <row r="199" spans="2:200" x14ac:dyDescent="0.2">
      <c r="B199" s="141"/>
      <c r="C199" s="141"/>
      <c r="D199" s="141"/>
      <c r="E199" s="141"/>
      <c r="F199" s="141"/>
      <c r="G199" s="141"/>
      <c r="H199" s="142"/>
      <c r="I199" s="126"/>
      <c r="J199" s="143"/>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3"/>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c r="EE199" s="145"/>
      <c r="EF199" s="145"/>
      <c r="EG199" s="145"/>
      <c r="EH199" s="145"/>
      <c r="EI199" s="145"/>
      <c r="EJ199" s="145"/>
      <c r="EK199" s="145"/>
      <c r="EL199" s="145"/>
      <c r="EM199" s="145"/>
      <c r="EN199" s="145"/>
      <c r="EO199" s="145"/>
      <c r="EP199" s="145"/>
      <c r="EQ199" s="145"/>
      <c r="ER199" s="145"/>
      <c r="ES199" s="145"/>
      <c r="ET199" s="145"/>
      <c r="EU199" s="145"/>
      <c r="EV199" s="145"/>
      <c r="EW199" s="145"/>
      <c r="EX199" s="145"/>
      <c r="EY199" s="145"/>
      <c r="EZ199" s="145"/>
      <c r="FA199" s="145"/>
      <c r="FB199" s="145"/>
      <c r="FC199" s="145"/>
      <c r="FD199" s="145"/>
      <c r="FE199" s="145"/>
      <c r="FF199" s="145"/>
      <c r="FG199" s="145"/>
      <c r="FH199" s="145"/>
      <c r="FI199" s="145"/>
      <c r="FJ199" s="145"/>
      <c r="FK199" s="145"/>
      <c r="FL199" s="145"/>
      <c r="FM199" s="145"/>
      <c r="FN199" s="145"/>
      <c r="FO199" s="145"/>
      <c r="FP199" s="145"/>
      <c r="FQ199" s="145"/>
      <c r="FR199" s="145"/>
      <c r="FS199" s="145"/>
      <c r="FT199" s="145"/>
      <c r="FU199" s="145"/>
      <c r="FV199" s="145"/>
      <c r="FW199" s="145"/>
      <c r="FX199" s="143"/>
      <c r="FY199" s="146">
        <f>_xlfn.XLOOKUP($E199,'Key assumptions'!$B$112:$B$120,'Key assumptions'!$C$112:$C$120,0)</f>
        <v>0</v>
      </c>
      <c r="FZ199" s="146" cm="1">
        <f t="array" ref="FZ199">IF($FY199=0,0,_xlfn.IFS($FY199='Key assumptions'!$C$120,_xlfn.XLOOKUP(LEFT(FZ$7,6),Inflation_Year,Inflation_NominaltoReal),TRUE,_xlfn.XLOOKUP($FY199,Inflation_Year,NominaltoReal)))</f>
        <v>0</v>
      </c>
      <c r="GA199" s="146" cm="1">
        <f t="array" ref="GA199">IF($FY199=0,0,_xlfn.IFS($FY199='Key assumptions'!$C$120,_xlfn.XLOOKUP(LEFT(GA$7,6),Inflation_Year,Inflation_NominaltoReal),TRUE,_xlfn.XLOOKUP($FY199,Inflation_Year,NominaltoReal)))</f>
        <v>0</v>
      </c>
      <c r="GB199" s="146" cm="1">
        <f t="array" ref="GB199">IF($FY199=0,0,_xlfn.IFS($FY199='Key assumptions'!$C$120,_xlfn.XLOOKUP(LEFT(GB$7,6),Inflation_Year,Inflation_NominaltoReal),TRUE,_xlfn.XLOOKUP($FY199,Inflation_Year,NominaltoReal)))</f>
        <v>0</v>
      </c>
      <c r="GC199" s="146" cm="1">
        <f t="array" ref="GC199">IF($FY199=0,0,_xlfn.IFS($FY199='Key assumptions'!$C$120,_xlfn.XLOOKUP(LEFT(GC$7,6),Inflation_Year,Inflation_NominaltoReal),TRUE,_xlfn.XLOOKUP($FY199,Inflation_Year,NominaltoReal)))</f>
        <v>0</v>
      </c>
      <c r="GD199" s="146" cm="1">
        <f t="array" ref="GD199">IF($FY199=0,0,_xlfn.IFS($FY199='Key assumptions'!$C$120,_xlfn.XLOOKUP(LEFT(GD$7,6),Inflation_Year,Inflation_NominaltoReal),TRUE,_xlfn.XLOOKUP($FY199,Inflation_Year,NominaltoReal)))</f>
        <v>0</v>
      </c>
      <c r="GE199" s="146" cm="1">
        <f t="array" ref="GE199">IF($FY199=0,0,_xlfn.IFS($FY199='Key assumptions'!$C$120,_xlfn.XLOOKUP(LEFT(GE$7,6),Inflation_Year,Inflation_NominaltoReal),TRUE,_xlfn.XLOOKUP($FY199,Inflation_Year,NominaltoReal)))</f>
        <v>0</v>
      </c>
      <c r="GF199" s="146" cm="1">
        <f t="array" ref="GF199">IF($FY199=0,0,_xlfn.IFS($FY199='Key assumptions'!$C$120,_xlfn.XLOOKUP(LEFT(GF$7,6),Inflation_Year,Inflation_NominaltoReal),TRUE,_xlfn.XLOOKUP($FY199,Inflation_Year,NominaltoReal)))</f>
        <v>0</v>
      </c>
      <c r="GG199" s="143"/>
      <c r="GH199" s="145" cm="1">
        <f t="array" ref="GH199">SUMPRODUCT(--($CR$7:$FW$7&gt;=GH$5),--($CR$7:$FW$7&lt;=GH$6),$CR199:$FW199)*FZ199</f>
        <v>0</v>
      </c>
      <c r="GI199" s="145" cm="1">
        <f t="array" ref="GI199">SUMPRODUCT(--($CR$7:$FW$7&gt;=GI$5),--($CR$7:$FW$7&lt;=GI$6),$CR199:$FW199)*GA199</f>
        <v>0</v>
      </c>
      <c r="GJ199" s="145" cm="1">
        <f t="array" ref="GJ199">SUMPRODUCT(--($CR$7:$FW$7&gt;=GJ$5),--($CR$7:$FW$7&lt;=GJ$6),$CR199:$FW199)*GB199</f>
        <v>0</v>
      </c>
      <c r="GK199" s="145" cm="1">
        <f t="array" ref="GK199">SUMPRODUCT(--($CR$7:$FW$7&gt;=GK$5),--($CR$7:$FW$7&lt;=GK$6),$CR199:$FW199)*GC199</f>
        <v>0</v>
      </c>
      <c r="GL199" s="145" cm="1">
        <f t="array" ref="GL199">SUMPRODUCT(--($CR$7:$FW$7&gt;=GL$5),--($CR$7:$FW$7&lt;=GL$6),$CR199:$FW199)*GD199</f>
        <v>0</v>
      </c>
      <c r="GM199" s="145" cm="1">
        <f t="array" ref="GM199">SUMPRODUCT(--($CR$7:$FW$7&gt;=GM$5),--($CR$7:$FW$7&lt;=GM$6),$CR199:$FW199)*GE199</f>
        <v>0</v>
      </c>
      <c r="GN199" s="145" cm="1">
        <f t="array" ref="GN199">SUMPRODUCT(--($CR$7:$FW$7&gt;=GN$5),--($CR$7:$FW$7&lt;=GN$6),$CR199:$FW199)*GF199</f>
        <v>0</v>
      </c>
      <c r="GO199" s="145">
        <f t="shared" si="2"/>
        <v>0</v>
      </c>
      <c r="GP199" s="87"/>
      <c r="GR199" s="145" cm="1">
        <f t="array" ref="GR199">SUMPRODUCT(--($CR$7:$FW$7&gt;=GR$5),--($CR$7:$FW$7&lt;=GR$6),$CR199:$FW199)</f>
        <v>0</v>
      </c>
    </row>
    <row r="200" spans="2:200" x14ac:dyDescent="0.2">
      <c r="B200" s="141"/>
      <c r="C200" s="141"/>
      <c r="D200" s="141"/>
      <c r="E200" s="141"/>
      <c r="F200" s="141"/>
      <c r="G200" s="141"/>
      <c r="H200" s="142"/>
      <c r="I200" s="126"/>
      <c r="J200" s="143"/>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3"/>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c r="EE200" s="145"/>
      <c r="EF200" s="145"/>
      <c r="EG200" s="145"/>
      <c r="EH200" s="145"/>
      <c r="EI200" s="145"/>
      <c r="EJ200" s="145"/>
      <c r="EK200" s="145"/>
      <c r="EL200" s="145"/>
      <c r="EM200" s="145"/>
      <c r="EN200" s="145"/>
      <c r="EO200" s="145"/>
      <c r="EP200" s="145"/>
      <c r="EQ200" s="145"/>
      <c r="ER200" s="145"/>
      <c r="ES200" s="145"/>
      <c r="ET200" s="145"/>
      <c r="EU200" s="145"/>
      <c r="EV200" s="145"/>
      <c r="EW200" s="145"/>
      <c r="EX200" s="145"/>
      <c r="EY200" s="145"/>
      <c r="EZ200" s="145"/>
      <c r="FA200" s="145"/>
      <c r="FB200" s="145"/>
      <c r="FC200" s="145"/>
      <c r="FD200" s="145"/>
      <c r="FE200" s="145"/>
      <c r="FF200" s="145"/>
      <c r="FG200" s="145"/>
      <c r="FH200" s="145"/>
      <c r="FI200" s="145"/>
      <c r="FJ200" s="145"/>
      <c r="FK200" s="145"/>
      <c r="FL200" s="145"/>
      <c r="FM200" s="145"/>
      <c r="FN200" s="145"/>
      <c r="FO200" s="145"/>
      <c r="FP200" s="145"/>
      <c r="FQ200" s="145"/>
      <c r="FR200" s="145"/>
      <c r="FS200" s="145"/>
      <c r="FT200" s="145"/>
      <c r="FU200" s="145"/>
      <c r="FV200" s="145"/>
      <c r="FW200" s="145"/>
      <c r="FX200" s="143"/>
      <c r="FY200" s="146">
        <f>_xlfn.XLOOKUP($E200,'Key assumptions'!$B$112:$B$120,'Key assumptions'!$C$112:$C$120,0)</f>
        <v>0</v>
      </c>
      <c r="FZ200" s="146" cm="1">
        <f t="array" ref="FZ200">IF($FY200=0,0,_xlfn.IFS($FY200='Key assumptions'!$C$120,_xlfn.XLOOKUP(LEFT(FZ$7,6),Inflation_Year,Inflation_NominaltoReal),TRUE,_xlfn.XLOOKUP($FY200,Inflation_Year,NominaltoReal)))</f>
        <v>0</v>
      </c>
      <c r="GA200" s="146" cm="1">
        <f t="array" ref="GA200">IF($FY200=0,0,_xlfn.IFS($FY200='Key assumptions'!$C$120,_xlfn.XLOOKUP(LEFT(GA$7,6),Inflation_Year,Inflation_NominaltoReal),TRUE,_xlfn.XLOOKUP($FY200,Inflation_Year,NominaltoReal)))</f>
        <v>0</v>
      </c>
      <c r="GB200" s="146" cm="1">
        <f t="array" ref="GB200">IF($FY200=0,0,_xlfn.IFS($FY200='Key assumptions'!$C$120,_xlfn.XLOOKUP(LEFT(GB$7,6),Inflation_Year,Inflation_NominaltoReal),TRUE,_xlfn.XLOOKUP($FY200,Inflation_Year,NominaltoReal)))</f>
        <v>0</v>
      </c>
      <c r="GC200" s="146" cm="1">
        <f t="array" ref="GC200">IF($FY200=0,0,_xlfn.IFS($FY200='Key assumptions'!$C$120,_xlfn.XLOOKUP(LEFT(GC$7,6),Inflation_Year,Inflation_NominaltoReal),TRUE,_xlfn.XLOOKUP($FY200,Inflation_Year,NominaltoReal)))</f>
        <v>0</v>
      </c>
      <c r="GD200" s="146" cm="1">
        <f t="array" ref="GD200">IF($FY200=0,0,_xlfn.IFS($FY200='Key assumptions'!$C$120,_xlfn.XLOOKUP(LEFT(GD$7,6),Inflation_Year,Inflation_NominaltoReal),TRUE,_xlfn.XLOOKUP($FY200,Inflation_Year,NominaltoReal)))</f>
        <v>0</v>
      </c>
      <c r="GE200" s="146" cm="1">
        <f t="array" ref="GE200">IF($FY200=0,0,_xlfn.IFS($FY200='Key assumptions'!$C$120,_xlfn.XLOOKUP(LEFT(GE$7,6),Inflation_Year,Inflation_NominaltoReal),TRUE,_xlfn.XLOOKUP($FY200,Inflation_Year,NominaltoReal)))</f>
        <v>0</v>
      </c>
      <c r="GF200" s="146" cm="1">
        <f t="array" ref="GF200">IF($FY200=0,0,_xlfn.IFS($FY200='Key assumptions'!$C$120,_xlfn.XLOOKUP(LEFT(GF$7,6),Inflation_Year,Inflation_NominaltoReal),TRUE,_xlfn.XLOOKUP($FY200,Inflation_Year,NominaltoReal)))</f>
        <v>0</v>
      </c>
      <c r="GG200" s="143"/>
      <c r="GH200" s="145" cm="1">
        <f t="array" ref="GH200">SUMPRODUCT(--($CR$7:$FW$7&gt;=GH$5),--($CR$7:$FW$7&lt;=GH$6),$CR200:$FW200)*FZ200</f>
        <v>0</v>
      </c>
      <c r="GI200" s="145" cm="1">
        <f t="array" ref="GI200">SUMPRODUCT(--($CR$7:$FW$7&gt;=GI$5),--($CR$7:$FW$7&lt;=GI$6),$CR200:$FW200)*GA200</f>
        <v>0</v>
      </c>
      <c r="GJ200" s="145" cm="1">
        <f t="array" ref="GJ200">SUMPRODUCT(--($CR$7:$FW$7&gt;=GJ$5),--($CR$7:$FW$7&lt;=GJ$6),$CR200:$FW200)*GB200</f>
        <v>0</v>
      </c>
      <c r="GK200" s="145" cm="1">
        <f t="array" ref="GK200">SUMPRODUCT(--($CR$7:$FW$7&gt;=GK$5),--($CR$7:$FW$7&lt;=GK$6),$CR200:$FW200)*GC200</f>
        <v>0</v>
      </c>
      <c r="GL200" s="145" cm="1">
        <f t="array" ref="GL200">SUMPRODUCT(--($CR$7:$FW$7&gt;=GL$5),--($CR$7:$FW$7&lt;=GL$6),$CR200:$FW200)*GD200</f>
        <v>0</v>
      </c>
      <c r="GM200" s="145" cm="1">
        <f t="array" ref="GM200">SUMPRODUCT(--($CR$7:$FW$7&gt;=GM$5),--($CR$7:$FW$7&lt;=GM$6),$CR200:$FW200)*GE200</f>
        <v>0</v>
      </c>
      <c r="GN200" s="145" cm="1">
        <f t="array" ref="GN200">SUMPRODUCT(--($CR$7:$FW$7&gt;=GN$5),--($CR$7:$FW$7&lt;=GN$6),$CR200:$FW200)*GF200</f>
        <v>0</v>
      </c>
      <c r="GO200" s="145">
        <f t="shared" ref="GO200:GO263" si="3">SUM(GH200:GN200)</f>
        <v>0</v>
      </c>
      <c r="GP200" s="87"/>
      <c r="GR200" s="145" cm="1">
        <f t="array" ref="GR200">SUMPRODUCT(--($CR$7:$FW$7&gt;=GR$5),--($CR$7:$FW$7&lt;=GR$6),$CR200:$FW200)</f>
        <v>0</v>
      </c>
    </row>
    <row r="201" spans="2:200" x14ac:dyDescent="0.2">
      <c r="B201" s="141"/>
      <c r="C201" s="141"/>
      <c r="D201" s="141"/>
      <c r="E201" s="141"/>
      <c r="F201" s="141"/>
      <c r="G201" s="141"/>
      <c r="H201" s="142"/>
      <c r="I201" s="126"/>
      <c r="J201" s="143"/>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3"/>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c r="EE201" s="145"/>
      <c r="EF201" s="145"/>
      <c r="EG201" s="145"/>
      <c r="EH201" s="145"/>
      <c r="EI201" s="145"/>
      <c r="EJ201" s="145"/>
      <c r="EK201" s="145"/>
      <c r="EL201" s="145"/>
      <c r="EM201" s="145"/>
      <c r="EN201" s="145"/>
      <c r="EO201" s="145"/>
      <c r="EP201" s="145"/>
      <c r="EQ201" s="145"/>
      <c r="ER201" s="145"/>
      <c r="ES201" s="145"/>
      <c r="ET201" s="145"/>
      <c r="EU201" s="145"/>
      <c r="EV201" s="145"/>
      <c r="EW201" s="145"/>
      <c r="EX201" s="145"/>
      <c r="EY201" s="145"/>
      <c r="EZ201" s="145"/>
      <c r="FA201" s="145"/>
      <c r="FB201" s="145"/>
      <c r="FC201" s="145"/>
      <c r="FD201" s="145"/>
      <c r="FE201" s="145"/>
      <c r="FF201" s="145"/>
      <c r="FG201" s="145"/>
      <c r="FH201" s="145"/>
      <c r="FI201" s="145"/>
      <c r="FJ201" s="145"/>
      <c r="FK201" s="145"/>
      <c r="FL201" s="145"/>
      <c r="FM201" s="145"/>
      <c r="FN201" s="145"/>
      <c r="FO201" s="145"/>
      <c r="FP201" s="145"/>
      <c r="FQ201" s="145"/>
      <c r="FR201" s="145"/>
      <c r="FS201" s="145"/>
      <c r="FT201" s="145"/>
      <c r="FU201" s="145"/>
      <c r="FV201" s="145"/>
      <c r="FW201" s="145"/>
      <c r="FX201" s="143"/>
      <c r="FY201" s="146">
        <f>_xlfn.XLOOKUP($E201,'Key assumptions'!$B$112:$B$120,'Key assumptions'!$C$112:$C$120,0)</f>
        <v>0</v>
      </c>
      <c r="FZ201" s="146" cm="1">
        <f t="array" ref="FZ201">IF($FY201=0,0,_xlfn.IFS($FY201='Key assumptions'!$C$120,_xlfn.XLOOKUP(LEFT(FZ$7,6),Inflation_Year,Inflation_NominaltoReal),TRUE,_xlfn.XLOOKUP($FY201,Inflation_Year,NominaltoReal)))</f>
        <v>0</v>
      </c>
      <c r="GA201" s="146" cm="1">
        <f t="array" ref="GA201">IF($FY201=0,0,_xlfn.IFS($FY201='Key assumptions'!$C$120,_xlfn.XLOOKUP(LEFT(GA$7,6),Inflation_Year,Inflation_NominaltoReal),TRUE,_xlfn.XLOOKUP($FY201,Inflation_Year,NominaltoReal)))</f>
        <v>0</v>
      </c>
      <c r="GB201" s="146" cm="1">
        <f t="array" ref="GB201">IF($FY201=0,0,_xlfn.IFS($FY201='Key assumptions'!$C$120,_xlfn.XLOOKUP(LEFT(GB$7,6),Inflation_Year,Inflation_NominaltoReal),TRUE,_xlfn.XLOOKUP($FY201,Inflation_Year,NominaltoReal)))</f>
        <v>0</v>
      </c>
      <c r="GC201" s="146" cm="1">
        <f t="array" ref="GC201">IF($FY201=0,0,_xlfn.IFS($FY201='Key assumptions'!$C$120,_xlfn.XLOOKUP(LEFT(GC$7,6),Inflation_Year,Inflation_NominaltoReal),TRUE,_xlfn.XLOOKUP($FY201,Inflation_Year,NominaltoReal)))</f>
        <v>0</v>
      </c>
      <c r="GD201" s="146" cm="1">
        <f t="array" ref="GD201">IF($FY201=0,0,_xlfn.IFS($FY201='Key assumptions'!$C$120,_xlfn.XLOOKUP(LEFT(GD$7,6),Inflation_Year,Inflation_NominaltoReal),TRUE,_xlfn.XLOOKUP($FY201,Inflation_Year,NominaltoReal)))</f>
        <v>0</v>
      </c>
      <c r="GE201" s="146" cm="1">
        <f t="array" ref="GE201">IF($FY201=0,0,_xlfn.IFS($FY201='Key assumptions'!$C$120,_xlfn.XLOOKUP(LEFT(GE$7,6),Inflation_Year,Inflation_NominaltoReal),TRUE,_xlfn.XLOOKUP($FY201,Inflation_Year,NominaltoReal)))</f>
        <v>0</v>
      </c>
      <c r="GF201" s="146" cm="1">
        <f t="array" ref="GF201">IF($FY201=0,0,_xlfn.IFS($FY201='Key assumptions'!$C$120,_xlfn.XLOOKUP(LEFT(GF$7,6),Inflation_Year,Inflation_NominaltoReal),TRUE,_xlfn.XLOOKUP($FY201,Inflation_Year,NominaltoReal)))</f>
        <v>0</v>
      </c>
      <c r="GG201" s="143"/>
      <c r="GH201" s="145" cm="1">
        <f t="array" ref="GH201">SUMPRODUCT(--($CR$7:$FW$7&gt;=GH$5),--($CR$7:$FW$7&lt;=GH$6),$CR201:$FW201)*FZ201</f>
        <v>0</v>
      </c>
      <c r="GI201" s="145" cm="1">
        <f t="array" ref="GI201">SUMPRODUCT(--($CR$7:$FW$7&gt;=GI$5),--($CR$7:$FW$7&lt;=GI$6),$CR201:$FW201)*GA201</f>
        <v>0</v>
      </c>
      <c r="GJ201" s="145" cm="1">
        <f t="array" ref="GJ201">SUMPRODUCT(--($CR$7:$FW$7&gt;=GJ$5),--($CR$7:$FW$7&lt;=GJ$6),$CR201:$FW201)*GB201</f>
        <v>0</v>
      </c>
      <c r="GK201" s="145" cm="1">
        <f t="array" ref="GK201">SUMPRODUCT(--($CR$7:$FW$7&gt;=GK$5),--($CR$7:$FW$7&lt;=GK$6),$CR201:$FW201)*GC201</f>
        <v>0</v>
      </c>
      <c r="GL201" s="145" cm="1">
        <f t="array" ref="GL201">SUMPRODUCT(--($CR$7:$FW$7&gt;=GL$5),--($CR$7:$FW$7&lt;=GL$6),$CR201:$FW201)*GD201</f>
        <v>0</v>
      </c>
      <c r="GM201" s="145" cm="1">
        <f t="array" ref="GM201">SUMPRODUCT(--($CR$7:$FW$7&gt;=GM$5),--($CR$7:$FW$7&lt;=GM$6),$CR201:$FW201)*GE201</f>
        <v>0</v>
      </c>
      <c r="GN201" s="145" cm="1">
        <f t="array" ref="GN201">SUMPRODUCT(--($CR$7:$FW$7&gt;=GN$5),--($CR$7:$FW$7&lt;=GN$6),$CR201:$FW201)*GF201</f>
        <v>0</v>
      </c>
      <c r="GO201" s="145">
        <f t="shared" si="3"/>
        <v>0</v>
      </c>
      <c r="GP201" s="87"/>
      <c r="GR201" s="145" cm="1">
        <f t="array" ref="GR201">SUMPRODUCT(--($CR$7:$FW$7&gt;=GR$5),--($CR$7:$FW$7&lt;=GR$6),$CR201:$FW201)</f>
        <v>0</v>
      </c>
    </row>
    <row r="202" spans="2:200" x14ac:dyDescent="0.2">
      <c r="B202" s="141"/>
      <c r="C202" s="141"/>
      <c r="D202" s="141"/>
      <c r="E202" s="141"/>
      <c r="F202" s="141"/>
      <c r="G202" s="141"/>
      <c r="H202" s="142"/>
      <c r="I202" s="126"/>
      <c r="J202" s="143"/>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3"/>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c r="EE202" s="145"/>
      <c r="EF202" s="145"/>
      <c r="EG202" s="145"/>
      <c r="EH202" s="145"/>
      <c r="EI202" s="145"/>
      <c r="EJ202" s="145"/>
      <c r="EK202" s="145"/>
      <c r="EL202" s="145"/>
      <c r="EM202" s="145"/>
      <c r="EN202" s="145"/>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45"/>
      <c r="FK202" s="145"/>
      <c r="FL202" s="145"/>
      <c r="FM202" s="145"/>
      <c r="FN202" s="145"/>
      <c r="FO202" s="145"/>
      <c r="FP202" s="145"/>
      <c r="FQ202" s="145"/>
      <c r="FR202" s="145"/>
      <c r="FS202" s="145"/>
      <c r="FT202" s="145"/>
      <c r="FU202" s="145"/>
      <c r="FV202" s="145"/>
      <c r="FW202" s="145"/>
      <c r="FX202" s="143"/>
      <c r="FY202" s="146">
        <f>_xlfn.XLOOKUP($E202,'Key assumptions'!$B$112:$B$120,'Key assumptions'!$C$112:$C$120,0)</f>
        <v>0</v>
      </c>
      <c r="FZ202" s="146" cm="1">
        <f t="array" ref="FZ202">IF($FY202=0,0,_xlfn.IFS($FY202='Key assumptions'!$C$120,_xlfn.XLOOKUP(LEFT(FZ$7,6),Inflation_Year,Inflation_NominaltoReal),TRUE,_xlfn.XLOOKUP($FY202,Inflation_Year,NominaltoReal)))</f>
        <v>0</v>
      </c>
      <c r="GA202" s="146" cm="1">
        <f t="array" ref="GA202">IF($FY202=0,0,_xlfn.IFS($FY202='Key assumptions'!$C$120,_xlfn.XLOOKUP(LEFT(GA$7,6),Inflation_Year,Inflation_NominaltoReal),TRUE,_xlfn.XLOOKUP($FY202,Inflation_Year,NominaltoReal)))</f>
        <v>0</v>
      </c>
      <c r="GB202" s="146" cm="1">
        <f t="array" ref="GB202">IF($FY202=0,0,_xlfn.IFS($FY202='Key assumptions'!$C$120,_xlfn.XLOOKUP(LEFT(GB$7,6),Inflation_Year,Inflation_NominaltoReal),TRUE,_xlfn.XLOOKUP($FY202,Inflation_Year,NominaltoReal)))</f>
        <v>0</v>
      </c>
      <c r="GC202" s="146" cm="1">
        <f t="array" ref="GC202">IF($FY202=0,0,_xlfn.IFS($FY202='Key assumptions'!$C$120,_xlfn.XLOOKUP(LEFT(GC$7,6),Inflation_Year,Inflation_NominaltoReal),TRUE,_xlfn.XLOOKUP($FY202,Inflation_Year,NominaltoReal)))</f>
        <v>0</v>
      </c>
      <c r="GD202" s="146" cm="1">
        <f t="array" ref="GD202">IF($FY202=0,0,_xlfn.IFS($FY202='Key assumptions'!$C$120,_xlfn.XLOOKUP(LEFT(GD$7,6),Inflation_Year,Inflation_NominaltoReal),TRUE,_xlfn.XLOOKUP($FY202,Inflation_Year,NominaltoReal)))</f>
        <v>0</v>
      </c>
      <c r="GE202" s="146" cm="1">
        <f t="array" ref="GE202">IF($FY202=0,0,_xlfn.IFS($FY202='Key assumptions'!$C$120,_xlfn.XLOOKUP(LEFT(GE$7,6),Inflation_Year,Inflation_NominaltoReal),TRUE,_xlfn.XLOOKUP($FY202,Inflation_Year,NominaltoReal)))</f>
        <v>0</v>
      </c>
      <c r="GF202" s="146" cm="1">
        <f t="array" ref="GF202">IF($FY202=0,0,_xlfn.IFS($FY202='Key assumptions'!$C$120,_xlfn.XLOOKUP(LEFT(GF$7,6),Inflation_Year,Inflation_NominaltoReal),TRUE,_xlfn.XLOOKUP($FY202,Inflation_Year,NominaltoReal)))</f>
        <v>0</v>
      </c>
      <c r="GG202" s="143"/>
      <c r="GH202" s="145" cm="1">
        <f t="array" ref="GH202">SUMPRODUCT(--($CR$7:$FW$7&gt;=GH$5),--($CR$7:$FW$7&lt;=GH$6),$CR202:$FW202)*FZ202</f>
        <v>0</v>
      </c>
      <c r="GI202" s="145" cm="1">
        <f t="array" ref="GI202">SUMPRODUCT(--($CR$7:$FW$7&gt;=GI$5),--($CR$7:$FW$7&lt;=GI$6),$CR202:$FW202)*GA202</f>
        <v>0</v>
      </c>
      <c r="GJ202" s="145" cm="1">
        <f t="array" ref="GJ202">SUMPRODUCT(--($CR$7:$FW$7&gt;=GJ$5),--($CR$7:$FW$7&lt;=GJ$6),$CR202:$FW202)*GB202</f>
        <v>0</v>
      </c>
      <c r="GK202" s="145" cm="1">
        <f t="array" ref="GK202">SUMPRODUCT(--($CR$7:$FW$7&gt;=GK$5),--($CR$7:$FW$7&lt;=GK$6),$CR202:$FW202)*GC202</f>
        <v>0</v>
      </c>
      <c r="GL202" s="145" cm="1">
        <f t="array" ref="GL202">SUMPRODUCT(--($CR$7:$FW$7&gt;=GL$5),--($CR$7:$FW$7&lt;=GL$6),$CR202:$FW202)*GD202</f>
        <v>0</v>
      </c>
      <c r="GM202" s="145" cm="1">
        <f t="array" ref="GM202">SUMPRODUCT(--($CR$7:$FW$7&gt;=GM$5),--($CR$7:$FW$7&lt;=GM$6),$CR202:$FW202)*GE202</f>
        <v>0</v>
      </c>
      <c r="GN202" s="145" cm="1">
        <f t="array" ref="GN202">SUMPRODUCT(--($CR$7:$FW$7&gt;=GN$5),--($CR$7:$FW$7&lt;=GN$6),$CR202:$FW202)*GF202</f>
        <v>0</v>
      </c>
      <c r="GO202" s="145">
        <f t="shared" si="3"/>
        <v>0</v>
      </c>
      <c r="GP202" s="87"/>
      <c r="GR202" s="145" cm="1">
        <f t="array" ref="GR202">SUMPRODUCT(--($CR$7:$FW$7&gt;=GR$5),--($CR$7:$FW$7&lt;=GR$6),$CR202:$FW202)</f>
        <v>0</v>
      </c>
    </row>
    <row r="203" spans="2:200" x14ac:dyDescent="0.2">
      <c r="B203" s="141"/>
      <c r="C203" s="141"/>
      <c r="D203" s="141"/>
      <c r="E203" s="141"/>
      <c r="F203" s="141"/>
      <c r="G203" s="141"/>
      <c r="H203" s="142"/>
      <c r="I203" s="126"/>
      <c r="J203" s="143"/>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3"/>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c r="EE203" s="145"/>
      <c r="EF203" s="145"/>
      <c r="EG203" s="145"/>
      <c r="EH203" s="145"/>
      <c r="EI203" s="145"/>
      <c r="EJ203" s="145"/>
      <c r="EK203" s="145"/>
      <c r="EL203" s="145"/>
      <c r="EM203" s="145"/>
      <c r="EN203" s="145"/>
      <c r="EO203" s="145"/>
      <c r="EP203" s="145"/>
      <c r="EQ203" s="145"/>
      <c r="ER203" s="145"/>
      <c r="ES203" s="145"/>
      <c r="ET203" s="145"/>
      <c r="EU203" s="145"/>
      <c r="EV203" s="145"/>
      <c r="EW203" s="145"/>
      <c r="EX203" s="145"/>
      <c r="EY203" s="145"/>
      <c r="EZ203" s="145"/>
      <c r="FA203" s="145"/>
      <c r="FB203" s="145"/>
      <c r="FC203" s="145"/>
      <c r="FD203" s="145"/>
      <c r="FE203" s="145"/>
      <c r="FF203" s="145"/>
      <c r="FG203" s="145"/>
      <c r="FH203" s="145"/>
      <c r="FI203" s="145"/>
      <c r="FJ203" s="145"/>
      <c r="FK203" s="145"/>
      <c r="FL203" s="145"/>
      <c r="FM203" s="145"/>
      <c r="FN203" s="145"/>
      <c r="FO203" s="145"/>
      <c r="FP203" s="145"/>
      <c r="FQ203" s="145"/>
      <c r="FR203" s="145"/>
      <c r="FS203" s="145"/>
      <c r="FT203" s="145"/>
      <c r="FU203" s="145"/>
      <c r="FV203" s="145"/>
      <c r="FW203" s="145"/>
      <c r="FX203" s="143"/>
      <c r="FY203" s="146">
        <f>_xlfn.XLOOKUP($E203,'Key assumptions'!$B$112:$B$120,'Key assumptions'!$C$112:$C$120,0)</f>
        <v>0</v>
      </c>
      <c r="FZ203" s="146" cm="1">
        <f t="array" ref="FZ203">IF($FY203=0,0,_xlfn.IFS($FY203='Key assumptions'!$C$120,_xlfn.XLOOKUP(LEFT(FZ$7,6),Inflation_Year,Inflation_NominaltoReal),TRUE,_xlfn.XLOOKUP($FY203,Inflation_Year,NominaltoReal)))</f>
        <v>0</v>
      </c>
      <c r="GA203" s="146" cm="1">
        <f t="array" ref="GA203">IF($FY203=0,0,_xlfn.IFS($FY203='Key assumptions'!$C$120,_xlfn.XLOOKUP(LEFT(GA$7,6),Inflation_Year,Inflation_NominaltoReal),TRUE,_xlfn.XLOOKUP($FY203,Inflation_Year,NominaltoReal)))</f>
        <v>0</v>
      </c>
      <c r="GB203" s="146" cm="1">
        <f t="array" ref="GB203">IF($FY203=0,0,_xlfn.IFS($FY203='Key assumptions'!$C$120,_xlfn.XLOOKUP(LEFT(GB$7,6),Inflation_Year,Inflation_NominaltoReal),TRUE,_xlfn.XLOOKUP($FY203,Inflation_Year,NominaltoReal)))</f>
        <v>0</v>
      </c>
      <c r="GC203" s="146" cm="1">
        <f t="array" ref="GC203">IF($FY203=0,0,_xlfn.IFS($FY203='Key assumptions'!$C$120,_xlfn.XLOOKUP(LEFT(GC$7,6),Inflation_Year,Inflation_NominaltoReal),TRUE,_xlfn.XLOOKUP($FY203,Inflation_Year,NominaltoReal)))</f>
        <v>0</v>
      </c>
      <c r="GD203" s="146" cm="1">
        <f t="array" ref="GD203">IF($FY203=0,0,_xlfn.IFS($FY203='Key assumptions'!$C$120,_xlfn.XLOOKUP(LEFT(GD$7,6),Inflation_Year,Inflation_NominaltoReal),TRUE,_xlfn.XLOOKUP($FY203,Inflation_Year,NominaltoReal)))</f>
        <v>0</v>
      </c>
      <c r="GE203" s="146" cm="1">
        <f t="array" ref="GE203">IF($FY203=0,0,_xlfn.IFS($FY203='Key assumptions'!$C$120,_xlfn.XLOOKUP(LEFT(GE$7,6),Inflation_Year,Inflation_NominaltoReal),TRUE,_xlfn.XLOOKUP($FY203,Inflation_Year,NominaltoReal)))</f>
        <v>0</v>
      </c>
      <c r="GF203" s="146" cm="1">
        <f t="array" ref="GF203">IF($FY203=0,0,_xlfn.IFS($FY203='Key assumptions'!$C$120,_xlfn.XLOOKUP(LEFT(GF$7,6),Inflation_Year,Inflation_NominaltoReal),TRUE,_xlfn.XLOOKUP($FY203,Inflation_Year,NominaltoReal)))</f>
        <v>0</v>
      </c>
      <c r="GG203" s="143"/>
      <c r="GH203" s="145" cm="1">
        <f t="array" ref="GH203">SUMPRODUCT(--($CR$7:$FW$7&gt;=GH$5),--($CR$7:$FW$7&lt;=GH$6),$CR203:$FW203)*FZ203</f>
        <v>0</v>
      </c>
      <c r="GI203" s="145" cm="1">
        <f t="array" ref="GI203">SUMPRODUCT(--($CR$7:$FW$7&gt;=GI$5),--($CR$7:$FW$7&lt;=GI$6),$CR203:$FW203)*GA203</f>
        <v>0</v>
      </c>
      <c r="GJ203" s="145" cm="1">
        <f t="array" ref="GJ203">SUMPRODUCT(--($CR$7:$FW$7&gt;=GJ$5),--($CR$7:$FW$7&lt;=GJ$6),$CR203:$FW203)*GB203</f>
        <v>0</v>
      </c>
      <c r="GK203" s="145" cm="1">
        <f t="array" ref="GK203">SUMPRODUCT(--($CR$7:$FW$7&gt;=GK$5),--($CR$7:$FW$7&lt;=GK$6),$CR203:$FW203)*GC203</f>
        <v>0</v>
      </c>
      <c r="GL203" s="145" cm="1">
        <f t="array" ref="GL203">SUMPRODUCT(--($CR$7:$FW$7&gt;=GL$5),--($CR$7:$FW$7&lt;=GL$6),$CR203:$FW203)*GD203</f>
        <v>0</v>
      </c>
      <c r="GM203" s="145" cm="1">
        <f t="array" ref="GM203">SUMPRODUCT(--($CR$7:$FW$7&gt;=GM$5),--($CR$7:$FW$7&lt;=GM$6),$CR203:$FW203)*GE203</f>
        <v>0</v>
      </c>
      <c r="GN203" s="145" cm="1">
        <f t="array" ref="GN203">SUMPRODUCT(--($CR$7:$FW$7&gt;=GN$5),--($CR$7:$FW$7&lt;=GN$6),$CR203:$FW203)*GF203</f>
        <v>0</v>
      </c>
      <c r="GO203" s="145">
        <f t="shared" si="3"/>
        <v>0</v>
      </c>
      <c r="GP203" s="87"/>
      <c r="GR203" s="145" cm="1">
        <f t="array" ref="GR203">SUMPRODUCT(--($CR$7:$FW$7&gt;=GR$5),--($CR$7:$FW$7&lt;=GR$6),$CR203:$FW203)</f>
        <v>0</v>
      </c>
    </row>
    <row r="204" spans="2:200" x14ac:dyDescent="0.2">
      <c r="B204" s="141"/>
      <c r="C204" s="141"/>
      <c r="D204" s="141"/>
      <c r="E204" s="141"/>
      <c r="F204" s="141"/>
      <c r="G204" s="141"/>
      <c r="H204" s="142"/>
      <c r="I204" s="126"/>
      <c r="J204" s="143"/>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3"/>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c r="EE204" s="145"/>
      <c r="EF204" s="145"/>
      <c r="EG204" s="145"/>
      <c r="EH204" s="145"/>
      <c r="EI204" s="145"/>
      <c r="EJ204" s="145"/>
      <c r="EK204" s="145"/>
      <c r="EL204" s="145"/>
      <c r="EM204" s="145"/>
      <c r="EN204" s="145"/>
      <c r="EO204" s="145"/>
      <c r="EP204" s="145"/>
      <c r="EQ204" s="145"/>
      <c r="ER204" s="145"/>
      <c r="ES204" s="145"/>
      <c r="ET204" s="145"/>
      <c r="EU204" s="145"/>
      <c r="EV204" s="145"/>
      <c r="EW204" s="145"/>
      <c r="EX204" s="145"/>
      <c r="EY204" s="145"/>
      <c r="EZ204" s="145"/>
      <c r="FA204" s="145"/>
      <c r="FB204" s="145"/>
      <c r="FC204" s="145"/>
      <c r="FD204" s="145"/>
      <c r="FE204" s="145"/>
      <c r="FF204" s="145"/>
      <c r="FG204" s="145"/>
      <c r="FH204" s="145"/>
      <c r="FI204" s="145"/>
      <c r="FJ204" s="145"/>
      <c r="FK204" s="145"/>
      <c r="FL204" s="145"/>
      <c r="FM204" s="145"/>
      <c r="FN204" s="145"/>
      <c r="FO204" s="145"/>
      <c r="FP204" s="145"/>
      <c r="FQ204" s="145"/>
      <c r="FR204" s="145"/>
      <c r="FS204" s="145"/>
      <c r="FT204" s="145"/>
      <c r="FU204" s="145"/>
      <c r="FV204" s="145"/>
      <c r="FW204" s="145"/>
      <c r="FX204" s="143"/>
      <c r="FY204" s="146">
        <f>_xlfn.XLOOKUP($E204,'Key assumptions'!$B$112:$B$120,'Key assumptions'!$C$112:$C$120,0)</f>
        <v>0</v>
      </c>
      <c r="FZ204" s="146" cm="1">
        <f t="array" ref="FZ204">IF($FY204=0,0,_xlfn.IFS($FY204='Key assumptions'!$C$120,_xlfn.XLOOKUP(LEFT(FZ$7,6),Inflation_Year,Inflation_NominaltoReal),TRUE,_xlfn.XLOOKUP($FY204,Inflation_Year,NominaltoReal)))</f>
        <v>0</v>
      </c>
      <c r="GA204" s="146" cm="1">
        <f t="array" ref="GA204">IF($FY204=0,0,_xlfn.IFS($FY204='Key assumptions'!$C$120,_xlfn.XLOOKUP(LEFT(GA$7,6),Inflation_Year,Inflation_NominaltoReal),TRUE,_xlfn.XLOOKUP($FY204,Inflation_Year,NominaltoReal)))</f>
        <v>0</v>
      </c>
      <c r="GB204" s="146" cm="1">
        <f t="array" ref="GB204">IF($FY204=0,0,_xlfn.IFS($FY204='Key assumptions'!$C$120,_xlfn.XLOOKUP(LEFT(GB$7,6),Inflation_Year,Inflation_NominaltoReal),TRUE,_xlfn.XLOOKUP($FY204,Inflation_Year,NominaltoReal)))</f>
        <v>0</v>
      </c>
      <c r="GC204" s="146" cm="1">
        <f t="array" ref="GC204">IF($FY204=0,0,_xlfn.IFS($FY204='Key assumptions'!$C$120,_xlfn.XLOOKUP(LEFT(GC$7,6),Inflation_Year,Inflation_NominaltoReal),TRUE,_xlfn.XLOOKUP($FY204,Inflation_Year,NominaltoReal)))</f>
        <v>0</v>
      </c>
      <c r="GD204" s="146" cm="1">
        <f t="array" ref="GD204">IF($FY204=0,0,_xlfn.IFS($FY204='Key assumptions'!$C$120,_xlfn.XLOOKUP(LEFT(GD$7,6),Inflation_Year,Inflation_NominaltoReal),TRUE,_xlfn.XLOOKUP($FY204,Inflation_Year,NominaltoReal)))</f>
        <v>0</v>
      </c>
      <c r="GE204" s="146" cm="1">
        <f t="array" ref="GE204">IF($FY204=0,0,_xlfn.IFS($FY204='Key assumptions'!$C$120,_xlfn.XLOOKUP(LEFT(GE$7,6),Inflation_Year,Inflation_NominaltoReal),TRUE,_xlfn.XLOOKUP($FY204,Inflation_Year,NominaltoReal)))</f>
        <v>0</v>
      </c>
      <c r="GF204" s="146" cm="1">
        <f t="array" ref="GF204">IF($FY204=0,0,_xlfn.IFS($FY204='Key assumptions'!$C$120,_xlfn.XLOOKUP(LEFT(GF$7,6),Inflation_Year,Inflation_NominaltoReal),TRUE,_xlfn.XLOOKUP($FY204,Inflation_Year,NominaltoReal)))</f>
        <v>0</v>
      </c>
      <c r="GG204" s="143"/>
      <c r="GH204" s="145" cm="1">
        <f t="array" ref="GH204">SUMPRODUCT(--($CR$7:$FW$7&gt;=GH$5),--($CR$7:$FW$7&lt;=GH$6),$CR204:$FW204)*FZ204</f>
        <v>0</v>
      </c>
      <c r="GI204" s="145" cm="1">
        <f t="array" ref="GI204">SUMPRODUCT(--($CR$7:$FW$7&gt;=GI$5),--($CR$7:$FW$7&lt;=GI$6),$CR204:$FW204)*GA204</f>
        <v>0</v>
      </c>
      <c r="GJ204" s="145" cm="1">
        <f t="array" ref="GJ204">SUMPRODUCT(--($CR$7:$FW$7&gt;=GJ$5),--($CR$7:$FW$7&lt;=GJ$6),$CR204:$FW204)*GB204</f>
        <v>0</v>
      </c>
      <c r="GK204" s="145" cm="1">
        <f t="array" ref="GK204">SUMPRODUCT(--($CR$7:$FW$7&gt;=GK$5),--($CR$7:$FW$7&lt;=GK$6),$CR204:$FW204)*GC204</f>
        <v>0</v>
      </c>
      <c r="GL204" s="145" cm="1">
        <f t="array" ref="GL204">SUMPRODUCT(--($CR$7:$FW$7&gt;=GL$5),--($CR$7:$FW$7&lt;=GL$6),$CR204:$FW204)*GD204</f>
        <v>0</v>
      </c>
      <c r="GM204" s="145" cm="1">
        <f t="array" ref="GM204">SUMPRODUCT(--($CR$7:$FW$7&gt;=GM$5),--($CR$7:$FW$7&lt;=GM$6),$CR204:$FW204)*GE204</f>
        <v>0</v>
      </c>
      <c r="GN204" s="145" cm="1">
        <f t="array" ref="GN204">SUMPRODUCT(--($CR$7:$FW$7&gt;=GN$5),--($CR$7:$FW$7&lt;=GN$6),$CR204:$FW204)*GF204</f>
        <v>0</v>
      </c>
      <c r="GO204" s="145">
        <f t="shared" si="3"/>
        <v>0</v>
      </c>
      <c r="GP204" s="87"/>
      <c r="GR204" s="145" cm="1">
        <f t="array" ref="GR204">SUMPRODUCT(--($CR$7:$FW$7&gt;=GR$5),--($CR$7:$FW$7&lt;=GR$6),$CR204:$FW204)</f>
        <v>0</v>
      </c>
    </row>
    <row r="205" spans="2:200" x14ac:dyDescent="0.2">
      <c r="B205" s="141"/>
      <c r="C205" s="141"/>
      <c r="D205" s="141"/>
      <c r="E205" s="141"/>
      <c r="F205" s="141"/>
      <c r="G205" s="141"/>
      <c r="H205" s="142"/>
      <c r="I205" s="126"/>
      <c r="J205" s="143"/>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3"/>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45"/>
      <c r="EH205" s="145"/>
      <c r="EI205" s="145"/>
      <c r="EJ205" s="145"/>
      <c r="EK205" s="145"/>
      <c r="EL205" s="145"/>
      <c r="EM205" s="145"/>
      <c r="EN205" s="145"/>
      <c r="EO205" s="145"/>
      <c r="EP205" s="145"/>
      <c r="EQ205" s="145"/>
      <c r="ER205" s="145"/>
      <c r="ES205" s="145"/>
      <c r="ET205" s="145"/>
      <c r="EU205" s="145"/>
      <c r="EV205" s="145"/>
      <c r="EW205" s="145"/>
      <c r="EX205" s="145"/>
      <c r="EY205" s="145"/>
      <c r="EZ205" s="145"/>
      <c r="FA205" s="145"/>
      <c r="FB205" s="145"/>
      <c r="FC205" s="145"/>
      <c r="FD205" s="145"/>
      <c r="FE205" s="145"/>
      <c r="FF205" s="145"/>
      <c r="FG205" s="145"/>
      <c r="FH205" s="145"/>
      <c r="FI205" s="145"/>
      <c r="FJ205" s="145"/>
      <c r="FK205" s="145"/>
      <c r="FL205" s="145"/>
      <c r="FM205" s="145"/>
      <c r="FN205" s="145"/>
      <c r="FO205" s="145"/>
      <c r="FP205" s="145"/>
      <c r="FQ205" s="145"/>
      <c r="FR205" s="145"/>
      <c r="FS205" s="145"/>
      <c r="FT205" s="145"/>
      <c r="FU205" s="145"/>
      <c r="FV205" s="145"/>
      <c r="FW205" s="145"/>
      <c r="FX205" s="143"/>
      <c r="FY205" s="146">
        <f>_xlfn.XLOOKUP($E205,'Key assumptions'!$B$112:$B$120,'Key assumptions'!$C$112:$C$120,0)</f>
        <v>0</v>
      </c>
      <c r="FZ205" s="146" cm="1">
        <f t="array" ref="FZ205">IF($FY205=0,0,_xlfn.IFS($FY205='Key assumptions'!$C$120,_xlfn.XLOOKUP(LEFT(FZ$7,6),Inflation_Year,Inflation_NominaltoReal),TRUE,_xlfn.XLOOKUP($FY205,Inflation_Year,NominaltoReal)))</f>
        <v>0</v>
      </c>
      <c r="GA205" s="146" cm="1">
        <f t="array" ref="GA205">IF($FY205=0,0,_xlfn.IFS($FY205='Key assumptions'!$C$120,_xlfn.XLOOKUP(LEFT(GA$7,6),Inflation_Year,Inflation_NominaltoReal),TRUE,_xlfn.XLOOKUP($FY205,Inflation_Year,NominaltoReal)))</f>
        <v>0</v>
      </c>
      <c r="GB205" s="146" cm="1">
        <f t="array" ref="GB205">IF($FY205=0,0,_xlfn.IFS($FY205='Key assumptions'!$C$120,_xlfn.XLOOKUP(LEFT(GB$7,6),Inflation_Year,Inflation_NominaltoReal),TRUE,_xlfn.XLOOKUP($FY205,Inflation_Year,NominaltoReal)))</f>
        <v>0</v>
      </c>
      <c r="GC205" s="146" cm="1">
        <f t="array" ref="GC205">IF($FY205=0,0,_xlfn.IFS($FY205='Key assumptions'!$C$120,_xlfn.XLOOKUP(LEFT(GC$7,6),Inflation_Year,Inflation_NominaltoReal),TRUE,_xlfn.XLOOKUP($FY205,Inflation_Year,NominaltoReal)))</f>
        <v>0</v>
      </c>
      <c r="GD205" s="146" cm="1">
        <f t="array" ref="GD205">IF($FY205=0,0,_xlfn.IFS($FY205='Key assumptions'!$C$120,_xlfn.XLOOKUP(LEFT(GD$7,6),Inflation_Year,Inflation_NominaltoReal),TRUE,_xlfn.XLOOKUP($FY205,Inflation_Year,NominaltoReal)))</f>
        <v>0</v>
      </c>
      <c r="GE205" s="146" cm="1">
        <f t="array" ref="GE205">IF($FY205=0,0,_xlfn.IFS($FY205='Key assumptions'!$C$120,_xlfn.XLOOKUP(LEFT(GE$7,6),Inflation_Year,Inflation_NominaltoReal),TRUE,_xlfn.XLOOKUP($FY205,Inflation_Year,NominaltoReal)))</f>
        <v>0</v>
      </c>
      <c r="GF205" s="146" cm="1">
        <f t="array" ref="GF205">IF($FY205=0,0,_xlfn.IFS($FY205='Key assumptions'!$C$120,_xlfn.XLOOKUP(LEFT(GF$7,6),Inflation_Year,Inflation_NominaltoReal),TRUE,_xlfn.XLOOKUP($FY205,Inflation_Year,NominaltoReal)))</f>
        <v>0</v>
      </c>
      <c r="GG205" s="143"/>
      <c r="GH205" s="145" cm="1">
        <f t="array" ref="GH205">SUMPRODUCT(--($CR$7:$FW$7&gt;=GH$5),--($CR$7:$FW$7&lt;=GH$6),$CR205:$FW205)*FZ205</f>
        <v>0</v>
      </c>
      <c r="GI205" s="145" cm="1">
        <f t="array" ref="GI205">SUMPRODUCT(--($CR$7:$FW$7&gt;=GI$5),--($CR$7:$FW$7&lt;=GI$6),$CR205:$FW205)*GA205</f>
        <v>0</v>
      </c>
      <c r="GJ205" s="145" cm="1">
        <f t="array" ref="GJ205">SUMPRODUCT(--($CR$7:$FW$7&gt;=GJ$5),--($CR$7:$FW$7&lt;=GJ$6),$CR205:$FW205)*GB205</f>
        <v>0</v>
      </c>
      <c r="GK205" s="145" cm="1">
        <f t="array" ref="GK205">SUMPRODUCT(--($CR$7:$FW$7&gt;=GK$5),--($CR$7:$FW$7&lt;=GK$6),$CR205:$FW205)*GC205</f>
        <v>0</v>
      </c>
      <c r="GL205" s="145" cm="1">
        <f t="array" ref="GL205">SUMPRODUCT(--($CR$7:$FW$7&gt;=GL$5),--($CR$7:$FW$7&lt;=GL$6),$CR205:$FW205)*GD205</f>
        <v>0</v>
      </c>
      <c r="GM205" s="145" cm="1">
        <f t="array" ref="GM205">SUMPRODUCT(--($CR$7:$FW$7&gt;=GM$5),--($CR$7:$FW$7&lt;=GM$6),$CR205:$FW205)*GE205</f>
        <v>0</v>
      </c>
      <c r="GN205" s="145" cm="1">
        <f t="array" ref="GN205">SUMPRODUCT(--($CR$7:$FW$7&gt;=GN$5),--($CR$7:$FW$7&lt;=GN$6),$CR205:$FW205)*GF205</f>
        <v>0</v>
      </c>
      <c r="GO205" s="145">
        <f t="shared" si="3"/>
        <v>0</v>
      </c>
      <c r="GP205" s="87"/>
      <c r="GR205" s="145" cm="1">
        <f t="array" ref="GR205">SUMPRODUCT(--($CR$7:$FW$7&gt;=GR$5),--($CR$7:$FW$7&lt;=GR$6),$CR205:$FW205)</f>
        <v>0</v>
      </c>
    </row>
    <row r="206" spans="2:200" x14ac:dyDescent="0.2">
      <c r="B206" s="141"/>
      <c r="C206" s="141"/>
      <c r="D206" s="141"/>
      <c r="E206" s="141"/>
      <c r="F206" s="141"/>
      <c r="G206" s="141"/>
      <c r="H206" s="142"/>
      <c r="I206" s="126"/>
      <c r="J206" s="143"/>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3"/>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c r="EE206" s="145"/>
      <c r="EF206" s="145"/>
      <c r="EG206" s="145"/>
      <c r="EH206" s="145"/>
      <c r="EI206" s="145"/>
      <c r="EJ206" s="145"/>
      <c r="EK206" s="145"/>
      <c r="EL206" s="145"/>
      <c r="EM206" s="145"/>
      <c r="EN206" s="145"/>
      <c r="EO206" s="145"/>
      <c r="EP206" s="145"/>
      <c r="EQ206" s="145"/>
      <c r="ER206" s="145"/>
      <c r="ES206" s="145"/>
      <c r="ET206" s="145"/>
      <c r="EU206" s="145"/>
      <c r="EV206" s="145"/>
      <c r="EW206" s="145"/>
      <c r="EX206" s="145"/>
      <c r="EY206" s="145"/>
      <c r="EZ206" s="145"/>
      <c r="FA206" s="145"/>
      <c r="FB206" s="145"/>
      <c r="FC206" s="145"/>
      <c r="FD206" s="145"/>
      <c r="FE206" s="145"/>
      <c r="FF206" s="145"/>
      <c r="FG206" s="145"/>
      <c r="FH206" s="145"/>
      <c r="FI206" s="145"/>
      <c r="FJ206" s="145"/>
      <c r="FK206" s="145"/>
      <c r="FL206" s="145"/>
      <c r="FM206" s="145"/>
      <c r="FN206" s="145"/>
      <c r="FO206" s="145"/>
      <c r="FP206" s="145"/>
      <c r="FQ206" s="145"/>
      <c r="FR206" s="145"/>
      <c r="FS206" s="145"/>
      <c r="FT206" s="145"/>
      <c r="FU206" s="145"/>
      <c r="FV206" s="145"/>
      <c r="FW206" s="145"/>
      <c r="FX206" s="143"/>
      <c r="FY206" s="146">
        <f>_xlfn.XLOOKUP($E206,'Key assumptions'!$B$112:$B$120,'Key assumptions'!$C$112:$C$120,0)</f>
        <v>0</v>
      </c>
      <c r="FZ206" s="146" cm="1">
        <f t="array" ref="FZ206">IF($FY206=0,0,_xlfn.IFS($FY206='Key assumptions'!$C$120,_xlfn.XLOOKUP(LEFT(FZ$7,6),Inflation_Year,Inflation_NominaltoReal),TRUE,_xlfn.XLOOKUP($FY206,Inflation_Year,NominaltoReal)))</f>
        <v>0</v>
      </c>
      <c r="GA206" s="146" cm="1">
        <f t="array" ref="GA206">IF($FY206=0,0,_xlfn.IFS($FY206='Key assumptions'!$C$120,_xlfn.XLOOKUP(LEFT(GA$7,6),Inflation_Year,Inflation_NominaltoReal),TRUE,_xlfn.XLOOKUP($FY206,Inflation_Year,NominaltoReal)))</f>
        <v>0</v>
      </c>
      <c r="GB206" s="146" cm="1">
        <f t="array" ref="GB206">IF($FY206=0,0,_xlfn.IFS($FY206='Key assumptions'!$C$120,_xlfn.XLOOKUP(LEFT(GB$7,6),Inflation_Year,Inflation_NominaltoReal),TRUE,_xlfn.XLOOKUP($FY206,Inflation_Year,NominaltoReal)))</f>
        <v>0</v>
      </c>
      <c r="GC206" s="146" cm="1">
        <f t="array" ref="GC206">IF($FY206=0,0,_xlfn.IFS($FY206='Key assumptions'!$C$120,_xlfn.XLOOKUP(LEFT(GC$7,6),Inflation_Year,Inflation_NominaltoReal),TRUE,_xlfn.XLOOKUP($FY206,Inflation_Year,NominaltoReal)))</f>
        <v>0</v>
      </c>
      <c r="GD206" s="146" cm="1">
        <f t="array" ref="GD206">IF($FY206=0,0,_xlfn.IFS($FY206='Key assumptions'!$C$120,_xlfn.XLOOKUP(LEFT(GD$7,6),Inflation_Year,Inflation_NominaltoReal),TRUE,_xlfn.XLOOKUP($FY206,Inflation_Year,NominaltoReal)))</f>
        <v>0</v>
      </c>
      <c r="GE206" s="146" cm="1">
        <f t="array" ref="GE206">IF($FY206=0,0,_xlfn.IFS($FY206='Key assumptions'!$C$120,_xlfn.XLOOKUP(LEFT(GE$7,6),Inflation_Year,Inflation_NominaltoReal),TRUE,_xlfn.XLOOKUP($FY206,Inflation_Year,NominaltoReal)))</f>
        <v>0</v>
      </c>
      <c r="GF206" s="146" cm="1">
        <f t="array" ref="GF206">IF($FY206=0,0,_xlfn.IFS($FY206='Key assumptions'!$C$120,_xlfn.XLOOKUP(LEFT(GF$7,6),Inflation_Year,Inflation_NominaltoReal),TRUE,_xlfn.XLOOKUP($FY206,Inflation_Year,NominaltoReal)))</f>
        <v>0</v>
      </c>
      <c r="GG206" s="143"/>
      <c r="GH206" s="145" cm="1">
        <f t="array" ref="GH206">SUMPRODUCT(--($CR$7:$FW$7&gt;=GH$5),--($CR$7:$FW$7&lt;=GH$6),$CR206:$FW206)*FZ206</f>
        <v>0</v>
      </c>
      <c r="GI206" s="145" cm="1">
        <f t="array" ref="GI206">SUMPRODUCT(--($CR$7:$FW$7&gt;=GI$5),--($CR$7:$FW$7&lt;=GI$6),$CR206:$FW206)*GA206</f>
        <v>0</v>
      </c>
      <c r="GJ206" s="145" cm="1">
        <f t="array" ref="GJ206">SUMPRODUCT(--($CR$7:$FW$7&gt;=GJ$5),--($CR$7:$FW$7&lt;=GJ$6),$CR206:$FW206)*GB206</f>
        <v>0</v>
      </c>
      <c r="GK206" s="145" cm="1">
        <f t="array" ref="GK206">SUMPRODUCT(--($CR$7:$FW$7&gt;=GK$5),--($CR$7:$FW$7&lt;=GK$6),$CR206:$FW206)*GC206</f>
        <v>0</v>
      </c>
      <c r="GL206" s="145" cm="1">
        <f t="array" ref="GL206">SUMPRODUCT(--($CR$7:$FW$7&gt;=GL$5),--($CR$7:$FW$7&lt;=GL$6),$CR206:$FW206)*GD206</f>
        <v>0</v>
      </c>
      <c r="GM206" s="145" cm="1">
        <f t="array" ref="GM206">SUMPRODUCT(--($CR$7:$FW$7&gt;=GM$5),--($CR$7:$FW$7&lt;=GM$6),$CR206:$FW206)*GE206</f>
        <v>0</v>
      </c>
      <c r="GN206" s="145" cm="1">
        <f t="array" ref="GN206">SUMPRODUCT(--($CR$7:$FW$7&gt;=GN$5),--($CR$7:$FW$7&lt;=GN$6),$CR206:$FW206)*GF206</f>
        <v>0</v>
      </c>
      <c r="GO206" s="145">
        <f t="shared" si="3"/>
        <v>0</v>
      </c>
      <c r="GP206" s="87"/>
      <c r="GR206" s="145" cm="1">
        <f t="array" ref="GR206">SUMPRODUCT(--($CR$7:$FW$7&gt;=GR$5),--($CR$7:$FW$7&lt;=GR$6),$CR206:$FW206)</f>
        <v>0</v>
      </c>
    </row>
    <row r="207" spans="2:200" x14ac:dyDescent="0.2">
      <c r="B207" s="141"/>
      <c r="C207" s="141"/>
      <c r="D207" s="141"/>
      <c r="E207" s="141"/>
      <c r="F207" s="141"/>
      <c r="G207" s="141"/>
      <c r="H207" s="142"/>
      <c r="I207" s="126"/>
      <c r="J207" s="143"/>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3"/>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c r="EE207" s="145"/>
      <c r="EF207" s="145"/>
      <c r="EG207" s="145"/>
      <c r="EH207" s="145"/>
      <c r="EI207" s="145"/>
      <c r="EJ207" s="145"/>
      <c r="EK207" s="145"/>
      <c r="EL207" s="145"/>
      <c r="EM207" s="145"/>
      <c r="EN207" s="145"/>
      <c r="EO207" s="145"/>
      <c r="EP207" s="145"/>
      <c r="EQ207" s="145"/>
      <c r="ER207" s="145"/>
      <c r="ES207" s="145"/>
      <c r="ET207" s="145"/>
      <c r="EU207" s="145"/>
      <c r="EV207" s="145"/>
      <c r="EW207" s="145"/>
      <c r="EX207" s="145"/>
      <c r="EY207" s="145"/>
      <c r="EZ207" s="145"/>
      <c r="FA207" s="145"/>
      <c r="FB207" s="145"/>
      <c r="FC207" s="145"/>
      <c r="FD207" s="145"/>
      <c r="FE207" s="145"/>
      <c r="FF207" s="145"/>
      <c r="FG207" s="145"/>
      <c r="FH207" s="145"/>
      <c r="FI207" s="145"/>
      <c r="FJ207" s="145"/>
      <c r="FK207" s="145"/>
      <c r="FL207" s="145"/>
      <c r="FM207" s="145"/>
      <c r="FN207" s="145"/>
      <c r="FO207" s="145"/>
      <c r="FP207" s="145"/>
      <c r="FQ207" s="145"/>
      <c r="FR207" s="145"/>
      <c r="FS207" s="145"/>
      <c r="FT207" s="145"/>
      <c r="FU207" s="145"/>
      <c r="FV207" s="145"/>
      <c r="FW207" s="145"/>
      <c r="FX207" s="143"/>
      <c r="FY207" s="146">
        <f>_xlfn.XLOOKUP($E207,'Key assumptions'!$B$112:$B$120,'Key assumptions'!$C$112:$C$120,0)</f>
        <v>0</v>
      </c>
      <c r="FZ207" s="146" cm="1">
        <f t="array" ref="FZ207">IF($FY207=0,0,_xlfn.IFS($FY207='Key assumptions'!$C$120,_xlfn.XLOOKUP(LEFT(FZ$7,6),Inflation_Year,Inflation_NominaltoReal),TRUE,_xlfn.XLOOKUP($FY207,Inflation_Year,NominaltoReal)))</f>
        <v>0</v>
      </c>
      <c r="GA207" s="146" cm="1">
        <f t="array" ref="GA207">IF($FY207=0,0,_xlfn.IFS($FY207='Key assumptions'!$C$120,_xlfn.XLOOKUP(LEFT(GA$7,6),Inflation_Year,Inflation_NominaltoReal),TRUE,_xlfn.XLOOKUP($FY207,Inflation_Year,NominaltoReal)))</f>
        <v>0</v>
      </c>
      <c r="GB207" s="146" cm="1">
        <f t="array" ref="GB207">IF($FY207=0,0,_xlfn.IFS($FY207='Key assumptions'!$C$120,_xlfn.XLOOKUP(LEFT(GB$7,6),Inflation_Year,Inflation_NominaltoReal),TRUE,_xlfn.XLOOKUP($FY207,Inflation_Year,NominaltoReal)))</f>
        <v>0</v>
      </c>
      <c r="GC207" s="146" cm="1">
        <f t="array" ref="GC207">IF($FY207=0,0,_xlfn.IFS($FY207='Key assumptions'!$C$120,_xlfn.XLOOKUP(LEFT(GC$7,6),Inflation_Year,Inflation_NominaltoReal),TRUE,_xlfn.XLOOKUP($FY207,Inflation_Year,NominaltoReal)))</f>
        <v>0</v>
      </c>
      <c r="GD207" s="146" cm="1">
        <f t="array" ref="GD207">IF($FY207=0,0,_xlfn.IFS($FY207='Key assumptions'!$C$120,_xlfn.XLOOKUP(LEFT(GD$7,6),Inflation_Year,Inflation_NominaltoReal),TRUE,_xlfn.XLOOKUP($FY207,Inflation_Year,NominaltoReal)))</f>
        <v>0</v>
      </c>
      <c r="GE207" s="146" cm="1">
        <f t="array" ref="GE207">IF($FY207=0,0,_xlfn.IFS($FY207='Key assumptions'!$C$120,_xlfn.XLOOKUP(LEFT(GE$7,6),Inflation_Year,Inflation_NominaltoReal),TRUE,_xlfn.XLOOKUP($FY207,Inflation_Year,NominaltoReal)))</f>
        <v>0</v>
      </c>
      <c r="GF207" s="146" cm="1">
        <f t="array" ref="GF207">IF($FY207=0,0,_xlfn.IFS($FY207='Key assumptions'!$C$120,_xlfn.XLOOKUP(LEFT(GF$7,6),Inflation_Year,Inflation_NominaltoReal),TRUE,_xlfn.XLOOKUP($FY207,Inflation_Year,NominaltoReal)))</f>
        <v>0</v>
      </c>
      <c r="GG207" s="143"/>
      <c r="GH207" s="145" cm="1">
        <f t="array" ref="GH207">SUMPRODUCT(--($CR$7:$FW$7&gt;=GH$5),--($CR$7:$FW$7&lt;=GH$6),$CR207:$FW207)*FZ207</f>
        <v>0</v>
      </c>
      <c r="GI207" s="145" cm="1">
        <f t="array" ref="GI207">SUMPRODUCT(--($CR$7:$FW$7&gt;=GI$5),--($CR$7:$FW$7&lt;=GI$6),$CR207:$FW207)*GA207</f>
        <v>0</v>
      </c>
      <c r="GJ207" s="145" cm="1">
        <f t="array" ref="GJ207">SUMPRODUCT(--($CR$7:$FW$7&gt;=GJ$5),--($CR$7:$FW$7&lt;=GJ$6),$CR207:$FW207)*GB207</f>
        <v>0</v>
      </c>
      <c r="GK207" s="145" cm="1">
        <f t="array" ref="GK207">SUMPRODUCT(--($CR$7:$FW$7&gt;=GK$5),--($CR$7:$FW$7&lt;=GK$6),$CR207:$FW207)*GC207</f>
        <v>0</v>
      </c>
      <c r="GL207" s="145" cm="1">
        <f t="array" ref="GL207">SUMPRODUCT(--($CR$7:$FW$7&gt;=GL$5),--($CR$7:$FW$7&lt;=GL$6),$CR207:$FW207)*GD207</f>
        <v>0</v>
      </c>
      <c r="GM207" s="145" cm="1">
        <f t="array" ref="GM207">SUMPRODUCT(--($CR$7:$FW$7&gt;=GM$5),--($CR$7:$FW$7&lt;=GM$6),$CR207:$FW207)*GE207</f>
        <v>0</v>
      </c>
      <c r="GN207" s="145" cm="1">
        <f t="array" ref="GN207">SUMPRODUCT(--($CR$7:$FW$7&gt;=GN$5),--($CR$7:$FW$7&lt;=GN$6),$CR207:$FW207)*GF207</f>
        <v>0</v>
      </c>
      <c r="GO207" s="145">
        <f t="shared" si="3"/>
        <v>0</v>
      </c>
      <c r="GP207" s="87"/>
      <c r="GR207" s="145" cm="1">
        <f t="array" ref="GR207">SUMPRODUCT(--($CR$7:$FW$7&gt;=GR$5),--($CR$7:$FW$7&lt;=GR$6),$CR207:$FW207)</f>
        <v>0</v>
      </c>
    </row>
    <row r="208" spans="2:200" x14ac:dyDescent="0.2">
      <c r="B208" s="141"/>
      <c r="C208" s="141"/>
      <c r="D208" s="141"/>
      <c r="E208" s="141"/>
      <c r="F208" s="141"/>
      <c r="G208" s="141"/>
      <c r="H208" s="142"/>
      <c r="I208" s="126"/>
      <c r="J208" s="143"/>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3"/>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c r="EE208" s="145"/>
      <c r="EF208" s="145"/>
      <c r="EG208" s="145"/>
      <c r="EH208" s="145"/>
      <c r="EI208" s="145"/>
      <c r="EJ208" s="145"/>
      <c r="EK208" s="145"/>
      <c r="EL208" s="145"/>
      <c r="EM208" s="145"/>
      <c r="EN208" s="145"/>
      <c r="EO208" s="145"/>
      <c r="EP208" s="145"/>
      <c r="EQ208" s="145"/>
      <c r="ER208" s="145"/>
      <c r="ES208" s="145"/>
      <c r="ET208" s="145"/>
      <c r="EU208" s="145"/>
      <c r="EV208" s="145"/>
      <c r="EW208" s="145"/>
      <c r="EX208" s="145"/>
      <c r="EY208" s="145"/>
      <c r="EZ208" s="145"/>
      <c r="FA208" s="145"/>
      <c r="FB208" s="145"/>
      <c r="FC208" s="145"/>
      <c r="FD208" s="145"/>
      <c r="FE208" s="145"/>
      <c r="FF208" s="145"/>
      <c r="FG208" s="145"/>
      <c r="FH208" s="145"/>
      <c r="FI208" s="145"/>
      <c r="FJ208" s="145"/>
      <c r="FK208" s="145"/>
      <c r="FL208" s="145"/>
      <c r="FM208" s="145"/>
      <c r="FN208" s="145"/>
      <c r="FO208" s="145"/>
      <c r="FP208" s="145"/>
      <c r="FQ208" s="145"/>
      <c r="FR208" s="145"/>
      <c r="FS208" s="145"/>
      <c r="FT208" s="145"/>
      <c r="FU208" s="145"/>
      <c r="FV208" s="145"/>
      <c r="FW208" s="145"/>
      <c r="FX208" s="143"/>
      <c r="FY208" s="146">
        <f>_xlfn.XLOOKUP($E208,'Key assumptions'!$B$112:$B$120,'Key assumptions'!$C$112:$C$120,0)</f>
        <v>0</v>
      </c>
      <c r="FZ208" s="146" cm="1">
        <f t="array" ref="FZ208">IF($FY208=0,0,_xlfn.IFS($FY208='Key assumptions'!$C$120,_xlfn.XLOOKUP(LEFT(FZ$7,6),Inflation_Year,Inflation_NominaltoReal),TRUE,_xlfn.XLOOKUP($FY208,Inflation_Year,NominaltoReal)))</f>
        <v>0</v>
      </c>
      <c r="GA208" s="146" cm="1">
        <f t="array" ref="GA208">IF($FY208=0,0,_xlfn.IFS($FY208='Key assumptions'!$C$120,_xlfn.XLOOKUP(LEFT(GA$7,6),Inflation_Year,Inflation_NominaltoReal),TRUE,_xlfn.XLOOKUP($FY208,Inflation_Year,NominaltoReal)))</f>
        <v>0</v>
      </c>
      <c r="GB208" s="146" cm="1">
        <f t="array" ref="GB208">IF($FY208=0,0,_xlfn.IFS($FY208='Key assumptions'!$C$120,_xlfn.XLOOKUP(LEFT(GB$7,6),Inflation_Year,Inflation_NominaltoReal),TRUE,_xlfn.XLOOKUP($FY208,Inflation_Year,NominaltoReal)))</f>
        <v>0</v>
      </c>
      <c r="GC208" s="146" cm="1">
        <f t="array" ref="GC208">IF($FY208=0,0,_xlfn.IFS($FY208='Key assumptions'!$C$120,_xlfn.XLOOKUP(LEFT(GC$7,6),Inflation_Year,Inflation_NominaltoReal),TRUE,_xlfn.XLOOKUP($FY208,Inflation_Year,NominaltoReal)))</f>
        <v>0</v>
      </c>
      <c r="GD208" s="146" cm="1">
        <f t="array" ref="GD208">IF($FY208=0,0,_xlfn.IFS($FY208='Key assumptions'!$C$120,_xlfn.XLOOKUP(LEFT(GD$7,6),Inflation_Year,Inflation_NominaltoReal),TRUE,_xlfn.XLOOKUP($FY208,Inflation_Year,NominaltoReal)))</f>
        <v>0</v>
      </c>
      <c r="GE208" s="146" cm="1">
        <f t="array" ref="GE208">IF($FY208=0,0,_xlfn.IFS($FY208='Key assumptions'!$C$120,_xlfn.XLOOKUP(LEFT(GE$7,6),Inflation_Year,Inflation_NominaltoReal),TRUE,_xlfn.XLOOKUP($FY208,Inflation_Year,NominaltoReal)))</f>
        <v>0</v>
      </c>
      <c r="GF208" s="146" cm="1">
        <f t="array" ref="GF208">IF($FY208=0,0,_xlfn.IFS($FY208='Key assumptions'!$C$120,_xlfn.XLOOKUP(LEFT(GF$7,6),Inflation_Year,Inflation_NominaltoReal),TRUE,_xlfn.XLOOKUP($FY208,Inflation_Year,NominaltoReal)))</f>
        <v>0</v>
      </c>
      <c r="GG208" s="143"/>
      <c r="GH208" s="145" cm="1">
        <f t="array" ref="GH208">SUMPRODUCT(--($CR$7:$FW$7&gt;=GH$5),--($CR$7:$FW$7&lt;=GH$6),$CR208:$FW208)*FZ208</f>
        <v>0</v>
      </c>
      <c r="GI208" s="145" cm="1">
        <f t="array" ref="GI208">SUMPRODUCT(--($CR$7:$FW$7&gt;=GI$5),--($CR$7:$FW$7&lt;=GI$6),$CR208:$FW208)*GA208</f>
        <v>0</v>
      </c>
      <c r="GJ208" s="145" cm="1">
        <f t="array" ref="GJ208">SUMPRODUCT(--($CR$7:$FW$7&gt;=GJ$5),--($CR$7:$FW$7&lt;=GJ$6),$CR208:$FW208)*GB208</f>
        <v>0</v>
      </c>
      <c r="GK208" s="145" cm="1">
        <f t="array" ref="GK208">SUMPRODUCT(--($CR$7:$FW$7&gt;=GK$5),--($CR$7:$FW$7&lt;=GK$6),$CR208:$FW208)*GC208</f>
        <v>0</v>
      </c>
      <c r="GL208" s="145" cm="1">
        <f t="array" ref="GL208">SUMPRODUCT(--($CR$7:$FW$7&gt;=GL$5),--($CR$7:$FW$7&lt;=GL$6),$CR208:$FW208)*GD208</f>
        <v>0</v>
      </c>
      <c r="GM208" s="145" cm="1">
        <f t="array" ref="GM208">SUMPRODUCT(--($CR$7:$FW$7&gt;=GM$5),--($CR$7:$FW$7&lt;=GM$6),$CR208:$FW208)*GE208</f>
        <v>0</v>
      </c>
      <c r="GN208" s="145" cm="1">
        <f t="array" ref="GN208">SUMPRODUCT(--($CR$7:$FW$7&gt;=GN$5),--($CR$7:$FW$7&lt;=GN$6),$CR208:$FW208)*GF208</f>
        <v>0</v>
      </c>
      <c r="GO208" s="145">
        <f t="shared" si="3"/>
        <v>0</v>
      </c>
      <c r="GP208" s="87"/>
      <c r="GR208" s="145" cm="1">
        <f t="array" ref="GR208">SUMPRODUCT(--($CR$7:$FW$7&gt;=GR$5),--($CR$7:$FW$7&lt;=GR$6),$CR208:$FW208)</f>
        <v>0</v>
      </c>
    </row>
    <row r="209" spans="2:200" x14ac:dyDescent="0.2">
      <c r="B209" s="141"/>
      <c r="C209" s="141"/>
      <c r="D209" s="141"/>
      <c r="E209" s="141"/>
      <c r="F209" s="141"/>
      <c r="G209" s="141"/>
      <c r="H209" s="142"/>
      <c r="I209" s="126"/>
      <c r="J209" s="143"/>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3"/>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c r="EE209" s="145"/>
      <c r="EF209" s="145"/>
      <c r="EG209" s="145"/>
      <c r="EH209" s="145"/>
      <c r="EI209" s="145"/>
      <c r="EJ209" s="145"/>
      <c r="EK209" s="145"/>
      <c r="EL209" s="145"/>
      <c r="EM209" s="145"/>
      <c r="EN209" s="145"/>
      <c r="EO209" s="145"/>
      <c r="EP209" s="145"/>
      <c r="EQ209" s="145"/>
      <c r="ER209" s="145"/>
      <c r="ES209" s="145"/>
      <c r="ET209" s="145"/>
      <c r="EU209" s="145"/>
      <c r="EV209" s="145"/>
      <c r="EW209" s="145"/>
      <c r="EX209" s="145"/>
      <c r="EY209" s="145"/>
      <c r="EZ209" s="145"/>
      <c r="FA209" s="145"/>
      <c r="FB209" s="145"/>
      <c r="FC209" s="145"/>
      <c r="FD209" s="145"/>
      <c r="FE209" s="145"/>
      <c r="FF209" s="145"/>
      <c r="FG209" s="145"/>
      <c r="FH209" s="145"/>
      <c r="FI209" s="145"/>
      <c r="FJ209" s="145"/>
      <c r="FK209" s="145"/>
      <c r="FL209" s="145"/>
      <c r="FM209" s="145"/>
      <c r="FN209" s="145"/>
      <c r="FO209" s="145"/>
      <c r="FP209" s="145"/>
      <c r="FQ209" s="145"/>
      <c r="FR209" s="145"/>
      <c r="FS209" s="145"/>
      <c r="FT209" s="145"/>
      <c r="FU209" s="145"/>
      <c r="FV209" s="145"/>
      <c r="FW209" s="145"/>
      <c r="FX209" s="143"/>
      <c r="FY209" s="146">
        <f>_xlfn.XLOOKUP($E209,'Key assumptions'!$B$112:$B$120,'Key assumptions'!$C$112:$C$120,0)</f>
        <v>0</v>
      </c>
      <c r="FZ209" s="146" cm="1">
        <f t="array" ref="FZ209">IF($FY209=0,0,_xlfn.IFS($FY209='Key assumptions'!$C$120,_xlfn.XLOOKUP(LEFT(FZ$7,6),Inflation_Year,Inflation_NominaltoReal),TRUE,_xlfn.XLOOKUP($FY209,Inflation_Year,NominaltoReal)))</f>
        <v>0</v>
      </c>
      <c r="GA209" s="146" cm="1">
        <f t="array" ref="GA209">IF($FY209=0,0,_xlfn.IFS($FY209='Key assumptions'!$C$120,_xlfn.XLOOKUP(LEFT(GA$7,6),Inflation_Year,Inflation_NominaltoReal),TRUE,_xlfn.XLOOKUP($FY209,Inflation_Year,NominaltoReal)))</f>
        <v>0</v>
      </c>
      <c r="GB209" s="146" cm="1">
        <f t="array" ref="GB209">IF($FY209=0,0,_xlfn.IFS($FY209='Key assumptions'!$C$120,_xlfn.XLOOKUP(LEFT(GB$7,6),Inflation_Year,Inflation_NominaltoReal),TRUE,_xlfn.XLOOKUP($FY209,Inflation_Year,NominaltoReal)))</f>
        <v>0</v>
      </c>
      <c r="GC209" s="146" cm="1">
        <f t="array" ref="GC209">IF($FY209=0,0,_xlfn.IFS($FY209='Key assumptions'!$C$120,_xlfn.XLOOKUP(LEFT(GC$7,6),Inflation_Year,Inflation_NominaltoReal),TRUE,_xlfn.XLOOKUP($FY209,Inflation_Year,NominaltoReal)))</f>
        <v>0</v>
      </c>
      <c r="GD209" s="146" cm="1">
        <f t="array" ref="GD209">IF($FY209=0,0,_xlfn.IFS($FY209='Key assumptions'!$C$120,_xlfn.XLOOKUP(LEFT(GD$7,6),Inflation_Year,Inflation_NominaltoReal),TRUE,_xlfn.XLOOKUP($FY209,Inflation_Year,NominaltoReal)))</f>
        <v>0</v>
      </c>
      <c r="GE209" s="146" cm="1">
        <f t="array" ref="GE209">IF($FY209=0,0,_xlfn.IFS($FY209='Key assumptions'!$C$120,_xlfn.XLOOKUP(LEFT(GE$7,6),Inflation_Year,Inflation_NominaltoReal),TRUE,_xlfn.XLOOKUP($FY209,Inflation_Year,NominaltoReal)))</f>
        <v>0</v>
      </c>
      <c r="GF209" s="146" cm="1">
        <f t="array" ref="GF209">IF($FY209=0,0,_xlfn.IFS($FY209='Key assumptions'!$C$120,_xlfn.XLOOKUP(LEFT(GF$7,6),Inflation_Year,Inflation_NominaltoReal),TRUE,_xlfn.XLOOKUP($FY209,Inflation_Year,NominaltoReal)))</f>
        <v>0</v>
      </c>
      <c r="GG209" s="143"/>
      <c r="GH209" s="145" cm="1">
        <f t="array" ref="GH209">SUMPRODUCT(--($CR$7:$FW$7&gt;=GH$5),--($CR$7:$FW$7&lt;=GH$6),$CR209:$FW209)*FZ209</f>
        <v>0</v>
      </c>
      <c r="GI209" s="145" cm="1">
        <f t="array" ref="GI209">SUMPRODUCT(--($CR$7:$FW$7&gt;=GI$5),--($CR$7:$FW$7&lt;=GI$6),$CR209:$FW209)*GA209</f>
        <v>0</v>
      </c>
      <c r="GJ209" s="145" cm="1">
        <f t="array" ref="GJ209">SUMPRODUCT(--($CR$7:$FW$7&gt;=GJ$5),--($CR$7:$FW$7&lt;=GJ$6),$CR209:$FW209)*GB209</f>
        <v>0</v>
      </c>
      <c r="GK209" s="145" cm="1">
        <f t="array" ref="GK209">SUMPRODUCT(--($CR$7:$FW$7&gt;=GK$5),--($CR$7:$FW$7&lt;=GK$6),$CR209:$FW209)*GC209</f>
        <v>0</v>
      </c>
      <c r="GL209" s="145" cm="1">
        <f t="array" ref="GL209">SUMPRODUCT(--($CR$7:$FW$7&gt;=GL$5),--($CR$7:$FW$7&lt;=GL$6),$CR209:$FW209)*GD209</f>
        <v>0</v>
      </c>
      <c r="GM209" s="145" cm="1">
        <f t="array" ref="GM209">SUMPRODUCT(--($CR$7:$FW$7&gt;=GM$5),--($CR$7:$FW$7&lt;=GM$6),$CR209:$FW209)*GE209</f>
        <v>0</v>
      </c>
      <c r="GN209" s="145" cm="1">
        <f t="array" ref="GN209">SUMPRODUCT(--($CR$7:$FW$7&gt;=GN$5),--($CR$7:$FW$7&lt;=GN$6),$CR209:$FW209)*GF209</f>
        <v>0</v>
      </c>
      <c r="GO209" s="145">
        <f t="shared" si="3"/>
        <v>0</v>
      </c>
      <c r="GP209" s="87"/>
      <c r="GR209" s="145" cm="1">
        <f t="array" ref="GR209">SUMPRODUCT(--($CR$7:$FW$7&gt;=GR$5),--($CR$7:$FW$7&lt;=GR$6),$CR209:$FW209)</f>
        <v>0</v>
      </c>
    </row>
    <row r="210" spans="2:200" x14ac:dyDescent="0.2">
      <c r="B210" s="141"/>
      <c r="C210" s="141"/>
      <c r="D210" s="141"/>
      <c r="E210" s="141"/>
      <c r="F210" s="141"/>
      <c r="G210" s="141"/>
      <c r="H210" s="142"/>
      <c r="I210" s="126"/>
      <c r="J210" s="143"/>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3"/>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c r="EE210" s="145"/>
      <c r="EF210" s="145"/>
      <c r="EG210" s="145"/>
      <c r="EH210" s="145"/>
      <c r="EI210" s="145"/>
      <c r="EJ210" s="145"/>
      <c r="EK210" s="145"/>
      <c r="EL210" s="145"/>
      <c r="EM210" s="145"/>
      <c r="EN210" s="145"/>
      <c r="EO210" s="145"/>
      <c r="EP210" s="145"/>
      <c r="EQ210" s="145"/>
      <c r="ER210" s="145"/>
      <c r="ES210" s="145"/>
      <c r="ET210" s="145"/>
      <c r="EU210" s="145"/>
      <c r="EV210" s="145"/>
      <c r="EW210" s="145"/>
      <c r="EX210" s="145"/>
      <c r="EY210" s="145"/>
      <c r="EZ210" s="145"/>
      <c r="FA210" s="145"/>
      <c r="FB210" s="145"/>
      <c r="FC210" s="145"/>
      <c r="FD210" s="145"/>
      <c r="FE210" s="145"/>
      <c r="FF210" s="145"/>
      <c r="FG210" s="145"/>
      <c r="FH210" s="145"/>
      <c r="FI210" s="145"/>
      <c r="FJ210" s="145"/>
      <c r="FK210" s="145"/>
      <c r="FL210" s="145"/>
      <c r="FM210" s="145"/>
      <c r="FN210" s="145"/>
      <c r="FO210" s="145"/>
      <c r="FP210" s="145"/>
      <c r="FQ210" s="145"/>
      <c r="FR210" s="145"/>
      <c r="FS210" s="145"/>
      <c r="FT210" s="145"/>
      <c r="FU210" s="145"/>
      <c r="FV210" s="145"/>
      <c r="FW210" s="145"/>
      <c r="FX210" s="143"/>
      <c r="FY210" s="146">
        <f>_xlfn.XLOOKUP($E210,'Key assumptions'!$B$112:$B$120,'Key assumptions'!$C$112:$C$120,0)</f>
        <v>0</v>
      </c>
      <c r="FZ210" s="146" cm="1">
        <f t="array" ref="FZ210">IF($FY210=0,0,_xlfn.IFS($FY210='Key assumptions'!$C$120,_xlfn.XLOOKUP(LEFT(FZ$7,6),Inflation_Year,Inflation_NominaltoReal),TRUE,_xlfn.XLOOKUP($FY210,Inflation_Year,NominaltoReal)))</f>
        <v>0</v>
      </c>
      <c r="GA210" s="146" cm="1">
        <f t="array" ref="GA210">IF($FY210=0,0,_xlfn.IFS($FY210='Key assumptions'!$C$120,_xlfn.XLOOKUP(LEFT(GA$7,6),Inflation_Year,Inflation_NominaltoReal),TRUE,_xlfn.XLOOKUP($FY210,Inflation_Year,NominaltoReal)))</f>
        <v>0</v>
      </c>
      <c r="GB210" s="146" cm="1">
        <f t="array" ref="GB210">IF($FY210=0,0,_xlfn.IFS($FY210='Key assumptions'!$C$120,_xlfn.XLOOKUP(LEFT(GB$7,6),Inflation_Year,Inflation_NominaltoReal),TRUE,_xlfn.XLOOKUP($FY210,Inflation_Year,NominaltoReal)))</f>
        <v>0</v>
      </c>
      <c r="GC210" s="146" cm="1">
        <f t="array" ref="GC210">IF($FY210=0,0,_xlfn.IFS($FY210='Key assumptions'!$C$120,_xlfn.XLOOKUP(LEFT(GC$7,6),Inflation_Year,Inflation_NominaltoReal),TRUE,_xlfn.XLOOKUP($FY210,Inflation_Year,NominaltoReal)))</f>
        <v>0</v>
      </c>
      <c r="GD210" s="146" cm="1">
        <f t="array" ref="GD210">IF($FY210=0,0,_xlfn.IFS($FY210='Key assumptions'!$C$120,_xlfn.XLOOKUP(LEFT(GD$7,6),Inflation_Year,Inflation_NominaltoReal),TRUE,_xlfn.XLOOKUP($FY210,Inflation_Year,NominaltoReal)))</f>
        <v>0</v>
      </c>
      <c r="GE210" s="146" cm="1">
        <f t="array" ref="GE210">IF($FY210=0,0,_xlfn.IFS($FY210='Key assumptions'!$C$120,_xlfn.XLOOKUP(LEFT(GE$7,6),Inflation_Year,Inflation_NominaltoReal),TRUE,_xlfn.XLOOKUP($FY210,Inflation_Year,NominaltoReal)))</f>
        <v>0</v>
      </c>
      <c r="GF210" s="146" cm="1">
        <f t="array" ref="GF210">IF($FY210=0,0,_xlfn.IFS($FY210='Key assumptions'!$C$120,_xlfn.XLOOKUP(LEFT(GF$7,6),Inflation_Year,Inflation_NominaltoReal),TRUE,_xlfn.XLOOKUP($FY210,Inflation_Year,NominaltoReal)))</f>
        <v>0</v>
      </c>
      <c r="GG210" s="143"/>
      <c r="GH210" s="145" cm="1">
        <f t="array" ref="GH210">SUMPRODUCT(--($CR$7:$FW$7&gt;=GH$5),--($CR$7:$FW$7&lt;=GH$6),$CR210:$FW210)*FZ210</f>
        <v>0</v>
      </c>
      <c r="GI210" s="145" cm="1">
        <f t="array" ref="GI210">SUMPRODUCT(--($CR$7:$FW$7&gt;=GI$5),--($CR$7:$FW$7&lt;=GI$6),$CR210:$FW210)*GA210</f>
        <v>0</v>
      </c>
      <c r="GJ210" s="145" cm="1">
        <f t="array" ref="GJ210">SUMPRODUCT(--($CR$7:$FW$7&gt;=GJ$5),--($CR$7:$FW$7&lt;=GJ$6),$CR210:$FW210)*GB210</f>
        <v>0</v>
      </c>
      <c r="GK210" s="145" cm="1">
        <f t="array" ref="GK210">SUMPRODUCT(--($CR$7:$FW$7&gt;=GK$5),--($CR$7:$FW$7&lt;=GK$6),$CR210:$FW210)*GC210</f>
        <v>0</v>
      </c>
      <c r="GL210" s="145" cm="1">
        <f t="array" ref="GL210">SUMPRODUCT(--($CR$7:$FW$7&gt;=GL$5),--($CR$7:$FW$7&lt;=GL$6),$CR210:$FW210)*GD210</f>
        <v>0</v>
      </c>
      <c r="GM210" s="145" cm="1">
        <f t="array" ref="GM210">SUMPRODUCT(--($CR$7:$FW$7&gt;=GM$5),--($CR$7:$FW$7&lt;=GM$6),$CR210:$FW210)*GE210</f>
        <v>0</v>
      </c>
      <c r="GN210" s="145" cm="1">
        <f t="array" ref="GN210">SUMPRODUCT(--($CR$7:$FW$7&gt;=GN$5),--($CR$7:$FW$7&lt;=GN$6),$CR210:$FW210)*GF210</f>
        <v>0</v>
      </c>
      <c r="GO210" s="145">
        <f t="shared" si="3"/>
        <v>0</v>
      </c>
      <c r="GP210" s="87"/>
      <c r="GR210" s="145" cm="1">
        <f t="array" ref="GR210">SUMPRODUCT(--($CR$7:$FW$7&gt;=GR$5),--($CR$7:$FW$7&lt;=GR$6),$CR210:$FW210)</f>
        <v>0</v>
      </c>
    </row>
    <row r="211" spans="2:200" x14ac:dyDescent="0.2">
      <c r="B211" s="141"/>
      <c r="C211" s="141"/>
      <c r="D211" s="141"/>
      <c r="E211" s="141"/>
      <c r="F211" s="141"/>
      <c r="G211" s="141"/>
      <c r="H211" s="142"/>
      <c r="I211" s="126"/>
      <c r="J211" s="143"/>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3"/>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c r="EE211" s="145"/>
      <c r="EF211" s="145"/>
      <c r="EG211" s="145"/>
      <c r="EH211" s="145"/>
      <c r="EI211" s="145"/>
      <c r="EJ211" s="145"/>
      <c r="EK211" s="145"/>
      <c r="EL211" s="145"/>
      <c r="EM211" s="145"/>
      <c r="EN211" s="145"/>
      <c r="EO211" s="145"/>
      <c r="EP211" s="145"/>
      <c r="EQ211" s="145"/>
      <c r="ER211" s="145"/>
      <c r="ES211" s="145"/>
      <c r="ET211" s="145"/>
      <c r="EU211" s="145"/>
      <c r="EV211" s="145"/>
      <c r="EW211" s="145"/>
      <c r="EX211" s="145"/>
      <c r="EY211" s="145"/>
      <c r="EZ211" s="145"/>
      <c r="FA211" s="145"/>
      <c r="FB211" s="145"/>
      <c r="FC211" s="145"/>
      <c r="FD211" s="145"/>
      <c r="FE211" s="145"/>
      <c r="FF211" s="145"/>
      <c r="FG211" s="145"/>
      <c r="FH211" s="145"/>
      <c r="FI211" s="145"/>
      <c r="FJ211" s="145"/>
      <c r="FK211" s="145"/>
      <c r="FL211" s="145"/>
      <c r="FM211" s="145"/>
      <c r="FN211" s="145"/>
      <c r="FO211" s="145"/>
      <c r="FP211" s="145"/>
      <c r="FQ211" s="145"/>
      <c r="FR211" s="145"/>
      <c r="FS211" s="145"/>
      <c r="FT211" s="145"/>
      <c r="FU211" s="145"/>
      <c r="FV211" s="145"/>
      <c r="FW211" s="145"/>
      <c r="FX211" s="143"/>
      <c r="FY211" s="146">
        <f>_xlfn.XLOOKUP($E211,'Key assumptions'!$B$112:$B$120,'Key assumptions'!$C$112:$C$120,0)</f>
        <v>0</v>
      </c>
      <c r="FZ211" s="146" cm="1">
        <f t="array" ref="FZ211">IF($FY211=0,0,_xlfn.IFS($FY211='Key assumptions'!$C$120,_xlfn.XLOOKUP(LEFT(FZ$7,6),Inflation_Year,Inflation_NominaltoReal),TRUE,_xlfn.XLOOKUP($FY211,Inflation_Year,NominaltoReal)))</f>
        <v>0</v>
      </c>
      <c r="GA211" s="146" cm="1">
        <f t="array" ref="GA211">IF($FY211=0,0,_xlfn.IFS($FY211='Key assumptions'!$C$120,_xlfn.XLOOKUP(LEFT(GA$7,6),Inflation_Year,Inflation_NominaltoReal),TRUE,_xlfn.XLOOKUP($FY211,Inflation_Year,NominaltoReal)))</f>
        <v>0</v>
      </c>
      <c r="GB211" s="146" cm="1">
        <f t="array" ref="GB211">IF($FY211=0,0,_xlfn.IFS($FY211='Key assumptions'!$C$120,_xlfn.XLOOKUP(LEFT(GB$7,6),Inflation_Year,Inflation_NominaltoReal),TRUE,_xlfn.XLOOKUP($FY211,Inflation_Year,NominaltoReal)))</f>
        <v>0</v>
      </c>
      <c r="GC211" s="146" cm="1">
        <f t="array" ref="GC211">IF($FY211=0,0,_xlfn.IFS($FY211='Key assumptions'!$C$120,_xlfn.XLOOKUP(LEFT(GC$7,6),Inflation_Year,Inflation_NominaltoReal),TRUE,_xlfn.XLOOKUP($FY211,Inflation_Year,NominaltoReal)))</f>
        <v>0</v>
      </c>
      <c r="GD211" s="146" cm="1">
        <f t="array" ref="GD211">IF($FY211=0,0,_xlfn.IFS($FY211='Key assumptions'!$C$120,_xlfn.XLOOKUP(LEFT(GD$7,6),Inflation_Year,Inflation_NominaltoReal),TRUE,_xlfn.XLOOKUP($FY211,Inflation_Year,NominaltoReal)))</f>
        <v>0</v>
      </c>
      <c r="GE211" s="146" cm="1">
        <f t="array" ref="GE211">IF($FY211=0,0,_xlfn.IFS($FY211='Key assumptions'!$C$120,_xlfn.XLOOKUP(LEFT(GE$7,6),Inflation_Year,Inflation_NominaltoReal),TRUE,_xlfn.XLOOKUP($FY211,Inflation_Year,NominaltoReal)))</f>
        <v>0</v>
      </c>
      <c r="GF211" s="146" cm="1">
        <f t="array" ref="GF211">IF($FY211=0,0,_xlfn.IFS($FY211='Key assumptions'!$C$120,_xlfn.XLOOKUP(LEFT(GF$7,6),Inflation_Year,Inflation_NominaltoReal),TRUE,_xlfn.XLOOKUP($FY211,Inflation_Year,NominaltoReal)))</f>
        <v>0</v>
      </c>
      <c r="GG211" s="143"/>
      <c r="GH211" s="145" cm="1">
        <f t="array" ref="GH211">SUMPRODUCT(--($CR$7:$FW$7&gt;=GH$5),--($CR$7:$FW$7&lt;=GH$6),$CR211:$FW211)*FZ211</f>
        <v>0</v>
      </c>
      <c r="GI211" s="145" cm="1">
        <f t="array" ref="GI211">SUMPRODUCT(--($CR$7:$FW$7&gt;=GI$5),--($CR$7:$FW$7&lt;=GI$6),$CR211:$FW211)*GA211</f>
        <v>0</v>
      </c>
      <c r="GJ211" s="145" cm="1">
        <f t="array" ref="GJ211">SUMPRODUCT(--($CR$7:$FW$7&gt;=GJ$5),--($CR$7:$FW$7&lt;=GJ$6),$CR211:$FW211)*GB211</f>
        <v>0</v>
      </c>
      <c r="GK211" s="145" cm="1">
        <f t="array" ref="GK211">SUMPRODUCT(--($CR$7:$FW$7&gt;=GK$5),--($CR$7:$FW$7&lt;=GK$6),$CR211:$FW211)*GC211</f>
        <v>0</v>
      </c>
      <c r="GL211" s="145" cm="1">
        <f t="array" ref="GL211">SUMPRODUCT(--($CR$7:$FW$7&gt;=GL$5),--($CR$7:$FW$7&lt;=GL$6),$CR211:$FW211)*GD211</f>
        <v>0</v>
      </c>
      <c r="GM211" s="145" cm="1">
        <f t="array" ref="GM211">SUMPRODUCT(--($CR$7:$FW$7&gt;=GM$5),--($CR$7:$FW$7&lt;=GM$6),$CR211:$FW211)*GE211</f>
        <v>0</v>
      </c>
      <c r="GN211" s="145" cm="1">
        <f t="array" ref="GN211">SUMPRODUCT(--($CR$7:$FW$7&gt;=GN$5),--($CR$7:$FW$7&lt;=GN$6),$CR211:$FW211)*GF211</f>
        <v>0</v>
      </c>
      <c r="GO211" s="145">
        <f t="shared" si="3"/>
        <v>0</v>
      </c>
      <c r="GP211" s="87"/>
      <c r="GR211" s="145" cm="1">
        <f t="array" ref="GR211">SUMPRODUCT(--($CR$7:$FW$7&gt;=GR$5),--($CR$7:$FW$7&lt;=GR$6),$CR211:$FW211)</f>
        <v>0</v>
      </c>
    </row>
    <row r="212" spans="2:200" x14ac:dyDescent="0.2">
      <c r="B212" s="141"/>
      <c r="C212" s="141"/>
      <c r="D212" s="141"/>
      <c r="E212" s="141"/>
      <c r="F212" s="141"/>
      <c r="G212" s="141"/>
      <c r="H212" s="142"/>
      <c r="I212" s="126"/>
      <c r="J212" s="143"/>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3"/>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c r="EE212" s="145"/>
      <c r="EF212" s="145"/>
      <c r="EG212" s="145"/>
      <c r="EH212" s="145"/>
      <c r="EI212" s="145"/>
      <c r="EJ212" s="145"/>
      <c r="EK212" s="145"/>
      <c r="EL212" s="145"/>
      <c r="EM212" s="145"/>
      <c r="EN212" s="145"/>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45"/>
      <c r="FK212" s="145"/>
      <c r="FL212" s="145"/>
      <c r="FM212" s="145"/>
      <c r="FN212" s="145"/>
      <c r="FO212" s="145"/>
      <c r="FP212" s="145"/>
      <c r="FQ212" s="145"/>
      <c r="FR212" s="145"/>
      <c r="FS212" s="145"/>
      <c r="FT212" s="145"/>
      <c r="FU212" s="145"/>
      <c r="FV212" s="145"/>
      <c r="FW212" s="145"/>
      <c r="FX212" s="143"/>
      <c r="FY212" s="146">
        <f>_xlfn.XLOOKUP($E212,'Key assumptions'!$B$112:$B$120,'Key assumptions'!$C$112:$C$120,0)</f>
        <v>0</v>
      </c>
      <c r="FZ212" s="146" cm="1">
        <f t="array" ref="FZ212">IF($FY212=0,0,_xlfn.IFS($FY212='Key assumptions'!$C$120,_xlfn.XLOOKUP(LEFT(FZ$7,6),Inflation_Year,Inflation_NominaltoReal),TRUE,_xlfn.XLOOKUP($FY212,Inflation_Year,NominaltoReal)))</f>
        <v>0</v>
      </c>
      <c r="GA212" s="146" cm="1">
        <f t="array" ref="GA212">IF($FY212=0,0,_xlfn.IFS($FY212='Key assumptions'!$C$120,_xlfn.XLOOKUP(LEFT(GA$7,6),Inflation_Year,Inflation_NominaltoReal),TRUE,_xlfn.XLOOKUP($FY212,Inflation_Year,NominaltoReal)))</f>
        <v>0</v>
      </c>
      <c r="GB212" s="146" cm="1">
        <f t="array" ref="GB212">IF($FY212=0,0,_xlfn.IFS($FY212='Key assumptions'!$C$120,_xlfn.XLOOKUP(LEFT(GB$7,6),Inflation_Year,Inflation_NominaltoReal),TRUE,_xlfn.XLOOKUP($FY212,Inflation_Year,NominaltoReal)))</f>
        <v>0</v>
      </c>
      <c r="GC212" s="146" cm="1">
        <f t="array" ref="GC212">IF($FY212=0,0,_xlfn.IFS($FY212='Key assumptions'!$C$120,_xlfn.XLOOKUP(LEFT(GC$7,6),Inflation_Year,Inflation_NominaltoReal),TRUE,_xlfn.XLOOKUP($FY212,Inflation_Year,NominaltoReal)))</f>
        <v>0</v>
      </c>
      <c r="GD212" s="146" cm="1">
        <f t="array" ref="GD212">IF($FY212=0,0,_xlfn.IFS($FY212='Key assumptions'!$C$120,_xlfn.XLOOKUP(LEFT(GD$7,6),Inflation_Year,Inflation_NominaltoReal),TRUE,_xlfn.XLOOKUP($FY212,Inflation_Year,NominaltoReal)))</f>
        <v>0</v>
      </c>
      <c r="GE212" s="146" cm="1">
        <f t="array" ref="GE212">IF($FY212=0,0,_xlfn.IFS($FY212='Key assumptions'!$C$120,_xlfn.XLOOKUP(LEFT(GE$7,6),Inflation_Year,Inflation_NominaltoReal),TRUE,_xlfn.XLOOKUP($FY212,Inflation_Year,NominaltoReal)))</f>
        <v>0</v>
      </c>
      <c r="GF212" s="146" cm="1">
        <f t="array" ref="GF212">IF($FY212=0,0,_xlfn.IFS($FY212='Key assumptions'!$C$120,_xlfn.XLOOKUP(LEFT(GF$7,6),Inflation_Year,Inflation_NominaltoReal),TRUE,_xlfn.XLOOKUP($FY212,Inflation_Year,NominaltoReal)))</f>
        <v>0</v>
      </c>
      <c r="GG212" s="143"/>
      <c r="GH212" s="145" cm="1">
        <f t="array" ref="GH212">SUMPRODUCT(--($CR$7:$FW$7&gt;=GH$5),--($CR$7:$FW$7&lt;=GH$6),$CR212:$FW212)*FZ212</f>
        <v>0</v>
      </c>
      <c r="GI212" s="145" cm="1">
        <f t="array" ref="GI212">SUMPRODUCT(--($CR$7:$FW$7&gt;=GI$5),--($CR$7:$FW$7&lt;=GI$6),$CR212:$FW212)*GA212</f>
        <v>0</v>
      </c>
      <c r="GJ212" s="145" cm="1">
        <f t="array" ref="GJ212">SUMPRODUCT(--($CR$7:$FW$7&gt;=GJ$5),--($CR$7:$FW$7&lt;=GJ$6),$CR212:$FW212)*GB212</f>
        <v>0</v>
      </c>
      <c r="GK212" s="145" cm="1">
        <f t="array" ref="GK212">SUMPRODUCT(--($CR$7:$FW$7&gt;=GK$5),--($CR$7:$FW$7&lt;=GK$6),$CR212:$FW212)*GC212</f>
        <v>0</v>
      </c>
      <c r="GL212" s="145" cm="1">
        <f t="array" ref="GL212">SUMPRODUCT(--($CR$7:$FW$7&gt;=GL$5),--($CR$7:$FW$7&lt;=GL$6),$CR212:$FW212)*GD212</f>
        <v>0</v>
      </c>
      <c r="GM212" s="145" cm="1">
        <f t="array" ref="GM212">SUMPRODUCT(--($CR$7:$FW$7&gt;=GM$5),--($CR$7:$FW$7&lt;=GM$6),$CR212:$FW212)*GE212</f>
        <v>0</v>
      </c>
      <c r="GN212" s="145" cm="1">
        <f t="array" ref="GN212">SUMPRODUCT(--($CR$7:$FW$7&gt;=GN$5),--($CR$7:$FW$7&lt;=GN$6),$CR212:$FW212)*GF212</f>
        <v>0</v>
      </c>
      <c r="GO212" s="145">
        <f t="shared" si="3"/>
        <v>0</v>
      </c>
      <c r="GP212" s="87"/>
      <c r="GR212" s="145" cm="1">
        <f t="array" ref="GR212">SUMPRODUCT(--($CR$7:$FW$7&gt;=GR$5),--($CR$7:$FW$7&lt;=GR$6),$CR212:$FW212)</f>
        <v>0</v>
      </c>
    </row>
    <row r="213" spans="2:200" x14ac:dyDescent="0.2">
      <c r="B213" s="141"/>
      <c r="C213" s="141"/>
      <c r="D213" s="141"/>
      <c r="E213" s="141"/>
      <c r="F213" s="141"/>
      <c r="G213" s="141"/>
      <c r="H213" s="142"/>
      <c r="I213" s="126"/>
      <c r="J213" s="143"/>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3"/>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145"/>
      <c r="EH213" s="145"/>
      <c r="EI213" s="145"/>
      <c r="EJ213" s="145"/>
      <c r="EK213" s="145"/>
      <c r="EL213" s="145"/>
      <c r="EM213" s="145"/>
      <c r="EN213" s="145"/>
      <c r="EO213" s="145"/>
      <c r="EP213" s="145"/>
      <c r="EQ213" s="145"/>
      <c r="ER213" s="145"/>
      <c r="ES213" s="145"/>
      <c r="ET213" s="145"/>
      <c r="EU213" s="145"/>
      <c r="EV213" s="145"/>
      <c r="EW213" s="145"/>
      <c r="EX213" s="145"/>
      <c r="EY213" s="145"/>
      <c r="EZ213" s="145"/>
      <c r="FA213" s="145"/>
      <c r="FB213" s="145"/>
      <c r="FC213" s="145"/>
      <c r="FD213" s="145"/>
      <c r="FE213" s="145"/>
      <c r="FF213" s="145"/>
      <c r="FG213" s="145"/>
      <c r="FH213" s="145"/>
      <c r="FI213" s="145"/>
      <c r="FJ213" s="145"/>
      <c r="FK213" s="145"/>
      <c r="FL213" s="145"/>
      <c r="FM213" s="145"/>
      <c r="FN213" s="145"/>
      <c r="FO213" s="145"/>
      <c r="FP213" s="145"/>
      <c r="FQ213" s="145"/>
      <c r="FR213" s="145"/>
      <c r="FS213" s="145"/>
      <c r="FT213" s="145"/>
      <c r="FU213" s="145"/>
      <c r="FV213" s="145"/>
      <c r="FW213" s="145"/>
      <c r="FX213" s="143"/>
      <c r="FY213" s="146">
        <f>_xlfn.XLOOKUP($E213,'Key assumptions'!$B$112:$B$120,'Key assumptions'!$C$112:$C$120,0)</f>
        <v>0</v>
      </c>
      <c r="FZ213" s="146" cm="1">
        <f t="array" ref="FZ213">IF($FY213=0,0,_xlfn.IFS($FY213='Key assumptions'!$C$120,_xlfn.XLOOKUP(LEFT(FZ$7,6),Inflation_Year,Inflation_NominaltoReal),TRUE,_xlfn.XLOOKUP($FY213,Inflation_Year,NominaltoReal)))</f>
        <v>0</v>
      </c>
      <c r="GA213" s="146" cm="1">
        <f t="array" ref="GA213">IF($FY213=0,0,_xlfn.IFS($FY213='Key assumptions'!$C$120,_xlfn.XLOOKUP(LEFT(GA$7,6),Inflation_Year,Inflation_NominaltoReal),TRUE,_xlfn.XLOOKUP($FY213,Inflation_Year,NominaltoReal)))</f>
        <v>0</v>
      </c>
      <c r="GB213" s="146" cm="1">
        <f t="array" ref="GB213">IF($FY213=0,0,_xlfn.IFS($FY213='Key assumptions'!$C$120,_xlfn.XLOOKUP(LEFT(GB$7,6),Inflation_Year,Inflation_NominaltoReal),TRUE,_xlfn.XLOOKUP($FY213,Inflation_Year,NominaltoReal)))</f>
        <v>0</v>
      </c>
      <c r="GC213" s="146" cm="1">
        <f t="array" ref="GC213">IF($FY213=0,0,_xlfn.IFS($FY213='Key assumptions'!$C$120,_xlfn.XLOOKUP(LEFT(GC$7,6),Inflation_Year,Inflation_NominaltoReal),TRUE,_xlfn.XLOOKUP($FY213,Inflation_Year,NominaltoReal)))</f>
        <v>0</v>
      </c>
      <c r="GD213" s="146" cm="1">
        <f t="array" ref="GD213">IF($FY213=0,0,_xlfn.IFS($FY213='Key assumptions'!$C$120,_xlfn.XLOOKUP(LEFT(GD$7,6),Inflation_Year,Inflation_NominaltoReal),TRUE,_xlfn.XLOOKUP($FY213,Inflation_Year,NominaltoReal)))</f>
        <v>0</v>
      </c>
      <c r="GE213" s="146" cm="1">
        <f t="array" ref="GE213">IF($FY213=0,0,_xlfn.IFS($FY213='Key assumptions'!$C$120,_xlfn.XLOOKUP(LEFT(GE$7,6),Inflation_Year,Inflation_NominaltoReal),TRUE,_xlfn.XLOOKUP($FY213,Inflation_Year,NominaltoReal)))</f>
        <v>0</v>
      </c>
      <c r="GF213" s="146" cm="1">
        <f t="array" ref="GF213">IF($FY213=0,0,_xlfn.IFS($FY213='Key assumptions'!$C$120,_xlfn.XLOOKUP(LEFT(GF$7,6),Inflation_Year,Inflation_NominaltoReal),TRUE,_xlfn.XLOOKUP($FY213,Inflation_Year,NominaltoReal)))</f>
        <v>0</v>
      </c>
      <c r="GG213" s="143"/>
      <c r="GH213" s="145" cm="1">
        <f t="array" ref="GH213">SUMPRODUCT(--($CR$7:$FW$7&gt;=GH$5),--($CR$7:$FW$7&lt;=GH$6),$CR213:$FW213)*FZ213</f>
        <v>0</v>
      </c>
      <c r="GI213" s="145" cm="1">
        <f t="array" ref="GI213">SUMPRODUCT(--($CR$7:$FW$7&gt;=GI$5),--($CR$7:$FW$7&lt;=GI$6),$CR213:$FW213)*GA213</f>
        <v>0</v>
      </c>
      <c r="GJ213" s="145" cm="1">
        <f t="array" ref="GJ213">SUMPRODUCT(--($CR$7:$FW$7&gt;=GJ$5),--($CR$7:$FW$7&lt;=GJ$6),$CR213:$FW213)*GB213</f>
        <v>0</v>
      </c>
      <c r="GK213" s="145" cm="1">
        <f t="array" ref="GK213">SUMPRODUCT(--($CR$7:$FW$7&gt;=GK$5),--($CR$7:$FW$7&lt;=GK$6),$CR213:$FW213)*GC213</f>
        <v>0</v>
      </c>
      <c r="GL213" s="145" cm="1">
        <f t="array" ref="GL213">SUMPRODUCT(--($CR$7:$FW$7&gt;=GL$5),--($CR$7:$FW$7&lt;=GL$6),$CR213:$FW213)*GD213</f>
        <v>0</v>
      </c>
      <c r="GM213" s="145" cm="1">
        <f t="array" ref="GM213">SUMPRODUCT(--($CR$7:$FW$7&gt;=GM$5),--($CR$7:$FW$7&lt;=GM$6),$CR213:$FW213)*GE213</f>
        <v>0</v>
      </c>
      <c r="GN213" s="145" cm="1">
        <f t="array" ref="GN213">SUMPRODUCT(--($CR$7:$FW$7&gt;=GN$5),--($CR$7:$FW$7&lt;=GN$6),$CR213:$FW213)*GF213</f>
        <v>0</v>
      </c>
      <c r="GO213" s="145">
        <f t="shared" si="3"/>
        <v>0</v>
      </c>
      <c r="GP213" s="87"/>
      <c r="GR213" s="145" cm="1">
        <f t="array" ref="GR213">SUMPRODUCT(--($CR$7:$FW$7&gt;=GR$5),--($CR$7:$FW$7&lt;=GR$6),$CR213:$FW213)</f>
        <v>0</v>
      </c>
    </row>
    <row r="214" spans="2:200" x14ac:dyDescent="0.2">
      <c r="B214" s="141"/>
      <c r="C214" s="141"/>
      <c r="D214" s="141"/>
      <c r="E214" s="141"/>
      <c r="F214" s="141"/>
      <c r="G214" s="141"/>
      <c r="H214" s="142"/>
      <c r="I214" s="126"/>
      <c r="J214" s="143"/>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3"/>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145"/>
      <c r="EH214" s="145"/>
      <c r="EI214" s="145"/>
      <c r="EJ214" s="145"/>
      <c r="EK214" s="145"/>
      <c r="EL214" s="145"/>
      <c r="EM214" s="145"/>
      <c r="EN214" s="145"/>
      <c r="EO214" s="145"/>
      <c r="EP214" s="145"/>
      <c r="EQ214" s="145"/>
      <c r="ER214" s="145"/>
      <c r="ES214" s="145"/>
      <c r="ET214" s="145"/>
      <c r="EU214" s="145"/>
      <c r="EV214" s="145"/>
      <c r="EW214" s="145"/>
      <c r="EX214" s="145"/>
      <c r="EY214" s="145"/>
      <c r="EZ214" s="145"/>
      <c r="FA214" s="145"/>
      <c r="FB214" s="145"/>
      <c r="FC214" s="145"/>
      <c r="FD214" s="145"/>
      <c r="FE214" s="145"/>
      <c r="FF214" s="145"/>
      <c r="FG214" s="145"/>
      <c r="FH214" s="145"/>
      <c r="FI214" s="145"/>
      <c r="FJ214" s="145"/>
      <c r="FK214" s="145"/>
      <c r="FL214" s="145"/>
      <c r="FM214" s="145"/>
      <c r="FN214" s="145"/>
      <c r="FO214" s="145"/>
      <c r="FP214" s="145"/>
      <c r="FQ214" s="145"/>
      <c r="FR214" s="145"/>
      <c r="FS214" s="145"/>
      <c r="FT214" s="145"/>
      <c r="FU214" s="145"/>
      <c r="FV214" s="145"/>
      <c r="FW214" s="145"/>
      <c r="FX214" s="143"/>
      <c r="FY214" s="146">
        <f>_xlfn.XLOOKUP($E214,'Key assumptions'!$B$112:$B$120,'Key assumptions'!$C$112:$C$120,0)</f>
        <v>0</v>
      </c>
      <c r="FZ214" s="146" cm="1">
        <f t="array" ref="FZ214">IF($FY214=0,0,_xlfn.IFS($FY214='Key assumptions'!$C$120,_xlfn.XLOOKUP(LEFT(FZ$7,6),Inflation_Year,Inflation_NominaltoReal),TRUE,_xlfn.XLOOKUP($FY214,Inflation_Year,NominaltoReal)))</f>
        <v>0</v>
      </c>
      <c r="GA214" s="146" cm="1">
        <f t="array" ref="GA214">IF($FY214=0,0,_xlfn.IFS($FY214='Key assumptions'!$C$120,_xlfn.XLOOKUP(LEFT(GA$7,6),Inflation_Year,Inflation_NominaltoReal),TRUE,_xlfn.XLOOKUP($FY214,Inflation_Year,NominaltoReal)))</f>
        <v>0</v>
      </c>
      <c r="GB214" s="146" cm="1">
        <f t="array" ref="GB214">IF($FY214=0,0,_xlfn.IFS($FY214='Key assumptions'!$C$120,_xlfn.XLOOKUP(LEFT(GB$7,6),Inflation_Year,Inflation_NominaltoReal),TRUE,_xlfn.XLOOKUP($FY214,Inflation_Year,NominaltoReal)))</f>
        <v>0</v>
      </c>
      <c r="GC214" s="146" cm="1">
        <f t="array" ref="GC214">IF($FY214=0,0,_xlfn.IFS($FY214='Key assumptions'!$C$120,_xlfn.XLOOKUP(LEFT(GC$7,6),Inflation_Year,Inflation_NominaltoReal),TRUE,_xlfn.XLOOKUP($FY214,Inflation_Year,NominaltoReal)))</f>
        <v>0</v>
      </c>
      <c r="GD214" s="146" cm="1">
        <f t="array" ref="GD214">IF($FY214=0,0,_xlfn.IFS($FY214='Key assumptions'!$C$120,_xlfn.XLOOKUP(LEFT(GD$7,6),Inflation_Year,Inflation_NominaltoReal),TRUE,_xlfn.XLOOKUP($FY214,Inflation_Year,NominaltoReal)))</f>
        <v>0</v>
      </c>
      <c r="GE214" s="146" cm="1">
        <f t="array" ref="GE214">IF($FY214=0,0,_xlfn.IFS($FY214='Key assumptions'!$C$120,_xlfn.XLOOKUP(LEFT(GE$7,6),Inflation_Year,Inflation_NominaltoReal),TRUE,_xlfn.XLOOKUP($FY214,Inflation_Year,NominaltoReal)))</f>
        <v>0</v>
      </c>
      <c r="GF214" s="146" cm="1">
        <f t="array" ref="GF214">IF($FY214=0,0,_xlfn.IFS($FY214='Key assumptions'!$C$120,_xlfn.XLOOKUP(LEFT(GF$7,6),Inflation_Year,Inflation_NominaltoReal),TRUE,_xlfn.XLOOKUP($FY214,Inflation_Year,NominaltoReal)))</f>
        <v>0</v>
      </c>
      <c r="GG214" s="143"/>
      <c r="GH214" s="145" cm="1">
        <f t="array" ref="GH214">SUMPRODUCT(--($CR$7:$FW$7&gt;=GH$5),--($CR$7:$FW$7&lt;=GH$6),$CR214:$FW214)*FZ214</f>
        <v>0</v>
      </c>
      <c r="GI214" s="145" cm="1">
        <f t="array" ref="GI214">SUMPRODUCT(--($CR$7:$FW$7&gt;=GI$5),--($CR$7:$FW$7&lt;=GI$6),$CR214:$FW214)*GA214</f>
        <v>0</v>
      </c>
      <c r="GJ214" s="145" cm="1">
        <f t="array" ref="GJ214">SUMPRODUCT(--($CR$7:$FW$7&gt;=GJ$5),--($CR$7:$FW$7&lt;=GJ$6),$CR214:$FW214)*GB214</f>
        <v>0</v>
      </c>
      <c r="GK214" s="145" cm="1">
        <f t="array" ref="GK214">SUMPRODUCT(--($CR$7:$FW$7&gt;=GK$5),--($CR$7:$FW$7&lt;=GK$6),$CR214:$FW214)*GC214</f>
        <v>0</v>
      </c>
      <c r="GL214" s="145" cm="1">
        <f t="array" ref="GL214">SUMPRODUCT(--($CR$7:$FW$7&gt;=GL$5),--($CR$7:$FW$7&lt;=GL$6),$CR214:$FW214)*GD214</f>
        <v>0</v>
      </c>
      <c r="GM214" s="145" cm="1">
        <f t="array" ref="GM214">SUMPRODUCT(--($CR$7:$FW$7&gt;=GM$5),--($CR$7:$FW$7&lt;=GM$6),$CR214:$FW214)*GE214</f>
        <v>0</v>
      </c>
      <c r="GN214" s="145" cm="1">
        <f t="array" ref="GN214">SUMPRODUCT(--($CR$7:$FW$7&gt;=GN$5),--($CR$7:$FW$7&lt;=GN$6),$CR214:$FW214)*GF214</f>
        <v>0</v>
      </c>
      <c r="GO214" s="145">
        <f t="shared" si="3"/>
        <v>0</v>
      </c>
      <c r="GP214" s="87"/>
      <c r="GR214" s="145" cm="1">
        <f t="array" ref="GR214">SUMPRODUCT(--($CR$7:$FW$7&gt;=GR$5),--($CR$7:$FW$7&lt;=GR$6),$CR214:$FW214)</f>
        <v>0</v>
      </c>
    </row>
    <row r="215" spans="2:200" x14ac:dyDescent="0.2">
      <c r="B215" s="141"/>
      <c r="C215" s="141"/>
      <c r="D215" s="141"/>
      <c r="E215" s="141"/>
      <c r="F215" s="141"/>
      <c r="G215" s="141"/>
      <c r="H215" s="142"/>
      <c r="I215" s="126"/>
      <c r="J215" s="143"/>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3"/>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c r="EE215" s="145"/>
      <c r="EF215" s="145"/>
      <c r="EG215" s="145"/>
      <c r="EH215" s="145"/>
      <c r="EI215" s="145"/>
      <c r="EJ215" s="145"/>
      <c r="EK215" s="145"/>
      <c r="EL215" s="145"/>
      <c r="EM215" s="145"/>
      <c r="EN215" s="145"/>
      <c r="EO215" s="145"/>
      <c r="EP215" s="145"/>
      <c r="EQ215" s="145"/>
      <c r="ER215" s="145"/>
      <c r="ES215" s="145"/>
      <c r="ET215" s="145"/>
      <c r="EU215" s="145"/>
      <c r="EV215" s="145"/>
      <c r="EW215" s="145"/>
      <c r="EX215" s="145"/>
      <c r="EY215" s="145"/>
      <c r="EZ215" s="145"/>
      <c r="FA215" s="145"/>
      <c r="FB215" s="145"/>
      <c r="FC215" s="145"/>
      <c r="FD215" s="145"/>
      <c r="FE215" s="145"/>
      <c r="FF215" s="145"/>
      <c r="FG215" s="145"/>
      <c r="FH215" s="145"/>
      <c r="FI215" s="145"/>
      <c r="FJ215" s="145"/>
      <c r="FK215" s="145"/>
      <c r="FL215" s="145"/>
      <c r="FM215" s="145"/>
      <c r="FN215" s="145"/>
      <c r="FO215" s="145"/>
      <c r="FP215" s="145"/>
      <c r="FQ215" s="145"/>
      <c r="FR215" s="145"/>
      <c r="FS215" s="145"/>
      <c r="FT215" s="145"/>
      <c r="FU215" s="145"/>
      <c r="FV215" s="145"/>
      <c r="FW215" s="145"/>
      <c r="FX215" s="143"/>
      <c r="FY215" s="146">
        <f>_xlfn.XLOOKUP($E215,'Key assumptions'!$B$112:$B$120,'Key assumptions'!$C$112:$C$120,0)</f>
        <v>0</v>
      </c>
      <c r="FZ215" s="146" cm="1">
        <f t="array" ref="FZ215">IF($FY215=0,0,_xlfn.IFS($FY215='Key assumptions'!$C$120,_xlfn.XLOOKUP(LEFT(FZ$7,6),Inflation_Year,Inflation_NominaltoReal),TRUE,_xlfn.XLOOKUP($FY215,Inflation_Year,NominaltoReal)))</f>
        <v>0</v>
      </c>
      <c r="GA215" s="146" cm="1">
        <f t="array" ref="GA215">IF($FY215=0,0,_xlfn.IFS($FY215='Key assumptions'!$C$120,_xlfn.XLOOKUP(LEFT(GA$7,6),Inflation_Year,Inflation_NominaltoReal),TRUE,_xlfn.XLOOKUP($FY215,Inflation_Year,NominaltoReal)))</f>
        <v>0</v>
      </c>
      <c r="GB215" s="146" cm="1">
        <f t="array" ref="GB215">IF($FY215=0,0,_xlfn.IFS($FY215='Key assumptions'!$C$120,_xlfn.XLOOKUP(LEFT(GB$7,6),Inflation_Year,Inflation_NominaltoReal),TRUE,_xlfn.XLOOKUP($FY215,Inflation_Year,NominaltoReal)))</f>
        <v>0</v>
      </c>
      <c r="GC215" s="146" cm="1">
        <f t="array" ref="GC215">IF($FY215=0,0,_xlfn.IFS($FY215='Key assumptions'!$C$120,_xlfn.XLOOKUP(LEFT(GC$7,6),Inflation_Year,Inflation_NominaltoReal),TRUE,_xlfn.XLOOKUP($FY215,Inflation_Year,NominaltoReal)))</f>
        <v>0</v>
      </c>
      <c r="GD215" s="146" cm="1">
        <f t="array" ref="GD215">IF($FY215=0,0,_xlfn.IFS($FY215='Key assumptions'!$C$120,_xlfn.XLOOKUP(LEFT(GD$7,6),Inflation_Year,Inflation_NominaltoReal),TRUE,_xlfn.XLOOKUP($FY215,Inflation_Year,NominaltoReal)))</f>
        <v>0</v>
      </c>
      <c r="GE215" s="146" cm="1">
        <f t="array" ref="GE215">IF($FY215=0,0,_xlfn.IFS($FY215='Key assumptions'!$C$120,_xlfn.XLOOKUP(LEFT(GE$7,6),Inflation_Year,Inflation_NominaltoReal),TRUE,_xlfn.XLOOKUP($FY215,Inflation_Year,NominaltoReal)))</f>
        <v>0</v>
      </c>
      <c r="GF215" s="146" cm="1">
        <f t="array" ref="GF215">IF($FY215=0,0,_xlfn.IFS($FY215='Key assumptions'!$C$120,_xlfn.XLOOKUP(LEFT(GF$7,6),Inflation_Year,Inflation_NominaltoReal),TRUE,_xlfn.XLOOKUP($FY215,Inflation_Year,NominaltoReal)))</f>
        <v>0</v>
      </c>
      <c r="GG215" s="143"/>
      <c r="GH215" s="145" cm="1">
        <f t="array" ref="GH215">SUMPRODUCT(--($CR$7:$FW$7&gt;=GH$5),--($CR$7:$FW$7&lt;=GH$6),$CR215:$FW215)*FZ215</f>
        <v>0</v>
      </c>
      <c r="GI215" s="145" cm="1">
        <f t="array" ref="GI215">SUMPRODUCT(--($CR$7:$FW$7&gt;=GI$5),--($CR$7:$FW$7&lt;=GI$6),$CR215:$FW215)*GA215</f>
        <v>0</v>
      </c>
      <c r="GJ215" s="145" cm="1">
        <f t="array" ref="GJ215">SUMPRODUCT(--($CR$7:$FW$7&gt;=GJ$5),--($CR$7:$FW$7&lt;=GJ$6),$CR215:$FW215)*GB215</f>
        <v>0</v>
      </c>
      <c r="GK215" s="145" cm="1">
        <f t="array" ref="GK215">SUMPRODUCT(--($CR$7:$FW$7&gt;=GK$5),--($CR$7:$FW$7&lt;=GK$6),$CR215:$FW215)*GC215</f>
        <v>0</v>
      </c>
      <c r="GL215" s="145" cm="1">
        <f t="array" ref="GL215">SUMPRODUCT(--($CR$7:$FW$7&gt;=GL$5),--($CR$7:$FW$7&lt;=GL$6),$CR215:$FW215)*GD215</f>
        <v>0</v>
      </c>
      <c r="GM215" s="145" cm="1">
        <f t="array" ref="GM215">SUMPRODUCT(--($CR$7:$FW$7&gt;=GM$5),--($CR$7:$FW$7&lt;=GM$6),$CR215:$FW215)*GE215</f>
        <v>0</v>
      </c>
      <c r="GN215" s="145" cm="1">
        <f t="array" ref="GN215">SUMPRODUCT(--($CR$7:$FW$7&gt;=GN$5),--($CR$7:$FW$7&lt;=GN$6),$CR215:$FW215)*GF215</f>
        <v>0</v>
      </c>
      <c r="GO215" s="145">
        <f t="shared" si="3"/>
        <v>0</v>
      </c>
      <c r="GP215" s="87"/>
      <c r="GR215" s="145" cm="1">
        <f t="array" ref="GR215">SUMPRODUCT(--($CR$7:$FW$7&gt;=GR$5),--($CR$7:$FW$7&lt;=GR$6),$CR215:$FW215)</f>
        <v>0</v>
      </c>
    </row>
    <row r="216" spans="2:200" x14ac:dyDescent="0.2">
      <c r="B216" s="141"/>
      <c r="C216" s="141"/>
      <c r="D216" s="141"/>
      <c r="E216" s="141"/>
      <c r="F216" s="141"/>
      <c r="G216" s="141"/>
      <c r="H216" s="142"/>
      <c r="I216" s="126"/>
      <c r="J216" s="143"/>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3"/>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c r="EE216" s="145"/>
      <c r="EF216" s="145"/>
      <c r="EG216" s="145"/>
      <c r="EH216" s="145"/>
      <c r="EI216" s="145"/>
      <c r="EJ216" s="145"/>
      <c r="EK216" s="145"/>
      <c r="EL216" s="145"/>
      <c r="EM216" s="145"/>
      <c r="EN216" s="145"/>
      <c r="EO216" s="145"/>
      <c r="EP216" s="145"/>
      <c r="EQ216" s="145"/>
      <c r="ER216" s="145"/>
      <c r="ES216" s="145"/>
      <c r="ET216" s="145"/>
      <c r="EU216" s="145"/>
      <c r="EV216" s="145"/>
      <c r="EW216" s="145"/>
      <c r="EX216" s="145"/>
      <c r="EY216" s="145"/>
      <c r="EZ216" s="145"/>
      <c r="FA216" s="145"/>
      <c r="FB216" s="145"/>
      <c r="FC216" s="145"/>
      <c r="FD216" s="145"/>
      <c r="FE216" s="145"/>
      <c r="FF216" s="145"/>
      <c r="FG216" s="145"/>
      <c r="FH216" s="145"/>
      <c r="FI216" s="145"/>
      <c r="FJ216" s="145"/>
      <c r="FK216" s="145"/>
      <c r="FL216" s="145"/>
      <c r="FM216" s="145"/>
      <c r="FN216" s="145"/>
      <c r="FO216" s="145"/>
      <c r="FP216" s="145"/>
      <c r="FQ216" s="145"/>
      <c r="FR216" s="145"/>
      <c r="FS216" s="145"/>
      <c r="FT216" s="145"/>
      <c r="FU216" s="145"/>
      <c r="FV216" s="145"/>
      <c r="FW216" s="145"/>
      <c r="FX216" s="143"/>
      <c r="FY216" s="146">
        <f>_xlfn.XLOOKUP($E216,'Key assumptions'!$B$112:$B$120,'Key assumptions'!$C$112:$C$120,0)</f>
        <v>0</v>
      </c>
      <c r="FZ216" s="146" cm="1">
        <f t="array" ref="FZ216">IF($FY216=0,0,_xlfn.IFS($FY216='Key assumptions'!$C$120,_xlfn.XLOOKUP(LEFT(FZ$7,6),Inflation_Year,Inflation_NominaltoReal),TRUE,_xlfn.XLOOKUP($FY216,Inflation_Year,NominaltoReal)))</f>
        <v>0</v>
      </c>
      <c r="GA216" s="146" cm="1">
        <f t="array" ref="GA216">IF($FY216=0,0,_xlfn.IFS($FY216='Key assumptions'!$C$120,_xlfn.XLOOKUP(LEFT(GA$7,6),Inflation_Year,Inflation_NominaltoReal),TRUE,_xlfn.XLOOKUP($FY216,Inflation_Year,NominaltoReal)))</f>
        <v>0</v>
      </c>
      <c r="GB216" s="146" cm="1">
        <f t="array" ref="GB216">IF($FY216=0,0,_xlfn.IFS($FY216='Key assumptions'!$C$120,_xlfn.XLOOKUP(LEFT(GB$7,6),Inflation_Year,Inflation_NominaltoReal),TRUE,_xlfn.XLOOKUP($FY216,Inflation_Year,NominaltoReal)))</f>
        <v>0</v>
      </c>
      <c r="GC216" s="146" cm="1">
        <f t="array" ref="GC216">IF($FY216=0,0,_xlfn.IFS($FY216='Key assumptions'!$C$120,_xlfn.XLOOKUP(LEFT(GC$7,6),Inflation_Year,Inflation_NominaltoReal),TRUE,_xlfn.XLOOKUP($FY216,Inflation_Year,NominaltoReal)))</f>
        <v>0</v>
      </c>
      <c r="GD216" s="146" cm="1">
        <f t="array" ref="GD216">IF($FY216=0,0,_xlfn.IFS($FY216='Key assumptions'!$C$120,_xlfn.XLOOKUP(LEFT(GD$7,6),Inflation_Year,Inflation_NominaltoReal),TRUE,_xlfn.XLOOKUP($FY216,Inflation_Year,NominaltoReal)))</f>
        <v>0</v>
      </c>
      <c r="GE216" s="146" cm="1">
        <f t="array" ref="GE216">IF($FY216=0,0,_xlfn.IFS($FY216='Key assumptions'!$C$120,_xlfn.XLOOKUP(LEFT(GE$7,6),Inflation_Year,Inflation_NominaltoReal),TRUE,_xlfn.XLOOKUP($FY216,Inflation_Year,NominaltoReal)))</f>
        <v>0</v>
      </c>
      <c r="GF216" s="146" cm="1">
        <f t="array" ref="GF216">IF($FY216=0,0,_xlfn.IFS($FY216='Key assumptions'!$C$120,_xlfn.XLOOKUP(LEFT(GF$7,6),Inflation_Year,Inflation_NominaltoReal),TRUE,_xlfn.XLOOKUP($FY216,Inflation_Year,NominaltoReal)))</f>
        <v>0</v>
      </c>
      <c r="GG216" s="143"/>
      <c r="GH216" s="145" cm="1">
        <f t="array" ref="GH216">SUMPRODUCT(--($CR$7:$FW$7&gt;=GH$5),--($CR$7:$FW$7&lt;=GH$6),$CR216:$FW216)*FZ216</f>
        <v>0</v>
      </c>
      <c r="GI216" s="145" cm="1">
        <f t="array" ref="GI216">SUMPRODUCT(--($CR$7:$FW$7&gt;=GI$5),--($CR$7:$FW$7&lt;=GI$6),$CR216:$FW216)*GA216</f>
        <v>0</v>
      </c>
      <c r="GJ216" s="145" cm="1">
        <f t="array" ref="GJ216">SUMPRODUCT(--($CR$7:$FW$7&gt;=GJ$5),--($CR$7:$FW$7&lt;=GJ$6),$CR216:$FW216)*GB216</f>
        <v>0</v>
      </c>
      <c r="GK216" s="145" cm="1">
        <f t="array" ref="GK216">SUMPRODUCT(--($CR$7:$FW$7&gt;=GK$5),--($CR$7:$FW$7&lt;=GK$6),$CR216:$FW216)*GC216</f>
        <v>0</v>
      </c>
      <c r="GL216" s="145" cm="1">
        <f t="array" ref="GL216">SUMPRODUCT(--($CR$7:$FW$7&gt;=GL$5),--($CR$7:$FW$7&lt;=GL$6),$CR216:$FW216)*GD216</f>
        <v>0</v>
      </c>
      <c r="GM216" s="145" cm="1">
        <f t="array" ref="GM216">SUMPRODUCT(--($CR$7:$FW$7&gt;=GM$5),--($CR$7:$FW$7&lt;=GM$6),$CR216:$FW216)*GE216</f>
        <v>0</v>
      </c>
      <c r="GN216" s="145" cm="1">
        <f t="array" ref="GN216">SUMPRODUCT(--($CR$7:$FW$7&gt;=GN$5),--($CR$7:$FW$7&lt;=GN$6),$CR216:$FW216)*GF216</f>
        <v>0</v>
      </c>
      <c r="GO216" s="145">
        <f t="shared" si="3"/>
        <v>0</v>
      </c>
      <c r="GP216" s="87"/>
      <c r="GR216" s="145" cm="1">
        <f t="array" ref="GR216">SUMPRODUCT(--($CR$7:$FW$7&gt;=GR$5),--($CR$7:$FW$7&lt;=GR$6),$CR216:$FW216)</f>
        <v>0</v>
      </c>
    </row>
    <row r="217" spans="2:200" x14ac:dyDescent="0.2">
      <c r="B217" s="141"/>
      <c r="C217" s="141"/>
      <c r="D217" s="141"/>
      <c r="E217" s="141"/>
      <c r="F217" s="141"/>
      <c r="G217" s="141"/>
      <c r="H217" s="142"/>
      <c r="I217" s="126"/>
      <c r="J217" s="143"/>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3"/>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c r="EE217" s="145"/>
      <c r="EF217" s="145"/>
      <c r="EG217" s="145"/>
      <c r="EH217" s="145"/>
      <c r="EI217" s="145"/>
      <c r="EJ217" s="145"/>
      <c r="EK217" s="145"/>
      <c r="EL217" s="145"/>
      <c r="EM217" s="145"/>
      <c r="EN217" s="145"/>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45"/>
      <c r="FK217" s="145"/>
      <c r="FL217" s="145"/>
      <c r="FM217" s="145"/>
      <c r="FN217" s="145"/>
      <c r="FO217" s="145"/>
      <c r="FP217" s="145"/>
      <c r="FQ217" s="145"/>
      <c r="FR217" s="145"/>
      <c r="FS217" s="145"/>
      <c r="FT217" s="145"/>
      <c r="FU217" s="145"/>
      <c r="FV217" s="145"/>
      <c r="FW217" s="145"/>
      <c r="FX217" s="143"/>
      <c r="FY217" s="146">
        <f>_xlfn.XLOOKUP($E217,'Key assumptions'!$B$112:$B$120,'Key assumptions'!$C$112:$C$120,0)</f>
        <v>0</v>
      </c>
      <c r="FZ217" s="146" cm="1">
        <f t="array" ref="FZ217">IF($FY217=0,0,_xlfn.IFS($FY217='Key assumptions'!$C$120,_xlfn.XLOOKUP(LEFT(FZ$7,6),Inflation_Year,Inflation_NominaltoReal),TRUE,_xlfn.XLOOKUP($FY217,Inflation_Year,NominaltoReal)))</f>
        <v>0</v>
      </c>
      <c r="GA217" s="146" cm="1">
        <f t="array" ref="GA217">IF($FY217=0,0,_xlfn.IFS($FY217='Key assumptions'!$C$120,_xlfn.XLOOKUP(LEFT(GA$7,6),Inflation_Year,Inflation_NominaltoReal),TRUE,_xlfn.XLOOKUP($FY217,Inflation_Year,NominaltoReal)))</f>
        <v>0</v>
      </c>
      <c r="GB217" s="146" cm="1">
        <f t="array" ref="GB217">IF($FY217=0,0,_xlfn.IFS($FY217='Key assumptions'!$C$120,_xlfn.XLOOKUP(LEFT(GB$7,6),Inflation_Year,Inflation_NominaltoReal),TRUE,_xlfn.XLOOKUP($FY217,Inflation_Year,NominaltoReal)))</f>
        <v>0</v>
      </c>
      <c r="GC217" s="146" cm="1">
        <f t="array" ref="GC217">IF($FY217=0,0,_xlfn.IFS($FY217='Key assumptions'!$C$120,_xlfn.XLOOKUP(LEFT(GC$7,6),Inflation_Year,Inflation_NominaltoReal),TRUE,_xlfn.XLOOKUP($FY217,Inflation_Year,NominaltoReal)))</f>
        <v>0</v>
      </c>
      <c r="GD217" s="146" cm="1">
        <f t="array" ref="GD217">IF($FY217=0,0,_xlfn.IFS($FY217='Key assumptions'!$C$120,_xlfn.XLOOKUP(LEFT(GD$7,6),Inflation_Year,Inflation_NominaltoReal),TRUE,_xlfn.XLOOKUP($FY217,Inflation_Year,NominaltoReal)))</f>
        <v>0</v>
      </c>
      <c r="GE217" s="146" cm="1">
        <f t="array" ref="GE217">IF($FY217=0,0,_xlfn.IFS($FY217='Key assumptions'!$C$120,_xlfn.XLOOKUP(LEFT(GE$7,6),Inflation_Year,Inflation_NominaltoReal),TRUE,_xlfn.XLOOKUP($FY217,Inflation_Year,NominaltoReal)))</f>
        <v>0</v>
      </c>
      <c r="GF217" s="146" cm="1">
        <f t="array" ref="GF217">IF($FY217=0,0,_xlfn.IFS($FY217='Key assumptions'!$C$120,_xlfn.XLOOKUP(LEFT(GF$7,6),Inflation_Year,Inflation_NominaltoReal),TRUE,_xlfn.XLOOKUP($FY217,Inflation_Year,NominaltoReal)))</f>
        <v>0</v>
      </c>
      <c r="GG217" s="143"/>
      <c r="GH217" s="145" cm="1">
        <f t="array" ref="GH217">SUMPRODUCT(--($CR$7:$FW$7&gt;=GH$5),--($CR$7:$FW$7&lt;=GH$6),$CR217:$FW217)*FZ217</f>
        <v>0</v>
      </c>
      <c r="GI217" s="145" cm="1">
        <f t="array" ref="GI217">SUMPRODUCT(--($CR$7:$FW$7&gt;=GI$5),--($CR$7:$FW$7&lt;=GI$6),$CR217:$FW217)*GA217</f>
        <v>0</v>
      </c>
      <c r="GJ217" s="145" cm="1">
        <f t="array" ref="GJ217">SUMPRODUCT(--($CR$7:$FW$7&gt;=GJ$5),--($CR$7:$FW$7&lt;=GJ$6),$CR217:$FW217)*GB217</f>
        <v>0</v>
      </c>
      <c r="GK217" s="145" cm="1">
        <f t="array" ref="GK217">SUMPRODUCT(--($CR$7:$FW$7&gt;=GK$5),--($CR$7:$FW$7&lt;=GK$6),$CR217:$FW217)*GC217</f>
        <v>0</v>
      </c>
      <c r="GL217" s="145" cm="1">
        <f t="array" ref="GL217">SUMPRODUCT(--($CR$7:$FW$7&gt;=GL$5),--($CR$7:$FW$7&lt;=GL$6),$CR217:$FW217)*GD217</f>
        <v>0</v>
      </c>
      <c r="GM217" s="145" cm="1">
        <f t="array" ref="GM217">SUMPRODUCT(--($CR$7:$FW$7&gt;=GM$5),--($CR$7:$FW$7&lt;=GM$6),$CR217:$FW217)*GE217</f>
        <v>0</v>
      </c>
      <c r="GN217" s="145" cm="1">
        <f t="array" ref="GN217">SUMPRODUCT(--($CR$7:$FW$7&gt;=GN$5),--($CR$7:$FW$7&lt;=GN$6),$CR217:$FW217)*GF217</f>
        <v>0</v>
      </c>
      <c r="GO217" s="145">
        <f t="shared" si="3"/>
        <v>0</v>
      </c>
      <c r="GP217" s="87"/>
      <c r="GR217" s="145" cm="1">
        <f t="array" ref="GR217">SUMPRODUCT(--($CR$7:$FW$7&gt;=GR$5),--($CR$7:$FW$7&lt;=GR$6),$CR217:$FW217)</f>
        <v>0</v>
      </c>
    </row>
    <row r="218" spans="2:200" x14ac:dyDescent="0.2">
      <c r="B218" s="141"/>
      <c r="C218" s="141"/>
      <c r="D218" s="141"/>
      <c r="E218" s="141"/>
      <c r="F218" s="141"/>
      <c r="G218" s="141"/>
      <c r="H218" s="142"/>
      <c r="I218" s="126"/>
      <c r="J218" s="143"/>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3"/>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c r="EE218" s="145"/>
      <c r="EF218" s="145"/>
      <c r="EG218" s="145"/>
      <c r="EH218" s="145"/>
      <c r="EI218" s="145"/>
      <c r="EJ218" s="145"/>
      <c r="EK218" s="145"/>
      <c r="EL218" s="145"/>
      <c r="EM218" s="145"/>
      <c r="EN218" s="145"/>
      <c r="EO218" s="145"/>
      <c r="EP218" s="145"/>
      <c r="EQ218" s="145"/>
      <c r="ER218" s="145"/>
      <c r="ES218" s="145"/>
      <c r="ET218" s="145"/>
      <c r="EU218" s="145"/>
      <c r="EV218" s="145"/>
      <c r="EW218" s="145"/>
      <c r="EX218" s="145"/>
      <c r="EY218" s="145"/>
      <c r="EZ218" s="145"/>
      <c r="FA218" s="145"/>
      <c r="FB218" s="145"/>
      <c r="FC218" s="145"/>
      <c r="FD218" s="145"/>
      <c r="FE218" s="145"/>
      <c r="FF218" s="145"/>
      <c r="FG218" s="145"/>
      <c r="FH218" s="145"/>
      <c r="FI218" s="145"/>
      <c r="FJ218" s="145"/>
      <c r="FK218" s="145"/>
      <c r="FL218" s="145"/>
      <c r="FM218" s="145"/>
      <c r="FN218" s="145"/>
      <c r="FO218" s="145"/>
      <c r="FP218" s="145"/>
      <c r="FQ218" s="145"/>
      <c r="FR218" s="145"/>
      <c r="FS218" s="145"/>
      <c r="FT218" s="145"/>
      <c r="FU218" s="145"/>
      <c r="FV218" s="145"/>
      <c r="FW218" s="145"/>
      <c r="FX218" s="143"/>
      <c r="FY218" s="146">
        <f>_xlfn.XLOOKUP($E218,'Key assumptions'!$B$112:$B$120,'Key assumptions'!$C$112:$C$120,0)</f>
        <v>0</v>
      </c>
      <c r="FZ218" s="146" cm="1">
        <f t="array" ref="FZ218">IF($FY218=0,0,_xlfn.IFS($FY218='Key assumptions'!$C$120,_xlfn.XLOOKUP(LEFT(FZ$7,6),Inflation_Year,Inflation_NominaltoReal),TRUE,_xlfn.XLOOKUP($FY218,Inflation_Year,NominaltoReal)))</f>
        <v>0</v>
      </c>
      <c r="GA218" s="146" cm="1">
        <f t="array" ref="GA218">IF($FY218=0,0,_xlfn.IFS($FY218='Key assumptions'!$C$120,_xlfn.XLOOKUP(LEFT(GA$7,6),Inflation_Year,Inflation_NominaltoReal),TRUE,_xlfn.XLOOKUP($FY218,Inflation_Year,NominaltoReal)))</f>
        <v>0</v>
      </c>
      <c r="GB218" s="146" cm="1">
        <f t="array" ref="GB218">IF($FY218=0,0,_xlfn.IFS($FY218='Key assumptions'!$C$120,_xlfn.XLOOKUP(LEFT(GB$7,6),Inflation_Year,Inflation_NominaltoReal),TRUE,_xlfn.XLOOKUP($FY218,Inflation_Year,NominaltoReal)))</f>
        <v>0</v>
      </c>
      <c r="GC218" s="146" cm="1">
        <f t="array" ref="GC218">IF($FY218=0,0,_xlfn.IFS($FY218='Key assumptions'!$C$120,_xlfn.XLOOKUP(LEFT(GC$7,6),Inflation_Year,Inflation_NominaltoReal),TRUE,_xlfn.XLOOKUP($FY218,Inflation_Year,NominaltoReal)))</f>
        <v>0</v>
      </c>
      <c r="GD218" s="146" cm="1">
        <f t="array" ref="GD218">IF($FY218=0,0,_xlfn.IFS($FY218='Key assumptions'!$C$120,_xlfn.XLOOKUP(LEFT(GD$7,6),Inflation_Year,Inflation_NominaltoReal),TRUE,_xlfn.XLOOKUP($FY218,Inflation_Year,NominaltoReal)))</f>
        <v>0</v>
      </c>
      <c r="GE218" s="146" cm="1">
        <f t="array" ref="GE218">IF($FY218=0,0,_xlfn.IFS($FY218='Key assumptions'!$C$120,_xlfn.XLOOKUP(LEFT(GE$7,6),Inflation_Year,Inflation_NominaltoReal),TRUE,_xlfn.XLOOKUP($FY218,Inflation_Year,NominaltoReal)))</f>
        <v>0</v>
      </c>
      <c r="GF218" s="146" cm="1">
        <f t="array" ref="GF218">IF($FY218=0,0,_xlfn.IFS($FY218='Key assumptions'!$C$120,_xlfn.XLOOKUP(LEFT(GF$7,6),Inflation_Year,Inflation_NominaltoReal),TRUE,_xlfn.XLOOKUP($FY218,Inflation_Year,NominaltoReal)))</f>
        <v>0</v>
      </c>
      <c r="GG218" s="143"/>
      <c r="GH218" s="145" cm="1">
        <f t="array" ref="GH218">SUMPRODUCT(--($CR$7:$FW$7&gt;=GH$5),--($CR$7:$FW$7&lt;=GH$6),$CR218:$FW218)*FZ218</f>
        <v>0</v>
      </c>
      <c r="GI218" s="145" cm="1">
        <f t="array" ref="GI218">SUMPRODUCT(--($CR$7:$FW$7&gt;=GI$5),--($CR$7:$FW$7&lt;=GI$6),$CR218:$FW218)*GA218</f>
        <v>0</v>
      </c>
      <c r="GJ218" s="145" cm="1">
        <f t="array" ref="GJ218">SUMPRODUCT(--($CR$7:$FW$7&gt;=GJ$5),--($CR$7:$FW$7&lt;=GJ$6),$CR218:$FW218)*GB218</f>
        <v>0</v>
      </c>
      <c r="GK218" s="145" cm="1">
        <f t="array" ref="GK218">SUMPRODUCT(--($CR$7:$FW$7&gt;=GK$5),--($CR$7:$FW$7&lt;=GK$6),$CR218:$FW218)*GC218</f>
        <v>0</v>
      </c>
      <c r="GL218" s="145" cm="1">
        <f t="array" ref="GL218">SUMPRODUCT(--($CR$7:$FW$7&gt;=GL$5),--($CR$7:$FW$7&lt;=GL$6),$CR218:$FW218)*GD218</f>
        <v>0</v>
      </c>
      <c r="GM218" s="145" cm="1">
        <f t="array" ref="GM218">SUMPRODUCT(--($CR$7:$FW$7&gt;=GM$5),--($CR$7:$FW$7&lt;=GM$6),$CR218:$FW218)*GE218</f>
        <v>0</v>
      </c>
      <c r="GN218" s="145" cm="1">
        <f t="array" ref="GN218">SUMPRODUCT(--($CR$7:$FW$7&gt;=GN$5),--($CR$7:$FW$7&lt;=GN$6),$CR218:$FW218)*GF218</f>
        <v>0</v>
      </c>
      <c r="GO218" s="145">
        <f t="shared" si="3"/>
        <v>0</v>
      </c>
      <c r="GP218" s="87"/>
      <c r="GR218" s="145" cm="1">
        <f t="array" ref="GR218">SUMPRODUCT(--($CR$7:$FW$7&gt;=GR$5),--($CR$7:$FW$7&lt;=GR$6),$CR218:$FW218)</f>
        <v>0</v>
      </c>
    </row>
    <row r="219" spans="2:200" x14ac:dyDescent="0.2">
      <c r="B219" s="141"/>
      <c r="C219" s="141"/>
      <c r="D219" s="141"/>
      <c r="E219" s="141"/>
      <c r="F219" s="141"/>
      <c r="G219" s="141"/>
      <c r="H219" s="142"/>
      <c r="I219" s="126"/>
      <c r="J219" s="143"/>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3"/>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c r="EE219" s="145"/>
      <c r="EF219" s="145"/>
      <c r="EG219" s="145"/>
      <c r="EH219" s="145"/>
      <c r="EI219" s="145"/>
      <c r="EJ219" s="145"/>
      <c r="EK219" s="145"/>
      <c r="EL219" s="145"/>
      <c r="EM219" s="145"/>
      <c r="EN219" s="145"/>
      <c r="EO219" s="145"/>
      <c r="EP219" s="145"/>
      <c r="EQ219" s="145"/>
      <c r="ER219" s="145"/>
      <c r="ES219" s="145"/>
      <c r="ET219" s="145"/>
      <c r="EU219" s="145"/>
      <c r="EV219" s="145"/>
      <c r="EW219" s="145"/>
      <c r="EX219" s="145"/>
      <c r="EY219" s="145"/>
      <c r="EZ219" s="145"/>
      <c r="FA219" s="145"/>
      <c r="FB219" s="145"/>
      <c r="FC219" s="145"/>
      <c r="FD219" s="145"/>
      <c r="FE219" s="145"/>
      <c r="FF219" s="145"/>
      <c r="FG219" s="145"/>
      <c r="FH219" s="145"/>
      <c r="FI219" s="145"/>
      <c r="FJ219" s="145"/>
      <c r="FK219" s="145"/>
      <c r="FL219" s="145"/>
      <c r="FM219" s="145"/>
      <c r="FN219" s="145"/>
      <c r="FO219" s="145"/>
      <c r="FP219" s="145"/>
      <c r="FQ219" s="145"/>
      <c r="FR219" s="145"/>
      <c r="FS219" s="145"/>
      <c r="FT219" s="145"/>
      <c r="FU219" s="145"/>
      <c r="FV219" s="145"/>
      <c r="FW219" s="145"/>
      <c r="FX219" s="143"/>
      <c r="FY219" s="146">
        <f>_xlfn.XLOOKUP($E219,'Key assumptions'!$B$112:$B$120,'Key assumptions'!$C$112:$C$120,0)</f>
        <v>0</v>
      </c>
      <c r="FZ219" s="146" cm="1">
        <f t="array" ref="FZ219">IF($FY219=0,0,_xlfn.IFS($FY219='Key assumptions'!$C$120,_xlfn.XLOOKUP(LEFT(FZ$7,6),Inflation_Year,Inflation_NominaltoReal),TRUE,_xlfn.XLOOKUP($FY219,Inflation_Year,NominaltoReal)))</f>
        <v>0</v>
      </c>
      <c r="GA219" s="146" cm="1">
        <f t="array" ref="GA219">IF($FY219=0,0,_xlfn.IFS($FY219='Key assumptions'!$C$120,_xlfn.XLOOKUP(LEFT(GA$7,6),Inflation_Year,Inflation_NominaltoReal),TRUE,_xlfn.XLOOKUP($FY219,Inflation_Year,NominaltoReal)))</f>
        <v>0</v>
      </c>
      <c r="GB219" s="146" cm="1">
        <f t="array" ref="GB219">IF($FY219=0,0,_xlfn.IFS($FY219='Key assumptions'!$C$120,_xlfn.XLOOKUP(LEFT(GB$7,6),Inflation_Year,Inflation_NominaltoReal),TRUE,_xlfn.XLOOKUP($FY219,Inflation_Year,NominaltoReal)))</f>
        <v>0</v>
      </c>
      <c r="GC219" s="146" cm="1">
        <f t="array" ref="GC219">IF($FY219=0,0,_xlfn.IFS($FY219='Key assumptions'!$C$120,_xlfn.XLOOKUP(LEFT(GC$7,6),Inflation_Year,Inflation_NominaltoReal),TRUE,_xlfn.XLOOKUP($FY219,Inflation_Year,NominaltoReal)))</f>
        <v>0</v>
      </c>
      <c r="GD219" s="146" cm="1">
        <f t="array" ref="GD219">IF($FY219=0,0,_xlfn.IFS($FY219='Key assumptions'!$C$120,_xlfn.XLOOKUP(LEFT(GD$7,6),Inflation_Year,Inflation_NominaltoReal),TRUE,_xlfn.XLOOKUP($FY219,Inflation_Year,NominaltoReal)))</f>
        <v>0</v>
      </c>
      <c r="GE219" s="146" cm="1">
        <f t="array" ref="GE219">IF($FY219=0,0,_xlfn.IFS($FY219='Key assumptions'!$C$120,_xlfn.XLOOKUP(LEFT(GE$7,6),Inflation_Year,Inflation_NominaltoReal),TRUE,_xlfn.XLOOKUP($FY219,Inflation_Year,NominaltoReal)))</f>
        <v>0</v>
      </c>
      <c r="GF219" s="146" cm="1">
        <f t="array" ref="GF219">IF($FY219=0,0,_xlfn.IFS($FY219='Key assumptions'!$C$120,_xlfn.XLOOKUP(LEFT(GF$7,6),Inflation_Year,Inflation_NominaltoReal),TRUE,_xlfn.XLOOKUP($FY219,Inflation_Year,NominaltoReal)))</f>
        <v>0</v>
      </c>
      <c r="GG219" s="143"/>
      <c r="GH219" s="145" cm="1">
        <f t="array" ref="GH219">SUMPRODUCT(--($CR$7:$FW$7&gt;=GH$5),--($CR$7:$FW$7&lt;=GH$6),$CR219:$FW219)*FZ219</f>
        <v>0</v>
      </c>
      <c r="GI219" s="145" cm="1">
        <f t="array" ref="GI219">SUMPRODUCT(--($CR$7:$FW$7&gt;=GI$5),--($CR$7:$FW$7&lt;=GI$6),$CR219:$FW219)*GA219</f>
        <v>0</v>
      </c>
      <c r="GJ219" s="145" cm="1">
        <f t="array" ref="GJ219">SUMPRODUCT(--($CR$7:$FW$7&gt;=GJ$5),--($CR$7:$FW$7&lt;=GJ$6),$CR219:$FW219)*GB219</f>
        <v>0</v>
      </c>
      <c r="GK219" s="145" cm="1">
        <f t="array" ref="GK219">SUMPRODUCT(--($CR$7:$FW$7&gt;=GK$5),--($CR$7:$FW$7&lt;=GK$6),$CR219:$FW219)*GC219</f>
        <v>0</v>
      </c>
      <c r="GL219" s="145" cm="1">
        <f t="array" ref="GL219">SUMPRODUCT(--($CR$7:$FW$7&gt;=GL$5),--($CR$7:$FW$7&lt;=GL$6),$CR219:$FW219)*GD219</f>
        <v>0</v>
      </c>
      <c r="GM219" s="145" cm="1">
        <f t="array" ref="GM219">SUMPRODUCT(--($CR$7:$FW$7&gt;=GM$5),--($CR$7:$FW$7&lt;=GM$6),$CR219:$FW219)*GE219</f>
        <v>0</v>
      </c>
      <c r="GN219" s="145" cm="1">
        <f t="array" ref="GN219">SUMPRODUCT(--($CR$7:$FW$7&gt;=GN$5),--($CR$7:$FW$7&lt;=GN$6),$CR219:$FW219)*GF219</f>
        <v>0</v>
      </c>
      <c r="GO219" s="145">
        <f t="shared" si="3"/>
        <v>0</v>
      </c>
      <c r="GP219" s="87"/>
      <c r="GR219" s="145" cm="1">
        <f t="array" ref="GR219">SUMPRODUCT(--($CR$7:$FW$7&gt;=GR$5),--($CR$7:$FW$7&lt;=GR$6),$CR219:$FW219)</f>
        <v>0</v>
      </c>
    </row>
    <row r="220" spans="2:200" x14ac:dyDescent="0.2">
      <c r="B220" s="141"/>
      <c r="C220" s="141"/>
      <c r="D220" s="141"/>
      <c r="E220" s="141"/>
      <c r="F220" s="141"/>
      <c r="G220" s="141"/>
      <c r="H220" s="142"/>
      <c r="I220" s="126"/>
      <c r="J220" s="143"/>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3"/>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c r="EE220" s="145"/>
      <c r="EF220" s="145"/>
      <c r="EG220" s="145"/>
      <c r="EH220" s="145"/>
      <c r="EI220" s="145"/>
      <c r="EJ220" s="145"/>
      <c r="EK220" s="145"/>
      <c r="EL220" s="145"/>
      <c r="EM220" s="145"/>
      <c r="EN220" s="145"/>
      <c r="EO220" s="145"/>
      <c r="EP220" s="145"/>
      <c r="EQ220" s="145"/>
      <c r="ER220" s="145"/>
      <c r="ES220" s="145"/>
      <c r="ET220" s="145"/>
      <c r="EU220" s="145"/>
      <c r="EV220" s="145"/>
      <c r="EW220" s="145"/>
      <c r="EX220" s="145"/>
      <c r="EY220" s="145"/>
      <c r="EZ220" s="145"/>
      <c r="FA220" s="145"/>
      <c r="FB220" s="145"/>
      <c r="FC220" s="145"/>
      <c r="FD220" s="145"/>
      <c r="FE220" s="145"/>
      <c r="FF220" s="145"/>
      <c r="FG220" s="145"/>
      <c r="FH220" s="145"/>
      <c r="FI220" s="145"/>
      <c r="FJ220" s="145"/>
      <c r="FK220" s="145"/>
      <c r="FL220" s="145"/>
      <c r="FM220" s="145"/>
      <c r="FN220" s="145"/>
      <c r="FO220" s="145"/>
      <c r="FP220" s="145"/>
      <c r="FQ220" s="145"/>
      <c r="FR220" s="145"/>
      <c r="FS220" s="145"/>
      <c r="FT220" s="145"/>
      <c r="FU220" s="145"/>
      <c r="FV220" s="145"/>
      <c r="FW220" s="145"/>
      <c r="FX220" s="143"/>
      <c r="FY220" s="146">
        <f>_xlfn.XLOOKUP($E220,'Key assumptions'!$B$112:$B$120,'Key assumptions'!$C$112:$C$120,0)</f>
        <v>0</v>
      </c>
      <c r="FZ220" s="146" cm="1">
        <f t="array" ref="FZ220">IF($FY220=0,0,_xlfn.IFS($FY220='Key assumptions'!$C$120,_xlfn.XLOOKUP(LEFT(FZ$7,6),Inflation_Year,Inflation_NominaltoReal),TRUE,_xlfn.XLOOKUP($FY220,Inflation_Year,NominaltoReal)))</f>
        <v>0</v>
      </c>
      <c r="GA220" s="146" cm="1">
        <f t="array" ref="GA220">IF($FY220=0,0,_xlfn.IFS($FY220='Key assumptions'!$C$120,_xlfn.XLOOKUP(LEFT(GA$7,6),Inflation_Year,Inflation_NominaltoReal),TRUE,_xlfn.XLOOKUP($FY220,Inflation_Year,NominaltoReal)))</f>
        <v>0</v>
      </c>
      <c r="GB220" s="146" cm="1">
        <f t="array" ref="GB220">IF($FY220=0,0,_xlfn.IFS($FY220='Key assumptions'!$C$120,_xlfn.XLOOKUP(LEFT(GB$7,6),Inflation_Year,Inflation_NominaltoReal),TRUE,_xlfn.XLOOKUP($FY220,Inflation_Year,NominaltoReal)))</f>
        <v>0</v>
      </c>
      <c r="GC220" s="146" cm="1">
        <f t="array" ref="GC220">IF($FY220=0,0,_xlfn.IFS($FY220='Key assumptions'!$C$120,_xlfn.XLOOKUP(LEFT(GC$7,6),Inflation_Year,Inflation_NominaltoReal),TRUE,_xlfn.XLOOKUP($FY220,Inflation_Year,NominaltoReal)))</f>
        <v>0</v>
      </c>
      <c r="GD220" s="146" cm="1">
        <f t="array" ref="GD220">IF($FY220=0,0,_xlfn.IFS($FY220='Key assumptions'!$C$120,_xlfn.XLOOKUP(LEFT(GD$7,6),Inflation_Year,Inflation_NominaltoReal),TRUE,_xlfn.XLOOKUP($FY220,Inflation_Year,NominaltoReal)))</f>
        <v>0</v>
      </c>
      <c r="GE220" s="146" cm="1">
        <f t="array" ref="GE220">IF($FY220=0,0,_xlfn.IFS($FY220='Key assumptions'!$C$120,_xlfn.XLOOKUP(LEFT(GE$7,6),Inflation_Year,Inflation_NominaltoReal),TRUE,_xlfn.XLOOKUP($FY220,Inflation_Year,NominaltoReal)))</f>
        <v>0</v>
      </c>
      <c r="GF220" s="146" cm="1">
        <f t="array" ref="GF220">IF($FY220=0,0,_xlfn.IFS($FY220='Key assumptions'!$C$120,_xlfn.XLOOKUP(LEFT(GF$7,6),Inflation_Year,Inflation_NominaltoReal),TRUE,_xlfn.XLOOKUP($FY220,Inflation_Year,NominaltoReal)))</f>
        <v>0</v>
      </c>
      <c r="GG220" s="143"/>
      <c r="GH220" s="145" cm="1">
        <f t="array" ref="GH220">SUMPRODUCT(--($CR$7:$FW$7&gt;=GH$5),--($CR$7:$FW$7&lt;=GH$6),$CR220:$FW220)*FZ220</f>
        <v>0</v>
      </c>
      <c r="GI220" s="145" cm="1">
        <f t="array" ref="GI220">SUMPRODUCT(--($CR$7:$FW$7&gt;=GI$5),--($CR$7:$FW$7&lt;=GI$6),$CR220:$FW220)*GA220</f>
        <v>0</v>
      </c>
      <c r="GJ220" s="145" cm="1">
        <f t="array" ref="GJ220">SUMPRODUCT(--($CR$7:$FW$7&gt;=GJ$5),--($CR$7:$FW$7&lt;=GJ$6),$CR220:$FW220)*GB220</f>
        <v>0</v>
      </c>
      <c r="GK220" s="145" cm="1">
        <f t="array" ref="GK220">SUMPRODUCT(--($CR$7:$FW$7&gt;=GK$5),--($CR$7:$FW$7&lt;=GK$6),$CR220:$FW220)*GC220</f>
        <v>0</v>
      </c>
      <c r="GL220" s="145" cm="1">
        <f t="array" ref="GL220">SUMPRODUCT(--($CR$7:$FW$7&gt;=GL$5),--($CR$7:$FW$7&lt;=GL$6),$CR220:$FW220)*GD220</f>
        <v>0</v>
      </c>
      <c r="GM220" s="145" cm="1">
        <f t="array" ref="GM220">SUMPRODUCT(--($CR$7:$FW$7&gt;=GM$5),--($CR$7:$FW$7&lt;=GM$6),$CR220:$FW220)*GE220</f>
        <v>0</v>
      </c>
      <c r="GN220" s="145" cm="1">
        <f t="array" ref="GN220">SUMPRODUCT(--($CR$7:$FW$7&gt;=GN$5),--($CR$7:$FW$7&lt;=GN$6),$CR220:$FW220)*GF220</f>
        <v>0</v>
      </c>
      <c r="GO220" s="145">
        <f t="shared" si="3"/>
        <v>0</v>
      </c>
      <c r="GP220" s="87"/>
      <c r="GR220" s="145" cm="1">
        <f t="array" ref="GR220">SUMPRODUCT(--($CR$7:$FW$7&gt;=GR$5),--($CR$7:$FW$7&lt;=GR$6),$CR220:$FW220)</f>
        <v>0</v>
      </c>
    </row>
    <row r="221" spans="2:200" x14ac:dyDescent="0.2">
      <c r="B221" s="141"/>
      <c r="C221" s="141"/>
      <c r="D221" s="141"/>
      <c r="E221" s="141"/>
      <c r="F221" s="141"/>
      <c r="G221" s="141"/>
      <c r="H221" s="142"/>
      <c r="I221" s="126"/>
      <c r="J221" s="143"/>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3"/>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45"/>
      <c r="EH221" s="145"/>
      <c r="EI221" s="145"/>
      <c r="EJ221" s="145"/>
      <c r="EK221" s="145"/>
      <c r="EL221" s="145"/>
      <c r="EM221" s="145"/>
      <c r="EN221" s="14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3"/>
      <c r="FY221" s="146">
        <f>_xlfn.XLOOKUP($E221,'Key assumptions'!$B$112:$B$120,'Key assumptions'!$C$112:$C$120,0)</f>
        <v>0</v>
      </c>
      <c r="FZ221" s="146" cm="1">
        <f t="array" ref="FZ221">IF($FY221=0,0,_xlfn.IFS($FY221='Key assumptions'!$C$120,_xlfn.XLOOKUP(LEFT(FZ$7,6),Inflation_Year,Inflation_NominaltoReal),TRUE,_xlfn.XLOOKUP($FY221,Inflation_Year,NominaltoReal)))</f>
        <v>0</v>
      </c>
      <c r="GA221" s="146" cm="1">
        <f t="array" ref="GA221">IF($FY221=0,0,_xlfn.IFS($FY221='Key assumptions'!$C$120,_xlfn.XLOOKUP(LEFT(GA$7,6),Inflation_Year,Inflation_NominaltoReal),TRUE,_xlfn.XLOOKUP($FY221,Inflation_Year,NominaltoReal)))</f>
        <v>0</v>
      </c>
      <c r="GB221" s="146" cm="1">
        <f t="array" ref="GB221">IF($FY221=0,0,_xlfn.IFS($FY221='Key assumptions'!$C$120,_xlfn.XLOOKUP(LEFT(GB$7,6),Inflation_Year,Inflation_NominaltoReal),TRUE,_xlfn.XLOOKUP($FY221,Inflation_Year,NominaltoReal)))</f>
        <v>0</v>
      </c>
      <c r="GC221" s="146" cm="1">
        <f t="array" ref="GC221">IF($FY221=0,0,_xlfn.IFS($FY221='Key assumptions'!$C$120,_xlfn.XLOOKUP(LEFT(GC$7,6),Inflation_Year,Inflation_NominaltoReal),TRUE,_xlfn.XLOOKUP($FY221,Inflation_Year,NominaltoReal)))</f>
        <v>0</v>
      </c>
      <c r="GD221" s="146" cm="1">
        <f t="array" ref="GD221">IF($FY221=0,0,_xlfn.IFS($FY221='Key assumptions'!$C$120,_xlfn.XLOOKUP(LEFT(GD$7,6),Inflation_Year,Inflation_NominaltoReal),TRUE,_xlfn.XLOOKUP($FY221,Inflation_Year,NominaltoReal)))</f>
        <v>0</v>
      </c>
      <c r="GE221" s="146" cm="1">
        <f t="array" ref="GE221">IF($FY221=0,0,_xlfn.IFS($FY221='Key assumptions'!$C$120,_xlfn.XLOOKUP(LEFT(GE$7,6),Inflation_Year,Inflation_NominaltoReal),TRUE,_xlfn.XLOOKUP($FY221,Inflation_Year,NominaltoReal)))</f>
        <v>0</v>
      </c>
      <c r="GF221" s="146" cm="1">
        <f t="array" ref="GF221">IF($FY221=0,0,_xlfn.IFS($FY221='Key assumptions'!$C$120,_xlfn.XLOOKUP(LEFT(GF$7,6),Inflation_Year,Inflation_NominaltoReal),TRUE,_xlfn.XLOOKUP($FY221,Inflation_Year,NominaltoReal)))</f>
        <v>0</v>
      </c>
      <c r="GG221" s="143"/>
      <c r="GH221" s="145" cm="1">
        <f t="array" ref="GH221">SUMPRODUCT(--($CR$7:$FW$7&gt;=GH$5),--($CR$7:$FW$7&lt;=GH$6),$CR221:$FW221)*FZ221</f>
        <v>0</v>
      </c>
      <c r="GI221" s="145" cm="1">
        <f t="array" ref="GI221">SUMPRODUCT(--($CR$7:$FW$7&gt;=GI$5),--($CR$7:$FW$7&lt;=GI$6),$CR221:$FW221)*GA221</f>
        <v>0</v>
      </c>
      <c r="GJ221" s="145" cm="1">
        <f t="array" ref="GJ221">SUMPRODUCT(--($CR$7:$FW$7&gt;=GJ$5),--($CR$7:$FW$7&lt;=GJ$6),$CR221:$FW221)*GB221</f>
        <v>0</v>
      </c>
      <c r="GK221" s="145" cm="1">
        <f t="array" ref="GK221">SUMPRODUCT(--($CR$7:$FW$7&gt;=GK$5),--($CR$7:$FW$7&lt;=GK$6),$CR221:$FW221)*GC221</f>
        <v>0</v>
      </c>
      <c r="GL221" s="145" cm="1">
        <f t="array" ref="GL221">SUMPRODUCT(--($CR$7:$FW$7&gt;=GL$5),--($CR$7:$FW$7&lt;=GL$6),$CR221:$FW221)*GD221</f>
        <v>0</v>
      </c>
      <c r="GM221" s="145" cm="1">
        <f t="array" ref="GM221">SUMPRODUCT(--($CR$7:$FW$7&gt;=GM$5),--($CR$7:$FW$7&lt;=GM$6),$CR221:$FW221)*GE221</f>
        <v>0</v>
      </c>
      <c r="GN221" s="145" cm="1">
        <f t="array" ref="GN221">SUMPRODUCT(--($CR$7:$FW$7&gt;=GN$5),--($CR$7:$FW$7&lt;=GN$6),$CR221:$FW221)*GF221</f>
        <v>0</v>
      </c>
      <c r="GO221" s="145">
        <f t="shared" si="3"/>
        <v>0</v>
      </c>
      <c r="GP221" s="87"/>
      <c r="GR221" s="145" cm="1">
        <f t="array" ref="GR221">SUMPRODUCT(--($CR$7:$FW$7&gt;=GR$5),--($CR$7:$FW$7&lt;=GR$6),$CR221:$FW221)</f>
        <v>0</v>
      </c>
    </row>
    <row r="222" spans="2:200" x14ac:dyDescent="0.2">
      <c r="B222" s="141"/>
      <c r="C222" s="141"/>
      <c r="D222" s="141"/>
      <c r="E222" s="141"/>
      <c r="F222" s="141"/>
      <c r="G222" s="141"/>
      <c r="H222" s="142"/>
      <c r="I222" s="126"/>
      <c r="J222" s="143"/>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3"/>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45"/>
      <c r="EH222" s="145"/>
      <c r="EI222" s="145"/>
      <c r="EJ222" s="145"/>
      <c r="EK222" s="145"/>
      <c r="EL222" s="145"/>
      <c r="EM222" s="145"/>
      <c r="EN222" s="14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3"/>
      <c r="FY222" s="146">
        <f>_xlfn.XLOOKUP($E222,'Key assumptions'!$B$112:$B$120,'Key assumptions'!$C$112:$C$120,0)</f>
        <v>0</v>
      </c>
      <c r="FZ222" s="146" cm="1">
        <f t="array" ref="FZ222">IF($FY222=0,0,_xlfn.IFS($FY222='Key assumptions'!$C$120,_xlfn.XLOOKUP(LEFT(FZ$7,6),Inflation_Year,Inflation_NominaltoReal),TRUE,_xlfn.XLOOKUP($FY222,Inflation_Year,NominaltoReal)))</f>
        <v>0</v>
      </c>
      <c r="GA222" s="146" cm="1">
        <f t="array" ref="GA222">IF($FY222=0,0,_xlfn.IFS($FY222='Key assumptions'!$C$120,_xlfn.XLOOKUP(LEFT(GA$7,6),Inflation_Year,Inflation_NominaltoReal),TRUE,_xlfn.XLOOKUP($FY222,Inflation_Year,NominaltoReal)))</f>
        <v>0</v>
      </c>
      <c r="GB222" s="146" cm="1">
        <f t="array" ref="GB222">IF($FY222=0,0,_xlfn.IFS($FY222='Key assumptions'!$C$120,_xlfn.XLOOKUP(LEFT(GB$7,6),Inflation_Year,Inflation_NominaltoReal),TRUE,_xlfn.XLOOKUP($FY222,Inflation_Year,NominaltoReal)))</f>
        <v>0</v>
      </c>
      <c r="GC222" s="146" cm="1">
        <f t="array" ref="GC222">IF($FY222=0,0,_xlfn.IFS($FY222='Key assumptions'!$C$120,_xlfn.XLOOKUP(LEFT(GC$7,6),Inflation_Year,Inflation_NominaltoReal),TRUE,_xlfn.XLOOKUP($FY222,Inflation_Year,NominaltoReal)))</f>
        <v>0</v>
      </c>
      <c r="GD222" s="146" cm="1">
        <f t="array" ref="GD222">IF($FY222=0,0,_xlfn.IFS($FY222='Key assumptions'!$C$120,_xlfn.XLOOKUP(LEFT(GD$7,6),Inflation_Year,Inflation_NominaltoReal),TRUE,_xlfn.XLOOKUP($FY222,Inflation_Year,NominaltoReal)))</f>
        <v>0</v>
      </c>
      <c r="GE222" s="146" cm="1">
        <f t="array" ref="GE222">IF($FY222=0,0,_xlfn.IFS($FY222='Key assumptions'!$C$120,_xlfn.XLOOKUP(LEFT(GE$7,6),Inflation_Year,Inflation_NominaltoReal),TRUE,_xlfn.XLOOKUP($FY222,Inflation_Year,NominaltoReal)))</f>
        <v>0</v>
      </c>
      <c r="GF222" s="146" cm="1">
        <f t="array" ref="GF222">IF($FY222=0,0,_xlfn.IFS($FY222='Key assumptions'!$C$120,_xlfn.XLOOKUP(LEFT(GF$7,6),Inflation_Year,Inflation_NominaltoReal),TRUE,_xlfn.XLOOKUP($FY222,Inflation_Year,NominaltoReal)))</f>
        <v>0</v>
      </c>
      <c r="GG222" s="143"/>
      <c r="GH222" s="145" cm="1">
        <f t="array" ref="GH222">SUMPRODUCT(--($CR$7:$FW$7&gt;=GH$5),--($CR$7:$FW$7&lt;=GH$6),$CR222:$FW222)*FZ222</f>
        <v>0</v>
      </c>
      <c r="GI222" s="145" cm="1">
        <f t="array" ref="GI222">SUMPRODUCT(--($CR$7:$FW$7&gt;=GI$5),--($CR$7:$FW$7&lt;=GI$6),$CR222:$FW222)*GA222</f>
        <v>0</v>
      </c>
      <c r="GJ222" s="145" cm="1">
        <f t="array" ref="GJ222">SUMPRODUCT(--($CR$7:$FW$7&gt;=GJ$5),--($CR$7:$FW$7&lt;=GJ$6),$CR222:$FW222)*GB222</f>
        <v>0</v>
      </c>
      <c r="GK222" s="145" cm="1">
        <f t="array" ref="GK222">SUMPRODUCT(--($CR$7:$FW$7&gt;=GK$5),--($CR$7:$FW$7&lt;=GK$6),$CR222:$FW222)*GC222</f>
        <v>0</v>
      </c>
      <c r="GL222" s="145" cm="1">
        <f t="array" ref="GL222">SUMPRODUCT(--($CR$7:$FW$7&gt;=GL$5),--($CR$7:$FW$7&lt;=GL$6),$CR222:$FW222)*GD222</f>
        <v>0</v>
      </c>
      <c r="GM222" s="145" cm="1">
        <f t="array" ref="GM222">SUMPRODUCT(--($CR$7:$FW$7&gt;=GM$5),--($CR$7:$FW$7&lt;=GM$6),$CR222:$FW222)*GE222</f>
        <v>0</v>
      </c>
      <c r="GN222" s="145" cm="1">
        <f t="array" ref="GN222">SUMPRODUCT(--($CR$7:$FW$7&gt;=GN$5),--($CR$7:$FW$7&lt;=GN$6),$CR222:$FW222)*GF222</f>
        <v>0</v>
      </c>
      <c r="GO222" s="145">
        <f t="shared" si="3"/>
        <v>0</v>
      </c>
      <c r="GP222" s="87"/>
      <c r="GR222" s="145" cm="1">
        <f t="array" ref="GR222">SUMPRODUCT(--($CR$7:$FW$7&gt;=GR$5),--($CR$7:$FW$7&lt;=GR$6),$CR222:$FW222)</f>
        <v>0</v>
      </c>
    </row>
    <row r="223" spans="2:200" x14ac:dyDescent="0.2">
      <c r="B223" s="141"/>
      <c r="C223" s="141"/>
      <c r="D223" s="141"/>
      <c r="E223" s="141"/>
      <c r="F223" s="141"/>
      <c r="G223" s="141"/>
      <c r="H223" s="142"/>
      <c r="I223" s="126"/>
      <c r="J223" s="143"/>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3"/>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3"/>
      <c r="FY223" s="146">
        <f>_xlfn.XLOOKUP($E223,'Key assumptions'!$B$112:$B$120,'Key assumptions'!$C$112:$C$120,0)</f>
        <v>0</v>
      </c>
      <c r="FZ223" s="146" cm="1">
        <f t="array" ref="FZ223">IF($FY223=0,0,_xlfn.IFS($FY223='Key assumptions'!$C$120,_xlfn.XLOOKUP(LEFT(FZ$7,6),Inflation_Year,Inflation_NominaltoReal),TRUE,_xlfn.XLOOKUP($FY223,Inflation_Year,NominaltoReal)))</f>
        <v>0</v>
      </c>
      <c r="GA223" s="146" cm="1">
        <f t="array" ref="GA223">IF($FY223=0,0,_xlfn.IFS($FY223='Key assumptions'!$C$120,_xlfn.XLOOKUP(LEFT(GA$7,6),Inflation_Year,Inflation_NominaltoReal),TRUE,_xlfn.XLOOKUP($FY223,Inflation_Year,NominaltoReal)))</f>
        <v>0</v>
      </c>
      <c r="GB223" s="146" cm="1">
        <f t="array" ref="GB223">IF($FY223=0,0,_xlfn.IFS($FY223='Key assumptions'!$C$120,_xlfn.XLOOKUP(LEFT(GB$7,6),Inflation_Year,Inflation_NominaltoReal),TRUE,_xlfn.XLOOKUP($FY223,Inflation_Year,NominaltoReal)))</f>
        <v>0</v>
      </c>
      <c r="GC223" s="146" cm="1">
        <f t="array" ref="GC223">IF($FY223=0,0,_xlfn.IFS($FY223='Key assumptions'!$C$120,_xlfn.XLOOKUP(LEFT(GC$7,6),Inflation_Year,Inflation_NominaltoReal),TRUE,_xlfn.XLOOKUP($FY223,Inflation_Year,NominaltoReal)))</f>
        <v>0</v>
      </c>
      <c r="GD223" s="146" cm="1">
        <f t="array" ref="GD223">IF($FY223=0,0,_xlfn.IFS($FY223='Key assumptions'!$C$120,_xlfn.XLOOKUP(LEFT(GD$7,6),Inflation_Year,Inflation_NominaltoReal),TRUE,_xlfn.XLOOKUP($FY223,Inflation_Year,NominaltoReal)))</f>
        <v>0</v>
      </c>
      <c r="GE223" s="146" cm="1">
        <f t="array" ref="GE223">IF($FY223=0,0,_xlfn.IFS($FY223='Key assumptions'!$C$120,_xlfn.XLOOKUP(LEFT(GE$7,6),Inflation_Year,Inflation_NominaltoReal),TRUE,_xlfn.XLOOKUP($FY223,Inflation_Year,NominaltoReal)))</f>
        <v>0</v>
      </c>
      <c r="GF223" s="146" cm="1">
        <f t="array" ref="GF223">IF($FY223=0,0,_xlfn.IFS($FY223='Key assumptions'!$C$120,_xlfn.XLOOKUP(LEFT(GF$7,6),Inflation_Year,Inflation_NominaltoReal),TRUE,_xlfn.XLOOKUP($FY223,Inflation_Year,NominaltoReal)))</f>
        <v>0</v>
      </c>
      <c r="GG223" s="143"/>
      <c r="GH223" s="145" cm="1">
        <f t="array" ref="GH223">SUMPRODUCT(--($CR$7:$FW$7&gt;=GH$5),--($CR$7:$FW$7&lt;=GH$6),$CR223:$FW223)*FZ223</f>
        <v>0</v>
      </c>
      <c r="GI223" s="145" cm="1">
        <f t="array" ref="GI223">SUMPRODUCT(--($CR$7:$FW$7&gt;=GI$5),--($CR$7:$FW$7&lt;=GI$6),$CR223:$FW223)*GA223</f>
        <v>0</v>
      </c>
      <c r="GJ223" s="145" cm="1">
        <f t="array" ref="GJ223">SUMPRODUCT(--($CR$7:$FW$7&gt;=GJ$5),--($CR$7:$FW$7&lt;=GJ$6),$CR223:$FW223)*GB223</f>
        <v>0</v>
      </c>
      <c r="GK223" s="145" cm="1">
        <f t="array" ref="GK223">SUMPRODUCT(--($CR$7:$FW$7&gt;=GK$5),--($CR$7:$FW$7&lt;=GK$6),$CR223:$FW223)*GC223</f>
        <v>0</v>
      </c>
      <c r="GL223" s="145" cm="1">
        <f t="array" ref="GL223">SUMPRODUCT(--($CR$7:$FW$7&gt;=GL$5),--($CR$7:$FW$7&lt;=GL$6),$CR223:$FW223)*GD223</f>
        <v>0</v>
      </c>
      <c r="GM223" s="145" cm="1">
        <f t="array" ref="GM223">SUMPRODUCT(--($CR$7:$FW$7&gt;=GM$5),--($CR$7:$FW$7&lt;=GM$6),$CR223:$FW223)*GE223</f>
        <v>0</v>
      </c>
      <c r="GN223" s="145" cm="1">
        <f t="array" ref="GN223">SUMPRODUCT(--($CR$7:$FW$7&gt;=GN$5),--($CR$7:$FW$7&lt;=GN$6),$CR223:$FW223)*GF223</f>
        <v>0</v>
      </c>
      <c r="GO223" s="145">
        <f t="shared" si="3"/>
        <v>0</v>
      </c>
      <c r="GP223" s="87"/>
      <c r="GR223" s="145" cm="1">
        <f t="array" ref="GR223">SUMPRODUCT(--($CR$7:$FW$7&gt;=GR$5),--($CR$7:$FW$7&lt;=GR$6),$CR223:$FW223)</f>
        <v>0</v>
      </c>
    </row>
    <row r="224" spans="2:200" x14ac:dyDescent="0.2">
      <c r="B224" s="141"/>
      <c r="C224" s="141"/>
      <c r="D224" s="141"/>
      <c r="E224" s="141"/>
      <c r="F224" s="141"/>
      <c r="G224" s="141"/>
      <c r="H224" s="142"/>
      <c r="I224" s="126"/>
      <c r="J224" s="143"/>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3"/>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c r="EE224" s="145"/>
      <c r="EF224" s="145"/>
      <c r="EG224" s="145"/>
      <c r="EH224" s="145"/>
      <c r="EI224" s="145"/>
      <c r="EJ224" s="145"/>
      <c r="EK224" s="145"/>
      <c r="EL224" s="145"/>
      <c r="EM224" s="145"/>
      <c r="EN224" s="145"/>
      <c r="EO224" s="145"/>
      <c r="EP224" s="145"/>
      <c r="EQ224" s="145"/>
      <c r="ER224" s="145"/>
      <c r="ES224" s="145"/>
      <c r="ET224" s="145"/>
      <c r="EU224" s="145"/>
      <c r="EV224" s="145"/>
      <c r="EW224" s="145"/>
      <c r="EX224" s="145"/>
      <c r="EY224" s="145"/>
      <c r="EZ224" s="145"/>
      <c r="FA224" s="145"/>
      <c r="FB224" s="145"/>
      <c r="FC224" s="145"/>
      <c r="FD224" s="145"/>
      <c r="FE224" s="145"/>
      <c r="FF224" s="145"/>
      <c r="FG224" s="145"/>
      <c r="FH224" s="145"/>
      <c r="FI224" s="145"/>
      <c r="FJ224" s="145"/>
      <c r="FK224" s="145"/>
      <c r="FL224" s="145"/>
      <c r="FM224" s="145"/>
      <c r="FN224" s="145"/>
      <c r="FO224" s="145"/>
      <c r="FP224" s="145"/>
      <c r="FQ224" s="145"/>
      <c r="FR224" s="145"/>
      <c r="FS224" s="145"/>
      <c r="FT224" s="145"/>
      <c r="FU224" s="145"/>
      <c r="FV224" s="145"/>
      <c r="FW224" s="145"/>
      <c r="FX224" s="143"/>
      <c r="FY224" s="146">
        <f>_xlfn.XLOOKUP($E224,'Key assumptions'!$B$112:$B$120,'Key assumptions'!$C$112:$C$120,0)</f>
        <v>0</v>
      </c>
      <c r="FZ224" s="146" cm="1">
        <f t="array" ref="FZ224">IF($FY224=0,0,_xlfn.IFS($FY224='Key assumptions'!$C$120,_xlfn.XLOOKUP(LEFT(FZ$7,6),Inflation_Year,Inflation_NominaltoReal),TRUE,_xlfn.XLOOKUP($FY224,Inflation_Year,NominaltoReal)))</f>
        <v>0</v>
      </c>
      <c r="GA224" s="146" cm="1">
        <f t="array" ref="GA224">IF($FY224=0,0,_xlfn.IFS($FY224='Key assumptions'!$C$120,_xlfn.XLOOKUP(LEFT(GA$7,6),Inflation_Year,Inflation_NominaltoReal),TRUE,_xlfn.XLOOKUP($FY224,Inflation_Year,NominaltoReal)))</f>
        <v>0</v>
      </c>
      <c r="GB224" s="146" cm="1">
        <f t="array" ref="GB224">IF($FY224=0,0,_xlfn.IFS($FY224='Key assumptions'!$C$120,_xlfn.XLOOKUP(LEFT(GB$7,6),Inflation_Year,Inflation_NominaltoReal),TRUE,_xlfn.XLOOKUP($FY224,Inflation_Year,NominaltoReal)))</f>
        <v>0</v>
      </c>
      <c r="GC224" s="146" cm="1">
        <f t="array" ref="GC224">IF($FY224=0,0,_xlfn.IFS($FY224='Key assumptions'!$C$120,_xlfn.XLOOKUP(LEFT(GC$7,6),Inflation_Year,Inflation_NominaltoReal),TRUE,_xlfn.XLOOKUP($FY224,Inflation_Year,NominaltoReal)))</f>
        <v>0</v>
      </c>
      <c r="GD224" s="146" cm="1">
        <f t="array" ref="GD224">IF($FY224=0,0,_xlfn.IFS($FY224='Key assumptions'!$C$120,_xlfn.XLOOKUP(LEFT(GD$7,6),Inflation_Year,Inflation_NominaltoReal),TRUE,_xlfn.XLOOKUP($FY224,Inflation_Year,NominaltoReal)))</f>
        <v>0</v>
      </c>
      <c r="GE224" s="146" cm="1">
        <f t="array" ref="GE224">IF($FY224=0,0,_xlfn.IFS($FY224='Key assumptions'!$C$120,_xlfn.XLOOKUP(LEFT(GE$7,6),Inflation_Year,Inflation_NominaltoReal),TRUE,_xlfn.XLOOKUP($FY224,Inflation_Year,NominaltoReal)))</f>
        <v>0</v>
      </c>
      <c r="GF224" s="146" cm="1">
        <f t="array" ref="GF224">IF($FY224=0,0,_xlfn.IFS($FY224='Key assumptions'!$C$120,_xlfn.XLOOKUP(LEFT(GF$7,6),Inflation_Year,Inflation_NominaltoReal),TRUE,_xlfn.XLOOKUP($FY224,Inflation_Year,NominaltoReal)))</f>
        <v>0</v>
      </c>
      <c r="GG224" s="143"/>
      <c r="GH224" s="145" cm="1">
        <f t="array" ref="GH224">SUMPRODUCT(--($CR$7:$FW$7&gt;=GH$5),--($CR$7:$FW$7&lt;=GH$6),$CR224:$FW224)*FZ224</f>
        <v>0</v>
      </c>
      <c r="GI224" s="145" cm="1">
        <f t="array" ref="GI224">SUMPRODUCT(--($CR$7:$FW$7&gt;=GI$5),--($CR$7:$FW$7&lt;=GI$6),$CR224:$FW224)*GA224</f>
        <v>0</v>
      </c>
      <c r="GJ224" s="145" cm="1">
        <f t="array" ref="GJ224">SUMPRODUCT(--($CR$7:$FW$7&gt;=GJ$5),--($CR$7:$FW$7&lt;=GJ$6),$CR224:$FW224)*GB224</f>
        <v>0</v>
      </c>
      <c r="GK224" s="145" cm="1">
        <f t="array" ref="GK224">SUMPRODUCT(--($CR$7:$FW$7&gt;=GK$5),--($CR$7:$FW$7&lt;=GK$6),$CR224:$FW224)*GC224</f>
        <v>0</v>
      </c>
      <c r="GL224" s="145" cm="1">
        <f t="array" ref="GL224">SUMPRODUCT(--($CR$7:$FW$7&gt;=GL$5),--($CR$7:$FW$7&lt;=GL$6),$CR224:$FW224)*GD224</f>
        <v>0</v>
      </c>
      <c r="GM224" s="145" cm="1">
        <f t="array" ref="GM224">SUMPRODUCT(--($CR$7:$FW$7&gt;=GM$5),--($CR$7:$FW$7&lt;=GM$6),$CR224:$FW224)*GE224</f>
        <v>0</v>
      </c>
      <c r="GN224" s="145" cm="1">
        <f t="array" ref="GN224">SUMPRODUCT(--($CR$7:$FW$7&gt;=GN$5),--($CR$7:$FW$7&lt;=GN$6),$CR224:$FW224)*GF224</f>
        <v>0</v>
      </c>
      <c r="GO224" s="145">
        <f t="shared" si="3"/>
        <v>0</v>
      </c>
      <c r="GP224" s="87"/>
      <c r="GR224" s="145" cm="1">
        <f t="array" ref="GR224">SUMPRODUCT(--($CR$7:$FW$7&gt;=GR$5),--($CR$7:$FW$7&lt;=GR$6),$CR224:$FW224)</f>
        <v>0</v>
      </c>
    </row>
    <row r="225" spans="2:200" x14ac:dyDescent="0.2">
      <c r="B225" s="141"/>
      <c r="C225" s="141"/>
      <c r="D225" s="141"/>
      <c r="E225" s="141"/>
      <c r="F225" s="141"/>
      <c r="G225" s="141"/>
      <c r="H225" s="142"/>
      <c r="I225" s="126"/>
      <c r="J225" s="143"/>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3"/>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c r="EE225" s="145"/>
      <c r="EF225" s="145"/>
      <c r="EG225" s="145"/>
      <c r="EH225" s="145"/>
      <c r="EI225" s="145"/>
      <c r="EJ225" s="145"/>
      <c r="EK225" s="145"/>
      <c r="EL225" s="145"/>
      <c r="EM225" s="145"/>
      <c r="EN225" s="145"/>
      <c r="EO225" s="145"/>
      <c r="EP225" s="145"/>
      <c r="EQ225" s="145"/>
      <c r="ER225" s="145"/>
      <c r="ES225" s="145"/>
      <c r="ET225" s="145"/>
      <c r="EU225" s="145"/>
      <c r="EV225" s="145"/>
      <c r="EW225" s="145"/>
      <c r="EX225" s="145"/>
      <c r="EY225" s="145"/>
      <c r="EZ225" s="145"/>
      <c r="FA225" s="145"/>
      <c r="FB225" s="145"/>
      <c r="FC225" s="145"/>
      <c r="FD225" s="145"/>
      <c r="FE225" s="145"/>
      <c r="FF225" s="145"/>
      <c r="FG225" s="145"/>
      <c r="FH225" s="145"/>
      <c r="FI225" s="145"/>
      <c r="FJ225" s="145"/>
      <c r="FK225" s="145"/>
      <c r="FL225" s="145"/>
      <c r="FM225" s="145"/>
      <c r="FN225" s="145"/>
      <c r="FO225" s="145"/>
      <c r="FP225" s="145"/>
      <c r="FQ225" s="145"/>
      <c r="FR225" s="145"/>
      <c r="FS225" s="145"/>
      <c r="FT225" s="145"/>
      <c r="FU225" s="145"/>
      <c r="FV225" s="145"/>
      <c r="FW225" s="145"/>
      <c r="FX225" s="143"/>
      <c r="FY225" s="146">
        <f>_xlfn.XLOOKUP($E225,'Key assumptions'!$B$112:$B$120,'Key assumptions'!$C$112:$C$120,0)</f>
        <v>0</v>
      </c>
      <c r="FZ225" s="146" cm="1">
        <f t="array" ref="FZ225">IF($FY225=0,0,_xlfn.IFS($FY225='Key assumptions'!$C$120,_xlfn.XLOOKUP(LEFT(FZ$7,6),Inflation_Year,Inflation_NominaltoReal),TRUE,_xlfn.XLOOKUP($FY225,Inflation_Year,NominaltoReal)))</f>
        <v>0</v>
      </c>
      <c r="GA225" s="146" cm="1">
        <f t="array" ref="GA225">IF($FY225=0,0,_xlfn.IFS($FY225='Key assumptions'!$C$120,_xlfn.XLOOKUP(LEFT(GA$7,6),Inflation_Year,Inflation_NominaltoReal),TRUE,_xlfn.XLOOKUP($FY225,Inflation_Year,NominaltoReal)))</f>
        <v>0</v>
      </c>
      <c r="GB225" s="146" cm="1">
        <f t="array" ref="GB225">IF($FY225=0,0,_xlfn.IFS($FY225='Key assumptions'!$C$120,_xlfn.XLOOKUP(LEFT(GB$7,6),Inflation_Year,Inflation_NominaltoReal),TRUE,_xlfn.XLOOKUP($FY225,Inflation_Year,NominaltoReal)))</f>
        <v>0</v>
      </c>
      <c r="GC225" s="146" cm="1">
        <f t="array" ref="GC225">IF($FY225=0,0,_xlfn.IFS($FY225='Key assumptions'!$C$120,_xlfn.XLOOKUP(LEFT(GC$7,6),Inflation_Year,Inflation_NominaltoReal),TRUE,_xlfn.XLOOKUP($FY225,Inflation_Year,NominaltoReal)))</f>
        <v>0</v>
      </c>
      <c r="GD225" s="146" cm="1">
        <f t="array" ref="GD225">IF($FY225=0,0,_xlfn.IFS($FY225='Key assumptions'!$C$120,_xlfn.XLOOKUP(LEFT(GD$7,6),Inflation_Year,Inflation_NominaltoReal),TRUE,_xlfn.XLOOKUP($FY225,Inflation_Year,NominaltoReal)))</f>
        <v>0</v>
      </c>
      <c r="GE225" s="146" cm="1">
        <f t="array" ref="GE225">IF($FY225=0,0,_xlfn.IFS($FY225='Key assumptions'!$C$120,_xlfn.XLOOKUP(LEFT(GE$7,6),Inflation_Year,Inflation_NominaltoReal),TRUE,_xlfn.XLOOKUP($FY225,Inflation_Year,NominaltoReal)))</f>
        <v>0</v>
      </c>
      <c r="GF225" s="146" cm="1">
        <f t="array" ref="GF225">IF($FY225=0,0,_xlfn.IFS($FY225='Key assumptions'!$C$120,_xlfn.XLOOKUP(LEFT(GF$7,6),Inflation_Year,Inflation_NominaltoReal),TRUE,_xlfn.XLOOKUP($FY225,Inflation_Year,NominaltoReal)))</f>
        <v>0</v>
      </c>
      <c r="GG225" s="143"/>
      <c r="GH225" s="145" cm="1">
        <f t="array" ref="GH225">SUMPRODUCT(--($CR$7:$FW$7&gt;=GH$5),--($CR$7:$FW$7&lt;=GH$6),$CR225:$FW225)*FZ225</f>
        <v>0</v>
      </c>
      <c r="GI225" s="145" cm="1">
        <f t="array" ref="GI225">SUMPRODUCT(--($CR$7:$FW$7&gt;=GI$5),--($CR$7:$FW$7&lt;=GI$6),$CR225:$FW225)*GA225</f>
        <v>0</v>
      </c>
      <c r="GJ225" s="145" cm="1">
        <f t="array" ref="GJ225">SUMPRODUCT(--($CR$7:$FW$7&gt;=GJ$5),--($CR$7:$FW$7&lt;=GJ$6),$CR225:$FW225)*GB225</f>
        <v>0</v>
      </c>
      <c r="GK225" s="145" cm="1">
        <f t="array" ref="GK225">SUMPRODUCT(--($CR$7:$FW$7&gt;=GK$5),--($CR$7:$FW$7&lt;=GK$6),$CR225:$FW225)*GC225</f>
        <v>0</v>
      </c>
      <c r="GL225" s="145" cm="1">
        <f t="array" ref="GL225">SUMPRODUCT(--($CR$7:$FW$7&gt;=GL$5),--($CR$7:$FW$7&lt;=GL$6),$CR225:$FW225)*GD225</f>
        <v>0</v>
      </c>
      <c r="GM225" s="145" cm="1">
        <f t="array" ref="GM225">SUMPRODUCT(--($CR$7:$FW$7&gt;=GM$5),--($CR$7:$FW$7&lt;=GM$6),$CR225:$FW225)*GE225</f>
        <v>0</v>
      </c>
      <c r="GN225" s="145" cm="1">
        <f t="array" ref="GN225">SUMPRODUCT(--($CR$7:$FW$7&gt;=GN$5),--($CR$7:$FW$7&lt;=GN$6),$CR225:$FW225)*GF225</f>
        <v>0</v>
      </c>
      <c r="GO225" s="145">
        <f t="shared" si="3"/>
        <v>0</v>
      </c>
      <c r="GP225" s="87"/>
      <c r="GR225" s="145" cm="1">
        <f t="array" ref="GR225">SUMPRODUCT(--($CR$7:$FW$7&gt;=GR$5),--($CR$7:$FW$7&lt;=GR$6),$CR225:$FW225)</f>
        <v>0</v>
      </c>
    </row>
    <row r="226" spans="2:200" x14ac:dyDescent="0.2">
      <c r="B226" s="141"/>
      <c r="C226" s="141"/>
      <c r="D226" s="141"/>
      <c r="E226" s="141"/>
      <c r="F226" s="141"/>
      <c r="G226" s="141"/>
      <c r="H226" s="142"/>
      <c r="I226" s="126"/>
      <c r="J226" s="143"/>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3"/>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c r="EE226" s="145"/>
      <c r="EF226" s="145"/>
      <c r="EG226" s="145"/>
      <c r="EH226" s="145"/>
      <c r="EI226" s="145"/>
      <c r="EJ226" s="145"/>
      <c r="EK226" s="145"/>
      <c r="EL226" s="145"/>
      <c r="EM226" s="145"/>
      <c r="EN226" s="145"/>
      <c r="EO226" s="145"/>
      <c r="EP226" s="145"/>
      <c r="EQ226" s="145"/>
      <c r="ER226" s="145"/>
      <c r="ES226" s="145"/>
      <c r="ET226" s="145"/>
      <c r="EU226" s="145"/>
      <c r="EV226" s="145"/>
      <c r="EW226" s="145"/>
      <c r="EX226" s="145"/>
      <c r="EY226" s="145"/>
      <c r="EZ226" s="145"/>
      <c r="FA226" s="145"/>
      <c r="FB226" s="145"/>
      <c r="FC226" s="145"/>
      <c r="FD226" s="145"/>
      <c r="FE226" s="145"/>
      <c r="FF226" s="145"/>
      <c r="FG226" s="145"/>
      <c r="FH226" s="145"/>
      <c r="FI226" s="145"/>
      <c r="FJ226" s="145"/>
      <c r="FK226" s="145"/>
      <c r="FL226" s="145"/>
      <c r="FM226" s="145"/>
      <c r="FN226" s="145"/>
      <c r="FO226" s="145"/>
      <c r="FP226" s="145"/>
      <c r="FQ226" s="145"/>
      <c r="FR226" s="145"/>
      <c r="FS226" s="145"/>
      <c r="FT226" s="145"/>
      <c r="FU226" s="145"/>
      <c r="FV226" s="145"/>
      <c r="FW226" s="145"/>
      <c r="FX226" s="143"/>
      <c r="FY226" s="146">
        <f>_xlfn.XLOOKUP($E226,'Key assumptions'!$B$112:$B$120,'Key assumptions'!$C$112:$C$120,0)</f>
        <v>0</v>
      </c>
      <c r="FZ226" s="146" cm="1">
        <f t="array" ref="FZ226">IF($FY226=0,0,_xlfn.IFS($FY226='Key assumptions'!$C$120,_xlfn.XLOOKUP(LEFT(FZ$7,6),Inflation_Year,Inflation_NominaltoReal),TRUE,_xlfn.XLOOKUP($FY226,Inflation_Year,NominaltoReal)))</f>
        <v>0</v>
      </c>
      <c r="GA226" s="146" cm="1">
        <f t="array" ref="GA226">IF($FY226=0,0,_xlfn.IFS($FY226='Key assumptions'!$C$120,_xlfn.XLOOKUP(LEFT(GA$7,6),Inflation_Year,Inflation_NominaltoReal),TRUE,_xlfn.XLOOKUP($FY226,Inflation_Year,NominaltoReal)))</f>
        <v>0</v>
      </c>
      <c r="GB226" s="146" cm="1">
        <f t="array" ref="GB226">IF($FY226=0,0,_xlfn.IFS($FY226='Key assumptions'!$C$120,_xlfn.XLOOKUP(LEFT(GB$7,6),Inflation_Year,Inflation_NominaltoReal),TRUE,_xlfn.XLOOKUP($FY226,Inflation_Year,NominaltoReal)))</f>
        <v>0</v>
      </c>
      <c r="GC226" s="146" cm="1">
        <f t="array" ref="GC226">IF($FY226=0,0,_xlfn.IFS($FY226='Key assumptions'!$C$120,_xlfn.XLOOKUP(LEFT(GC$7,6),Inflation_Year,Inflation_NominaltoReal),TRUE,_xlfn.XLOOKUP($FY226,Inflation_Year,NominaltoReal)))</f>
        <v>0</v>
      </c>
      <c r="GD226" s="146" cm="1">
        <f t="array" ref="GD226">IF($FY226=0,0,_xlfn.IFS($FY226='Key assumptions'!$C$120,_xlfn.XLOOKUP(LEFT(GD$7,6),Inflation_Year,Inflation_NominaltoReal),TRUE,_xlfn.XLOOKUP($FY226,Inflation_Year,NominaltoReal)))</f>
        <v>0</v>
      </c>
      <c r="GE226" s="146" cm="1">
        <f t="array" ref="GE226">IF($FY226=0,0,_xlfn.IFS($FY226='Key assumptions'!$C$120,_xlfn.XLOOKUP(LEFT(GE$7,6),Inflation_Year,Inflation_NominaltoReal),TRUE,_xlfn.XLOOKUP($FY226,Inflation_Year,NominaltoReal)))</f>
        <v>0</v>
      </c>
      <c r="GF226" s="146" cm="1">
        <f t="array" ref="GF226">IF($FY226=0,0,_xlfn.IFS($FY226='Key assumptions'!$C$120,_xlfn.XLOOKUP(LEFT(GF$7,6),Inflation_Year,Inflation_NominaltoReal),TRUE,_xlfn.XLOOKUP($FY226,Inflation_Year,NominaltoReal)))</f>
        <v>0</v>
      </c>
      <c r="GG226" s="143"/>
      <c r="GH226" s="145" cm="1">
        <f t="array" ref="GH226">SUMPRODUCT(--($CR$7:$FW$7&gt;=GH$5),--($CR$7:$FW$7&lt;=GH$6),$CR226:$FW226)*FZ226</f>
        <v>0</v>
      </c>
      <c r="GI226" s="145" cm="1">
        <f t="array" ref="GI226">SUMPRODUCT(--($CR$7:$FW$7&gt;=GI$5),--($CR$7:$FW$7&lt;=GI$6),$CR226:$FW226)*GA226</f>
        <v>0</v>
      </c>
      <c r="GJ226" s="145" cm="1">
        <f t="array" ref="GJ226">SUMPRODUCT(--($CR$7:$FW$7&gt;=GJ$5),--($CR$7:$FW$7&lt;=GJ$6),$CR226:$FW226)*GB226</f>
        <v>0</v>
      </c>
      <c r="GK226" s="145" cm="1">
        <f t="array" ref="GK226">SUMPRODUCT(--($CR$7:$FW$7&gt;=GK$5),--($CR$7:$FW$7&lt;=GK$6),$CR226:$FW226)*GC226</f>
        <v>0</v>
      </c>
      <c r="GL226" s="145" cm="1">
        <f t="array" ref="GL226">SUMPRODUCT(--($CR$7:$FW$7&gt;=GL$5),--($CR$7:$FW$7&lt;=GL$6),$CR226:$FW226)*GD226</f>
        <v>0</v>
      </c>
      <c r="GM226" s="145" cm="1">
        <f t="array" ref="GM226">SUMPRODUCT(--($CR$7:$FW$7&gt;=GM$5),--($CR$7:$FW$7&lt;=GM$6),$CR226:$FW226)*GE226</f>
        <v>0</v>
      </c>
      <c r="GN226" s="145" cm="1">
        <f t="array" ref="GN226">SUMPRODUCT(--($CR$7:$FW$7&gt;=GN$5),--($CR$7:$FW$7&lt;=GN$6),$CR226:$FW226)*GF226</f>
        <v>0</v>
      </c>
      <c r="GO226" s="145">
        <f t="shared" si="3"/>
        <v>0</v>
      </c>
      <c r="GP226" s="87"/>
      <c r="GR226" s="145" cm="1">
        <f t="array" ref="GR226">SUMPRODUCT(--($CR$7:$FW$7&gt;=GR$5),--($CR$7:$FW$7&lt;=GR$6),$CR226:$FW226)</f>
        <v>0</v>
      </c>
    </row>
    <row r="227" spans="2:200" x14ac:dyDescent="0.2">
      <c r="B227" s="141"/>
      <c r="C227" s="141"/>
      <c r="D227" s="141"/>
      <c r="E227" s="141"/>
      <c r="F227" s="141"/>
      <c r="G227" s="141"/>
      <c r="H227" s="142"/>
      <c r="I227" s="126"/>
      <c r="J227" s="143"/>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3"/>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c r="EE227" s="145"/>
      <c r="EF227" s="145"/>
      <c r="EG227" s="145"/>
      <c r="EH227" s="145"/>
      <c r="EI227" s="145"/>
      <c r="EJ227" s="145"/>
      <c r="EK227" s="145"/>
      <c r="EL227" s="145"/>
      <c r="EM227" s="145"/>
      <c r="EN227" s="145"/>
      <c r="EO227" s="145"/>
      <c r="EP227" s="145"/>
      <c r="EQ227" s="145"/>
      <c r="ER227" s="145"/>
      <c r="ES227" s="145"/>
      <c r="ET227" s="145"/>
      <c r="EU227" s="145"/>
      <c r="EV227" s="145"/>
      <c r="EW227" s="145"/>
      <c r="EX227" s="145"/>
      <c r="EY227" s="145"/>
      <c r="EZ227" s="145"/>
      <c r="FA227" s="145"/>
      <c r="FB227" s="145"/>
      <c r="FC227" s="145"/>
      <c r="FD227" s="145"/>
      <c r="FE227" s="145"/>
      <c r="FF227" s="145"/>
      <c r="FG227" s="145"/>
      <c r="FH227" s="145"/>
      <c r="FI227" s="145"/>
      <c r="FJ227" s="145"/>
      <c r="FK227" s="145"/>
      <c r="FL227" s="145"/>
      <c r="FM227" s="145"/>
      <c r="FN227" s="145"/>
      <c r="FO227" s="145"/>
      <c r="FP227" s="145"/>
      <c r="FQ227" s="145"/>
      <c r="FR227" s="145"/>
      <c r="FS227" s="145"/>
      <c r="FT227" s="145"/>
      <c r="FU227" s="145"/>
      <c r="FV227" s="145"/>
      <c r="FW227" s="145"/>
      <c r="FX227" s="143"/>
      <c r="FY227" s="146">
        <f>_xlfn.XLOOKUP($E227,'Key assumptions'!$B$112:$B$120,'Key assumptions'!$C$112:$C$120,0)</f>
        <v>0</v>
      </c>
      <c r="FZ227" s="146" cm="1">
        <f t="array" ref="FZ227">IF($FY227=0,0,_xlfn.IFS($FY227='Key assumptions'!$C$120,_xlfn.XLOOKUP(LEFT(FZ$7,6),Inflation_Year,Inflation_NominaltoReal),TRUE,_xlfn.XLOOKUP($FY227,Inflation_Year,NominaltoReal)))</f>
        <v>0</v>
      </c>
      <c r="GA227" s="146" cm="1">
        <f t="array" ref="GA227">IF($FY227=0,0,_xlfn.IFS($FY227='Key assumptions'!$C$120,_xlfn.XLOOKUP(LEFT(GA$7,6),Inflation_Year,Inflation_NominaltoReal),TRUE,_xlfn.XLOOKUP($FY227,Inflation_Year,NominaltoReal)))</f>
        <v>0</v>
      </c>
      <c r="GB227" s="146" cm="1">
        <f t="array" ref="GB227">IF($FY227=0,0,_xlfn.IFS($FY227='Key assumptions'!$C$120,_xlfn.XLOOKUP(LEFT(GB$7,6),Inflation_Year,Inflation_NominaltoReal),TRUE,_xlfn.XLOOKUP($FY227,Inflation_Year,NominaltoReal)))</f>
        <v>0</v>
      </c>
      <c r="GC227" s="146" cm="1">
        <f t="array" ref="GC227">IF($FY227=0,0,_xlfn.IFS($FY227='Key assumptions'!$C$120,_xlfn.XLOOKUP(LEFT(GC$7,6),Inflation_Year,Inflation_NominaltoReal),TRUE,_xlfn.XLOOKUP($FY227,Inflation_Year,NominaltoReal)))</f>
        <v>0</v>
      </c>
      <c r="GD227" s="146" cm="1">
        <f t="array" ref="GD227">IF($FY227=0,0,_xlfn.IFS($FY227='Key assumptions'!$C$120,_xlfn.XLOOKUP(LEFT(GD$7,6),Inflation_Year,Inflation_NominaltoReal),TRUE,_xlfn.XLOOKUP($FY227,Inflation_Year,NominaltoReal)))</f>
        <v>0</v>
      </c>
      <c r="GE227" s="146" cm="1">
        <f t="array" ref="GE227">IF($FY227=0,0,_xlfn.IFS($FY227='Key assumptions'!$C$120,_xlfn.XLOOKUP(LEFT(GE$7,6),Inflation_Year,Inflation_NominaltoReal),TRUE,_xlfn.XLOOKUP($FY227,Inflation_Year,NominaltoReal)))</f>
        <v>0</v>
      </c>
      <c r="GF227" s="146" cm="1">
        <f t="array" ref="GF227">IF($FY227=0,0,_xlfn.IFS($FY227='Key assumptions'!$C$120,_xlfn.XLOOKUP(LEFT(GF$7,6),Inflation_Year,Inflation_NominaltoReal),TRUE,_xlfn.XLOOKUP($FY227,Inflation_Year,NominaltoReal)))</f>
        <v>0</v>
      </c>
      <c r="GG227" s="143"/>
      <c r="GH227" s="145" cm="1">
        <f t="array" ref="GH227">SUMPRODUCT(--($CR$7:$FW$7&gt;=GH$5),--($CR$7:$FW$7&lt;=GH$6),$CR227:$FW227)*FZ227</f>
        <v>0</v>
      </c>
      <c r="GI227" s="145" cm="1">
        <f t="array" ref="GI227">SUMPRODUCT(--($CR$7:$FW$7&gt;=GI$5),--($CR$7:$FW$7&lt;=GI$6),$CR227:$FW227)*GA227</f>
        <v>0</v>
      </c>
      <c r="GJ227" s="145" cm="1">
        <f t="array" ref="GJ227">SUMPRODUCT(--($CR$7:$FW$7&gt;=GJ$5),--($CR$7:$FW$7&lt;=GJ$6),$CR227:$FW227)*GB227</f>
        <v>0</v>
      </c>
      <c r="GK227" s="145" cm="1">
        <f t="array" ref="GK227">SUMPRODUCT(--($CR$7:$FW$7&gt;=GK$5),--($CR$7:$FW$7&lt;=GK$6),$CR227:$FW227)*GC227</f>
        <v>0</v>
      </c>
      <c r="GL227" s="145" cm="1">
        <f t="array" ref="GL227">SUMPRODUCT(--($CR$7:$FW$7&gt;=GL$5),--($CR$7:$FW$7&lt;=GL$6),$CR227:$FW227)*GD227</f>
        <v>0</v>
      </c>
      <c r="GM227" s="145" cm="1">
        <f t="array" ref="GM227">SUMPRODUCT(--($CR$7:$FW$7&gt;=GM$5),--($CR$7:$FW$7&lt;=GM$6),$CR227:$FW227)*GE227</f>
        <v>0</v>
      </c>
      <c r="GN227" s="145" cm="1">
        <f t="array" ref="GN227">SUMPRODUCT(--($CR$7:$FW$7&gt;=GN$5),--($CR$7:$FW$7&lt;=GN$6),$CR227:$FW227)*GF227</f>
        <v>0</v>
      </c>
      <c r="GO227" s="145">
        <f t="shared" si="3"/>
        <v>0</v>
      </c>
      <c r="GP227" s="87"/>
      <c r="GR227" s="145" cm="1">
        <f t="array" ref="GR227">SUMPRODUCT(--($CR$7:$FW$7&gt;=GR$5),--($CR$7:$FW$7&lt;=GR$6),$CR227:$FW227)</f>
        <v>0</v>
      </c>
    </row>
    <row r="228" spans="2:200" x14ac:dyDescent="0.2">
      <c r="B228" s="141"/>
      <c r="C228" s="141"/>
      <c r="D228" s="141"/>
      <c r="E228" s="141"/>
      <c r="F228" s="141"/>
      <c r="G228" s="141"/>
      <c r="H228" s="142"/>
      <c r="I228" s="126"/>
      <c r="J228" s="143"/>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3"/>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c r="EE228" s="145"/>
      <c r="EF228" s="145"/>
      <c r="EG228" s="145"/>
      <c r="EH228" s="145"/>
      <c r="EI228" s="145"/>
      <c r="EJ228" s="145"/>
      <c r="EK228" s="145"/>
      <c r="EL228" s="145"/>
      <c r="EM228" s="145"/>
      <c r="EN228" s="145"/>
      <c r="EO228" s="145"/>
      <c r="EP228" s="145"/>
      <c r="EQ228" s="145"/>
      <c r="ER228" s="145"/>
      <c r="ES228" s="145"/>
      <c r="ET228" s="145"/>
      <c r="EU228" s="145"/>
      <c r="EV228" s="145"/>
      <c r="EW228" s="145"/>
      <c r="EX228" s="145"/>
      <c r="EY228" s="145"/>
      <c r="EZ228" s="145"/>
      <c r="FA228" s="145"/>
      <c r="FB228" s="145"/>
      <c r="FC228" s="145"/>
      <c r="FD228" s="145"/>
      <c r="FE228" s="145"/>
      <c r="FF228" s="145"/>
      <c r="FG228" s="145"/>
      <c r="FH228" s="145"/>
      <c r="FI228" s="145"/>
      <c r="FJ228" s="145"/>
      <c r="FK228" s="145"/>
      <c r="FL228" s="145"/>
      <c r="FM228" s="145"/>
      <c r="FN228" s="145"/>
      <c r="FO228" s="145"/>
      <c r="FP228" s="145"/>
      <c r="FQ228" s="145"/>
      <c r="FR228" s="145"/>
      <c r="FS228" s="145"/>
      <c r="FT228" s="145"/>
      <c r="FU228" s="145"/>
      <c r="FV228" s="145"/>
      <c r="FW228" s="145"/>
      <c r="FX228" s="143"/>
      <c r="FY228" s="146">
        <f>_xlfn.XLOOKUP($E228,'Key assumptions'!$B$112:$B$120,'Key assumptions'!$C$112:$C$120,0)</f>
        <v>0</v>
      </c>
      <c r="FZ228" s="146" cm="1">
        <f t="array" ref="FZ228">IF($FY228=0,0,_xlfn.IFS($FY228='Key assumptions'!$C$120,_xlfn.XLOOKUP(LEFT(FZ$7,6),Inflation_Year,Inflation_NominaltoReal),TRUE,_xlfn.XLOOKUP($FY228,Inflation_Year,NominaltoReal)))</f>
        <v>0</v>
      </c>
      <c r="GA228" s="146" cm="1">
        <f t="array" ref="GA228">IF($FY228=0,0,_xlfn.IFS($FY228='Key assumptions'!$C$120,_xlfn.XLOOKUP(LEFT(GA$7,6),Inflation_Year,Inflation_NominaltoReal),TRUE,_xlfn.XLOOKUP($FY228,Inflation_Year,NominaltoReal)))</f>
        <v>0</v>
      </c>
      <c r="GB228" s="146" cm="1">
        <f t="array" ref="GB228">IF($FY228=0,0,_xlfn.IFS($FY228='Key assumptions'!$C$120,_xlfn.XLOOKUP(LEFT(GB$7,6),Inflation_Year,Inflation_NominaltoReal),TRUE,_xlfn.XLOOKUP($FY228,Inflation_Year,NominaltoReal)))</f>
        <v>0</v>
      </c>
      <c r="GC228" s="146" cm="1">
        <f t="array" ref="GC228">IF($FY228=0,0,_xlfn.IFS($FY228='Key assumptions'!$C$120,_xlfn.XLOOKUP(LEFT(GC$7,6),Inflation_Year,Inflation_NominaltoReal),TRUE,_xlfn.XLOOKUP($FY228,Inflation_Year,NominaltoReal)))</f>
        <v>0</v>
      </c>
      <c r="GD228" s="146" cm="1">
        <f t="array" ref="GD228">IF($FY228=0,0,_xlfn.IFS($FY228='Key assumptions'!$C$120,_xlfn.XLOOKUP(LEFT(GD$7,6),Inflation_Year,Inflation_NominaltoReal),TRUE,_xlfn.XLOOKUP($FY228,Inflation_Year,NominaltoReal)))</f>
        <v>0</v>
      </c>
      <c r="GE228" s="146" cm="1">
        <f t="array" ref="GE228">IF($FY228=0,0,_xlfn.IFS($FY228='Key assumptions'!$C$120,_xlfn.XLOOKUP(LEFT(GE$7,6),Inflation_Year,Inflation_NominaltoReal),TRUE,_xlfn.XLOOKUP($FY228,Inflation_Year,NominaltoReal)))</f>
        <v>0</v>
      </c>
      <c r="GF228" s="146" cm="1">
        <f t="array" ref="GF228">IF($FY228=0,0,_xlfn.IFS($FY228='Key assumptions'!$C$120,_xlfn.XLOOKUP(LEFT(GF$7,6),Inflation_Year,Inflation_NominaltoReal),TRUE,_xlfn.XLOOKUP($FY228,Inflation_Year,NominaltoReal)))</f>
        <v>0</v>
      </c>
      <c r="GG228" s="143"/>
      <c r="GH228" s="145" cm="1">
        <f t="array" ref="GH228">SUMPRODUCT(--($CR$7:$FW$7&gt;=GH$5),--($CR$7:$FW$7&lt;=GH$6),$CR228:$FW228)*FZ228</f>
        <v>0</v>
      </c>
      <c r="GI228" s="145" cm="1">
        <f t="array" ref="GI228">SUMPRODUCT(--($CR$7:$FW$7&gt;=GI$5),--($CR$7:$FW$7&lt;=GI$6),$CR228:$FW228)*GA228</f>
        <v>0</v>
      </c>
      <c r="GJ228" s="145" cm="1">
        <f t="array" ref="GJ228">SUMPRODUCT(--($CR$7:$FW$7&gt;=GJ$5),--($CR$7:$FW$7&lt;=GJ$6),$CR228:$FW228)*GB228</f>
        <v>0</v>
      </c>
      <c r="GK228" s="145" cm="1">
        <f t="array" ref="GK228">SUMPRODUCT(--($CR$7:$FW$7&gt;=GK$5),--($CR$7:$FW$7&lt;=GK$6),$CR228:$FW228)*GC228</f>
        <v>0</v>
      </c>
      <c r="GL228" s="145" cm="1">
        <f t="array" ref="GL228">SUMPRODUCT(--($CR$7:$FW$7&gt;=GL$5),--($CR$7:$FW$7&lt;=GL$6),$CR228:$FW228)*GD228</f>
        <v>0</v>
      </c>
      <c r="GM228" s="145" cm="1">
        <f t="array" ref="GM228">SUMPRODUCT(--($CR$7:$FW$7&gt;=GM$5),--($CR$7:$FW$7&lt;=GM$6),$CR228:$FW228)*GE228</f>
        <v>0</v>
      </c>
      <c r="GN228" s="145" cm="1">
        <f t="array" ref="GN228">SUMPRODUCT(--($CR$7:$FW$7&gt;=GN$5),--($CR$7:$FW$7&lt;=GN$6),$CR228:$FW228)*GF228</f>
        <v>0</v>
      </c>
      <c r="GO228" s="145">
        <f t="shared" si="3"/>
        <v>0</v>
      </c>
      <c r="GP228" s="87"/>
      <c r="GR228" s="145" cm="1">
        <f t="array" ref="GR228">SUMPRODUCT(--($CR$7:$FW$7&gt;=GR$5),--($CR$7:$FW$7&lt;=GR$6),$CR228:$FW228)</f>
        <v>0</v>
      </c>
    </row>
    <row r="229" spans="2:200" x14ac:dyDescent="0.2">
      <c r="B229" s="141"/>
      <c r="C229" s="141"/>
      <c r="D229" s="141"/>
      <c r="E229" s="141"/>
      <c r="F229" s="141"/>
      <c r="G229" s="141"/>
      <c r="H229" s="142"/>
      <c r="I229" s="126"/>
      <c r="J229" s="143"/>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3"/>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c r="EE229" s="145"/>
      <c r="EF229" s="145"/>
      <c r="EG229" s="145"/>
      <c r="EH229" s="145"/>
      <c r="EI229" s="145"/>
      <c r="EJ229" s="145"/>
      <c r="EK229" s="145"/>
      <c r="EL229" s="145"/>
      <c r="EM229" s="145"/>
      <c r="EN229" s="145"/>
      <c r="EO229" s="145"/>
      <c r="EP229" s="145"/>
      <c r="EQ229" s="145"/>
      <c r="ER229" s="145"/>
      <c r="ES229" s="145"/>
      <c r="ET229" s="145"/>
      <c r="EU229" s="145"/>
      <c r="EV229" s="145"/>
      <c r="EW229" s="145"/>
      <c r="EX229" s="145"/>
      <c r="EY229" s="145"/>
      <c r="EZ229" s="145"/>
      <c r="FA229" s="145"/>
      <c r="FB229" s="145"/>
      <c r="FC229" s="145"/>
      <c r="FD229" s="14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3"/>
      <c r="FY229" s="146">
        <f>_xlfn.XLOOKUP($E229,'Key assumptions'!$B$112:$B$120,'Key assumptions'!$C$112:$C$120,0)</f>
        <v>0</v>
      </c>
      <c r="FZ229" s="146" cm="1">
        <f t="array" ref="FZ229">IF($FY229=0,0,_xlfn.IFS($FY229='Key assumptions'!$C$120,_xlfn.XLOOKUP(LEFT(FZ$7,6),Inflation_Year,Inflation_NominaltoReal),TRUE,_xlfn.XLOOKUP($FY229,Inflation_Year,NominaltoReal)))</f>
        <v>0</v>
      </c>
      <c r="GA229" s="146" cm="1">
        <f t="array" ref="GA229">IF($FY229=0,0,_xlfn.IFS($FY229='Key assumptions'!$C$120,_xlfn.XLOOKUP(LEFT(GA$7,6),Inflation_Year,Inflation_NominaltoReal),TRUE,_xlfn.XLOOKUP($FY229,Inflation_Year,NominaltoReal)))</f>
        <v>0</v>
      </c>
      <c r="GB229" s="146" cm="1">
        <f t="array" ref="GB229">IF($FY229=0,0,_xlfn.IFS($FY229='Key assumptions'!$C$120,_xlfn.XLOOKUP(LEFT(GB$7,6),Inflation_Year,Inflation_NominaltoReal),TRUE,_xlfn.XLOOKUP($FY229,Inflation_Year,NominaltoReal)))</f>
        <v>0</v>
      </c>
      <c r="GC229" s="146" cm="1">
        <f t="array" ref="GC229">IF($FY229=0,0,_xlfn.IFS($FY229='Key assumptions'!$C$120,_xlfn.XLOOKUP(LEFT(GC$7,6),Inflation_Year,Inflation_NominaltoReal),TRUE,_xlfn.XLOOKUP($FY229,Inflation_Year,NominaltoReal)))</f>
        <v>0</v>
      </c>
      <c r="GD229" s="146" cm="1">
        <f t="array" ref="GD229">IF($FY229=0,0,_xlfn.IFS($FY229='Key assumptions'!$C$120,_xlfn.XLOOKUP(LEFT(GD$7,6),Inflation_Year,Inflation_NominaltoReal),TRUE,_xlfn.XLOOKUP($FY229,Inflation_Year,NominaltoReal)))</f>
        <v>0</v>
      </c>
      <c r="GE229" s="146" cm="1">
        <f t="array" ref="GE229">IF($FY229=0,0,_xlfn.IFS($FY229='Key assumptions'!$C$120,_xlfn.XLOOKUP(LEFT(GE$7,6),Inflation_Year,Inflation_NominaltoReal),TRUE,_xlfn.XLOOKUP($FY229,Inflation_Year,NominaltoReal)))</f>
        <v>0</v>
      </c>
      <c r="GF229" s="146" cm="1">
        <f t="array" ref="GF229">IF($FY229=0,0,_xlfn.IFS($FY229='Key assumptions'!$C$120,_xlfn.XLOOKUP(LEFT(GF$7,6),Inflation_Year,Inflation_NominaltoReal),TRUE,_xlfn.XLOOKUP($FY229,Inflation_Year,NominaltoReal)))</f>
        <v>0</v>
      </c>
      <c r="GG229" s="143"/>
      <c r="GH229" s="145" cm="1">
        <f t="array" ref="GH229">SUMPRODUCT(--($CR$7:$FW$7&gt;=GH$5),--($CR$7:$FW$7&lt;=GH$6),$CR229:$FW229)*FZ229</f>
        <v>0</v>
      </c>
      <c r="GI229" s="145" cm="1">
        <f t="array" ref="GI229">SUMPRODUCT(--($CR$7:$FW$7&gt;=GI$5),--($CR$7:$FW$7&lt;=GI$6),$CR229:$FW229)*GA229</f>
        <v>0</v>
      </c>
      <c r="GJ229" s="145" cm="1">
        <f t="array" ref="GJ229">SUMPRODUCT(--($CR$7:$FW$7&gt;=GJ$5),--($CR$7:$FW$7&lt;=GJ$6),$CR229:$FW229)*GB229</f>
        <v>0</v>
      </c>
      <c r="GK229" s="145" cm="1">
        <f t="array" ref="GK229">SUMPRODUCT(--($CR$7:$FW$7&gt;=GK$5),--($CR$7:$FW$7&lt;=GK$6),$CR229:$FW229)*GC229</f>
        <v>0</v>
      </c>
      <c r="GL229" s="145" cm="1">
        <f t="array" ref="GL229">SUMPRODUCT(--($CR$7:$FW$7&gt;=GL$5),--($CR$7:$FW$7&lt;=GL$6),$CR229:$FW229)*GD229</f>
        <v>0</v>
      </c>
      <c r="GM229" s="145" cm="1">
        <f t="array" ref="GM229">SUMPRODUCT(--($CR$7:$FW$7&gt;=GM$5),--($CR$7:$FW$7&lt;=GM$6),$CR229:$FW229)*GE229</f>
        <v>0</v>
      </c>
      <c r="GN229" s="145" cm="1">
        <f t="array" ref="GN229">SUMPRODUCT(--($CR$7:$FW$7&gt;=GN$5),--($CR$7:$FW$7&lt;=GN$6),$CR229:$FW229)*GF229</f>
        <v>0</v>
      </c>
      <c r="GO229" s="145">
        <f t="shared" si="3"/>
        <v>0</v>
      </c>
      <c r="GP229" s="87"/>
      <c r="GR229" s="145" cm="1">
        <f t="array" ref="GR229">SUMPRODUCT(--($CR$7:$FW$7&gt;=GR$5),--($CR$7:$FW$7&lt;=GR$6),$CR229:$FW229)</f>
        <v>0</v>
      </c>
    </row>
    <row r="230" spans="2:200" x14ac:dyDescent="0.2">
      <c r="B230" s="141"/>
      <c r="C230" s="141"/>
      <c r="D230" s="141"/>
      <c r="E230" s="141"/>
      <c r="F230" s="141"/>
      <c r="G230" s="141"/>
      <c r="H230" s="142"/>
      <c r="I230" s="126"/>
      <c r="J230" s="143"/>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3"/>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c r="EE230" s="145"/>
      <c r="EF230" s="145"/>
      <c r="EG230" s="145"/>
      <c r="EH230" s="145"/>
      <c r="EI230" s="145"/>
      <c r="EJ230" s="145"/>
      <c r="EK230" s="145"/>
      <c r="EL230" s="145"/>
      <c r="EM230" s="145"/>
      <c r="EN230" s="145"/>
      <c r="EO230" s="145"/>
      <c r="EP230" s="145"/>
      <c r="EQ230" s="145"/>
      <c r="ER230" s="145"/>
      <c r="ES230" s="145"/>
      <c r="ET230" s="145"/>
      <c r="EU230" s="145"/>
      <c r="EV230" s="145"/>
      <c r="EW230" s="145"/>
      <c r="EX230" s="145"/>
      <c r="EY230" s="145"/>
      <c r="EZ230" s="145"/>
      <c r="FA230" s="145"/>
      <c r="FB230" s="145"/>
      <c r="FC230" s="145"/>
      <c r="FD230" s="14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3"/>
      <c r="FY230" s="146">
        <f>_xlfn.XLOOKUP($E230,'Key assumptions'!$B$112:$B$120,'Key assumptions'!$C$112:$C$120,0)</f>
        <v>0</v>
      </c>
      <c r="FZ230" s="146" cm="1">
        <f t="array" ref="FZ230">IF($FY230=0,0,_xlfn.IFS($FY230='Key assumptions'!$C$120,_xlfn.XLOOKUP(LEFT(FZ$7,6),Inflation_Year,Inflation_NominaltoReal),TRUE,_xlfn.XLOOKUP($FY230,Inflation_Year,NominaltoReal)))</f>
        <v>0</v>
      </c>
      <c r="GA230" s="146" cm="1">
        <f t="array" ref="GA230">IF($FY230=0,0,_xlfn.IFS($FY230='Key assumptions'!$C$120,_xlfn.XLOOKUP(LEFT(GA$7,6),Inflation_Year,Inflation_NominaltoReal),TRUE,_xlfn.XLOOKUP($FY230,Inflation_Year,NominaltoReal)))</f>
        <v>0</v>
      </c>
      <c r="GB230" s="146" cm="1">
        <f t="array" ref="GB230">IF($FY230=0,0,_xlfn.IFS($FY230='Key assumptions'!$C$120,_xlfn.XLOOKUP(LEFT(GB$7,6),Inflation_Year,Inflation_NominaltoReal),TRUE,_xlfn.XLOOKUP($FY230,Inflation_Year,NominaltoReal)))</f>
        <v>0</v>
      </c>
      <c r="GC230" s="146" cm="1">
        <f t="array" ref="GC230">IF($FY230=0,0,_xlfn.IFS($FY230='Key assumptions'!$C$120,_xlfn.XLOOKUP(LEFT(GC$7,6),Inflation_Year,Inflation_NominaltoReal),TRUE,_xlfn.XLOOKUP($FY230,Inflation_Year,NominaltoReal)))</f>
        <v>0</v>
      </c>
      <c r="GD230" s="146" cm="1">
        <f t="array" ref="GD230">IF($FY230=0,0,_xlfn.IFS($FY230='Key assumptions'!$C$120,_xlfn.XLOOKUP(LEFT(GD$7,6),Inflation_Year,Inflation_NominaltoReal),TRUE,_xlfn.XLOOKUP($FY230,Inflation_Year,NominaltoReal)))</f>
        <v>0</v>
      </c>
      <c r="GE230" s="146" cm="1">
        <f t="array" ref="GE230">IF($FY230=0,0,_xlfn.IFS($FY230='Key assumptions'!$C$120,_xlfn.XLOOKUP(LEFT(GE$7,6),Inflation_Year,Inflation_NominaltoReal),TRUE,_xlfn.XLOOKUP($FY230,Inflation_Year,NominaltoReal)))</f>
        <v>0</v>
      </c>
      <c r="GF230" s="146" cm="1">
        <f t="array" ref="GF230">IF($FY230=0,0,_xlfn.IFS($FY230='Key assumptions'!$C$120,_xlfn.XLOOKUP(LEFT(GF$7,6),Inflation_Year,Inflation_NominaltoReal),TRUE,_xlfn.XLOOKUP($FY230,Inflation_Year,NominaltoReal)))</f>
        <v>0</v>
      </c>
      <c r="GG230" s="143"/>
      <c r="GH230" s="145" cm="1">
        <f t="array" ref="GH230">SUMPRODUCT(--($CR$7:$FW$7&gt;=GH$5),--($CR$7:$FW$7&lt;=GH$6),$CR230:$FW230)*FZ230</f>
        <v>0</v>
      </c>
      <c r="GI230" s="145" cm="1">
        <f t="array" ref="GI230">SUMPRODUCT(--($CR$7:$FW$7&gt;=GI$5),--($CR$7:$FW$7&lt;=GI$6),$CR230:$FW230)*GA230</f>
        <v>0</v>
      </c>
      <c r="GJ230" s="145" cm="1">
        <f t="array" ref="GJ230">SUMPRODUCT(--($CR$7:$FW$7&gt;=GJ$5),--($CR$7:$FW$7&lt;=GJ$6),$CR230:$FW230)*GB230</f>
        <v>0</v>
      </c>
      <c r="GK230" s="145" cm="1">
        <f t="array" ref="GK230">SUMPRODUCT(--($CR$7:$FW$7&gt;=GK$5),--($CR$7:$FW$7&lt;=GK$6),$CR230:$FW230)*GC230</f>
        <v>0</v>
      </c>
      <c r="GL230" s="145" cm="1">
        <f t="array" ref="GL230">SUMPRODUCT(--($CR$7:$FW$7&gt;=GL$5),--($CR$7:$FW$7&lt;=GL$6),$CR230:$FW230)*GD230</f>
        <v>0</v>
      </c>
      <c r="GM230" s="145" cm="1">
        <f t="array" ref="GM230">SUMPRODUCT(--($CR$7:$FW$7&gt;=GM$5),--($CR$7:$FW$7&lt;=GM$6),$CR230:$FW230)*GE230</f>
        <v>0</v>
      </c>
      <c r="GN230" s="145" cm="1">
        <f t="array" ref="GN230">SUMPRODUCT(--($CR$7:$FW$7&gt;=GN$5),--($CR$7:$FW$7&lt;=GN$6),$CR230:$FW230)*GF230</f>
        <v>0</v>
      </c>
      <c r="GO230" s="145">
        <f t="shared" si="3"/>
        <v>0</v>
      </c>
      <c r="GP230" s="87"/>
      <c r="GR230" s="145" cm="1">
        <f t="array" ref="GR230">SUMPRODUCT(--($CR$7:$FW$7&gt;=GR$5),--($CR$7:$FW$7&lt;=GR$6),$CR230:$FW230)</f>
        <v>0</v>
      </c>
    </row>
    <row r="231" spans="2:200" x14ac:dyDescent="0.2">
      <c r="B231" s="141"/>
      <c r="C231" s="141"/>
      <c r="D231" s="141"/>
      <c r="E231" s="141"/>
      <c r="F231" s="141"/>
      <c r="G231" s="141"/>
      <c r="H231" s="142"/>
      <c r="I231" s="126"/>
      <c r="J231" s="143"/>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3"/>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c r="EE231" s="145"/>
      <c r="EF231" s="145"/>
      <c r="EG231" s="145"/>
      <c r="EH231" s="145"/>
      <c r="EI231" s="145"/>
      <c r="EJ231" s="145"/>
      <c r="EK231" s="145"/>
      <c r="EL231" s="145"/>
      <c r="EM231" s="145"/>
      <c r="EN231" s="145"/>
      <c r="EO231" s="145"/>
      <c r="EP231" s="145"/>
      <c r="EQ231" s="145"/>
      <c r="ER231" s="145"/>
      <c r="ES231" s="145"/>
      <c r="ET231" s="145"/>
      <c r="EU231" s="145"/>
      <c r="EV231" s="145"/>
      <c r="EW231" s="145"/>
      <c r="EX231" s="145"/>
      <c r="EY231" s="145"/>
      <c r="EZ231" s="145"/>
      <c r="FA231" s="145"/>
      <c r="FB231" s="145"/>
      <c r="FC231" s="145"/>
      <c r="FD231" s="145"/>
      <c r="FE231" s="145"/>
      <c r="FF231" s="145"/>
      <c r="FG231" s="145"/>
      <c r="FH231" s="145"/>
      <c r="FI231" s="145"/>
      <c r="FJ231" s="145"/>
      <c r="FK231" s="145"/>
      <c r="FL231" s="145"/>
      <c r="FM231" s="145"/>
      <c r="FN231" s="145"/>
      <c r="FO231" s="145"/>
      <c r="FP231" s="145"/>
      <c r="FQ231" s="145"/>
      <c r="FR231" s="145"/>
      <c r="FS231" s="145"/>
      <c r="FT231" s="145"/>
      <c r="FU231" s="145"/>
      <c r="FV231" s="145"/>
      <c r="FW231" s="145"/>
      <c r="FX231" s="143"/>
      <c r="FY231" s="146">
        <f>_xlfn.XLOOKUP($E231,'Key assumptions'!$B$112:$B$120,'Key assumptions'!$C$112:$C$120,0)</f>
        <v>0</v>
      </c>
      <c r="FZ231" s="146" cm="1">
        <f t="array" ref="FZ231">IF($FY231=0,0,_xlfn.IFS($FY231='Key assumptions'!$C$120,_xlfn.XLOOKUP(LEFT(FZ$7,6),Inflation_Year,Inflation_NominaltoReal),TRUE,_xlfn.XLOOKUP($FY231,Inflation_Year,NominaltoReal)))</f>
        <v>0</v>
      </c>
      <c r="GA231" s="146" cm="1">
        <f t="array" ref="GA231">IF($FY231=0,0,_xlfn.IFS($FY231='Key assumptions'!$C$120,_xlfn.XLOOKUP(LEFT(GA$7,6),Inflation_Year,Inflation_NominaltoReal),TRUE,_xlfn.XLOOKUP($FY231,Inflation_Year,NominaltoReal)))</f>
        <v>0</v>
      </c>
      <c r="GB231" s="146" cm="1">
        <f t="array" ref="GB231">IF($FY231=0,0,_xlfn.IFS($FY231='Key assumptions'!$C$120,_xlfn.XLOOKUP(LEFT(GB$7,6),Inflation_Year,Inflation_NominaltoReal),TRUE,_xlfn.XLOOKUP($FY231,Inflation_Year,NominaltoReal)))</f>
        <v>0</v>
      </c>
      <c r="GC231" s="146" cm="1">
        <f t="array" ref="GC231">IF($FY231=0,0,_xlfn.IFS($FY231='Key assumptions'!$C$120,_xlfn.XLOOKUP(LEFT(GC$7,6),Inflation_Year,Inflation_NominaltoReal),TRUE,_xlfn.XLOOKUP($FY231,Inflation_Year,NominaltoReal)))</f>
        <v>0</v>
      </c>
      <c r="GD231" s="146" cm="1">
        <f t="array" ref="GD231">IF($FY231=0,0,_xlfn.IFS($FY231='Key assumptions'!$C$120,_xlfn.XLOOKUP(LEFT(GD$7,6),Inflation_Year,Inflation_NominaltoReal),TRUE,_xlfn.XLOOKUP($FY231,Inflation_Year,NominaltoReal)))</f>
        <v>0</v>
      </c>
      <c r="GE231" s="146" cm="1">
        <f t="array" ref="GE231">IF($FY231=0,0,_xlfn.IFS($FY231='Key assumptions'!$C$120,_xlfn.XLOOKUP(LEFT(GE$7,6),Inflation_Year,Inflation_NominaltoReal),TRUE,_xlfn.XLOOKUP($FY231,Inflation_Year,NominaltoReal)))</f>
        <v>0</v>
      </c>
      <c r="GF231" s="146" cm="1">
        <f t="array" ref="GF231">IF($FY231=0,0,_xlfn.IFS($FY231='Key assumptions'!$C$120,_xlfn.XLOOKUP(LEFT(GF$7,6),Inflation_Year,Inflation_NominaltoReal),TRUE,_xlfn.XLOOKUP($FY231,Inflation_Year,NominaltoReal)))</f>
        <v>0</v>
      </c>
      <c r="GG231" s="143"/>
      <c r="GH231" s="145" cm="1">
        <f t="array" ref="GH231">SUMPRODUCT(--($CR$7:$FW$7&gt;=GH$5),--($CR$7:$FW$7&lt;=GH$6),$CR231:$FW231)*FZ231</f>
        <v>0</v>
      </c>
      <c r="GI231" s="145" cm="1">
        <f t="array" ref="GI231">SUMPRODUCT(--($CR$7:$FW$7&gt;=GI$5),--($CR$7:$FW$7&lt;=GI$6),$CR231:$FW231)*GA231</f>
        <v>0</v>
      </c>
      <c r="GJ231" s="145" cm="1">
        <f t="array" ref="GJ231">SUMPRODUCT(--($CR$7:$FW$7&gt;=GJ$5),--($CR$7:$FW$7&lt;=GJ$6),$CR231:$FW231)*GB231</f>
        <v>0</v>
      </c>
      <c r="GK231" s="145" cm="1">
        <f t="array" ref="GK231">SUMPRODUCT(--($CR$7:$FW$7&gt;=GK$5),--($CR$7:$FW$7&lt;=GK$6),$CR231:$FW231)*GC231</f>
        <v>0</v>
      </c>
      <c r="GL231" s="145" cm="1">
        <f t="array" ref="GL231">SUMPRODUCT(--($CR$7:$FW$7&gt;=GL$5),--($CR$7:$FW$7&lt;=GL$6),$CR231:$FW231)*GD231</f>
        <v>0</v>
      </c>
      <c r="GM231" s="145" cm="1">
        <f t="array" ref="GM231">SUMPRODUCT(--($CR$7:$FW$7&gt;=GM$5),--($CR$7:$FW$7&lt;=GM$6),$CR231:$FW231)*GE231</f>
        <v>0</v>
      </c>
      <c r="GN231" s="145" cm="1">
        <f t="array" ref="GN231">SUMPRODUCT(--($CR$7:$FW$7&gt;=GN$5),--($CR$7:$FW$7&lt;=GN$6),$CR231:$FW231)*GF231</f>
        <v>0</v>
      </c>
      <c r="GO231" s="145">
        <f t="shared" si="3"/>
        <v>0</v>
      </c>
      <c r="GP231" s="87"/>
      <c r="GR231" s="145" cm="1">
        <f t="array" ref="GR231">SUMPRODUCT(--($CR$7:$FW$7&gt;=GR$5),--($CR$7:$FW$7&lt;=GR$6),$CR231:$FW231)</f>
        <v>0</v>
      </c>
    </row>
    <row r="232" spans="2:200" x14ac:dyDescent="0.2">
      <c r="B232" s="141"/>
      <c r="C232" s="141"/>
      <c r="D232" s="141"/>
      <c r="E232" s="141"/>
      <c r="F232" s="141"/>
      <c r="G232" s="141"/>
      <c r="H232" s="142"/>
      <c r="I232" s="126"/>
      <c r="J232" s="143"/>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3"/>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45"/>
      <c r="FB232" s="145"/>
      <c r="FC232" s="145"/>
      <c r="FD232" s="14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3"/>
      <c r="FY232" s="146">
        <f>_xlfn.XLOOKUP($E232,'Key assumptions'!$B$112:$B$120,'Key assumptions'!$C$112:$C$120,0)</f>
        <v>0</v>
      </c>
      <c r="FZ232" s="146" cm="1">
        <f t="array" ref="FZ232">IF($FY232=0,0,_xlfn.IFS($FY232='Key assumptions'!$C$120,_xlfn.XLOOKUP(LEFT(FZ$7,6),Inflation_Year,Inflation_NominaltoReal),TRUE,_xlfn.XLOOKUP($FY232,Inflation_Year,NominaltoReal)))</f>
        <v>0</v>
      </c>
      <c r="GA232" s="146" cm="1">
        <f t="array" ref="GA232">IF($FY232=0,0,_xlfn.IFS($FY232='Key assumptions'!$C$120,_xlfn.XLOOKUP(LEFT(GA$7,6),Inflation_Year,Inflation_NominaltoReal),TRUE,_xlfn.XLOOKUP($FY232,Inflation_Year,NominaltoReal)))</f>
        <v>0</v>
      </c>
      <c r="GB232" s="146" cm="1">
        <f t="array" ref="GB232">IF($FY232=0,0,_xlfn.IFS($FY232='Key assumptions'!$C$120,_xlfn.XLOOKUP(LEFT(GB$7,6),Inflation_Year,Inflation_NominaltoReal),TRUE,_xlfn.XLOOKUP($FY232,Inflation_Year,NominaltoReal)))</f>
        <v>0</v>
      </c>
      <c r="GC232" s="146" cm="1">
        <f t="array" ref="GC232">IF($FY232=0,0,_xlfn.IFS($FY232='Key assumptions'!$C$120,_xlfn.XLOOKUP(LEFT(GC$7,6),Inflation_Year,Inflation_NominaltoReal),TRUE,_xlfn.XLOOKUP($FY232,Inflation_Year,NominaltoReal)))</f>
        <v>0</v>
      </c>
      <c r="GD232" s="146" cm="1">
        <f t="array" ref="GD232">IF($FY232=0,0,_xlfn.IFS($FY232='Key assumptions'!$C$120,_xlfn.XLOOKUP(LEFT(GD$7,6),Inflation_Year,Inflation_NominaltoReal),TRUE,_xlfn.XLOOKUP($FY232,Inflation_Year,NominaltoReal)))</f>
        <v>0</v>
      </c>
      <c r="GE232" s="146" cm="1">
        <f t="array" ref="GE232">IF($FY232=0,0,_xlfn.IFS($FY232='Key assumptions'!$C$120,_xlfn.XLOOKUP(LEFT(GE$7,6),Inflation_Year,Inflation_NominaltoReal),TRUE,_xlfn.XLOOKUP($FY232,Inflation_Year,NominaltoReal)))</f>
        <v>0</v>
      </c>
      <c r="GF232" s="146" cm="1">
        <f t="array" ref="GF232">IF($FY232=0,0,_xlfn.IFS($FY232='Key assumptions'!$C$120,_xlfn.XLOOKUP(LEFT(GF$7,6),Inflation_Year,Inflation_NominaltoReal),TRUE,_xlfn.XLOOKUP($FY232,Inflation_Year,NominaltoReal)))</f>
        <v>0</v>
      </c>
      <c r="GG232" s="143"/>
      <c r="GH232" s="145" cm="1">
        <f t="array" ref="GH232">SUMPRODUCT(--($CR$7:$FW$7&gt;=GH$5),--($CR$7:$FW$7&lt;=GH$6),$CR232:$FW232)*FZ232</f>
        <v>0</v>
      </c>
      <c r="GI232" s="145" cm="1">
        <f t="array" ref="GI232">SUMPRODUCT(--($CR$7:$FW$7&gt;=GI$5),--($CR$7:$FW$7&lt;=GI$6),$CR232:$FW232)*GA232</f>
        <v>0</v>
      </c>
      <c r="GJ232" s="145" cm="1">
        <f t="array" ref="GJ232">SUMPRODUCT(--($CR$7:$FW$7&gt;=GJ$5),--($CR$7:$FW$7&lt;=GJ$6),$CR232:$FW232)*GB232</f>
        <v>0</v>
      </c>
      <c r="GK232" s="145" cm="1">
        <f t="array" ref="GK232">SUMPRODUCT(--($CR$7:$FW$7&gt;=GK$5),--($CR$7:$FW$7&lt;=GK$6),$CR232:$FW232)*GC232</f>
        <v>0</v>
      </c>
      <c r="GL232" s="145" cm="1">
        <f t="array" ref="GL232">SUMPRODUCT(--($CR$7:$FW$7&gt;=GL$5),--($CR$7:$FW$7&lt;=GL$6),$CR232:$FW232)*GD232</f>
        <v>0</v>
      </c>
      <c r="GM232" s="145" cm="1">
        <f t="array" ref="GM232">SUMPRODUCT(--($CR$7:$FW$7&gt;=GM$5),--($CR$7:$FW$7&lt;=GM$6),$CR232:$FW232)*GE232</f>
        <v>0</v>
      </c>
      <c r="GN232" s="145" cm="1">
        <f t="array" ref="GN232">SUMPRODUCT(--($CR$7:$FW$7&gt;=GN$5),--($CR$7:$FW$7&lt;=GN$6),$CR232:$FW232)*GF232</f>
        <v>0</v>
      </c>
      <c r="GO232" s="145">
        <f t="shared" si="3"/>
        <v>0</v>
      </c>
      <c r="GP232" s="87"/>
      <c r="GR232" s="145" cm="1">
        <f t="array" ref="GR232">SUMPRODUCT(--($CR$7:$FW$7&gt;=GR$5),--($CR$7:$FW$7&lt;=GR$6),$CR232:$FW232)</f>
        <v>0</v>
      </c>
    </row>
    <row r="233" spans="2:200" x14ac:dyDescent="0.2">
      <c r="B233" s="141"/>
      <c r="C233" s="141"/>
      <c r="D233" s="141"/>
      <c r="E233" s="141"/>
      <c r="F233" s="141"/>
      <c r="G233" s="141"/>
      <c r="H233" s="142"/>
      <c r="I233" s="126"/>
      <c r="J233" s="143"/>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3"/>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45"/>
      <c r="FB233" s="145"/>
      <c r="FC233" s="145"/>
      <c r="FD233" s="14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3"/>
      <c r="FY233" s="146">
        <f>_xlfn.XLOOKUP($E233,'Key assumptions'!$B$112:$B$120,'Key assumptions'!$C$112:$C$120,0)</f>
        <v>0</v>
      </c>
      <c r="FZ233" s="146" cm="1">
        <f t="array" ref="FZ233">IF($FY233=0,0,_xlfn.IFS($FY233='Key assumptions'!$C$120,_xlfn.XLOOKUP(LEFT(FZ$7,6),Inflation_Year,Inflation_NominaltoReal),TRUE,_xlfn.XLOOKUP($FY233,Inflation_Year,NominaltoReal)))</f>
        <v>0</v>
      </c>
      <c r="GA233" s="146" cm="1">
        <f t="array" ref="GA233">IF($FY233=0,0,_xlfn.IFS($FY233='Key assumptions'!$C$120,_xlfn.XLOOKUP(LEFT(GA$7,6),Inflation_Year,Inflation_NominaltoReal),TRUE,_xlfn.XLOOKUP($FY233,Inflation_Year,NominaltoReal)))</f>
        <v>0</v>
      </c>
      <c r="GB233" s="146" cm="1">
        <f t="array" ref="GB233">IF($FY233=0,0,_xlfn.IFS($FY233='Key assumptions'!$C$120,_xlfn.XLOOKUP(LEFT(GB$7,6),Inflation_Year,Inflation_NominaltoReal),TRUE,_xlfn.XLOOKUP($FY233,Inflation_Year,NominaltoReal)))</f>
        <v>0</v>
      </c>
      <c r="GC233" s="146" cm="1">
        <f t="array" ref="GC233">IF($FY233=0,0,_xlfn.IFS($FY233='Key assumptions'!$C$120,_xlfn.XLOOKUP(LEFT(GC$7,6),Inflation_Year,Inflation_NominaltoReal),TRUE,_xlfn.XLOOKUP($FY233,Inflation_Year,NominaltoReal)))</f>
        <v>0</v>
      </c>
      <c r="GD233" s="146" cm="1">
        <f t="array" ref="GD233">IF($FY233=0,0,_xlfn.IFS($FY233='Key assumptions'!$C$120,_xlfn.XLOOKUP(LEFT(GD$7,6),Inflation_Year,Inflation_NominaltoReal),TRUE,_xlfn.XLOOKUP($FY233,Inflation_Year,NominaltoReal)))</f>
        <v>0</v>
      </c>
      <c r="GE233" s="146" cm="1">
        <f t="array" ref="GE233">IF($FY233=0,0,_xlfn.IFS($FY233='Key assumptions'!$C$120,_xlfn.XLOOKUP(LEFT(GE$7,6),Inflation_Year,Inflation_NominaltoReal),TRUE,_xlfn.XLOOKUP($FY233,Inflation_Year,NominaltoReal)))</f>
        <v>0</v>
      </c>
      <c r="GF233" s="146" cm="1">
        <f t="array" ref="GF233">IF($FY233=0,0,_xlfn.IFS($FY233='Key assumptions'!$C$120,_xlfn.XLOOKUP(LEFT(GF$7,6),Inflation_Year,Inflation_NominaltoReal),TRUE,_xlfn.XLOOKUP($FY233,Inflation_Year,NominaltoReal)))</f>
        <v>0</v>
      </c>
      <c r="GG233" s="143"/>
      <c r="GH233" s="145" cm="1">
        <f t="array" ref="GH233">SUMPRODUCT(--($CR$7:$FW$7&gt;=GH$5),--($CR$7:$FW$7&lt;=GH$6),$CR233:$FW233)*FZ233</f>
        <v>0</v>
      </c>
      <c r="GI233" s="145" cm="1">
        <f t="array" ref="GI233">SUMPRODUCT(--($CR$7:$FW$7&gt;=GI$5),--($CR$7:$FW$7&lt;=GI$6),$CR233:$FW233)*GA233</f>
        <v>0</v>
      </c>
      <c r="GJ233" s="145" cm="1">
        <f t="array" ref="GJ233">SUMPRODUCT(--($CR$7:$FW$7&gt;=GJ$5),--($CR$7:$FW$7&lt;=GJ$6),$CR233:$FW233)*GB233</f>
        <v>0</v>
      </c>
      <c r="GK233" s="145" cm="1">
        <f t="array" ref="GK233">SUMPRODUCT(--($CR$7:$FW$7&gt;=GK$5),--($CR$7:$FW$7&lt;=GK$6),$CR233:$FW233)*GC233</f>
        <v>0</v>
      </c>
      <c r="GL233" s="145" cm="1">
        <f t="array" ref="GL233">SUMPRODUCT(--($CR$7:$FW$7&gt;=GL$5),--($CR$7:$FW$7&lt;=GL$6),$CR233:$FW233)*GD233</f>
        <v>0</v>
      </c>
      <c r="GM233" s="145" cm="1">
        <f t="array" ref="GM233">SUMPRODUCT(--($CR$7:$FW$7&gt;=GM$5),--($CR$7:$FW$7&lt;=GM$6),$CR233:$FW233)*GE233</f>
        <v>0</v>
      </c>
      <c r="GN233" s="145" cm="1">
        <f t="array" ref="GN233">SUMPRODUCT(--($CR$7:$FW$7&gt;=GN$5),--($CR$7:$FW$7&lt;=GN$6),$CR233:$FW233)*GF233</f>
        <v>0</v>
      </c>
      <c r="GO233" s="145">
        <f t="shared" si="3"/>
        <v>0</v>
      </c>
      <c r="GP233" s="87"/>
      <c r="GR233" s="145" cm="1">
        <f t="array" ref="GR233">SUMPRODUCT(--($CR$7:$FW$7&gt;=GR$5),--($CR$7:$FW$7&lt;=GR$6),$CR233:$FW233)</f>
        <v>0</v>
      </c>
    </row>
    <row r="234" spans="2:200" x14ac:dyDescent="0.2">
      <c r="B234" s="141"/>
      <c r="C234" s="141"/>
      <c r="D234" s="141"/>
      <c r="E234" s="141"/>
      <c r="F234" s="141"/>
      <c r="G234" s="141"/>
      <c r="H234" s="142"/>
      <c r="I234" s="126"/>
      <c r="J234" s="143"/>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3"/>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3"/>
      <c r="FY234" s="146">
        <f>_xlfn.XLOOKUP($E234,'Key assumptions'!$B$112:$B$120,'Key assumptions'!$C$112:$C$120,0)</f>
        <v>0</v>
      </c>
      <c r="FZ234" s="146" cm="1">
        <f t="array" ref="FZ234">IF($FY234=0,0,_xlfn.IFS($FY234='Key assumptions'!$C$120,_xlfn.XLOOKUP(LEFT(FZ$7,6),Inflation_Year,Inflation_NominaltoReal),TRUE,_xlfn.XLOOKUP($FY234,Inflation_Year,NominaltoReal)))</f>
        <v>0</v>
      </c>
      <c r="GA234" s="146" cm="1">
        <f t="array" ref="GA234">IF($FY234=0,0,_xlfn.IFS($FY234='Key assumptions'!$C$120,_xlfn.XLOOKUP(LEFT(GA$7,6),Inflation_Year,Inflation_NominaltoReal),TRUE,_xlfn.XLOOKUP($FY234,Inflation_Year,NominaltoReal)))</f>
        <v>0</v>
      </c>
      <c r="GB234" s="146" cm="1">
        <f t="array" ref="GB234">IF($FY234=0,0,_xlfn.IFS($FY234='Key assumptions'!$C$120,_xlfn.XLOOKUP(LEFT(GB$7,6),Inflation_Year,Inflation_NominaltoReal),TRUE,_xlfn.XLOOKUP($FY234,Inflation_Year,NominaltoReal)))</f>
        <v>0</v>
      </c>
      <c r="GC234" s="146" cm="1">
        <f t="array" ref="GC234">IF($FY234=0,0,_xlfn.IFS($FY234='Key assumptions'!$C$120,_xlfn.XLOOKUP(LEFT(GC$7,6),Inflation_Year,Inflation_NominaltoReal),TRUE,_xlfn.XLOOKUP($FY234,Inflation_Year,NominaltoReal)))</f>
        <v>0</v>
      </c>
      <c r="GD234" s="146" cm="1">
        <f t="array" ref="GD234">IF($FY234=0,0,_xlfn.IFS($FY234='Key assumptions'!$C$120,_xlfn.XLOOKUP(LEFT(GD$7,6),Inflation_Year,Inflation_NominaltoReal),TRUE,_xlfn.XLOOKUP($FY234,Inflation_Year,NominaltoReal)))</f>
        <v>0</v>
      </c>
      <c r="GE234" s="146" cm="1">
        <f t="array" ref="GE234">IF($FY234=0,0,_xlfn.IFS($FY234='Key assumptions'!$C$120,_xlfn.XLOOKUP(LEFT(GE$7,6),Inflation_Year,Inflation_NominaltoReal),TRUE,_xlfn.XLOOKUP($FY234,Inflation_Year,NominaltoReal)))</f>
        <v>0</v>
      </c>
      <c r="GF234" s="146" cm="1">
        <f t="array" ref="GF234">IF($FY234=0,0,_xlfn.IFS($FY234='Key assumptions'!$C$120,_xlfn.XLOOKUP(LEFT(GF$7,6),Inflation_Year,Inflation_NominaltoReal),TRUE,_xlfn.XLOOKUP($FY234,Inflation_Year,NominaltoReal)))</f>
        <v>0</v>
      </c>
      <c r="GG234" s="143"/>
      <c r="GH234" s="145" cm="1">
        <f t="array" ref="GH234">SUMPRODUCT(--($CR$7:$FW$7&gt;=GH$5),--($CR$7:$FW$7&lt;=GH$6),$CR234:$FW234)*FZ234</f>
        <v>0</v>
      </c>
      <c r="GI234" s="145" cm="1">
        <f t="array" ref="GI234">SUMPRODUCT(--($CR$7:$FW$7&gt;=GI$5),--($CR$7:$FW$7&lt;=GI$6),$CR234:$FW234)*GA234</f>
        <v>0</v>
      </c>
      <c r="GJ234" s="145" cm="1">
        <f t="array" ref="GJ234">SUMPRODUCT(--($CR$7:$FW$7&gt;=GJ$5),--($CR$7:$FW$7&lt;=GJ$6),$CR234:$FW234)*GB234</f>
        <v>0</v>
      </c>
      <c r="GK234" s="145" cm="1">
        <f t="array" ref="GK234">SUMPRODUCT(--($CR$7:$FW$7&gt;=GK$5),--($CR$7:$FW$7&lt;=GK$6),$CR234:$FW234)*GC234</f>
        <v>0</v>
      </c>
      <c r="GL234" s="145" cm="1">
        <f t="array" ref="GL234">SUMPRODUCT(--($CR$7:$FW$7&gt;=GL$5),--($CR$7:$FW$7&lt;=GL$6),$CR234:$FW234)*GD234</f>
        <v>0</v>
      </c>
      <c r="GM234" s="145" cm="1">
        <f t="array" ref="GM234">SUMPRODUCT(--($CR$7:$FW$7&gt;=GM$5),--($CR$7:$FW$7&lt;=GM$6),$CR234:$FW234)*GE234</f>
        <v>0</v>
      </c>
      <c r="GN234" s="145" cm="1">
        <f t="array" ref="GN234">SUMPRODUCT(--($CR$7:$FW$7&gt;=GN$5),--($CR$7:$FW$7&lt;=GN$6),$CR234:$FW234)*GF234</f>
        <v>0</v>
      </c>
      <c r="GO234" s="145">
        <f t="shared" si="3"/>
        <v>0</v>
      </c>
      <c r="GP234" s="87"/>
      <c r="GR234" s="145" cm="1">
        <f t="array" ref="GR234">SUMPRODUCT(--($CR$7:$FW$7&gt;=GR$5),--($CR$7:$FW$7&lt;=GR$6),$CR234:$FW234)</f>
        <v>0</v>
      </c>
    </row>
    <row r="235" spans="2:200" x14ac:dyDescent="0.2">
      <c r="B235" s="141"/>
      <c r="C235" s="141"/>
      <c r="D235" s="141"/>
      <c r="E235" s="141"/>
      <c r="F235" s="141"/>
      <c r="G235" s="141"/>
      <c r="H235" s="142"/>
      <c r="I235" s="126"/>
      <c r="J235" s="143"/>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3"/>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3"/>
      <c r="FY235" s="146">
        <f>_xlfn.XLOOKUP($E235,'Key assumptions'!$B$112:$B$120,'Key assumptions'!$C$112:$C$120,0)</f>
        <v>0</v>
      </c>
      <c r="FZ235" s="146" cm="1">
        <f t="array" ref="FZ235">IF($FY235=0,0,_xlfn.IFS($FY235='Key assumptions'!$C$120,_xlfn.XLOOKUP(LEFT(FZ$7,6),Inflation_Year,Inflation_NominaltoReal),TRUE,_xlfn.XLOOKUP($FY235,Inflation_Year,NominaltoReal)))</f>
        <v>0</v>
      </c>
      <c r="GA235" s="146" cm="1">
        <f t="array" ref="GA235">IF($FY235=0,0,_xlfn.IFS($FY235='Key assumptions'!$C$120,_xlfn.XLOOKUP(LEFT(GA$7,6),Inflation_Year,Inflation_NominaltoReal),TRUE,_xlfn.XLOOKUP($FY235,Inflation_Year,NominaltoReal)))</f>
        <v>0</v>
      </c>
      <c r="GB235" s="146" cm="1">
        <f t="array" ref="GB235">IF($FY235=0,0,_xlfn.IFS($FY235='Key assumptions'!$C$120,_xlfn.XLOOKUP(LEFT(GB$7,6),Inflation_Year,Inflation_NominaltoReal),TRUE,_xlfn.XLOOKUP($FY235,Inflation_Year,NominaltoReal)))</f>
        <v>0</v>
      </c>
      <c r="GC235" s="146" cm="1">
        <f t="array" ref="GC235">IF($FY235=0,0,_xlfn.IFS($FY235='Key assumptions'!$C$120,_xlfn.XLOOKUP(LEFT(GC$7,6),Inflation_Year,Inflation_NominaltoReal),TRUE,_xlfn.XLOOKUP($FY235,Inflation_Year,NominaltoReal)))</f>
        <v>0</v>
      </c>
      <c r="GD235" s="146" cm="1">
        <f t="array" ref="GD235">IF($FY235=0,0,_xlfn.IFS($FY235='Key assumptions'!$C$120,_xlfn.XLOOKUP(LEFT(GD$7,6),Inflation_Year,Inflation_NominaltoReal),TRUE,_xlfn.XLOOKUP($FY235,Inflation_Year,NominaltoReal)))</f>
        <v>0</v>
      </c>
      <c r="GE235" s="146" cm="1">
        <f t="array" ref="GE235">IF($FY235=0,0,_xlfn.IFS($FY235='Key assumptions'!$C$120,_xlfn.XLOOKUP(LEFT(GE$7,6),Inflation_Year,Inflation_NominaltoReal),TRUE,_xlfn.XLOOKUP($FY235,Inflation_Year,NominaltoReal)))</f>
        <v>0</v>
      </c>
      <c r="GF235" s="146" cm="1">
        <f t="array" ref="GF235">IF($FY235=0,0,_xlfn.IFS($FY235='Key assumptions'!$C$120,_xlfn.XLOOKUP(LEFT(GF$7,6),Inflation_Year,Inflation_NominaltoReal),TRUE,_xlfn.XLOOKUP($FY235,Inflation_Year,NominaltoReal)))</f>
        <v>0</v>
      </c>
      <c r="GG235" s="143"/>
      <c r="GH235" s="145" cm="1">
        <f t="array" ref="GH235">SUMPRODUCT(--($CR$7:$FW$7&gt;=GH$5),--($CR$7:$FW$7&lt;=GH$6),$CR235:$FW235)*FZ235</f>
        <v>0</v>
      </c>
      <c r="GI235" s="145" cm="1">
        <f t="array" ref="GI235">SUMPRODUCT(--($CR$7:$FW$7&gt;=GI$5),--($CR$7:$FW$7&lt;=GI$6),$CR235:$FW235)*GA235</f>
        <v>0</v>
      </c>
      <c r="GJ235" s="145" cm="1">
        <f t="array" ref="GJ235">SUMPRODUCT(--($CR$7:$FW$7&gt;=GJ$5),--($CR$7:$FW$7&lt;=GJ$6),$CR235:$FW235)*GB235</f>
        <v>0</v>
      </c>
      <c r="GK235" s="145" cm="1">
        <f t="array" ref="GK235">SUMPRODUCT(--($CR$7:$FW$7&gt;=GK$5),--($CR$7:$FW$7&lt;=GK$6),$CR235:$FW235)*GC235</f>
        <v>0</v>
      </c>
      <c r="GL235" s="145" cm="1">
        <f t="array" ref="GL235">SUMPRODUCT(--($CR$7:$FW$7&gt;=GL$5),--($CR$7:$FW$7&lt;=GL$6),$CR235:$FW235)*GD235</f>
        <v>0</v>
      </c>
      <c r="GM235" s="145" cm="1">
        <f t="array" ref="GM235">SUMPRODUCT(--($CR$7:$FW$7&gt;=GM$5),--($CR$7:$FW$7&lt;=GM$6),$CR235:$FW235)*GE235</f>
        <v>0</v>
      </c>
      <c r="GN235" s="145" cm="1">
        <f t="array" ref="GN235">SUMPRODUCT(--($CR$7:$FW$7&gt;=GN$5),--($CR$7:$FW$7&lt;=GN$6),$CR235:$FW235)*GF235</f>
        <v>0</v>
      </c>
      <c r="GO235" s="145">
        <f t="shared" si="3"/>
        <v>0</v>
      </c>
      <c r="GP235" s="87"/>
      <c r="GR235" s="145" cm="1">
        <f t="array" ref="GR235">SUMPRODUCT(--($CR$7:$FW$7&gt;=GR$5),--($CR$7:$FW$7&lt;=GR$6),$CR235:$FW235)</f>
        <v>0</v>
      </c>
    </row>
    <row r="236" spans="2:200" x14ac:dyDescent="0.2">
      <c r="B236" s="141"/>
      <c r="C236" s="141"/>
      <c r="D236" s="141"/>
      <c r="E236" s="141"/>
      <c r="F236" s="141"/>
      <c r="G236" s="141"/>
      <c r="H236" s="142"/>
      <c r="I236" s="126"/>
      <c r="J236" s="143"/>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3"/>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c r="EE236" s="145"/>
      <c r="EF236" s="145"/>
      <c r="EG236" s="145"/>
      <c r="EH236" s="145"/>
      <c r="EI236" s="145"/>
      <c r="EJ236" s="145"/>
      <c r="EK236" s="145"/>
      <c r="EL236" s="145"/>
      <c r="EM236" s="145"/>
      <c r="EN236" s="145"/>
      <c r="EO236" s="145"/>
      <c r="EP236" s="145"/>
      <c r="EQ236" s="145"/>
      <c r="ER236" s="145"/>
      <c r="ES236" s="145"/>
      <c r="ET236" s="145"/>
      <c r="EU236" s="145"/>
      <c r="EV236" s="145"/>
      <c r="EW236" s="145"/>
      <c r="EX236" s="145"/>
      <c r="EY236" s="145"/>
      <c r="EZ236" s="145"/>
      <c r="FA236" s="145"/>
      <c r="FB236" s="145"/>
      <c r="FC236" s="145"/>
      <c r="FD236" s="145"/>
      <c r="FE236" s="145"/>
      <c r="FF236" s="145"/>
      <c r="FG236" s="145"/>
      <c r="FH236" s="145"/>
      <c r="FI236" s="145"/>
      <c r="FJ236" s="145"/>
      <c r="FK236" s="145"/>
      <c r="FL236" s="145"/>
      <c r="FM236" s="145"/>
      <c r="FN236" s="145"/>
      <c r="FO236" s="145"/>
      <c r="FP236" s="145"/>
      <c r="FQ236" s="145"/>
      <c r="FR236" s="145"/>
      <c r="FS236" s="145"/>
      <c r="FT236" s="145"/>
      <c r="FU236" s="145"/>
      <c r="FV236" s="145"/>
      <c r="FW236" s="145"/>
      <c r="FX236" s="143"/>
      <c r="FY236" s="146">
        <f>_xlfn.XLOOKUP($E236,'Key assumptions'!$B$112:$B$120,'Key assumptions'!$C$112:$C$120,0)</f>
        <v>0</v>
      </c>
      <c r="FZ236" s="146" cm="1">
        <f t="array" ref="FZ236">IF($FY236=0,0,_xlfn.IFS($FY236='Key assumptions'!$C$120,_xlfn.XLOOKUP(LEFT(FZ$7,6),Inflation_Year,Inflation_NominaltoReal),TRUE,_xlfn.XLOOKUP($FY236,Inflation_Year,NominaltoReal)))</f>
        <v>0</v>
      </c>
      <c r="GA236" s="146" cm="1">
        <f t="array" ref="GA236">IF($FY236=0,0,_xlfn.IFS($FY236='Key assumptions'!$C$120,_xlfn.XLOOKUP(LEFT(GA$7,6),Inflation_Year,Inflation_NominaltoReal),TRUE,_xlfn.XLOOKUP($FY236,Inflation_Year,NominaltoReal)))</f>
        <v>0</v>
      </c>
      <c r="GB236" s="146" cm="1">
        <f t="array" ref="GB236">IF($FY236=0,0,_xlfn.IFS($FY236='Key assumptions'!$C$120,_xlfn.XLOOKUP(LEFT(GB$7,6),Inflation_Year,Inflation_NominaltoReal),TRUE,_xlfn.XLOOKUP($FY236,Inflation_Year,NominaltoReal)))</f>
        <v>0</v>
      </c>
      <c r="GC236" s="146" cm="1">
        <f t="array" ref="GC236">IF($FY236=0,0,_xlfn.IFS($FY236='Key assumptions'!$C$120,_xlfn.XLOOKUP(LEFT(GC$7,6),Inflation_Year,Inflation_NominaltoReal),TRUE,_xlfn.XLOOKUP($FY236,Inflation_Year,NominaltoReal)))</f>
        <v>0</v>
      </c>
      <c r="GD236" s="146" cm="1">
        <f t="array" ref="GD236">IF($FY236=0,0,_xlfn.IFS($FY236='Key assumptions'!$C$120,_xlfn.XLOOKUP(LEFT(GD$7,6),Inflation_Year,Inflation_NominaltoReal),TRUE,_xlfn.XLOOKUP($FY236,Inflation_Year,NominaltoReal)))</f>
        <v>0</v>
      </c>
      <c r="GE236" s="146" cm="1">
        <f t="array" ref="GE236">IF($FY236=0,0,_xlfn.IFS($FY236='Key assumptions'!$C$120,_xlfn.XLOOKUP(LEFT(GE$7,6),Inflation_Year,Inflation_NominaltoReal),TRUE,_xlfn.XLOOKUP($FY236,Inflation_Year,NominaltoReal)))</f>
        <v>0</v>
      </c>
      <c r="GF236" s="146" cm="1">
        <f t="array" ref="GF236">IF($FY236=0,0,_xlfn.IFS($FY236='Key assumptions'!$C$120,_xlfn.XLOOKUP(LEFT(GF$7,6),Inflation_Year,Inflation_NominaltoReal),TRUE,_xlfn.XLOOKUP($FY236,Inflation_Year,NominaltoReal)))</f>
        <v>0</v>
      </c>
      <c r="GG236" s="143"/>
      <c r="GH236" s="145" cm="1">
        <f t="array" ref="GH236">SUMPRODUCT(--($CR$7:$FW$7&gt;=GH$5),--($CR$7:$FW$7&lt;=GH$6),$CR236:$FW236)*FZ236</f>
        <v>0</v>
      </c>
      <c r="GI236" s="145" cm="1">
        <f t="array" ref="GI236">SUMPRODUCT(--($CR$7:$FW$7&gt;=GI$5),--($CR$7:$FW$7&lt;=GI$6),$CR236:$FW236)*GA236</f>
        <v>0</v>
      </c>
      <c r="GJ236" s="145" cm="1">
        <f t="array" ref="GJ236">SUMPRODUCT(--($CR$7:$FW$7&gt;=GJ$5),--($CR$7:$FW$7&lt;=GJ$6),$CR236:$FW236)*GB236</f>
        <v>0</v>
      </c>
      <c r="GK236" s="145" cm="1">
        <f t="array" ref="GK236">SUMPRODUCT(--($CR$7:$FW$7&gt;=GK$5),--($CR$7:$FW$7&lt;=GK$6),$CR236:$FW236)*GC236</f>
        <v>0</v>
      </c>
      <c r="GL236" s="145" cm="1">
        <f t="array" ref="GL236">SUMPRODUCT(--($CR$7:$FW$7&gt;=GL$5),--($CR$7:$FW$7&lt;=GL$6),$CR236:$FW236)*GD236</f>
        <v>0</v>
      </c>
      <c r="GM236" s="145" cm="1">
        <f t="array" ref="GM236">SUMPRODUCT(--($CR$7:$FW$7&gt;=GM$5),--($CR$7:$FW$7&lt;=GM$6),$CR236:$FW236)*GE236</f>
        <v>0</v>
      </c>
      <c r="GN236" s="145" cm="1">
        <f t="array" ref="GN236">SUMPRODUCT(--($CR$7:$FW$7&gt;=GN$5),--($CR$7:$FW$7&lt;=GN$6),$CR236:$FW236)*GF236</f>
        <v>0</v>
      </c>
      <c r="GO236" s="145">
        <f t="shared" si="3"/>
        <v>0</v>
      </c>
      <c r="GP236" s="87"/>
      <c r="GR236" s="145" cm="1">
        <f t="array" ref="GR236">SUMPRODUCT(--($CR$7:$FW$7&gt;=GR$5),--($CR$7:$FW$7&lt;=GR$6),$CR236:$FW236)</f>
        <v>0</v>
      </c>
    </row>
    <row r="237" spans="2:200" x14ac:dyDescent="0.2">
      <c r="B237" s="141"/>
      <c r="C237" s="141"/>
      <c r="D237" s="141"/>
      <c r="E237" s="141"/>
      <c r="F237" s="141"/>
      <c r="G237" s="141"/>
      <c r="H237" s="142"/>
      <c r="I237" s="126"/>
      <c r="J237" s="143"/>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3"/>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c r="EE237" s="145"/>
      <c r="EF237" s="145"/>
      <c r="EG237" s="145"/>
      <c r="EH237" s="145"/>
      <c r="EI237" s="145"/>
      <c r="EJ237" s="145"/>
      <c r="EK237" s="145"/>
      <c r="EL237" s="145"/>
      <c r="EM237" s="145"/>
      <c r="EN237" s="145"/>
      <c r="EO237" s="145"/>
      <c r="EP237" s="145"/>
      <c r="EQ237" s="145"/>
      <c r="ER237" s="145"/>
      <c r="ES237" s="145"/>
      <c r="ET237" s="145"/>
      <c r="EU237" s="145"/>
      <c r="EV237" s="145"/>
      <c r="EW237" s="145"/>
      <c r="EX237" s="145"/>
      <c r="EY237" s="145"/>
      <c r="EZ237" s="145"/>
      <c r="FA237" s="145"/>
      <c r="FB237" s="145"/>
      <c r="FC237" s="145"/>
      <c r="FD237" s="145"/>
      <c r="FE237" s="145"/>
      <c r="FF237" s="145"/>
      <c r="FG237" s="145"/>
      <c r="FH237" s="145"/>
      <c r="FI237" s="145"/>
      <c r="FJ237" s="145"/>
      <c r="FK237" s="145"/>
      <c r="FL237" s="145"/>
      <c r="FM237" s="145"/>
      <c r="FN237" s="145"/>
      <c r="FO237" s="145"/>
      <c r="FP237" s="145"/>
      <c r="FQ237" s="145"/>
      <c r="FR237" s="145"/>
      <c r="FS237" s="145"/>
      <c r="FT237" s="145"/>
      <c r="FU237" s="145"/>
      <c r="FV237" s="145"/>
      <c r="FW237" s="145"/>
      <c r="FX237" s="143"/>
      <c r="FY237" s="146">
        <f>_xlfn.XLOOKUP($E237,'Key assumptions'!$B$112:$B$120,'Key assumptions'!$C$112:$C$120,0)</f>
        <v>0</v>
      </c>
      <c r="FZ237" s="146" cm="1">
        <f t="array" ref="FZ237">IF($FY237=0,0,_xlfn.IFS($FY237='Key assumptions'!$C$120,_xlfn.XLOOKUP(LEFT(FZ$7,6),Inflation_Year,Inflation_NominaltoReal),TRUE,_xlfn.XLOOKUP($FY237,Inflation_Year,NominaltoReal)))</f>
        <v>0</v>
      </c>
      <c r="GA237" s="146" cm="1">
        <f t="array" ref="GA237">IF($FY237=0,0,_xlfn.IFS($FY237='Key assumptions'!$C$120,_xlfn.XLOOKUP(LEFT(GA$7,6),Inflation_Year,Inflation_NominaltoReal),TRUE,_xlfn.XLOOKUP($FY237,Inflation_Year,NominaltoReal)))</f>
        <v>0</v>
      </c>
      <c r="GB237" s="146" cm="1">
        <f t="array" ref="GB237">IF($FY237=0,0,_xlfn.IFS($FY237='Key assumptions'!$C$120,_xlfn.XLOOKUP(LEFT(GB$7,6),Inflation_Year,Inflation_NominaltoReal),TRUE,_xlfn.XLOOKUP($FY237,Inflation_Year,NominaltoReal)))</f>
        <v>0</v>
      </c>
      <c r="GC237" s="146" cm="1">
        <f t="array" ref="GC237">IF($FY237=0,0,_xlfn.IFS($FY237='Key assumptions'!$C$120,_xlfn.XLOOKUP(LEFT(GC$7,6),Inflation_Year,Inflation_NominaltoReal),TRUE,_xlfn.XLOOKUP($FY237,Inflation_Year,NominaltoReal)))</f>
        <v>0</v>
      </c>
      <c r="GD237" s="146" cm="1">
        <f t="array" ref="GD237">IF($FY237=0,0,_xlfn.IFS($FY237='Key assumptions'!$C$120,_xlfn.XLOOKUP(LEFT(GD$7,6),Inflation_Year,Inflation_NominaltoReal),TRUE,_xlfn.XLOOKUP($FY237,Inflation_Year,NominaltoReal)))</f>
        <v>0</v>
      </c>
      <c r="GE237" s="146" cm="1">
        <f t="array" ref="GE237">IF($FY237=0,0,_xlfn.IFS($FY237='Key assumptions'!$C$120,_xlfn.XLOOKUP(LEFT(GE$7,6),Inflation_Year,Inflation_NominaltoReal),TRUE,_xlfn.XLOOKUP($FY237,Inflation_Year,NominaltoReal)))</f>
        <v>0</v>
      </c>
      <c r="GF237" s="146" cm="1">
        <f t="array" ref="GF237">IF($FY237=0,0,_xlfn.IFS($FY237='Key assumptions'!$C$120,_xlfn.XLOOKUP(LEFT(GF$7,6),Inflation_Year,Inflation_NominaltoReal),TRUE,_xlfn.XLOOKUP($FY237,Inflation_Year,NominaltoReal)))</f>
        <v>0</v>
      </c>
      <c r="GG237" s="143"/>
      <c r="GH237" s="145" cm="1">
        <f t="array" ref="GH237">SUMPRODUCT(--($CR$7:$FW$7&gt;=GH$5),--($CR$7:$FW$7&lt;=GH$6),$CR237:$FW237)*FZ237</f>
        <v>0</v>
      </c>
      <c r="GI237" s="145" cm="1">
        <f t="array" ref="GI237">SUMPRODUCT(--($CR$7:$FW$7&gt;=GI$5),--($CR$7:$FW$7&lt;=GI$6),$CR237:$FW237)*GA237</f>
        <v>0</v>
      </c>
      <c r="GJ237" s="145" cm="1">
        <f t="array" ref="GJ237">SUMPRODUCT(--($CR$7:$FW$7&gt;=GJ$5),--($CR$7:$FW$7&lt;=GJ$6),$CR237:$FW237)*GB237</f>
        <v>0</v>
      </c>
      <c r="GK237" s="145" cm="1">
        <f t="array" ref="GK237">SUMPRODUCT(--($CR$7:$FW$7&gt;=GK$5),--($CR$7:$FW$7&lt;=GK$6),$CR237:$FW237)*GC237</f>
        <v>0</v>
      </c>
      <c r="GL237" s="145" cm="1">
        <f t="array" ref="GL237">SUMPRODUCT(--($CR$7:$FW$7&gt;=GL$5),--($CR$7:$FW$7&lt;=GL$6),$CR237:$FW237)*GD237</f>
        <v>0</v>
      </c>
      <c r="GM237" s="145" cm="1">
        <f t="array" ref="GM237">SUMPRODUCT(--($CR$7:$FW$7&gt;=GM$5),--($CR$7:$FW$7&lt;=GM$6),$CR237:$FW237)*GE237</f>
        <v>0</v>
      </c>
      <c r="GN237" s="145" cm="1">
        <f t="array" ref="GN237">SUMPRODUCT(--($CR$7:$FW$7&gt;=GN$5),--($CR$7:$FW$7&lt;=GN$6),$CR237:$FW237)*GF237</f>
        <v>0</v>
      </c>
      <c r="GO237" s="145">
        <f t="shared" si="3"/>
        <v>0</v>
      </c>
      <c r="GP237" s="87"/>
      <c r="GR237" s="145" cm="1">
        <f t="array" ref="GR237">SUMPRODUCT(--($CR$7:$FW$7&gt;=GR$5),--($CR$7:$FW$7&lt;=GR$6),$CR237:$FW237)</f>
        <v>0</v>
      </c>
    </row>
    <row r="238" spans="2:200" x14ac:dyDescent="0.2">
      <c r="B238" s="141"/>
      <c r="C238" s="141"/>
      <c r="D238" s="141"/>
      <c r="E238" s="141"/>
      <c r="F238" s="141"/>
      <c r="G238" s="141"/>
      <c r="H238" s="142"/>
      <c r="I238" s="126"/>
      <c r="J238" s="143"/>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3"/>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c r="EE238" s="145"/>
      <c r="EF238" s="145"/>
      <c r="EG238" s="145"/>
      <c r="EH238" s="145"/>
      <c r="EI238" s="145"/>
      <c r="EJ238" s="145"/>
      <c r="EK238" s="145"/>
      <c r="EL238" s="145"/>
      <c r="EM238" s="145"/>
      <c r="EN238" s="145"/>
      <c r="EO238" s="145"/>
      <c r="EP238" s="145"/>
      <c r="EQ238" s="145"/>
      <c r="ER238" s="145"/>
      <c r="ES238" s="145"/>
      <c r="ET238" s="145"/>
      <c r="EU238" s="145"/>
      <c r="EV238" s="145"/>
      <c r="EW238" s="145"/>
      <c r="EX238" s="145"/>
      <c r="EY238" s="145"/>
      <c r="EZ238" s="145"/>
      <c r="FA238" s="145"/>
      <c r="FB238" s="145"/>
      <c r="FC238" s="145"/>
      <c r="FD238" s="145"/>
      <c r="FE238" s="145"/>
      <c r="FF238" s="145"/>
      <c r="FG238" s="145"/>
      <c r="FH238" s="145"/>
      <c r="FI238" s="145"/>
      <c r="FJ238" s="145"/>
      <c r="FK238" s="145"/>
      <c r="FL238" s="145"/>
      <c r="FM238" s="145"/>
      <c r="FN238" s="145"/>
      <c r="FO238" s="145"/>
      <c r="FP238" s="145"/>
      <c r="FQ238" s="145"/>
      <c r="FR238" s="145"/>
      <c r="FS238" s="145"/>
      <c r="FT238" s="145"/>
      <c r="FU238" s="145"/>
      <c r="FV238" s="145"/>
      <c r="FW238" s="145"/>
      <c r="FX238" s="143"/>
      <c r="FY238" s="146">
        <f>_xlfn.XLOOKUP($E238,'Key assumptions'!$B$112:$B$120,'Key assumptions'!$C$112:$C$120,0)</f>
        <v>0</v>
      </c>
      <c r="FZ238" s="146" cm="1">
        <f t="array" ref="FZ238">IF($FY238=0,0,_xlfn.IFS($FY238='Key assumptions'!$C$120,_xlfn.XLOOKUP(LEFT(FZ$7,6),Inflation_Year,Inflation_NominaltoReal),TRUE,_xlfn.XLOOKUP($FY238,Inflation_Year,NominaltoReal)))</f>
        <v>0</v>
      </c>
      <c r="GA238" s="146" cm="1">
        <f t="array" ref="GA238">IF($FY238=0,0,_xlfn.IFS($FY238='Key assumptions'!$C$120,_xlfn.XLOOKUP(LEFT(GA$7,6),Inflation_Year,Inflation_NominaltoReal),TRUE,_xlfn.XLOOKUP($FY238,Inflation_Year,NominaltoReal)))</f>
        <v>0</v>
      </c>
      <c r="GB238" s="146" cm="1">
        <f t="array" ref="GB238">IF($FY238=0,0,_xlfn.IFS($FY238='Key assumptions'!$C$120,_xlfn.XLOOKUP(LEFT(GB$7,6),Inflation_Year,Inflation_NominaltoReal),TRUE,_xlfn.XLOOKUP($FY238,Inflation_Year,NominaltoReal)))</f>
        <v>0</v>
      </c>
      <c r="GC238" s="146" cm="1">
        <f t="array" ref="GC238">IF($FY238=0,0,_xlfn.IFS($FY238='Key assumptions'!$C$120,_xlfn.XLOOKUP(LEFT(GC$7,6),Inflation_Year,Inflation_NominaltoReal),TRUE,_xlfn.XLOOKUP($FY238,Inflation_Year,NominaltoReal)))</f>
        <v>0</v>
      </c>
      <c r="GD238" s="146" cm="1">
        <f t="array" ref="GD238">IF($FY238=0,0,_xlfn.IFS($FY238='Key assumptions'!$C$120,_xlfn.XLOOKUP(LEFT(GD$7,6),Inflation_Year,Inflation_NominaltoReal),TRUE,_xlfn.XLOOKUP($FY238,Inflation_Year,NominaltoReal)))</f>
        <v>0</v>
      </c>
      <c r="GE238" s="146" cm="1">
        <f t="array" ref="GE238">IF($FY238=0,0,_xlfn.IFS($FY238='Key assumptions'!$C$120,_xlfn.XLOOKUP(LEFT(GE$7,6),Inflation_Year,Inflation_NominaltoReal),TRUE,_xlfn.XLOOKUP($FY238,Inflation_Year,NominaltoReal)))</f>
        <v>0</v>
      </c>
      <c r="GF238" s="146" cm="1">
        <f t="array" ref="GF238">IF($FY238=0,0,_xlfn.IFS($FY238='Key assumptions'!$C$120,_xlfn.XLOOKUP(LEFT(GF$7,6),Inflation_Year,Inflation_NominaltoReal),TRUE,_xlfn.XLOOKUP($FY238,Inflation_Year,NominaltoReal)))</f>
        <v>0</v>
      </c>
      <c r="GG238" s="143"/>
      <c r="GH238" s="145" cm="1">
        <f t="array" ref="GH238">SUMPRODUCT(--($CR$7:$FW$7&gt;=GH$5),--($CR$7:$FW$7&lt;=GH$6),$CR238:$FW238)*FZ238</f>
        <v>0</v>
      </c>
      <c r="GI238" s="145" cm="1">
        <f t="array" ref="GI238">SUMPRODUCT(--($CR$7:$FW$7&gt;=GI$5),--($CR$7:$FW$7&lt;=GI$6),$CR238:$FW238)*GA238</f>
        <v>0</v>
      </c>
      <c r="GJ238" s="145" cm="1">
        <f t="array" ref="GJ238">SUMPRODUCT(--($CR$7:$FW$7&gt;=GJ$5),--($CR$7:$FW$7&lt;=GJ$6),$CR238:$FW238)*GB238</f>
        <v>0</v>
      </c>
      <c r="GK238" s="145" cm="1">
        <f t="array" ref="GK238">SUMPRODUCT(--($CR$7:$FW$7&gt;=GK$5),--($CR$7:$FW$7&lt;=GK$6),$CR238:$FW238)*GC238</f>
        <v>0</v>
      </c>
      <c r="GL238" s="145" cm="1">
        <f t="array" ref="GL238">SUMPRODUCT(--($CR$7:$FW$7&gt;=GL$5),--($CR$7:$FW$7&lt;=GL$6),$CR238:$FW238)*GD238</f>
        <v>0</v>
      </c>
      <c r="GM238" s="145" cm="1">
        <f t="array" ref="GM238">SUMPRODUCT(--($CR$7:$FW$7&gt;=GM$5),--($CR$7:$FW$7&lt;=GM$6),$CR238:$FW238)*GE238</f>
        <v>0</v>
      </c>
      <c r="GN238" s="145" cm="1">
        <f t="array" ref="GN238">SUMPRODUCT(--($CR$7:$FW$7&gt;=GN$5),--($CR$7:$FW$7&lt;=GN$6),$CR238:$FW238)*GF238</f>
        <v>0</v>
      </c>
      <c r="GO238" s="145">
        <f t="shared" si="3"/>
        <v>0</v>
      </c>
      <c r="GP238" s="87"/>
      <c r="GR238" s="145" cm="1">
        <f t="array" ref="GR238">SUMPRODUCT(--($CR$7:$FW$7&gt;=GR$5),--($CR$7:$FW$7&lt;=GR$6),$CR238:$FW238)</f>
        <v>0</v>
      </c>
    </row>
    <row r="239" spans="2:200" x14ac:dyDescent="0.2">
      <c r="B239" s="141"/>
      <c r="C239" s="141"/>
      <c r="D239" s="141"/>
      <c r="E239" s="141"/>
      <c r="F239" s="141"/>
      <c r="G239" s="141"/>
      <c r="H239" s="142"/>
      <c r="I239" s="126"/>
      <c r="J239" s="143"/>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3"/>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c r="EE239" s="145"/>
      <c r="EF239" s="145"/>
      <c r="EG239" s="145"/>
      <c r="EH239" s="145"/>
      <c r="EI239" s="145"/>
      <c r="EJ239" s="145"/>
      <c r="EK239" s="145"/>
      <c r="EL239" s="145"/>
      <c r="EM239" s="145"/>
      <c r="EN239" s="145"/>
      <c r="EO239" s="145"/>
      <c r="EP239" s="145"/>
      <c r="EQ239" s="145"/>
      <c r="ER239" s="145"/>
      <c r="ES239" s="145"/>
      <c r="ET239" s="145"/>
      <c r="EU239" s="145"/>
      <c r="EV239" s="145"/>
      <c r="EW239" s="145"/>
      <c r="EX239" s="145"/>
      <c r="EY239" s="145"/>
      <c r="EZ239" s="145"/>
      <c r="FA239" s="145"/>
      <c r="FB239" s="145"/>
      <c r="FC239" s="145"/>
      <c r="FD239" s="145"/>
      <c r="FE239" s="145"/>
      <c r="FF239" s="145"/>
      <c r="FG239" s="145"/>
      <c r="FH239" s="145"/>
      <c r="FI239" s="145"/>
      <c r="FJ239" s="145"/>
      <c r="FK239" s="145"/>
      <c r="FL239" s="145"/>
      <c r="FM239" s="145"/>
      <c r="FN239" s="145"/>
      <c r="FO239" s="145"/>
      <c r="FP239" s="145"/>
      <c r="FQ239" s="145"/>
      <c r="FR239" s="145"/>
      <c r="FS239" s="145"/>
      <c r="FT239" s="145"/>
      <c r="FU239" s="145"/>
      <c r="FV239" s="145"/>
      <c r="FW239" s="145"/>
      <c r="FX239" s="143"/>
      <c r="FY239" s="146">
        <f>_xlfn.XLOOKUP($E239,'Key assumptions'!$B$112:$B$120,'Key assumptions'!$C$112:$C$120,0)</f>
        <v>0</v>
      </c>
      <c r="FZ239" s="146" cm="1">
        <f t="array" ref="FZ239">IF($FY239=0,0,_xlfn.IFS($FY239='Key assumptions'!$C$120,_xlfn.XLOOKUP(LEFT(FZ$7,6),Inflation_Year,Inflation_NominaltoReal),TRUE,_xlfn.XLOOKUP($FY239,Inflation_Year,NominaltoReal)))</f>
        <v>0</v>
      </c>
      <c r="GA239" s="146" cm="1">
        <f t="array" ref="GA239">IF($FY239=0,0,_xlfn.IFS($FY239='Key assumptions'!$C$120,_xlfn.XLOOKUP(LEFT(GA$7,6),Inflation_Year,Inflation_NominaltoReal),TRUE,_xlfn.XLOOKUP($FY239,Inflation_Year,NominaltoReal)))</f>
        <v>0</v>
      </c>
      <c r="GB239" s="146" cm="1">
        <f t="array" ref="GB239">IF($FY239=0,0,_xlfn.IFS($FY239='Key assumptions'!$C$120,_xlfn.XLOOKUP(LEFT(GB$7,6),Inflation_Year,Inflation_NominaltoReal),TRUE,_xlfn.XLOOKUP($FY239,Inflation_Year,NominaltoReal)))</f>
        <v>0</v>
      </c>
      <c r="GC239" s="146" cm="1">
        <f t="array" ref="GC239">IF($FY239=0,0,_xlfn.IFS($FY239='Key assumptions'!$C$120,_xlfn.XLOOKUP(LEFT(GC$7,6),Inflation_Year,Inflation_NominaltoReal),TRUE,_xlfn.XLOOKUP($FY239,Inflation_Year,NominaltoReal)))</f>
        <v>0</v>
      </c>
      <c r="GD239" s="146" cm="1">
        <f t="array" ref="GD239">IF($FY239=0,0,_xlfn.IFS($FY239='Key assumptions'!$C$120,_xlfn.XLOOKUP(LEFT(GD$7,6),Inflation_Year,Inflation_NominaltoReal),TRUE,_xlfn.XLOOKUP($FY239,Inflation_Year,NominaltoReal)))</f>
        <v>0</v>
      </c>
      <c r="GE239" s="146" cm="1">
        <f t="array" ref="GE239">IF($FY239=0,0,_xlfn.IFS($FY239='Key assumptions'!$C$120,_xlfn.XLOOKUP(LEFT(GE$7,6),Inflation_Year,Inflation_NominaltoReal),TRUE,_xlfn.XLOOKUP($FY239,Inflation_Year,NominaltoReal)))</f>
        <v>0</v>
      </c>
      <c r="GF239" s="146" cm="1">
        <f t="array" ref="GF239">IF($FY239=0,0,_xlfn.IFS($FY239='Key assumptions'!$C$120,_xlfn.XLOOKUP(LEFT(GF$7,6),Inflation_Year,Inflation_NominaltoReal),TRUE,_xlfn.XLOOKUP($FY239,Inflation_Year,NominaltoReal)))</f>
        <v>0</v>
      </c>
      <c r="GG239" s="143"/>
      <c r="GH239" s="145" cm="1">
        <f t="array" ref="GH239">SUMPRODUCT(--($CR$7:$FW$7&gt;=GH$5),--($CR$7:$FW$7&lt;=GH$6),$CR239:$FW239)*FZ239</f>
        <v>0</v>
      </c>
      <c r="GI239" s="145" cm="1">
        <f t="array" ref="GI239">SUMPRODUCT(--($CR$7:$FW$7&gt;=GI$5),--($CR$7:$FW$7&lt;=GI$6),$CR239:$FW239)*GA239</f>
        <v>0</v>
      </c>
      <c r="GJ239" s="145" cm="1">
        <f t="array" ref="GJ239">SUMPRODUCT(--($CR$7:$FW$7&gt;=GJ$5),--($CR$7:$FW$7&lt;=GJ$6),$CR239:$FW239)*GB239</f>
        <v>0</v>
      </c>
      <c r="GK239" s="145" cm="1">
        <f t="array" ref="GK239">SUMPRODUCT(--($CR$7:$FW$7&gt;=GK$5),--($CR$7:$FW$7&lt;=GK$6),$CR239:$FW239)*GC239</f>
        <v>0</v>
      </c>
      <c r="GL239" s="145" cm="1">
        <f t="array" ref="GL239">SUMPRODUCT(--($CR$7:$FW$7&gt;=GL$5),--($CR$7:$FW$7&lt;=GL$6),$CR239:$FW239)*GD239</f>
        <v>0</v>
      </c>
      <c r="GM239" s="145" cm="1">
        <f t="array" ref="GM239">SUMPRODUCT(--($CR$7:$FW$7&gt;=GM$5),--($CR$7:$FW$7&lt;=GM$6),$CR239:$FW239)*GE239</f>
        <v>0</v>
      </c>
      <c r="GN239" s="145" cm="1">
        <f t="array" ref="GN239">SUMPRODUCT(--($CR$7:$FW$7&gt;=GN$5),--($CR$7:$FW$7&lt;=GN$6),$CR239:$FW239)*GF239</f>
        <v>0</v>
      </c>
      <c r="GO239" s="145">
        <f t="shared" si="3"/>
        <v>0</v>
      </c>
      <c r="GP239" s="87"/>
      <c r="GR239" s="145" cm="1">
        <f t="array" ref="GR239">SUMPRODUCT(--($CR$7:$FW$7&gt;=GR$5),--($CR$7:$FW$7&lt;=GR$6),$CR239:$FW239)</f>
        <v>0</v>
      </c>
    </row>
    <row r="240" spans="2:200" x14ac:dyDescent="0.2">
      <c r="B240" s="141"/>
      <c r="C240" s="141"/>
      <c r="D240" s="141"/>
      <c r="E240" s="141"/>
      <c r="F240" s="141"/>
      <c r="G240" s="141"/>
      <c r="H240" s="142"/>
      <c r="I240" s="126"/>
      <c r="J240" s="143"/>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3"/>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c r="EE240" s="145"/>
      <c r="EF240" s="145"/>
      <c r="EG240" s="145"/>
      <c r="EH240" s="145"/>
      <c r="EI240" s="145"/>
      <c r="EJ240" s="145"/>
      <c r="EK240" s="145"/>
      <c r="EL240" s="145"/>
      <c r="EM240" s="145"/>
      <c r="EN240" s="145"/>
      <c r="EO240" s="145"/>
      <c r="EP240" s="145"/>
      <c r="EQ240" s="145"/>
      <c r="ER240" s="145"/>
      <c r="ES240" s="145"/>
      <c r="ET240" s="145"/>
      <c r="EU240" s="145"/>
      <c r="EV240" s="145"/>
      <c r="EW240" s="145"/>
      <c r="EX240" s="145"/>
      <c r="EY240" s="145"/>
      <c r="EZ240" s="145"/>
      <c r="FA240" s="145"/>
      <c r="FB240" s="145"/>
      <c r="FC240" s="145"/>
      <c r="FD240" s="145"/>
      <c r="FE240" s="145"/>
      <c r="FF240" s="145"/>
      <c r="FG240" s="145"/>
      <c r="FH240" s="145"/>
      <c r="FI240" s="145"/>
      <c r="FJ240" s="145"/>
      <c r="FK240" s="145"/>
      <c r="FL240" s="145"/>
      <c r="FM240" s="145"/>
      <c r="FN240" s="145"/>
      <c r="FO240" s="145"/>
      <c r="FP240" s="145"/>
      <c r="FQ240" s="145"/>
      <c r="FR240" s="145"/>
      <c r="FS240" s="145"/>
      <c r="FT240" s="145"/>
      <c r="FU240" s="145"/>
      <c r="FV240" s="145"/>
      <c r="FW240" s="145"/>
      <c r="FX240" s="143"/>
      <c r="FY240" s="146">
        <f>_xlfn.XLOOKUP($E240,'Key assumptions'!$B$112:$B$120,'Key assumptions'!$C$112:$C$120,0)</f>
        <v>0</v>
      </c>
      <c r="FZ240" s="146" cm="1">
        <f t="array" ref="FZ240">IF($FY240=0,0,_xlfn.IFS($FY240='Key assumptions'!$C$120,_xlfn.XLOOKUP(LEFT(FZ$7,6),Inflation_Year,Inflation_NominaltoReal),TRUE,_xlfn.XLOOKUP($FY240,Inflation_Year,NominaltoReal)))</f>
        <v>0</v>
      </c>
      <c r="GA240" s="146" cm="1">
        <f t="array" ref="GA240">IF($FY240=0,0,_xlfn.IFS($FY240='Key assumptions'!$C$120,_xlfn.XLOOKUP(LEFT(GA$7,6),Inflation_Year,Inflation_NominaltoReal),TRUE,_xlfn.XLOOKUP($FY240,Inflation_Year,NominaltoReal)))</f>
        <v>0</v>
      </c>
      <c r="GB240" s="146" cm="1">
        <f t="array" ref="GB240">IF($FY240=0,0,_xlfn.IFS($FY240='Key assumptions'!$C$120,_xlfn.XLOOKUP(LEFT(GB$7,6),Inflation_Year,Inflation_NominaltoReal),TRUE,_xlfn.XLOOKUP($FY240,Inflation_Year,NominaltoReal)))</f>
        <v>0</v>
      </c>
      <c r="GC240" s="146" cm="1">
        <f t="array" ref="GC240">IF($FY240=0,0,_xlfn.IFS($FY240='Key assumptions'!$C$120,_xlfn.XLOOKUP(LEFT(GC$7,6),Inflation_Year,Inflation_NominaltoReal),TRUE,_xlfn.XLOOKUP($FY240,Inflation_Year,NominaltoReal)))</f>
        <v>0</v>
      </c>
      <c r="GD240" s="146" cm="1">
        <f t="array" ref="GD240">IF($FY240=0,0,_xlfn.IFS($FY240='Key assumptions'!$C$120,_xlfn.XLOOKUP(LEFT(GD$7,6),Inflation_Year,Inflation_NominaltoReal),TRUE,_xlfn.XLOOKUP($FY240,Inflation_Year,NominaltoReal)))</f>
        <v>0</v>
      </c>
      <c r="GE240" s="146" cm="1">
        <f t="array" ref="GE240">IF($FY240=0,0,_xlfn.IFS($FY240='Key assumptions'!$C$120,_xlfn.XLOOKUP(LEFT(GE$7,6),Inflation_Year,Inflation_NominaltoReal),TRUE,_xlfn.XLOOKUP($FY240,Inflation_Year,NominaltoReal)))</f>
        <v>0</v>
      </c>
      <c r="GF240" s="146" cm="1">
        <f t="array" ref="GF240">IF($FY240=0,0,_xlfn.IFS($FY240='Key assumptions'!$C$120,_xlfn.XLOOKUP(LEFT(GF$7,6),Inflation_Year,Inflation_NominaltoReal),TRUE,_xlfn.XLOOKUP($FY240,Inflation_Year,NominaltoReal)))</f>
        <v>0</v>
      </c>
      <c r="GG240" s="143"/>
      <c r="GH240" s="145" cm="1">
        <f t="array" ref="GH240">SUMPRODUCT(--($CR$7:$FW$7&gt;=GH$5),--($CR$7:$FW$7&lt;=GH$6),$CR240:$FW240)*FZ240</f>
        <v>0</v>
      </c>
      <c r="GI240" s="145" cm="1">
        <f t="array" ref="GI240">SUMPRODUCT(--($CR$7:$FW$7&gt;=GI$5),--($CR$7:$FW$7&lt;=GI$6),$CR240:$FW240)*GA240</f>
        <v>0</v>
      </c>
      <c r="GJ240" s="145" cm="1">
        <f t="array" ref="GJ240">SUMPRODUCT(--($CR$7:$FW$7&gt;=GJ$5),--($CR$7:$FW$7&lt;=GJ$6),$CR240:$FW240)*GB240</f>
        <v>0</v>
      </c>
      <c r="GK240" s="145" cm="1">
        <f t="array" ref="GK240">SUMPRODUCT(--($CR$7:$FW$7&gt;=GK$5),--($CR$7:$FW$7&lt;=GK$6),$CR240:$FW240)*GC240</f>
        <v>0</v>
      </c>
      <c r="GL240" s="145" cm="1">
        <f t="array" ref="GL240">SUMPRODUCT(--($CR$7:$FW$7&gt;=GL$5),--($CR$7:$FW$7&lt;=GL$6),$CR240:$FW240)*GD240</f>
        <v>0</v>
      </c>
      <c r="GM240" s="145" cm="1">
        <f t="array" ref="GM240">SUMPRODUCT(--($CR$7:$FW$7&gt;=GM$5),--($CR$7:$FW$7&lt;=GM$6),$CR240:$FW240)*GE240</f>
        <v>0</v>
      </c>
      <c r="GN240" s="145" cm="1">
        <f t="array" ref="GN240">SUMPRODUCT(--($CR$7:$FW$7&gt;=GN$5),--($CR$7:$FW$7&lt;=GN$6),$CR240:$FW240)*GF240</f>
        <v>0</v>
      </c>
      <c r="GO240" s="145">
        <f t="shared" si="3"/>
        <v>0</v>
      </c>
      <c r="GP240" s="87"/>
      <c r="GR240" s="145" cm="1">
        <f t="array" ref="GR240">SUMPRODUCT(--($CR$7:$FW$7&gt;=GR$5),--($CR$7:$FW$7&lt;=GR$6),$CR240:$FW240)</f>
        <v>0</v>
      </c>
    </row>
    <row r="241" spans="2:200" x14ac:dyDescent="0.2">
      <c r="B241" s="141"/>
      <c r="C241" s="141"/>
      <c r="D241" s="141"/>
      <c r="E241" s="141"/>
      <c r="F241" s="141"/>
      <c r="G241" s="141"/>
      <c r="H241" s="142"/>
      <c r="I241" s="126"/>
      <c r="J241" s="143"/>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3"/>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c r="EE241" s="145"/>
      <c r="EF241" s="145"/>
      <c r="EG241" s="145"/>
      <c r="EH241" s="145"/>
      <c r="EI241" s="145"/>
      <c r="EJ241" s="145"/>
      <c r="EK241" s="145"/>
      <c r="EL241" s="145"/>
      <c r="EM241" s="145"/>
      <c r="EN241" s="145"/>
      <c r="EO241" s="145"/>
      <c r="EP241" s="145"/>
      <c r="EQ241" s="145"/>
      <c r="ER241" s="145"/>
      <c r="ES241" s="145"/>
      <c r="ET241" s="145"/>
      <c r="EU241" s="145"/>
      <c r="EV241" s="145"/>
      <c r="EW241" s="145"/>
      <c r="EX241" s="145"/>
      <c r="EY241" s="145"/>
      <c r="EZ241" s="145"/>
      <c r="FA241" s="145"/>
      <c r="FB241" s="145"/>
      <c r="FC241" s="145"/>
      <c r="FD241" s="145"/>
      <c r="FE241" s="145"/>
      <c r="FF241" s="145"/>
      <c r="FG241" s="145"/>
      <c r="FH241" s="145"/>
      <c r="FI241" s="145"/>
      <c r="FJ241" s="145"/>
      <c r="FK241" s="145"/>
      <c r="FL241" s="145"/>
      <c r="FM241" s="145"/>
      <c r="FN241" s="145"/>
      <c r="FO241" s="145"/>
      <c r="FP241" s="145"/>
      <c r="FQ241" s="145"/>
      <c r="FR241" s="145"/>
      <c r="FS241" s="145"/>
      <c r="FT241" s="145"/>
      <c r="FU241" s="145"/>
      <c r="FV241" s="145"/>
      <c r="FW241" s="145"/>
      <c r="FX241" s="143"/>
      <c r="FY241" s="146">
        <f>_xlfn.XLOOKUP($E241,'Key assumptions'!$B$112:$B$120,'Key assumptions'!$C$112:$C$120,0)</f>
        <v>0</v>
      </c>
      <c r="FZ241" s="146" cm="1">
        <f t="array" ref="FZ241">IF($FY241=0,0,_xlfn.IFS($FY241='Key assumptions'!$C$120,_xlfn.XLOOKUP(LEFT(FZ$7,6),Inflation_Year,Inflation_NominaltoReal),TRUE,_xlfn.XLOOKUP($FY241,Inflation_Year,NominaltoReal)))</f>
        <v>0</v>
      </c>
      <c r="GA241" s="146" cm="1">
        <f t="array" ref="GA241">IF($FY241=0,0,_xlfn.IFS($FY241='Key assumptions'!$C$120,_xlfn.XLOOKUP(LEFT(GA$7,6),Inflation_Year,Inflation_NominaltoReal),TRUE,_xlfn.XLOOKUP($FY241,Inflation_Year,NominaltoReal)))</f>
        <v>0</v>
      </c>
      <c r="GB241" s="146" cm="1">
        <f t="array" ref="GB241">IF($FY241=0,0,_xlfn.IFS($FY241='Key assumptions'!$C$120,_xlfn.XLOOKUP(LEFT(GB$7,6),Inflation_Year,Inflation_NominaltoReal),TRUE,_xlfn.XLOOKUP($FY241,Inflation_Year,NominaltoReal)))</f>
        <v>0</v>
      </c>
      <c r="GC241" s="146" cm="1">
        <f t="array" ref="GC241">IF($FY241=0,0,_xlfn.IFS($FY241='Key assumptions'!$C$120,_xlfn.XLOOKUP(LEFT(GC$7,6),Inflation_Year,Inflation_NominaltoReal),TRUE,_xlfn.XLOOKUP($FY241,Inflation_Year,NominaltoReal)))</f>
        <v>0</v>
      </c>
      <c r="GD241" s="146" cm="1">
        <f t="array" ref="GD241">IF($FY241=0,0,_xlfn.IFS($FY241='Key assumptions'!$C$120,_xlfn.XLOOKUP(LEFT(GD$7,6),Inflation_Year,Inflation_NominaltoReal),TRUE,_xlfn.XLOOKUP($FY241,Inflation_Year,NominaltoReal)))</f>
        <v>0</v>
      </c>
      <c r="GE241" s="146" cm="1">
        <f t="array" ref="GE241">IF($FY241=0,0,_xlfn.IFS($FY241='Key assumptions'!$C$120,_xlfn.XLOOKUP(LEFT(GE$7,6),Inflation_Year,Inflation_NominaltoReal),TRUE,_xlfn.XLOOKUP($FY241,Inflation_Year,NominaltoReal)))</f>
        <v>0</v>
      </c>
      <c r="GF241" s="146" cm="1">
        <f t="array" ref="GF241">IF($FY241=0,0,_xlfn.IFS($FY241='Key assumptions'!$C$120,_xlfn.XLOOKUP(LEFT(GF$7,6),Inflation_Year,Inflation_NominaltoReal),TRUE,_xlfn.XLOOKUP($FY241,Inflation_Year,NominaltoReal)))</f>
        <v>0</v>
      </c>
      <c r="GG241" s="143"/>
      <c r="GH241" s="145" cm="1">
        <f t="array" ref="GH241">SUMPRODUCT(--($CR$7:$FW$7&gt;=GH$5),--($CR$7:$FW$7&lt;=GH$6),$CR241:$FW241)*FZ241</f>
        <v>0</v>
      </c>
      <c r="GI241" s="145" cm="1">
        <f t="array" ref="GI241">SUMPRODUCT(--($CR$7:$FW$7&gt;=GI$5),--($CR$7:$FW$7&lt;=GI$6),$CR241:$FW241)*GA241</f>
        <v>0</v>
      </c>
      <c r="GJ241" s="145" cm="1">
        <f t="array" ref="GJ241">SUMPRODUCT(--($CR$7:$FW$7&gt;=GJ$5),--($CR$7:$FW$7&lt;=GJ$6),$CR241:$FW241)*GB241</f>
        <v>0</v>
      </c>
      <c r="GK241" s="145" cm="1">
        <f t="array" ref="GK241">SUMPRODUCT(--($CR$7:$FW$7&gt;=GK$5),--($CR$7:$FW$7&lt;=GK$6),$CR241:$FW241)*GC241</f>
        <v>0</v>
      </c>
      <c r="GL241" s="145" cm="1">
        <f t="array" ref="GL241">SUMPRODUCT(--($CR$7:$FW$7&gt;=GL$5),--($CR$7:$FW$7&lt;=GL$6),$CR241:$FW241)*GD241</f>
        <v>0</v>
      </c>
      <c r="GM241" s="145" cm="1">
        <f t="array" ref="GM241">SUMPRODUCT(--($CR$7:$FW$7&gt;=GM$5),--($CR$7:$FW$7&lt;=GM$6),$CR241:$FW241)*GE241</f>
        <v>0</v>
      </c>
      <c r="GN241" s="145" cm="1">
        <f t="array" ref="GN241">SUMPRODUCT(--($CR$7:$FW$7&gt;=GN$5),--($CR$7:$FW$7&lt;=GN$6),$CR241:$FW241)*GF241</f>
        <v>0</v>
      </c>
      <c r="GO241" s="145">
        <f t="shared" si="3"/>
        <v>0</v>
      </c>
      <c r="GP241" s="87"/>
      <c r="GR241" s="145" cm="1">
        <f t="array" ref="GR241">SUMPRODUCT(--($CR$7:$FW$7&gt;=GR$5),--($CR$7:$FW$7&lt;=GR$6),$CR241:$FW241)</f>
        <v>0</v>
      </c>
    </row>
    <row r="242" spans="2:200" x14ac:dyDescent="0.2">
      <c r="B242" s="141"/>
      <c r="C242" s="141"/>
      <c r="D242" s="141"/>
      <c r="E242" s="141"/>
      <c r="F242" s="141"/>
      <c r="G242" s="141"/>
      <c r="H242" s="142"/>
      <c r="I242" s="126"/>
      <c r="J242" s="143"/>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3"/>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c r="EE242" s="145"/>
      <c r="EF242" s="145"/>
      <c r="EG242" s="145"/>
      <c r="EH242" s="145"/>
      <c r="EI242" s="145"/>
      <c r="EJ242" s="145"/>
      <c r="EK242" s="145"/>
      <c r="EL242" s="145"/>
      <c r="EM242" s="145"/>
      <c r="EN242" s="145"/>
      <c r="EO242" s="145"/>
      <c r="EP242" s="145"/>
      <c r="EQ242" s="145"/>
      <c r="ER242" s="145"/>
      <c r="ES242" s="145"/>
      <c r="ET242" s="145"/>
      <c r="EU242" s="145"/>
      <c r="EV242" s="145"/>
      <c r="EW242" s="145"/>
      <c r="EX242" s="145"/>
      <c r="EY242" s="145"/>
      <c r="EZ242" s="145"/>
      <c r="FA242" s="145"/>
      <c r="FB242" s="145"/>
      <c r="FC242" s="145"/>
      <c r="FD242" s="14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3"/>
      <c r="FY242" s="146">
        <f>_xlfn.XLOOKUP($E242,'Key assumptions'!$B$112:$B$120,'Key assumptions'!$C$112:$C$120,0)</f>
        <v>0</v>
      </c>
      <c r="FZ242" s="146" cm="1">
        <f t="array" ref="FZ242">IF($FY242=0,0,_xlfn.IFS($FY242='Key assumptions'!$C$120,_xlfn.XLOOKUP(LEFT(FZ$7,6),Inflation_Year,Inflation_NominaltoReal),TRUE,_xlfn.XLOOKUP($FY242,Inflation_Year,NominaltoReal)))</f>
        <v>0</v>
      </c>
      <c r="GA242" s="146" cm="1">
        <f t="array" ref="GA242">IF($FY242=0,0,_xlfn.IFS($FY242='Key assumptions'!$C$120,_xlfn.XLOOKUP(LEFT(GA$7,6),Inflation_Year,Inflation_NominaltoReal),TRUE,_xlfn.XLOOKUP($FY242,Inflation_Year,NominaltoReal)))</f>
        <v>0</v>
      </c>
      <c r="GB242" s="146" cm="1">
        <f t="array" ref="GB242">IF($FY242=0,0,_xlfn.IFS($FY242='Key assumptions'!$C$120,_xlfn.XLOOKUP(LEFT(GB$7,6),Inflation_Year,Inflation_NominaltoReal),TRUE,_xlfn.XLOOKUP($FY242,Inflation_Year,NominaltoReal)))</f>
        <v>0</v>
      </c>
      <c r="GC242" s="146" cm="1">
        <f t="array" ref="GC242">IF($FY242=0,0,_xlfn.IFS($FY242='Key assumptions'!$C$120,_xlfn.XLOOKUP(LEFT(GC$7,6),Inflation_Year,Inflation_NominaltoReal),TRUE,_xlfn.XLOOKUP($FY242,Inflation_Year,NominaltoReal)))</f>
        <v>0</v>
      </c>
      <c r="GD242" s="146" cm="1">
        <f t="array" ref="GD242">IF($FY242=0,0,_xlfn.IFS($FY242='Key assumptions'!$C$120,_xlfn.XLOOKUP(LEFT(GD$7,6),Inflation_Year,Inflation_NominaltoReal),TRUE,_xlfn.XLOOKUP($FY242,Inflation_Year,NominaltoReal)))</f>
        <v>0</v>
      </c>
      <c r="GE242" s="146" cm="1">
        <f t="array" ref="GE242">IF($FY242=0,0,_xlfn.IFS($FY242='Key assumptions'!$C$120,_xlfn.XLOOKUP(LEFT(GE$7,6),Inflation_Year,Inflation_NominaltoReal),TRUE,_xlfn.XLOOKUP($FY242,Inflation_Year,NominaltoReal)))</f>
        <v>0</v>
      </c>
      <c r="GF242" s="146" cm="1">
        <f t="array" ref="GF242">IF($FY242=0,0,_xlfn.IFS($FY242='Key assumptions'!$C$120,_xlfn.XLOOKUP(LEFT(GF$7,6),Inflation_Year,Inflation_NominaltoReal),TRUE,_xlfn.XLOOKUP($FY242,Inflation_Year,NominaltoReal)))</f>
        <v>0</v>
      </c>
      <c r="GG242" s="143"/>
      <c r="GH242" s="145" cm="1">
        <f t="array" ref="GH242">SUMPRODUCT(--($CR$7:$FW$7&gt;=GH$5),--($CR$7:$FW$7&lt;=GH$6),$CR242:$FW242)*FZ242</f>
        <v>0</v>
      </c>
      <c r="GI242" s="145" cm="1">
        <f t="array" ref="GI242">SUMPRODUCT(--($CR$7:$FW$7&gt;=GI$5),--($CR$7:$FW$7&lt;=GI$6),$CR242:$FW242)*GA242</f>
        <v>0</v>
      </c>
      <c r="GJ242" s="145" cm="1">
        <f t="array" ref="GJ242">SUMPRODUCT(--($CR$7:$FW$7&gt;=GJ$5),--($CR$7:$FW$7&lt;=GJ$6),$CR242:$FW242)*GB242</f>
        <v>0</v>
      </c>
      <c r="GK242" s="145" cm="1">
        <f t="array" ref="GK242">SUMPRODUCT(--($CR$7:$FW$7&gt;=GK$5),--($CR$7:$FW$7&lt;=GK$6),$CR242:$FW242)*GC242</f>
        <v>0</v>
      </c>
      <c r="GL242" s="145" cm="1">
        <f t="array" ref="GL242">SUMPRODUCT(--($CR$7:$FW$7&gt;=GL$5),--($CR$7:$FW$7&lt;=GL$6),$CR242:$FW242)*GD242</f>
        <v>0</v>
      </c>
      <c r="GM242" s="145" cm="1">
        <f t="array" ref="GM242">SUMPRODUCT(--($CR$7:$FW$7&gt;=GM$5),--($CR$7:$FW$7&lt;=GM$6),$CR242:$FW242)*GE242</f>
        <v>0</v>
      </c>
      <c r="GN242" s="145" cm="1">
        <f t="array" ref="GN242">SUMPRODUCT(--($CR$7:$FW$7&gt;=GN$5),--($CR$7:$FW$7&lt;=GN$6),$CR242:$FW242)*GF242</f>
        <v>0</v>
      </c>
      <c r="GO242" s="145">
        <f t="shared" si="3"/>
        <v>0</v>
      </c>
      <c r="GP242" s="87"/>
      <c r="GR242" s="145" cm="1">
        <f t="array" ref="GR242">SUMPRODUCT(--($CR$7:$FW$7&gt;=GR$5),--($CR$7:$FW$7&lt;=GR$6),$CR242:$FW242)</f>
        <v>0</v>
      </c>
    </row>
    <row r="243" spans="2:200" x14ac:dyDescent="0.2">
      <c r="B243" s="141"/>
      <c r="C243" s="141"/>
      <c r="D243" s="141"/>
      <c r="E243" s="141"/>
      <c r="F243" s="141"/>
      <c r="G243" s="141"/>
      <c r="H243" s="142"/>
      <c r="I243" s="126"/>
      <c r="J243" s="143"/>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3"/>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c r="EE243" s="145"/>
      <c r="EF243" s="145"/>
      <c r="EG243" s="145"/>
      <c r="EH243" s="145"/>
      <c r="EI243" s="145"/>
      <c r="EJ243" s="145"/>
      <c r="EK243" s="145"/>
      <c r="EL243" s="145"/>
      <c r="EM243" s="145"/>
      <c r="EN243" s="145"/>
      <c r="EO243" s="145"/>
      <c r="EP243" s="145"/>
      <c r="EQ243" s="145"/>
      <c r="ER243" s="145"/>
      <c r="ES243" s="145"/>
      <c r="ET243" s="145"/>
      <c r="EU243" s="145"/>
      <c r="EV243" s="145"/>
      <c r="EW243" s="145"/>
      <c r="EX243" s="145"/>
      <c r="EY243" s="145"/>
      <c r="EZ243" s="145"/>
      <c r="FA243" s="145"/>
      <c r="FB243" s="145"/>
      <c r="FC243" s="145"/>
      <c r="FD243" s="14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3"/>
      <c r="FY243" s="146">
        <f>_xlfn.XLOOKUP($E243,'Key assumptions'!$B$112:$B$120,'Key assumptions'!$C$112:$C$120,0)</f>
        <v>0</v>
      </c>
      <c r="FZ243" s="146" cm="1">
        <f t="array" ref="FZ243">IF($FY243=0,0,_xlfn.IFS($FY243='Key assumptions'!$C$120,_xlfn.XLOOKUP(LEFT(FZ$7,6),Inflation_Year,Inflation_NominaltoReal),TRUE,_xlfn.XLOOKUP($FY243,Inflation_Year,NominaltoReal)))</f>
        <v>0</v>
      </c>
      <c r="GA243" s="146" cm="1">
        <f t="array" ref="GA243">IF($FY243=0,0,_xlfn.IFS($FY243='Key assumptions'!$C$120,_xlfn.XLOOKUP(LEFT(GA$7,6),Inflation_Year,Inflation_NominaltoReal),TRUE,_xlfn.XLOOKUP($FY243,Inflation_Year,NominaltoReal)))</f>
        <v>0</v>
      </c>
      <c r="GB243" s="146" cm="1">
        <f t="array" ref="GB243">IF($FY243=0,0,_xlfn.IFS($FY243='Key assumptions'!$C$120,_xlfn.XLOOKUP(LEFT(GB$7,6),Inflation_Year,Inflation_NominaltoReal),TRUE,_xlfn.XLOOKUP($FY243,Inflation_Year,NominaltoReal)))</f>
        <v>0</v>
      </c>
      <c r="GC243" s="146" cm="1">
        <f t="array" ref="GC243">IF($FY243=0,0,_xlfn.IFS($FY243='Key assumptions'!$C$120,_xlfn.XLOOKUP(LEFT(GC$7,6),Inflation_Year,Inflation_NominaltoReal),TRUE,_xlfn.XLOOKUP($FY243,Inflation_Year,NominaltoReal)))</f>
        <v>0</v>
      </c>
      <c r="GD243" s="146" cm="1">
        <f t="array" ref="GD243">IF($FY243=0,0,_xlfn.IFS($FY243='Key assumptions'!$C$120,_xlfn.XLOOKUP(LEFT(GD$7,6),Inflation_Year,Inflation_NominaltoReal),TRUE,_xlfn.XLOOKUP($FY243,Inflation_Year,NominaltoReal)))</f>
        <v>0</v>
      </c>
      <c r="GE243" s="146" cm="1">
        <f t="array" ref="GE243">IF($FY243=0,0,_xlfn.IFS($FY243='Key assumptions'!$C$120,_xlfn.XLOOKUP(LEFT(GE$7,6),Inflation_Year,Inflation_NominaltoReal),TRUE,_xlfn.XLOOKUP($FY243,Inflation_Year,NominaltoReal)))</f>
        <v>0</v>
      </c>
      <c r="GF243" s="146" cm="1">
        <f t="array" ref="GF243">IF($FY243=0,0,_xlfn.IFS($FY243='Key assumptions'!$C$120,_xlfn.XLOOKUP(LEFT(GF$7,6),Inflation_Year,Inflation_NominaltoReal),TRUE,_xlfn.XLOOKUP($FY243,Inflation_Year,NominaltoReal)))</f>
        <v>0</v>
      </c>
      <c r="GG243" s="143"/>
      <c r="GH243" s="145" cm="1">
        <f t="array" ref="GH243">SUMPRODUCT(--($CR$7:$FW$7&gt;=GH$5),--($CR$7:$FW$7&lt;=GH$6),$CR243:$FW243)*FZ243</f>
        <v>0</v>
      </c>
      <c r="GI243" s="145" cm="1">
        <f t="array" ref="GI243">SUMPRODUCT(--($CR$7:$FW$7&gt;=GI$5),--($CR$7:$FW$7&lt;=GI$6),$CR243:$FW243)*GA243</f>
        <v>0</v>
      </c>
      <c r="GJ243" s="145" cm="1">
        <f t="array" ref="GJ243">SUMPRODUCT(--($CR$7:$FW$7&gt;=GJ$5),--($CR$7:$FW$7&lt;=GJ$6),$CR243:$FW243)*GB243</f>
        <v>0</v>
      </c>
      <c r="GK243" s="145" cm="1">
        <f t="array" ref="GK243">SUMPRODUCT(--($CR$7:$FW$7&gt;=GK$5),--($CR$7:$FW$7&lt;=GK$6),$CR243:$FW243)*GC243</f>
        <v>0</v>
      </c>
      <c r="GL243" s="145" cm="1">
        <f t="array" ref="GL243">SUMPRODUCT(--($CR$7:$FW$7&gt;=GL$5),--($CR$7:$FW$7&lt;=GL$6),$CR243:$FW243)*GD243</f>
        <v>0</v>
      </c>
      <c r="GM243" s="145" cm="1">
        <f t="array" ref="GM243">SUMPRODUCT(--($CR$7:$FW$7&gt;=GM$5),--($CR$7:$FW$7&lt;=GM$6),$CR243:$FW243)*GE243</f>
        <v>0</v>
      </c>
      <c r="GN243" s="145" cm="1">
        <f t="array" ref="GN243">SUMPRODUCT(--($CR$7:$FW$7&gt;=GN$5),--($CR$7:$FW$7&lt;=GN$6),$CR243:$FW243)*GF243</f>
        <v>0</v>
      </c>
      <c r="GO243" s="145">
        <f t="shared" si="3"/>
        <v>0</v>
      </c>
      <c r="GP243" s="87"/>
      <c r="GR243" s="145" cm="1">
        <f t="array" ref="GR243">SUMPRODUCT(--($CR$7:$FW$7&gt;=GR$5),--($CR$7:$FW$7&lt;=GR$6),$CR243:$FW243)</f>
        <v>0</v>
      </c>
    </row>
    <row r="244" spans="2:200" x14ac:dyDescent="0.2">
      <c r="B244" s="141"/>
      <c r="C244" s="141"/>
      <c r="D244" s="141"/>
      <c r="E244" s="141"/>
      <c r="F244" s="141"/>
      <c r="G244" s="141"/>
      <c r="H244" s="142"/>
      <c r="I244" s="126"/>
      <c r="J244" s="143"/>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3"/>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c r="EE244" s="145"/>
      <c r="EF244" s="145"/>
      <c r="EG244" s="145"/>
      <c r="EH244" s="145"/>
      <c r="EI244" s="145"/>
      <c r="EJ244" s="145"/>
      <c r="EK244" s="145"/>
      <c r="EL244" s="145"/>
      <c r="EM244" s="145"/>
      <c r="EN244" s="145"/>
      <c r="EO244" s="145"/>
      <c r="EP244" s="145"/>
      <c r="EQ244" s="145"/>
      <c r="ER244" s="145"/>
      <c r="ES244" s="145"/>
      <c r="ET244" s="145"/>
      <c r="EU244" s="145"/>
      <c r="EV244" s="145"/>
      <c r="EW244" s="145"/>
      <c r="EX244" s="145"/>
      <c r="EY244" s="145"/>
      <c r="EZ244" s="145"/>
      <c r="FA244" s="145"/>
      <c r="FB244" s="145"/>
      <c r="FC244" s="145"/>
      <c r="FD244" s="145"/>
      <c r="FE244" s="145"/>
      <c r="FF244" s="145"/>
      <c r="FG244" s="145"/>
      <c r="FH244" s="145"/>
      <c r="FI244" s="145"/>
      <c r="FJ244" s="145"/>
      <c r="FK244" s="145"/>
      <c r="FL244" s="145"/>
      <c r="FM244" s="145"/>
      <c r="FN244" s="145"/>
      <c r="FO244" s="145"/>
      <c r="FP244" s="145"/>
      <c r="FQ244" s="145"/>
      <c r="FR244" s="145"/>
      <c r="FS244" s="145"/>
      <c r="FT244" s="145"/>
      <c r="FU244" s="145"/>
      <c r="FV244" s="145"/>
      <c r="FW244" s="145"/>
      <c r="FX244" s="143"/>
      <c r="FY244" s="146">
        <f>_xlfn.XLOOKUP($E244,'Key assumptions'!$B$112:$B$120,'Key assumptions'!$C$112:$C$120,0)</f>
        <v>0</v>
      </c>
      <c r="FZ244" s="146" cm="1">
        <f t="array" ref="FZ244">IF($FY244=0,0,_xlfn.IFS($FY244='Key assumptions'!$C$120,_xlfn.XLOOKUP(LEFT(FZ$7,6),Inflation_Year,Inflation_NominaltoReal),TRUE,_xlfn.XLOOKUP($FY244,Inflation_Year,NominaltoReal)))</f>
        <v>0</v>
      </c>
      <c r="GA244" s="146" cm="1">
        <f t="array" ref="GA244">IF($FY244=0,0,_xlfn.IFS($FY244='Key assumptions'!$C$120,_xlfn.XLOOKUP(LEFT(GA$7,6),Inflation_Year,Inflation_NominaltoReal),TRUE,_xlfn.XLOOKUP($FY244,Inflation_Year,NominaltoReal)))</f>
        <v>0</v>
      </c>
      <c r="GB244" s="146" cm="1">
        <f t="array" ref="GB244">IF($FY244=0,0,_xlfn.IFS($FY244='Key assumptions'!$C$120,_xlfn.XLOOKUP(LEFT(GB$7,6),Inflation_Year,Inflation_NominaltoReal),TRUE,_xlfn.XLOOKUP($FY244,Inflation_Year,NominaltoReal)))</f>
        <v>0</v>
      </c>
      <c r="GC244" s="146" cm="1">
        <f t="array" ref="GC244">IF($FY244=0,0,_xlfn.IFS($FY244='Key assumptions'!$C$120,_xlfn.XLOOKUP(LEFT(GC$7,6),Inflation_Year,Inflation_NominaltoReal),TRUE,_xlfn.XLOOKUP($FY244,Inflation_Year,NominaltoReal)))</f>
        <v>0</v>
      </c>
      <c r="GD244" s="146" cm="1">
        <f t="array" ref="GD244">IF($FY244=0,0,_xlfn.IFS($FY244='Key assumptions'!$C$120,_xlfn.XLOOKUP(LEFT(GD$7,6),Inflation_Year,Inflation_NominaltoReal),TRUE,_xlfn.XLOOKUP($FY244,Inflation_Year,NominaltoReal)))</f>
        <v>0</v>
      </c>
      <c r="GE244" s="146" cm="1">
        <f t="array" ref="GE244">IF($FY244=0,0,_xlfn.IFS($FY244='Key assumptions'!$C$120,_xlfn.XLOOKUP(LEFT(GE$7,6),Inflation_Year,Inflation_NominaltoReal),TRUE,_xlfn.XLOOKUP($FY244,Inflation_Year,NominaltoReal)))</f>
        <v>0</v>
      </c>
      <c r="GF244" s="146" cm="1">
        <f t="array" ref="GF244">IF($FY244=0,0,_xlfn.IFS($FY244='Key assumptions'!$C$120,_xlfn.XLOOKUP(LEFT(GF$7,6),Inflation_Year,Inflation_NominaltoReal),TRUE,_xlfn.XLOOKUP($FY244,Inflation_Year,NominaltoReal)))</f>
        <v>0</v>
      </c>
      <c r="GG244" s="143"/>
      <c r="GH244" s="145" cm="1">
        <f t="array" ref="GH244">SUMPRODUCT(--($CR$7:$FW$7&gt;=GH$5),--($CR$7:$FW$7&lt;=GH$6),$CR244:$FW244)*FZ244</f>
        <v>0</v>
      </c>
      <c r="GI244" s="145" cm="1">
        <f t="array" ref="GI244">SUMPRODUCT(--($CR$7:$FW$7&gt;=GI$5),--($CR$7:$FW$7&lt;=GI$6),$CR244:$FW244)*GA244</f>
        <v>0</v>
      </c>
      <c r="GJ244" s="145" cm="1">
        <f t="array" ref="GJ244">SUMPRODUCT(--($CR$7:$FW$7&gt;=GJ$5),--($CR$7:$FW$7&lt;=GJ$6),$CR244:$FW244)*GB244</f>
        <v>0</v>
      </c>
      <c r="GK244" s="145" cm="1">
        <f t="array" ref="GK244">SUMPRODUCT(--($CR$7:$FW$7&gt;=GK$5),--($CR$7:$FW$7&lt;=GK$6),$CR244:$FW244)*GC244</f>
        <v>0</v>
      </c>
      <c r="GL244" s="145" cm="1">
        <f t="array" ref="GL244">SUMPRODUCT(--($CR$7:$FW$7&gt;=GL$5),--($CR$7:$FW$7&lt;=GL$6),$CR244:$FW244)*GD244</f>
        <v>0</v>
      </c>
      <c r="GM244" s="145" cm="1">
        <f t="array" ref="GM244">SUMPRODUCT(--($CR$7:$FW$7&gt;=GM$5),--($CR$7:$FW$7&lt;=GM$6),$CR244:$FW244)*GE244</f>
        <v>0</v>
      </c>
      <c r="GN244" s="145" cm="1">
        <f t="array" ref="GN244">SUMPRODUCT(--($CR$7:$FW$7&gt;=GN$5),--($CR$7:$FW$7&lt;=GN$6),$CR244:$FW244)*GF244</f>
        <v>0</v>
      </c>
      <c r="GO244" s="145">
        <f t="shared" si="3"/>
        <v>0</v>
      </c>
      <c r="GP244" s="87"/>
      <c r="GR244" s="145" cm="1">
        <f t="array" ref="GR244">SUMPRODUCT(--($CR$7:$FW$7&gt;=GR$5),--($CR$7:$FW$7&lt;=GR$6),$CR244:$FW244)</f>
        <v>0</v>
      </c>
    </row>
    <row r="245" spans="2:200" x14ac:dyDescent="0.2">
      <c r="B245" s="141"/>
      <c r="C245" s="141"/>
      <c r="D245" s="141"/>
      <c r="E245" s="141"/>
      <c r="F245" s="141"/>
      <c r="G245" s="141"/>
      <c r="H245" s="142"/>
      <c r="I245" s="126"/>
      <c r="J245" s="143"/>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3"/>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c r="EE245" s="145"/>
      <c r="EF245" s="145"/>
      <c r="EG245" s="145"/>
      <c r="EH245" s="145"/>
      <c r="EI245" s="145"/>
      <c r="EJ245" s="145"/>
      <c r="EK245" s="145"/>
      <c r="EL245" s="145"/>
      <c r="EM245" s="145"/>
      <c r="EN245" s="145"/>
      <c r="EO245" s="145"/>
      <c r="EP245" s="145"/>
      <c r="EQ245" s="145"/>
      <c r="ER245" s="145"/>
      <c r="ES245" s="145"/>
      <c r="ET245" s="145"/>
      <c r="EU245" s="145"/>
      <c r="EV245" s="145"/>
      <c r="EW245" s="145"/>
      <c r="EX245" s="145"/>
      <c r="EY245" s="145"/>
      <c r="EZ245" s="145"/>
      <c r="FA245" s="145"/>
      <c r="FB245" s="145"/>
      <c r="FC245" s="145"/>
      <c r="FD245" s="145"/>
      <c r="FE245" s="145"/>
      <c r="FF245" s="145"/>
      <c r="FG245" s="145"/>
      <c r="FH245" s="145"/>
      <c r="FI245" s="145"/>
      <c r="FJ245" s="145"/>
      <c r="FK245" s="145"/>
      <c r="FL245" s="145"/>
      <c r="FM245" s="145"/>
      <c r="FN245" s="145"/>
      <c r="FO245" s="145"/>
      <c r="FP245" s="145"/>
      <c r="FQ245" s="145"/>
      <c r="FR245" s="145"/>
      <c r="FS245" s="145"/>
      <c r="FT245" s="145"/>
      <c r="FU245" s="145"/>
      <c r="FV245" s="145"/>
      <c r="FW245" s="145"/>
      <c r="FX245" s="143"/>
      <c r="FY245" s="146">
        <f>_xlfn.XLOOKUP($E245,'Key assumptions'!$B$112:$B$120,'Key assumptions'!$C$112:$C$120,0)</f>
        <v>0</v>
      </c>
      <c r="FZ245" s="146" cm="1">
        <f t="array" ref="FZ245">IF($FY245=0,0,_xlfn.IFS($FY245='Key assumptions'!$C$120,_xlfn.XLOOKUP(LEFT(FZ$7,6),Inflation_Year,Inflation_NominaltoReal),TRUE,_xlfn.XLOOKUP($FY245,Inflation_Year,NominaltoReal)))</f>
        <v>0</v>
      </c>
      <c r="GA245" s="146" cm="1">
        <f t="array" ref="GA245">IF($FY245=0,0,_xlfn.IFS($FY245='Key assumptions'!$C$120,_xlfn.XLOOKUP(LEFT(GA$7,6),Inflation_Year,Inflation_NominaltoReal),TRUE,_xlfn.XLOOKUP($FY245,Inflation_Year,NominaltoReal)))</f>
        <v>0</v>
      </c>
      <c r="GB245" s="146" cm="1">
        <f t="array" ref="GB245">IF($FY245=0,0,_xlfn.IFS($FY245='Key assumptions'!$C$120,_xlfn.XLOOKUP(LEFT(GB$7,6),Inflation_Year,Inflation_NominaltoReal),TRUE,_xlfn.XLOOKUP($FY245,Inflation_Year,NominaltoReal)))</f>
        <v>0</v>
      </c>
      <c r="GC245" s="146" cm="1">
        <f t="array" ref="GC245">IF($FY245=0,0,_xlfn.IFS($FY245='Key assumptions'!$C$120,_xlfn.XLOOKUP(LEFT(GC$7,6),Inflation_Year,Inflation_NominaltoReal),TRUE,_xlfn.XLOOKUP($FY245,Inflation_Year,NominaltoReal)))</f>
        <v>0</v>
      </c>
      <c r="GD245" s="146" cm="1">
        <f t="array" ref="GD245">IF($FY245=0,0,_xlfn.IFS($FY245='Key assumptions'!$C$120,_xlfn.XLOOKUP(LEFT(GD$7,6),Inflation_Year,Inflation_NominaltoReal),TRUE,_xlfn.XLOOKUP($FY245,Inflation_Year,NominaltoReal)))</f>
        <v>0</v>
      </c>
      <c r="GE245" s="146" cm="1">
        <f t="array" ref="GE245">IF($FY245=0,0,_xlfn.IFS($FY245='Key assumptions'!$C$120,_xlfn.XLOOKUP(LEFT(GE$7,6),Inflation_Year,Inflation_NominaltoReal),TRUE,_xlfn.XLOOKUP($FY245,Inflation_Year,NominaltoReal)))</f>
        <v>0</v>
      </c>
      <c r="GF245" s="146" cm="1">
        <f t="array" ref="GF245">IF($FY245=0,0,_xlfn.IFS($FY245='Key assumptions'!$C$120,_xlfn.XLOOKUP(LEFT(GF$7,6),Inflation_Year,Inflation_NominaltoReal),TRUE,_xlfn.XLOOKUP($FY245,Inflation_Year,NominaltoReal)))</f>
        <v>0</v>
      </c>
      <c r="GG245" s="143"/>
      <c r="GH245" s="145" cm="1">
        <f t="array" ref="GH245">SUMPRODUCT(--($CR$7:$FW$7&gt;=GH$5),--($CR$7:$FW$7&lt;=GH$6),$CR245:$FW245)*FZ245</f>
        <v>0</v>
      </c>
      <c r="GI245" s="145" cm="1">
        <f t="array" ref="GI245">SUMPRODUCT(--($CR$7:$FW$7&gt;=GI$5),--($CR$7:$FW$7&lt;=GI$6),$CR245:$FW245)*GA245</f>
        <v>0</v>
      </c>
      <c r="GJ245" s="145" cm="1">
        <f t="array" ref="GJ245">SUMPRODUCT(--($CR$7:$FW$7&gt;=GJ$5),--($CR$7:$FW$7&lt;=GJ$6),$CR245:$FW245)*GB245</f>
        <v>0</v>
      </c>
      <c r="GK245" s="145" cm="1">
        <f t="array" ref="GK245">SUMPRODUCT(--($CR$7:$FW$7&gt;=GK$5),--($CR$7:$FW$7&lt;=GK$6),$CR245:$FW245)*GC245</f>
        <v>0</v>
      </c>
      <c r="GL245" s="145" cm="1">
        <f t="array" ref="GL245">SUMPRODUCT(--($CR$7:$FW$7&gt;=GL$5),--($CR$7:$FW$7&lt;=GL$6),$CR245:$FW245)*GD245</f>
        <v>0</v>
      </c>
      <c r="GM245" s="145" cm="1">
        <f t="array" ref="GM245">SUMPRODUCT(--($CR$7:$FW$7&gt;=GM$5),--($CR$7:$FW$7&lt;=GM$6),$CR245:$FW245)*GE245</f>
        <v>0</v>
      </c>
      <c r="GN245" s="145" cm="1">
        <f t="array" ref="GN245">SUMPRODUCT(--($CR$7:$FW$7&gt;=GN$5),--($CR$7:$FW$7&lt;=GN$6),$CR245:$FW245)*GF245</f>
        <v>0</v>
      </c>
      <c r="GO245" s="145">
        <f t="shared" si="3"/>
        <v>0</v>
      </c>
      <c r="GP245" s="87"/>
      <c r="GR245" s="145" cm="1">
        <f t="array" ref="GR245">SUMPRODUCT(--($CR$7:$FW$7&gt;=GR$5),--($CR$7:$FW$7&lt;=GR$6),$CR245:$FW245)</f>
        <v>0</v>
      </c>
    </row>
    <row r="246" spans="2:200" x14ac:dyDescent="0.2">
      <c r="B246" s="141"/>
      <c r="C246" s="141"/>
      <c r="D246" s="141"/>
      <c r="E246" s="141"/>
      <c r="F246" s="141"/>
      <c r="G246" s="141"/>
      <c r="H246" s="142"/>
      <c r="I246" s="126"/>
      <c r="J246" s="143"/>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3"/>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c r="EE246" s="145"/>
      <c r="EF246" s="145"/>
      <c r="EG246" s="145"/>
      <c r="EH246" s="145"/>
      <c r="EI246" s="145"/>
      <c r="EJ246" s="145"/>
      <c r="EK246" s="145"/>
      <c r="EL246" s="145"/>
      <c r="EM246" s="145"/>
      <c r="EN246" s="145"/>
      <c r="EO246" s="145"/>
      <c r="EP246" s="145"/>
      <c r="EQ246" s="145"/>
      <c r="ER246" s="145"/>
      <c r="ES246" s="145"/>
      <c r="ET246" s="145"/>
      <c r="EU246" s="145"/>
      <c r="EV246" s="145"/>
      <c r="EW246" s="145"/>
      <c r="EX246" s="145"/>
      <c r="EY246" s="145"/>
      <c r="EZ246" s="145"/>
      <c r="FA246" s="145"/>
      <c r="FB246" s="145"/>
      <c r="FC246" s="145"/>
      <c r="FD246" s="145"/>
      <c r="FE246" s="145"/>
      <c r="FF246" s="145"/>
      <c r="FG246" s="145"/>
      <c r="FH246" s="145"/>
      <c r="FI246" s="145"/>
      <c r="FJ246" s="145"/>
      <c r="FK246" s="145"/>
      <c r="FL246" s="145"/>
      <c r="FM246" s="145"/>
      <c r="FN246" s="145"/>
      <c r="FO246" s="145"/>
      <c r="FP246" s="145"/>
      <c r="FQ246" s="145"/>
      <c r="FR246" s="145"/>
      <c r="FS246" s="145"/>
      <c r="FT246" s="145"/>
      <c r="FU246" s="145"/>
      <c r="FV246" s="145"/>
      <c r="FW246" s="145"/>
      <c r="FX246" s="143"/>
      <c r="FY246" s="146">
        <f>_xlfn.XLOOKUP($E246,'Key assumptions'!$B$112:$B$120,'Key assumptions'!$C$112:$C$120,0)</f>
        <v>0</v>
      </c>
      <c r="FZ246" s="146" cm="1">
        <f t="array" ref="FZ246">IF($FY246=0,0,_xlfn.IFS($FY246='Key assumptions'!$C$120,_xlfn.XLOOKUP(LEFT(FZ$7,6),Inflation_Year,Inflation_NominaltoReal),TRUE,_xlfn.XLOOKUP($FY246,Inflation_Year,NominaltoReal)))</f>
        <v>0</v>
      </c>
      <c r="GA246" s="146" cm="1">
        <f t="array" ref="GA246">IF($FY246=0,0,_xlfn.IFS($FY246='Key assumptions'!$C$120,_xlfn.XLOOKUP(LEFT(GA$7,6),Inflation_Year,Inflation_NominaltoReal),TRUE,_xlfn.XLOOKUP($FY246,Inflation_Year,NominaltoReal)))</f>
        <v>0</v>
      </c>
      <c r="GB246" s="146" cm="1">
        <f t="array" ref="GB246">IF($FY246=0,0,_xlfn.IFS($FY246='Key assumptions'!$C$120,_xlfn.XLOOKUP(LEFT(GB$7,6),Inflation_Year,Inflation_NominaltoReal),TRUE,_xlfn.XLOOKUP($FY246,Inflation_Year,NominaltoReal)))</f>
        <v>0</v>
      </c>
      <c r="GC246" s="146" cm="1">
        <f t="array" ref="GC246">IF($FY246=0,0,_xlfn.IFS($FY246='Key assumptions'!$C$120,_xlfn.XLOOKUP(LEFT(GC$7,6),Inflation_Year,Inflation_NominaltoReal),TRUE,_xlfn.XLOOKUP($FY246,Inflation_Year,NominaltoReal)))</f>
        <v>0</v>
      </c>
      <c r="GD246" s="146" cm="1">
        <f t="array" ref="GD246">IF($FY246=0,0,_xlfn.IFS($FY246='Key assumptions'!$C$120,_xlfn.XLOOKUP(LEFT(GD$7,6),Inflation_Year,Inflation_NominaltoReal),TRUE,_xlfn.XLOOKUP($FY246,Inflation_Year,NominaltoReal)))</f>
        <v>0</v>
      </c>
      <c r="GE246" s="146" cm="1">
        <f t="array" ref="GE246">IF($FY246=0,0,_xlfn.IFS($FY246='Key assumptions'!$C$120,_xlfn.XLOOKUP(LEFT(GE$7,6),Inflation_Year,Inflation_NominaltoReal),TRUE,_xlfn.XLOOKUP($FY246,Inflation_Year,NominaltoReal)))</f>
        <v>0</v>
      </c>
      <c r="GF246" s="146" cm="1">
        <f t="array" ref="GF246">IF($FY246=0,0,_xlfn.IFS($FY246='Key assumptions'!$C$120,_xlfn.XLOOKUP(LEFT(GF$7,6),Inflation_Year,Inflation_NominaltoReal),TRUE,_xlfn.XLOOKUP($FY246,Inflation_Year,NominaltoReal)))</f>
        <v>0</v>
      </c>
      <c r="GG246" s="143"/>
      <c r="GH246" s="145" cm="1">
        <f t="array" ref="GH246">SUMPRODUCT(--($CR$7:$FW$7&gt;=GH$5),--($CR$7:$FW$7&lt;=GH$6),$CR246:$FW246)*FZ246</f>
        <v>0</v>
      </c>
      <c r="GI246" s="145" cm="1">
        <f t="array" ref="GI246">SUMPRODUCT(--($CR$7:$FW$7&gt;=GI$5),--($CR$7:$FW$7&lt;=GI$6),$CR246:$FW246)*GA246</f>
        <v>0</v>
      </c>
      <c r="GJ246" s="145" cm="1">
        <f t="array" ref="GJ246">SUMPRODUCT(--($CR$7:$FW$7&gt;=GJ$5),--($CR$7:$FW$7&lt;=GJ$6),$CR246:$FW246)*GB246</f>
        <v>0</v>
      </c>
      <c r="GK246" s="145" cm="1">
        <f t="array" ref="GK246">SUMPRODUCT(--($CR$7:$FW$7&gt;=GK$5),--($CR$7:$FW$7&lt;=GK$6),$CR246:$FW246)*GC246</f>
        <v>0</v>
      </c>
      <c r="GL246" s="145" cm="1">
        <f t="array" ref="GL246">SUMPRODUCT(--($CR$7:$FW$7&gt;=GL$5),--($CR$7:$FW$7&lt;=GL$6),$CR246:$FW246)*GD246</f>
        <v>0</v>
      </c>
      <c r="GM246" s="145" cm="1">
        <f t="array" ref="GM246">SUMPRODUCT(--($CR$7:$FW$7&gt;=GM$5),--($CR$7:$FW$7&lt;=GM$6),$CR246:$FW246)*GE246</f>
        <v>0</v>
      </c>
      <c r="GN246" s="145" cm="1">
        <f t="array" ref="GN246">SUMPRODUCT(--($CR$7:$FW$7&gt;=GN$5),--($CR$7:$FW$7&lt;=GN$6),$CR246:$FW246)*GF246</f>
        <v>0</v>
      </c>
      <c r="GO246" s="145">
        <f t="shared" si="3"/>
        <v>0</v>
      </c>
      <c r="GP246" s="87"/>
      <c r="GR246" s="145" cm="1">
        <f t="array" ref="GR246">SUMPRODUCT(--($CR$7:$FW$7&gt;=GR$5),--($CR$7:$FW$7&lt;=GR$6),$CR246:$FW246)</f>
        <v>0</v>
      </c>
    </row>
    <row r="247" spans="2:200" x14ac:dyDescent="0.2">
      <c r="B247" s="141"/>
      <c r="C247" s="141"/>
      <c r="D247" s="141"/>
      <c r="E247" s="141"/>
      <c r="F247" s="141"/>
      <c r="G247" s="141"/>
      <c r="H247" s="142"/>
      <c r="I247" s="126"/>
      <c r="J247" s="143"/>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3"/>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c r="EE247" s="145"/>
      <c r="EF247" s="145"/>
      <c r="EG247" s="145"/>
      <c r="EH247" s="145"/>
      <c r="EI247" s="145"/>
      <c r="EJ247" s="145"/>
      <c r="EK247" s="145"/>
      <c r="EL247" s="145"/>
      <c r="EM247" s="145"/>
      <c r="EN247" s="145"/>
      <c r="EO247" s="145"/>
      <c r="EP247" s="145"/>
      <c r="EQ247" s="145"/>
      <c r="ER247" s="145"/>
      <c r="ES247" s="145"/>
      <c r="ET247" s="145"/>
      <c r="EU247" s="145"/>
      <c r="EV247" s="145"/>
      <c r="EW247" s="145"/>
      <c r="EX247" s="145"/>
      <c r="EY247" s="145"/>
      <c r="EZ247" s="145"/>
      <c r="FA247" s="145"/>
      <c r="FB247" s="145"/>
      <c r="FC247" s="145"/>
      <c r="FD247" s="14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3"/>
      <c r="FY247" s="146">
        <f>_xlfn.XLOOKUP($E247,'Key assumptions'!$B$112:$B$120,'Key assumptions'!$C$112:$C$120,0)</f>
        <v>0</v>
      </c>
      <c r="FZ247" s="146" cm="1">
        <f t="array" ref="FZ247">IF($FY247=0,0,_xlfn.IFS($FY247='Key assumptions'!$C$120,_xlfn.XLOOKUP(LEFT(FZ$7,6),Inflation_Year,Inflation_NominaltoReal),TRUE,_xlfn.XLOOKUP($FY247,Inflation_Year,NominaltoReal)))</f>
        <v>0</v>
      </c>
      <c r="GA247" s="146" cm="1">
        <f t="array" ref="GA247">IF($FY247=0,0,_xlfn.IFS($FY247='Key assumptions'!$C$120,_xlfn.XLOOKUP(LEFT(GA$7,6),Inflation_Year,Inflation_NominaltoReal),TRUE,_xlfn.XLOOKUP($FY247,Inflation_Year,NominaltoReal)))</f>
        <v>0</v>
      </c>
      <c r="GB247" s="146" cm="1">
        <f t="array" ref="GB247">IF($FY247=0,0,_xlfn.IFS($FY247='Key assumptions'!$C$120,_xlfn.XLOOKUP(LEFT(GB$7,6),Inflation_Year,Inflation_NominaltoReal),TRUE,_xlfn.XLOOKUP($FY247,Inflation_Year,NominaltoReal)))</f>
        <v>0</v>
      </c>
      <c r="GC247" s="146" cm="1">
        <f t="array" ref="GC247">IF($FY247=0,0,_xlfn.IFS($FY247='Key assumptions'!$C$120,_xlfn.XLOOKUP(LEFT(GC$7,6),Inflation_Year,Inflation_NominaltoReal),TRUE,_xlfn.XLOOKUP($FY247,Inflation_Year,NominaltoReal)))</f>
        <v>0</v>
      </c>
      <c r="GD247" s="146" cm="1">
        <f t="array" ref="GD247">IF($FY247=0,0,_xlfn.IFS($FY247='Key assumptions'!$C$120,_xlfn.XLOOKUP(LEFT(GD$7,6),Inflation_Year,Inflation_NominaltoReal),TRUE,_xlfn.XLOOKUP($FY247,Inflation_Year,NominaltoReal)))</f>
        <v>0</v>
      </c>
      <c r="GE247" s="146" cm="1">
        <f t="array" ref="GE247">IF($FY247=0,0,_xlfn.IFS($FY247='Key assumptions'!$C$120,_xlfn.XLOOKUP(LEFT(GE$7,6),Inflation_Year,Inflation_NominaltoReal),TRUE,_xlfn.XLOOKUP($FY247,Inflation_Year,NominaltoReal)))</f>
        <v>0</v>
      </c>
      <c r="GF247" s="146" cm="1">
        <f t="array" ref="GF247">IF($FY247=0,0,_xlfn.IFS($FY247='Key assumptions'!$C$120,_xlfn.XLOOKUP(LEFT(GF$7,6),Inflation_Year,Inflation_NominaltoReal),TRUE,_xlfn.XLOOKUP($FY247,Inflation_Year,NominaltoReal)))</f>
        <v>0</v>
      </c>
      <c r="GG247" s="143"/>
      <c r="GH247" s="145" cm="1">
        <f t="array" ref="GH247">SUMPRODUCT(--($CR$7:$FW$7&gt;=GH$5),--($CR$7:$FW$7&lt;=GH$6),$CR247:$FW247)*FZ247</f>
        <v>0</v>
      </c>
      <c r="GI247" s="145" cm="1">
        <f t="array" ref="GI247">SUMPRODUCT(--($CR$7:$FW$7&gt;=GI$5),--($CR$7:$FW$7&lt;=GI$6),$CR247:$FW247)*GA247</f>
        <v>0</v>
      </c>
      <c r="GJ247" s="145" cm="1">
        <f t="array" ref="GJ247">SUMPRODUCT(--($CR$7:$FW$7&gt;=GJ$5),--($CR$7:$FW$7&lt;=GJ$6),$CR247:$FW247)*GB247</f>
        <v>0</v>
      </c>
      <c r="GK247" s="145" cm="1">
        <f t="array" ref="GK247">SUMPRODUCT(--($CR$7:$FW$7&gt;=GK$5),--($CR$7:$FW$7&lt;=GK$6),$CR247:$FW247)*GC247</f>
        <v>0</v>
      </c>
      <c r="GL247" s="145" cm="1">
        <f t="array" ref="GL247">SUMPRODUCT(--($CR$7:$FW$7&gt;=GL$5),--($CR$7:$FW$7&lt;=GL$6),$CR247:$FW247)*GD247</f>
        <v>0</v>
      </c>
      <c r="GM247" s="145" cm="1">
        <f t="array" ref="GM247">SUMPRODUCT(--($CR$7:$FW$7&gt;=GM$5),--($CR$7:$FW$7&lt;=GM$6),$CR247:$FW247)*GE247</f>
        <v>0</v>
      </c>
      <c r="GN247" s="145" cm="1">
        <f t="array" ref="GN247">SUMPRODUCT(--($CR$7:$FW$7&gt;=GN$5),--($CR$7:$FW$7&lt;=GN$6),$CR247:$FW247)*GF247</f>
        <v>0</v>
      </c>
      <c r="GO247" s="145">
        <f t="shared" si="3"/>
        <v>0</v>
      </c>
      <c r="GP247" s="87"/>
      <c r="GR247" s="145" cm="1">
        <f t="array" ref="GR247">SUMPRODUCT(--($CR$7:$FW$7&gt;=GR$5),--($CR$7:$FW$7&lt;=GR$6),$CR247:$FW247)</f>
        <v>0</v>
      </c>
    </row>
    <row r="248" spans="2:200" x14ac:dyDescent="0.2">
      <c r="B248" s="141"/>
      <c r="C248" s="141"/>
      <c r="D248" s="141"/>
      <c r="E248" s="141"/>
      <c r="F248" s="141"/>
      <c r="G248" s="141"/>
      <c r="H248" s="142"/>
      <c r="I248" s="126"/>
      <c r="J248" s="143"/>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3"/>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c r="EE248" s="145"/>
      <c r="EF248" s="145"/>
      <c r="EG248" s="145"/>
      <c r="EH248" s="145"/>
      <c r="EI248" s="145"/>
      <c r="EJ248" s="145"/>
      <c r="EK248" s="145"/>
      <c r="EL248" s="145"/>
      <c r="EM248" s="145"/>
      <c r="EN248" s="145"/>
      <c r="EO248" s="145"/>
      <c r="EP248" s="145"/>
      <c r="EQ248" s="145"/>
      <c r="ER248" s="145"/>
      <c r="ES248" s="145"/>
      <c r="ET248" s="145"/>
      <c r="EU248" s="145"/>
      <c r="EV248" s="145"/>
      <c r="EW248" s="145"/>
      <c r="EX248" s="145"/>
      <c r="EY248" s="145"/>
      <c r="EZ248" s="145"/>
      <c r="FA248" s="145"/>
      <c r="FB248" s="145"/>
      <c r="FC248" s="145"/>
      <c r="FD248" s="14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3"/>
      <c r="FY248" s="146">
        <f>_xlfn.XLOOKUP($E248,'Key assumptions'!$B$112:$B$120,'Key assumptions'!$C$112:$C$120,0)</f>
        <v>0</v>
      </c>
      <c r="FZ248" s="146" cm="1">
        <f t="array" ref="FZ248">IF($FY248=0,0,_xlfn.IFS($FY248='Key assumptions'!$C$120,_xlfn.XLOOKUP(LEFT(FZ$7,6),Inflation_Year,Inflation_NominaltoReal),TRUE,_xlfn.XLOOKUP($FY248,Inflation_Year,NominaltoReal)))</f>
        <v>0</v>
      </c>
      <c r="GA248" s="146" cm="1">
        <f t="array" ref="GA248">IF($FY248=0,0,_xlfn.IFS($FY248='Key assumptions'!$C$120,_xlfn.XLOOKUP(LEFT(GA$7,6),Inflation_Year,Inflation_NominaltoReal),TRUE,_xlfn.XLOOKUP($FY248,Inflation_Year,NominaltoReal)))</f>
        <v>0</v>
      </c>
      <c r="GB248" s="146" cm="1">
        <f t="array" ref="GB248">IF($FY248=0,0,_xlfn.IFS($FY248='Key assumptions'!$C$120,_xlfn.XLOOKUP(LEFT(GB$7,6),Inflation_Year,Inflation_NominaltoReal),TRUE,_xlfn.XLOOKUP($FY248,Inflation_Year,NominaltoReal)))</f>
        <v>0</v>
      </c>
      <c r="GC248" s="146" cm="1">
        <f t="array" ref="GC248">IF($FY248=0,0,_xlfn.IFS($FY248='Key assumptions'!$C$120,_xlfn.XLOOKUP(LEFT(GC$7,6),Inflation_Year,Inflation_NominaltoReal),TRUE,_xlfn.XLOOKUP($FY248,Inflation_Year,NominaltoReal)))</f>
        <v>0</v>
      </c>
      <c r="GD248" s="146" cm="1">
        <f t="array" ref="GD248">IF($FY248=0,0,_xlfn.IFS($FY248='Key assumptions'!$C$120,_xlfn.XLOOKUP(LEFT(GD$7,6),Inflation_Year,Inflation_NominaltoReal),TRUE,_xlfn.XLOOKUP($FY248,Inflation_Year,NominaltoReal)))</f>
        <v>0</v>
      </c>
      <c r="GE248" s="146" cm="1">
        <f t="array" ref="GE248">IF($FY248=0,0,_xlfn.IFS($FY248='Key assumptions'!$C$120,_xlfn.XLOOKUP(LEFT(GE$7,6),Inflation_Year,Inflation_NominaltoReal),TRUE,_xlfn.XLOOKUP($FY248,Inflation_Year,NominaltoReal)))</f>
        <v>0</v>
      </c>
      <c r="GF248" s="146" cm="1">
        <f t="array" ref="GF248">IF($FY248=0,0,_xlfn.IFS($FY248='Key assumptions'!$C$120,_xlfn.XLOOKUP(LEFT(GF$7,6),Inflation_Year,Inflation_NominaltoReal),TRUE,_xlfn.XLOOKUP($FY248,Inflation_Year,NominaltoReal)))</f>
        <v>0</v>
      </c>
      <c r="GG248" s="143"/>
      <c r="GH248" s="145" cm="1">
        <f t="array" ref="GH248">SUMPRODUCT(--($CR$7:$FW$7&gt;=GH$5),--($CR$7:$FW$7&lt;=GH$6),$CR248:$FW248)*FZ248</f>
        <v>0</v>
      </c>
      <c r="GI248" s="145" cm="1">
        <f t="array" ref="GI248">SUMPRODUCT(--($CR$7:$FW$7&gt;=GI$5),--($CR$7:$FW$7&lt;=GI$6),$CR248:$FW248)*GA248</f>
        <v>0</v>
      </c>
      <c r="GJ248" s="145" cm="1">
        <f t="array" ref="GJ248">SUMPRODUCT(--($CR$7:$FW$7&gt;=GJ$5),--($CR$7:$FW$7&lt;=GJ$6),$CR248:$FW248)*GB248</f>
        <v>0</v>
      </c>
      <c r="GK248" s="145" cm="1">
        <f t="array" ref="GK248">SUMPRODUCT(--($CR$7:$FW$7&gt;=GK$5),--($CR$7:$FW$7&lt;=GK$6),$CR248:$FW248)*GC248</f>
        <v>0</v>
      </c>
      <c r="GL248" s="145" cm="1">
        <f t="array" ref="GL248">SUMPRODUCT(--($CR$7:$FW$7&gt;=GL$5),--($CR$7:$FW$7&lt;=GL$6),$CR248:$FW248)*GD248</f>
        <v>0</v>
      </c>
      <c r="GM248" s="145" cm="1">
        <f t="array" ref="GM248">SUMPRODUCT(--($CR$7:$FW$7&gt;=GM$5),--($CR$7:$FW$7&lt;=GM$6),$CR248:$FW248)*GE248</f>
        <v>0</v>
      </c>
      <c r="GN248" s="145" cm="1">
        <f t="array" ref="GN248">SUMPRODUCT(--($CR$7:$FW$7&gt;=GN$5),--($CR$7:$FW$7&lt;=GN$6),$CR248:$FW248)*GF248</f>
        <v>0</v>
      </c>
      <c r="GO248" s="145">
        <f t="shared" si="3"/>
        <v>0</v>
      </c>
      <c r="GP248" s="87"/>
      <c r="GR248" s="145" cm="1">
        <f t="array" ref="GR248">SUMPRODUCT(--($CR$7:$FW$7&gt;=GR$5),--($CR$7:$FW$7&lt;=GR$6),$CR248:$FW248)</f>
        <v>0</v>
      </c>
    </row>
    <row r="249" spans="2:200" x14ac:dyDescent="0.2">
      <c r="B249" s="141"/>
      <c r="C249" s="141"/>
      <c r="D249" s="141"/>
      <c r="E249" s="141"/>
      <c r="F249" s="141"/>
      <c r="G249" s="141"/>
      <c r="H249" s="142"/>
      <c r="I249" s="126"/>
      <c r="J249" s="143"/>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3"/>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c r="EE249" s="145"/>
      <c r="EF249" s="145"/>
      <c r="EG249" s="145"/>
      <c r="EH249" s="145"/>
      <c r="EI249" s="145"/>
      <c r="EJ249" s="145"/>
      <c r="EK249" s="145"/>
      <c r="EL249" s="145"/>
      <c r="EM249" s="145"/>
      <c r="EN249" s="145"/>
      <c r="EO249" s="145"/>
      <c r="EP249" s="145"/>
      <c r="EQ249" s="145"/>
      <c r="ER249" s="145"/>
      <c r="ES249" s="145"/>
      <c r="ET249" s="145"/>
      <c r="EU249" s="145"/>
      <c r="EV249" s="145"/>
      <c r="EW249" s="145"/>
      <c r="EX249" s="145"/>
      <c r="EY249" s="145"/>
      <c r="EZ249" s="145"/>
      <c r="FA249" s="145"/>
      <c r="FB249" s="145"/>
      <c r="FC249" s="145"/>
      <c r="FD249" s="145"/>
      <c r="FE249" s="145"/>
      <c r="FF249" s="145"/>
      <c r="FG249" s="145"/>
      <c r="FH249" s="145"/>
      <c r="FI249" s="145"/>
      <c r="FJ249" s="145"/>
      <c r="FK249" s="145"/>
      <c r="FL249" s="145"/>
      <c r="FM249" s="145"/>
      <c r="FN249" s="145"/>
      <c r="FO249" s="145"/>
      <c r="FP249" s="145"/>
      <c r="FQ249" s="145"/>
      <c r="FR249" s="145"/>
      <c r="FS249" s="145"/>
      <c r="FT249" s="145"/>
      <c r="FU249" s="145"/>
      <c r="FV249" s="145"/>
      <c r="FW249" s="145"/>
      <c r="FX249" s="143"/>
      <c r="FY249" s="146">
        <f>_xlfn.XLOOKUP($E249,'Key assumptions'!$B$112:$B$120,'Key assumptions'!$C$112:$C$120,0)</f>
        <v>0</v>
      </c>
      <c r="FZ249" s="146" cm="1">
        <f t="array" ref="FZ249">IF($FY249=0,0,_xlfn.IFS($FY249='Key assumptions'!$C$120,_xlfn.XLOOKUP(LEFT(FZ$7,6),Inflation_Year,Inflation_NominaltoReal),TRUE,_xlfn.XLOOKUP($FY249,Inflation_Year,NominaltoReal)))</f>
        <v>0</v>
      </c>
      <c r="GA249" s="146" cm="1">
        <f t="array" ref="GA249">IF($FY249=0,0,_xlfn.IFS($FY249='Key assumptions'!$C$120,_xlfn.XLOOKUP(LEFT(GA$7,6),Inflation_Year,Inflation_NominaltoReal),TRUE,_xlfn.XLOOKUP($FY249,Inflation_Year,NominaltoReal)))</f>
        <v>0</v>
      </c>
      <c r="GB249" s="146" cm="1">
        <f t="array" ref="GB249">IF($FY249=0,0,_xlfn.IFS($FY249='Key assumptions'!$C$120,_xlfn.XLOOKUP(LEFT(GB$7,6),Inflation_Year,Inflation_NominaltoReal),TRUE,_xlfn.XLOOKUP($FY249,Inflation_Year,NominaltoReal)))</f>
        <v>0</v>
      </c>
      <c r="GC249" s="146" cm="1">
        <f t="array" ref="GC249">IF($FY249=0,0,_xlfn.IFS($FY249='Key assumptions'!$C$120,_xlfn.XLOOKUP(LEFT(GC$7,6),Inflation_Year,Inflation_NominaltoReal),TRUE,_xlfn.XLOOKUP($FY249,Inflation_Year,NominaltoReal)))</f>
        <v>0</v>
      </c>
      <c r="GD249" s="146" cm="1">
        <f t="array" ref="GD249">IF($FY249=0,0,_xlfn.IFS($FY249='Key assumptions'!$C$120,_xlfn.XLOOKUP(LEFT(GD$7,6),Inflation_Year,Inflation_NominaltoReal),TRUE,_xlfn.XLOOKUP($FY249,Inflation_Year,NominaltoReal)))</f>
        <v>0</v>
      </c>
      <c r="GE249" s="146" cm="1">
        <f t="array" ref="GE249">IF($FY249=0,0,_xlfn.IFS($FY249='Key assumptions'!$C$120,_xlfn.XLOOKUP(LEFT(GE$7,6),Inflation_Year,Inflation_NominaltoReal),TRUE,_xlfn.XLOOKUP($FY249,Inflation_Year,NominaltoReal)))</f>
        <v>0</v>
      </c>
      <c r="GF249" s="146" cm="1">
        <f t="array" ref="GF249">IF($FY249=0,0,_xlfn.IFS($FY249='Key assumptions'!$C$120,_xlfn.XLOOKUP(LEFT(GF$7,6),Inflation_Year,Inflation_NominaltoReal),TRUE,_xlfn.XLOOKUP($FY249,Inflation_Year,NominaltoReal)))</f>
        <v>0</v>
      </c>
      <c r="GG249" s="143"/>
      <c r="GH249" s="145" cm="1">
        <f t="array" ref="GH249">SUMPRODUCT(--($CR$7:$FW$7&gt;=GH$5),--($CR$7:$FW$7&lt;=GH$6),$CR249:$FW249)*FZ249</f>
        <v>0</v>
      </c>
      <c r="GI249" s="145" cm="1">
        <f t="array" ref="GI249">SUMPRODUCT(--($CR$7:$FW$7&gt;=GI$5),--($CR$7:$FW$7&lt;=GI$6),$CR249:$FW249)*GA249</f>
        <v>0</v>
      </c>
      <c r="GJ249" s="145" cm="1">
        <f t="array" ref="GJ249">SUMPRODUCT(--($CR$7:$FW$7&gt;=GJ$5),--($CR$7:$FW$7&lt;=GJ$6),$CR249:$FW249)*GB249</f>
        <v>0</v>
      </c>
      <c r="GK249" s="145" cm="1">
        <f t="array" ref="GK249">SUMPRODUCT(--($CR$7:$FW$7&gt;=GK$5),--($CR$7:$FW$7&lt;=GK$6),$CR249:$FW249)*GC249</f>
        <v>0</v>
      </c>
      <c r="GL249" s="145" cm="1">
        <f t="array" ref="GL249">SUMPRODUCT(--($CR$7:$FW$7&gt;=GL$5),--($CR$7:$FW$7&lt;=GL$6),$CR249:$FW249)*GD249</f>
        <v>0</v>
      </c>
      <c r="GM249" s="145" cm="1">
        <f t="array" ref="GM249">SUMPRODUCT(--($CR$7:$FW$7&gt;=GM$5),--($CR$7:$FW$7&lt;=GM$6),$CR249:$FW249)*GE249</f>
        <v>0</v>
      </c>
      <c r="GN249" s="145" cm="1">
        <f t="array" ref="GN249">SUMPRODUCT(--($CR$7:$FW$7&gt;=GN$5),--($CR$7:$FW$7&lt;=GN$6),$CR249:$FW249)*GF249</f>
        <v>0</v>
      </c>
      <c r="GO249" s="145">
        <f t="shared" si="3"/>
        <v>0</v>
      </c>
      <c r="GP249" s="87"/>
      <c r="GR249" s="145" cm="1">
        <f t="array" ref="GR249">SUMPRODUCT(--($CR$7:$FW$7&gt;=GR$5),--($CR$7:$FW$7&lt;=GR$6),$CR249:$FW249)</f>
        <v>0</v>
      </c>
    </row>
    <row r="250" spans="2:200" x14ac:dyDescent="0.2">
      <c r="B250" s="141"/>
      <c r="C250" s="141"/>
      <c r="D250" s="141"/>
      <c r="E250" s="141"/>
      <c r="F250" s="141"/>
      <c r="G250" s="141"/>
      <c r="H250" s="142"/>
      <c r="I250" s="126"/>
      <c r="J250" s="143"/>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3"/>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c r="EE250" s="145"/>
      <c r="EF250" s="145"/>
      <c r="EG250" s="145"/>
      <c r="EH250" s="145"/>
      <c r="EI250" s="145"/>
      <c r="EJ250" s="145"/>
      <c r="EK250" s="145"/>
      <c r="EL250" s="145"/>
      <c r="EM250" s="145"/>
      <c r="EN250" s="145"/>
      <c r="EO250" s="145"/>
      <c r="EP250" s="145"/>
      <c r="EQ250" s="145"/>
      <c r="ER250" s="145"/>
      <c r="ES250" s="145"/>
      <c r="ET250" s="145"/>
      <c r="EU250" s="145"/>
      <c r="EV250" s="145"/>
      <c r="EW250" s="145"/>
      <c r="EX250" s="145"/>
      <c r="EY250" s="145"/>
      <c r="EZ250" s="145"/>
      <c r="FA250" s="145"/>
      <c r="FB250" s="145"/>
      <c r="FC250" s="145"/>
      <c r="FD250" s="145"/>
      <c r="FE250" s="145"/>
      <c r="FF250" s="145"/>
      <c r="FG250" s="145"/>
      <c r="FH250" s="145"/>
      <c r="FI250" s="145"/>
      <c r="FJ250" s="145"/>
      <c r="FK250" s="145"/>
      <c r="FL250" s="145"/>
      <c r="FM250" s="145"/>
      <c r="FN250" s="145"/>
      <c r="FO250" s="145"/>
      <c r="FP250" s="145"/>
      <c r="FQ250" s="145"/>
      <c r="FR250" s="145"/>
      <c r="FS250" s="145"/>
      <c r="FT250" s="145"/>
      <c r="FU250" s="145"/>
      <c r="FV250" s="145"/>
      <c r="FW250" s="145"/>
      <c r="FX250" s="143"/>
      <c r="FY250" s="146">
        <f>_xlfn.XLOOKUP($E250,'Key assumptions'!$B$112:$B$120,'Key assumptions'!$C$112:$C$120,0)</f>
        <v>0</v>
      </c>
      <c r="FZ250" s="146" cm="1">
        <f t="array" ref="FZ250">IF($FY250=0,0,_xlfn.IFS($FY250='Key assumptions'!$C$120,_xlfn.XLOOKUP(LEFT(FZ$7,6),Inflation_Year,Inflation_NominaltoReal),TRUE,_xlfn.XLOOKUP($FY250,Inflation_Year,NominaltoReal)))</f>
        <v>0</v>
      </c>
      <c r="GA250" s="146" cm="1">
        <f t="array" ref="GA250">IF($FY250=0,0,_xlfn.IFS($FY250='Key assumptions'!$C$120,_xlfn.XLOOKUP(LEFT(GA$7,6),Inflation_Year,Inflation_NominaltoReal),TRUE,_xlfn.XLOOKUP($FY250,Inflation_Year,NominaltoReal)))</f>
        <v>0</v>
      </c>
      <c r="GB250" s="146" cm="1">
        <f t="array" ref="GB250">IF($FY250=0,0,_xlfn.IFS($FY250='Key assumptions'!$C$120,_xlfn.XLOOKUP(LEFT(GB$7,6),Inflation_Year,Inflation_NominaltoReal),TRUE,_xlfn.XLOOKUP($FY250,Inflation_Year,NominaltoReal)))</f>
        <v>0</v>
      </c>
      <c r="GC250" s="146" cm="1">
        <f t="array" ref="GC250">IF($FY250=0,0,_xlfn.IFS($FY250='Key assumptions'!$C$120,_xlfn.XLOOKUP(LEFT(GC$7,6),Inflation_Year,Inflation_NominaltoReal),TRUE,_xlfn.XLOOKUP($FY250,Inflation_Year,NominaltoReal)))</f>
        <v>0</v>
      </c>
      <c r="GD250" s="146" cm="1">
        <f t="array" ref="GD250">IF($FY250=0,0,_xlfn.IFS($FY250='Key assumptions'!$C$120,_xlfn.XLOOKUP(LEFT(GD$7,6),Inflation_Year,Inflation_NominaltoReal),TRUE,_xlfn.XLOOKUP($FY250,Inflation_Year,NominaltoReal)))</f>
        <v>0</v>
      </c>
      <c r="GE250" s="146" cm="1">
        <f t="array" ref="GE250">IF($FY250=0,0,_xlfn.IFS($FY250='Key assumptions'!$C$120,_xlfn.XLOOKUP(LEFT(GE$7,6),Inflation_Year,Inflation_NominaltoReal),TRUE,_xlfn.XLOOKUP($FY250,Inflation_Year,NominaltoReal)))</f>
        <v>0</v>
      </c>
      <c r="GF250" s="146" cm="1">
        <f t="array" ref="GF250">IF($FY250=0,0,_xlfn.IFS($FY250='Key assumptions'!$C$120,_xlfn.XLOOKUP(LEFT(GF$7,6),Inflation_Year,Inflation_NominaltoReal),TRUE,_xlfn.XLOOKUP($FY250,Inflation_Year,NominaltoReal)))</f>
        <v>0</v>
      </c>
      <c r="GG250" s="143"/>
      <c r="GH250" s="145" cm="1">
        <f t="array" ref="GH250">SUMPRODUCT(--($CR$7:$FW$7&gt;=GH$5),--($CR$7:$FW$7&lt;=GH$6),$CR250:$FW250)*FZ250</f>
        <v>0</v>
      </c>
      <c r="GI250" s="145" cm="1">
        <f t="array" ref="GI250">SUMPRODUCT(--($CR$7:$FW$7&gt;=GI$5),--($CR$7:$FW$7&lt;=GI$6),$CR250:$FW250)*GA250</f>
        <v>0</v>
      </c>
      <c r="GJ250" s="145" cm="1">
        <f t="array" ref="GJ250">SUMPRODUCT(--($CR$7:$FW$7&gt;=GJ$5),--($CR$7:$FW$7&lt;=GJ$6),$CR250:$FW250)*GB250</f>
        <v>0</v>
      </c>
      <c r="GK250" s="145" cm="1">
        <f t="array" ref="GK250">SUMPRODUCT(--($CR$7:$FW$7&gt;=GK$5),--($CR$7:$FW$7&lt;=GK$6),$CR250:$FW250)*GC250</f>
        <v>0</v>
      </c>
      <c r="GL250" s="145" cm="1">
        <f t="array" ref="GL250">SUMPRODUCT(--($CR$7:$FW$7&gt;=GL$5),--($CR$7:$FW$7&lt;=GL$6),$CR250:$FW250)*GD250</f>
        <v>0</v>
      </c>
      <c r="GM250" s="145" cm="1">
        <f t="array" ref="GM250">SUMPRODUCT(--($CR$7:$FW$7&gt;=GM$5),--($CR$7:$FW$7&lt;=GM$6),$CR250:$FW250)*GE250</f>
        <v>0</v>
      </c>
      <c r="GN250" s="145" cm="1">
        <f t="array" ref="GN250">SUMPRODUCT(--($CR$7:$FW$7&gt;=GN$5),--($CR$7:$FW$7&lt;=GN$6),$CR250:$FW250)*GF250</f>
        <v>0</v>
      </c>
      <c r="GO250" s="145">
        <f t="shared" si="3"/>
        <v>0</v>
      </c>
      <c r="GP250" s="87"/>
      <c r="GR250" s="145" cm="1">
        <f t="array" ref="GR250">SUMPRODUCT(--($CR$7:$FW$7&gt;=GR$5),--($CR$7:$FW$7&lt;=GR$6),$CR250:$FW250)</f>
        <v>0</v>
      </c>
    </row>
    <row r="251" spans="2:200" x14ac:dyDescent="0.2">
      <c r="B251" s="141"/>
      <c r="C251" s="141"/>
      <c r="D251" s="141"/>
      <c r="E251" s="141"/>
      <c r="F251" s="141"/>
      <c r="G251" s="141"/>
      <c r="H251" s="142"/>
      <c r="I251" s="126"/>
      <c r="J251" s="143"/>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3"/>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c r="EE251" s="145"/>
      <c r="EF251" s="145"/>
      <c r="EG251" s="145"/>
      <c r="EH251" s="145"/>
      <c r="EI251" s="145"/>
      <c r="EJ251" s="145"/>
      <c r="EK251" s="145"/>
      <c r="EL251" s="145"/>
      <c r="EM251" s="145"/>
      <c r="EN251" s="145"/>
      <c r="EO251" s="145"/>
      <c r="EP251" s="145"/>
      <c r="EQ251" s="145"/>
      <c r="ER251" s="145"/>
      <c r="ES251" s="145"/>
      <c r="ET251" s="145"/>
      <c r="EU251" s="145"/>
      <c r="EV251" s="145"/>
      <c r="EW251" s="145"/>
      <c r="EX251" s="145"/>
      <c r="EY251" s="145"/>
      <c r="EZ251" s="145"/>
      <c r="FA251" s="145"/>
      <c r="FB251" s="145"/>
      <c r="FC251" s="145"/>
      <c r="FD251" s="145"/>
      <c r="FE251" s="145"/>
      <c r="FF251" s="145"/>
      <c r="FG251" s="145"/>
      <c r="FH251" s="145"/>
      <c r="FI251" s="145"/>
      <c r="FJ251" s="145"/>
      <c r="FK251" s="145"/>
      <c r="FL251" s="145"/>
      <c r="FM251" s="145"/>
      <c r="FN251" s="145"/>
      <c r="FO251" s="145"/>
      <c r="FP251" s="145"/>
      <c r="FQ251" s="145"/>
      <c r="FR251" s="145"/>
      <c r="FS251" s="145"/>
      <c r="FT251" s="145"/>
      <c r="FU251" s="145"/>
      <c r="FV251" s="145"/>
      <c r="FW251" s="145"/>
      <c r="FX251" s="143"/>
      <c r="FY251" s="146">
        <f>_xlfn.XLOOKUP($E251,'Key assumptions'!$B$112:$B$120,'Key assumptions'!$C$112:$C$120,0)</f>
        <v>0</v>
      </c>
      <c r="FZ251" s="146" cm="1">
        <f t="array" ref="FZ251">IF($FY251=0,0,_xlfn.IFS($FY251='Key assumptions'!$C$120,_xlfn.XLOOKUP(LEFT(FZ$7,6),Inflation_Year,Inflation_NominaltoReal),TRUE,_xlfn.XLOOKUP($FY251,Inflation_Year,NominaltoReal)))</f>
        <v>0</v>
      </c>
      <c r="GA251" s="146" cm="1">
        <f t="array" ref="GA251">IF($FY251=0,0,_xlfn.IFS($FY251='Key assumptions'!$C$120,_xlfn.XLOOKUP(LEFT(GA$7,6),Inflation_Year,Inflation_NominaltoReal),TRUE,_xlfn.XLOOKUP($FY251,Inflation_Year,NominaltoReal)))</f>
        <v>0</v>
      </c>
      <c r="GB251" s="146" cm="1">
        <f t="array" ref="GB251">IF($FY251=0,0,_xlfn.IFS($FY251='Key assumptions'!$C$120,_xlfn.XLOOKUP(LEFT(GB$7,6),Inflation_Year,Inflation_NominaltoReal),TRUE,_xlfn.XLOOKUP($FY251,Inflation_Year,NominaltoReal)))</f>
        <v>0</v>
      </c>
      <c r="GC251" s="146" cm="1">
        <f t="array" ref="GC251">IF($FY251=0,0,_xlfn.IFS($FY251='Key assumptions'!$C$120,_xlfn.XLOOKUP(LEFT(GC$7,6),Inflation_Year,Inflation_NominaltoReal),TRUE,_xlfn.XLOOKUP($FY251,Inflation_Year,NominaltoReal)))</f>
        <v>0</v>
      </c>
      <c r="GD251" s="146" cm="1">
        <f t="array" ref="GD251">IF($FY251=0,0,_xlfn.IFS($FY251='Key assumptions'!$C$120,_xlfn.XLOOKUP(LEFT(GD$7,6),Inflation_Year,Inflation_NominaltoReal),TRUE,_xlfn.XLOOKUP($FY251,Inflation_Year,NominaltoReal)))</f>
        <v>0</v>
      </c>
      <c r="GE251" s="146" cm="1">
        <f t="array" ref="GE251">IF($FY251=0,0,_xlfn.IFS($FY251='Key assumptions'!$C$120,_xlfn.XLOOKUP(LEFT(GE$7,6),Inflation_Year,Inflation_NominaltoReal),TRUE,_xlfn.XLOOKUP($FY251,Inflation_Year,NominaltoReal)))</f>
        <v>0</v>
      </c>
      <c r="GF251" s="146" cm="1">
        <f t="array" ref="GF251">IF($FY251=0,0,_xlfn.IFS($FY251='Key assumptions'!$C$120,_xlfn.XLOOKUP(LEFT(GF$7,6),Inflation_Year,Inflation_NominaltoReal),TRUE,_xlfn.XLOOKUP($FY251,Inflation_Year,NominaltoReal)))</f>
        <v>0</v>
      </c>
      <c r="GG251" s="143"/>
      <c r="GH251" s="145" cm="1">
        <f t="array" ref="GH251">SUMPRODUCT(--($CR$7:$FW$7&gt;=GH$5),--($CR$7:$FW$7&lt;=GH$6),$CR251:$FW251)*FZ251</f>
        <v>0</v>
      </c>
      <c r="GI251" s="145" cm="1">
        <f t="array" ref="GI251">SUMPRODUCT(--($CR$7:$FW$7&gt;=GI$5),--($CR$7:$FW$7&lt;=GI$6),$CR251:$FW251)*GA251</f>
        <v>0</v>
      </c>
      <c r="GJ251" s="145" cm="1">
        <f t="array" ref="GJ251">SUMPRODUCT(--($CR$7:$FW$7&gt;=GJ$5),--($CR$7:$FW$7&lt;=GJ$6),$CR251:$FW251)*GB251</f>
        <v>0</v>
      </c>
      <c r="GK251" s="145" cm="1">
        <f t="array" ref="GK251">SUMPRODUCT(--($CR$7:$FW$7&gt;=GK$5),--($CR$7:$FW$7&lt;=GK$6),$CR251:$FW251)*GC251</f>
        <v>0</v>
      </c>
      <c r="GL251" s="145" cm="1">
        <f t="array" ref="GL251">SUMPRODUCT(--($CR$7:$FW$7&gt;=GL$5),--($CR$7:$FW$7&lt;=GL$6),$CR251:$FW251)*GD251</f>
        <v>0</v>
      </c>
      <c r="GM251" s="145" cm="1">
        <f t="array" ref="GM251">SUMPRODUCT(--($CR$7:$FW$7&gt;=GM$5),--($CR$7:$FW$7&lt;=GM$6),$CR251:$FW251)*GE251</f>
        <v>0</v>
      </c>
      <c r="GN251" s="145" cm="1">
        <f t="array" ref="GN251">SUMPRODUCT(--($CR$7:$FW$7&gt;=GN$5),--($CR$7:$FW$7&lt;=GN$6),$CR251:$FW251)*GF251</f>
        <v>0</v>
      </c>
      <c r="GO251" s="145">
        <f t="shared" si="3"/>
        <v>0</v>
      </c>
      <c r="GP251" s="87"/>
      <c r="GR251" s="145" cm="1">
        <f t="array" ref="GR251">SUMPRODUCT(--($CR$7:$FW$7&gt;=GR$5),--($CR$7:$FW$7&lt;=GR$6),$CR251:$FW251)</f>
        <v>0</v>
      </c>
    </row>
    <row r="252" spans="2:200" x14ac:dyDescent="0.2">
      <c r="B252" s="141"/>
      <c r="C252" s="141"/>
      <c r="D252" s="141"/>
      <c r="E252" s="141"/>
      <c r="F252" s="141"/>
      <c r="G252" s="141"/>
      <c r="H252" s="142"/>
      <c r="I252" s="126"/>
      <c r="J252" s="143"/>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3"/>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c r="EE252" s="145"/>
      <c r="EF252" s="145"/>
      <c r="EG252" s="145"/>
      <c r="EH252" s="145"/>
      <c r="EI252" s="145"/>
      <c r="EJ252" s="145"/>
      <c r="EK252" s="145"/>
      <c r="EL252" s="145"/>
      <c r="EM252" s="145"/>
      <c r="EN252" s="145"/>
      <c r="EO252" s="145"/>
      <c r="EP252" s="145"/>
      <c r="EQ252" s="145"/>
      <c r="ER252" s="145"/>
      <c r="ES252" s="145"/>
      <c r="ET252" s="145"/>
      <c r="EU252" s="145"/>
      <c r="EV252" s="145"/>
      <c r="EW252" s="145"/>
      <c r="EX252" s="145"/>
      <c r="EY252" s="145"/>
      <c r="EZ252" s="145"/>
      <c r="FA252" s="145"/>
      <c r="FB252" s="145"/>
      <c r="FC252" s="145"/>
      <c r="FD252" s="14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3"/>
      <c r="FY252" s="146">
        <f>_xlfn.XLOOKUP($E252,'Key assumptions'!$B$112:$B$120,'Key assumptions'!$C$112:$C$120,0)</f>
        <v>0</v>
      </c>
      <c r="FZ252" s="146" cm="1">
        <f t="array" ref="FZ252">IF($FY252=0,0,_xlfn.IFS($FY252='Key assumptions'!$C$120,_xlfn.XLOOKUP(LEFT(FZ$7,6),Inflation_Year,Inflation_NominaltoReal),TRUE,_xlfn.XLOOKUP($FY252,Inflation_Year,NominaltoReal)))</f>
        <v>0</v>
      </c>
      <c r="GA252" s="146" cm="1">
        <f t="array" ref="GA252">IF($FY252=0,0,_xlfn.IFS($FY252='Key assumptions'!$C$120,_xlfn.XLOOKUP(LEFT(GA$7,6),Inflation_Year,Inflation_NominaltoReal),TRUE,_xlfn.XLOOKUP($FY252,Inflation_Year,NominaltoReal)))</f>
        <v>0</v>
      </c>
      <c r="GB252" s="146" cm="1">
        <f t="array" ref="GB252">IF($FY252=0,0,_xlfn.IFS($FY252='Key assumptions'!$C$120,_xlfn.XLOOKUP(LEFT(GB$7,6),Inflation_Year,Inflation_NominaltoReal),TRUE,_xlfn.XLOOKUP($FY252,Inflation_Year,NominaltoReal)))</f>
        <v>0</v>
      </c>
      <c r="GC252" s="146" cm="1">
        <f t="array" ref="GC252">IF($FY252=0,0,_xlfn.IFS($FY252='Key assumptions'!$C$120,_xlfn.XLOOKUP(LEFT(GC$7,6),Inflation_Year,Inflation_NominaltoReal),TRUE,_xlfn.XLOOKUP($FY252,Inflation_Year,NominaltoReal)))</f>
        <v>0</v>
      </c>
      <c r="GD252" s="146" cm="1">
        <f t="array" ref="GD252">IF($FY252=0,0,_xlfn.IFS($FY252='Key assumptions'!$C$120,_xlfn.XLOOKUP(LEFT(GD$7,6),Inflation_Year,Inflation_NominaltoReal),TRUE,_xlfn.XLOOKUP($FY252,Inflation_Year,NominaltoReal)))</f>
        <v>0</v>
      </c>
      <c r="GE252" s="146" cm="1">
        <f t="array" ref="GE252">IF($FY252=0,0,_xlfn.IFS($FY252='Key assumptions'!$C$120,_xlfn.XLOOKUP(LEFT(GE$7,6),Inflation_Year,Inflation_NominaltoReal),TRUE,_xlfn.XLOOKUP($FY252,Inflation_Year,NominaltoReal)))</f>
        <v>0</v>
      </c>
      <c r="GF252" s="146" cm="1">
        <f t="array" ref="GF252">IF($FY252=0,0,_xlfn.IFS($FY252='Key assumptions'!$C$120,_xlfn.XLOOKUP(LEFT(GF$7,6),Inflation_Year,Inflation_NominaltoReal),TRUE,_xlfn.XLOOKUP($FY252,Inflation_Year,NominaltoReal)))</f>
        <v>0</v>
      </c>
      <c r="GG252" s="143"/>
      <c r="GH252" s="145" cm="1">
        <f t="array" ref="GH252">SUMPRODUCT(--($CR$7:$FW$7&gt;=GH$5),--($CR$7:$FW$7&lt;=GH$6),$CR252:$FW252)*FZ252</f>
        <v>0</v>
      </c>
      <c r="GI252" s="145" cm="1">
        <f t="array" ref="GI252">SUMPRODUCT(--($CR$7:$FW$7&gt;=GI$5),--($CR$7:$FW$7&lt;=GI$6),$CR252:$FW252)*GA252</f>
        <v>0</v>
      </c>
      <c r="GJ252" s="145" cm="1">
        <f t="array" ref="GJ252">SUMPRODUCT(--($CR$7:$FW$7&gt;=GJ$5),--($CR$7:$FW$7&lt;=GJ$6),$CR252:$FW252)*GB252</f>
        <v>0</v>
      </c>
      <c r="GK252" s="145" cm="1">
        <f t="array" ref="GK252">SUMPRODUCT(--($CR$7:$FW$7&gt;=GK$5),--($CR$7:$FW$7&lt;=GK$6),$CR252:$FW252)*GC252</f>
        <v>0</v>
      </c>
      <c r="GL252" s="145" cm="1">
        <f t="array" ref="GL252">SUMPRODUCT(--($CR$7:$FW$7&gt;=GL$5),--($CR$7:$FW$7&lt;=GL$6),$CR252:$FW252)*GD252</f>
        <v>0</v>
      </c>
      <c r="GM252" s="145" cm="1">
        <f t="array" ref="GM252">SUMPRODUCT(--($CR$7:$FW$7&gt;=GM$5),--($CR$7:$FW$7&lt;=GM$6),$CR252:$FW252)*GE252</f>
        <v>0</v>
      </c>
      <c r="GN252" s="145" cm="1">
        <f t="array" ref="GN252">SUMPRODUCT(--($CR$7:$FW$7&gt;=GN$5),--($CR$7:$FW$7&lt;=GN$6),$CR252:$FW252)*GF252</f>
        <v>0</v>
      </c>
      <c r="GO252" s="145">
        <f t="shared" si="3"/>
        <v>0</v>
      </c>
      <c r="GP252" s="87"/>
      <c r="GR252" s="145" cm="1">
        <f t="array" ref="GR252">SUMPRODUCT(--($CR$7:$FW$7&gt;=GR$5),--($CR$7:$FW$7&lt;=GR$6),$CR252:$FW252)</f>
        <v>0</v>
      </c>
    </row>
    <row r="253" spans="2:200" x14ac:dyDescent="0.2">
      <c r="B253" s="141"/>
      <c r="C253" s="141"/>
      <c r="D253" s="141"/>
      <c r="E253" s="141"/>
      <c r="F253" s="141"/>
      <c r="G253" s="141"/>
      <c r="H253" s="142"/>
      <c r="I253" s="126"/>
      <c r="J253" s="143"/>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3"/>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c r="EE253" s="145"/>
      <c r="EF253" s="145"/>
      <c r="EG253" s="145"/>
      <c r="EH253" s="145"/>
      <c r="EI253" s="145"/>
      <c r="EJ253" s="145"/>
      <c r="EK253" s="145"/>
      <c r="EL253" s="145"/>
      <c r="EM253" s="145"/>
      <c r="EN253" s="145"/>
      <c r="EO253" s="145"/>
      <c r="EP253" s="145"/>
      <c r="EQ253" s="145"/>
      <c r="ER253" s="145"/>
      <c r="ES253" s="145"/>
      <c r="ET253" s="145"/>
      <c r="EU253" s="145"/>
      <c r="EV253" s="145"/>
      <c r="EW253" s="145"/>
      <c r="EX253" s="145"/>
      <c r="EY253" s="145"/>
      <c r="EZ253" s="145"/>
      <c r="FA253" s="145"/>
      <c r="FB253" s="145"/>
      <c r="FC253" s="145"/>
      <c r="FD253" s="14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3"/>
      <c r="FY253" s="146">
        <f>_xlfn.XLOOKUP($E253,'Key assumptions'!$B$112:$B$120,'Key assumptions'!$C$112:$C$120,0)</f>
        <v>0</v>
      </c>
      <c r="FZ253" s="146" cm="1">
        <f t="array" ref="FZ253">IF($FY253=0,0,_xlfn.IFS($FY253='Key assumptions'!$C$120,_xlfn.XLOOKUP(LEFT(FZ$7,6),Inflation_Year,Inflation_NominaltoReal),TRUE,_xlfn.XLOOKUP($FY253,Inflation_Year,NominaltoReal)))</f>
        <v>0</v>
      </c>
      <c r="GA253" s="146" cm="1">
        <f t="array" ref="GA253">IF($FY253=0,0,_xlfn.IFS($FY253='Key assumptions'!$C$120,_xlfn.XLOOKUP(LEFT(GA$7,6),Inflation_Year,Inflation_NominaltoReal),TRUE,_xlfn.XLOOKUP($FY253,Inflation_Year,NominaltoReal)))</f>
        <v>0</v>
      </c>
      <c r="GB253" s="146" cm="1">
        <f t="array" ref="GB253">IF($FY253=0,0,_xlfn.IFS($FY253='Key assumptions'!$C$120,_xlfn.XLOOKUP(LEFT(GB$7,6),Inflation_Year,Inflation_NominaltoReal),TRUE,_xlfn.XLOOKUP($FY253,Inflation_Year,NominaltoReal)))</f>
        <v>0</v>
      </c>
      <c r="GC253" s="146" cm="1">
        <f t="array" ref="GC253">IF($FY253=0,0,_xlfn.IFS($FY253='Key assumptions'!$C$120,_xlfn.XLOOKUP(LEFT(GC$7,6),Inflation_Year,Inflation_NominaltoReal),TRUE,_xlfn.XLOOKUP($FY253,Inflation_Year,NominaltoReal)))</f>
        <v>0</v>
      </c>
      <c r="GD253" s="146" cm="1">
        <f t="array" ref="GD253">IF($FY253=0,0,_xlfn.IFS($FY253='Key assumptions'!$C$120,_xlfn.XLOOKUP(LEFT(GD$7,6),Inflation_Year,Inflation_NominaltoReal),TRUE,_xlfn.XLOOKUP($FY253,Inflation_Year,NominaltoReal)))</f>
        <v>0</v>
      </c>
      <c r="GE253" s="146" cm="1">
        <f t="array" ref="GE253">IF($FY253=0,0,_xlfn.IFS($FY253='Key assumptions'!$C$120,_xlfn.XLOOKUP(LEFT(GE$7,6),Inflation_Year,Inflation_NominaltoReal),TRUE,_xlfn.XLOOKUP($FY253,Inflation_Year,NominaltoReal)))</f>
        <v>0</v>
      </c>
      <c r="GF253" s="146" cm="1">
        <f t="array" ref="GF253">IF($FY253=0,0,_xlfn.IFS($FY253='Key assumptions'!$C$120,_xlfn.XLOOKUP(LEFT(GF$7,6),Inflation_Year,Inflation_NominaltoReal),TRUE,_xlfn.XLOOKUP($FY253,Inflation_Year,NominaltoReal)))</f>
        <v>0</v>
      </c>
      <c r="GG253" s="143"/>
      <c r="GH253" s="145" cm="1">
        <f t="array" ref="GH253">SUMPRODUCT(--($CR$7:$FW$7&gt;=GH$5),--($CR$7:$FW$7&lt;=GH$6),$CR253:$FW253)*FZ253</f>
        <v>0</v>
      </c>
      <c r="GI253" s="145" cm="1">
        <f t="array" ref="GI253">SUMPRODUCT(--($CR$7:$FW$7&gt;=GI$5),--($CR$7:$FW$7&lt;=GI$6),$CR253:$FW253)*GA253</f>
        <v>0</v>
      </c>
      <c r="GJ253" s="145" cm="1">
        <f t="array" ref="GJ253">SUMPRODUCT(--($CR$7:$FW$7&gt;=GJ$5),--($CR$7:$FW$7&lt;=GJ$6),$CR253:$FW253)*GB253</f>
        <v>0</v>
      </c>
      <c r="GK253" s="145" cm="1">
        <f t="array" ref="GK253">SUMPRODUCT(--($CR$7:$FW$7&gt;=GK$5),--($CR$7:$FW$7&lt;=GK$6),$CR253:$FW253)*GC253</f>
        <v>0</v>
      </c>
      <c r="GL253" s="145" cm="1">
        <f t="array" ref="GL253">SUMPRODUCT(--($CR$7:$FW$7&gt;=GL$5),--($CR$7:$FW$7&lt;=GL$6),$CR253:$FW253)*GD253</f>
        <v>0</v>
      </c>
      <c r="GM253" s="145" cm="1">
        <f t="array" ref="GM253">SUMPRODUCT(--($CR$7:$FW$7&gt;=GM$5),--($CR$7:$FW$7&lt;=GM$6),$CR253:$FW253)*GE253</f>
        <v>0</v>
      </c>
      <c r="GN253" s="145" cm="1">
        <f t="array" ref="GN253">SUMPRODUCT(--($CR$7:$FW$7&gt;=GN$5),--($CR$7:$FW$7&lt;=GN$6),$CR253:$FW253)*GF253</f>
        <v>0</v>
      </c>
      <c r="GO253" s="145">
        <f t="shared" si="3"/>
        <v>0</v>
      </c>
      <c r="GP253" s="87"/>
      <c r="GR253" s="145" cm="1">
        <f t="array" ref="GR253">SUMPRODUCT(--($CR$7:$FW$7&gt;=GR$5),--($CR$7:$FW$7&lt;=GR$6),$CR253:$FW253)</f>
        <v>0</v>
      </c>
    </row>
    <row r="254" spans="2:200" x14ac:dyDescent="0.2">
      <c r="B254" s="141"/>
      <c r="C254" s="141"/>
      <c r="D254" s="141"/>
      <c r="E254" s="141"/>
      <c r="F254" s="141"/>
      <c r="G254" s="141"/>
      <c r="H254" s="142"/>
      <c r="I254" s="126"/>
      <c r="J254" s="143"/>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3"/>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c r="EE254" s="145"/>
      <c r="EF254" s="145"/>
      <c r="EG254" s="145"/>
      <c r="EH254" s="145"/>
      <c r="EI254" s="145"/>
      <c r="EJ254" s="145"/>
      <c r="EK254" s="145"/>
      <c r="EL254" s="145"/>
      <c r="EM254" s="145"/>
      <c r="EN254" s="145"/>
      <c r="EO254" s="145"/>
      <c r="EP254" s="145"/>
      <c r="EQ254" s="145"/>
      <c r="ER254" s="145"/>
      <c r="ES254" s="145"/>
      <c r="ET254" s="145"/>
      <c r="EU254" s="145"/>
      <c r="EV254" s="145"/>
      <c r="EW254" s="145"/>
      <c r="EX254" s="145"/>
      <c r="EY254" s="145"/>
      <c r="EZ254" s="145"/>
      <c r="FA254" s="145"/>
      <c r="FB254" s="145"/>
      <c r="FC254" s="145"/>
      <c r="FD254" s="145"/>
      <c r="FE254" s="145"/>
      <c r="FF254" s="145"/>
      <c r="FG254" s="145"/>
      <c r="FH254" s="145"/>
      <c r="FI254" s="145"/>
      <c r="FJ254" s="145"/>
      <c r="FK254" s="145"/>
      <c r="FL254" s="145"/>
      <c r="FM254" s="145"/>
      <c r="FN254" s="145"/>
      <c r="FO254" s="145"/>
      <c r="FP254" s="145"/>
      <c r="FQ254" s="145"/>
      <c r="FR254" s="145"/>
      <c r="FS254" s="145"/>
      <c r="FT254" s="145"/>
      <c r="FU254" s="145"/>
      <c r="FV254" s="145"/>
      <c r="FW254" s="145"/>
      <c r="FX254" s="143"/>
      <c r="FY254" s="146">
        <f>_xlfn.XLOOKUP($E254,'Key assumptions'!$B$112:$B$120,'Key assumptions'!$C$112:$C$120,0)</f>
        <v>0</v>
      </c>
      <c r="FZ254" s="146" cm="1">
        <f t="array" ref="FZ254">IF($FY254=0,0,_xlfn.IFS($FY254='Key assumptions'!$C$120,_xlfn.XLOOKUP(LEFT(FZ$7,6),Inflation_Year,Inflation_NominaltoReal),TRUE,_xlfn.XLOOKUP($FY254,Inflation_Year,NominaltoReal)))</f>
        <v>0</v>
      </c>
      <c r="GA254" s="146" cm="1">
        <f t="array" ref="GA254">IF($FY254=0,0,_xlfn.IFS($FY254='Key assumptions'!$C$120,_xlfn.XLOOKUP(LEFT(GA$7,6),Inflation_Year,Inflation_NominaltoReal),TRUE,_xlfn.XLOOKUP($FY254,Inflation_Year,NominaltoReal)))</f>
        <v>0</v>
      </c>
      <c r="GB254" s="146" cm="1">
        <f t="array" ref="GB254">IF($FY254=0,0,_xlfn.IFS($FY254='Key assumptions'!$C$120,_xlfn.XLOOKUP(LEFT(GB$7,6),Inflation_Year,Inflation_NominaltoReal),TRUE,_xlfn.XLOOKUP($FY254,Inflation_Year,NominaltoReal)))</f>
        <v>0</v>
      </c>
      <c r="GC254" s="146" cm="1">
        <f t="array" ref="GC254">IF($FY254=0,0,_xlfn.IFS($FY254='Key assumptions'!$C$120,_xlfn.XLOOKUP(LEFT(GC$7,6),Inflation_Year,Inflation_NominaltoReal),TRUE,_xlfn.XLOOKUP($FY254,Inflation_Year,NominaltoReal)))</f>
        <v>0</v>
      </c>
      <c r="GD254" s="146" cm="1">
        <f t="array" ref="GD254">IF($FY254=0,0,_xlfn.IFS($FY254='Key assumptions'!$C$120,_xlfn.XLOOKUP(LEFT(GD$7,6),Inflation_Year,Inflation_NominaltoReal),TRUE,_xlfn.XLOOKUP($FY254,Inflation_Year,NominaltoReal)))</f>
        <v>0</v>
      </c>
      <c r="GE254" s="146" cm="1">
        <f t="array" ref="GE254">IF($FY254=0,0,_xlfn.IFS($FY254='Key assumptions'!$C$120,_xlfn.XLOOKUP(LEFT(GE$7,6),Inflation_Year,Inflation_NominaltoReal),TRUE,_xlfn.XLOOKUP($FY254,Inflation_Year,NominaltoReal)))</f>
        <v>0</v>
      </c>
      <c r="GF254" s="146" cm="1">
        <f t="array" ref="GF254">IF($FY254=0,0,_xlfn.IFS($FY254='Key assumptions'!$C$120,_xlfn.XLOOKUP(LEFT(GF$7,6),Inflation_Year,Inflation_NominaltoReal),TRUE,_xlfn.XLOOKUP($FY254,Inflation_Year,NominaltoReal)))</f>
        <v>0</v>
      </c>
      <c r="GG254" s="143"/>
      <c r="GH254" s="145" cm="1">
        <f t="array" ref="GH254">SUMPRODUCT(--($CR$7:$FW$7&gt;=GH$5),--($CR$7:$FW$7&lt;=GH$6),$CR254:$FW254)*FZ254</f>
        <v>0</v>
      </c>
      <c r="GI254" s="145" cm="1">
        <f t="array" ref="GI254">SUMPRODUCT(--($CR$7:$FW$7&gt;=GI$5),--($CR$7:$FW$7&lt;=GI$6),$CR254:$FW254)*GA254</f>
        <v>0</v>
      </c>
      <c r="GJ254" s="145" cm="1">
        <f t="array" ref="GJ254">SUMPRODUCT(--($CR$7:$FW$7&gt;=GJ$5),--($CR$7:$FW$7&lt;=GJ$6),$CR254:$FW254)*GB254</f>
        <v>0</v>
      </c>
      <c r="GK254" s="145" cm="1">
        <f t="array" ref="GK254">SUMPRODUCT(--($CR$7:$FW$7&gt;=GK$5),--($CR$7:$FW$7&lt;=GK$6),$CR254:$FW254)*GC254</f>
        <v>0</v>
      </c>
      <c r="GL254" s="145" cm="1">
        <f t="array" ref="GL254">SUMPRODUCT(--($CR$7:$FW$7&gt;=GL$5),--($CR$7:$FW$7&lt;=GL$6),$CR254:$FW254)*GD254</f>
        <v>0</v>
      </c>
      <c r="GM254" s="145" cm="1">
        <f t="array" ref="GM254">SUMPRODUCT(--($CR$7:$FW$7&gt;=GM$5),--($CR$7:$FW$7&lt;=GM$6),$CR254:$FW254)*GE254</f>
        <v>0</v>
      </c>
      <c r="GN254" s="145" cm="1">
        <f t="array" ref="GN254">SUMPRODUCT(--($CR$7:$FW$7&gt;=GN$5),--($CR$7:$FW$7&lt;=GN$6),$CR254:$FW254)*GF254</f>
        <v>0</v>
      </c>
      <c r="GO254" s="145">
        <f t="shared" si="3"/>
        <v>0</v>
      </c>
      <c r="GP254" s="87"/>
      <c r="GR254" s="145" cm="1">
        <f t="array" ref="GR254">SUMPRODUCT(--($CR$7:$FW$7&gt;=GR$5),--($CR$7:$FW$7&lt;=GR$6),$CR254:$FW254)</f>
        <v>0</v>
      </c>
    </row>
    <row r="255" spans="2:200" x14ac:dyDescent="0.2">
      <c r="B255" s="141"/>
      <c r="C255" s="141"/>
      <c r="D255" s="141"/>
      <c r="E255" s="141"/>
      <c r="F255" s="141"/>
      <c r="G255" s="141"/>
      <c r="H255" s="142"/>
      <c r="I255" s="126"/>
      <c r="J255" s="143"/>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3"/>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c r="EE255" s="145"/>
      <c r="EF255" s="145"/>
      <c r="EG255" s="145"/>
      <c r="EH255" s="145"/>
      <c r="EI255" s="145"/>
      <c r="EJ255" s="145"/>
      <c r="EK255" s="145"/>
      <c r="EL255" s="145"/>
      <c r="EM255" s="145"/>
      <c r="EN255" s="145"/>
      <c r="EO255" s="145"/>
      <c r="EP255" s="145"/>
      <c r="EQ255" s="145"/>
      <c r="ER255" s="145"/>
      <c r="ES255" s="145"/>
      <c r="ET255" s="145"/>
      <c r="EU255" s="145"/>
      <c r="EV255" s="145"/>
      <c r="EW255" s="145"/>
      <c r="EX255" s="145"/>
      <c r="EY255" s="145"/>
      <c r="EZ255" s="145"/>
      <c r="FA255" s="145"/>
      <c r="FB255" s="145"/>
      <c r="FC255" s="145"/>
      <c r="FD255" s="145"/>
      <c r="FE255" s="145"/>
      <c r="FF255" s="145"/>
      <c r="FG255" s="145"/>
      <c r="FH255" s="145"/>
      <c r="FI255" s="145"/>
      <c r="FJ255" s="145"/>
      <c r="FK255" s="145"/>
      <c r="FL255" s="145"/>
      <c r="FM255" s="145"/>
      <c r="FN255" s="145"/>
      <c r="FO255" s="145"/>
      <c r="FP255" s="145"/>
      <c r="FQ255" s="145"/>
      <c r="FR255" s="145"/>
      <c r="FS255" s="145"/>
      <c r="FT255" s="145"/>
      <c r="FU255" s="145"/>
      <c r="FV255" s="145"/>
      <c r="FW255" s="145"/>
      <c r="FX255" s="143"/>
      <c r="FY255" s="146">
        <f>_xlfn.XLOOKUP($E255,'Key assumptions'!$B$112:$B$120,'Key assumptions'!$C$112:$C$120,0)</f>
        <v>0</v>
      </c>
      <c r="FZ255" s="146" cm="1">
        <f t="array" ref="FZ255">IF($FY255=0,0,_xlfn.IFS($FY255='Key assumptions'!$C$120,_xlfn.XLOOKUP(LEFT(FZ$7,6),Inflation_Year,Inflation_NominaltoReal),TRUE,_xlfn.XLOOKUP($FY255,Inflation_Year,NominaltoReal)))</f>
        <v>0</v>
      </c>
      <c r="GA255" s="146" cm="1">
        <f t="array" ref="GA255">IF($FY255=0,0,_xlfn.IFS($FY255='Key assumptions'!$C$120,_xlfn.XLOOKUP(LEFT(GA$7,6),Inflation_Year,Inflation_NominaltoReal),TRUE,_xlfn.XLOOKUP($FY255,Inflation_Year,NominaltoReal)))</f>
        <v>0</v>
      </c>
      <c r="GB255" s="146" cm="1">
        <f t="array" ref="GB255">IF($FY255=0,0,_xlfn.IFS($FY255='Key assumptions'!$C$120,_xlfn.XLOOKUP(LEFT(GB$7,6),Inflation_Year,Inflation_NominaltoReal),TRUE,_xlfn.XLOOKUP($FY255,Inflation_Year,NominaltoReal)))</f>
        <v>0</v>
      </c>
      <c r="GC255" s="146" cm="1">
        <f t="array" ref="GC255">IF($FY255=0,0,_xlfn.IFS($FY255='Key assumptions'!$C$120,_xlfn.XLOOKUP(LEFT(GC$7,6),Inflation_Year,Inflation_NominaltoReal),TRUE,_xlfn.XLOOKUP($FY255,Inflation_Year,NominaltoReal)))</f>
        <v>0</v>
      </c>
      <c r="GD255" s="146" cm="1">
        <f t="array" ref="GD255">IF($FY255=0,0,_xlfn.IFS($FY255='Key assumptions'!$C$120,_xlfn.XLOOKUP(LEFT(GD$7,6),Inflation_Year,Inflation_NominaltoReal),TRUE,_xlfn.XLOOKUP($FY255,Inflation_Year,NominaltoReal)))</f>
        <v>0</v>
      </c>
      <c r="GE255" s="146" cm="1">
        <f t="array" ref="GE255">IF($FY255=0,0,_xlfn.IFS($FY255='Key assumptions'!$C$120,_xlfn.XLOOKUP(LEFT(GE$7,6),Inflation_Year,Inflation_NominaltoReal),TRUE,_xlfn.XLOOKUP($FY255,Inflation_Year,NominaltoReal)))</f>
        <v>0</v>
      </c>
      <c r="GF255" s="146" cm="1">
        <f t="array" ref="GF255">IF($FY255=0,0,_xlfn.IFS($FY255='Key assumptions'!$C$120,_xlfn.XLOOKUP(LEFT(GF$7,6),Inflation_Year,Inflation_NominaltoReal),TRUE,_xlfn.XLOOKUP($FY255,Inflation_Year,NominaltoReal)))</f>
        <v>0</v>
      </c>
      <c r="GG255" s="143"/>
      <c r="GH255" s="145" cm="1">
        <f t="array" ref="GH255">SUMPRODUCT(--($CR$7:$FW$7&gt;=GH$5),--($CR$7:$FW$7&lt;=GH$6),$CR255:$FW255)*FZ255</f>
        <v>0</v>
      </c>
      <c r="GI255" s="145" cm="1">
        <f t="array" ref="GI255">SUMPRODUCT(--($CR$7:$FW$7&gt;=GI$5),--($CR$7:$FW$7&lt;=GI$6),$CR255:$FW255)*GA255</f>
        <v>0</v>
      </c>
      <c r="GJ255" s="145" cm="1">
        <f t="array" ref="GJ255">SUMPRODUCT(--($CR$7:$FW$7&gt;=GJ$5),--($CR$7:$FW$7&lt;=GJ$6),$CR255:$FW255)*GB255</f>
        <v>0</v>
      </c>
      <c r="GK255" s="145" cm="1">
        <f t="array" ref="GK255">SUMPRODUCT(--($CR$7:$FW$7&gt;=GK$5),--($CR$7:$FW$7&lt;=GK$6),$CR255:$FW255)*GC255</f>
        <v>0</v>
      </c>
      <c r="GL255" s="145" cm="1">
        <f t="array" ref="GL255">SUMPRODUCT(--($CR$7:$FW$7&gt;=GL$5),--($CR$7:$FW$7&lt;=GL$6),$CR255:$FW255)*GD255</f>
        <v>0</v>
      </c>
      <c r="GM255" s="145" cm="1">
        <f t="array" ref="GM255">SUMPRODUCT(--($CR$7:$FW$7&gt;=GM$5),--($CR$7:$FW$7&lt;=GM$6),$CR255:$FW255)*GE255</f>
        <v>0</v>
      </c>
      <c r="GN255" s="145" cm="1">
        <f t="array" ref="GN255">SUMPRODUCT(--($CR$7:$FW$7&gt;=GN$5),--($CR$7:$FW$7&lt;=GN$6),$CR255:$FW255)*GF255</f>
        <v>0</v>
      </c>
      <c r="GO255" s="145">
        <f t="shared" si="3"/>
        <v>0</v>
      </c>
      <c r="GP255" s="87"/>
      <c r="GR255" s="145" cm="1">
        <f t="array" ref="GR255">SUMPRODUCT(--($CR$7:$FW$7&gt;=GR$5),--($CR$7:$FW$7&lt;=GR$6),$CR255:$FW255)</f>
        <v>0</v>
      </c>
    </row>
    <row r="256" spans="2:200" x14ac:dyDescent="0.2">
      <c r="B256" s="141"/>
      <c r="C256" s="141"/>
      <c r="D256" s="141"/>
      <c r="E256" s="141"/>
      <c r="F256" s="141"/>
      <c r="G256" s="141"/>
      <c r="H256" s="142"/>
      <c r="I256" s="126"/>
      <c r="J256" s="143"/>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3"/>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c r="EE256" s="145"/>
      <c r="EF256" s="145"/>
      <c r="EG256" s="145"/>
      <c r="EH256" s="145"/>
      <c r="EI256" s="145"/>
      <c r="EJ256" s="145"/>
      <c r="EK256" s="145"/>
      <c r="EL256" s="145"/>
      <c r="EM256" s="145"/>
      <c r="EN256" s="145"/>
      <c r="EO256" s="145"/>
      <c r="EP256" s="145"/>
      <c r="EQ256" s="145"/>
      <c r="ER256" s="145"/>
      <c r="ES256" s="145"/>
      <c r="ET256" s="145"/>
      <c r="EU256" s="145"/>
      <c r="EV256" s="145"/>
      <c r="EW256" s="145"/>
      <c r="EX256" s="145"/>
      <c r="EY256" s="145"/>
      <c r="EZ256" s="145"/>
      <c r="FA256" s="145"/>
      <c r="FB256" s="145"/>
      <c r="FC256" s="145"/>
      <c r="FD256" s="145"/>
      <c r="FE256" s="145"/>
      <c r="FF256" s="145"/>
      <c r="FG256" s="145"/>
      <c r="FH256" s="145"/>
      <c r="FI256" s="145"/>
      <c r="FJ256" s="145"/>
      <c r="FK256" s="145"/>
      <c r="FL256" s="145"/>
      <c r="FM256" s="145"/>
      <c r="FN256" s="145"/>
      <c r="FO256" s="145"/>
      <c r="FP256" s="145"/>
      <c r="FQ256" s="145"/>
      <c r="FR256" s="145"/>
      <c r="FS256" s="145"/>
      <c r="FT256" s="145"/>
      <c r="FU256" s="145"/>
      <c r="FV256" s="145"/>
      <c r="FW256" s="145"/>
      <c r="FX256" s="143"/>
      <c r="FY256" s="146">
        <f>_xlfn.XLOOKUP($E256,'Key assumptions'!$B$112:$B$120,'Key assumptions'!$C$112:$C$120,0)</f>
        <v>0</v>
      </c>
      <c r="FZ256" s="146" cm="1">
        <f t="array" ref="FZ256">IF($FY256=0,0,_xlfn.IFS($FY256='Key assumptions'!$C$120,_xlfn.XLOOKUP(LEFT(FZ$7,6),Inflation_Year,Inflation_NominaltoReal),TRUE,_xlfn.XLOOKUP($FY256,Inflation_Year,NominaltoReal)))</f>
        <v>0</v>
      </c>
      <c r="GA256" s="146" cm="1">
        <f t="array" ref="GA256">IF($FY256=0,0,_xlfn.IFS($FY256='Key assumptions'!$C$120,_xlfn.XLOOKUP(LEFT(GA$7,6),Inflation_Year,Inflation_NominaltoReal),TRUE,_xlfn.XLOOKUP($FY256,Inflation_Year,NominaltoReal)))</f>
        <v>0</v>
      </c>
      <c r="GB256" s="146" cm="1">
        <f t="array" ref="GB256">IF($FY256=0,0,_xlfn.IFS($FY256='Key assumptions'!$C$120,_xlfn.XLOOKUP(LEFT(GB$7,6),Inflation_Year,Inflation_NominaltoReal),TRUE,_xlfn.XLOOKUP($FY256,Inflation_Year,NominaltoReal)))</f>
        <v>0</v>
      </c>
      <c r="GC256" s="146" cm="1">
        <f t="array" ref="GC256">IF($FY256=0,0,_xlfn.IFS($FY256='Key assumptions'!$C$120,_xlfn.XLOOKUP(LEFT(GC$7,6),Inflation_Year,Inflation_NominaltoReal),TRUE,_xlfn.XLOOKUP($FY256,Inflation_Year,NominaltoReal)))</f>
        <v>0</v>
      </c>
      <c r="GD256" s="146" cm="1">
        <f t="array" ref="GD256">IF($FY256=0,0,_xlfn.IFS($FY256='Key assumptions'!$C$120,_xlfn.XLOOKUP(LEFT(GD$7,6),Inflation_Year,Inflation_NominaltoReal),TRUE,_xlfn.XLOOKUP($FY256,Inflation_Year,NominaltoReal)))</f>
        <v>0</v>
      </c>
      <c r="GE256" s="146" cm="1">
        <f t="array" ref="GE256">IF($FY256=0,0,_xlfn.IFS($FY256='Key assumptions'!$C$120,_xlfn.XLOOKUP(LEFT(GE$7,6),Inflation_Year,Inflation_NominaltoReal),TRUE,_xlfn.XLOOKUP($FY256,Inflation_Year,NominaltoReal)))</f>
        <v>0</v>
      </c>
      <c r="GF256" s="146" cm="1">
        <f t="array" ref="GF256">IF($FY256=0,0,_xlfn.IFS($FY256='Key assumptions'!$C$120,_xlfn.XLOOKUP(LEFT(GF$7,6),Inflation_Year,Inflation_NominaltoReal),TRUE,_xlfn.XLOOKUP($FY256,Inflation_Year,NominaltoReal)))</f>
        <v>0</v>
      </c>
      <c r="GG256" s="143"/>
      <c r="GH256" s="145" cm="1">
        <f t="array" ref="GH256">SUMPRODUCT(--($CR$7:$FW$7&gt;=GH$5),--($CR$7:$FW$7&lt;=GH$6),$CR256:$FW256)*FZ256</f>
        <v>0</v>
      </c>
      <c r="GI256" s="145" cm="1">
        <f t="array" ref="GI256">SUMPRODUCT(--($CR$7:$FW$7&gt;=GI$5),--($CR$7:$FW$7&lt;=GI$6),$CR256:$FW256)*GA256</f>
        <v>0</v>
      </c>
      <c r="GJ256" s="145" cm="1">
        <f t="array" ref="GJ256">SUMPRODUCT(--($CR$7:$FW$7&gt;=GJ$5),--($CR$7:$FW$7&lt;=GJ$6),$CR256:$FW256)*GB256</f>
        <v>0</v>
      </c>
      <c r="GK256" s="145" cm="1">
        <f t="array" ref="GK256">SUMPRODUCT(--($CR$7:$FW$7&gt;=GK$5),--($CR$7:$FW$7&lt;=GK$6),$CR256:$FW256)*GC256</f>
        <v>0</v>
      </c>
      <c r="GL256" s="145" cm="1">
        <f t="array" ref="GL256">SUMPRODUCT(--($CR$7:$FW$7&gt;=GL$5),--($CR$7:$FW$7&lt;=GL$6),$CR256:$FW256)*GD256</f>
        <v>0</v>
      </c>
      <c r="GM256" s="145" cm="1">
        <f t="array" ref="GM256">SUMPRODUCT(--($CR$7:$FW$7&gt;=GM$5),--($CR$7:$FW$7&lt;=GM$6),$CR256:$FW256)*GE256</f>
        <v>0</v>
      </c>
      <c r="GN256" s="145" cm="1">
        <f t="array" ref="GN256">SUMPRODUCT(--($CR$7:$FW$7&gt;=GN$5),--($CR$7:$FW$7&lt;=GN$6),$CR256:$FW256)*GF256</f>
        <v>0</v>
      </c>
      <c r="GO256" s="145">
        <f t="shared" si="3"/>
        <v>0</v>
      </c>
      <c r="GP256" s="87"/>
      <c r="GR256" s="145" cm="1">
        <f t="array" ref="GR256">SUMPRODUCT(--($CR$7:$FW$7&gt;=GR$5),--($CR$7:$FW$7&lt;=GR$6),$CR256:$FW256)</f>
        <v>0</v>
      </c>
    </row>
    <row r="257" spans="2:200" x14ac:dyDescent="0.2">
      <c r="B257" s="141"/>
      <c r="C257" s="141"/>
      <c r="D257" s="141"/>
      <c r="E257" s="141"/>
      <c r="F257" s="141"/>
      <c r="G257" s="141"/>
      <c r="H257" s="142"/>
      <c r="I257" s="126"/>
      <c r="J257" s="143"/>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3"/>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145"/>
      <c r="EH257" s="145"/>
      <c r="EI257" s="145"/>
      <c r="EJ257" s="145"/>
      <c r="EK257" s="145"/>
      <c r="EL257" s="145"/>
      <c r="EM257" s="145"/>
      <c r="EN257" s="145"/>
      <c r="EO257" s="145"/>
      <c r="EP257" s="145"/>
      <c r="EQ257" s="145"/>
      <c r="ER257" s="145"/>
      <c r="ES257" s="145"/>
      <c r="ET257" s="145"/>
      <c r="EU257" s="145"/>
      <c r="EV257" s="145"/>
      <c r="EW257" s="145"/>
      <c r="EX257" s="145"/>
      <c r="EY257" s="145"/>
      <c r="EZ257" s="145"/>
      <c r="FA257" s="145"/>
      <c r="FB257" s="145"/>
      <c r="FC257" s="145"/>
      <c r="FD257" s="14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3"/>
      <c r="FY257" s="146">
        <f>_xlfn.XLOOKUP($E257,'Key assumptions'!$B$112:$B$120,'Key assumptions'!$C$112:$C$120,0)</f>
        <v>0</v>
      </c>
      <c r="FZ257" s="146" cm="1">
        <f t="array" ref="FZ257">IF($FY257=0,0,_xlfn.IFS($FY257='Key assumptions'!$C$120,_xlfn.XLOOKUP(LEFT(FZ$7,6),Inflation_Year,Inflation_NominaltoReal),TRUE,_xlfn.XLOOKUP($FY257,Inflation_Year,NominaltoReal)))</f>
        <v>0</v>
      </c>
      <c r="GA257" s="146" cm="1">
        <f t="array" ref="GA257">IF($FY257=0,0,_xlfn.IFS($FY257='Key assumptions'!$C$120,_xlfn.XLOOKUP(LEFT(GA$7,6),Inflation_Year,Inflation_NominaltoReal),TRUE,_xlfn.XLOOKUP($FY257,Inflation_Year,NominaltoReal)))</f>
        <v>0</v>
      </c>
      <c r="GB257" s="146" cm="1">
        <f t="array" ref="GB257">IF($FY257=0,0,_xlfn.IFS($FY257='Key assumptions'!$C$120,_xlfn.XLOOKUP(LEFT(GB$7,6),Inflation_Year,Inflation_NominaltoReal),TRUE,_xlfn.XLOOKUP($FY257,Inflation_Year,NominaltoReal)))</f>
        <v>0</v>
      </c>
      <c r="GC257" s="146" cm="1">
        <f t="array" ref="GC257">IF($FY257=0,0,_xlfn.IFS($FY257='Key assumptions'!$C$120,_xlfn.XLOOKUP(LEFT(GC$7,6),Inflation_Year,Inflation_NominaltoReal),TRUE,_xlfn.XLOOKUP($FY257,Inflation_Year,NominaltoReal)))</f>
        <v>0</v>
      </c>
      <c r="GD257" s="146" cm="1">
        <f t="array" ref="GD257">IF($FY257=0,0,_xlfn.IFS($FY257='Key assumptions'!$C$120,_xlfn.XLOOKUP(LEFT(GD$7,6),Inflation_Year,Inflation_NominaltoReal),TRUE,_xlfn.XLOOKUP($FY257,Inflation_Year,NominaltoReal)))</f>
        <v>0</v>
      </c>
      <c r="GE257" s="146" cm="1">
        <f t="array" ref="GE257">IF($FY257=0,0,_xlfn.IFS($FY257='Key assumptions'!$C$120,_xlfn.XLOOKUP(LEFT(GE$7,6),Inflation_Year,Inflation_NominaltoReal),TRUE,_xlfn.XLOOKUP($FY257,Inflation_Year,NominaltoReal)))</f>
        <v>0</v>
      </c>
      <c r="GF257" s="146" cm="1">
        <f t="array" ref="GF257">IF($FY257=0,0,_xlfn.IFS($FY257='Key assumptions'!$C$120,_xlfn.XLOOKUP(LEFT(GF$7,6),Inflation_Year,Inflation_NominaltoReal),TRUE,_xlfn.XLOOKUP($FY257,Inflation_Year,NominaltoReal)))</f>
        <v>0</v>
      </c>
      <c r="GG257" s="143"/>
      <c r="GH257" s="145" cm="1">
        <f t="array" ref="GH257">SUMPRODUCT(--($CR$7:$FW$7&gt;=GH$5),--($CR$7:$FW$7&lt;=GH$6),$CR257:$FW257)*FZ257</f>
        <v>0</v>
      </c>
      <c r="GI257" s="145" cm="1">
        <f t="array" ref="GI257">SUMPRODUCT(--($CR$7:$FW$7&gt;=GI$5),--($CR$7:$FW$7&lt;=GI$6),$CR257:$FW257)*GA257</f>
        <v>0</v>
      </c>
      <c r="GJ257" s="145" cm="1">
        <f t="array" ref="GJ257">SUMPRODUCT(--($CR$7:$FW$7&gt;=GJ$5),--($CR$7:$FW$7&lt;=GJ$6),$CR257:$FW257)*GB257</f>
        <v>0</v>
      </c>
      <c r="GK257" s="145" cm="1">
        <f t="array" ref="GK257">SUMPRODUCT(--($CR$7:$FW$7&gt;=GK$5),--($CR$7:$FW$7&lt;=GK$6),$CR257:$FW257)*GC257</f>
        <v>0</v>
      </c>
      <c r="GL257" s="145" cm="1">
        <f t="array" ref="GL257">SUMPRODUCT(--($CR$7:$FW$7&gt;=GL$5),--($CR$7:$FW$7&lt;=GL$6),$CR257:$FW257)*GD257</f>
        <v>0</v>
      </c>
      <c r="GM257" s="145" cm="1">
        <f t="array" ref="GM257">SUMPRODUCT(--($CR$7:$FW$7&gt;=GM$5),--($CR$7:$FW$7&lt;=GM$6),$CR257:$FW257)*GE257</f>
        <v>0</v>
      </c>
      <c r="GN257" s="145" cm="1">
        <f t="array" ref="GN257">SUMPRODUCT(--($CR$7:$FW$7&gt;=GN$5),--($CR$7:$FW$7&lt;=GN$6),$CR257:$FW257)*GF257</f>
        <v>0</v>
      </c>
      <c r="GO257" s="145">
        <f t="shared" si="3"/>
        <v>0</v>
      </c>
      <c r="GP257" s="87"/>
      <c r="GR257" s="145" cm="1">
        <f t="array" ref="GR257">SUMPRODUCT(--($CR$7:$FW$7&gt;=GR$5),--($CR$7:$FW$7&lt;=GR$6),$CR257:$FW257)</f>
        <v>0</v>
      </c>
    </row>
    <row r="258" spans="2:200" x14ac:dyDescent="0.2">
      <c r="B258" s="141"/>
      <c r="C258" s="141"/>
      <c r="D258" s="141"/>
      <c r="E258" s="141"/>
      <c r="F258" s="141"/>
      <c r="G258" s="141"/>
      <c r="H258" s="142"/>
      <c r="I258" s="126"/>
      <c r="J258" s="143"/>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3"/>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c r="EE258" s="145"/>
      <c r="EF258" s="145"/>
      <c r="EG258" s="145"/>
      <c r="EH258" s="145"/>
      <c r="EI258" s="145"/>
      <c r="EJ258" s="145"/>
      <c r="EK258" s="145"/>
      <c r="EL258" s="145"/>
      <c r="EM258" s="145"/>
      <c r="EN258" s="145"/>
      <c r="EO258" s="145"/>
      <c r="EP258" s="145"/>
      <c r="EQ258" s="145"/>
      <c r="ER258" s="145"/>
      <c r="ES258" s="145"/>
      <c r="ET258" s="145"/>
      <c r="EU258" s="145"/>
      <c r="EV258" s="145"/>
      <c r="EW258" s="145"/>
      <c r="EX258" s="145"/>
      <c r="EY258" s="145"/>
      <c r="EZ258" s="145"/>
      <c r="FA258" s="145"/>
      <c r="FB258" s="145"/>
      <c r="FC258" s="145"/>
      <c r="FD258" s="14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3"/>
      <c r="FY258" s="146">
        <f>_xlfn.XLOOKUP($E258,'Key assumptions'!$B$112:$B$120,'Key assumptions'!$C$112:$C$120,0)</f>
        <v>0</v>
      </c>
      <c r="FZ258" s="146" cm="1">
        <f t="array" ref="FZ258">IF($FY258=0,0,_xlfn.IFS($FY258='Key assumptions'!$C$120,_xlfn.XLOOKUP(LEFT(FZ$7,6),Inflation_Year,Inflation_NominaltoReal),TRUE,_xlfn.XLOOKUP($FY258,Inflation_Year,NominaltoReal)))</f>
        <v>0</v>
      </c>
      <c r="GA258" s="146" cm="1">
        <f t="array" ref="GA258">IF($FY258=0,0,_xlfn.IFS($FY258='Key assumptions'!$C$120,_xlfn.XLOOKUP(LEFT(GA$7,6),Inflation_Year,Inflation_NominaltoReal),TRUE,_xlfn.XLOOKUP($FY258,Inflation_Year,NominaltoReal)))</f>
        <v>0</v>
      </c>
      <c r="GB258" s="146" cm="1">
        <f t="array" ref="GB258">IF($FY258=0,0,_xlfn.IFS($FY258='Key assumptions'!$C$120,_xlfn.XLOOKUP(LEFT(GB$7,6),Inflation_Year,Inflation_NominaltoReal),TRUE,_xlfn.XLOOKUP($FY258,Inflation_Year,NominaltoReal)))</f>
        <v>0</v>
      </c>
      <c r="GC258" s="146" cm="1">
        <f t="array" ref="GC258">IF($FY258=0,0,_xlfn.IFS($FY258='Key assumptions'!$C$120,_xlfn.XLOOKUP(LEFT(GC$7,6),Inflation_Year,Inflation_NominaltoReal),TRUE,_xlfn.XLOOKUP($FY258,Inflation_Year,NominaltoReal)))</f>
        <v>0</v>
      </c>
      <c r="GD258" s="146" cm="1">
        <f t="array" ref="GD258">IF($FY258=0,0,_xlfn.IFS($FY258='Key assumptions'!$C$120,_xlfn.XLOOKUP(LEFT(GD$7,6),Inflation_Year,Inflation_NominaltoReal),TRUE,_xlfn.XLOOKUP($FY258,Inflation_Year,NominaltoReal)))</f>
        <v>0</v>
      </c>
      <c r="GE258" s="146" cm="1">
        <f t="array" ref="GE258">IF($FY258=0,0,_xlfn.IFS($FY258='Key assumptions'!$C$120,_xlfn.XLOOKUP(LEFT(GE$7,6),Inflation_Year,Inflation_NominaltoReal),TRUE,_xlfn.XLOOKUP($FY258,Inflation_Year,NominaltoReal)))</f>
        <v>0</v>
      </c>
      <c r="GF258" s="146" cm="1">
        <f t="array" ref="GF258">IF($FY258=0,0,_xlfn.IFS($FY258='Key assumptions'!$C$120,_xlfn.XLOOKUP(LEFT(GF$7,6),Inflation_Year,Inflation_NominaltoReal),TRUE,_xlfn.XLOOKUP($FY258,Inflation_Year,NominaltoReal)))</f>
        <v>0</v>
      </c>
      <c r="GG258" s="143"/>
      <c r="GH258" s="145" cm="1">
        <f t="array" ref="GH258">SUMPRODUCT(--($CR$7:$FW$7&gt;=GH$5),--($CR$7:$FW$7&lt;=GH$6),$CR258:$FW258)*FZ258</f>
        <v>0</v>
      </c>
      <c r="GI258" s="145" cm="1">
        <f t="array" ref="GI258">SUMPRODUCT(--($CR$7:$FW$7&gt;=GI$5),--($CR$7:$FW$7&lt;=GI$6),$CR258:$FW258)*GA258</f>
        <v>0</v>
      </c>
      <c r="GJ258" s="145" cm="1">
        <f t="array" ref="GJ258">SUMPRODUCT(--($CR$7:$FW$7&gt;=GJ$5),--($CR$7:$FW$7&lt;=GJ$6),$CR258:$FW258)*GB258</f>
        <v>0</v>
      </c>
      <c r="GK258" s="145" cm="1">
        <f t="array" ref="GK258">SUMPRODUCT(--($CR$7:$FW$7&gt;=GK$5),--($CR$7:$FW$7&lt;=GK$6),$CR258:$FW258)*GC258</f>
        <v>0</v>
      </c>
      <c r="GL258" s="145" cm="1">
        <f t="array" ref="GL258">SUMPRODUCT(--($CR$7:$FW$7&gt;=GL$5),--($CR$7:$FW$7&lt;=GL$6),$CR258:$FW258)*GD258</f>
        <v>0</v>
      </c>
      <c r="GM258" s="145" cm="1">
        <f t="array" ref="GM258">SUMPRODUCT(--($CR$7:$FW$7&gt;=GM$5),--($CR$7:$FW$7&lt;=GM$6),$CR258:$FW258)*GE258</f>
        <v>0</v>
      </c>
      <c r="GN258" s="145" cm="1">
        <f t="array" ref="GN258">SUMPRODUCT(--($CR$7:$FW$7&gt;=GN$5),--($CR$7:$FW$7&lt;=GN$6),$CR258:$FW258)*GF258</f>
        <v>0</v>
      </c>
      <c r="GO258" s="145">
        <f t="shared" si="3"/>
        <v>0</v>
      </c>
      <c r="GP258" s="87"/>
      <c r="GR258" s="145" cm="1">
        <f t="array" ref="GR258">SUMPRODUCT(--($CR$7:$FW$7&gt;=GR$5),--($CR$7:$FW$7&lt;=GR$6),$CR258:$FW258)</f>
        <v>0</v>
      </c>
    </row>
    <row r="259" spans="2:200" x14ac:dyDescent="0.2">
      <c r="B259" s="141"/>
      <c r="C259" s="141"/>
      <c r="D259" s="141"/>
      <c r="E259" s="141"/>
      <c r="F259" s="141"/>
      <c r="G259" s="141"/>
      <c r="H259" s="142"/>
      <c r="I259" s="126"/>
      <c r="J259" s="143"/>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3"/>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145"/>
      <c r="EH259" s="145"/>
      <c r="EI259" s="145"/>
      <c r="EJ259" s="145"/>
      <c r="EK259" s="145"/>
      <c r="EL259" s="145"/>
      <c r="EM259" s="145"/>
      <c r="EN259" s="145"/>
      <c r="EO259" s="145"/>
      <c r="EP259" s="145"/>
      <c r="EQ259" s="145"/>
      <c r="ER259" s="145"/>
      <c r="ES259" s="145"/>
      <c r="ET259" s="145"/>
      <c r="EU259" s="145"/>
      <c r="EV259" s="145"/>
      <c r="EW259" s="145"/>
      <c r="EX259" s="145"/>
      <c r="EY259" s="145"/>
      <c r="EZ259" s="145"/>
      <c r="FA259" s="145"/>
      <c r="FB259" s="145"/>
      <c r="FC259" s="145"/>
      <c r="FD259" s="145"/>
      <c r="FE259" s="145"/>
      <c r="FF259" s="145"/>
      <c r="FG259" s="145"/>
      <c r="FH259" s="145"/>
      <c r="FI259" s="145"/>
      <c r="FJ259" s="145"/>
      <c r="FK259" s="145"/>
      <c r="FL259" s="145"/>
      <c r="FM259" s="145"/>
      <c r="FN259" s="145"/>
      <c r="FO259" s="145"/>
      <c r="FP259" s="145"/>
      <c r="FQ259" s="145"/>
      <c r="FR259" s="145"/>
      <c r="FS259" s="145"/>
      <c r="FT259" s="145"/>
      <c r="FU259" s="145"/>
      <c r="FV259" s="145"/>
      <c r="FW259" s="145"/>
      <c r="FX259" s="143"/>
      <c r="FY259" s="146">
        <f>_xlfn.XLOOKUP($E259,'Key assumptions'!$B$112:$B$120,'Key assumptions'!$C$112:$C$120,0)</f>
        <v>0</v>
      </c>
      <c r="FZ259" s="146" cm="1">
        <f t="array" ref="FZ259">IF($FY259=0,0,_xlfn.IFS($FY259='Key assumptions'!$C$120,_xlfn.XLOOKUP(LEFT(FZ$7,6),Inflation_Year,Inflation_NominaltoReal),TRUE,_xlfn.XLOOKUP($FY259,Inflation_Year,NominaltoReal)))</f>
        <v>0</v>
      </c>
      <c r="GA259" s="146" cm="1">
        <f t="array" ref="GA259">IF($FY259=0,0,_xlfn.IFS($FY259='Key assumptions'!$C$120,_xlfn.XLOOKUP(LEFT(GA$7,6),Inflation_Year,Inflation_NominaltoReal),TRUE,_xlfn.XLOOKUP($FY259,Inflation_Year,NominaltoReal)))</f>
        <v>0</v>
      </c>
      <c r="GB259" s="146" cm="1">
        <f t="array" ref="GB259">IF($FY259=0,0,_xlfn.IFS($FY259='Key assumptions'!$C$120,_xlfn.XLOOKUP(LEFT(GB$7,6),Inflation_Year,Inflation_NominaltoReal),TRUE,_xlfn.XLOOKUP($FY259,Inflation_Year,NominaltoReal)))</f>
        <v>0</v>
      </c>
      <c r="GC259" s="146" cm="1">
        <f t="array" ref="GC259">IF($FY259=0,0,_xlfn.IFS($FY259='Key assumptions'!$C$120,_xlfn.XLOOKUP(LEFT(GC$7,6),Inflation_Year,Inflation_NominaltoReal),TRUE,_xlfn.XLOOKUP($FY259,Inflation_Year,NominaltoReal)))</f>
        <v>0</v>
      </c>
      <c r="GD259" s="146" cm="1">
        <f t="array" ref="GD259">IF($FY259=0,0,_xlfn.IFS($FY259='Key assumptions'!$C$120,_xlfn.XLOOKUP(LEFT(GD$7,6),Inflation_Year,Inflation_NominaltoReal),TRUE,_xlfn.XLOOKUP($FY259,Inflation_Year,NominaltoReal)))</f>
        <v>0</v>
      </c>
      <c r="GE259" s="146" cm="1">
        <f t="array" ref="GE259">IF($FY259=0,0,_xlfn.IFS($FY259='Key assumptions'!$C$120,_xlfn.XLOOKUP(LEFT(GE$7,6),Inflation_Year,Inflation_NominaltoReal),TRUE,_xlfn.XLOOKUP($FY259,Inflation_Year,NominaltoReal)))</f>
        <v>0</v>
      </c>
      <c r="GF259" s="146" cm="1">
        <f t="array" ref="GF259">IF($FY259=0,0,_xlfn.IFS($FY259='Key assumptions'!$C$120,_xlfn.XLOOKUP(LEFT(GF$7,6),Inflation_Year,Inflation_NominaltoReal),TRUE,_xlfn.XLOOKUP($FY259,Inflation_Year,NominaltoReal)))</f>
        <v>0</v>
      </c>
      <c r="GG259" s="143"/>
      <c r="GH259" s="145" cm="1">
        <f t="array" ref="GH259">SUMPRODUCT(--($CR$7:$FW$7&gt;=GH$5),--($CR$7:$FW$7&lt;=GH$6),$CR259:$FW259)*FZ259</f>
        <v>0</v>
      </c>
      <c r="GI259" s="145" cm="1">
        <f t="array" ref="GI259">SUMPRODUCT(--($CR$7:$FW$7&gt;=GI$5),--($CR$7:$FW$7&lt;=GI$6),$CR259:$FW259)*GA259</f>
        <v>0</v>
      </c>
      <c r="GJ259" s="145" cm="1">
        <f t="array" ref="GJ259">SUMPRODUCT(--($CR$7:$FW$7&gt;=GJ$5),--($CR$7:$FW$7&lt;=GJ$6),$CR259:$FW259)*GB259</f>
        <v>0</v>
      </c>
      <c r="GK259" s="145" cm="1">
        <f t="array" ref="GK259">SUMPRODUCT(--($CR$7:$FW$7&gt;=GK$5),--($CR$7:$FW$7&lt;=GK$6),$CR259:$FW259)*GC259</f>
        <v>0</v>
      </c>
      <c r="GL259" s="145" cm="1">
        <f t="array" ref="GL259">SUMPRODUCT(--($CR$7:$FW$7&gt;=GL$5),--($CR$7:$FW$7&lt;=GL$6),$CR259:$FW259)*GD259</f>
        <v>0</v>
      </c>
      <c r="GM259" s="145" cm="1">
        <f t="array" ref="GM259">SUMPRODUCT(--($CR$7:$FW$7&gt;=GM$5),--($CR$7:$FW$7&lt;=GM$6),$CR259:$FW259)*GE259</f>
        <v>0</v>
      </c>
      <c r="GN259" s="145" cm="1">
        <f t="array" ref="GN259">SUMPRODUCT(--($CR$7:$FW$7&gt;=GN$5),--($CR$7:$FW$7&lt;=GN$6),$CR259:$FW259)*GF259</f>
        <v>0</v>
      </c>
      <c r="GO259" s="145">
        <f t="shared" si="3"/>
        <v>0</v>
      </c>
      <c r="GP259" s="87"/>
      <c r="GR259" s="145" cm="1">
        <f t="array" ref="GR259">SUMPRODUCT(--($CR$7:$FW$7&gt;=GR$5),--($CR$7:$FW$7&lt;=GR$6),$CR259:$FW259)</f>
        <v>0</v>
      </c>
    </row>
    <row r="260" spans="2:200" x14ac:dyDescent="0.2">
      <c r="B260" s="141"/>
      <c r="C260" s="141"/>
      <c r="D260" s="141"/>
      <c r="E260" s="141"/>
      <c r="F260" s="141"/>
      <c r="G260" s="141"/>
      <c r="H260" s="142"/>
      <c r="I260" s="126"/>
      <c r="J260" s="143"/>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3"/>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145"/>
      <c r="EH260" s="145"/>
      <c r="EI260" s="145"/>
      <c r="EJ260" s="145"/>
      <c r="EK260" s="145"/>
      <c r="EL260" s="145"/>
      <c r="EM260" s="145"/>
      <c r="EN260" s="145"/>
      <c r="EO260" s="145"/>
      <c r="EP260" s="145"/>
      <c r="EQ260" s="145"/>
      <c r="ER260" s="145"/>
      <c r="ES260" s="145"/>
      <c r="ET260" s="145"/>
      <c r="EU260" s="145"/>
      <c r="EV260" s="145"/>
      <c r="EW260" s="145"/>
      <c r="EX260" s="145"/>
      <c r="EY260" s="145"/>
      <c r="EZ260" s="145"/>
      <c r="FA260" s="145"/>
      <c r="FB260" s="145"/>
      <c r="FC260" s="145"/>
      <c r="FD260" s="145"/>
      <c r="FE260" s="145"/>
      <c r="FF260" s="145"/>
      <c r="FG260" s="145"/>
      <c r="FH260" s="145"/>
      <c r="FI260" s="145"/>
      <c r="FJ260" s="145"/>
      <c r="FK260" s="145"/>
      <c r="FL260" s="145"/>
      <c r="FM260" s="145"/>
      <c r="FN260" s="145"/>
      <c r="FO260" s="145"/>
      <c r="FP260" s="145"/>
      <c r="FQ260" s="145"/>
      <c r="FR260" s="145"/>
      <c r="FS260" s="145"/>
      <c r="FT260" s="145"/>
      <c r="FU260" s="145"/>
      <c r="FV260" s="145"/>
      <c r="FW260" s="145"/>
      <c r="FX260" s="143"/>
      <c r="FY260" s="146">
        <f>_xlfn.XLOOKUP($E260,'Key assumptions'!$B$112:$B$120,'Key assumptions'!$C$112:$C$120,0)</f>
        <v>0</v>
      </c>
      <c r="FZ260" s="146" cm="1">
        <f t="array" ref="FZ260">IF($FY260=0,0,_xlfn.IFS($FY260='Key assumptions'!$C$120,_xlfn.XLOOKUP(LEFT(FZ$7,6),Inflation_Year,Inflation_NominaltoReal),TRUE,_xlfn.XLOOKUP($FY260,Inflation_Year,NominaltoReal)))</f>
        <v>0</v>
      </c>
      <c r="GA260" s="146" cm="1">
        <f t="array" ref="GA260">IF($FY260=0,0,_xlfn.IFS($FY260='Key assumptions'!$C$120,_xlfn.XLOOKUP(LEFT(GA$7,6),Inflation_Year,Inflation_NominaltoReal),TRUE,_xlfn.XLOOKUP($FY260,Inflation_Year,NominaltoReal)))</f>
        <v>0</v>
      </c>
      <c r="GB260" s="146" cm="1">
        <f t="array" ref="GB260">IF($FY260=0,0,_xlfn.IFS($FY260='Key assumptions'!$C$120,_xlfn.XLOOKUP(LEFT(GB$7,6),Inflation_Year,Inflation_NominaltoReal),TRUE,_xlfn.XLOOKUP($FY260,Inflation_Year,NominaltoReal)))</f>
        <v>0</v>
      </c>
      <c r="GC260" s="146" cm="1">
        <f t="array" ref="GC260">IF($FY260=0,0,_xlfn.IFS($FY260='Key assumptions'!$C$120,_xlfn.XLOOKUP(LEFT(GC$7,6),Inflation_Year,Inflation_NominaltoReal),TRUE,_xlfn.XLOOKUP($FY260,Inflation_Year,NominaltoReal)))</f>
        <v>0</v>
      </c>
      <c r="GD260" s="146" cm="1">
        <f t="array" ref="GD260">IF($FY260=0,0,_xlfn.IFS($FY260='Key assumptions'!$C$120,_xlfn.XLOOKUP(LEFT(GD$7,6),Inflation_Year,Inflation_NominaltoReal),TRUE,_xlfn.XLOOKUP($FY260,Inflation_Year,NominaltoReal)))</f>
        <v>0</v>
      </c>
      <c r="GE260" s="146" cm="1">
        <f t="array" ref="GE260">IF($FY260=0,0,_xlfn.IFS($FY260='Key assumptions'!$C$120,_xlfn.XLOOKUP(LEFT(GE$7,6),Inflation_Year,Inflation_NominaltoReal),TRUE,_xlfn.XLOOKUP($FY260,Inflation_Year,NominaltoReal)))</f>
        <v>0</v>
      </c>
      <c r="GF260" s="146" cm="1">
        <f t="array" ref="GF260">IF($FY260=0,0,_xlfn.IFS($FY260='Key assumptions'!$C$120,_xlfn.XLOOKUP(LEFT(GF$7,6),Inflation_Year,Inflation_NominaltoReal),TRUE,_xlfn.XLOOKUP($FY260,Inflation_Year,NominaltoReal)))</f>
        <v>0</v>
      </c>
      <c r="GG260" s="143"/>
      <c r="GH260" s="145" cm="1">
        <f t="array" ref="GH260">SUMPRODUCT(--($CR$7:$FW$7&gt;=GH$5),--($CR$7:$FW$7&lt;=GH$6),$CR260:$FW260)*FZ260</f>
        <v>0</v>
      </c>
      <c r="GI260" s="145" cm="1">
        <f t="array" ref="GI260">SUMPRODUCT(--($CR$7:$FW$7&gt;=GI$5),--($CR$7:$FW$7&lt;=GI$6),$CR260:$FW260)*GA260</f>
        <v>0</v>
      </c>
      <c r="GJ260" s="145" cm="1">
        <f t="array" ref="GJ260">SUMPRODUCT(--($CR$7:$FW$7&gt;=GJ$5),--($CR$7:$FW$7&lt;=GJ$6),$CR260:$FW260)*GB260</f>
        <v>0</v>
      </c>
      <c r="GK260" s="145" cm="1">
        <f t="array" ref="GK260">SUMPRODUCT(--($CR$7:$FW$7&gt;=GK$5),--($CR$7:$FW$7&lt;=GK$6),$CR260:$FW260)*GC260</f>
        <v>0</v>
      </c>
      <c r="GL260" s="145" cm="1">
        <f t="array" ref="GL260">SUMPRODUCT(--($CR$7:$FW$7&gt;=GL$5),--($CR$7:$FW$7&lt;=GL$6),$CR260:$FW260)*GD260</f>
        <v>0</v>
      </c>
      <c r="GM260" s="145" cm="1">
        <f t="array" ref="GM260">SUMPRODUCT(--($CR$7:$FW$7&gt;=GM$5),--($CR$7:$FW$7&lt;=GM$6),$CR260:$FW260)*GE260</f>
        <v>0</v>
      </c>
      <c r="GN260" s="145" cm="1">
        <f t="array" ref="GN260">SUMPRODUCT(--($CR$7:$FW$7&gt;=GN$5),--($CR$7:$FW$7&lt;=GN$6),$CR260:$FW260)*GF260</f>
        <v>0</v>
      </c>
      <c r="GO260" s="145">
        <f t="shared" si="3"/>
        <v>0</v>
      </c>
      <c r="GP260" s="87"/>
      <c r="GR260" s="145" cm="1">
        <f t="array" ref="GR260">SUMPRODUCT(--($CR$7:$FW$7&gt;=GR$5),--($CR$7:$FW$7&lt;=GR$6),$CR260:$FW260)</f>
        <v>0</v>
      </c>
    </row>
    <row r="261" spans="2:200" x14ac:dyDescent="0.2">
      <c r="B261" s="141"/>
      <c r="C261" s="141"/>
      <c r="D261" s="141"/>
      <c r="E261" s="141"/>
      <c r="F261" s="141"/>
      <c r="G261" s="141"/>
      <c r="H261" s="142"/>
      <c r="I261" s="126"/>
      <c r="J261" s="143"/>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3"/>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5"/>
      <c r="EU261" s="145"/>
      <c r="EV261" s="145"/>
      <c r="EW261" s="145"/>
      <c r="EX261" s="145"/>
      <c r="EY261" s="145"/>
      <c r="EZ261" s="145"/>
      <c r="FA261" s="145"/>
      <c r="FB261" s="145"/>
      <c r="FC261" s="145"/>
      <c r="FD261" s="145"/>
      <c r="FE261" s="145"/>
      <c r="FF261" s="145"/>
      <c r="FG261" s="145"/>
      <c r="FH261" s="145"/>
      <c r="FI261" s="145"/>
      <c r="FJ261" s="145"/>
      <c r="FK261" s="145"/>
      <c r="FL261" s="145"/>
      <c r="FM261" s="145"/>
      <c r="FN261" s="145"/>
      <c r="FO261" s="145"/>
      <c r="FP261" s="145"/>
      <c r="FQ261" s="145"/>
      <c r="FR261" s="145"/>
      <c r="FS261" s="145"/>
      <c r="FT261" s="145"/>
      <c r="FU261" s="145"/>
      <c r="FV261" s="145"/>
      <c r="FW261" s="145"/>
      <c r="FX261" s="143"/>
      <c r="FY261" s="146">
        <f>_xlfn.XLOOKUP($E261,'Key assumptions'!$B$112:$B$120,'Key assumptions'!$C$112:$C$120,0)</f>
        <v>0</v>
      </c>
      <c r="FZ261" s="146" cm="1">
        <f t="array" ref="FZ261">IF($FY261=0,0,_xlfn.IFS($FY261='Key assumptions'!$C$120,_xlfn.XLOOKUP(LEFT(FZ$7,6),Inflation_Year,Inflation_NominaltoReal),TRUE,_xlfn.XLOOKUP($FY261,Inflation_Year,NominaltoReal)))</f>
        <v>0</v>
      </c>
      <c r="GA261" s="146" cm="1">
        <f t="array" ref="GA261">IF($FY261=0,0,_xlfn.IFS($FY261='Key assumptions'!$C$120,_xlfn.XLOOKUP(LEFT(GA$7,6),Inflation_Year,Inflation_NominaltoReal),TRUE,_xlfn.XLOOKUP($FY261,Inflation_Year,NominaltoReal)))</f>
        <v>0</v>
      </c>
      <c r="GB261" s="146" cm="1">
        <f t="array" ref="GB261">IF($FY261=0,0,_xlfn.IFS($FY261='Key assumptions'!$C$120,_xlfn.XLOOKUP(LEFT(GB$7,6),Inflation_Year,Inflation_NominaltoReal),TRUE,_xlfn.XLOOKUP($FY261,Inflation_Year,NominaltoReal)))</f>
        <v>0</v>
      </c>
      <c r="GC261" s="146" cm="1">
        <f t="array" ref="GC261">IF($FY261=0,0,_xlfn.IFS($FY261='Key assumptions'!$C$120,_xlfn.XLOOKUP(LEFT(GC$7,6),Inflation_Year,Inflation_NominaltoReal),TRUE,_xlfn.XLOOKUP($FY261,Inflation_Year,NominaltoReal)))</f>
        <v>0</v>
      </c>
      <c r="GD261" s="146" cm="1">
        <f t="array" ref="GD261">IF($FY261=0,0,_xlfn.IFS($FY261='Key assumptions'!$C$120,_xlfn.XLOOKUP(LEFT(GD$7,6),Inflation_Year,Inflation_NominaltoReal),TRUE,_xlfn.XLOOKUP($FY261,Inflation_Year,NominaltoReal)))</f>
        <v>0</v>
      </c>
      <c r="GE261" s="146" cm="1">
        <f t="array" ref="GE261">IF($FY261=0,0,_xlfn.IFS($FY261='Key assumptions'!$C$120,_xlfn.XLOOKUP(LEFT(GE$7,6),Inflation_Year,Inflation_NominaltoReal),TRUE,_xlfn.XLOOKUP($FY261,Inflation_Year,NominaltoReal)))</f>
        <v>0</v>
      </c>
      <c r="GF261" s="146" cm="1">
        <f t="array" ref="GF261">IF($FY261=0,0,_xlfn.IFS($FY261='Key assumptions'!$C$120,_xlfn.XLOOKUP(LEFT(GF$7,6),Inflation_Year,Inflation_NominaltoReal),TRUE,_xlfn.XLOOKUP($FY261,Inflation_Year,NominaltoReal)))</f>
        <v>0</v>
      </c>
      <c r="GG261" s="143"/>
      <c r="GH261" s="145" cm="1">
        <f t="array" ref="GH261">SUMPRODUCT(--($CR$7:$FW$7&gt;=GH$5),--($CR$7:$FW$7&lt;=GH$6),$CR261:$FW261)*FZ261</f>
        <v>0</v>
      </c>
      <c r="GI261" s="145" cm="1">
        <f t="array" ref="GI261">SUMPRODUCT(--($CR$7:$FW$7&gt;=GI$5),--($CR$7:$FW$7&lt;=GI$6),$CR261:$FW261)*GA261</f>
        <v>0</v>
      </c>
      <c r="GJ261" s="145" cm="1">
        <f t="array" ref="GJ261">SUMPRODUCT(--($CR$7:$FW$7&gt;=GJ$5),--($CR$7:$FW$7&lt;=GJ$6),$CR261:$FW261)*GB261</f>
        <v>0</v>
      </c>
      <c r="GK261" s="145" cm="1">
        <f t="array" ref="GK261">SUMPRODUCT(--($CR$7:$FW$7&gt;=GK$5),--($CR$7:$FW$7&lt;=GK$6),$CR261:$FW261)*GC261</f>
        <v>0</v>
      </c>
      <c r="GL261" s="145" cm="1">
        <f t="array" ref="GL261">SUMPRODUCT(--($CR$7:$FW$7&gt;=GL$5),--($CR$7:$FW$7&lt;=GL$6),$CR261:$FW261)*GD261</f>
        <v>0</v>
      </c>
      <c r="GM261" s="145" cm="1">
        <f t="array" ref="GM261">SUMPRODUCT(--($CR$7:$FW$7&gt;=GM$5),--($CR$7:$FW$7&lt;=GM$6),$CR261:$FW261)*GE261</f>
        <v>0</v>
      </c>
      <c r="GN261" s="145" cm="1">
        <f t="array" ref="GN261">SUMPRODUCT(--($CR$7:$FW$7&gt;=GN$5),--($CR$7:$FW$7&lt;=GN$6),$CR261:$FW261)*GF261</f>
        <v>0</v>
      </c>
      <c r="GO261" s="145">
        <f t="shared" si="3"/>
        <v>0</v>
      </c>
      <c r="GP261" s="87"/>
      <c r="GR261" s="145" cm="1">
        <f t="array" ref="GR261">SUMPRODUCT(--($CR$7:$FW$7&gt;=GR$5),--($CR$7:$FW$7&lt;=GR$6),$CR261:$FW261)</f>
        <v>0</v>
      </c>
    </row>
    <row r="262" spans="2:200" x14ac:dyDescent="0.2">
      <c r="B262" s="141"/>
      <c r="C262" s="141"/>
      <c r="D262" s="141"/>
      <c r="E262" s="141"/>
      <c r="F262" s="141"/>
      <c r="G262" s="141"/>
      <c r="H262" s="142"/>
      <c r="I262" s="126"/>
      <c r="J262" s="143"/>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3"/>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c r="EE262" s="145"/>
      <c r="EF262" s="145"/>
      <c r="EG262" s="145"/>
      <c r="EH262" s="145"/>
      <c r="EI262" s="145"/>
      <c r="EJ262" s="145"/>
      <c r="EK262" s="145"/>
      <c r="EL262" s="145"/>
      <c r="EM262" s="145"/>
      <c r="EN262" s="145"/>
      <c r="EO262" s="145"/>
      <c r="EP262" s="145"/>
      <c r="EQ262" s="145"/>
      <c r="ER262" s="145"/>
      <c r="ES262" s="145"/>
      <c r="ET262" s="145"/>
      <c r="EU262" s="145"/>
      <c r="EV262" s="145"/>
      <c r="EW262" s="145"/>
      <c r="EX262" s="145"/>
      <c r="EY262" s="145"/>
      <c r="EZ262" s="145"/>
      <c r="FA262" s="145"/>
      <c r="FB262" s="145"/>
      <c r="FC262" s="145"/>
      <c r="FD262" s="145"/>
      <c r="FE262" s="145"/>
      <c r="FF262" s="145"/>
      <c r="FG262" s="145"/>
      <c r="FH262" s="145"/>
      <c r="FI262" s="145"/>
      <c r="FJ262" s="145"/>
      <c r="FK262" s="145"/>
      <c r="FL262" s="145"/>
      <c r="FM262" s="145"/>
      <c r="FN262" s="145"/>
      <c r="FO262" s="145"/>
      <c r="FP262" s="145"/>
      <c r="FQ262" s="145"/>
      <c r="FR262" s="145"/>
      <c r="FS262" s="145"/>
      <c r="FT262" s="145"/>
      <c r="FU262" s="145"/>
      <c r="FV262" s="145"/>
      <c r="FW262" s="145"/>
      <c r="FX262" s="143"/>
      <c r="FY262" s="146">
        <f>_xlfn.XLOOKUP($E262,'Key assumptions'!$B$112:$B$120,'Key assumptions'!$C$112:$C$120,0)</f>
        <v>0</v>
      </c>
      <c r="FZ262" s="146" cm="1">
        <f t="array" ref="FZ262">IF($FY262=0,0,_xlfn.IFS($FY262='Key assumptions'!$C$120,_xlfn.XLOOKUP(LEFT(FZ$7,6),Inflation_Year,Inflation_NominaltoReal),TRUE,_xlfn.XLOOKUP($FY262,Inflation_Year,NominaltoReal)))</f>
        <v>0</v>
      </c>
      <c r="GA262" s="146" cm="1">
        <f t="array" ref="GA262">IF($FY262=0,0,_xlfn.IFS($FY262='Key assumptions'!$C$120,_xlfn.XLOOKUP(LEFT(GA$7,6),Inflation_Year,Inflation_NominaltoReal),TRUE,_xlfn.XLOOKUP($FY262,Inflation_Year,NominaltoReal)))</f>
        <v>0</v>
      </c>
      <c r="GB262" s="146" cm="1">
        <f t="array" ref="GB262">IF($FY262=0,0,_xlfn.IFS($FY262='Key assumptions'!$C$120,_xlfn.XLOOKUP(LEFT(GB$7,6),Inflation_Year,Inflation_NominaltoReal),TRUE,_xlfn.XLOOKUP($FY262,Inflation_Year,NominaltoReal)))</f>
        <v>0</v>
      </c>
      <c r="GC262" s="146" cm="1">
        <f t="array" ref="GC262">IF($FY262=0,0,_xlfn.IFS($FY262='Key assumptions'!$C$120,_xlfn.XLOOKUP(LEFT(GC$7,6),Inflation_Year,Inflation_NominaltoReal),TRUE,_xlfn.XLOOKUP($FY262,Inflation_Year,NominaltoReal)))</f>
        <v>0</v>
      </c>
      <c r="GD262" s="146" cm="1">
        <f t="array" ref="GD262">IF($FY262=0,0,_xlfn.IFS($FY262='Key assumptions'!$C$120,_xlfn.XLOOKUP(LEFT(GD$7,6),Inflation_Year,Inflation_NominaltoReal),TRUE,_xlfn.XLOOKUP($FY262,Inflation_Year,NominaltoReal)))</f>
        <v>0</v>
      </c>
      <c r="GE262" s="146" cm="1">
        <f t="array" ref="GE262">IF($FY262=0,0,_xlfn.IFS($FY262='Key assumptions'!$C$120,_xlfn.XLOOKUP(LEFT(GE$7,6),Inflation_Year,Inflation_NominaltoReal),TRUE,_xlfn.XLOOKUP($FY262,Inflation_Year,NominaltoReal)))</f>
        <v>0</v>
      </c>
      <c r="GF262" s="146" cm="1">
        <f t="array" ref="GF262">IF($FY262=0,0,_xlfn.IFS($FY262='Key assumptions'!$C$120,_xlfn.XLOOKUP(LEFT(GF$7,6),Inflation_Year,Inflation_NominaltoReal),TRUE,_xlfn.XLOOKUP($FY262,Inflation_Year,NominaltoReal)))</f>
        <v>0</v>
      </c>
      <c r="GG262" s="143"/>
      <c r="GH262" s="145" cm="1">
        <f t="array" ref="GH262">SUMPRODUCT(--($CR$7:$FW$7&gt;=GH$5),--($CR$7:$FW$7&lt;=GH$6),$CR262:$FW262)*FZ262</f>
        <v>0</v>
      </c>
      <c r="GI262" s="145" cm="1">
        <f t="array" ref="GI262">SUMPRODUCT(--($CR$7:$FW$7&gt;=GI$5),--($CR$7:$FW$7&lt;=GI$6),$CR262:$FW262)*GA262</f>
        <v>0</v>
      </c>
      <c r="GJ262" s="145" cm="1">
        <f t="array" ref="GJ262">SUMPRODUCT(--($CR$7:$FW$7&gt;=GJ$5),--($CR$7:$FW$7&lt;=GJ$6),$CR262:$FW262)*GB262</f>
        <v>0</v>
      </c>
      <c r="GK262" s="145" cm="1">
        <f t="array" ref="GK262">SUMPRODUCT(--($CR$7:$FW$7&gt;=GK$5),--($CR$7:$FW$7&lt;=GK$6),$CR262:$FW262)*GC262</f>
        <v>0</v>
      </c>
      <c r="GL262" s="145" cm="1">
        <f t="array" ref="GL262">SUMPRODUCT(--($CR$7:$FW$7&gt;=GL$5),--($CR$7:$FW$7&lt;=GL$6),$CR262:$FW262)*GD262</f>
        <v>0</v>
      </c>
      <c r="GM262" s="145" cm="1">
        <f t="array" ref="GM262">SUMPRODUCT(--($CR$7:$FW$7&gt;=GM$5),--($CR$7:$FW$7&lt;=GM$6),$CR262:$FW262)*GE262</f>
        <v>0</v>
      </c>
      <c r="GN262" s="145" cm="1">
        <f t="array" ref="GN262">SUMPRODUCT(--($CR$7:$FW$7&gt;=GN$5),--($CR$7:$FW$7&lt;=GN$6),$CR262:$FW262)*GF262</f>
        <v>0</v>
      </c>
      <c r="GO262" s="145">
        <f t="shared" si="3"/>
        <v>0</v>
      </c>
      <c r="GP262" s="87"/>
      <c r="GR262" s="145" cm="1">
        <f t="array" ref="GR262">SUMPRODUCT(--($CR$7:$FW$7&gt;=GR$5),--($CR$7:$FW$7&lt;=GR$6),$CR262:$FW262)</f>
        <v>0</v>
      </c>
    </row>
    <row r="263" spans="2:200" x14ac:dyDescent="0.2">
      <c r="B263" s="141"/>
      <c r="C263" s="141"/>
      <c r="D263" s="141"/>
      <c r="E263" s="141"/>
      <c r="F263" s="141"/>
      <c r="G263" s="141"/>
      <c r="H263" s="142"/>
      <c r="I263" s="126"/>
      <c r="J263" s="143"/>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3"/>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c r="EE263" s="145"/>
      <c r="EF263" s="145"/>
      <c r="EG263" s="145"/>
      <c r="EH263" s="145"/>
      <c r="EI263" s="145"/>
      <c r="EJ263" s="145"/>
      <c r="EK263" s="145"/>
      <c r="EL263" s="145"/>
      <c r="EM263" s="145"/>
      <c r="EN263" s="145"/>
      <c r="EO263" s="145"/>
      <c r="EP263" s="145"/>
      <c r="EQ263" s="145"/>
      <c r="ER263" s="145"/>
      <c r="ES263" s="145"/>
      <c r="ET263" s="145"/>
      <c r="EU263" s="145"/>
      <c r="EV263" s="145"/>
      <c r="EW263" s="145"/>
      <c r="EX263" s="145"/>
      <c r="EY263" s="145"/>
      <c r="EZ263" s="145"/>
      <c r="FA263" s="145"/>
      <c r="FB263" s="145"/>
      <c r="FC263" s="145"/>
      <c r="FD263" s="145"/>
      <c r="FE263" s="145"/>
      <c r="FF263" s="145"/>
      <c r="FG263" s="145"/>
      <c r="FH263" s="145"/>
      <c r="FI263" s="145"/>
      <c r="FJ263" s="145"/>
      <c r="FK263" s="145"/>
      <c r="FL263" s="145"/>
      <c r="FM263" s="145"/>
      <c r="FN263" s="145"/>
      <c r="FO263" s="145"/>
      <c r="FP263" s="145"/>
      <c r="FQ263" s="145"/>
      <c r="FR263" s="145"/>
      <c r="FS263" s="145"/>
      <c r="FT263" s="145"/>
      <c r="FU263" s="145"/>
      <c r="FV263" s="145"/>
      <c r="FW263" s="145"/>
      <c r="FX263" s="143"/>
      <c r="FY263" s="146">
        <f>_xlfn.XLOOKUP($E263,'Key assumptions'!$B$112:$B$120,'Key assumptions'!$C$112:$C$120,0)</f>
        <v>0</v>
      </c>
      <c r="FZ263" s="146" cm="1">
        <f t="array" ref="FZ263">IF($FY263=0,0,_xlfn.IFS($FY263='Key assumptions'!$C$120,_xlfn.XLOOKUP(LEFT(FZ$7,6),Inflation_Year,Inflation_NominaltoReal),TRUE,_xlfn.XLOOKUP($FY263,Inflation_Year,NominaltoReal)))</f>
        <v>0</v>
      </c>
      <c r="GA263" s="146" cm="1">
        <f t="array" ref="GA263">IF($FY263=0,0,_xlfn.IFS($FY263='Key assumptions'!$C$120,_xlfn.XLOOKUP(LEFT(GA$7,6),Inflation_Year,Inflation_NominaltoReal),TRUE,_xlfn.XLOOKUP($FY263,Inflation_Year,NominaltoReal)))</f>
        <v>0</v>
      </c>
      <c r="GB263" s="146" cm="1">
        <f t="array" ref="GB263">IF($FY263=0,0,_xlfn.IFS($FY263='Key assumptions'!$C$120,_xlfn.XLOOKUP(LEFT(GB$7,6),Inflation_Year,Inflation_NominaltoReal),TRUE,_xlfn.XLOOKUP($FY263,Inflation_Year,NominaltoReal)))</f>
        <v>0</v>
      </c>
      <c r="GC263" s="146" cm="1">
        <f t="array" ref="GC263">IF($FY263=0,0,_xlfn.IFS($FY263='Key assumptions'!$C$120,_xlfn.XLOOKUP(LEFT(GC$7,6),Inflation_Year,Inflation_NominaltoReal),TRUE,_xlfn.XLOOKUP($FY263,Inflation_Year,NominaltoReal)))</f>
        <v>0</v>
      </c>
      <c r="GD263" s="146" cm="1">
        <f t="array" ref="GD263">IF($FY263=0,0,_xlfn.IFS($FY263='Key assumptions'!$C$120,_xlfn.XLOOKUP(LEFT(GD$7,6),Inflation_Year,Inflation_NominaltoReal),TRUE,_xlfn.XLOOKUP($FY263,Inflation_Year,NominaltoReal)))</f>
        <v>0</v>
      </c>
      <c r="GE263" s="146" cm="1">
        <f t="array" ref="GE263">IF($FY263=0,0,_xlfn.IFS($FY263='Key assumptions'!$C$120,_xlfn.XLOOKUP(LEFT(GE$7,6),Inflation_Year,Inflation_NominaltoReal),TRUE,_xlfn.XLOOKUP($FY263,Inflation_Year,NominaltoReal)))</f>
        <v>0</v>
      </c>
      <c r="GF263" s="146" cm="1">
        <f t="array" ref="GF263">IF($FY263=0,0,_xlfn.IFS($FY263='Key assumptions'!$C$120,_xlfn.XLOOKUP(LEFT(GF$7,6),Inflation_Year,Inflation_NominaltoReal),TRUE,_xlfn.XLOOKUP($FY263,Inflation_Year,NominaltoReal)))</f>
        <v>0</v>
      </c>
      <c r="GG263" s="143"/>
      <c r="GH263" s="145" cm="1">
        <f t="array" ref="GH263">SUMPRODUCT(--($CR$7:$FW$7&gt;=GH$5),--($CR$7:$FW$7&lt;=GH$6),$CR263:$FW263)*FZ263</f>
        <v>0</v>
      </c>
      <c r="GI263" s="145" cm="1">
        <f t="array" ref="GI263">SUMPRODUCT(--($CR$7:$FW$7&gt;=GI$5),--($CR$7:$FW$7&lt;=GI$6),$CR263:$FW263)*GA263</f>
        <v>0</v>
      </c>
      <c r="GJ263" s="145" cm="1">
        <f t="array" ref="GJ263">SUMPRODUCT(--($CR$7:$FW$7&gt;=GJ$5),--($CR$7:$FW$7&lt;=GJ$6),$CR263:$FW263)*GB263</f>
        <v>0</v>
      </c>
      <c r="GK263" s="145" cm="1">
        <f t="array" ref="GK263">SUMPRODUCT(--($CR$7:$FW$7&gt;=GK$5),--($CR$7:$FW$7&lt;=GK$6),$CR263:$FW263)*GC263</f>
        <v>0</v>
      </c>
      <c r="GL263" s="145" cm="1">
        <f t="array" ref="GL263">SUMPRODUCT(--($CR$7:$FW$7&gt;=GL$5),--($CR$7:$FW$7&lt;=GL$6),$CR263:$FW263)*GD263</f>
        <v>0</v>
      </c>
      <c r="GM263" s="145" cm="1">
        <f t="array" ref="GM263">SUMPRODUCT(--($CR$7:$FW$7&gt;=GM$5),--($CR$7:$FW$7&lt;=GM$6),$CR263:$FW263)*GE263</f>
        <v>0</v>
      </c>
      <c r="GN263" s="145" cm="1">
        <f t="array" ref="GN263">SUMPRODUCT(--($CR$7:$FW$7&gt;=GN$5),--($CR$7:$FW$7&lt;=GN$6),$CR263:$FW263)*GF263</f>
        <v>0</v>
      </c>
      <c r="GO263" s="145">
        <f t="shared" si="3"/>
        <v>0</v>
      </c>
      <c r="GP263" s="87"/>
      <c r="GR263" s="145" cm="1">
        <f t="array" ref="GR263">SUMPRODUCT(--($CR$7:$FW$7&gt;=GR$5),--($CR$7:$FW$7&lt;=GR$6),$CR263:$FW263)</f>
        <v>0</v>
      </c>
    </row>
    <row r="264" spans="2:200" x14ac:dyDescent="0.2">
      <c r="B264" s="141"/>
      <c r="C264" s="141"/>
      <c r="D264" s="141"/>
      <c r="E264" s="141"/>
      <c r="F264" s="141"/>
      <c r="G264" s="141"/>
      <c r="H264" s="142"/>
      <c r="I264" s="126"/>
      <c r="J264" s="143"/>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3"/>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c r="EE264" s="145"/>
      <c r="EF264" s="145"/>
      <c r="EG264" s="145"/>
      <c r="EH264" s="145"/>
      <c r="EI264" s="145"/>
      <c r="EJ264" s="145"/>
      <c r="EK264" s="145"/>
      <c r="EL264" s="145"/>
      <c r="EM264" s="145"/>
      <c r="EN264" s="145"/>
      <c r="EO264" s="145"/>
      <c r="EP264" s="145"/>
      <c r="EQ264" s="145"/>
      <c r="ER264" s="145"/>
      <c r="ES264" s="145"/>
      <c r="ET264" s="145"/>
      <c r="EU264" s="145"/>
      <c r="EV264" s="145"/>
      <c r="EW264" s="145"/>
      <c r="EX264" s="145"/>
      <c r="EY264" s="145"/>
      <c r="EZ264" s="145"/>
      <c r="FA264" s="145"/>
      <c r="FB264" s="145"/>
      <c r="FC264" s="145"/>
      <c r="FD264" s="145"/>
      <c r="FE264" s="145"/>
      <c r="FF264" s="145"/>
      <c r="FG264" s="145"/>
      <c r="FH264" s="145"/>
      <c r="FI264" s="145"/>
      <c r="FJ264" s="145"/>
      <c r="FK264" s="145"/>
      <c r="FL264" s="145"/>
      <c r="FM264" s="145"/>
      <c r="FN264" s="145"/>
      <c r="FO264" s="145"/>
      <c r="FP264" s="145"/>
      <c r="FQ264" s="145"/>
      <c r="FR264" s="145"/>
      <c r="FS264" s="145"/>
      <c r="FT264" s="145"/>
      <c r="FU264" s="145"/>
      <c r="FV264" s="145"/>
      <c r="FW264" s="145"/>
      <c r="FX264" s="143"/>
      <c r="FY264" s="146">
        <f>_xlfn.XLOOKUP($E264,'Key assumptions'!$B$112:$B$120,'Key assumptions'!$C$112:$C$120,0)</f>
        <v>0</v>
      </c>
      <c r="FZ264" s="146" cm="1">
        <f t="array" ref="FZ264">IF($FY264=0,0,_xlfn.IFS($FY264='Key assumptions'!$C$120,_xlfn.XLOOKUP(LEFT(FZ$7,6),Inflation_Year,Inflation_NominaltoReal),TRUE,_xlfn.XLOOKUP($FY264,Inflation_Year,NominaltoReal)))</f>
        <v>0</v>
      </c>
      <c r="GA264" s="146" cm="1">
        <f t="array" ref="GA264">IF($FY264=0,0,_xlfn.IFS($FY264='Key assumptions'!$C$120,_xlfn.XLOOKUP(LEFT(GA$7,6),Inflation_Year,Inflation_NominaltoReal),TRUE,_xlfn.XLOOKUP($FY264,Inflation_Year,NominaltoReal)))</f>
        <v>0</v>
      </c>
      <c r="GB264" s="146" cm="1">
        <f t="array" ref="GB264">IF($FY264=0,0,_xlfn.IFS($FY264='Key assumptions'!$C$120,_xlfn.XLOOKUP(LEFT(GB$7,6),Inflation_Year,Inflation_NominaltoReal),TRUE,_xlfn.XLOOKUP($FY264,Inflation_Year,NominaltoReal)))</f>
        <v>0</v>
      </c>
      <c r="GC264" s="146" cm="1">
        <f t="array" ref="GC264">IF($FY264=0,0,_xlfn.IFS($FY264='Key assumptions'!$C$120,_xlfn.XLOOKUP(LEFT(GC$7,6),Inflation_Year,Inflation_NominaltoReal),TRUE,_xlfn.XLOOKUP($FY264,Inflation_Year,NominaltoReal)))</f>
        <v>0</v>
      </c>
      <c r="GD264" s="146" cm="1">
        <f t="array" ref="GD264">IF($FY264=0,0,_xlfn.IFS($FY264='Key assumptions'!$C$120,_xlfn.XLOOKUP(LEFT(GD$7,6),Inflation_Year,Inflation_NominaltoReal),TRUE,_xlfn.XLOOKUP($FY264,Inflation_Year,NominaltoReal)))</f>
        <v>0</v>
      </c>
      <c r="GE264" s="146" cm="1">
        <f t="array" ref="GE264">IF($FY264=0,0,_xlfn.IFS($FY264='Key assumptions'!$C$120,_xlfn.XLOOKUP(LEFT(GE$7,6),Inflation_Year,Inflation_NominaltoReal),TRUE,_xlfn.XLOOKUP($FY264,Inflation_Year,NominaltoReal)))</f>
        <v>0</v>
      </c>
      <c r="GF264" s="146" cm="1">
        <f t="array" ref="GF264">IF($FY264=0,0,_xlfn.IFS($FY264='Key assumptions'!$C$120,_xlfn.XLOOKUP(LEFT(GF$7,6),Inflation_Year,Inflation_NominaltoReal),TRUE,_xlfn.XLOOKUP($FY264,Inflation_Year,NominaltoReal)))</f>
        <v>0</v>
      </c>
      <c r="GG264" s="143"/>
      <c r="GH264" s="145" cm="1">
        <f t="array" ref="GH264">SUMPRODUCT(--($CR$7:$FW$7&gt;=GH$5),--($CR$7:$FW$7&lt;=GH$6),$CR264:$FW264)*FZ264</f>
        <v>0</v>
      </c>
      <c r="GI264" s="145" cm="1">
        <f t="array" ref="GI264">SUMPRODUCT(--($CR$7:$FW$7&gt;=GI$5),--($CR$7:$FW$7&lt;=GI$6),$CR264:$FW264)*GA264</f>
        <v>0</v>
      </c>
      <c r="GJ264" s="145" cm="1">
        <f t="array" ref="GJ264">SUMPRODUCT(--($CR$7:$FW$7&gt;=GJ$5),--($CR$7:$FW$7&lt;=GJ$6),$CR264:$FW264)*GB264</f>
        <v>0</v>
      </c>
      <c r="GK264" s="145" cm="1">
        <f t="array" ref="GK264">SUMPRODUCT(--($CR$7:$FW$7&gt;=GK$5),--($CR$7:$FW$7&lt;=GK$6),$CR264:$FW264)*GC264</f>
        <v>0</v>
      </c>
      <c r="GL264" s="145" cm="1">
        <f t="array" ref="GL264">SUMPRODUCT(--($CR$7:$FW$7&gt;=GL$5),--($CR$7:$FW$7&lt;=GL$6),$CR264:$FW264)*GD264</f>
        <v>0</v>
      </c>
      <c r="GM264" s="145" cm="1">
        <f t="array" ref="GM264">SUMPRODUCT(--($CR$7:$FW$7&gt;=GM$5),--($CR$7:$FW$7&lt;=GM$6),$CR264:$FW264)*GE264</f>
        <v>0</v>
      </c>
      <c r="GN264" s="145" cm="1">
        <f t="array" ref="GN264">SUMPRODUCT(--($CR$7:$FW$7&gt;=GN$5),--($CR$7:$FW$7&lt;=GN$6),$CR264:$FW264)*GF264</f>
        <v>0</v>
      </c>
      <c r="GO264" s="145">
        <f t="shared" ref="GO264:GO288" si="4">SUM(GH264:GN264)</f>
        <v>0</v>
      </c>
      <c r="GP264" s="87"/>
      <c r="GR264" s="145" cm="1">
        <f t="array" ref="GR264">SUMPRODUCT(--($CR$7:$FW$7&gt;=GR$5),--($CR$7:$FW$7&lt;=GR$6),$CR264:$FW264)</f>
        <v>0</v>
      </c>
    </row>
    <row r="265" spans="2:200" x14ac:dyDescent="0.2">
      <c r="B265" s="141"/>
      <c r="C265" s="141"/>
      <c r="D265" s="141"/>
      <c r="E265" s="141"/>
      <c r="F265" s="141"/>
      <c r="G265" s="141"/>
      <c r="H265" s="142"/>
      <c r="I265" s="126"/>
      <c r="J265" s="143"/>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3"/>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145"/>
      <c r="EH265" s="145"/>
      <c r="EI265" s="145"/>
      <c r="EJ265" s="145"/>
      <c r="EK265" s="145"/>
      <c r="EL265" s="145"/>
      <c r="EM265" s="145"/>
      <c r="EN265" s="145"/>
      <c r="EO265" s="145"/>
      <c r="EP265" s="145"/>
      <c r="EQ265" s="145"/>
      <c r="ER265" s="145"/>
      <c r="ES265" s="145"/>
      <c r="ET265" s="145"/>
      <c r="EU265" s="145"/>
      <c r="EV265" s="145"/>
      <c r="EW265" s="145"/>
      <c r="EX265" s="145"/>
      <c r="EY265" s="145"/>
      <c r="EZ265" s="145"/>
      <c r="FA265" s="145"/>
      <c r="FB265" s="145"/>
      <c r="FC265" s="145"/>
      <c r="FD265" s="145"/>
      <c r="FE265" s="145"/>
      <c r="FF265" s="145"/>
      <c r="FG265" s="145"/>
      <c r="FH265" s="145"/>
      <c r="FI265" s="145"/>
      <c r="FJ265" s="145"/>
      <c r="FK265" s="145"/>
      <c r="FL265" s="145"/>
      <c r="FM265" s="145"/>
      <c r="FN265" s="145"/>
      <c r="FO265" s="145"/>
      <c r="FP265" s="145"/>
      <c r="FQ265" s="145"/>
      <c r="FR265" s="145"/>
      <c r="FS265" s="145"/>
      <c r="FT265" s="145"/>
      <c r="FU265" s="145"/>
      <c r="FV265" s="145"/>
      <c r="FW265" s="145"/>
      <c r="FX265" s="143"/>
      <c r="FY265" s="146">
        <f>_xlfn.XLOOKUP($E265,'Key assumptions'!$B$112:$B$120,'Key assumptions'!$C$112:$C$120,0)</f>
        <v>0</v>
      </c>
      <c r="FZ265" s="146" cm="1">
        <f t="array" ref="FZ265">IF($FY265=0,0,_xlfn.IFS($FY265='Key assumptions'!$C$120,_xlfn.XLOOKUP(LEFT(FZ$7,6),Inflation_Year,Inflation_NominaltoReal),TRUE,_xlfn.XLOOKUP($FY265,Inflation_Year,NominaltoReal)))</f>
        <v>0</v>
      </c>
      <c r="GA265" s="146" cm="1">
        <f t="array" ref="GA265">IF($FY265=0,0,_xlfn.IFS($FY265='Key assumptions'!$C$120,_xlfn.XLOOKUP(LEFT(GA$7,6),Inflation_Year,Inflation_NominaltoReal),TRUE,_xlfn.XLOOKUP($FY265,Inflation_Year,NominaltoReal)))</f>
        <v>0</v>
      </c>
      <c r="GB265" s="146" cm="1">
        <f t="array" ref="GB265">IF($FY265=0,0,_xlfn.IFS($FY265='Key assumptions'!$C$120,_xlfn.XLOOKUP(LEFT(GB$7,6),Inflation_Year,Inflation_NominaltoReal),TRUE,_xlfn.XLOOKUP($FY265,Inflation_Year,NominaltoReal)))</f>
        <v>0</v>
      </c>
      <c r="GC265" s="146" cm="1">
        <f t="array" ref="GC265">IF($FY265=0,0,_xlfn.IFS($FY265='Key assumptions'!$C$120,_xlfn.XLOOKUP(LEFT(GC$7,6),Inflation_Year,Inflation_NominaltoReal),TRUE,_xlfn.XLOOKUP($FY265,Inflation_Year,NominaltoReal)))</f>
        <v>0</v>
      </c>
      <c r="GD265" s="146" cm="1">
        <f t="array" ref="GD265">IF($FY265=0,0,_xlfn.IFS($FY265='Key assumptions'!$C$120,_xlfn.XLOOKUP(LEFT(GD$7,6),Inflation_Year,Inflation_NominaltoReal),TRUE,_xlfn.XLOOKUP($FY265,Inflation_Year,NominaltoReal)))</f>
        <v>0</v>
      </c>
      <c r="GE265" s="146" cm="1">
        <f t="array" ref="GE265">IF($FY265=0,0,_xlfn.IFS($FY265='Key assumptions'!$C$120,_xlfn.XLOOKUP(LEFT(GE$7,6),Inflation_Year,Inflation_NominaltoReal),TRUE,_xlfn.XLOOKUP($FY265,Inflation_Year,NominaltoReal)))</f>
        <v>0</v>
      </c>
      <c r="GF265" s="146" cm="1">
        <f t="array" ref="GF265">IF($FY265=0,0,_xlfn.IFS($FY265='Key assumptions'!$C$120,_xlfn.XLOOKUP(LEFT(GF$7,6),Inflation_Year,Inflation_NominaltoReal),TRUE,_xlfn.XLOOKUP($FY265,Inflation_Year,NominaltoReal)))</f>
        <v>0</v>
      </c>
      <c r="GG265" s="143"/>
      <c r="GH265" s="145" cm="1">
        <f t="array" ref="GH265">SUMPRODUCT(--($CR$7:$FW$7&gt;=GH$5),--($CR$7:$FW$7&lt;=GH$6),$CR265:$FW265)*FZ265</f>
        <v>0</v>
      </c>
      <c r="GI265" s="145" cm="1">
        <f t="array" ref="GI265">SUMPRODUCT(--($CR$7:$FW$7&gt;=GI$5),--($CR$7:$FW$7&lt;=GI$6),$CR265:$FW265)*GA265</f>
        <v>0</v>
      </c>
      <c r="GJ265" s="145" cm="1">
        <f t="array" ref="GJ265">SUMPRODUCT(--($CR$7:$FW$7&gt;=GJ$5),--($CR$7:$FW$7&lt;=GJ$6),$CR265:$FW265)*GB265</f>
        <v>0</v>
      </c>
      <c r="GK265" s="145" cm="1">
        <f t="array" ref="GK265">SUMPRODUCT(--($CR$7:$FW$7&gt;=GK$5),--($CR$7:$FW$7&lt;=GK$6),$CR265:$FW265)*GC265</f>
        <v>0</v>
      </c>
      <c r="GL265" s="145" cm="1">
        <f t="array" ref="GL265">SUMPRODUCT(--($CR$7:$FW$7&gt;=GL$5),--($CR$7:$FW$7&lt;=GL$6),$CR265:$FW265)*GD265</f>
        <v>0</v>
      </c>
      <c r="GM265" s="145" cm="1">
        <f t="array" ref="GM265">SUMPRODUCT(--($CR$7:$FW$7&gt;=GM$5),--($CR$7:$FW$7&lt;=GM$6),$CR265:$FW265)*GE265</f>
        <v>0</v>
      </c>
      <c r="GN265" s="145" cm="1">
        <f t="array" ref="GN265">SUMPRODUCT(--($CR$7:$FW$7&gt;=GN$5),--($CR$7:$FW$7&lt;=GN$6),$CR265:$FW265)*GF265</f>
        <v>0</v>
      </c>
      <c r="GO265" s="145">
        <f t="shared" si="4"/>
        <v>0</v>
      </c>
      <c r="GP265" s="87"/>
      <c r="GR265" s="145" cm="1">
        <f t="array" ref="GR265">SUMPRODUCT(--($CR$7:$FW$7&gt;=GR$5),--($CR$7:$FW$7&lt;=GR$6),$CR265:$FW265)</f>
        <v>0</v>
      </c>
    </row>
    <row r="266" spans="2:200" x14ac:dyDescent="0.2">
      <c r="B266" s="141"/>
      <c r="C266" s="141"/>
      <c r="D266" s="141"/>
      <c r="E266" s="141"/>
      <c r="F266" s="141"/>
      <c r="G266" s="141"/>
      <c r="H266" s="142"/>
      <c r="I266" s="126"/>
      <c r="J266" s="143"/>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3"/>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c r="EE266" s="145"/>
      <c r="EF266" s="145"/>
      <c r="EG266" s="145"/>
      <c r="EH266" s="145"/>
      <c r="EI266" s="145"/>
      <c r="EJ266" s="145"/>
      <c r="EK266" s="145"/>
      <c r="EL266" s="145"/>
      <c r="EM266" s="145"/>
      <c r="EN266" s="145"/>
      <c r="EO266" s="145"/>
      <c r="EP266" s="145"/>
      <c r="EQ266" s="145"/>
      <c r="ER266" s="145"/>
      <c r="ES266" s="145"/>
      <c r="ET266" s="145"/>
      <c r="EU266" s="145"/>
      <c r="EV266" s="145"/>
      <c r="EW266" s="145"/>
      <c r="EX266" s="145"/>
      <c r="EY266" s="145"/>
      <c r="EZ266" s="145"/>
      <c r="FA266" s="145"/>
      <c r="FB266" s="145"/>
      <c r="FC266" s="145"/>
      <c r="FD266" s="145"/>
      <c r="FE266" s="145"/>
      <c r="FF266" s="145"/>
      <c r="FG266" s="145"/>
      <c r="FH266" s="145"/>
      <c r="FI266" s="145"/>
      <c r="FJ266" s="145"/>
      <c r="FK266" s="145"/>
      <c r="FL266" s="145"/>
      <c r="FM266" s="145"/>
      <c r="FN266" s="145"/>
      <c r="FO266" s="145"/>
      <c r="FP266" s="145"/>
      <c r="FQ266" s="145"/>
      <c r="FR266" s="145"/>
      <c r="FS266" s="145"/>
      <c r="FT266" s="145"/>
      <c r="FU266" s="145"/>
      <c r="FV266" s="145"/>
      <c r="FW266" s="145"/>
      <c r="FX266" s="143"/>
      <c r="FY266" s="146">
        <f>_xlfn.XLOOKUP($E266,'Key assumptions'!$B$112:$B$120,'Key assumptions'!$C$112:$C$120,0)</f>
        <v>0</v>
      </c>
      <c r="FZ266" s="146" cm="1">
        <f t="array" ref="FZ266">IF($FY266=0,0,_xlfn.IFS($FY266='Key assumptions'!$C$120,_xlfn.XLOOKUP(LEFT(FZ$7,6),Inflation_Year,Inflation_NominaltoReal),TRUE,_xlfn.XLOOKUP($FY266,Inflation_Year,NominaltoReal)))</f>
        <v>0</v>
      </c>
      <c r="GA266" s="146" cm="1">
        <f t="array" ref="GA266">IF($FY266=0,0,_xlfn.IFS($FY266='Key assumptions'!$C$120,_xlfn.XLOOKUP(LEFT(GA$7,6),Inflation_Year,Inflation_NominaltoReal),TRUE,_xlfn.XLOOKUP($FY266,Inflation_Year,NominaltoReal)))</f>
        <v>0</v>
      </c>
      <c r="GB266" s="146" cm="1">
        <f t="array" ref="GB266">IF($FY266=0,0,_xlfn.IFS($FY266='Key assumptions'!$C$120,_xlfn.XLOOKUP(LEFT(GB$7,6),Inflation_Year,Inflation_NominaltoReal),TRUE,_xlfn.XLOOKUP($FY266,Inflation_Year,NominaltoReal)))</f>
        <v>0</v>
      </c>
      <c r="GC266" s="146" cm="1">
        <f t="array" ref="GC266">IF($FY266=0,0,_xlfn.IFS($FY266='Key assumptions'!$C$120,_xlfn.XLOOKUP(LEFT(GC$7,6),Inflation_Year,Inflation_NominaltoReal),TRUE,_xlfn.XLOOKUP($FY266,Inflation_Year,NominaltoReal)))</f>
        <v>0</v>
      </c>
      <c r="GD266" s="146" cm="1">
        <f t="array" ref="GD266">IF($FY266=0,0,_xlfn.IFS($FY266='Key assumptions'!$C$120,_xlfn.XLOOKUP(LEFT(GD$7,6),Inflation_Year,Inflation_NominaltoReal),TRUE,_xlfn.XLOOKUP($FY266,Inflation_Year,NominaltoReal)))</f>
        <v>0</v>
      </c>
      <c r="GE266" s="146" cm="1">
        <f t="array" ref="GE266">IF($FY266=0,0,_xlfn.IFS($FY266='Key assumptions'!$C$120,_xlfn.XLOOKUP(LEFT(GE$7,6),Inflation_Year,Inflation_NominaltoReal),TRUE,_xlfn.XLOOKUP($FY266,Inflation_Year,NominaltoReal)))</f>
        <v>0</v>
      </c>
      <c r="GF266" s="146" cm="1">
        <f t="array" ref="GF266">IF($FY266=0,0,_xlfn.IFS($FY266='Key assumptions'!$C$120,_xlfn.XLOOKUP(LEFT(GF$7,6),Inflation_Year,Inflation_NominaltoReal),TRUE,_xlfn.XLOOKUP($FY266,Inflation_Year,NominaltoReal)))</f>
        <v>0</v>
      </c>
      <c r="GG266" s="143"/>
      <c r="GH266" s="145" cm="1">
        <f t="array" ref="GH266">SUMPRODUCT(--($CR$7:$FW$7&gt;=GH$5),--($CR$7:$FW$7&lt;=GH$6),$CR266:$FW266)*FZ266</f>
        <v>0</v>
      </c>
      <c r="GI266" s="145" cm="1">
        <f t="array" ref="GI266">SUMPRODUCT(--($CR$7:$FW$7&gt;=GI$5),--($CR$7:$FW$7&lt;=GI$6),$CR266:$FW266)*GA266</f>
        <v>0</v>
      </c>
      <c r="GJ266" s="145" cm="1">
        <f t="array" ref="GJ266">SUMPRODUCT(--($CR$7:$FW$7&gt;=GJ$5),--($CR$7:$FW$7&lt;=GJ$6),$CR266:$FW266)*GB266</f>
        <v>0</v>
      </c>
      <c r="GK266" s="145" cm="1">
        <f t="array" ref="GK266">SUMPRODUCT(--($CR$7:$FW$7&gt;=GK$5),--($CR$7:$FW$7&lt;=GK$6),$CR266:$FW266)*GC266</f>
        <v>0</v>
      </c>
      <c r="GL266" s="145" cm="1">
        <f t="array" ref="GL266">SUMPRODUCT(--($CR$7:$FW$7&gt;=GL$5),--($CR$7:$FW$7&lt;=GL$6),$CR266:$FW266)*GD266</f>
        <v>0</v>
      </c>
      <c r="GM266" s="145" cm="1">
        <f t="array" ref="GM266">SUMPRODUCT(--($CR$7:$FW$7&gt;=GM$5),--($CR$7:$FW$7&lt;=GM$6),$CR266:$FW266)*GE266</f>
        <v>0</v>
      </c>
      <c r="GN266" s="145" cm="1">
        <f t="array" ref="GN266">SUMPRODUCT(--($CR$7:$FW$7&gt;=GN$5),--($CR$7:$FW$7&lt;=GN$6),$CR266:$FW266)*GF266</f>
        <v>0</v>
      </c>
      <c r="GO266" s="145">
        <f t="shared" si="4"/>
        <v>0</v>
      </c>
      <c r="GP266" s="87"/>
      <c r="GR266" s="145" cm="1">
        <f t="array" ref="GR266">SUMPRODUCT(--($CR$7:$FW$7&gt;=GR$5),--($CR$7:$FW$7&lt;=GR$6),$CR266:$FW266)</f>
        <v>0</v>
      </c>
    </row>
    <row r="267" spans="2:200" x14ac:dyDescent="0.2">
      <c r="B267" s="141"/>
      <c r="C267" s="141"/>
      <c r="D267" s="141"/>
      <c r="E267" s="141"/>
      <c r="F267" s="141"/>
      <c r="G267" s="141"/>
      <c r="H267" s="142"/>
      <c r="I267" s="126"/>
      <c r="J267" s="143"/>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3"/>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c r="EE267" s="145"/>
      <c r="EF267" s="145"/>
      <c r="EG267" s="145"/>
      <c r="EH267" s="145"/>
      <c r="EI267" s="145"/>
      <c r="EJ267" s="145"/>
      <c r="EK267" s="145"/>
      <c r="EL267" s="145"/>
      <c r="EM267" s="145"/>
      <c r="EN267" s="145"/>
      <c r="EO267" s="145"/>
      <c r="EP267" s="145"/>
      <c r="EQ267" s="145"/>
      <c r="ER267" s="145"/>
      <c r="ES267" s="145"/>
      <c r="ET267" s="145"/>
      <c r="EU267" s="145"/>
      <c r="EV267" s="145"/>
      <c r="EW267" s="145"/>
      <c r="EX267" s="145"/>
      <c r="EY267" s="145"/>
      <c r="EZ267" s="145"/>
      <c r="FA267" s="145"/>
      <c r="FB267" s="145"/>
      <c r="FC267" s="145"/>
      <c r="FD267" s="145"/>
      <c r="FE267" s="145"/>
      <c r="FF267" s="145"/>
      <c r="FG267" s="145"/>
      <c r="FH267" s="145"/>
      <c r="FI267" s="145"/>
      <c r="FJ267" s="145"/>
      <c r="FK267" s="145"/>
      <c r="FL267" s="145"/>
      <c r="FM267" s="145"/>
      <c r="FN267" s="145"/>
      <c r="FO267" s="145"/>
      <c r="FP267" s="145"/>
      <c r="FQ267" s="145"/>
      <c r="FR267" s="145"/>
      <c r="FS267" s="145"/>
      <c r="FT267" s="145"/>
      <c r="FU267" s="145"/>
      <c r="FV267" s="145"/>
      <c r="FW267" s="145"/>
      <c r="FX267" s="143"/>
      <c r="FY267" s="146">
        <f>_xlfn.XLOOKUP($E267,'Key assumptions'!$B$112:$B$120,'Key assumptions'!$C$112:$C$120,0)</f>
        <v>0</v>
      </c>
      <c r="FZ267" s="146" cm="1">
        <f t="array" ref="FZ267">IF($FY267=0,0,_xlfn.IFS($FY267='Key assumptions'!$C$120,_xlfn.XLOOKUP(LEFT(FZ$7,6),Inflation_Year,Inflation_NominaltoReal),TRUE,_xlfn.XLOOKUP($FY267,Inflation_Year,NominaltoReal)))</f>
        <v>0</v>
      </c>
      <c r="GA267" s="146" cm="1">
        <f t="array" ref="GA267">IF($FY267=0,0,_xlfn.IFS($FY267='Key assumptions'!$C$120,_xlfn.XLOOKUP(LEFT(GA$7,6),Inflation_Year,Inflation_NominaltoReal),TRUE,_xlfn.XLOOKUP($FY267,Inflation_Year,NominaltoReal)))</f>
        <v>0</v>
      </c>
      <c r="GB267" s="146" cm="1">
        <f t="array" ref="GB267">IF($FY267=0,0,_xlfn.IFS($FY267='Key assumptions'!$C$120,_xlfn.XLOOKUP(LEFT(GB$7,6),Inflation_Year,Inflation_NominaltoReal),TRUE,_xlfn.XLOOKUP($FY267,Inflation_Year,NominaltoReal)))</f>
        <v>0</v>
      </c>
      <c r="GC267" s="146" cm="1">
        <f t="array" ref="GC267">IF($FY267=0,0,_xlfn.IFS($FY267='Key assumptions'!$C$120,_xlfn.XLOOKUP(LEFT(GC$7,6),Inflation_Year,Inflation_NominaltoReal),TRUE,_xlfn.XLOOKUP($FY267,Inflation_Year,NominaltoReal)))</f>
        <v>0</v>
      </c>
      <c r="GD267" s="146" cm="1">
        <f t="array" ref="GD267">IF($FY267=0,0,_xlfn.IFS($FY267='Key assumptions'!$C$120,_xlfn.XLOOKUP(LEFT(GD$7,6),Inflation_Year,Inflation_NominaltoReal),TRUE,_xlfn.XLOOKUP($FY267,Inflation_Year,NominaltoReal)))</f>
        <v>0</v>
      </c>
      <c r="GE267" s="146" cm="1">
        <f t="array" ref="GE267">IF($FY267=0,0,_xlfn.IFS($FY267='Key assumptions'!$C$120,_xlfn.XLOOKUP(LEFT(GE$7,6),Inflation_Year,Inflation_NominaltoReal),TRUE,_xlfn.XLOOKUP($FY267,Inflation_Year,NominaltoReal)))</f>
        <v>0</v>
      </c>
      <c r="GF267" s="146" cm="1">
        <f t="array" ref="GF267">IF($FY267=0,0,_xlfn.IFS($FY267='Key assumptions'!$C$120,_xlfn.XLOOKUP(LEFT(GF$7,6),Inflation_Year,Inflation_NominaltoReal),TRUE,_xlfn.XLOOKUP($FY267,Inflation_Year,NominaltoReal)))</f>
        <v>0</v>
      </c>
      <c r="GG267" s="143"/>
      <c r="GH267" s="145" cm="1">
        <f t="array" ref="GH267">SUMPRODUCT(--($CR$7:$FW$7&gt;=GH$5),--($CR$7:$FW$7&lt;=GH$6),$CR267:$FW267)*FZ267</f>
        <v>0</v>
      </c>
      <c r="GI267" s="145" cm="1">
        <f t="array" ref="GI267">SUMPRODUCT(--($CR$7:$FW$7&gt;=GI$5),--($CR$7:$FW$7&lt;=GI$6),$CR267:$FW267)*GA267</f>
        <v>0</v>
      </c>
      <c r="GJ267" s="145" cm="1">
        <f t="array" ref="GJ267">SUMPRODUCT(--($CR$7:$FW$7&gt;=GJ$5),--($CR$7:$FW$7&lt;=GJ$6),$CR267:$FW267)*GB267</f>
        <v>0</v>
      </c>
      <c r="GK267" s="145" cm="1">
        <f t="array" ref="GK267">SUMPRODUCT(--($CR$7:$FW$7&gt;=GK$5),--($CR$7:$FW$7&lt;=GK$6),$CR267:$FW267)*GC267</f>
        <v>0</v>
      </c>
      <c r="GL267" s="145" cm="1">
        <f t="array" ref="GL267">SUMPRODUCT(--($CR$7:$FW$7&gt;=GL$5),--($CR$7:$FW$7&lt;=GL$6),$CR267:$FW267)*GD267</f>
        <v>0</v>
      </c>
      <c r="GM267" s="145" cm="1">
        <f t="array" ref="GM267">SUMPRODUCT(--($CR$7:$FW$7&gt;=GM$5),--($CR$7:$FW$7&lt;=GM$6),$CR267:$FW267)*GE267</f>
        <v>0</v>
      </c>
      <c r="GN267" s="145" cm="1">
        <f t="array" ref="GN267">SUMPRODUCT(--($CR$7:$FW$7&gt;=GN$5),--($CR$7:$FW$7&lt;=GN$6),$CR267:$FW267)*GF267</f>
        <v>0</v>
      </c>
      <c r="GO267" s="145">
        <f t="shared" si="4"/>
        <v>0</v>
      </c>
      <c r="GP267" s="87"/>
      <c r="GR267" s="145" cm="1">
        <f t="array" ref="GR267">SUMPRODUCT(--($CR$7:$FW$7&gt;=GR$5),--($CR$7:$FW$7&lt;=GR$6),$CR267:$FW267)</f>
        <v>0</v>
      </c>
    </row>
    <row r="268" spans="2:200" x14ac:dyDescent="0.2">
      <c r="B268" s="141"/>
      <c r="C268" s="141"/>
      <c r="D268" s="141"/>
      <c r="E268" s="141"/>
      <c r="F268" s="141"/>
      <c r="G268" s="141"/>
      <c r="H268" s="142"/>
      <c r="I268" s="126"/>
      <c r="J268" s="143"/>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3"/>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c r="EE268" s="145"/>
      <c r="EF268" s="145"/>
      <c r="EG268" s="145"/>
      <c r="EH268" s="145"/>
      <c r="EI268" s="145"/>
      <c r="EJ268" s="145"/>
      <c r="EK268" s="145"/>
      <c r="EL268" s="145"/>
      <c r="EM268" s="145"/>
      <c r="EN268" s="145"/>
      <c r="EO268" s="145"/>
      <c r="EP268" s="145"/>
      <c r="EQ268" s="145"/>
      <c r="ER268" s="145"/>
      <c r="ES268" s="145"/>
      <c r="ET268" s="145"/>
      <c r="EU268" s="145"/>
      <c r="EV268" s="145"/>
      <c r="EW268" s="145"/>
      <c r="EX268" s="145"/>
      <c r="EY268" s="145"/>
      <c r="EZ268" s="145"/>
      <c r="FA268" s="145"/>
      <c r="FB268" s="145"/>
      <c r="FC268" s="145"/>
      <c r="FD268" s="145"/>
      <c r="FE268" s="145"/>
      <c r="FF268" s="145"/>
      <c r="FG268" s="145"/>
      <c r="FH268" s="145"/>
      <c r="FI268" s="145"/>
      <c r="FJ268" s="145"/>
      <c r="FK268" s="145"/>
      <c r="FL268" s="145"/>
      <c r="FM268" s="145"/>
      <c r="FN268" s="145"/>
      <c r="FO268" s="145"/>
      <c r="FP268" s="145"/>
      <c r="FQ268" s="145"/>
      <c r="FR268" s="145"/>
      <c r="FS268" s="145"/>
      <c r="FT268" s="145"/>
      <c r="FU268" s="145"/>
      <c r="FV268" s="145"/>
      <c r="FW268" s="145"/>
      <c r="FX268" s="143"/>
      <c r="FY268" s="146">
        <f>_xlfn.XLOOKUP($E268,'Key assumptions'!$B$112:$B$120,'Key assumptions'!$C$112:$C$120,0)</f>
        <v>0</v>
      </c>
      <c r="FZ268" s="146" cm="1">
        <f t="array" ref="FZ268">IF($FY268=0,0,_xlfn.IFS($FY268='Key assumptions'!$C$120,_xlfn.XLOOKUP(LEFT(FZ$7,6),Inflation_Year,Inflation_NominaltoReal),TRUE,_xlfn.XLOOKUP($FY268,Inflation_Year,NominaltoReal)))</f>
        <v>0</v>
      </c>
      <c r="GA268" s="146" cm="1">
        <f t="array" ref="GA268">IF($FY268=0,0,_xlfn.IFS($FY268='Key assumptions'!$C$120,_xlfn.XLOOKUP(LEFT(GA$7,6),Inflation_Year,Inflation_NominaltoReal),TRUE,_xlfn.XLOOKUP($FY268,Inflation_Year,NominaltoReal)))</f>
        <v>0</v>
      </c>
      <c r="GB268" s="146" cm="1">
        <f t="array" ref="GB268">IF($FY268=0,0,_xlfn.IFS($FY268='Key assumptions'!$C$120,_xlfn.XLOOKUP(LEFT(GB$7,6),Inflation_Year,Inflation_NominaltoReal),TRUE,_xlfn.XLOOKUP($FY268,Inflation_Year,NominaltoReal)))</f>
        <v>0</v>
      </c>
      <c r="GC268" s="146" cm="1">
        <f t="array" ref="GC268">IF($FY268=0,0,_xlfn.IFS($FY268='Key assumptions'!$C$120,_xlfn.XLOOKUP(LEFT(GC$7,6),Inflation_Year,Inflation_NominaltoReal),TRUE,_xlfn.XLOOKUP($FY268,Inflation_Year,NominaltoReal)))</f>
        <v>0</v>
      </c>
      <c r="GD268" s="146" cm="1">
        <f t="array" ref="GD268">IF($FY268=0,0,_xlfn.IFS($FY268='Key assumptions'!$C$120,_xlfn.XLOOKUP(LEFT(GD$7,6),Inflation_Year,Inflation_NominaltoReal),TRUE,_xlfn.XLOOKUP($FY268,Inflation_Year,NominaltoReal)))</f>
        <v>0</v>
      </c>
      <c r="GE268" s="146" cm="1">
        <f t="array" ref="GE268">IF($FY268=0,0,_xlfn.IFS($FY268='Key assumptions'!$C$120,_xlfn.XLOOKUP(LEFT(GE$7,6),Inflation_Year,Inflation_NominaltoReal),TRUE,_xlfn.XLOOKUP($FY268,Inflation_Year,NominaltoReal)))</f>
        <v>0</v>
      </c>
      <c r="GF268" s="146" cm="1">
        <f t="array" ref="GF268">IF($FY268=0,0,_xlfn.IFS($FY268='Key assumptions'!$C$120,_xlfn.XLOOKUP(LEFT(GF$7,6),Inflation_Year,Inflation_NominaltoReal),TRUE,_xlfn.XLOOKUP($FY268,Inflation_Year,NominaltoReal)))</f>
        <v>0</v>
      </c>
      <c r="GG268" s="143"/>
      <c r="GH268" s="145" cm="1">
        <f t="array" ref="GH268">SUMPRODUCT(--($CR$7:$FW$7&gt;=GH$5),--($CR$7:$FW$7&lt;=GH$6),$CR268:$FW268)*FZ268</f>
        <v>0</v>
      </c>
      <c r="GI268" s="145" cm="1">
        <f t="array" ref="GI268">SUMPRODUCT(--($CR$7:$FW$7&gt;=GI$5),--($CR$7:$FW$7&lt;=GI$6),$CR268:$FW268)*GA268</f>
        <v>0</v>
      </c>
      <c r="GJ268" s="145" cm="1">
        <f t="array" ref="GJ268">SUMPRODUCT(--($CR$7:$FW$7&gt;=GJ$5),--($CR$7:$FW$7&lt;=GJ$6),$CR268:$FW268)*GB268</f>
        <v>0</v>
      </c>
      <c r="GK268" s="145" cm="1">
        <f t="array" ref="GK268">SUMPRODUCT(--($CR$7:$FW$7&gt;=GK$5),--($CR$7:$FW$7&lt;=GK$6),$CR268:$FW268)*GC268</f>
        <v>0</v>
      </c>
      <c r="GL268" s="145" cm="1">
        <f t="array" ref="GL268">SUMPRODUCT(--($CR$7:$FW$7&gt;=GL$5),--($CR$7:$FW$7&lt;=GL$6),$CR268:$FW268)*GD268</f>
        <v>0</v>
      </c>
      <c r="GM268" s="145" cm="1">
        <f t="array" ref="GM268">SUMPRODUCT(--($CR$7:$FW$7&gt;=GM$5),--($CR$7:$FW$7&lt;=GM$6),$CR268:$FW268)*GE268</f>
        <v>0</v>
      </c>
      <c r="GN268" s="145" cm="1">
        <f t="array" ref="GN268">SUMPRODUCT(--($CR$7:$FW$7&gt;=GN$5),--($CR$7:$FW$7&lt;=GN$6),$CR268:$FW268)*GF268</f>
        <v>0</v>
      </c>
      <c r="GO268" s="145">
        <f t="shared" si="4"/>
        <v>0</v>
      </c>
      <c r="GP268" s="87"/>
      <c r="GR268" s="145" cm="1">
        <f t="array" ref="GR268">SUMPRODUCT(--($CR$7:$FW$7&gt;=GR$5),--($CR$7:$FW$7&lt;=GR$6),$CR268:$FW268)</f>
        <v>0</v>
      </c>
    </row>
    <row r="269" spans="2:200" x14ac:dyDescent="0.2">
      <c r="B269" s="141"/>
      <c r="C269" s="141"/>
      <c r="D269" s="141"/>
      <c r="E269" s="141"/>
      <c r="F269" s="141"/>
      <c r="G269" s="141"/>
      <c r="H269" s="142"/>
      <c r="I269" s="126"/>
      <c r="J269" s="143"/>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3"/>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c r="EE269" s="145"/>
      <c r="EF269" s="145"/>
      <c r="EG269" s="145"/>
      <c r="EH269" s="145"/>
      <c r="EI269" s="145"/>
      <c r="EJ269" s="145"/>
      <c r="EK269" s="145"/>
      <c r="EL269" s="145"/>
      <c r="EM269" s="145"/>
      <c r="EN269" s="145"/>
      <c r="EO269" s="145"/>
      <c r="EP269" s="145"/>
      <c r="EQ269" s="145"/>
      <c r="ER269" s="145"/>
      <c r="ES269" s="145"/>
      <c r="ET269" s="145"/>
      <c r="EU269" s="145"/>
      <c r="EV269" s="145"/>
      <c r="EW269" s="145"/>
      <c r="EX269" s="145"/>
      <c r="EY269" s="145"/>
      <c r="EZ269" s="145"/>
      <c r="FA269" s="145"/>
      <c r="FB269" s="145"/>
      <c r="FC269" s="145"/>
      <c r="FD269" s="145"/>
      <c r="FE269" s="145"/>
      <c r="FF269" s="145"/>
      <c r="FG269" s="145"/>
      <c r="FH269" s="145"/>
      <c r="FI269" s="145"/>
      <c r="FJ269" s="145"/>
      <c r="FK269" s="145"/>
      <c r="FL269" s="145"/>
      <c r="FM269" s="145"/>
      <c r="FN269" s="145"/>
      <c r="FO269" s="145"/>
      <c r="FP269" s="145"/>
      <c r="FQ269" s="145"/>
      <c r="FR269" s="145"/>
      <c r="FS269" s="145"/>
      <c r="FT269" s="145"/>
      <c r="FU269" s="145"/>
      <c r="FV269" s="145"/>
      <c r="FW269" s="145"/>
      <c r="FX269" s="143"/>
      <c r="FY269" s="146">
        <f>_xlfn.XLOOKUP($E269,'Key assumptions'!$B$112:$B$120,'Key assumptions'!$C$112:$C$120,0)</f>
        <v>0</v>
      </c>
      <c r="FZ269" s="146" cm="1">
        <f t="array" ref="FZ269">IF($FY269=0,0,_xlfn.IFS($FY269='Key assumptions'!$C$120,_xlfn.XLOOKUP(LEFT(FZ$7,6),Inflation_Year,Inflation_NominaltoReal),TRUE,_xlfn.XLOOKUP($FY269,Inflation_Year,NominaltoReal)))</f>
        <v>0</v>
      </c>
      <c r="GA269" s="146" cm="1">
        <f t="array" ref="GA269">IF($FY269=0,0,_xlfn.IFS($FY269='Key assumptions'!$C$120,_xlfn.XLOOKUP(LEFT(GA$7,6),Inflation_Year,Inflation_NominaltoReal),TRUE,_xlfn.XLOOKUP($FY269,Inflation_Year,NominaltoReal)))</f>
        <v>0</v>
      </c>
      <c r="GB269" s="146" cm="1">
        <f t="array" ref="GB269">IF($FY269=0,0,_xlfn.IFS($FY269='Key assumptions'!$C$120,_xlfn.XLOOKUP(LEFT(GB$7,6),Inflation_Year,Inflation_NominaltoReal),TRUE,_xlfn.XLOOKUP($FY269,Inflation_Year,NominaltoReal)))</f>
        <v>0</v>
      </c>
      <c r="GC269" s="146" cm="1">
        <f t="array" ref="GC269">IF($FY269=0,0,_xlfn.IFS($FY269='Key assumptions'!$C$120,_xlfn.XLOOKUP(LEFT(GC$7,6),Inflation_Year,Inflation_NominaltoReal),TRUE,_xlfn.XLOOKUP($FY269,Inflation_Year,NominaltoReal)))</f>
        <v>0</v>
      </c>
      <c r="GD269" s="146" cm="1">
        <f t="array" ref="GD269">IF($FY269=0,0,_xlfn.IFS($FY269='Key assumptions'!$C$120,_xlfn.XLOOKUP(LEFT(GD$7,6),Inflation_Year,Inflation_NominaltoReal),TRUE,_xlfn.XLOOKUP($FY269,Inflation_Year,NominaltoReal)))</f>
        <v>0</v>
      </c>
      <c r="GE269" s="146" cm="1">
        <f t="array" ref="GE269">IF($FY269=0,0,_xlfn.IFS($FY269='Key assumptions'!$C$120,_xlfn.XLOOKUP(LEFT(GE$7,6),Inflation_Year,Inflation_NominaltoReal),TRUE,_xlfn.XLOOKUP($FY269,Inflation_Year,NominaltoReal)))</f>
        <v>0</v>
      </c>
      <c r="GF269" s="146" cm="1">
        <f t="array" ref="GF269">IF($FY269=0,0,_xlfn.IFS($FY269='Key assumptions'!$C$120,_xlfn.XLOOKUP(LEFT(GF$7,6),Inflation_Year,Inflation_NominaltoReal),TRUE,_xlfn.XLOOKUP($FY269,Inflation_Year,NominaltoReal)))</f>
        <v>0</v>
      </c>
      <c r="GG269" s="143"/>
      <c r="GH269" s="145" cm="1">
        <f t="array" ref="GH269">SUMPRODUCT(--($CR$7:$FW$7&gt;=GH$5),--($CR$7:$FW$7&lt;=GH$6),$CR269:$FW269)*FZ269</f>
        <v>0</v>
      </c>
      <c r="GI269" s="145" cm="1">
        <f t="array" ref="GI269">SUMPRODUCT(--($CR$7:$FW$7&gt;=GI$5),--($CR$7:$FW$7&lt;=GI$6),$CR269:$FW269)*GA269</f>
        <v>0</v>
      </c>
      <c r="GJ269" s="145" cm="1">
        <f t="array" ref="GJ269">SUMPRODUCT(--($CR$7:$FW$7&gt;=GJ$5),--($CR$7:$FW$7&lt;=GJ$6),$CR269:$FW269)*GB269</f>
        <v>0</v>
      </c>
      <c r="GK269" s="145" cm="1">
        <f t="array" ref="GK269">SUMPRODUCT(--($CR$7:$FW$7&gt;=GK$5),--($CR$7:$FW$7&lt;=GK$6),$CR269:$FW269)*GC269</f>
        <v>0</v>
      </c>
      <c r="GL269" s="145" cm="1">
        <f t="array" ref="GL269">SUMPRODUCT(--($CR$7:$FW$7&gt;=GL$5),--($CR$7:$FW$7&lt;=GL$6),$CR269:$FW269)*GD269</f>
        <v>0</v>
      </c>
      <c r="GM269" s="145" cm="1">
        <f t="array" ref="GM269">SUMPRODUCT(--($CR$7:$FW$7&gt;=GM$5),--($CR$7:$FW$7&lt;=GM$6),$CR269:$FW269)*GE269</f>
        <v>0</v>
      </c>
      <c r="GN269" s="145" cm="1">
        <f t="array" ref="GN269">SUMPRODUCT(--($CR$7:$FW$7&gt;=GN$5),--($CR$7:$FW$7&lt;=GN$6),$CR269:$FW269)*GF269</f>
        <v>0</v>
      </c>
      <c r="GO269" s="145">
        <f t="shared" si="4"/>
        <v>0</v>
      </c>
      <c r="GP269" s="87"/>
      <c r="GR269" s="145" cm="1">
        <f t="array" ref="GR269">SUMPRODUCT(--($CR$7:$FW$7&gt;=GR$5),--($CR$7:$FW$7&lt;=GR$6),$CR269:$FW269)</f>
        <v>0</v>
      </c>
    </row>
    <row r="270" spans="2:200" x14ac:dyDescent="0.2">
      <c r="B270" s="141"/>
      <c r="C270" s="141"/>
      <c r="D270" s="141"/>
      <c r="E270" s="141"/>
      <c r="F270" s="141"/>
      <c r="G270" s="141"/>
      <c r="H270" s="142"/>
      <c r="I270" s="126"/>
      <c r="J270" s="143"/>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3"/>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c r="EE270" s="145"/>
      <c r="EF270" s="145"/>
      <c r="EG270" s="145"/>
      <c r="EH270" s="145"/>
      <c r="EI270" s="145"/>
      <c r="EJ270" s="145"/>
      <c r="EK270" s="145"/>
      <c r="EL270" s="145"/>
      <c r="EM270" s="145"/>
      <c r="EN270" s="145"/>
      <c r="EO270" s="145"/>
      <c r="EP270" s="145"/>
      <c r="EQ270" s="145"/>
      <c r="ER270" s="145"/>
      <c r="ES270" s="145"/>
      <c r="ET270" s="145"/>
      <c r="EU270" s="145"/>
      <c r="EV270" s="145"/>
      <c r="EW270" s="145"/>
      <c r="EX270" s="145"/>
      <c r="EY270" s="145"/>
      <c r="EZ270" s="145"/>
      <c r="FA270" s="145"/>
      <c r="FB270" s="145"/>
      <c r="FC270" s="145"/>
      <c r="FD270" s="145"/>
      <c r="FE270" s="145"/>
      <c r="FF270" s="145"/>
      <c r="FG270" s="145"/>
      <c r="FH270" s="145"/>
      <c r="FI270" s="145"/>
      <c r="FJ270" s="145"/>
      <c r="FK270" s="145"/>
      <c r="FL270" s="145"/>
      <c r="FM270" s="145"/>
      <c r="FN270" s="145"/>
      <c r="FO270" s="145"/>
      <c r="FP270" s="145"/>
      <c r="FQ270" s="145"/>
      <c r="FR270" s="145"/>
      <c r="FS270" s="145"/>
      <c r="FT270" s="145"/>
      <c r="FU270" s="145"/>
      <c r="FV270" s="145"/>
      <c r="FW270" s="145"/>
      <c r="FX270" s="143"/>
      <c r="FY270" s="146">
        <f>_xlfn.XLOOKUP($E270,'Key assumptions'!$B$112:$B$120,'Key assumptions'!$C$112:$C$120,0)</f>
        <v>0</v>
      </c>
      <c r="FZ270" s="146" cm="1">
        <f t="array" ref="FZ270">IF($FY270=0,0,_xlfn.IFS($FY270='Key assumptions'!$C$120,_xlfn.XLOOKUP(LEFT(FZ$7,6),Inflation_Year,Inflation_NominaltoReal),TRUE,_xlfn.XLOOKUP($FY270,Inflation_Year,NominaltoReal)))</f>
        <v>0</v>
      </c>
      <c r="GA270" s="146" cm="1">
        <f t="array" ref="GA270">IF($FY270=0,0,_xlfn.IFS($FY270='Key assumptions'!$C$120,_xlfn.XLOOKUP(LEFT(GA$7,6),Inflation_Year,Inflation_NominaltoReal),TRUE,_xlfn.XLOOKUP($FY270,Inflation_Year,NominaltoReal)))</f>
        <v>0</v>
      </c>
      <c r="GB270" s="146" cm="1">
        <f t="array" ref="GB270">IF($FY270=0,0,_xlfn.IFS($FY270='Key assumptions'!$C$120,_xlfn.XLOOKUP(LEFT(GB$7,6),Inflation_Year,Inflation_NominaltoReal),TRUE,_xlfn.XLOOKUP($FY270,Inflation_Year,NominaltoReal)))</f>
        <v>0</v>
      </c>
      <c r="GC270" s="146" cm="1">
        <f t="array" ref="GC270">IF($FY270=0,0,_xlfn.IFS($FY270='Key assumptions'!$C$120,_xlfn.XLOOKUP(LEFT(GC$7,6),Inflation_Year,Inflation_NominaltoReal),TRUE,_xlfn.XLOOKUP($FY270,Inflation_Year,NominaltoReal)))</f>
        <v>0</v>
      </c>
      <c r="GD270" s="146" cm="1">
        <f t="array" ref="GD270">IF($FY270=0,0,_xlfn.IFS($FY270='Key assumptions'!$C$120,_xlfn.XLOOKUP(LEFT(GD$7,6),Inflation_Year,Inflation_NominaltoReal),TRUE,_xlfn.XLOOKUP($FY270,Inflation_Year,NominaltoReal)))</f>
        <v>0</v>
      </c>
      <c r="GE270" s="146" cm="1">
        <f t="array" ref="GE270">IF($FY270=0,0,_xlfn.IFS($FY270='Key assumptions'!$C$120,_xlfn.XLOOKUP(LEFT(GE$7,6),Inflation_Year,Inflation_NominaltoReal),TRUE,_xlfn.XLOOKUP($FY270,Inflation_Year,NominaltoReal)))</f>
        <v>0</v>
      </c>
      <c r="GF270" s="146" cm="1">
        <f t="array" ref="GF270">IF($FY270=0,0,_xlfn.IFS($FY270='Key assumptions'!$C$120,_xlfn.XLOOKUP(LEFT(GF$7,6),Inflation_Year,Inflation_NominaltoReal),TRUE,_xlfn.XLOOKUP($FY270,Inflation_Year,NominaltoReal)))</f>
        <v>0</v>
      </c>
      <c r="GG270" s="143"/>
      <c r="GH270" s="145" cm="1">
        <f t="array" ref="GH270">SUMPRODUCT(--($CR$7:$FW$7&gt;=GH$5),--($CR$7:$FW$7&lt;=GH$6),$CR270:$FW270)*FZ270</f>
        <v>0</v>
      </c>
      <c r="GI270" s="145" cm="1">
        <f t="array" ref="GI270">SUMPRODUCT(--($CR$7:$FW$7&gt;=GI$5),--($CR$7:$FW$7&lt;=GI$6),$CR270:$FW270)*GA270</f>
        <v>0</v>
      </c>
      <c r="GJ270" s="145" cm="1">
        <f t="array" ref="GJ270">SUMPRODUCT(--($CR$7:$FW$7&gt;=GJ$5),--($CR$7:$FW$7&lt;=GJ$6),$CR270:$FW270)*GB270</f>
        <v>0</v>
      </c>
      <c r="GK270" s="145" cm="1">
        <f t="array" ref="GK270">SUMPRODUCT(--($CR$7:$FW$7&gt;=GK$5),--($CR$7:$FW$7&lt;=GK$6),$CR270:$FW270)*GC270</f>
        <v>0</v>
      </c>
      <c r="GL270" s="145" cm="1">
        <f t="array" ref="GL270">SUMPRODUCT(--($CR$7:$FW$7&gt;=GL$5),--($CR$7:$FW$7&lt;=GL$6),$CR270:$FW270)*GD270</f>
        <v>0</v>
      </c>
      <c r="GM270" s="145" cm="1">
        <f t="array" ref="GM270">SUMPRODUCT(--($CR$7:$FW$7&gt;=GM$5),--($CR$7:$FW$7&lt;=GM$6),$CR270:$FW270)*GE270</f>
        <v>0</v>
      </c>
      <c r="GN270" s="145" cm="1">
        <f t="array" ref="GN270">SUMPRODUCT(--($CR$7:$FW$7&gt;=GN$5),--($CR$7:$FW$7&lt;=GN$6),$CR270:$FW270)*GF270</f>
        <v>0</v>
      </c>
      <c r="GO270" s="145">
        <f t="shared" si="4"/>
        <v>0</v>
      </c>
      <c r="GP270" s="87"/>
      <c r="GR270" s="145" cm="1">
        <f t="array" ref="GR270">SUMPRODUCT(--($CR$7:$FW$7&gt;=GR$5),--($CR$7:$FW$7&lt;=GR$6),$CR270:$FW270)</f>
        <v>0</v>
      </c>
    </row>
    <row r="271" spans="2:200" x14ac:dyDescent="0.2">
      <c r="B271" s="141"/>
      <c r="C271" s="141"/>
      <c r="D271" s="141"/>
      <c r="E271" s="141"/>
      <c r="F271" s="141"/>
      <c r="G271" s="141"/>
      <c r="H271" s="142"/>
      <c r="I271" s="126"/>
      <c r="J271" s="143"/>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3"/>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c r="EE271" s="145"/>
      <c r="EF271" s="145"/>
      <c r="EG271" s="145"/>
      <c r="EH271" s="145"/>
      <c r="EI271" s="145"/>
      <c r="EJ271" s="145"/>
      <c r="EK271" s="145"/>
      <c r="EL271" s="145"/>
      <c r="EM271" s="145"/>
      <c r="EN271" s="145"/>
      <c r="EO271" s="145"/>
      <c r="EP271" s="145"/>
      <c r="EQ271" s="145"/>
      <c r="ER271" s="145"/>
      <c r="ES271" s="145"/>
      <c r="ET271" s="145"/>
      <c r="EU271" s="145"/>
      <c r="EV271" s="145"/>
      <c r="EW271" s="145"/>
      <c r="EX271" s="145"/>
      <c r="EY271" s="145"/>
      <c r="EZ271" s="145"/>
      <c r="FA271" s="145"/>
      <c r="FB271" s="145"/>
      <c r="FC271" s="145"/>
      <c r="FD271" s="145"/>
      <c r="FE271" s="145"/>
      <c r="FF271" s="145"/>
      <c r="FG271" s="145"/>
      <c r="FH271" s="145"/>
      <c r="FI271" s="145"/>
      <c r="FJ271" s="145"/>
      <c r="FK271" s="145"/>
      <c r="FL271" s="145"/>
      <c r="FM271" s="145"/>
      <c r="FN271" s="145"/>
      <c r="FO271" s="145"/>
      <c r="FP271" s="145"/>
      <c r="FQ271" s="145"/>
      <c r="FR271" s="145"/>
      <c r="FS271" s="145"/>
      <c r="FT271" s="145"/>
      <c r="FU271" s="145"/>
      <c r="FV271" s="145"/>
      <c r="FW271" s="145"/>
      <c r="FX271" s="143"/>
      <c r="FY271" s="146">
        <f>_xlfn.XLOOKUP($E271,'Key assumptions'!$B$112:$B$120,'Key assumptions'!$C$112:$C$120,0)</f>
        <v>0</v>
      </c>
      <c r="FZ271" s="146" cm="1">
        <f t="array" ref="FZ271">IF($FY271=0,0,_xlfn.IFS($FY271='Key assumptions'!$C$120,_xlfn.XLOOKUP(LEFT(FZ$7,6),Inflation_Year,Inflation_NominaltoReal),TRUE,_xlfn.XLOOKUP($FY271,Inflation_Year,NominaltoReal)))</f>
        <v>0</v>
      </c>
      <c r="GA271" s="146" cm="1">
        <f t="array" ref="GA271">IF($FY271=0,0,_xlfn.IFS($FY271='Key assumptions'!$C$120,_xlfn.XLOOKUP(LEFT(GA$7,6),Inflation_Year,Inflation_NominaltoReal),TRUE,_xlfn.XLOOKUP($FY271,Inflation_Year,NominaltoReal)))</f>
        <v>0</v>
      </c>
      <c r="GB271" s="146" cm="1">
        <f t="array" ref="GB271">IF($FY271=0,0,_xlfn.IFS($FY271='Key assumptions'!$C$120,_xlfn.XLOOKUP(LEFT(GB$7,6),Inflation_Year,Inflation_NominaltoReal),TRUE,_xlfn.XLOOKUP($FY271,Inflation_Year,NominaltoReal)))</f>
        <v>0</v>
      </c>
      <c r="GC271" s="146" cm="1">
        <f t="array" ref="GC271">IF($FY271=0,0,_xlfn.IFS($FY271='Key assumptions'!$C$120,_xlfn.XLOOKUP(LEFT(GC$7,6),Inflation_Year,Inflation_NominaltoReal),TRUE,_xlfn.XLOOKUP($FY271,Inflation_Year,NominaltoReal)))</f>
        <v>0</v>
      </c>
      <c r="GD271" s="146" cm="1">
        <f t="array" ref="GD271">IF($FY271=0,0,_xlfn.IFS($FY271='Key assumptions'!$C$120,_xlfn.XLOOKUP(LEFT(GD$7,6),Inflation_Year,Inflation_NominaltoReal),TRUE,_xlfn.XLOOKUP($FY271,Inflation_Year,NominaltoReal)))</f>
        <v>0</v>
      </c>
      <c r="GE271" s="146" cm="1">
        <f t="array" ref="GE271">IF($FY271=0,0,_xlfn.IFS($FY271='Key assumptions'!$C$120,_xlfn.XLOOKUP(LEFT(GE$7,6),Inflation_Year,Inflation_NominaltoReal),TRUE,_xlfn.XLOOKUP($FY271,Inflation_Year,NominaltoReal)))</f>
        <v>0</v>
      </c>
      <c r="GF271" s="146" cm="1">
        <f t="array" ref="GF271">IF($FY271=0,0,_xlfn.IFS($FY271='Key assumptions'!$C$120,_xlfn.XLOOKUP(LEFT(GF$7,6),Inflation_Year,Inflation_NominaltoReal),TRUE,_xlfn.XLOOKUP($FY271,Inflation_Year,NominaltoReal)))</f>
        <v>0</v>
      </c>
      <c r="GG271" s="143"/>
      <c r="GH271" s="145" cm="1">
        <f t="array" ref="GH271">SUMPRODUCT(--($CR$7:$FW$7&gt;=GH$5),--($CR$7:$FW$7&lt;=GH$6),$CR271:$FW271)*FZ271</f>
        <v>0</v>
      </c>
      <c r="GI271" s="145" cm="1">
        <f t="array" ref="GI271">SUMPRODUCT(--($CR$7:$FW$7&gt;=GI$5),--($CR$7:$FW$7&lt;=GI$6),$CR271:$FW271)*GA271</f>
        <v>0</v>
      </c>
      <c r="GJ271" s="145" cm="1">
        <f t="array" ref="GJ271">SUMPRODUCT(--($CR$7:$FW$7&gt;=GJ$5),--($CR$7:$FW$7&lt;=GJ$6),$CR271:$FW271)*GB271</f>
        <v>0</v>
      </c>
      <c r="GK271" s="145" cm="1">
        <f t="array" ref="GK271">SUMPRODUCT(--($CR$7:$FW$7&gt;=GK$5),--($CR$7:$FW$7&lt;=GK$6),$CR271:$FW271)*GC271</f>
        <v>0</v>
      </c>
      <c r="GL271" s="145" cm="1">
        <f t="array" ref="GL271">SUMPRODUCT(--($CR$7:$FW$7&gt;=GL$5),--($CR$7:$FW$7&lt;=GL$6),$CR271:$FW271)*GD271</f>
        <v>0</v>
      </c>
      <c r="GM271" s="145" cm="1">
        <f t="array" ref="GM271">SUMPRODUCT(--($CR$7:$FW$7&gt;=GM$5),--($CR$7:$FW$7&lt;=GM$6),$CR271:$FW271)*GE271</f>
        <v>0</v>
      </c>
      <c r="GN271" s="145" cm="1">
        <f t="array" ref="GN271">SUMPRODUCT(--($CR$7:$FW$7&gt;=GN$5),--($CR$7:$FW$7&lt;=GN$6),$CR271:$FW271)*GF271</f>
        <v>0</v>
      </c>
      <c r="GO271" s="145">
        <f t="shared" si="4"/>
        <v>0</v>
      </c>
      <c r="GP271" s="87"/>
      <c r="GR271" s="145" cm="1">
        <f t="array" ref="GR271">SUMPRODUCT(--($CR$7:$FW$7&gt;=GR$5),--($CR$7:$FW$7&lt;=GR$6),$CR271:$FW271)</f>
        <v>0</v>
      </c>
    </row>
    <row r="272" spans="2:200" x14ac:dyDescent="0.2">
      <c r="B272" s="141"/>
      <c r="C272" s="141"/>
      <c r="D272" s="141"/>
      <c r="E272" s="141"/>
      <c r="F272" s="141"/>
      <c r="G272" s="141"/>
      <c r="H272" s="142"/>
      <c r="I272" s="126"/>
      <c r="J272" s="143"/>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3"/>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c r="EE272" s="145"/>
      <c r="EF272" s="145"/>
      <c r="EG272" s="145"/>
      <c r="EH272" s="145"/>
      <c r="EI272" s="145"/>
      <c r="EJ272" s="145"/>
      <c r="EK272" s="145"/>
      <c r="EL272" s="145"/>
      <c r="EM272" s="145"/>
      <c r="EN272" s="145"/>
      <c r="EO272" s="145"/>
      <c r="EP272" s="145"/>
      <c r="EQ272" s="145"/>
      <c r="ER272" s="145"/>
      <c r="ES272" s="145"/>
      <c r="ET272" s="145"/>
      <c r="EU272" s="145"/>
      <c r="EV272" s="145"/>
      <c r="EW272" s="145"/>
      <c r="EX272" s="145"/>
      <c r="EY272" s="145"/>
      <c r="EZ272" s="145"/>
      <c r="FA272" s="145"/>
      <c r="FB272" s="145"/>
      <c r="FC272" s="145"/>
      <c r="FD272" s="145"/>
      <c r="FE272" s="145"/>
      <c r="FF272" s="145"/>
      <c r="FG272" s="145"/>
      <c r="FH272" s="145"/>
      <c r="FI272" s="145"/>
      <c r="FJ272" s="145"/>
      <c r="FK272" s="145"/>
      <c r="FL272" s="145"/>
      <c r="FM272" s="145"/>
      <c r="FN272" s="145"/>
      <c r="FO272" s="145"/>
      <c r="FP272" s="145"/>
      <c r="FQ272" s="145"/>
      <c r="FR272" s="145"/>
      <c r="FS272" s="145"/>
      <c r="FT272" s="145"/>
      <c r="FU272" s="145"/>
      <c r="FV272" s="145"/>
      <c r="FW272" s="145"/>
      <c r="FX272" s="143"/>
      <c r="FY272" s="146">
        <f>_xlfn.XLOOKUP($E272,'Key assumptions'!$B$112:$B$120,'Key assumptions'!$C$112:$C$120,0)</f>
        <v>0</v>
      </c>
      <c r="FZ272" s="146" cm="1">
        <f t="array" ref="FZ272">IF($FY272=0,0,_xlfn.IFS($FY272='Key assumptions'!$C$120,_xlfn.XLOOKUP(LEFT(FZ$7,6),Inflation_Year,Inflation_NominaltoReal),TRUE,_xlfn.XLOOKUP($FY272,Inflation_Year,NominaltoReal)))</f>
        <v>0</v>
      </c>
      <c r="GA272" s="146" cm="1">
        <f t="array" ref="GA272">IF($FY272=0,0,_xlfn.IFS($FY272='Key assumptions'!$C$120,_xlfn.XLOOKUP(LEFT(GA$7,6),Inflation_Year,Inflation_NominaltoReal),TRUE,_xlfn.XLOOKUP($FY272,Inflation_Year,NominaltoReal)))</f>
        <v>0</v>
      </c>
      <c r="GB272" s="146" cm="1">
        <f t="array" ref="GB272">IF($FY272=0,0,_xlfn.IFS($FY272='Key assumptions'!$C$120,_xlfn.XLOOKUP(LEFT(GB$7,6),Inflation_Year,Inflation_NominaltoReal),TRUE,_xlfn.XLOOKUP($FY272,Inflation_Year,NominaltoReal)))</f>
        <v>0</v>
      </c>
      <c r="GC272" s="146" cm="1">
        <f t="array" ref="GC272">IF($FY272=0,0,_xlfn.IFS($FY272='Key assumptions'!$C$120,_xlfn.XLOOKUP(LEFT(GC$7,6),Inflation_Year,Inflation_NominaltoReal),TRUE,_xlfn.XLOOKUP($FY272,Inflation_Year,NominaltoReal)))</f>
        <v>0</v>
      </c>
      <c r="GD272" s="146" cm="1">
        <f t="array" ref="GD272">IF($FY272=0,0,_xlfn.IFS($FY272='Key assumptions'!$C$120,_xlfn.XLOOKUP(LEFT(GD$7,6),Inflation_Year,Inflation_NominaltoReal),TRUE,_xlfn.XLOOKUP($FY272,Inflation_Year,NominaltoReal)))</f>
        <v>0</v>
      </c>
      <c r="GE272" s="146" cm="1">
        <f t="array" ref="GE272">IF($FY272=0,0,_xlfn.IFS($FY272='Key assumptions'!$C$120,_xlfn.XLOOKUP(LEFT(GE$7,6),Inflation_Year,Inflation_NominaltoReal),TRUE,_xlfn.XLOOKUP($FY272,Inflation_Year,NominaltoReal)))</f>
        <v>0</v>
      </c>
      <c r="GF272" s="146" cm="1">
        <f t="array" ref="GF272">IF($FY272=0,0,_xlfn.IFS($FY272='Key assumptions'!$C$120,_xlfn.XLOOKUP(LEFT(GF$7,6),Inflation_Year,Inflation_NominaltoReal),TRUE,_xlfn.XLOOKUP($FY272,Inflation_Year,NominaltoReal)))</f>
        <v>0</v>
      </c>
      <c r="GG272" s="143"/>
      <c r="GH272" s="145" cm="1">
        <f t="array" ref="GH272">SUMPRODUCT(--($CR$7:$FW$7&gt;=GH$5),--($CR$7:$FW$7&lt;=GH$6),$CR272:$FW272)*FZ272</f>
        <v>0</v>
      </c>
      <c r="GI272" s="145" cm="1">
        <f t="array" ref="GI272">SUMPRODUCT(--($CR$7:$FW$7&gt;=GI$5),--($CR$7:$FW$7&lt;=GI$6),$CR272:$FW272)*GA272</f>
        <v>0</v>
      </c>
      <c r="GJ272" s="145" cm="1">
        <f t="array" ref="GJ272">SUMPRODUCT(--($CR$7:$FW$7&gt;=GJ$5),--($CR$7:$FW$7&lt;=GJ$6),$CR272:$FW272)*GB272</f>
        <v>0</v>
      </c>
      <c r="GK272" s="145" cm="1">
        <f t="array" ref="GK272">SUMPRODUCT(--($CR$7:$FW$7&gt;=GK$5),--($CR$7:$FW$7&lt;=GK$6),$CR272:$FW272)*GC272</f>
        <v>0</v>
      </c>
      <c r="GL272" s="145" cm="1">
        <f t="array" ref="GL272">SUMPRODUCT(--($CR$7:$FW$7&gt;=GL$5),--($CR$7:$FW$7&lt;=GL$6),$CR272:$FW272)*GD272</f>
        <v>0</v>
      </c>
      <c r="GM272" s="145" cm="1">
        <f t="array" ref="GM272">SUMPRODUCT(--($CR$7:$FW$7&gt;=GM$5),--($CR$7:$FW$7&lt;=GM$6),$CR272:$FW272)*GE272</f>
        <v>0</v>
      </c>
      <c r="GN272" s="145" cm="1">
        <f t="array" ref="GN272">SUMPRODUCT(--($CR$7:$FW$7&gt;=GN$5),--($CR$7:$FW$7&lt;=GN$6),$CR272:$FW272)*GF272</f>
        <v>0</v>
      </c>
      <c r="GO272" s="145">
        <f t="shared" si="4"/>
        <v>0</v>
      </c>
      <c r="GP272" s="87"/>
      <c r="GR272" s="145" cm="1">
        <f t="array" ref="GR272">SUMPRODUCT(--($CR$7:$FW$7&gt;=GR$5),--($CR$7:$FW$7&lt;=GR$6),$CR272:$FW272)</f>
        <v>0</v>
      </c>
    </row>
    <row r="273" spans="2:200" x14ac:dyDescent="0.2">
      <c r="B273" s="141"/>
      <c r="C273" s="141"/>
      <c r="D273" s="141"/>
      <c r="E273" s="141"/>
      <c r="F273" s="141"/>
      <c r="G273" s="141"/>
      <c r="H273" s="142"/>
      <c r="I273" s="126"/>
      <c r="J273" s="143"/>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3"/>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145"/>
      <c r="EH273" s="145"/>
      <c r="EI273" s="145"/>
      <c r="EJ273" s="145"/>
      <c r="EK273" s="145"/>
      <c r="EL273" s="145"/>
      <c r="EM273" s="145"/>
      <c r="EN273" s="145"/>
      <c r="EO273" s="145"/>
      <c r="EP273" s="145"/>
      <c r="EQ273" s="145"/>
      <c r="ER273" s="145"/>
      <c r="ES273" s="145"/>
      <c r="ET273" s="145"/>
      <c r="EU273" s="145"/>
      <c r="EV273" s="145"/>
      <c r="EW273" s="145"/>
      <c r="EX273" s="145"/>
      <c r="EY273" s="145"/>
      <c r="EZ273" s="145"/>
      <c r="FA273" s="145"/>
      <c r="FB273" s="145"/>
      <c r="FC273" s="145"/>
      <c r="FD273" s="145"/>
      <c r="FE273" s="145"/>
      <c r="FF273" s="145"/>
      <c r="FG273" s="145"/>
      <c r="FH273" s="145"/>
      <c r="FI273" s="145"/>
      <c r="FJ273" s="145"/>
      <c r="FK273" s="145"/>
      <c r="FL273" s="145"/>
      <c r="FM273" s="145"/>
      <c r="FN273" s="145"/>
      <c r="FO273" s="145"/>
      <c r="FP273" s="145"/>
      <c r="FQ273" s="145"/>
      <c r="FR273" s="145"/>
      <c r="FS273" s="145"/>
      <c r="FT273" s="145"/>
      <c r="FU273" s="145"/>
      <c r="FV273" s="145"/>
      <c r="FW273" s="145"/>
      <c r="FX273" s="143"/>
      <c r="FY273" s="146">
        <f>_xlfn.XLOOKUP($E273,'Key assumptions'!$B$112:$B$120,'Key assumptions'!$C$112:$C$120,0)</f>
        <v>0</v>
      </c>
      <c r="FZ273" s="146" cm="1">
        <f t="array" ref="FZ273">IF($FY273=0,0,_xlfn.IFS($FY273='Key assumptions'!$C$120,_xlfn.XLOOKUP(LEFT(FZ$7,6),Inflation_Year,Inflation_NominaltoReal),TRUE,_xlfn.XLOOKUP($FY273,Inflation_Year,NominaltoReal)))</f>
        <v>0</v>
      </c>
      <c r="GA273" s="146" cm="1">
        <f t="array" ref="GA273">IF($FY273=0,0,_xlfn.IFS($FY273='Key assumptions'!$C$120,_xlfn.XLOOKUP(LEFT(GA$7,6),Inflation_Year,Inflation_NominaltoReal),TRUE,_xlfn.XLOOKUP($FY273,Inflation_Year,NominaltoReal)))</f>
        <v>0</v>
      </c>
      <c r="GB273" s="146" cm="1">
        <f t="array" ref="GB273">IF($FY273=0,0,_xlfn.IFS($FY273='Key assumptions'!$C$120,_xlfn.XLOOKUP(LEFT(GB$7,6),Inflation_Year,Inflation_NominaltoReal),TRUE,_xlfn.XLOOKUP($FY273,Inflation_Year,NominaltoReal)))</f>
        <v>0</v>
      </c>
      <c r="GC273" s="146" cm="1">
        <f t="array" ref="GC273">IF($FY273=0,0,_xlfn.IFS($FY273='Key assumptions'!$C$120,_xlfn.XLOOKUP(LEFT(GC$7,6),Inflation_Year,Inflation_NominaltoReal),TRUE,_xlfn.XLOOKUP($FY273,Inflation_Year,NominaltoReal)))</f>
        <v>0</v>
      </c>
      <c r="GD273" s="146" cm="1">
        <f t="array" ref="GD273">IF($FY273=0,0,_xlfn.IFS($FY273='Key assumptions'!$C$120,_xlfn.XLOOKUP(LEFT(GD$7,6),Inflation_Year,Inflation_NominaltoReal),TRUE,_xlfn.XLOOKUP($FY273,Inflation_Year,NominaltoReal)))</f>
        <v>0</v>
      </c>
      <c r="GE273" s="146" cm="1">
        <f t="array" ref="GE273">IF($FY273=0,0,_xlfn.IFS($FY273='Key assumptions'!$C$120,_xlfn.XLOOKUP(LEFT(GE$7,6),Inflation_Year,Inflation_NominaltoReal),TRUE,_xlfn.XLOOKUP($FY273,Inflation_Year,NominaltoReal)))</f>
        <v>0</v>
      </c>
      <c r="GF273" s="146" cm="1">
        <f t="array" ref="GF273">IF($FY273=0,0,_xlfn.IFS($FY273='Key assumptions'!$C$120,_xlfn.XLOOKUP(LEFT(GF$7,6),Inflation_Year,Inflation_NominaltoReal),TRUE,_xlfn.XLOOKUP($FY273,Inflation_Year,NominaltoReal)))</f>
        <v>0</v>
      </c>
      <c r="GG273" s="143"/>
      <c r="GH273" s="145" cm="1">
        <f t="array" ref="GH273">SUMPRODUCT(--($CR$7:$FW$7&gt;=GH$5),--($CR$7:$FW$7&lt;=GH$6),$CR273:$FW273)*FZ273</f>
        <v>0</v>
      </c>
      <c r="GI273" s="145" cm="1">
        <f t="array" ref="GI273">SUMPRODUCT(--($CR$7:$FW$7&gt;=GI$5),--($CR$7:$FW$7&lt;=GI$6),$CR273:$FW273)*GA273</f>
        <v>0</v>
      </c>
      <c r="GJ273" s="145" cm="1">
        <f t="array" ref="GJ273">SUMPRODUCT(--($CR$7:$FW$7&gt;=GJ$5),--($CR$7:$FW$7&lt;=GJ$6),$CR273:$FW273)*GB273</f>
        <v>0</v>
      </c>
      <c r="GK273" s="145" cm="1">
        <f t="array" ref="GK273">SUMPRODUCT(--($CR$7:$FW$7&gt;=GK$5),--($CR$7:$FW$7&lt;=GK$6),$CR273:$FW273)*GC273</f>
        <v>0</v>
      </c>
      <c r="GL273" s="145" cm="1">
        <f t="array" ref="GL273">SUMPRODUCT(--($CR$7:$FW$7&gt;=GL$5),--($CR$7:$FW$7&lt;=GL$6),$CR273:$FW273)*GD273</f>
        <v>0</v>
      </c>
      <c r="GM273" s="145" cm="1">
        <f t="array" ref="GM273">SUMPRODUCT(--($CR$7:$FW$7&gt;=GM$5),--($CR$7:$FW$7&lt;=GM$6),$CR273:$FW273)*GE273</f>
        <v>0</v>
      </c>
      <c r="GN273" s="145" cm="1">
        <f t="array" ref="GN273">SUMPRODUCT(--($CR$7:$FW$7&gt;=GN$5),--($CR$7:$FW$7&lt;=GN$6),$CR273:$FW273)*GF273</f>
        <v>0</v>
      </c>
      <c r="GO273" s="145">
        <f t="shared" si="4"/>
        <v>0</v>
      </c>
      <c r="GP273" s="87"/>
      <c r="GR273" s="145" cm="1">
        <f t="array" ref="GR273">SUMPRODUCT(--($CR$7:$FW$7&gt;=GR$5),--($CR$7:$FW$7&lt;=GR$6),$CR273:$FW273)</f>
        <v>0</v>
      </c>
    </row>
    <row r="274" spans="2:200" x14ac:dyDescent="0.2">
      <c r="B274" s="141"/>
      <c r="C274" s="141"/>
      <c r="D274" s="141"/>
      <c r="E274" s="141"/>
      <c r="F274" s="141"/>
      <c r="G274" s="141"/>
      <c r="H274" s="142"/>
      <c r="I274" s="126"/>
      <c r="J274" s="143"/>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3"/>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c r="EE274" s="145"/>
      <c r="EF274" s="145"/>
      <c r="EG274" s="145"/>
      <c r="EH274" s="145"/>
      <c r="EI274" s="145"/>
      <c r="EJ274" s="145"/>
      <c r="EK274" s="145"/>
      <c r="EL274" s="145"/>
      <c r="EM274" s="145"/>
      <c r="EN274" s="145"/>
      <c r="EO274" s="145"/>
      <c r="EP274" s="145"/>
      <c r="EQ274" s="145"/>
      <c r="ER274" s="145"/>
      <c r="ES274" s="145"/>
      <c r="ET274" s="145"/>
      <c r="EU274" s="145"/>
      <c r="EV274" s="145"/>
      <c r="EW274" s="145"/>
      <c r="EX274" s="145"/>
      <c r="EY274" s="145"/>
      <c r="EZ274" s="145"/>
      <c r="FA274" s="145"/>
      <c r="FB274" s="145"/>
      <c r="FC274" s="145"/>
      <c r="FD274" s="145"/>
      <c r="FE274" s="145"/>
      <c r="FF274" s="145"/>
      <c r="FG274" s="145"/>
      <c r="FH274" s="145"/>
      <c r="FI274" s="145"/>
      <c r="FJ274" s="145"/>
      <c r="FK274" s="145"/>
      <c r="FL274" s="145"/>
      <c r="FM274" s="145"/>
      <c r="FN274" s="145"/>
      <c r="FO274" s="145"/>
      <c r="FP274" s="145"/>
      <c r="FQ274" s="145"/>
      <c r="FR274" s="145"/>
      <c r="FS274" s="145"/>
      <c r="FT274" s="145"/>
      <c r="FU274" s="145"/>
      <c r="FV274" s="145"/>
      <c r="FW274" s="145"/>
      <c r="FX274" s="143"/>
      <c r="FY274" s="146">
        <f>_xlfn.XLOOKUP($E274,'Key assumptions'!$B$112:$B$120,'Key assumptions'!$C$112:$C$120,0)</f>
        <v>0</v>
      </c>
      <c r="FZ274" s="146" cm="1">
        <f t="array" ref="FZ274">IF($FY274=0,0,_xlfn.IFS($FY274='Key assumptions'!$C$120,_xlfn.XLOOKUP(LEFT(FZ$7,6),Inflation_Year,Inflation_NominaltoReal),TRUE,_xlfn.XLOOKUP($FY274,Inflation_Year,NominaltoReal)))</f>
        <v>0</v>
      </c>
      <c r="GA274" s="146" cm="1">
        <f t="array" ref="GA274">IF($FY274=0,0,_xlfn.IFS($FY274='Key assumptions'!$C$120,_xlfn.XLOOKUP(LEFT(GA$7,6),Inflation_Year,Inflation_NominaltoReal),TRUE,_xlfn.XLOOKUP($FY274,Inflation_Year,NominaltoReal)))</f>
        <v>0</v>
      </c>
      <c r="GB274" s="146" cm="1">
        <f t="array" ref="GB274">IF($FY274=0,0,_xlfn.IFS($FY274='Key assumptions'!$C$120,_xlfn.XLOOKUP(LEFT(GB$7,6),Inflation_Year,Inflation_NominaltoReal),TRUE,_xlfn.XLOOKUP($FY274,Inflation_Year,NominaltoReal)))</f>
        <v>0</v>
      </c>
      <c r="GC274" s="146" cm="1">
        <f t="array" ref="GC274">IF($FY274=0,0,_xlfn.IFS($FY274='Key assumptions'!$C$120,_xlfn.XLOOKUP(LEFT(GC$7,6),Inflation_Year,Inflation_NominaltoReal),TRUE,_xlfn.XLOOKUP($FY274,Inflation_Year,NominaltoReal)))</f>
        <v>0</v>
      </c>
      <c r="GD274" s="146" cm="1">
        <f t="array" ref="GD274">IF($FY274=0,0,_xlfn.IFS($FY274='Key assumptions'!$C$120,_xlfn.XLOOKUP(LEFT(GD$7,6),Inflation_Year,Inflation_NominaltoReal),TRUE,_xlfn.XLOOKUP($FY274,Inflation_Year,NominaltoReal)))</f>
        <v>0</v>
      </c>
      <c r="GE274" s="146" cm="1">
        <f t="array" ref="GE274">IF($FY274=0,0,_xlfn.IFS($FY274='Key assumptions'!$C$120,_xlfn.XLOOKUP(LEFT(GE$7,6),Inflation_Year,Inflation_NominaltoReal),TRUE,_xlfn.XLOOKUP($FY274,Inflation_Year,NominaltoReal)))</f>
        <v>0</v>
      </c>
      <c r="GF274" s="146" cm="1">
        <f t="array" ref="GF274">IF($FY274=0,0,_xlfn.IFS($FY274='Key assumptions'!$C$120,_xlfn.XLOOKUP(LEFT(GF$7,6),Inflation_Year,Inflation_NominaltoReal),TRUE,_xlfn.XLOOKUP($FY274,Inflation_Year,NominaltoReal)))</f>
        <v>0</v>
      </c>
      <c r="GG274" s="143"/>
      <c r="GH274" s="145" cm="1">
        <f t="array" ref="GH274">SUMPRODUCT(--($CR$7:$FW$7&gt;=GH$5),--($CR$7:$FW$7&lt;=GH$6),$CR274:$FW274)*FZ274</f>
        <v>0</v>
      </c>
      <c r="GI274" s="145" cm="1">
        <f t="array" ref="GI274">SUMPRODUCT(--($CR$7:$FW$7&gt;=GI$5),--($CR$7:$FW$7&lt;=GI$6),$CR274:$FW274)*GA274</f>
        <v>0</v>
      </c>
      <c r="GJ274" s="145" cm="1">
        <f t="array" ref="GJ274">SUMPRODUCT(--($CR$7:$FW$7&gt;=GJ$5),--($CR$7:$FW$7&lt;=GJ$6),$CR274:$FW274)*GB274</f>
        <v>0</v>
      </c>
      <c r="GK274" s="145" cm="1">
        <f t="array" ref="GK274">SUMPRODUCT(--($CR$7:$FW$7&gt;=GK$5),--($CR$7:$FW$7&lt;=GK$6),$CR274:$FW274)*GC274</f>
        <v>0</v>
      </c>
      <c r="GL274" s="145" cm="1">
        <f t="array" ref="GL274">SUMPRODUCT(--($CR$7:$FW$7&gt;=GL$5),--($CR$7:$FW$7&lt;=GL$6),$CR274:$FW274)*GD274</f>
        <v>0</v>
      </c>
      <c r="GM274" s="145" cm="1">
        <f t="array" ref="GM274">SUMPRODUCT(--($CR$7:$FW$7&gt;=GM$5),--($CR$7:$FW$7&lt;=GM$6),$CR274:$FW274)*GE274</f>
        <v>0</v>
      </c>
      <c r="GN274" s="145" cm="1">
        <f t="array" ref="GN274">SUMPRODUCT(--($CR$7:$FW$7&gt;=GN$5),--($CR$7:$FW$7&lt;=GN$6),$CR274:$FW274)*GF274</f>
        <v>0</v>
      </c>
      <c r="GO274" s="145">
        <f t="shared" si="4"/>
        <v>0</v>
      </c>
      <c r="GP274" s="87"/>
      <c r="GR274" s="145" cm="1">
        <f t="array" ref="GR274">SUMPRODUCT(--($CR$7:$FW$7&gt;=GR$5),--($CR$7:$FW$7&lt;=GR$6),$CR274:$FW274)</f>
        <v>0</v>
      </c>
    </row>
    <row r="275" spans="2:200" x14ac:dyDescent="0.2">
      <c r="B275" s="141"/>
      <c r="C275" s="141"/>
      <c r="D275" s="141"/>
      <c r="E275" s="141"/>
      <c r="F275" s="141"/>
      <c r="G275" s="141"/>
      <c r="H275" s="142"/>
      <c r="I275" s="126"/>
      <c r="J275" s="143"/>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3"/>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c r="EE275" s="145"/>
      <c r="EF275" s="145"/>
      <c r="EG275" s="145"/>
      <c r="EH275" s="145"/>
      <c r="EI275" s="145"/>
      <c r="EJ275" s="145"/>
      <c r="EK275" s="145"/>
      <c r="EL275" s="145"/>
      <c r="EM275" s="145"/>
      <c r="EN275" s="145"/>
      <c r="EO275" s="145"/>
      <c r="EP275" s="145"/>
      <c r="EQ275" s="145"/>
      <c r="ER275" s="145"/>
      <c r="ES275" s="145"/>
      <c r="ET275" s="145"/>
      <c r="EU275" s="145"/>
      <c r="EV275" s="145"/>
      <c r="EW275" s="145"/>
      <c r="EX275" s="145"/>
      <c r="EY275" s="145"/>
      <c r="EZ275" s="145"/>
      <c r="FA275" s="145"/>
      <c r="FB275" s="145"/>
      <c r="FC275" s="145"/>
      <c r="FD275" s="145"/>
      <c r="FE275" s="145"/>
      <c r="FF275" s="145"/>
      <c r="FG275" s="145"/>
      <c r="FH275" s="145"/>
      <c r="FI275" s="145"/>
      <c r="FJ275" s="145"/>
      <c r="FK275" s="145"/>
      <c r="FL275" s="145"/>
      <c r="FM275" s="145"/>
      <c r="FN275" s="145"/>
      <c r="FO275" s="145"/>
      <c r="FP275" s="145"/>
      <c r="FQ275" s="145"/>
      <c r="FR275" s="145"/>
      <c r="FS275" s="145"/>
      <c r="FT275" s="145"/>
      <c r="FU275" s="145"/>
      <c r="FV275" s="145"/>
      <c r="FW275" s="145"/>
      <c r="FX275" s="143"/>
      <c r="FY275" s="146">
        <f>_xlfn.XLOOKUP($E275,'Key assumptions'!$B$112:$B$120,'Key assumptions'!$C$112:$C$120,0)</f>
        <v>0</v>
      </c>
      <c r="FZ275" s="146" cm="1">
        <f t="array" ref="FZ275">IF($FY275=0,0,_xlfn.IFS($FY275='Key assumptions'!$C$120,_xlfn.XLOOKUP(LEFT(FZ$7,6),Inflation_Year,Inflation_NominaltoReal),TRUE,_xlfn.XLOOKUP($FY275,Inflation_Year,NominaltoReal)))</f>
        <v>0</v>
      </c>
      <c r="GA275" s="146" cm="1">
        <f t="array" ref="GA275">IF($FY275=0,0,_xlfn.IFS($FY275='Key assumptions'!$C$120,_xlfn.XLOOKUP(LEFT(GA$7,6),Inflation_Year,Inflation_NominaltoReal),TRUE,_xlfn.XLOOKUP($FY275,Inflation_Year,NominaltoReal)))</f>
        <v>0</v>
      </c>
      <c r="GB275" s="146" cm="1">
        <f t="array" ref="GB275">IF($FY275=0,0,_xlfn.IFS($FY275='Key assumptions'!$C$120,_xlfn.XLOOKUP(LEFT(GB$7,6),Inflation_Year,Inflation_NominaltoReal),TRUE,_xlfn.XLOOKUP($FY275,Inflation_Year,NominaltoReal)))</f>
        <v>0</v>
      </c>
      <c r="GC275" s="146" cm="1">
        <f t="array" ref="GC275">IF($FY275=0,0,_xlfn.IFS($FY275='Key assumptions'!$C$120,_xlfn.XLOOKUP(LEFT(GC$7,6),Inflation_Year,Inflation_NominaltoReal),TRUE,_xlfn.XLOOKUP($FY275,Inflation_Year,NominaltoReal)))</f>
        <v>0</v>
      </c>
      <c r="GD275" s="146" cm="1">
        <f t="array" ref="GD275">IF($FY275=0,0,_xlfn.IFS($FY275='Key assumptions'!$C$120,_xlfn.XLOOKUP(LEFT(GD$7,6),Inflation_Year,Inflation_NominaltoReal),TRUE,_xlfn.XLOOKUP($FY275,Inflation_Year,NominaltoReal)))</f>
        <v>0</v>
      </c>
      <c r="GE275" s="146" cm="1">
        <f t="array" ref="GE275">IF($FY275=0,0,_xlfn.IFS($FY275='Key assumptions'!$C$120,_xlfn.XLOOKUP(LEFT(GE$7,6),Inflation_Year,Inflation_NominaltoReal),TRUE,_xlfn.XLOOKUP($FY275,Inflation_Year,NominaltoReal)))</f>
        <v>0</v>
      </c>
      <c r="GF275" s="146" cm="1">
        <f t="array" ref="GF275">IF($FY275=0,0,_xlfn.IFS($FY275='Key assumptions'!$C$120,_xlfn.XLOOKUP(LEFT(GF$7,6),Inflation_Year,Inflation_NominaltoReal),TRUE,_xlfn.XLOOKUP($FY275,Inflation_Year,NominaltoReal)))</f>
        <v>0</v>
      </c>
      <c r="GG275" s="143"/>
      <c r="GH275" s="145" cm="1">
        <f t="array" ref="GH275">SUMPRODUCT(--($CR$7:$FW$7&gt;=GH$5),--($CR$7:$FW$7&lt;=GH$6),$CR275:$FW275)*FZ275</f>
        <v>0</v>
      </c>
      <c r="GI275" s="145" cm="1">
        <f t="array" ref="GI275">SUMPRODUCT(--($CR$7:$FW$7&gt;=GI$5),--($CR$7:$FW$7&lt;=GI$6),$CR275:$FW275)*GA275</f>
        <v>0</v>
      </c>
      <c r="GJ275" s="145" cm="1">
        <f t="array" ref="GJ275">SUMPRODUCT(--($CR$7:$FW$7&gt;=GJ$5),--($CR$7:$FW$7&lt;=GJ$6),$CR275:$FW275)*GB275</f>
        <v>0</v>
      </c>
      <c r="GK275" s="145" cm="1">
        <f t="array" ref="GK275">SUMPRODUCT(--($CR$7:$FW$7&gt;=GK$5),--($CR$7:$FW$7&lt;=GK$6),$CR275:$FW275)*GC275</f>
        <v>0</v>
      </c>
      <c r="GL275" s="145" cm="1">
        <f t="array" ref="GL275">SUMPRODUCT(--($CR$7:$FW$7&gt;=GL$5),--($CR$7:$FW$7&lt;=GL$6),$CR275:$FW275)*GD275</f>
        <v>0</v>
      </c>
      <c r="GM275" s="145" cm="1">
        <f t="array" ref="GM275">SUMPRODUCT(--($CR$7:$FW$7&gt;=GM$5),--($CR$7:$FW$7&lt;=GM$6),$CR275:$FW275)*GE275</f>
        <v>0</v>
      </c>
      <c r="GN275" s="145" cm="1">
        <f t="array" ref="GN275">SUMPRODUCT(--($CR$7:$FW$7&gt;=GN$5),--($CR$7:$FW$7&lt;=GN$6),$CR275:$FW275)*GF275</f>
        <v>0</v>
      </c>
      <c r="GO275" s="145">
        <f t="shared" si="4"/>
        <v>0</v>
      </c>
      <c r="GP275" s="87"/>
      <c r="GR275" s="145" cm="1">
        <f t="array" ref="GR275">SUMPRODUCT(--($CR$7:$FW$7&gt;=GR$5),--($CR$7:$FW$7&lt;=GR$6),$CR275:$FW275)</f>
        <v>0</v>
      </c>
    </row>
    <row r="276" spans="2:200" x14ac:dyDescent="0.2">
      <c r="B276" s="141"/>
      <c r="C276" s="141"/>
      <c r="D276" s="141"/>
      <c r="E276" s="141"/>
      <c r="F276" s="141"/>
      <c r="G276" s="141"/>
      <c r="H276" s="142"/>
      <c r="I276" s="126"/>
      <c r="J276" s="143"/>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3"/>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c r="EE276" s="145"/>
      <c r="EF276" s="145"/>
      <c r="EG276" s="145"/>
      <c r="EH276" s="145"/>
      <c r="EI276" s="145"/>
      <c r="EJ276" s="145"/>
      <c r="EK276" s="145"/>
      <c r="EL276" s="145"/>
      <c r="EM276" s="145"/>
      <c r="EN276" s="145"/>
      <c r="EO276" s="145"/>
      <c r="EP276" s="145"/>
      <c r="EQ276" s="145"/>
      <c r="ER276" s="145"/>
      <c r="ES276" s="145"/>
      <c r="ET276" s="145"/>
      <c r="EU276" s="145"/>
      <c r="EV276" s="145"/>
      <c r="EW276" s="145"/>
      <c r="EX276" s="145"/>
      <c r="EY276" s="145"/>
      <c r="EZ276" s="145"/>
      <c r="FA276" s="145"/>
      <c r="FB276" s="145"/>
      <c r="FC276" s="145"/>
      <c r="FD276" s="145"/>
      <c r="FE276" s="145"/>
      <c r="FF276" s="145"/>
      <c r="FG276" s="145"/>
      <c r="FH276" s="145"/>
      <c r="FI276" s="145"/>
      <c r="FJ276" s="145"/>
      <c r="FK276" s="145"/>
      <c r="FL276" s="145"/>
      <c r="FM276" s="145"/>
      <c r="FN276" s="145"/>
      <c r="FO276" s="145"/>
      <c r="FP276" s="145"/>
      <c r="FQ276" s="145"/>
      <c r="FR276" s="145"/>
      <c r="FS276" s="145"/>
      <c r="FT276" s="145"/>
      <c r="FU276" s="145"/>
      <c r="FV276" s="145"/>
      <c r="FW276" s="145"/>
      <c r="FX276" s="143"/>
      <c r="FY276" s="146">
        <f>_xlfn.XLOOKUP($E276,'Key assumptions'!$B$112:$B$120,'Key assumptions'!$C$112:$C$120,0)</f>
        <v>0</v>
      </c>
      <c r="FZ276" s="146" cm="1">
        <f t="array" ref="FZ276">IF($FY276=0,0,_xlfn.IFS($FY276='Key assumptions'!$C$120,_xlfn.XLOOKUP(LEFT(FZ$7,6),Inflation_Year,Inflation_NominaltoReal),TRUE,_xlfn.XLOOKUP($FY276,Inflation_Year,NominaltoReal)))</f>
        <v>0</v>
      </c>
      <c r="GA276" s="146" cm="1">
        <f t="array" ref="GA276">IF($FY276=0,0,_xlfn.IFS($FY276='Key assumptions'!$C$120,_xlfn.XLOOKUP(LEFT(GA$7,6),Inflation_Year,Inflation_NominaltoReal),TRUE,_xlfn.XLOOKUP($FY276,Inflation_Year,NominaltoReal)))</f>
        <v>0</v>
      </c>
      <c r="GB276" s="146" cm="1">
        <f t="array" ref="GB276">IF($FY276=0,0,_xlfn.IFS($FY276='Key assumptions'!$C$120,_xlfn.XLOOKUP(LEFT(GB$7,6),Inflation_Year,Inflation_NominaltoReal),TRUE,_xlfn.XLOOKUP($FY276,Inflation_Year,NominaltoReal)))</f>
        <v>0</v>
      </c>
      <c r="GC276" s="146" cm="1">
        <f t="array" ref="GC276">IF($FY276=0,0,_xlfn.IFS($FY276='Key assumptions'!$C$120,_xlfn.XLOOKUP(LEFT(GC$7,6),Inflation_Year,Inflation_NominaltoReal),TRUE,_xlfn.XLOOKUP($FY276,Inflation_Year,NominaltoReal)))</f>
        <v>0</v>
      </c>
      <c r="GD276" s="146" cm="1">
        <f t="array" ref="GD276">IF($FY276=0,0,_xlfn.IFS($FY276='Key assumptions'!$C$120,_xlfn.XLOOKUP(LEFT(GD$7,6),Inflation_Year,Inflation_NominaltoReal),TRUE,_xlfn.XLOOKUP($FY276,Inflation_Year,NominaltoReal)))</f>
        <v>0</v>
      </c>
      <c r="GE276" s="146" cm="1">
        <f t="array" ref="GE276">IF($FY276=0,0,_xlfn.IFS($FY276='Key assumptions'!$C$120,_xlfn.XLOOKUP(LEFT(GE$7,6),Inflation_Year,Inflation_NominaltoReal),TRUE,_xlfn.XLOOKUP($FY276,Inflation_Year,NominaltoReal)))</f>
        <v>0</v>
      </c>
      <c r="GF276" s="146" cm="1">
        <f t="array" ref="GF276">IF($FY276=0,0,_xlfn.IFS($FY276='Key assumptions'!$C$120,_xlfn.XLOOKUP(LEFT(GF$7,6),Inflation_Year,Inflation_NominaltoReal),TRUE,_xlfn.XLOOKUP($FY276,Inflation_Year,NominaltoReal)))</f>
        <v>0</v>
      </c>
      <c r="GG276" s="143"/>
      <c r="GH276" s="145" cm="1">
        <f t="array" ref="GH276">SUMPRODUCT(--($CR$7:$FW$7&gt;=GH$5),--($CR$7:$FW$7&lt;=GH$6),$CR276:$FW276)*FZ276</f>
        <v>0</v>
      </c>
      <c r="GI276" s="145" cm="1">
        <f t="array" ref="GI276">SUMPRODUCT(--($CR$7:$FW$7&gt;=GI$5),--($CR$7:$FW$7&lt;=GI$6),$CR276:$FW276)*GA276</f>
        <v>0</v>
      </c>
      <c r="GJ276" s="145" cm="1">
        <f t="array" ref="GJ276">SUMPRODUCT(--($CR$7:$FW$7&gt;=GJ$5),--($CR$7:$FW$7&lt;=GJ$6),$CR276:$FW276)*GB276</f>
        <v>0</v>
      </c>
      <c r="GK276" s="145" cm="1">
        <f t="array" ref="GK276">SUMPRODUCT(--($CR$7:$FW$7&gt;=GK$5),--($CR$7:$FW$7&lt;=GK$6),$CR276:$FW276)*GC276</f>
        <v>0</v>
      </c>
      <c r="GL276" s="145" cm="1">
        <f t="array" ref="GL276">SUMPRODUCT(--($CR$7:$FW$7&gt;=GL$5),--($CR$7:$FW$7&lt;=GL$6),$CR276:$FW276)*GD276</f>
        <v>0</v>
      </c>
      <c r="GM276" s="145" cm="1">
        <f t="array" ref="GM276">SUMPRODUCT(--($CR$7:$FW$7&gt;=GM$5),--($CR$7:$FW$7&lt;=GM$6),$CR276:$FW276)*GE276</f>
        <v>0</v>
      </c>
      <c r="GN276" s="145" cm="1">
        <f t="array" ref="GN276">SUMPRODUCT(--($CR$7:$FW$7&gt;=GN$5),--($CR$7:$FW$7&lt;=GN$6),$CR276:$FW276)*GF276</f>
        <v>0</v>
      </c>
      <c r="GO276" s="145">
        <f t="shared" si="4"/>
        <v>0</v>
      </c>
      <c r="GP276" s="87"/>
      <c r="GR276" s="145" cm="1">
        <f t="array" ref="GR276">SUMPRODUCT(--($CR$7:$FW$7&gt;=GR$5),--($CR$7:$FW$7&lt;=GR$6),$CR276:$FW276)</f>
        <v>0</v>
      </c>
    </row>
    <row r="277" spans="2:200" x14ac:dyDescent="0.2">
      <c r="B277" s="141"/>
      <c r="C277" s="141"/>
      <c r="D277" s="141"/>
      <c r="E277" s="141"/>
      <c r="F277" s="141"/>
      <c r="G277" s="141"/>
      <c r="H277" s="142"/>
      <c r="I277" s="126"/>
      <c r="J277" s="143"/>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3"/>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c r="EE277" s="145"/>
      <c r="EF277" s="145"/>
      <c r="EG277" s="145"/>
      <c r="EH277" s="145"/>
      <c r="EI277" s="145"/>
      <c r="EJ277" s="145"/>
      <c r="EK277" s="145"/>
      <c r="EL277" s="145"/>
      <c r="EM277" s="145"/>
      <c r="EN277" s="145"/>
      <c r="EO277" s="145"/>
      <c r="EP277" s="145"/>
      <c r="EQ277" s="145"/>
      <c r="ER277" s="145"/>
      <c r="ES277" s="145"/>
      <c r="ET277" s="145"/>
      <c r="EU277" s="145"/>
      <c r="EV277" s="145"/>
      <c r="EW277" s="145"/>
      <c r="EX277" s="145"/>
      <c r="EY277" s="145"/>
      <c r="EZ277" s="145"/>
      <c r="FA277" s="145"/>
      <c r="FB277" s="145"/>
      <c r="FC277" s="145"/>
      <c r="FD277" s="145"/>
      <c r="FE277" s="145"/>
      <c r="FF277" s="145"/>
      <c r="FG277" s="145"/>
      <c r="FH277" s="145"/>
      <c r="FI277" s="145"/>
      <c r="FJ277" s="145"/>
      <c r="FK277" s="145"/>
      <c r="FL277" s="145"/>
      <c r="FM277" s="145"/>
      <c r="FN277" s="145"/>
      <c r="FO277" s="145"/>
      <c r="FP277" s="145"/>
      <c r="FQ277" s="145"/>
      <c r="FR277" s="145"/>
      <c r="FS277" s="145"/>
      <c r="FT277" s="145"/>
      <c r="FU277" s="145"/>
      <c r="FV277" s="145"/>
      <c r="FW277" s="145"/>
      <c r="FX277" s="143"/>
      <c r="FY277" s="146">
        <f>_xlfn.XLOOKUP($E277,'Key assumptions'!$B$112:$B$120,'Key assumptions'!$C$112:$C$120,0)</f>
        <v>0</v>
      </c>
      <c r="FZ277" s="146" cm="1">
        <f t="array" ref="FZ277">IF($FY277=0,0,_xlfn.IFS($FY277='Key assumptions'!$C$120,_xlfn.XLOOKUP(LEFT(FZ$7,6),Inflation_Year,Inflation_NominaltoReal),TRUE,_xlfn.XLOOKUP($FY277,Inflation_Year,NominaltoReal)))</f>
        <v>0</v>
      </c>
      <c r="GA277" s="146" cm="1">
        <f t="array" ref="GA277">IF($FY277=0,0,_xlfn.IFS($FY277='Key assumptions'!$C$120,_xlfn.XLOOKUP(LEFT(GA$7,6),Inflation_Year,Inflation_NominaltoReal),TRUE,_xlfn.XLOOKUP($FY277,Inflation_Year,NominaltoReal)))</f>
        <v>0</v>
      </c>
      <c r="GB277" s="146" cm="1">
        <f t="array" ref="GB277">IF($FY277=0,0,_xlfn.IFS($FY277='Key assumptions'!$C$120,_xlfn.XLOOKUP(LEFT(GB$7,6),Inflation_Year,Inflation_NominaltoReal),TRUE,_xlfn.XLOOKUP($FY277,Inflation_Year,NominaltoReal)))</f>
        <v>0</v>
      </c>
      <c r="GC277" s="146" cm="1">
        <f t="array" ref="GC277">IF($FY277=0,0,_xlfn.IFS($FY277='Key assumptions'!$C$120,_xlfn.XLOOKUP(LEFT(GC$7,6),Inflation_Year,Inflation_NominaltoReal),TRUE,_xlfn.XLOOKUP($FY277,Inflation_Year,NominaltoReal)))</f>
        <v>0</v>
      </c>
      <c r="GD277" s="146" cm="1">
        <f t="array" ref="GD277">IF($FY277=0,0,_xlfn.IFS($FY277='Key assumptions'!$C$120,_xlfn.XLOOKUP(LEFT(GD$7,6),Inflation_Year,Inflation_NominaltoReal),TRUE,_xlfn.XLOOKUP($FY277,Inflation_Year,NominaltoReal)))</f>
        <v>0</v>
      </c>
      <c r="GE277" s="146" cm="1">
        <f t="array" ref="GE277">IF($FY277=0,0,_xlfn.IFS($FY277='Key assumptions'!$C$120,_xlfn.XLOOKUP(LEFT(GE$7,6),Inflation_Year,Inflation_NominaltoReal),TRUE,_xlfn.XLOOKUP($FY277,Inflation_Year,NominaltoReal)))</f>
        <v>0</v>
      </c>
      <c r="GF277" s="146" cm="1">
        <f t="array" ref="GF277">IF($FY277=0,0,_xlfn.IFS($FY277='Key assumptions'!$C$120,_xlfn.XLOOKUP(LEFT(GF$7,6),Inflation_Year,Inflation_NominaltoReal),TRUE,_xlfn.XLOOKUP($FY277,Inflation_Year,NominaltoReal)))</f>
        <v>0</v>
      </c>
      <c r="GG277" s="143"/>
      <c r="GH277" s="145" cm="1">
        <f t="array" ref="GH277">SUMPRODUCT(--($CR$7:$FW$7&gt;=GH$5),--($CR$7:$FW$7&lt;=GH$6),$CR277:$FW277)*FZ277</f>
        <v>0</v>
      </c>
      <c r="GI277" s="145" cm="1">
        <f t="array" ref="GI277">SUMPRODUCT(--($CR$7:$FW$7&gt;=GI$5),--($CR$7:$FW$7&lt;=GI$6),$CR277:$FW277)*GA277</f>
        <v>0</v>
      </c>
      <c r="GJ277" s="145" cm="1">
        <f t="array" ref="GJ277">SUMPRODUCT(--($CR$7:$FW$7&gt;=GJ$5),--($CR$7:$FW$7&lt;=GJ$6),$CR277:$FW277)*GB277</f>
        <v>0</v>
      </c>
      <c r="GK277" s="145" cm="1">
        <f t="array" ref="GK277">SUMPRODUCT(--($CR$7:$FW$7&gt;=GK$5),--($CR$7:$FW$7&lt;=GK$6),$CR277:$FW277)*GC277</f>
        <v>0</v>
      </c>
      <c r="GL277" s="145" cm="1">
        <f t="array" ref="GL277">SUMPRODUCT(--($CR$7:$FW$7&gt;=GL$5),--($CR$7:$FW$7&lt;=GL$6),$CR277:$FW277)*GD277</f>
        <v>0</v>
      </c>
      <c r="GM277" s="145" cm="1">
        <f t="array" ref="GM277">SUMPRODUCT(--($CR$7:$FW$7&gt;=GM$5),--($CR$7:$FW$7&lt;=GM$6),$CR277:$FW277)*GE277</f>
        <v>0</v>
      </c>
      <c r="GN277" s="145" cm="1">
        <f t="array" ref="GN277">SUMPRODUCT(--($CR$7:$FW$7&gt;=GN$5),--($CR$7:$FW$7&lt;=GN$6),$CR277:$FW277)*GF277</f>
        <v>0</v>
      </c>
      <c r="GO277" s="145">
        <f t="shared" si="4"/>
        <v>0</v>
      </c>
      <c r="GP277" s="87"/>
      <c r="GR277" s="145" cm="1">
        <f t="array" ref="GR277">SUMPRODUCT(--($CR$7:$FW$7&gt;=GR$5),--($CR$7:$FW$7&lt;=GR$6),$CR277:$FW277)</f>
        <v>0</v>
      </c>
    </row>
    <row r="278" spans="2:200" x14ac:dyDescent="0.2">
      <c r="B278" s="141"/>
      <c r="C278" s="141"/>
      <c r="D278" s="141"/>
      <c r="E278" s="141"/>
      <c r="F278" s="141"/>
      <c r="G278" s="141"/>
      <c r="H278" s="142"/>
      <c r="I278" s="126"/>
      <c r="J278" s="143"/>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3"/>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c r="EE278" s="145"/>
      <c r="EF278" s="145"/>
      <c r="EG278" s="145"/>
      <c r="EH278" s="145"/>
      <c r="EI278" s="145"/>
      <c r="EJ278" s="145"/>
      <c r="EK278" s="145"/>
      <c r="EL278" s="145"/>
      <c r="EM278" s="145"/>
      <c r="EN278" s="145"/>
      <c r="EO278" s="145"/>
      <c r="EP278" s="145"/>
      <c r="EQ278" s="145"/>
      <c r="ER278" s="145"/>
      <c r="ES278" s="145"/>
      <c r="ET278" s="145"/>
      <c r="EU278" s="145"/>
      <c r="EV278" s="145"/>
      <c r="EW278" s="145"/>
      <c r="EX278" s="145"/>
      <c r="EY278" s="145"/>
      <c r="EZ278" s="145"/>
      <c r="FA278" s="145"/>
      <c r="FB278" s="145"/>
      <c r="FC278" s="145"/>
      <c r="FD278" s="145"/>
      <c r="FE278" s="145"/>
      <c r="FF278" s="145"/>
      <c r="FG278" s="145"/>
      <c r="FH278" s="145"/>
      <c r="FI278" s="145"/>
      <c r="FJ278" s="145"/>
      <c r="FK278" s="145"/>
      <c r="FL278" s="145"/>
      <c r="FM278" s="145"/>
      <c r="FN278" s="145"/>
      <c r="FO278" s="145"/>
      <c r="FP278" s="145"/>
      <c r="FQ278" s="145"/>
      <c r="FR278" s="145"/>
      <c r="FS278" s="145"/>
      <c r="FT278" s="145"/>
      <c r="FU278" s="145"/>
      <c r="FV278" s="145"/>
      <c r="FW278" s="145"/>
      <c r="FX278" s="143"/>
      <c r="FY278" s="146">
        <f>_xlfn.XLOOKUP($E278,'Key assumptions'!$B$112:$B$120,'Key assumptions'!$C$112:$C$120,0)</f>
        <v>0</v>
      </c>
      <c r="FZ278" s="146" cm="1">
        <f t="array" ref="FZ278">IF($FY278=0,0,_xlfn.IFS($FY278='Key assumptions'!$C$120,_xlfn.XLOOKUP(LEFT(FZ$7,6),Inflation_Year,Inflation_NominaltoReal),TRUE,_xlfn.XLOOKUP($FY278,Inflation_Year,NominaltoReal)))</f>
        <v>0</v>
      </c>
      <c r="GA278" s="146" cm="1">
        <f t="array" ref="GA278">IF($FY278=0,0,_xlfn.IFS($FY278='Key assumptions'!$C$120,_xlfn.XLOOKUP(LEFT(GA$7,6),Inflation_Year,Inflation_NominaltoReal),TRUE,_xlfn.XLOOKUP($FY278,Inflation_Year,NominaltoReal)))</f>
        <v>0</v>
      </c>
      <c r="GB278" s="146" cm="1">
        <f t="array" ref="GB278">IF($FY278=0,0,_xlfn.IFS($FY278='Key assumptions'!$C$120,_xlfn.XLOOKUP(LEFT(GB$7,6),Inflation_Year,Inflation_NominaltoReal),TRUE,_xlfn.XLOOKUP($FY278,Inflation_Year,NominaltoReal)))</f>
        <v>0</v>
      </c>
      <c r="GC278" s="146" cm="1">
        <f t="array" ref="GC278">IF($FY278=0,0,_xlfn.IFS($FY278='Key assumptions'!$C$120,_xlfn.XLOOKUP(LEFT(GC$7,6),Inflation_Year,Inflation_NominaltoReal),TRUE,_xlfn.XLOOKUP($FY278,Inflation_Year,NominaltoReal)))</f>
        <v>0</v>
      </c>
      <c r="GD278" s="146" cm="1">
        <f t="array" ref="GD278">IF($FY278=0,0,_xlfn.IFS($FY278='Key assumptions'!$C$120,_xlfn.XLOOKUP(LEFT(GD$7,6),Inflation_Year,Inflation_NominaltoReal),TRUE,_xlfn.XLOOKUP($FY278,Inflation_Year,NominaltoReal)))</f>
        <v>0</v>
      </c>
      <c r="GE278" s="146" cm="1">
        <f t="array" ref="GE278">IF($FY278=0,0,_xlfn.IFS($FY278='Key assumptions'!$C$120,_xlfn.XLOOKUP(LEFT(GE$7,6),Inflation_Year,Inflation_NominaltoReal),TRUE,_xlfn.XLOOKUP($FY278,Inflation_Year,NominaltoReal)))</f>
        <v>0</v>
      </c>
      <c r="GF278" s="146" cm="1">
        <f t="array" ref="GF278">IF($FY278=0,0,_xlfn.IFS($FY278='Key assumptions'!$C$120,_xlfn.XLOOKUP(LEFT(GF$7,6),Inflation_Year,Inflation_NominaltoReal),TRUE,_xlfn.XLOOKUP($FY278,Inflation_Year,NominaltoReal)))</f>
        <v>0</v>
      </c>
      <c r="GG278" s="143"/>
      <c r="GH278" s="145" cm="1">
        <f t="array" ref="GH278">SUMPRODUCT(--($CR$7:$FW$7&gt;=GH$5),--($CR$7:$FW$7&lt;=GH$6),$CR278:$FW278)*FZ278</f>
        <v>0</v>
      </c>
      <c r="GI278" s="145" cm="1">
        <f t="array" ref="GI278">SUMPRODUCT(--($CR$7:$FW$7&gt;=GI$5),--($CR$7:$FW$7&lt;=GI$6),$CR278:$FW278)*GA278</f>
        <v>0</v>
      </c>
      <c r="GJ278" s="145" cm="1">
        <f t="array" ref="GJ278">SUMPRODUCT(--($CR$7:$FW$7&gt;=GJ$5),--($CR$7:$FW$7&lt;=GJ$6),$CR278:$FW278)*GB278</f>
        <v>0</v>
      </c>
      <c r="GK278" s="145" cm="1">
        <f t="array" ref="GK278">SUMPRODUCT(--($CR$7:$FW$7&gt;=GK$5),--($CR$7:$FW$7&lt;=GK$6),$CR278:$FW278)*GC278</f>
        <v>0</v>
      </c>
      <c r="GL278" s="145" cm="1">
        <f t="array" ref="GL278">SUMPRODUCT(--($CR$7:$FW$7&gt;=GL$5),--($CR$7:$FW$7&lt;=GL$6),$CR278:$FW278)*GD278</f>
        <v>0</v>
      </c>
      <c r="GM278" s="145" cm="1">
        <f t="array" ref="GM278">SUMPRODUCT(--($CR$7:$FW$7&gt;=GM$5),--($CR$7:$FW$7&lt;=GM$6),$CR278:$FW278)*GE278</f>
        <v>0</v>
      </c>
      <c r="GN278" s="145" cm="1">
        <f t="array" ref="GN278">SUMPRODUCT(--($CR$7:$FW$7&gt;=GN$5),--($CR$7:$FW$7&lt;=GN$6),$CR278:$FW278)*GF278</f>
        <v>0</v>
      </c>
      <c r="GO278" s="145">
        <f t="shared" si="4"/>
        <v>0</v>
      </c>
      <c r="GP278" s="87"/>
      <c r="GR278" s="145" cm="1">
        <f t="array" ref="GR278">SUMPRODUCT(--($CR$7:$FW$7&gt;=GR$5),--($CR$7:$FW$7&lt;=GR$6),$CR278:$FW278)</f>
        <v>0</v>
      </c>
    </row>
    <row r="279" spans="2:200" x14ac:dyDescent="0.2">
      <c r="B279" s="141"/>
      <c r="C279" s="141"/>
      <c r="D279" s="141"/>
      <c r="E279" s="141"/>
      <c r="F279" s="141"/>
      <c r="G279" s="141"/>
      <c r="H279" s="142"/>
      <c r="I279" s="126"/>
      <c r="J279" s="143"/>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3"/>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c r="EE279" s="145"/>
      <c r="EF279" s="145"/>
      <c r="EG279" s="145"/>
      <c r="EH279" s="145"/>
      <c r="EI279" s="145"/>
      <c r="EJ279" s="145"/>
      <c r="EK279" s="145"/>
      <c r="EL279" s="145"/>
      <c r="EM279" s="145"/>
      <c r="EN279" s="145"/>
      <c r="EO279" s="145"/>
      <c r="EP279" s="145"/>
      <c r="EQ279" s="145"/>
      <c r="ER279" s="145"/>
      <c r="ES279" s="145"/>
      <c r="ET279" s="145"/>
      <c r="EU279" s="145"/>
      <c r="EV279" s="145"/>
      <c r="EW279" s="145"/>
      <c r="EX279" s="145"/>
      <c r="EY279" s="145"/>
      <c r="EZ279" s="145"/>
      <c r="FA279" s="145"/>
      <c r="FB279" s="145"/>
      <c r="FC279" s="145"/>
      <c r="FD279" s="145"/>
      <c r="FE279" s="145"/>
      <c r="FF279" s="145"/>
      <c r="FG279" s="145"/>
      <c r="FH279" s="145"/>
      <c r="FI279" s="145"/>
      <c r="FJ279" s="145"/>
      <c r="FK279" s="145"/>
      <c r="FL279" s="145"/>
      <c r="FM279" s="145"/>
      <c r="FN279" s="145"/>
      <c r="FO279" s="145"/>
      <c r="FP279" s="145"/>
      <c r="FQ279" s="145"/>
      <c r="FR279" s="145"/>
      <c r="FS279" s="145"/>
      <c r="FT279" s="145"/>
      <c r="FU279" s="145"/>
      <c r="FV279" s="145"/>
      <c r="FW279" s="145"/>
      <c r="FX279" s="143"/>
      <c r="FY279" s="146">
        <f>_xlfn.XLOOKUP($E279,'Key assumptions'!$B$112:$B$120,'Key assumptions'!$C$112:$C$120,0)</f>
        <v>0</v>
      </c>
      <c r="FZ279" s="146" cm="1">
        <f t="array" ref="FZ279">IF($FY279=0,0,_xlfn.IFS($FY279='Key assumptions'!$C$120,_xlfn.XLOOKUP(LEFT(FZ$7,6),Inflation_Year,Inflation_NominaltoReal),TRUE,_xlfn.XLOOKUP($FY279,Inflation_Year,NominaltoReal)))</f>
        <v>0</v>
      </c>
      <c r="GA279" s="146" cm="1">
        <f t="array" ref="GA279">IF($FY279=0,0,_xlfn.IFS($FY279='Key assumptions'!$C$120,_xlfn.XLOOKUP(LEFT(GA$7,6),Inflation_Year,Inflation_NominaltoReal),TRUE,_xlfn.XLOOKUP($FY279,Inflation_Year,NominaltoReal)))</f>
        <v>0</v>
      </c>
      <c r="GB279" s="146" cm="1">
        <f t="array" ref="GB279">IF($FY279=0,0,_xlfn.IFS($FY279='Key assumptions'!$C$120,_xlfn.XLOOKUP(LEFT(GB$7,6),Inflation_Year,Inflation_NominaltoReal),TRUE,_xlfn.XLOOKUP($FY279,Inflation_Year,NominaltoReal)))</f>
        <v>0</v>
      </c>
      <c r="GC279" s="146" cm="1">
        <f t="array" ref="GC279">IF($FY279=0,0,_xlfn.IFS($FY279='Key assumptions'!$C$120,_xlfn.XLOOKUP(LEFT(GC$7,6),Inflation_Year,Inflation_NominaltoReal),TRUE,_xlfn.XLOOKUP($FY279,Inflation_Year,NominaltoReal)))</f>
        <v>0</v>
      </c>
      <c r="GD279" s="146" cm="1">
        <f t="array" ref="GD279">IF($FY279=0,0,_xlfn.IFS($FY279='Key assumptions'!$C$120,_xlfn.XLOOKUP(LEFT(GD$7,6),Inflation_Year,Inflation_NominaltoReal),TRUE,_xlfn.XLOOKUP($FY279,Inflation_Year,NominaltoReal)))</f>
        <v>0</v>
      </c>
      <c r="GE279" s="146" cm="1">
        <f t="array" ref="GE279">IF($FY279=0,0,_xlfn.IFS($FY279='Key assumptions'!$C$120,_xlfn.XLOOKUP(LEFT(GE$7,6),Inflation_Year,Inflation_NominaltoReal),TRUE,_xlfn.XLOOKUP($FY279,Inflation_Year,NominaltoReal)))</f>
        <v>0</v>
      </c>
      <c r="GF279" s="146" cm="1">
        <f t="array" ref="GF279">IF($FY279=0,0,_xlfn.IFS($FY279='Key assumptions'!$C$120,_xlfn.XLOOKUP(LEFT(GF$7,6),Inflation_Year,Inflation_NominaltoReal),TRUE,_xlfn.XLOOKUP($FY279,Inflation_Year,NominaltoReal)))</f>
        <v>0</v>
      </c>
      <c r="GG279" s="143"/>
      <c r="GH279" s="145" cm="1">
        <f t="array" ref="GH279">SUMPRODUCT(--($CR$7:$FW$7&gt;=GH$5),--($CR$7:$FW$7&lt;=GH$6),$CR279:$FW279)*FZ279</f>
        <v>0</v>
      </c>
      <c r="GI279" s="145" cm="1">
        <f t="array" ref="GI279">SUMPRODUCT(--($CR$7:$FW$7&gt;=GI$5),--($CR$7:$FW$7&lt;=GI$6),$CR279:$FW279)*GA279</f>
        <v>0</v>
      </c>
      <c r="GJ279" s="145" cm="1">
        <f t="array" ref="GJ279">SUMPRODUCT(--($CR$7:$FW$7&gt;=GJ$5),--($CR$7:$FW$7&lt;=GJ$6),$CR279:$FW279)*GB279</f>
        <v>0</v>
      </c>
      <c r="GK279" s="145" cm="1">
        <f t="array" ref="GK279">SUMPRODUCT(--($CR$7:$FW$7&gt;=GK$5),--($CR$7:$FW$7&lt;=GK$6),$CR279:$FW279)*GC279</f>
        <v>0</v>
      </c>
      <c r="GL279" s="145" cm="1">
        <f t="array" ref="GL279">SUMPRODUCT(--($CR$7:$FW$7&gt;=GL$5),--($CR$7:$FW$7&lt;=GL$6),$CR279:$FW279)*GD279</f>
        <v>0</v>
      </c>
      <c r="GM279" s="145" cm="1">
        <f t="array" ref="GM279">SUMPRODUCT(--($CR$7:$FW$7&gt;=GM$5),--($CR$7:$FW$7&lt;=GM$6),$CR279:$FW279)*GE279</f>
        <v>0</v>
      </c>
      <c r="GN279" s="145" cm="1">
        <f t="array" ref="GN279">SUMPRODUCT(--($CR$7:$FW$7&gt;=GN$5),--($CR$7:$FW$7&lt;=GN$6),$CR279:$FW279)*GF279</f>
        <v>0</v>
      </c>
      <c r="GO279" s="145">
        <f t="shared" si="4"/>
        <v>0</v>
      </c>
      <c r="GP279" s="87"/>
      <c r="GR279" s="145" cm="1">
        <f t="array" ref="GR279">SUMPRODUCT(--($CR$7:$FW$7&gt;=GR$5),--($CR$7:$FW$7&lt;=GR$6),$CR279:$FW279)</f>
        <v>0</v>
      </c>
    </row>
    <row r="280" spans="2:200" x14ac:dyDescent="0.2">
      <c r="B280" s="141"/>
      <c r="C280" s="141"/>
      <c r="D280" s="141"/>
      <c r="E280" s="141"/>
      <c r="F280" s="141"/>
      <c r="G280" s="141"/>
      <c r="H280" s="142"/>
      <c r="I280" s="126"/>
      <c r="J280" s="143"/>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3"/>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c r="EE280" s="145"/>
      <c r="EF280" s="145"/>
      <c r="EG280" s="145"/>
      <c r="EH280" s="145"/>
      <c r="EI280" s="145"/>
      <c r="EJ280" s="145"/>
      <c r="EK280" s="145"/>
      <c r="EL280" s="145"/>
      <c r="EM280" s="145"/>
      <c r="EN280" s="145"/>
      <c r="EO280" s="145"/>
      <c r="EP280" s="145"/>
      <c r="EQ280" s="145"/>
      <c r="ER280" s="145"/>
      <c r="ES280" s="145"/>
      <c r="ET280" s="145"/>
      <c r="EU280" s="145"/>
      <c r="EV280" s="145"/>
      <c r="EW280" s="145"/>
      <c r="EX280" s="145"/>
      <c r="EY280" s="145"/>
      <c r="EZ280" s="145"/>
      <c r="FA280" s="145"/>
      <c r="FB280" s="145"/>
      <c r="FC280" s="145"/>
      <c r="FD280" s="145"/>
      <c r="FE280" s="145"/>
      <c r="FF280" s="145"/>
      <c r="FG280" s="145"/>
      <c r="FH280" s="145"/>
      <c r="FI280" s="145"/>
      <c r="FJ280" s="145"/>
      <c r="FK280" s="145"/>
      <c r="FL280" s="145"/>
      <c r="FM280" s="145"/>
      <c r="FN280" s="145"/>
      <c r="FO280" s="145"/>
      <c r="FP280" s="145"/>
      <c r="FQ280" s="145"/>
      <c r="FR280" s="145"/>
      <c r="FS280" s="145"/>
      <c r="FT280" s="145"/>
      <c r="FU280" s="145"/>
      <c r="FV280" s="145"/>
      <c r="FW280" s="145"/>
      <c r="FX280" s="143"/>
      <c r="FY280" s="146">
        <f>_xlfn.XLOOKUP($E280,'Key assumptions'!$B$112:$B$120,'Key assumptions'!$C$112:$C$120,0)</f>
        <v>0</v>
      </c>
      <c r="FZ280" s="146" cm="1">
        <f t="array" ref="FZ280">IF($FY280=0,0,_xlfn.IFS($FY280='Key assumptions'!$C$120,_xlfn.XLOOKUP(LEFT(FZ$7,6),Inflation_Year,Inflation_NominaltoReal),TRUE,_xlfn.XLOOKUP($FY280,Inflation_Year,NominaltoReal)))</f>
        <v>0</v>
      </c>
      <c r="GA280" s="146" cm="1">
        <f t="array" ref="GA280">IF($FY280=0,0,_xlfn.IFS($FY280='Key assumptions'!$C$120,_xlfn.XLOOKUP(LEFT(GA$7,6),Inflation_Year,Inflation_NominaltoReal),TRUE,_xlfn.XLOOKUP($FY280,Inflation_Year,NominaltoReal)))</f>
        <v>0</v>
      </c>
      <c r="GB280" s="146" cm="1">
        <f t="array" ref="GB280">IF($FY280=0,0,_xlfn.IFS($FY280='Key assumptions'!$C$120,_xlfn.XLOOKUP(LEFT(GB$7,6),Inflation_Year,Inflation_NominaltoReal),TRUE,_xlfn.XLOOKUP($FY280,Inflation_Year,NominaltoReal)))</f>
        <v>0</v>
      </c>
      <c r="GC280" s="146" cm="1">
        <f t="array" ref="GC280">IF($FY280=0,0,_xlfn.IFS($FY280='Key assumptions'!$C$120,_xlfn.XLOOKUP(LEFT(GC$7,6),Inflation_Year,Inflation_NominaltoReal),TRUE,_xlfn.XLOOKUP($FY280,Inflation_Year,NominaltoReal)))</f>
        <v>0</v>
      </c>
      <c r="GD280" s="146" cm="1">
        <f t="array" ref="GD280">IF($FY280=0,0,_xlfn.IFS($FY280='Key assumptions'!$C$120,_xlfn.XLOOKUP(LEFT(GD$7,6),Inflation_Year,Inflation_NominaltoReal),TRUE,_xlfn.XLOOKUP($FY280,Inflation_Year,NominaltoReal)))</f>
        <v>0</v>
      </c>
      <c r="GE280" s="146" cm="1">
        <f t="array" ref="GE280">IF($FY280=0,0,_xlfn.IFS($FY280='Key assumptions'!$C$120,_xlfn.XLOOKUP(LEFT(GE$7,6),Inflation_Year,Inflation_NominaltoReal),TRUE,_xlfn.XLOOKUP($FY280,Inflation_Year,NominaltoReal)))</f>
        <v>0</v>
      </c>
      <c r="GF280" s="146" cm="1">
        <f t="array" ref="GF280">IF($FY280=0,0,_xlfn.IFS($FY280='Key assumptions'!$C$120,_xlfn.XLOOKUP(LEFT(GF$7,6),Inflation_Year,Inflation_NominaltoReal),TRUE,_xlfn.XLOOKUP($FY280,Inflation_Year,NominaltoReal)))</f>
        <v>0</v>
      </c>
      <c r="GG280" s="143"/>
      <c r="GH280" s="145" cm="1">
        <f t="array" ref="GH280">SUMPRODUCT(--($CR$7:$FW$7&gt;=GH$5),--($CR$7:$FW$7&lt;=GH$6),$CR280:$FW280)*FZ280</f>
        <v>0</v>
      </c>
      <c r="GI280" s="145" cm="1">
        <f t="array" ref="GI280">SUMPRODUCT(--($CR$7:$FW$7&gt;=GI$5),--($CR$7:$FW$7&lt;=GI$6),$CR280:$FW280)*GA280</f>
        <v>0</v>
      </c>
      <c r="GJ280" s="145" cm="1">
        <f t="array" ref="GJ280">SUMPRODUCT(--($CR$7:$FW$7&gt;=GJ$5),--($CR$7:$FW$7&lt;=GJ$6),$CR280:$FW280)*GB280</f>
        <v>0</v>
      </c>
      <c r="GK280" s="145" cm="1">
        <f t="array" ref="GK280">SUMPRODUCT(--($CR$7:$FW$7&gt;=GK$5),--($CR$7:$FW$7&lt;=GK$6),$CR280:$FW280)*GC280</f>
        <v>0</v>
      </c>
      <c r="GL280" s="145" cm="1">
        <f t="array" ref="GL280">SUMPRODUCT(--($CR$7:$FW$7&gt;=GL$5),--($CR$7:$FW$7&lt;=GL$6),$CR280:$FW280)*GD280</f>
        <v>0</v>
      </c>
      <c r="GM280" s="145" cm="1">
        <f t="array" ref="GM280">SUMPRODUCT(--($CR$7:$FW$7&gt;=GM$5),--($CR$7:$FW$7&lt;=GM$6),$CR280:$FW280)*GE280</f>
        <v>0</v>
      </c>
      <c r="GN280" s="145" cm="1">
        <f t="array" ref="GN280">SUMPRODUCT(--($CR$7:$FW$7&gt;=GN$5),--($CR$7:$FW$7&lt;=GN$6),$CR280:$FW280)*GF280</f>
        <v>0</v>
      </c>
      <c r="GO280" s="145">
        <f t="shared" si="4"/>
        <v>0</v>
      </c>
      <c r="GP280" s="87"/>
      <c r="GR280" s="145" cm="1">
        <f t="array" ref="GR280">SUMPRODUCT(--($CR$7:$FW$7&gt;=GR$5),--($CR$7:$FW$7&lt;=GR$6),$CR280:$FW280)</f>
        <v>0</v>
      </c>
    </row>
    <row r="281" spans="2:200" x14ac:dyDescent="0.2">
      <c r="B281" s="141"/>
      <c r="C281" s="141"/>
      <c r="D281" s="141"/>
      <c r="E281" s="141"/>
      <c r="F281" s="141"/>
      <c r="G281" s="141"/>
      <c r="H281" s="142"/>
      <c r="I281" s="126"/>
      <c r="J281" s="143"/>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3"/>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c r="EE281" s="145"/>
      <c r="EF281" s="145"/>
      <c r="EG281" s="145"/>
      <c r="EH281" s="145"/>
      <c r="EI281" s="145"/>
      <c r="EJ281" s="145"/>
      <c r="EK281" s="145"/>
      <c r="EL281" s="145"/>
      <c r="EM281" s="145"/>
      <c r="EN281" s="145"/>
      <c r="EO281" s="145"/>
      <c r="EP281" s="145"/>
      <c r="EQ281" s="145"/>
      <c r="ER281" s="145"/>
      <c r="ES281" s="145"/>
      <c r="ET281" s="145"/>
      <c r="EU281" s="145"/>
      <c r="EV281" s="145"/>
      <c r="EW281" s="145"/>
      <c r="EX281" s="145"/>
      <c r="EY281" s="145"/>
      <c r="EZ281" s="145"/>
      <c r="FA281" s="145"/>
      <c r="FB281" s="145"/>
      <c r="FC281" s="145"/>
      <c r="FD281" s="145"/>
      <c r="FE281" s="145"/>
      <c r="FF281" s="145"/>
      <c r="FG281" s="145"/>
      <c r="FH281" s="145"/>
      <c r="FI281" s="145"/>
      <c r="FJ281" s="145"/>
      <c r="FK281" s="145"/>
      <c r="FL281" s="145"/>
      <c r="FM281" s="145"/>
      <c r="FN281" s="145"/>
      <c r="FO281" s="145"/>
      <c r="FP281" s="145"/>
      <c r="FQ281" s="145"/>
      <c r="FR281" s="145"/>
      <c r="FS281" s="145"/>
      <c r="FT281" s="145"/>
      <c r="FU281" s="145"/>
      <c r="FV281" s="145"/>
      <c r="FW281" s="145"/>
      <c r="FX281" s="143"/>
      <c r="FY281" s="146">
        <f>_xlfn.XLOOKUP($E281,'Key assumptions'!$B$112:$B$120,'Key assumptions'!$C$112:$C$120,0)</f>
        <v>0</v>
      </c>
      <c r="FZ281" s="146" cm="1">
        <f t="array" ref="FZ281">IF($FY281=0,0,_xlfn.IFS($FY281='Key assumptions'!$C$120,_xlfn.XLOOKUP(LEFT(FZ$7,6),Inflation_Year,Inflation_NominaltoReal),TRUE,_xlfn.XLOOKUP($FY281,Inflation_Year,NominaltoReal)))</f>
        <v>0</v>
      </c>
      <c r="GA281" s="146" cm="1">
        <f t="array" ref="GA281">IF($FY281=0,0,_xlfn.IFS($FY281='Key assumptions'!$C$120,_xlfn.XLOOKUP(LEFT(GA$7,6),Inflation_Year,Inflation_NominaltoReal),TRUE,_xlfn.XLOOKUP($FY281,Inflation_Year,NominaltoReal)))</f>
        <v>0</v>
      </c>
      <c r="GB281" s="146" cm="1">
        <f t="array" ref="GB281">IF($FY281=0,0,_xlfn.IFS($FY281='Key assumptions'!$C$120,_xlfn.XLOOKUP(LEFT(GB$7,6),Inflation_Year,Inflation_NominaltoReal),TRUE,_xlfn.XLOOKUP($FY281,Inflation_Year,NominaltoReal)))</f>
        <v>0</v>
      </c>
      <c r="GC281" s="146" cm="1">
        <f t="array" ref="GC281">IF($FY281=0,0,_xlfn.IFS($FY281='Key assumptions'!$C$120,_xlfn.XLOOKUP(LEFT(GC$7,6),Inflation_Year,Inflation_NominaltoReal),TRUE,_xlfn.XLOOKUP($FY281,Inflation_Year,NominaltoReal)))</f>
        <v>0</v>
      </c>
      <c r="GD281" s="146" cm="1">
        <f t="array" ref="GD281">IF($FY281=0,0,_xlfn.IFS($FY281='Key assumptions'!$C$120,_xlfn.XLOOKUP(LEFT(GD$7,6),Inflation_Year,Inflation_NominaltoReal),TRUE,_xlfn.XLOOKUP($FY281,Inflation_Year,NominaltoReal)))</f>
        <v>0</v>
      </c>
      <c r="GE281" s="146" cm="1">
        <f t="array" ref="GE281">IF($FY281=0,0,_xlfn.IFS($FY281='Key assumptions'!$C$120,_xlfn.XLOOKUP(LEFT(GE$7,6),Inflation_Year,Inflation_NominaltoReal),TRUE,_xlfn.XLOOKUP($FY281,Inflation_Year,NominaltoReal)))</f>
        <v>0</v>
      </c>
      <c r="GF281" s="146" cm="1">
        <f t="array" ref="GF281">IF($FY281=0,0,_xlfn.IFS($FY281='Key assumptions'!$C$120,_xlfn.XLOOKUP(LEFT(GF$7,6),Inflation_Year,Inflation_NominaltoReal),TRUE,_xlfn.XLOOKUP($FY281,Inflation_Year,NominaltoReal)))</f>
        <v>0</v>
      </c>
      <c r="GG281" s="143"/>
      <c r="GH281" s="145" cm="1">
        <f t="array" ref="GH281">SUMPRODUCT(--($CR$7:$FW$7&gt;=GH$5),--($CR$7:$FW$7&lt;=GH$6),$CR281:$FW281)*FZ281</f>
        <v>0</v>
      </c>
      <c r="GI281" s="145" cm="1">
        <f t="array" ref="GI281">SUMPRODUCT(--($CR$7:$FW$7&gt;=GI$5),--($CR$7:$FW$7&lt;=GI$6),$CR281:$FW281)*GA281</f>
        <v>0</v>
      </c>
      <c r="GJ281" s="145" cm="1">
        <f t="array" ref="GJ281">SUMPRODUCT(--($CR$7:$FW$7&gt;=GJ$5),--($CR$7:$FW$7&lt;=GJ$6),$CR281:$FW281)*GB281</f>
        <v>0</v>
      </c>
      <c r="GK281" s="145" cm="1">
        <f t="array" ref="GK281">SUMPRODUCT(--($CR$7:$FW$7&gt;=GK$5),--($CR$7:$FW$7&lt;=GK$6),$CR281:$FW281)*GC281</f>
        <v>0</v>
      </c>
      <c r="GL281" s="145" cm="1">
        <f t="array" ref="GL281">SUMPRODUCT(--($CR$7:$FW$7&gt;=GL$5),--($CR$7:$FW$7&lt;=GL$6),$CR281:$FW281)*GD281</f>
        <v>0</v>
      </c>
      <c r="GM281" s="145" cm="1">
        <f t="array" ref="GM281">SUMPRODUCT(--($CR$7:$FW$7&gt;=GM$5),--($CR$7:$FW$7&lt;=GM$6),$CR281:$FW281)*GE281</f>
        <v>0</v>
      </c>
      <c r="GN281" s="145" cm="1">
        <f t="array" ref="GN281">SUMPRODUCT(--($CR$7:$FW$7&gt;=GN$5),--($CR$7:$FW$7&lt;=GN$6),$CR281:$FW281)*GF281</f>
        <v>0</v>
      </c>
      <c r="GO281" s="145">
        <f t="shared" si="4"/>
        <v>0</v>
      </c>
      <c r="GP281" s="87"/>
      <c r="GR281" s="145" cm="1">
        <f t="array" ref="GR281">SUMPRODUCT(--($CR$7:$FW$7&gt;=GR$5),--($CR$7:$FW$7&lt;=GR$6),$CR281:$FW281)</f>
        <v>0</v>
      </c>
    </row>
    <row r="282" spans="2:200" x14ac:dyDescent="0.2">
      <c r="B282" s="141"/>
      <c r="C282" s="141"/>
      <c r="D282" s="141"/>
      <c r="E282" s="141"/>
      <c r="F282" s="141"/>
      <c r="G282" s="141"/>
      <c r="H282" s="142"/>
      <c r="I282" s="126"/>
      <c r="J282" s="143"/>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3"/>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c r="EE282" s="145"/>
      <c r="EF282" s="145"/>
      <c r="EG282" s="145"/>
      <c r="EH282" s="145"/>
      <c r="EI282" s="145"/>
      <c r="EJ282" s="145"/>
      <c r="EK282" s="145"/>
      <c r="EL282" s="145"/>
      <c r="EM282" s="145"/>
      <c r="EN282" s="145"/>
      <c r="EO282" s="145"/>
      <c r="EP282" s="145"/>
      <c r="EQ282" s="145"/>
      <c r="ER282" s="145"/>
      <c r="ES282" s="145"/>
      <c r="ET282" s="145"/>
      <c r="EU282" s="145"/>
      <c r="EV282" s="145"/>
      <c r="EW282" s="145"/>
      <c r="EX282" s="145"/>
      <c r="EY282" s="145"/>
      <c r="EZ282" s="145"/>
      <c r="FA282" s="145"/>
      <c r="FB282" s="145"/>
      <c r="FC282" s="145"/>
      <c r="FD282" s="145"/>
      <c r="FE282" s="145"/>
      <c r="FF282" s="145"/>
      <c r="FG282" s="145"/>
      <c r="FH282" s="145"/>
      <c r="FI282" s="145"/>
      <c r="FJ282" s="145"/>
      <c r="FK282" s="145"/>
      <c r="FL282" s="145"/>
      <c r="FM282" s="145"/>
      <c r="FN282" s="145"/>
      <c r="FO282" s="145"/>
      <c r="FP282" s="145"/>
      <c r="FQ282" s="145"/>
      <c r="FR282" s="145"/>
      <c r="FS282" s="145"/>
      <c r="FT282" s="145"/>
      <c r="FU282" s="145"/>
      <c r="FV282" s="145"/>
      <c r="FW282" s="145"/>
      <c r="FX282" s="143"/>
      <c r="FY282" s="146">
        <f>_xlfn.XLOOKUP($E282,'Key assumptions'!$B$112:$B$120,'Key assumptions'!$C$112:$C$120,0)</f>
        <v>0</v>
      </c>
      <c r="FZ282" s="146" cm="1">
        <f t="array" ref="FZ282">IF($FY282=0,0,_xlfn.IFS($FY282='Key assumptions'!$C$120,_xlfn.XLOOKUP(LEFT(FZ$7,6),Inflation_Year,Inflation_NominaltoReal),TRUE,_xlfn.XLOOKUP($FY282,Inflation_Year,NominaltoReal)))</f>
        <v>0</v>
      </c>
      <c r="GA282" s="146" cm="1">
        <f t="array" ref="GA282">IF($FY282=0,0,_xlfn.IFS($FY282='Key assumptions'!$C$120,_xlfn.XLOOKUP(LEFT(GA$7,6),Inflation_Year,Inflation_NominaltoReal),TRUE,_xlfn.XLOOKUP($FY282,Inflation_Year,NominaltoReal)))</f>
        <v>0</v>
      </c>
      <c r="GB282" s="146" cm="1">
        <f t="array" ref="GB282">IF($FY282=0,0,_xlfn.IFS($FY282='Key assumptions'!$C$120,_xlfn.XLOOKUP(LEFT(GB$7,6),Inflation_Year,Inflation_NominaltoReal),TRUE,_xlfn.XLOOKUP($FY282,Inflation_Year,NominaltoReal)))</f>
        <v>0</v>
      </c>
      <c r="GC282" s="146" cm="1">
        <f t="array" ref="GC282">IF($FY282=0,0,_xlfn.IFS($FY282='Key assumptions'!$C$120,_xlfn.XLOOKUP(LEFT(GC$7,6),Inflation_Year,Inflation_NominaltoReal),TRUE,_xlfn.XLOOKUP($FY282,Inflation_Year,NominaltoReal)))</f>
        <v>0</v>
      </c>
      <c r="GD282" s="146" cm="1">
        <f t="array" ref="GD282">IF($FY282=0,0,_xlfn.IFS($FY282='Key assumptions'!$C$120,_xlfn.XLOOKUP(LEFT(GD$7,6),Inflation_Year,Inflation_NominaltoReal),TRUE,_xlfn.XLOOKUP($FY282,Inflation_Year,NominaltoReal)))</f>
        <v>0</v>
      </c>
      <c r="GE282" s="146" cm="1">
        <f t="array" ref="GE282">IF($FY282=0,0,_xlfn.IFS($FY282='Key assumptions'!$C$120,_xlfn.XLOOKUP(LEFT(GE$7,6),Inflation_Year,Inflation_NominaltoReal),TRUE,_xlfn.XLOOKUP($FY282,Inflation_Year,NominaltoReal)))</f>
        <v>0</v>
      </c>
      <c r="GF282" s="146" cm="1">
        <f t="array" ref="GF282">IF($FY282=0,0,_xlfn.IFS($FY282='Key assumptions'!$C$120,_xlfn.XLOOKUP(LEFT(GF$7,6),Inflation_Year,Inflation_NominaltoReal),TRUE,_xlfn.XLOOKUP($FY282,Inflation_Year,NominaltoReal)))</f>
        <v>0</v>
      </c>
      <c r="GG282" s="143"/>
      <c r="GH282" s="145" cm="1">
        <f t="array" ref="GH282">SUMPRODUCT(--($CR$7:$FW$7&gt;=GH$5),--($CR$7:$FW$7&lt;=GH$6),$CR282:$FW282)*FZ282</f>
        <v>0</v>
      </c>
      <c r="GI282" s="145" cm="1">
        <f t="array" ref="GI282">SUMPRODUCT(--($CR$7:$FW$7&gt;=GI$5),--($CR$7:$FW$7&lt;=GI$6),$CR282:$FW282)*GA282</f>
        <v>0</v>
      </c>
      <c r="GJ282" s="145" cm="1">
        <f t="array" ref="GJ282">SUMPRODUCT(--($CR$7:$FW$7&gt;=GJ$5),--($CR$7:$FW$7&lt;=GJ$6),$CR282:$FW282)*GB282</f>
        <v>0</v>
      </c>
      <c r="GK282" s="145" cm="1">
        <f t="array" ref="GK282">SUMPRODUCT(--($CR$7:$FW$7&gt;=GK$5),--($CR$7:$FW$7&lt;=GK$6),$CR282:$FW282)*GC282</f>
        <v>0</v>
      </c>
      <c r="GL282" s="145" cm="1">
        <f t="array" ref="GL282">SUMPRODUCT(--($CR$7:$FW$7&gt;=GL$5),--($CR$7:$FW$7&lt;=GL$6),$CR282:$FW282)*GD282</f>
        <v>0</v>
      </c>
      <c r="GM282" s="145" cm="1">
        <f t="array" ref="GM282">SUMPRODUCT(--($CR$7:$FW$7&gt;=GM$5),--($CR$7:$FW$7&lt;=GM$6),$CR282:$FW282)*GE282</f>
        <v>0</v>
      </c>
      <c r="GN282" s="145" cm="1">
        <f t="array" ref="GN282">SUMPRODUCT(--($CR$7:$FW$7&gt;=GN$5),--($CR$7:$FW$7&lt;=GN$6),$CR282:$FW282)*GF282</f>
        <v>0</v>
      </c>
      <c r="GO282" s="145">
        <f t="shared" si="4"/>
        <v>0</v>
      </c>
      <c r="GP282" s="87"/>
      <c r="GR282" s="145" cm="1">
        <f t="array" ref="GR282">SUMPRODUCT(--($CR$7:$FW$7&gt;=GR$5),--($CR$7:$FW$7&lt;=GR$6),$CR282:$FW282)</f>
        <v>0</v>
      </c>
    </row>
    <row r="283" spans="2:200" x14ac:dyDescent="0.2">
      <c r="B283" s="141"/>
      <c r="C283" s="141"/>
      <c r="D283" s="141"/>
      <c r="E283" s="141"/>
      <c r="F283" s="141"/>
      <c r="G283" s="141"/>
      <c r="H283" s="142"/>
      <c r="I283" s="126"/>
      <c r="J283" s="143"/>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3"/>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c r="EE283" s="145"/>
      <c r="EF283" s="145"/>
      <c r="EG283" s="145"/>
      <c r="EH283" s="145"/>
      <c r="EI283" s="145"/>
      <c r="EJ283" s="145"/>
      <c r="EK283" s="145"/>
      <c r="EL283" s="145"/>
      <c r="EM283" s="145"/>
      <c r="EN283" s="145"/>
      <c r="EO283" s="145"/>
      <c r="EP283" s="145"/>
      <c r="EQ283" s="145"/>
      <c r="ER283" s="145"/>
      <c r="ES283" s="145"/>
      <c r="ET283" s="145"/>
      <c r="EU283" s="145"/>
      <c r="EV283" s="145"/>
      <c r="EW283" s="145"/>
      <c r="EX283" s="145"/>
      <c r="EY283" s="145"/>
      <c r="EZ283" s="145"/>
      <c r="FA283" s="145"/>
      <c r="FB283" s="145"/>
      <c r="FC283" s="145"/>
      <c r="FD283" s="145"/>
      <c r="FE283" s="145"/>
      <c r="FF283" s="145"/>
      <c r="FG283" s="145"/>
      <c r="FH283" s="145"/>
      <c r="FI283" s="145"/>
      <c r="FJ283" s="145"/>
      <c r="FK283" s="145"/>
      <c r="FL283" s="145"/>
      <c r="FM283" s="145"/>
      <c r="FN283" s="145"/>
      <c r="FO283" s="145"/>
      <c r="FP283" s="145"/>
      <c r="FQ283" s="145"/>
      <c r="FR283" s="145"/>
      <c r="FS283" s="145"/>
      <c r="FT283" s="145"/>
      <c r="FU283" s="145"/>
      <c r="FV283" s="145"/>
      <c r="FW283" s="145"/>
      <c r="FX283" s="143"/>
      <c r="FY283" s="146">
        <f>_xlfn.XLOOKUP($E283,'Key assumptions'!$B$112:$B$120,'Key assumptions'!$C$112:$C$120,0)</f>
        <v>0</v>
      </c>
      <c r="FZ283" s="146" cm="1">
        <f t="array" ref="FZ283">IF($FY283=0,0,_xlfn.IFS($FY283='Key assumptions'!$C$120,_xlfn.XLOOKUP(LEFT(FZ$7,6),Inflation_Year,Inflation_NominaltoReal),TRUE,_xlfn.XLOOKUP($FY283,Inflation_Year,NominaltoReal)))</f>
        <v>0</v>
      </c>
      <c r="GA283" s="146" cm="1">
        <f t="array" ref="GA283">IF($FY283=0,0,_xlfn.IFS($FY283='Key assumptions'!$C$120,_xlfn.XLOOKUP(LEFT(GA$7,6),Inflation_Year,Inflation_NominaltoReal),TRUE,_xlfn.XLOOKUP($FY283,Inflation_Year,NominaltoReal)))</f>
        <v>0</v>
      </c>
      <c r="GB283" s="146" cm="1">
        <f t="array" ref="GB283">IF($FY283=0,0,_xlfn.IFS($FY283='Key assumptions'!$C$120,_xlfn.XLOOKUP(LEFT(GB$7,6),Inflation_Year,Inflation_NominaltoReal),TRUE,_xlfn.XLOOKUP($FY283,Inflation_Year,NominaltoReal)))</f>
        <v>0</v>
      </c>
      <c r="GC283" s="146" cm="1">
        <f t="array" ref="GC283">IF($FY283=0,0,_xlfn.IFS($FY283='Key assumptions'!$C$120,_xlfn.XLOOKUP(LEFT(GC$7,6),Inflation_Year,Inflation_NominaltoReal),TRUE,_xlfn.XLOOKUP($FY283,Inflation_Year,NominaltoReal)))</f>
        <v>0</v>
      </c>
      <c r="GD283" s="146" cm="1">
        <f t="array" ref="GD283">IF($FY283=0,0,_xlfn.IFS($FY283='Key assumptions'!$C$120,_xlfn.XLOOKUP(LEFT(GD$7,6),Inflation_Year,Inflation_NominaltoReal),TRUE,_xlfn.XLOOKUP($FY283,Inflation_Year,NominaltoReal)))</f>
        <v>0</v>
      </c>
      <c r="GE283" s="146" cm="1">
        <f t="array" ref="GE283">IF($FY283=0,0,_xlfn.IFS($FY283='Key assumptions'!$C$120,_xlfn.XLOOKUP(LEFT(GE$7,6),Inflation_Year,Inflation_NominaltoReal),TRUE,_xlfn.XLOOKUP($FY283,Inflation_Year,NominaltoReal)))</f>
        <v>0</v>
      </c>
      <c r="GF283" s="146" cm="1">
        <f t="array" ref="GF283">IF($FY283=0,0,_xlfn.IFS($FY283='Key assumptions'!$C$120,_xlfn.XLOOKUP(LEFT(GF$7,6),Inflation_Year,Inflation_NominaltoReal),TRUE,_xlfn.XLOOKUP($FY283,Inflation_Year,NominaltoReal)))</f>
        <v>0</v>
      </c>
      <c r="GG283" s="143"/>
      <c r="GH283" s="145" cm="1">
        <f t="array" ref="GH283">SUMPRODUCT(--($CR$7:$FW$7&gt;=GH$5),--($CR$7:$FW$7&lt;=GH$6),$CR283:$FW283)*FZ283</f>
        <v>0</v>
      </c>
      <c r="GI283" s="145" cm="1">
        <f t="array" ref="GI283">SUMPRODUCT(--($CR$7:$FW$7&gt;=GI$5),--($CR$7:$FW$7&lt;=GI$6),$CR283:$FW283)*GA283</f>
        <v>0</v>
      </c>
      <c r="GJ283" s="145" cm="1">
        <f t="array" ref="GJ283">SUMPRODUCT(--($CR$7:$FW$7&gt;=GJ$5),--($CR$7:$FW$7&lt;=GJ$6),$CR283:$FW283)*GB283</f>
        <v>0</v>
      </c>
      <c r="GK283" s="145" cm="1">
        <f t="array" ref="GK283">SUMPRODUCT(--($CR$7:$FW$7&gt;=GK$5),--($CR$7:$FW$7&lt;=GK$6),$CR283:$FW283)*GC283</f>
        <v>0</v>
      </c>
      <c r="GL283" s="145" cm="1">
        <f t="array" ref="GL283">SUMPRODUCT(--($CR$7:$FW$7&gt;=GL$5),--($CR$7:$FW$7&lt;=GL$6),$CR283:$FW283)*GD283</f>
        <v>0</v>
      </c>
      <c r="GM283" s="145" cm="1">
        <f t="array" ref="GM283">SUMPRODUCT(--($CR$7:$FW$7&gt;=GM$5),--($CR$7:$FW$7&lt;=GM$6),$CR283:$FW283)*GE283</f>
        <v>0</v>
      </c>
      <c r="GN283" s="145" cm="1">
        <f t="array" ref="GN283">SUMPRODUCT(--($CR$7:$FW$7&gt;=GN$5),--($CR$7:$FW$7&lt;=GN$6),$CR283:$FW283)*GF283</f>
        <v>0</v>
      </c>
      <c r="GO283" s="145">
        <f t="shared" si="4"/>
        <v>0</v>
      </c>
      <c r="GP283" s="87"/>
      <c r="GR283" s="145" cm="1">
        <f t="array" ref="GR283">SUMPRODUCT(--($CR$7:$FW$7&gt;=GR$5),--($CR$7:$FW$7&lt;=GR$6),$CR283:$FW283)</f>
        <v>0</v>
      </c>
    </row>
    <row r="284" spans="2:200" x14ac:dyDescent="0.2">
      <c r="B284" s="141"/>
      <c r="C284" s="141"/>
      <c r="D284" s="141"/>
      <c r="E284" s="141"/>
      <c r="F284" s="141"/>
      <c r="G284" s="141"/>
      <c r="H284" s="142"/>
      <c r="I284" s="126"/>
      <c r="J284" s="143"/>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3"/>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c r="EE284" s="145"/>
      <c r="EF284" s="145"/>
      <c r="EG284" s="145"/>
      <c r="EH284" s="145"/>
      <c r="EI284" s="145"/>
      <c r="EJ284" s="145"/>
      <c r="EK284" s="145"/>
      <c r="EL284" s="145"/>
      <c r="EM284" s="145"/>
      <c r="EN284" s="145"/>
      <c r="EO284" s="145"/>
      <c r="EP284" s="145"/>
      <c r="EQ284" s="145"/>
      <c r="ER284" s="145"/>
      <c r="ES284" s="145"/>
      <c r="ET284" s="145"/>
      <c r="EU284" s="145"/>
      <c r="EV284" s="145"/>
      <c r="EW284" s="145"/>
      <c r="EX284" s="145"/>
      <c r="EY284" s="145"/>
      <c r="EZ284" s="145"/>
      <c r="FA284" s="145"/>
      <c r="FB284" s="145"/>
      <c r="FC284" s="145"/>
      <c r="FD284" s="145"/>
      <c r="FE284" s="145"/>
      <c r="FF284" s="145"/>
      <c r="FG284" s="145"/>
      <c r="FH284" s="145"/>
      <c r="FI284" s="145"/>
      <c r="FJ284" s="145"/>
      <c r="FK284" s="145"/>
      <c r="FL284" s="145"/>
      <c r="FM284" s="145"/>
      <c r="FN284" s="145"/>
      <c r="FO284" s="145"/>
      <c r="FP284" s="145"/>
      <c r="FQ284" s="145"/>
      <c r="FR284" s="145"/>
      <c r="FS284" s="145"/>
      <c r="FT284" s="145"/>
      <c r="FU284" s="145"/>
      <c r="FV284" s="145"/>
      <c r="FW284" s="145"/>
      <c r="FX284" s="143"/>
      <c r="FY284" s="146">
        <f>_xlfn.XLOOKUP($E284,'Key assumptions'!$B$112:$B$120,'Key assumptions'!$C$112:$C$120,0)</f>
        <v>0</v>
      </c>
      <c r="FZ284" s="146" cm="1">
        <f t="array" ref="FZ284">IF($FY284=0,0,_xlfn.IFS($FY284='Key assumptions'!$C$120,_xlfn.XLOOKUP(LEFT(FZ$7,6),Inflation_Year,Inflation_NominaltoReal),TRUE,_xlfn.XLOOKUP($FY284,Inflation_Year,NominaltoReal)))</f>
        <v>0</v>
      </c>
      <c r="GA284" s="146" cm="1">
        <f t="array" ref="GA284">IF($FY284=0,0,_xlfn.IFS($FY284='Key assumptions'!$C$120,_xlfn.XLOOKUP(LEFT(GA$7,6),Inflation_Year,Inflation_NominaltoReal),TRUE,_xlfn.XLOOKUP($FY284,Inflation_Year,NominaltoReal)))</f>
        <v>0</v>
      </c>
      <c r="GB284" s="146" cm="1">
        <f t="array" ref="GB284">IF($FY284=0,0,_xlfn.IFS($FY284='Key assumptions'!$C$120,_xlfn.XLOOKUP(LEFT(GB$7,6),Inflation_Year,Inflation_NominaltoReal),TRUE,_xlfn.XLOOKUP($FY284,Inflation_Year,NominaltoReal)))</f>
        <v>0</v>
      </c>
      <c r="GC284" s="146" cm="1">
        <f t="array" ref="GC284">IF($FY284=0,0,_xlfn.IFS($FY284='Key assumptions'!$C$120,_xlfn.XLOOKUP(LEFT(GC$7,6),Inflation_Year,Inflation_NominaltoReal),TRUE,_xlfn.XLOOKUP($FY284,Inflation_Year,NominaltoReal)))</f>
        <v>0</v>
      </c>
      <c r="GD284" s="146" cm="1">
        <f t="array" ref="GD284">IF($FY284=0,0,_xlfn.IFS($FY284='Key assumptions'!$C$120,_xlfn.XLOOKUP(LEFT(GD$7,6),Inflation_Year,Inflation_NominaltoReal),TRUE,_xlfn.XLOOKUP($FY284,Inflation_Year,NominaltoReal)))</f>
        <v>0</v>
      </c>
      <c r="GE284" s="146" cm="1">
        <f t="array" ref="GE284">IF($FY284=0,0,_xlfn.IFS($FY284='Key assumptions'!$C$120,_xlfn.XLOOKUP(LEFT(GE$7,6),Inflation_Year,Inflation_NominaltoReal),TRUE,_xlfn.XLOOKUP($FY284,Inflation_Year,NominaltoReal)))</f>
        <v>0</v>
      </c>
      <c r="GF284" s="146" cm="1">
        <f t="array" ref="GF284">IF($FY284=0,0,_xlfn.IFS($FY284='Key assumptions'!$C$120,_xlfn.XLOOKUP(LEFT(GF$7,6),Inflation_Year,Inflation_NominaltoReal),TRUE,_xlfn.XLOOKUP($FY284,Inflation_Year,NominaltoReal)))</f>
        <v>0</v>
      </c>
      <c r="GG284" s="143"/>
      <c r="GH284" s="145" cm="1">
        <f t="array" ref="GH284">SUMPRODUCT(--($CR$7:$FW$7&gt;=GH$5),--($CR$7:$FW$7&lt;=GH$6),$CR284:$FW284)*FZ284</f>
        <v>0</v>
      </c>
      <c r="GI284" s="145" cm="1">
        <f t="array" ref="GI284">SUMPRODUCT(--($CR$7:$FW$7&gt;=GI$5),--($CR$7:$FW$7&lt;=GI$6),$CR284:$FW284)*GA284</f>
        <v>0</v>
      </c>
      <c r="GJ284" s="145" cm="1">
        <f t="array" ref="GJ284">SUMPRODUCT(--($CR$7:$FW$7&gt;=GJ$5),--($CR$7:$FW$7&lt;=GJ$6),$CR284:$FW284)*GB284</f>
        <v>0</v>
      </c>
      <c r="GK284" s="145" cm="1">
        <f t="array" ref="GK284">SUMPRODUCT(--($CR$7:$FW$7&gt;=GK$5),--($CR$7:$FW$7&lt;=GK$6),$CR284:$FW284)*GC284</f>
        <v>0</v>
      </c>
      <c r="GL284" s="145" cm="1">
        <f t="array" ref="GL284">SUMPRODUCT(--($CR$7:$FW$7&gt;=GL$5),--($CR$7:$FW$7&lt;=GL$6),$CR284:$FW284)*GD284</f>
        <v>0</v>
      </c>
      <c r="GM284" s="145" cm="1">
        <f t="array" ref="GM284">SUMPRODUCT(--($CR$7:$FW$7&gt;=GM$5),--($CR$7:$FW$7&lt;=GM$6),$CR284:$FW284)*GE284</f>
        <v>0</v>
      </c>
      <c r="GN284" s="145" cm="1">
        <f t="array" ref="GN284">SUMPRODUCT(--($CR$7:$FW$7&gt;=GN$5),--($CR$7:$FW$7&lt;=GN$6),$CR284:$FW284)*GF284</f>
        <v>0</v>
      </c>
      <c r="GO284" s="145">
        <f t="shared" si="4"/>
        <v>0</v>
      </c>
      <c r="GP284" s="87"/>
      <c r="GR284" s="145" cm="1">
        <f t="array" ref="GR284">SUMPRODUCT(--($CR$7:$FW$7&gt;=GR$5),--($CR$7:$FW$7&lt;=GR$6),$CR284:$FW284)</f>
        <v>0</v>
      </c>
    </row>
    <row r="285" spans="2:200" x14ac:dyDescent="0.2">
      <c r="B285" s="141"/>
      <c r="C285" s="141"/>
      <c r="D285" s="141"/>
      <c r="E285" s="141"/>
      <c r="F285" s="141"/>
      <c r="G285" s="141"/>
      <c r="H285" s="142"/>
      <c r="I285" s="126"/>
      <c r="J285" s="143"/>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3"/>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c r="EE285" s="145"/>
      <c r="EF285" s="145"/>
      <c r="EG285" s="145"/>
      <c r="EH285" s="145"/>
      <c r="EI285" s="145"/>
      <c r="EJ285" s="145"/>
      <c r="EK285" s="145"/>
      <c r="EL285" s="145"/>
      <c r="EM285" s="145"/>
      <c r="EN285" s="145"/>
      <c r="EO285" s="145"/>
      <c r="EP285" s="145"/>
      <c r="EQ285" s="145"/>
      <c r="ER285" s="145"/>
      <c r="ES285" s="145"/>
      <c r="ET285" s="145"/>
      <c r="EU285" s="145"/>
      <c r="EV285" s="145"/>
      <c r="EW285" s="145"/>
      <c r="EX285" s="145"/>
      <c r="EY285" s="145"/>
      <c r="EZ285" s="145"/>
      <c r="FA285" s="145"/>
      <c r="FB285" s="145"/>
      <c r="FC285" s="145"/>
      <c r="FD285" s="145"/>
      <c r="FE285" s="145"/>
      <c r="FF285" s="145"/>
      <c r="FG285" s="145"/>
      <c r="FH285" s="145"/>
      <c r="FI285" s="145"/>
      <c r="FJ285" s="145"/>
      <c r="FK285" s="145"/>
      <c r="FL285" s="145"/>
      <c r="FM285" s="145"/>
      <c r="FN285" s="145"/>
      <c r="FO285" s="145"/>
      <c r="FP285" s="145"/>
      <c r="FQ285" s="145"/>
      <c r="FR285" s="145"/>
      <c r="FS285" s="145"/>
      <c r="FT285" s="145"/>
      <c r="FU285" s="145"/>
      <c r="FV285" s="145"/>
      <c r="FW285" s="145"/>
      <c r="FX285" s="143"/>
      <c r="FY285" s="146">
        <f>_xlfn.XLOOKUP($E285,'Key assumptions'!$B$112:$B$120,'Key assumptions'!$C$112:$C$120,0)</f>
        <v>0</v>
      </c>
      <c r="FZ285" s="146" cm="1">
        <f t="array" ref="FZ285">IF($FY285=0,0,_xlfn.IFS($FY285='Key assumptions'!$C$120,_xlfn.XLOOKUP(LEFT(FZ$7,6),Inflation_Year,Inflation_NominaltoReal),TRUE,_xlfn.XLOOKUP($FY285,Inflation_Year,NominaltoReal)))</f>
        <v>0</v>
      </c>
      <c r="GA285" s="146" cm="1">
        <f t="array" ref="GA285">IF($FY285=0,0,_xlfn.IFS($FY285='Key assumptions'!$C$120,_xlfn.XLOOKUP(LEFT(GA$7,6),Inflation_Year,Inflation_NominaltoReal),TRUE,_xlfn.XLOOKUP($FY285,Inflation_Year,NominaltoReal)))</f>
        <v>0</v>
      </c>
      <c r="GB285" s="146" cm="1">
        <f t="array" ref="GB285">IF($FY285=0,0,_xlfn.IFS($FY285='Key assumptions'!$C$120,_xlfn.XLOOKUP(LEFT(GB$7,6),Inflation_Year,Inflation_NominaltoReal),TRUE,_xlfn.XLOOKUP($FY285,Inflation_Year,NominaltoReal)))</f>
        <v>0</v>
      </c>
      <c r="GC285" s="146" cm="1">
        <f t="array" ref="GC285">IF($FY285=0,0,_xlfn.IFS($FY285='Key assumptions'!$C$120,_xlfn.XLOOKUP(LEFT(GC$7,6),Inflation_Year,Inflation_NominaltoReal),TRUE,_xlfn.XLOOKUP($FY285,Inflation_Year,NominaltoReal)))</f>
        <v>0</v>
      </c>
      <c r="GD285" s="146" cm="1">
        <f t="array" ref="GD285">IF($FY285=0,0,_xlfn.IFS($FY285='Key assumptions'!$C$120,_xlfn.XLOOKUP(LEFT(GD$7,6),Inflation_Year,Inflation_NominaltoReal),TRUE,_xlfn.XLOOKUP($FY285,Inflation_Year,NominaltoReal)))</f>
        <v>0</v>
      </c>
      <c r="GE285" s="146" cm="1">
        <f t="array" ref="GE285">IF($FY285=0,0,_xlfn.IFS($FY285='Key assumptions'!$C$120,_xlfn.XLOOKUP(LEFT(GE$7,6),Inflation_Year,Inflation_NominaltoReal),TRUE,_xlfn.XLOOKUP($FY285,Inflation_Year,NominaltoReal)))</f>
        <v>0</v>
      </c>
      <c r="GF285" s="146" cm="1">
        <f t="array" ref="GF285">IF($FY285=0,0,_xlfn.IFS($FY285='Key assumptions'!$C$120,_xlfn.XLOOKUP(LEFT(GF$7,6),Inflation_Year,Inflation_NominaltoReal),TRUE,_xlfn.XLOOKUP($FY285,Inflation_Year,NominaltoReal)))</f>
        <v>0</v>
      </c>
      <c r="GG285" s="143"/>
      <c r="GH285" s="145" cm="1">
        <f t="array" ref="GH285">SUMPRODUCT(--($CR$7:$FW$7&gt;=GH$5),--($CR$7:$FW$7&lt;=GH$6),$CR285:$FW285)*FZ285</f>
        <v>0</v>
      </c>
      <c r="GI285" s="145" cm="1">
        <f t="array" ref="GI285">SUMPRODUCT(--($CR$7:$FW$7&gt;=GI$5),--($CR$7:$FW$7&lt;=GI$6),$CR285:$FW285)*GA285</f>
        <v>0</v>
      </c>
      <c r="GJ285" s="145" cm="1">
        <f t="array" ref="GJ285">SUMPRODUCT(--($CR$7:$FW$7&gt;=GJ$5),--($CR$7:$FW$7&lt;=GJ$6),$CR285:$FW285)*GB285</f>
        <v>0</v>
      </c>
      <c r="GK285" s="145" cm="1">
        <f t="array" ref="GK285">SUMPRODUCT(--($CR$7:$FW$7&gt;=GK$5),--($CR$7:$FW$7&lt;=GK$6),$CR285:$FW285)*GC285</f>
        <v>0</v>
      </c>
      <c r="GL285" s="145" cm="1">
        <f t="array" ref="GL285">SUMPRODUCT(--($CR$7:$FW$7&gt;=GL$5),--($CR$7:$FW$7&lt;=GL$6),$CR285:$FW285)*GD285</f>
        <v>0</v>
      </c>
      <c r="GM285" s="145" cm="1">
        <f t="array" ref="GM285">SUMPRODUCT(--($CR$7:$FW$7&gt;=GM$5),--($CR$7:$FW$7&lt;=GM$6),$CR285:$FW285)*GE285</f>
        <v>0</v>
      </c>
      <c r="GN285" s="145" cm="1">
        <f t="array" ref="GN285">SUMPRODUCT(--($CR$7:$FW$7&gt;=GN$5),--($CR$7:$FW$7&lt;=GN$6),$CR285:$FW285)*GF285</f>
        <v>0</v>
      </c>
      <c r="GO285" s="145">
        <f t="shared" si="4"/>
        <v>0</v>
      </c>
      <c r="GP285" s="87"/>
      <c r="GR285" s="145" cm="1">
        <f t="array" ref="GR285">SUMPRODUCT(--($CR$7:$FW$7&gt;=GR$5),--($CR$7:$FW$7&lt;=GR$6),$CR285:$FW285)</f>
        <v>0</v>
      </c>
    </row>
    <row r="286" spans="2:200" x14ac:dyDescent="0.2">
      <c r="B286" s="141"/>
      <c r="C286" s="141"/>
      <c r="D286" s="141"/>
      <c r="E286" s="141"/>
      <c r="F286" s="141"/>
      <c r="G286" s="141"/>
      <c r="H286" s="142"/>
      <c r="I286" s="126"/>
      <c r="J286" s="143"/>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3"/>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c r="EE286" s="145"/>
      <c r="EF286" s="145"/>
      <c r="EG286" s="145"/>
      <c r="EH286" s="145"/>
      <c r="EI286" s="145"/>
      <c r="EJ286" s="145"/>
      <c r="EK286" s="145"/>
      <c r="EL286" s="145"/>
      <c r="EM286" s="145"/>
      <c r="EN286" s="145"/>
      <c r="EO286" s="145"/>
      <c r="EP286" s="145"/>
      <c r="EQ286" s="145"/>
      <c r="ER286" s="145"/>
      <c r="ES286" s="145"/>
      <c r="ET286" s="145"/>
      <c r="EU286" s="145"/>
      <c r="EV286" s="145"/>
      <c r="EW286" s="145"/>
      <c r="EX286" s="145"/>
      <c r="EY286" s="145"/>
      <c r="EZ286" s="145"/>
      <c r="FA286" s="145"/>
      <c r="FB286" s="145"/>
      <c r="FC286" s="145"/>
      <c r="FD286" s="145"/>
      <c r="FE286" s="145"/>
      <c r="FF286" s="145"/>
      <c r="FG286" s="145"/>
      <c r="FH286" s="145"/>
      <c r="FI286" s="145"/>
      <c r="FJ286" s="145"/>
      <c r="FK286" s="145"/>
      <c r="FL286" s="145"/>
      <c r="FM286" s="145"/>
      <c r="FN286" s="145"/>
      <c r="FO286" s="145"/>
      <c r="FP286" s="145"/>
      <c r="FQ286" s="145"/>
      <c r="FR286" s="145"/>
      <c r="FS286" s="145"/>
      <c r="FT286" s="145"/>
      <c r="FU286" s="145"/>
      <c r="FV286" s="145"/>
      <c r="FW286" s="145"/>
      <c r="FX286" s="143"/>
      <c r="FY286" s="146">
        <f>_xlfn.XLOOKUP($E286,'Key assumptions'!$B$112:$B$120,'Key assumptions'!$C$112:$C$120,0)</f>
        <v>0</v>
      </c>
      <c r="FZ286" s="146" cm="1">
        <f t="array" ref="FZ286">IF($FY286=0,0,_xlfn.IFS($FY286='Key assumptions'!$C$120,_xlfn.XLOOKUP(LEFT(FZ$7,6),Inflation_Year,Inflation_NominaltoReal),TRUE,_xlfn.XLOOKUP($FY286,Inflation_Year,NominaltoReal)))</f>
        <v>0</v>
      </c>
      <c r="GA286" s="146" cm="1">
        <f t="array" ref="GA286">IF($FY286=0,0,_xlfn.IFS($FY286='Key assumptions'!$C$120,_xlfn.XLOOKUP(LEFT(GA$7,6),Inflation_Year,Inflation_NominaltoReal),TRUE,_xlfn.XLOOKUP($FY286,Inflation_Year,NominaltoReal)))</f>
        <v>0</v>
      </c>
      <c r="GB286" s="146" cm="1">
        <f t="array" ref="GB286">IF($FY286=0,0,_xlfn.IFS($FY286='Key assumptions'!$C$120,_xlfn.XLOOKUP(LEFT(GB$7,6),Inflation_Year,Inflation_NominaltoReal),TRUE,_xlfn.XLOOKUP($FY286,Inflation_Year,NominaltoReal)))</f>
        <v>0</v>
      </c>
      <c r="GC286" s="146" cm="1">
        <f t="array" ref="GC286">IF($FY286=0,0,_xlfn.IFS($FY286='Key assumptions'!$C$120,_xlfn.XLOOKUP(LEFT(GC$7,6),Inflation_Year,Inflation_NominaltoReal),TRUE,_xlfn.XLOOKUP($FY286,Inflation_Year,NominaltoReal)))</f>
        <v>0</v>
      </c>
      <c r="GD286" s="146" cm="1">
        <f t="array" ref="GD286">IF($FY286=0,0,_xlfn.IFS($FY286='Key assumptions'!$C$120,_xlfn.XLOOKUP(LEFT(GD$7,6),Inflation_Year,Inflation_NominaltoReal),TRUE,_xlfn.XLOOKUP($FY286,Inflation_Year,NominaltoReal)))</f>
        <v>0</v>
      </c>
      <c r="GE286" s="146" cm="1">
        <f t="array" ref="GE286">IF($FY286=0,0,_xlfn.IFS($FY286='Key assumptions'!$C$120,_xlfn.XLOOKUP(LEFT(GE$7,6),Inflation_Year,Inflation_NominaltoReal),TRUE,_xlfn.XLOOKUP($FY286,Inflation_Year,NominaltoReal)))</f>
        <v>0</v>
      </c>
      <c r="GF286" s="146" cm="1">
        <f t="array" ref="GF286">IF($FY286=0,0,_xlfn.IFS($FY286='Key assumptions'!$C$120,_xlfn.XLOOKUP(LEFT(GF$7,6),Inflation_Year,Inflation_NominaltoReal),TRUE,_xlfn.XLOOKUP($FY286,Inflation_Year,NominaltoReal)))</f>
        <v>0</v>
      </c>
      <c r="GG286" s="143"/>
      <c r="GH286" s="145" cm="1">
        <f t="array" ref="GH286">SUMPRODUCT(--($CR$7:$FW$7&gt;=GH$5),--($CR$7:$FW$7&lt;=GH$6),$CR286:$FW286)*FZ286</f>
        <v>0</v>
      </c>
      <c r="GI286" s="145" cm="1">
        <f t="array" ref="GI286">SUMPRODUCT(--($CR$7:$FW$7&gt;=GI$5),--($CR$7:$FW$7&lt;=GI$6),$CR286:$FW286)*GA286</f>
        <v>0</v>
      </c>
      <c r="GJ286" s="145" cm="1">
        <f t="array" ref="GJ286">SUMPRODUCT(--($CR$7:$FW$7&gt;=GJ$5),--($CR$7:$FW$7&lt;=GJ$6),$CR286:$FW286)*GB286</f>
        <v>0</v>
      </c>
      <c r="GK286" s="145" cm="1">
        <f t="array" ref="GK286">SUMPRODUCT(--($CR$7:$FW$7&gt;=GK$5),--($CR$7:$FW$7&lt;=GK$6),$CR286:$FW286)*GC286</f>
        <v>0</v>
      </c>
      <c r="GL286" s="145" cm="1">
        <f t="array" ref="GL286">SUMPRODUCT(--($CR$7:$FW$7&gt;=GL$5),--($CR$7:$FW$7&lt;=GL$6),$CR286:$FW286)*GD286</f>
        <v>0</v>
      </c>
      <c r="GM286" s="145" cm="1">
        <f t="array" ref="GM286">SUMPRODUCT(--($CR$7:$FW$7&gt;=GM$5),--($CR$7:$FW$7&lt;=GM$6),$CR286:$FW286)*GE286</f>
        <v>0</v>
      </c>
      <c r="GN286" s="145" cm="1">
        <f t="array" ref="GN286">SUMPRODUCT(--($CR$7:$FW$7&gt;=GN$5),--($CR$7:$FW$7&lt;=GN$6),$CR286:$FW286)*GF286</f>
        <v>0</v>
      </c>
      <c r="GO286" s="145">
        <f t="shared" si="4"/>
        <v>0</v>
      </c>
      <c r="GP286" s="87"/>
      <c r="GR286" s="145" cm="1">
        <f t="array" ref="GR286">SUMPRODUCT(--($CR$7:$FW$7&gt;=GR$5),--($CR$7:$FW$7&lt;=GR$6),$CR286:$FW286)</f>
        <v>0</v>
      </c>
    </row>
    <row r="287" spans="2:200" x14ac:dyDescent="0.2">
      <c r="B287" s="141"/>
      <c r="C287" s="141"/>
      <c r="D287" s="141"/>
      <c r="E287" s="141"/>
      <c r="F287" s="141"/>
      <c r="G287" s="141"/>
      <c r="H287" s="142"/>
      <c r="I287" s="126"/>
      <c r="J287" s="143"/>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3"/>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c r="EE287" s="145"/>
      <c r="EF287" s="145"/>
      <c r="EG287" s="145"/>
      <c r="EH287" s="145"/>
      <c r="EI287" s="145"/>
      <c r="EJ287" s="145"/>
      <c r="EK287" s="145"/>
      <c r="EL287" s="145"/>
      <c r="EM287" s="145"/>
      <c r="EN287" s="145"/>
      <c r="EO287" s="145"/>
      <c r="EP287" s="145"/>
      <c r="EQ287" s="145"/>
      <c r="ER287" s="145"/>
      <c r="ES287" s="145"/>
      <c r="ET287" s="145"/>
      <c r="EU287" s="145"/>
      <c r="EV287" s="145"/>
      <c r="EW287" s="145"/>
      <c r="EX287" s="145"/>
      <c r="EY287" s="145"/>
      <c r="EZ287" s="145"/>
      <c r="FA287" s="145"/>
      <c r="FB287" s="145"/>
      <c r="FC287" s="145"/>
      <c r="FD287" s="145"/>
      <c r="FE287" s="145"/>
      <c r="FF287" s="145"/>
      <c r="FG287" s="145"/>
      <c r="FH287" s="145"/>
      <c r="FI287" s="145"/>
      <c r="FJ287" s="145"/>
      <c r="FK287" s="145"/>
      <c r="FL287" s="145"/>
      <c r="FM287" s="145"/>
      <c r="FN287" s="145"/>
      <c r="FO287" s="145"/>
      <c r="FP287" s="145"/>
      <c r="FQ287" s="145"/>
      <c r="FR287" s="145"/>
      <c r="FS287" s="145"/>
      <c r="FT287" s="145"/>
      <c r="FU287" s="145"/>
      <c r="FV287" s="145"/>
      <c r="FW287" s="145"/>
      <c r="FX287" s="143"/>
      <c r="FY287" s="146">
        <f>_xlfn.XLOOKUP($E287,'Key assumptions'!$B$112:$B$120,'Key assumptions'!$C$112:$C$120,0)</f>
        <v>0</v>
      </c>
      <c r="FZ287" s="146" cm="1">
        <f t="array" ref="FZ287">IF($FY287=0,0,_xlfn.IFS($FY287='Key assumptions'!$C$120,_xlfn.XLOOKUP(LEFT(FZ$7,6),Inflation_Year,Inflation_NominaltoReal),TRUE,_xlfn.XLOOKUP($FY287,Inflation_Year,NominaltoReal)))</f>
        <v>0</v>
      </c>
      <c r="GA287" s="146" cm="1">
        <f t="array" ref="GA287">IF($FY287=0,0,_xlfn.IFS($FY287='Key assumptions'!$C$120,_xlfn.XLOOKUP(LEFT(GA$7,6),Inflation_Year,Inflation_NominaltoReal),TRUE,_xlfn.XLOOKUP($FY287,Inflation_Year,NominaltoReal)))</f>
        <v>0</v>
      </c>
      <c r="GB287" s="146" cm="1">
        <f t="array" ref="GB287">IF($FY287=0,0,_xlfn.IFS($FY287='Key assumptions'!$C$120,_xlfn.XLOOKUP(LEFT(GB$7,6),Inflation_Year,Inflation_NominaltoReal),TRUE,_xlfn.XLOOKUP($FY287,Inflation_Year,NominaltoReal)))</f>
        <v>0</v>
      </c>
      <c r="GC287" s="146" cm="1">
        <f t="array" ref="GC287">IF($FY287=0,0,_xlfn.IFS($FY287='Key assumptions'!$C$120,_xlfn.XLOOKUP(LEFT(GC$7,6),Inflation_Year,Inflation_NominaltoReal),TRUE,_xlfn.XLOOKUP($FY287,Inflation_Year,NominaltoReal)))</f>
        <v>0</v>
      </c>
      <c r="GD287" s="146" cm="1">
        <f t="array" ref="GD287">IF($FY287=0,0,_xlfn.IFS($FY287='Key assumptions'!$C$120,_xlfn.XLOOKUP(LEFT(GD$7,6),Inflation_Year,Inflation_NominaltoReal),TRUE,_xlfn.XLOOKUP($FY287,Inflation_Year,NominaltoReal)))</f>
        <v>0</v>
      </c>
      <c r="GE287" s="146" cm="1">
        <f t="array" ref="GE287">IF($FY287=0,0,_xlfn.IFS($FY287='Key assumptions'!$C$120,_xlfn.XLOOKUP(LEFT(GE$7,6),Inflation_Year,Inflation_NominaltoReal),TRUE,_xlfn.XLOOKUP($FY287,Inflation_Year,NominaltoReal)))</f>
        <v>0</v>
      </c>
      <c r="GF287" s="146" cm="1">
        <f t="array" ref="GF287">IF($FY287=0,0,_xlfn.IFS($FY287='Key assumptions'!$C$120,_xlfn.XLOOKUP(LEFT(GF$7,6),Inflation_Year,Inflation_NominaltoReal),TRUE,_xlfn.XLOOKUP($FY287,Inflation_Year,NominaltoReal)))</f>
        <v>0</v>
      </c>
      <c r="GG287" s="143"/>
      <c r="GH287" s="145" cm="1">
        <f t="array" ref="GH287">SUMPRODUCT(--($CR$7:$FW$7&gt;=GH$5),--($CR$7:$FW$7&lt;=GH$6),$CR287:$FW287)*FZ287</f>
        <v>0</v>
      </c>
      <c r="GI287" s="145" cm="1">
        <f t="array" ref="GI287">SUMPRODUCT(--($CR$7:$FW$7&gt;=GI$5),--($CR$7:$FW$7&lt;=GI$6),$CR287:$FW287)*GA287</f>
        <v>0</v>
      </c>
      <c r="GJ287" s="145" cm="1">
        <f t="array" ref="GJ287">SUMPRODUCT(--($CR$7:$FW$7&gt;=GJ$5),--($CR$7:$FW$7&lt;=GJ$6),$CR287:$FW287)*GB287</f>
        <v>0</v>
      </c>
      <c r="GK287" s="145" cm="1">
        <f t="array" ref="GK287">SUMPRODUCT(--($CR$7:$FW$7&gt;=GK$5),--($CR$7:$FW$7&lt;=GK$6),$CR287:$FW287)*GC287</f>
        <v>0</v>
      </c>
      <c r="GL287" s="145" cm="1">
        <f t="array" ref="GL287">SUMPRODUCT(--($CR$7:$FW$7&gt;=GL$5),--($CR$7:$FW$7&lt;=GL$6),$CR287:$FW287)*GD287</f>
        <v>0</v>
      </c>
      <c r="GM287" s="145" cm="1">
        <f t="array" ref="GM287">SUMPRODUCT(--($CR$7:$FW$7&gt;=GM$5),--($CR$7:$FW$7&lt;=GM$6),$CR287:$FW287)*GE287</f>
        <v>0</v>
      </c>
      <c r="GN287" s="145" cm="1">
        <f t="array" ref="GN287">SUMPRODUCT(--($CR$7:$FW$7&gt;=GN$5),--($CR$7:$FW$7&lt;=GN$6),$CR287:$FW287)*GF287</f>
        <v>0</v>
      </c>
      <c r="GO287" s="145">
        <f t="shared" si="4"/>
        <v>0</v>
      </c>
      <c r="GP287" s="87"/>
      <c r="GR287" s="145" cm="1">
        <f t="array" ref="GR287">SUMPRODUCT(--($CR$7:$FW$7&gt;=GR$5),--($CR$7:$FW$7&lt;=GR$6),$CR287:$FW287)</f>
        <v>0</v>
      </c>
    </row>
    <row r="288" spans="2:200" x14ac:dyDescent="0.2">
      <c r="B288" s="141"/>
      <c r="C288" s="141"/>
      <c r="D288" s="141"/>
      <c r="E288" s="141"/>
      <c r="F288" s="141"/>
      <c r="G288" s="141"/>
      <c r="H288" s="142"/>
      <c r="I288" s="126"/>
      <c r="J288" s="143"/>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3"/>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c r="EE288" s="145"/>
      <c r="EF288" s="145"/>
      <c r="EG288" s="145"/>
      <c r="EH288" s="145"/>
      <c r="EI288" s="145"/>
      <c r="EJ288" s="145"/>
      <c r="EK288" s="145"/>
      <c r="EL288" s="145"/>
      <c r="EM288" s="145"/>
      <c r="EN288" s="145"/>
      <c r="EO288" s="145"/>
      <c r="EP288" s="145"/>
      <c r="EQ288" s="145"/>
      <c r="ER288" s="145"/>
      <c r="ES288" s="145"/>
      <c r="ET288" s="145"/>
      <c r="EU288" s="145"/>
      <c r="EV288" s="145"/>
      <c r="EW288" s="145"/>
      <c r="EX288" s="145"/>
      <c r="EY288" s="145"/>
      <c r="EZ288" s="145"/>
      <c r="FA288" s="145"/>
      <c r="FB288" s="145"/>
      <c r="FC288" s="145"/>
      <c r="FD288" s="145"/>
      <c r="FE288" s="145"/>
      <c r="FF288" s="145"/>
      <c r="FG288" s="145"/>
      <c r="FH288" s="145"/>
      <c r="FI288" s="145"/>
      <c r="FJ288" s="145"/>
      <c r="FK288" s="145"/>
      <c r="FL288" s="145"/>
      <c r="FM288" s="145"/>
      <c r="FN288" s="145"/>
      <c r="FO288" s="145"/>
      <c r="FP288" s="145"/>
      <c r="FQ288" s="145"/>
      <c r="FR288" s="145"/>
      <c r="FS288" s="145"/>
      <c r="FT288" s="145"/>
      <c r="FU288" s="145"/>
      <c r="FV288" s="145"/>
      <c r="FW288" s="145"/>
      <c r="FX288" s="143"/>
      <c r="FY288" s="146">
        <f>_xlfn.XLOOKUP($E288,'Key assumptions'!$B$112:$B$120,'Key assumptions'!$C$112:$C$120,0)</f>
        <v>0</v>
      </c>
      <c r="FZ288" s="146" cm="1">
        <f t="array" ref="FZ288">IF($FY288=0,0,_xlfn.IFS($FY288='Key assumptions'!$C$120,_xlfn.XLOOKUP(LEFT(FZ$7,6),Inflation_Year,Inflation_NominaltoReal),TRUE,_xlfn.XLOOKUP($FY288,Inflation_Year,NominaltoReal)))</f>
        <v>0</v>
      </c>
      <c r="GA288" s="146" cm="1">
        <f t="array" ref="GA288">IF($FY288=0,0,_xlfn.IFS($FY288='Key assumptions'!$C$120,_xlfn.XLOOKUP(LEFT(GA$7,6),Inflation_Year,Inflation_NominaltoReal),TRUE,_xlfn.XLOOKUP($FY288,Inflation_Year,NominaltoReal)))</f>
        <v>0</v>
      </c>
      <c r="GB288" s="146" cm="1">
        <f t="array" ref="GB288">IF($FY288=0,0,_xlfn.IFS($FY288='Key assumptions'!$C$120,_xlfn.XLOOKUP(LEFT(GB$7,6),Inflation_Year,Inflation_NominaltoReal),TRUE,_xlfn.XLOOKUP($FY288,Inflation_Year,NominaltoReal)))</f>
        <v>0</v>
      </c>
      <c r="GC288" s="146" cm="1">
        <f t="array" ref="GC288">IF($FY288=0,0,_xlfn.IFS($FY288='Key assumptions'!$C$120,_xlfn.XLOOKUP(LEFT(GC$7,6),Inflation_Year,Inflation_NominaltoReal),TRUE,_xlfn.XLOOKUP($FY288,Inflation_Year,NominaltoReal)))</f>
        <v>0</v>
      </c>
      <c r="GD288" s="146" cm="1">
        <f t="array" ref="GD288">IF($FY288=0,0,_xlfn.IFS($FY288='Key assumptions'!$C$120,_xlfn.XLOOKUP(LEFT(GD$7,6),Inflation_Year,Inflation_NominaltoReal),TRUE,_xlfn.XLOOKUP($FY288,Inflation_Year,NominaltoReal)))</f>
        <v>0</v>
      </c>
      <c r="GE288" s="146" cm="1">
        <f t="array" ref="GE288">IF($FY288=0,0,_xlfn.IFS($FY288='Key assumptions'!$C$120,_xlfn.XLOOKUP(LEFT(GE$7,6),Inflation_Year,Inflation_NominaltoReal),TRUE,_xlfn.XLOOKUP($FY288,Inflation_Year,NominaltoReal)))</f>
        <v>0</v>
      </c>
      <c r="GF288" s="146" cm="1">
        <f t="array" ref="GF288">IF($FY288=0,0,_xlfn.IFS($FY288='Key assumptions'!$C$120,_xlfn.XLOOKUP(LEFT(GF$7,6),Inflation_Year,Inflation_NominaltoReal),TRUE,_xlfn.XLOOKUP($FY288,Inflation_Year,NominaltoReal)))</f>
        <v>0</v>
      </c>
      <c r="GG288" s="143"/>
      <c r="GH288" s="145" cm="1">
        <f t="array" ref="GH288">SUMPRODUCT(--($CR$7:$FW$7&gt;=GH$5),--($CR$7:$FW$7&lt;=GH$6),$CR288:$FW288)*FZ288</f>
        <v>0</v>
      </c>
      <c r="GI288" s="145" cm="1">
        <f t="array" ref="GI288">SUMPRODUCT(--($CR$7:$FW$7&gt;=GI$5),--($CR$7:$FW$7&lt;=GI$6),$CR288:$FW288)*GA288</f>
        <v>0</v>
      </c>
      <c r="GJ288" s="145" cm="1">
        <f t="array" ref="GJ288">SUMPRODUCT(--($CR$7:$FW$7&gt;=GJ$5),--($CR$7:$FW$7&lt;=GJ$6),$CR288:$FW288)*GB288</f>
        <v>0</v>
      </c>
      <c r="GK288" s="145" cm="1">
        <f t="array" ref="GK288">SUMPRODUCT(--($CR$7:$FW$7&gt;=GK$5),--($CR$7:$FW$7&lt;=GK$6),$CR288:$FW288)*GC288</f>
        <v>0</v>
      </c>
      <c r="GL288" s="145" cm="1">
        <f t="array" ref="GL288">SUMPRODUCT(--($CR$7:$FW$7&gt;=GL$5),--($CR$7:$FW$7&lt;=GL$6),$CR288:$FW288)*GD288</f>
        <v>0</v>
      </c>
      <c r="GM288" s="145" cm="1">
        <f t="array" ref="GM288">SUMPRODUCT(--($CR$7:$FW$7&gt;=GM$5),--($CR$7:$FW$7&lt;=GM$6),$CR288:$FW288)*GE288</f>
        <v>0</v>
      </c>
      <c r="GN288" s="145" cm="1">
        <f t="array" ref="GN288">SUMPRODUCT(--($CR$7:$FW$7&gt;=GN$5),--($CR$7:$FW$7&lt;=GN$6),$CR288:$FW288)*GF288</f>
        <v>0</v>
      </c>
      <c r="GO288" s="145">
        <f t="shared" si="4"/>
        <v>0</v>
      </c>
      <c r="GP288" s="87"/>
      <c r="GR288" s="145" cm="1">
        <f t="array" ref="GR288">SUMPRODUCT(--($CR$7:$FW$7&gt;=GR$5),--($CR$7:$FW$7&lt;=GR$6),$CR288:$FW288)</f>
        <v>0</v>
      </c>
    </row>
    <row r="289" spans="1:200" x14ac:dyDescent="0.2">
      <c r="B289" s="114"/>
      <c r="C289" s="114"/>
      <c r="D289" s="114"/>
      <c r="E289" s="114"/>
      <c r="F289" s="79"/>
      <c r="G289" s="79"/>
      <c r="H289" s="114"/>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X289" s="110"/>
      <c r="FY289" s="110"/>
      <c r="FZ289" s="110"/>
      <c r="GA289" s="110"/>
      <c r="GB289" s="110"/>
      <c r="GC289" s="110"/>
      <c r="GD289" s="110"/>
      <c r="GE289" s="110"/>
      <c r="GF289" s="110"/>
      <c r="GG289" s="110"/>
      <c r="GH289" s="110"/>
      <c r="GI289" s="110"/>
      <c r="GJ289" s="110"/>
      <c r="GK289" s="110"/>
      <c r="GL289" s="110"/>
      <c r="GM289" s="110"/>
      <c r="GN289" s="110"/>
      <c r="GO289" s="110"/>
      <c r="GP289" s="87"/>
      <c r="GR289" s="110"/>
    </row>
    <row r="290" spans="1:200" ht="26.25" customHeight="1" x14ac:dyDescent="0.2">
      <c r="A290" s="160"/>
      <c r="B290" s="160"/>
      <c r="C290" s="71"/>
      <c r="D290" s="71"/>
      <c r="E290" s="74"/>
      <c r="F290" s="74"/>
      <c r="G290" s="74"/>
      <c r="H290" s="74"/>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c r="DM290" s="71"/>
      <c r="DN290" s="71"/>
      <c r="DO290" s="71"/>
      <c r="DP290" s="71"/>
      <c r="DQ290" s="71"/>
      <c r="DR290" s="71"/>
      <c r="DS290" s="71"/>
      <c r="DT290" s="71"/>
      <c r="DU290" s="71"/>
      <c r="DV290" s="71"/>
      <c r="DW290" s="71"/>
      <c r="DX290" s="71"/>
      <c r="DY290" s="71"/>
      <c r="DZ290" s="71"/>
      <c r="EA290" s="71"/>
      <c r="EB290" s="71"/>
      <c r="EC290" s="71"/>
      <c r="ED290" s="7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71"/>
      <c r="GD290" s="71"/>
      <c r="GE290" s="71"/>
      <c r="GF290" s="71"/>
      <c r="GG290" s="71"/>
      <c r="GH290" s="71"/>
      <c r="GI290" s="71"/>
      <c r="GJ290" s="71"/>
      <c r="GK290" s="71"/>
      <c r="GL290" s="71"/>
      <c r="GM290" s="71"/>
      <c r="GN290" s="71"/>
      <c r="GO290" s="152"/>
      <c r="GP290" s="71"/>
      <c r="GR290" s="71"/>
    </row>
    <row r="291" spans="1:200" x14ac:dyDescent="0.2">
      <c r="B291" s="114"/>
      <c r="C291" s="114"/>
      <c r="D291" s="114"/>
      <c r="E291" s="114"/>
      <c r="F291" s="79"/>
      <c r="G291" s="79"/>
      <c r="H291" s="114"/>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X291" s="110"/>
      <c r="FY291" s="110"/>
      <c r="FZ291" s="110"/>
      <c r="GA291" s="110"/>
      <c r="GB291" s="110"/>
      <c r="GC291" s="110"/>
      <c r="GD291" s="110"/>
      <c r="GE291" s="110"/>
      <c r="GF291" s="110"/>
      <c r="GG291" s="110"/>
      <c r="GH291" s="110"/>
      <c r="GI291" s="110"/>
      <c r="GJ291" s="110"/>
      <c r="GK291" s="110"/>
      <c r="GL291" s="110"/>
      <c r="GM291" s="110"/>
      <c r="GN291" s="110"/>
      <c r="GO291" s="110"/>
      <c r="GP291" s="87"/>
      <c r="GR291" s="110"/>
    </row>
    <row r="292" spans="1:200" x14ac:dyDescent="0.2">
      <c r="B292" s="114"/>
      <c r="C292" s="114"/>
      <c r="D292" s="114"/>
      <c r="E292" s="114"/>
      <c r="F292" s="79"/>
      <c r="G292" s="79"/>
      <c r="H292" s="114"/>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X292" s="110"/>
      <c r="FY292" s="110"/>
      <c r="FZ292" s="110"/>
      <c r="GA292" s="110"/>
      <c r="GB292" s="110"/>
      <c r="GC292" s="110"/>
      <c r="GD292" s="110"/>
      <c r="GE292" s="110"/>
      <c r="GF292" s="110"/>
      <c r="GG292" s="110"/>
      <c r="GH292" s="110"/>
      <c r="GI292" s="110"/>
      <c r="GJ292" s="110"/>
      <c r="GK292" s="110"/>
      <c r="GL292" s="110"/>
      <c r="GM292" s="110"/>
      <c r="GN292" s="110"/>
      <c r="GO292" s="110"/>
      <c r="GP292" s="110"/>
      <c r="GR292" s="110"/>
    </row>
    <row r="293" spans="1:200" x14ac:dyDescent="0.2">
      <c r="B293" s="114"/>
      <c r="C293" s="114"/>
      <c r="D293" s="114"/>
      <c r="E293" s="114"/>
      <c r="F293" s="79"/>
      <c r="G293" s="79"/>
      <c r="H293" s="114"/>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X293" s="110"/>
      <c r="FY293" s="110"/>
      <c r="FZ293" s="110"/>
      <c r="GA293" s="110"/>
      <c r="GB293" s="110"/>
      <c r="GC293" s="110"/>
      <c r="GD293" s="110"/>
      <c r="GE293" s="110"/>
      <c r="GF293" s="110"/>
      <c r="GG293" s="110"/>
      <c r="GH293" s="110"/>
      <c r="GI293" s="110"/>
      <c r="GJ293" s="110"/>
      <c r="GK293" s="110"/>
      <c r="GL293" s="110"/>
      <c r="GM293" s="110"/>
      <c r="GN293" s="110"/>
      <c r="GO293" s="110"/>
      <c r="GP293" s="110"/>
      <c r="GR293" s="110"/>
    </row>
  </sheetData>
  <autoFilter ref="B7:FV36" xr:uid="{2ECE4052-060F-4FF3-B571-B449393EBADD}"/>
  <conditionalFormatting sqref="C4:J6">
    <cfRule type="cellIs" dxfId="144" priority="3" operator="equal">
      <formula>"OK"</formula>
    </cfRule>
  </conditionalFormatting>
  <conditionalFormatting sqref="FY8:GF288">
    <cfRule type="expression" dxfId="143" priority="2">
      <formula>$M8="Manual $ Spread"</formula>
    </cfRule>
  </conditionalFormatting>
  <conditionalFormatting sqref="GP7">
    <cfRule type="cellIs" dxfId="142" priority="4" operator="equal">
      <formula>"ERROR"</formula>
    </cfRule>
    <cfRule type="cellIs" dxfId="141" priority="5" operator="equal">
      <formula>"OK"</formula>
    </cfRule>
    <cfRule type="expression" dxfId="140" priority="6">
      <formula>$AK7="Manual $ Spread"</formula>
    </cfRule>
  </conditionalFormatting>
  <dataValidations count="1">
    <dataValidation type="list" allowBlank="1" showInputMessage="1" showErrorMessage="1" sqref="C8:C32" xr:uid="{761A7AC8-C044-42A8-BE25-B1AC0B56E8D7}">
      <formula1>"Labour, Expense"</formula1>
    </dataValidation>
  </dataValidations>
  <pageMargins left="0.7" right="0.7" top="0.75" bottom="0.75" header="0.3" footer="0.3"/>
  <pageSetup orientation="portrait" r:id="rId1"/>
  <headerFooter>
    <oddFooter>&amp;L_x000D_&amp;1#&amp;"Aptos"&amp;10&amp;K000000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ED93-D8B0-4341-BC07-3D9D386D5C14}">
  <sheetPr codeName="Sheet9">
    <tabColor theme="0" tint="-4.9989318521683403E-2"/>
    <pageSetUpPr autoPageBreaks="0"/>
  </sheetPr>
  <dimension ref="A1:E77"/>
  <sheetViews>
    <sheetView showGridLines="0" topLeftCell="XFD1048576" zoomScaleNormal="100" workbookViewId="0">
      <selection activeCell="A2" sqref="A2"/>
    </sheetView>
  </sheetViews>
  <sheetFormatPr defaultColWidth="0" defaultRowHeight="15" customHeight="1" zeroHeight="1" x14ac:dyDescent="0.3"/>
  <cols>
    <col min="1" max="16384" width="7.109375" style="33" hidden="1"/>
  </cols>
  <sheetData>
    <row r="1" spans="1:1" ht="15" hidden="1" customHeight="1" x14ac:dyDescent="0.3">
      <c r="A1" s="58"/>
    </row>
    <row r="77" spans="5:5" ht="15" hidden="1" customHeight="1" x14ac:dyDescent="0.3">
      <c r="E77" s="34"/>
    </row>
  </sheetData>
  <pageMargins left="0.7" right="0.7" top="0.75" bottom="0.75" header="0.3" footer="0.3"/>
  <pageSetup paperSize="9" orientation="portrait" horizontalDpi="300" verticalDpi="300" r:id="rId1"/>
  <headerFooter>
    <oddFooter>&amp;L_x000D_&amp;1#&amp;"Aptos"&amp;10&amp;K000000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CAFAFE2D684429A1F05B8F0F33A34" ma:contentTypeVersion="19" ma:contentTypeDescription="Create a new document." ma:contentTypeScope="" ma:versionID="f6fa6d3a1dfa5c971139cf5e1d83edc2">
  <xsd:schema xmlns:xsd="http://www.w3.org/2001/XMLSchema" xmlns:xs="http://www.w3.org/2001/XMLSchema" xmlns:p="http://schemas.microsoft.com/office/2006/metadata/properties" xmlns:ns1="http://schemas.microsoft.com/sharepoint/v3" xmlns:ns2="9c621d74-b09f-4933-9a50-834196c9b127" xmlns:ns3="b3fe0a2b-b7b2-4b02-8c4b-ca2e40ad4806" targetNamespace="http://schemas.microsoft.com/office/2006/metadata/properties" ma:root="true" ma:fieldsID="4cb60c40240b6f2c7757b466877fb6e3" ns1:_="" ns2:_="" ns3:_="">
    <xsd:import namespace="http://schemas.microsoft.com/sharepoint/v3"/>
    <xsd:import namespace="9c621d74-b09f-4933-9a50-834196c9b127"/>
    <xsd:import namespace="b3fe0a2b-b7b2-4b02-8c4b-ca2e40ad480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Number"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621d74-b09f-4933-9a50-834196c9b1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4158398-96c9-4633-9a72-0655c0871b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Number" ma:index="24" nillable="true" ma:displayName="Number" ma:format="Dropdown" ma:internalName="Number" ma:percentage="FALSE">
      <xsd:simpleType>
        <xsd:restriction base="dms:Number"/>
      </xsd:simpleType>
    </xsd:element>
    <xsd:element name="MediaLengthInSeconds" ma:index="25" nillable="true" ma:displayName="MediaLengthInSeconds" ma:hidden="true" ma:internalName="MediaLengthInSeconds" ma:readOnly="true">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fe0a2b-b7b2-4b02-8c4b-ca2e40ad480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1c5582c-84d1-4991-9983-f089ea9c7d3c}" ma:internalName="TaxCatchAll" ma:showField="CatchAllData" ma:web="b3fe0a2b-b7b2-4b02-8c4b-ca2e40ad48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9c621d74-b09f-4933-9a50-834196c9b127">
      <Terms xmlns="http://schemas.microsoft.com/office/infopath/2007/PartnerControls"/>
    </lcf76f155ced4ddcb4097134ff3c332f>
    <TaxCatchAll xmlns="b3fe0a2b-b7b2-4b02-8c4b-ca2e40ad4806" xsi:nil="true"/>
    <_ip_UnifiedCompliancePolicyProperties xmlns="http://schemas.microsoft.com/sharepoint/v3" xsi:nil="true"/>
    <Number xmlns="9c621d74-b09f-4933-9a50-834196c9b127" xsi:nil="true"/>
  </documentManagement>
</p:properties>
</file>

<file path=customXml/itemProps1.xml><?xml version="1.0" encoding="utf-8"?>
<ds:datastoreItem xmlns:ds="http://schemas.openxmlformats.org/officeDocument/2006/customXml" ds:itemID="{401512A0-1500-452E-B653-5793C5031667}"/>
</file>

<file path=customXml/itemProps2.xml><?xml version="1.0" encoding="utf-8"?>
<ds:datastoreItem xmlns:ds="http://schemas.openxmlformats.org/officeDocument/2006/customXml" ds:itemID="{40B96FCA-549E-433A-88F7-FE152EFBFFA6}"/>
</file>

<file path=customXml/itemProps3.xml><?xml version="1.0" encoding="utf-8"?>
<ds:datastoreItem xmlns:ds="http://schemas.openxmlformats.org/officeDocument/2006/customXml" ds:itemID="{1B8C2C13-BA8E-4A50-AABD-738133823136}"/>
</file>

<file path=docMetadata/LabelInfo.xml><?xml version="1.0" encoding="utf-8"?>
<clbl:labelList xmlns:clbl="http://schemas.microsoft.com/office/2020/mipLabelMetadata">
  <clbl:label id="{93843c40-9e43-4560-bcbc-08443cd50ac1}" enabled="1" method="Privileged" siteId="{59ee855e-7930-433f-a581-82f192afe1cc}"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18</vt:i4>
      </vt:variant>
      <vt:variant>
        <vt:lpstr>Named Ranges</vt:lpstr>
      </vt:variant>
      <vt:variant>
        <vt:i4>32</vt:i4>
      </vt:variant>
    </vt:vector>
  </HeadingPairs>
  <TitlesOfParts>
    <vt:vector size="50" baseType="lpstr">
      <vt:lpstr>Overview</vt:lpstr>
      <vt:lpstr>Inputs --&gt;</vt:lpstr>
      <vt:lpstr>Key assumptions</vt:lpstr>
      <vt:lpstr>Historical indirect capex</vt:lpstr>
      <vt:lpstr>Data source</vt:lpstr>
      <vt:lpstr>Internal_labour_inputs</vt:lpstr>
      <vt:lpstr>Outsourced_labour_inputs</vt:lpstr>
      <vt:lpstr>Non-labour_inputs</vt:lpstr>
      <vt:lpstr>Calculations --&gt;</vt:lpstr>
      <vt:lpstr>FTE&amp;roles_calcs</vt:lpstr>
      <vt:lpstr>Internal_labour_calcs</vt:lpstr>
      <vt:lpstr>Labour-related_calcs</vt:lpstr>
      <vt:lpstr>Outsourced_labour_calcs</vt:lpstr>
      <vt:lpstr>Non-labour_calcs</vt:lpstr>
      <vt:lpstr>Travel calculations --&gt;</vt:lpstr>
      <vt:lpstr>Travel_costs</vt:lpstr>
      <vt:lpstr>Outputs --&gt;</vt:lpstr>
      <vt:lpstr>Summary Tables</vt:lpstr>
      <vt:lpstr>avg_hrs</vt:lpstr>
      <vt:lpstr>CostCategories</vt:lpstr>
      <vt:lpstr>data_source</vt:lpstr>
      <vt:lpstr>DollarBasis</vt:lpstr>
      <vt:lpstr>ds_broadcostcat</vt:lpstr>
      <vt:lpstr>ds_headers</vt:lpstr>
      <vt:lpstr>ds_labourcat</vt:lpstr>
      <vt:lpstr>dsheaders2</vt:lpstr>
      <vt:lpstr>Outsourced_labour_inputs!FTE_input</vt:lpstr>
      <vt:lpstr>FTE_PERIOD</vt:lpstr>
      <vt:lpstr>Inflation_NominaltoReal</vt:lpstr>
      <vt:lpstr>Inflation_RealtoNominal</vt:lpstr>
      <vt:lpstr>Inflation_Year</vt:lpstr>
      <vt:lpstr>InflationYear</vt:lpstr>
      <vt:lpstr>Internal_Direct</vt:lpstr>
      <vt:lpstr>Internal_Indirect</vt:lpstr>
      <vt:lpstr>labour_category</vt:lpstr>
      <vt:lpstr>labour_direct</vt:lpstr>
      <vt:lpstr>labour_rel_category</vt:lpstr>
      <vt:lpstr>labour_related_direct</vt:lpstr>
      <vt:lpstr>Outsourced_labour_inputs!Labourcost_input</vt:lpstr>
      <vt:lpstr>LabourRelated_Direct</vt:lpstr>
      <vt:lpstr>LabourRelated_Indirect</vt:lpstr>
      <vt:lpstr>model_forecastperiod</vt:lpstr>
      <vt:lpstr>model_period</vt:lpstr>
      <vt:lpstr>non_labour_category</vt:lpstr>
      <vt:lpstr>nonlab_direct</vt:lpstr>
      <vt:lpstr>NonLabour_Direct</vt:lpstr>
      <vt:lpstr>NonLabour_Indirect</vt:lpstr>
      <vt:lpstr>Outsourced_Direct</vt:lpstr>
      <vt:lpstr>Outsourced_Indirect</vt:lpstr>
      <vt:lpstr>training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2026-04-08T23:51:50Z</dcterms:created>
  <dcterms:modified xsi:type="dcterms:W3CDTF">2026-04-08T23:54:52Z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0x010100F3CCAFAFE2D684429A1F05B8F0F33A34</vt:lpwstr>
  </property>
</Properties>
</file>